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theme/themeOverride1.xml" ContentType="application/vnd.openxmlformats-officedocument.themeOverrid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7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8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9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50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1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theme/themeOverride2.xml" ContentType="application/vnd.openxmlformats-officedocument.themeOverride+xml"/>
  <Override PartName="/xl/drawings/drawing3.xml" ContentType="application/vnd.openxmlformats-officedocument.drawingml.chartshapes+xml"/>
  <Override PartName="/xl/charts/chart52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3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4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5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6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7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8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9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60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1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2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3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4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5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6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7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8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9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70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1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2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3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4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5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6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7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8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9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80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charts/chart81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2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3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4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5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6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7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8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9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90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1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2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3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4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5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6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7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98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9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100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1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theme/themeOverride3.xml" ContentType="application/vnd.openxmlformats-officedocument.themeOverride+xml"/>
  <Override PartName="/xl/charts/chart102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theme/themeOverride4.xml" ContentType="application/vnd.openxmlformats-officedocument.themeOverride+xml"/>
  <Override PartName="/xl/charts/chart103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4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5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charts/chart106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charts/chart107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08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09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charts/chart110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11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6.xml" ContentType="application/vnd.openxmlformats-officedocument.drawing+xml"/>
  <Override PartName="/xl/charts/chart112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theme/themeOverride5.xml" ContentType="application/vnd.openxmlformats-officedocument.themeOverride+xml"/>
  <Override PartName="/xl/charts/chart113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theme/themeOverride6.xml" ContentType="application/vnd.openxmlformats-officedocument.themeOverride+xml"/>
  <Override PartName="/xl/drawings/drawing7.xml" ContentType="application/vnd.openxmlformats-officedocument.drawingml.chartshapes+xml"/>
  <Override PartName="/xl/charts/chart114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theme/themeOverride7.xml" ContentType="application/vnd.openxmlformats-officedocument.themeOverride+xml"/>
  <Override PartName="/xl/drawings/drawing8.xml" ContentType="application/vnd.openxmlformats-officedocument.drawingml.chartshapes+xml"/>
  <Override PartName="/xl/charts/chart115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theme/themeOverride8.xml" ContentType="application/vnd.openxmlformats-officedocument.themeOverride+xml"/>
  <Override PartName="/xl/drawings/drawing9.xml" ContentType="application/vnd.openxmlformats-officedocument.drawingml.chartshapes+xml"/>
  <Override PartName="/xl/charts/chart116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drawings/drawing10.xml" ContentType="application/vnd.openxmlformats-officedocument.drawingml.chartshapes+xml"/>
  <Override PartName="/xl/charts/chart117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theme/themeOverride9.xml" ContentType="application/vnd.openxmlformats-officedocument.themeOverride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omments7.xml" ContentType="application/vnd.openxmlformats-officedocument.spreadsheetml.comments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charts/chart121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drawings/drawing13.xml" ContentType="application/vnd.openxmlformats-officedocument.drawingml.chartshapes+xml"/>
  <Override PartName="/xl/charts/chart122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23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charts/chart124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charts/chart125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charts/chart126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charts/chart127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theme/themeOverride10.xml" ContentType="application/vnd.openxmlformats-officedocument.themeOverride+xml"/>
  <Override PartName="/xl/charts/chart128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charts/chart129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charts/chart130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charts/chart131.xml" ContentType="application/vnd.openxmlformats-officedocument.drawingml.chart+xml"/>
  <Override PartName="/xl/charts/style128.xml" ContentType="application/vnd.ms-office.chartstyle+xml"/>
  <Override PartName="/xl/charts/colors128.xml" ContentType="application/vnd.ms-office.chartcolorstyle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style129.xml" ContentType="application/vnd.ms-office.chartstyle+xml"/>
  <Override PartName="/xl/charts/colors129.xml" ContentType="application/vnd.ms-office.chartcolorstyle+xml"/>
  <Override PartName="/xl/charts/chart134.xml" ContentType="application/vnd.openxmlformats-officedocument.drawingml.chart+xml"/>
  <Override PartName="/xl/charts/style130.xml" ContentType="application/vnd.ms-office.chartstyle+xml"/>
  <Override PartName="/xl/charts/colors130.xml" ContentType="application/vnd.ms-office.chartcolorstyle+xml"/>
  <Override PartName="/xl/charts/chart135.xml" ContentType="application/vnd.openxmlformats-officedocument.drawingml.chart+xml"/>
  <Override PartName="/xl/charts/style131.xml" ContentType="application/vnd.ms-office.chartstyle+xml"/>
  <Override PartName="/xl/charts/colors131.xml" ContentType="application/vnd.ms-office.chartcolorstyle+xml"/>
  <Override PartName="/xl/charts/chart136.xml" ContentType="application/vnd.openxmlformats-officedocument.drawingml.chart+xml"/>
  <Override PartName="/xl/charts/style132.xml" ContentType="application/vnd.ms-office.chartstyle+xml"/>
  <Override PartName="/xl/charts/colors132.xml" ContentType="application/vnd.ms-office.chartcolorstyle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style133.xml" ContentType="application/vnd.ms-office.chartstyle+xml"/>
  <Override PartName="/xl/charts/colors133.xml" ContentType="application/vnd.ms-office.chartcolorstyle+xml"/>
  <Override PartName="/xl/charts/chart139.xml" ContentType="application/vnd.openxmlformats-officedocument.drawingml.chart+xml"/>
  <Override PartName="/xl/charts/style134.xml" ContentType="application/vnd.ms-office.chartstyle+xml"/>
  <Override PartName="/xl/charts/colors134.xml" ContentType="application/vnd.ms-office.chartcolorstyle+xml"/>
  <Override PartName="/xl/charts/chart140.xml" ContentType="application/vnd.openxmlformats-officedocument.drawingml.chart+xml"/>
  <Override PartName="/xl/charts/style135.xml" ContentType="application/vnd.ms-office.chartstyle+xml"/>
  <Override PartName="/xl/charts/colors135.xml" ContentType="application/vnd.ms-office.chartcolorstyle+xml"/>
  <Override PartName="/xl/charts/chart141.xml" ContentType="application/vnd.openxmlformats-officedocument.drawingml.chart+xml"/>
  <Override PartName="/xl/charts/style136.xml" ContentType="application/vnd.ms-office.chartstyle+xml"/>
  <Override PartName="/xl/charts/colors136.xml" ContentType="application/vnd.ms-office.chartcolorstyle+xml"/>
  <Override PartName="/xl/charts/chart142.xml" ContentType="application/vnd.openxmlformats-officedocument.drawingml.chart+xml"/>
  <Override PartName="/xl/charts/style137.xml" ContentType="application/vnd.ms-office.chartstyle+xml"/>
  <Override PartName="/xl/charts/colors137.xml" ContentType="application/vnd.ms-office.chartcolorstyle+xml"/>
  <Override PartName="/xl/charts/chart143.xml" ContentType="application/vnd.openxmlformats-officedocument.drawingml.chart+xml"/>
  <Override PartName="/xl/charts/style138.xml" ContentType="application/vnd.ms-office.chartstyle+xml"/>
  <Override PartName="/xl/charts/colors138.xml" ContentType="application/vnd.ms-office.chartcolorstyle+xml"/>
  <Override PartName="/xl/charts/chart144.xml" ContentType="application/vnd.openxmlformats-officedocument.drawingml.chart+xml"/>
  <Override PartName="/xl/charts/style139.xml" ContentType="application/vnd.ms-office.chartstyle+xml"/>
  <Override PartName="/xl/charts/colors139.xml" ContentType="application/vnd.ms-office.chartcolorstyle+xml"/>
  <Override PartName="/xl/charts/chart145.xml" ContentType="application/vnd.openxmlformats-officedocument.drawingml.chart+xml"/>
  <Override PartName="/xl/charts/style140.xml" ContentType="application/vnd.ms-office.chartstyle+xml"/>
  <Override PartName="/xl/charts/colors140.xml" ContentType="application/vnd.ms-office.chartcolorstyle+xml"/>
  <Override PartName="/xl/charts/chart146.xml" ContentType="application/vnd.openxmlformats-officedocument.drawingml.chart+xml"/>
  <Override PartName="/xl/charts/style141.xml" ContentType="application/vnd.ms-office.chartstyle+xml"/>
  <Override PartName="/xl/charts/colors141.xml" ContentType="application/vnd.ms-office.chartcolorstyle+xml"/>
  <Override PartName="/xl/charts/chart147.xml" ContentType="application/vnd.openxmlformats-officedocument.drawingml.chart+xml"/>
  <Override PartName="/xl/charts/style142.xml" ContentType="application/vnd.ms-office.chartstyle+xml"/>
  <Override PartName="/xl/charts/colors142.xml" ContentType="application/vnd.ms-office.chartcolorstyle+xml"/>
  <Override PartName="/xl/charts/chart148.xml" ContentType="application/vnd.openxmlformats-officedocument.drawingml.chart+xml"/>
  <Override PartName="/xl/charts/style143.xml" ContentType="application/vnd.ms-office.chartstyle+xml"/>
  <Override PartName="/xl/charts/colors143.xml" ContentType="application/vnd.ms-office.chartcolorstyle+xml"/>
  <Override PartName="/xl/charts/chart149.xml" ContentType="application/vnd.openxmlformats-officedocument.drawingml.chart+xml"/>
  <Override PartName="/xl/charts/chart150.xml" ContentType="application/vnd.openxmlformats-officedocument.drawingml.chart+xml"/>
  <Override PartName="/xl/charts/style144.xml" ContentType="application/vnd.ms-office.chartstyle+xml"/>
  <Override PartName="/xl/charts/colors144.xml" ContentType="application/vnd.ms-office.chartcolorstyle+xml"/>
  <Override PartName="/xl/charts/chart151.xml" ContentType="application/vnd.openxmlformats-officedocument.drawingml.chart+xml"/>
  <Override PartName="/xl/charts/style145.xml" ContentType="application/vnd.ms-office.chartstyle+xml"/>
  <Override PartName="/xl/charts/colors145.xml" ContentType="application/vnd.ms-office.chartcolorstyle+xml"/>
  <Override PartName="/xl/charts/chart152.xml" ContentType="application/vnd.openxmlformats-officedocument.drawingml.chart+xml"/>
  <Override PartName="/xl/charts/style146.xml" ContentType="application/vnd.ms-office.chartstyle+xml"/>
  <Override PartName="/xl/charts/colors146.xml" ContentType="application/vnd.ms-office.chartcolorstyle+xml"/>
  <Override PartName="/xl/theme/themeOverride11.xml" ContentType="application/vnd.openxmlformats-officedocument.themeOverride+xml"/>
  <Override PartName="/xl/drawings/drawing14.xml" ContentType="application/vnd.openxmlformats-officedocument.drawingml.chartshapes+xml"/>
  <Override PartName="/xl/charts/chart153.xml" ContentType="application/vnd.openxmlformats-officedocument.drawingml.chart+xml"/>
  <Override PartName="/xl/charts/style147.xml" ContentType="application/vnd.ms-office.chartstyle+xml"/>
  <Override PartName="/xl/charts/colors147.xml" ContentType="application/vnd.ms-office.chartcolorstyle+xml"/>
  <Override PartName="/xl/charts/chart154.xml" ContentType="application/vnd.openxmlformats-officedocument.drawingml.chart+xml"/>
  <Override PartName="/xl/charts/style148.xml" ContentType="application/vnd.ms-office.chartstyle+xml"/>
  <Override PartName="/xl/charts/colors148.xml" ContentType="application/vnd.ms-office.chartcolorstyle+xml"/>
  <Override PartName="/xl/charts/chart155.xml" ContentType="application/vnd.openxmlformats-officedocument.drawingml.chart+xml"/>
  <Override PartName="/xl/charts/style149.xml" ContentType="application/vnd.ms-office.chartstyle+xml"/>
  <Override PartName="/xl/charts/colors149.xml" ContentType="application/vnd.ms-office.chartcolorstyle+xml"/>
  <Override PartName="/xl/charts/chart156.xml" ContentType="application/vnd.openxmlformats-officedocument.drawingml.chart+xml"/>
  <Override PartName="/xl/charts/style150.xml" ContentType="application/vnd.ms-office.chartstyle+xml"/>
  <Override PartName="/xl/charts/colors150.xml" ContentType="application/vnd.ms-office.chartcolorstyle+xml"/>
  <Override PartName="/xl/charts/chart157.xml" ContentType="application/vnd.openxmlformats-officedocument.drawingml.chart+xml"/>
  <Override PartName="/xl/charts/style151.xml" ContentType="application/vnd.ms-office.chartstyle+xml"/>
  <Override PartName="/xl/charts/colors151.xml" ContentType="application/vnd.ms-office.chartcolorstyle+xml"/>
  <Override PartName="/xl/drawings/drawing15.xml" ContentType="application/vnd.openxmlformats-officedocument.drawingml.chartshapes+xml"/>
  <Override PartName="/xl/charts/chart158.xml" ContentType="application/vnd.openxmlformats-officedocument.drawingml.chart+xml"/>
  <Override PartName="/xl/charts/style152.xml" ContentType="application/vnd.ms-office.chartstyle+xml"/>
  <Override PartName="/xl/charts/colors152.xml" ContentType="application/vnd.ms-office.chartcolorstyle+xml"/>
  <Override PartName="/xl/charts/chart159.xml" ContentType="application/vnd.openxmlformats-officedocument.drawingml.chart+xml"/>
  <Override PartName="/xl/charts/style153.xml" ContentType="application/vnd.ms-office.chartstyle+xml"/>
  <Override PartName="/xl/charts/colors153.xml" ContentType="application/vnd.ms-office.chartcolorstyle+xml"/>
  <Override PartName="/xl/charts/chart160.xml" ContentType="application/vnd.openxmlformats-officedocument.drawingml.chart+xml"/>
  <Override PartName="/xl/charts/style154.xml" ContentType="application/vnd.ms-office.chartstyle+xml"/>
  <Override PartName="/xl/charts/colors154.xml" ContentType="application/vnd.ms-office.chartcolorstyle+xml"/>
  <Override PartName="/xl/charts/chart161.xml" ContentType="application/vnd.openxmlformats-officedocument.drawingml.chart+xml"/>
  <Override PartName="/xl/charts/style155.xml" ContentType="application/vnd.ms-office.chartstyle+xml"/>
  <Override PartName="/xl/charts/colors155.xml" ContentType="application/vnd.ms-office.chartcolorstyle+xml"/>
  <Override PartName="/xl/charts/chart162.xml" ContentType="application/vnd.openxmlformats-officedocument.drawingml.chart+xml"/>
  <Override PartName="/xl/charts/style156.xml" ContentType="application/vnd.ms-office.chartstyle+xml"/>
  <Override PartName="/xl/charts/colors156.xml" ContentType="application/vnd.ms-office.chartcolorstyle+xml"/>
  <Override PartName="/xl/drawings/drawing16.xml" ContentType="application/vnd.openxmlformats-officedocument.drawing+xml"/>
  <Override PartName="/xl/comments8.xml" ContentType="application/vnd.openxmlformats-officedocument.spreadsheetml.comments+xml"/>
  <Override PartName="/xl/charts/chart163.xml" ContentType="application/vnd.openxmlformats-officedocument.drawingml.chart+xml"/>
  <Override PartName="/xl/charts/style157.xml" ContentType="application/vnd.ms-office.chartstyle+xml"/>
  <Override PartName="/xl/charts/colors157.xml" ContentType="application/vnd.ms-office.chartcolorstyle+xml"/>
  <Override PartName="/xl/charts/chart164.xml" ContentType="application/vnd.openxmlformats-officedocument.drawingml.chart+xml"/>
  <Override PartName="/xl/charts/style158.xml" ContentType="application/vnd.ms-office.chartstyle+xml"/>
  <Override PartName="/xl/charts/colors158.xml" ContentType="application/vnd.ms-office.chartcolorstyle+xml"/>
  <Override PartName="/xl/charts/chart165.xml" ContentType="application/vnd.openxmlformats-officedocument.drawingml.chart+xml"/>
  <Override PartName="/xl/charts/style159.xml" ContentType="application/vnd.ms-office.chartstyle+xml"/>
  <Override PartName="/xl/charts/colors159.xml" ContentType="application/vnd.ms-office.chartcolorstyle+xml"/>
  <Override PartName="/xl/charts/chart166.xml" ContentType="application/vnd.openxmlformats-officedocument.drawingml.chart+xml"/>
  <Override PartName="/xl/charts/style160.xml" ContentType="application/vnd.ms-office.chartstyle+xml"/>
  <Override PartName="/xl/charts/colors160.xml" ContentType="application/vnd.ms-office.chartcolorstyle+xml"/>
  <Override PartName="/xl/charts/chart167.xml" ContentType="application/vnd.openxmlformats-officedocument.drawingml.chart+xml"/>
  <Override PartName="/xl/charts/style161.xml" ContentType="application/vnd.ms-office.chartstyle+xml"/>
  <Override PartName="/xl/charts/colors161.xml" ContentType="application/vnd.ms-office.chartcolorstyle+xml"/>
  <Override PartName="/xl/charts/chart168.xml" ContentType="application/vnd.openxmlformats-officedocument.drawingml.chart+xml"/>
  <Override PartName="/xl/charts/style162.xml" ContentType="application/vnd.ms-office.chartstyle+xml"/>
  <Override PartName="/xl/charts/colors162.xml" ContentType="application/vnd.ms-office.chartcolorstyle+xml"/>
  <Override PartName="/xl/charts/chart169.xml" ContentType="application/vnd.openxmlformats-officedocument.drawingml.chart+xml"/>
  <Override PartName="/xl/charts/style163.xml" ContentType="application/vnd.ms-office.chartstyle+xml"/>
  <Override PartName="/xl/charts/colors163.xml" ContentType="application/vnd.ms-office.chartcolorstyle+xml"/>
  <Override PartName="/xl/theme/themeOverride12.xml" ContentType="application/vnd.openxmlformats-officedocument.themeOverride+xml"/>
  <Override PartName="/xl/drawings/drawing17.xml" ContentType="application/vnd.openxmlformats-officedocument.drawing+xml"/>
  <Override PartName="/xl/charts/chart170.xml" ContentType="application/vnd.openxmlformats-officedocument.drawingml.chart+xml"/>
  <Override PartName="/xl/charts/style164.xml" ContentType="application/vnd.ms-office.chartstyle+xml"/>
  <Override PartName="/xl/charts/colors16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Z:\Quân\Financial Models\FPT\"/>
    </mc:Choice>
  </mc:AlternateContent>
  <xr:revisionPtr revIDLastSave="0" documentId="13_ncr:1_{D2E35ADB-1E62-4EA4-B5B1-F3E605E8A10F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Cover" sheetId="100" r:id="rId1"/>
    <sheet name="YoY" sheetId="101" r:id="rId2"/>
    <sheet name="Scenarios" sheetId="102" r:id="rId3"/>
    <sheet name="Revenue" sheetId="103" r:id="rId4"/>
    <sheet name="Valuation" sheetId="104" r:id="rId5"/>
    <sheet name="PL" sheetId="105" r:id="rId6"/>
    <sheet name="BS" sheetId="106" r:id="rId7"/>
    <sheet name="CF" sheetId="107" r:id="rId8"/>
    <sheet name="Assumptions" sheetId="108" r:id="rId9"/>
    <sheet name="Data" sheetId="109" r:id="rId10"/>
    <sheet name="FX Data" sheetId="110" state="hidden" r:id="rId11"/>
    <sheet name="Charts" sheetId="111" state="hidden" r:id="rId12"/>
    <sheet name="Report" sheetId="112" r:id="rId13"/>
    <sheet name="Ratios" sheetId="113" r:id="rId14"/>
    <sheet name="Beta" sheetId="114" state="hidden" r:id="rId15"/>
  </sheets>
  <externalReferences>
    <externalReference r:id="rId16"/>
  </externalReferences>
  <definedNames>
    <definedName name="_xlnm._FilterDatabase" localSheetId="10" hidden="1">'FX Data'!$A$956:$D$1702</definedName>
    <definedName name="_xlnm.Print_Area" localSheetId="8">Assumptions!$B$1:$B$120</definedName>
    <definedName name="_xlnm.Print_Area" localSheetId="6">BS!$B$1:$B$82</definedName>
    <definedName name="_xlnm.Print_Area" localSheetId="7">CF!$B$1:$B$33</definedName>
    <definedName name="_xlnm.Print_Area" localSheetId="5">PL!$B$1:$B$122</definedName>
    <definedName name="_xlnm.Print_Area" localSheetId="13">Ratios!$B$1:$B$67</definedName>
    <definedName name="_xlnm.Print_Area" localSheetId="4">Valuation!$B$1:$L$163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" i="101" l="1"/>
  <c r="M280" i="114"/>
  <c r="L280" i="114"/>
  <c r="M279" i="114"/>
  <c r="L279" i="114"/>
  <c r="M278" i="114"/>
  <c r="L278" i="114"/>
  <c r="M277" i="114"/>
  <c r="L277" i="114"/>
  <c r="M276" i="114"/>
  <c r="L276" i="114"/>
  <c r="M275" i="114"/>
  <c r="L275" i="114"/>
  <c r="M274" i="114"/>
  <c r="L274" i="114"/>
  <c r="M273" i="114"/>
  <c r="L273" i="114"/>
  <c r="M272" i="114"/>
  <c r="L272" i="114"/>
  <c r="M271" i="114"/>
  <c r="L271" i="114"/>
  <c r="M270" i="114"/>
  <c r="L270" i="114"/>
  <c r="M269" i="114"/>
  <c r="L269" i="114"/>
  <c r="M268" i="114"/>
  <c r="L268" i="114"/>
  <c r="M267" i="114"/>
  <c r="L267" i="114"/>
  <c r="M266" i="114"/>
  <c r="L266" i="114"/>
  <c r="M265" i="114"/>
  <c r="L265" i="114"/>
  <c r="M264" i="114"/>
  <c r="L264" i="114"/>
  <c r="M263" i="114"/>
  <c r="L263" i="114"/>
  <c r="M262" i="114"/>
  <c r="L262" i="114"/>
  <c r="M261" i="114"/>
  <c r="L261" i="114"/>
  <c r="M260" i="114"/>
  <c r="L260" i="114"/>
  <c r="M259" i="114"/>
  <c r="L259" i="114"/>
  <c r="M258" i="114"/>
  <c r="L258" i="114"/>
  <c r="M257" i="114"/>
  <c r="L257" i="114"/>
  <c r="M256" i="114"/>
  <c r="L256" i="114"/>
  <c r="M255" i="114"/>
  <c r="L255" i="114"/>
  <c r="M254" i="114"/>
  <c r="L254" i="114"/>
  <c r="M253" i="114"/>
  <c r="L253" i="114"/>
  <c r="M252" i="114"/>
  <c r="L252" i="114"/>
  <c r="M251" i="114"/>
  <c r="L251" i="114"/>
  <c r="M250" i="114"/>
  <c r="L250" i="114"/>
  <c r="M249" i="114"/>
  <c r="L249" i="114"/>
  <c r="M248" i="114"/>
  <c r="L248" i="114"/>
  <c r="M247" i="114"/>
  <c r="L247" i="114"/>
  <c r="M246" i="114"/>
  <c r="L246" i="114"/>
  <c r="M245" i="114"/>
  <c r="L245" i="114"/>
  <c r="M244" i="114"/>
  <c r="L244" i="114"/>
  <c r="M243" i="114"/>
  <c r="L243" i="114"/>
  <c r="M242" i="114"/>
  <c r="L242" i="114"/>
  <c r="M241" i="114"/>
  <c r="L241" i="114"/>
  <c r="M240" i="114"/>
  <c r="L240" i="114"/>
  <c r="M239" i="114"/>
  <c r="L239" i="114"/>
  <c r="M238" i="114"/>
  <c r="L238" i="114"/>
  <c r="M237" i="114"/>
  <c r="L237" i="114"/>
  <c r="M236" i="114"/>
  <c r="L236" i="114"/>
  <c r="M235" i="114"/>
  <c r="L235" i="114"/>
  <c r="M234" i="114"/>
  <c r="L234" i="114"/>
  <c r="M233" i="114"/>
  <c r="L233" i="114"/>
  <c r="M232" i="114"/>
  <c r="L232" i="114"/>
  <c r="M231" i="114"/>
  <c r="L231" i="114"/>
  <c r="M230" i="114"/>
  <c r="L230" i="114"/>
  <c r="M229" i="114"/>
  <c r="L229" i="114"/>
  <c r="M228" i="114"/>
  <c r="L228" i="114"/>
  <c r="M227" i="114"/>
  <c r="L227" i="114"/>
  <c r="M226" i="114"/>
  <c r="L226" i="114"/>
  <c r="M225" i="114"/>
  <c r="L225" i="114"/>
  <c r="M224" i="114"/>
  <c r="L224" i="114"/>
  <c r="M223" i="114"/>
  <c r="L223" i="114"/>
  <c r="M222" i="114"/>
  <c r="L222" i="114"/>
  <c r="M221" i="114"/>
  <c r="L221" i="114"/>
  <c r="M220" i="114"/>
  <c r="L220" i="114"/>
  <c r="M219" i="114"/>
  <c r="L219" i="114"/>
  <c r="M218" i="114"/>
  <c r="L218" i="114"/>
  <c r="M217" i="114"/>
  <c r="L217" i="114"/>
  <c r="M216" i="114"/>
  <c r="L216" i="114"/>
  <c r="M215" i="114"/>
  <c r="L215" i="114"/>
  <c r="M214" i="114"/>
  <c r="L214" i="114"/>
  <c r="M213" i="114"/>
  <c r="L213" i="114"/>
  <c r="M212" i="114"/>
  <c r="L212" i="114"/>
  <c r="M211" i="114"/>
  <c r="L211" i="114"/>
  <c r="M210" i="114"/>
  <c r="L210" i="114"/>
  <c r="M209" i="114"/>
  <c r="L209" i="114"/>
  <c r="M208" i="114"/>
  <c r="L208" i="114"/>
  <c r="M207" i="114"/>
  <c r="L207" i="114"/>
  <c r="M206" i="114"/>
  <c r="L206" i="114"/>
  <c r="M205" i="114"/>
  <c r="L205" i="114"/>
  <c r="M204" i="114"/>
  <c r="L204" i="114"/>
  <c r="M203" i="114"/>
  <c r="L203" i="114"/>
  <c r="M202" i="114"/>
  <c r="L202" i="114"/>
  <c r="M201" i="114"/>
  <c r="L201" i="114"/>
  <c r="M200" i="114"/>
  <c r="L200" i="114"/>
  <c r="M199" i="114"/>
  <c r="L199" i="114"/>
  <c r="M198" i="114"/>
  <c r="L198" i="114"/>
  <c r="M197" i="114"/>
  <c r="L197" i="114"/>
  <c r="M196" i="114"/>
  <c r="L196" i="114"/>
  <c r="M195" i="114"/>
  <c r="L195" i="114"/>
  <c r="M194" i="114"/>
  <c r="L194" i="114"/>
  <c r="M193" i="114"/>
  <c r="L193" i="114"/>
  <c r="M192" i="114"/>
  <c r="L192" i="114"/>
  <c r="M191" i="114"/>
  <c r="L191" i="114"/>
  <c r="M190" i="114"/>
  <c r="L190" i="114"/>
  <c r="M189" i="114"/>
  <c r="L189" i="114"/>
  <c r="M188" i="114"/>
  <c r="L188" i="114"/>
  <c r="M187" i="114"/>
  <c r="L187" i="114"/>
  <c r="M186" i="114"/>
  <c r="L186" i="114"/>
  <c r="M185" i="114"/>
  <c r="L185" i="114"/>
  <c r="M184" i="114"/>
  <c r="L184" i="114"/>
  <c r="M183" i="114"/>
  <c r="L183" i="114"/>
  <c r="M182" i="114"/>
  <c r="L182" i="114"/>
  <c r="M181" i="114"/>
  <c r="L181" i="114"/>
  <c r="M180" i="114"/>
  <c r="L180" i="114"/>
  <c r="M179" i="114"/>
  <c r="L179" i="114"/>
  <c r="M178" i="114"/>
  <c r="L178" i="114"/>
  <c r="M177" i="114"/>
  <c r="L177" i="114"/>
  <c r="M176" i="114"/>
  <c r="L176" i="114"/>
  <c r="M175" i="114"/>
  <c r="L175" i="114"/>
  <c r="M174" i="114"/>
  <c r="L174" i="114"/>
  <c r="M173" i="114"/>
  <c r="L173" i="114"/>
  <c r="M172" i="114"/>
  <c r="L172" i="114"/>
  <c r="M171" i="114"/>
  <c r="L171" i="114"/>
  <c r="M170" i="114"/>
  <c r="L170" i="114"/>
  <c r="M169" i="114"/>
  <c r="L169" i="114"/>
  <c r="M168" i="114"/>
  <c r="L168" i="114"/>
  <c r="M167" i="114"/>
  <c r="L167" i="114"/>
  <c r="M166" i="114"/>
  <c r="L166" i="114"/>
  <c r="M165" i="114"/>
  <c r="L165" i="114"/>
  <c r="M164" i="114"/>
  <c r="L164" i="114"/>
  <c r="M163" i="114"/>
  <c r="L163" i="114"/>
  <c r="M162" i="114"/>
  <c r="L162" i="114"/>
  <c r="M161" i="114"/>
  <c r="L161" i="114"/>
  <c r="M160" i="114"/>
  <c r="L160" i="114"/>
  <c r="M159" i="114"/>
  <c r="L159" i="114"/>
  <c r="M158" i="114"/>
  <c r="L158" i="114"/>
  <c r="M157" i="114"/>
  <c r="L157" i="114"/>
  <c r="M156" i="114"/>
  <c r="L156" i="114"/>
  <c r="M155" i="114"/>
  <c r="L155" i="114"/>
  <c r="M154" i="114"/>
  <c r="L154" i="114"/>
  <c r="M153" i="114"/>
  <c r="L153" i="114"/>
  <c r="M152" i="114"/>
  <c r="L152" i="114"/>
  <c r="M151" i="114"/>
  <c r="L151" i="114"/>
  <c r="M150" i="114"/>
  <c r="L150" i="114"/>
  <c r="M149" i="114"/>
  <c r="L149" i="114"/>
  <c r="M148" i="114"/>
  <c r="L148" i="114"/>
  <c r="M147" i="114"/>
  <c r="L147" i="114"/>
  <c r="M146" i="114"/>
  <c r="L146" i="114"/>
  <c r="M145" i="114"/>
  <c r="L145" i="114"/>
  <c r="M144" i="114"/>
  <c r="L144" i="114"/>
  <c r="M143" i="114"/>
  <c r="L143" i="114"/>
  <c r="M142" i="114"/>
  <c r="L142" i="114"/>
  <c r="M141" i="114"/>
  <c r="L141" i="114"/>
  <c r="M140" i="114"/>
  <c r="L140" i="114"/>
  <c r="M139" i="114"/>
  <c r="L139" i="114"/>
  <c r="M138" i="114"/>
  <c r="L138" i="114"/>
  <c r="M137" i="114"/>
  <c r="L137" i="114"/>
  <c r="M136" i="114"/>
  <c r="L136" i="114"/>
  <c r="M135" i="114"/>
  <c r="L135" i="114"/>
  <c r="M134" i="114"/>
  <c r="L134" i="114"/>
  <c r="M133" i="114"/>
  <c r="L133" i="114"/>
  <c r="M132" i="114"/>
  <c r="L132" i="114"/>
  <c r="M131" i="114"/>
  <c r="L131" i="114"/>
  <c r="M130" i="114"/>
  <c r="L130" i="114"/>
  <c r="M129" i="114"/>
  <c r="L129" i="114"/>
  <c r="M128" i="114"/>
  <c r="L128" i="114"/>
  <c r="M127" i="114"/>
  <c r="L127" i="114"/>
  <c r="M126" i="114"/>
  <c r="L126" i="114"/>
  <c r="M125" i="114"/>
  <c r="L125" i="114"/>
  <c r="M124" i="114"/>
  <c r="L124" i="114"/>
  <c r="M123" i="114"/>
  <c r="L123" i="114"/>
  <c r="M122" i="114"/>
  <c r="L122" i="114"/>
  <c r="M121" i="114"/>
  <c r="L121" i="114"/>
  <c r="M120" i="114"/>
  <c r="L120" i="114"/>
  <c r="M119" i="114"/>
  <c r="L119" i="114"/>
  <c r="M118" i="114"/>
  <c r="L118" i="114"/>
  <c r="M117" i="114"/>
  <c r="L117" i="114"/>
  <c r="M116" i="114"/>
  <c r="L116" i="114"/>
  <c r="M115" i="114"/>
  <c r="L115" i="114"/>
  <c r="M114" i="114"/>
  <c r="L114" i="114"/>
  <c r="M113" i="114"/>
  <c r="L113" i="114"/>
  <c r="M112" i="114"/>
  <c r="L112" i="114"/>
  <c r="M111" i="114"/>
  <c r="L111" i="114"/>
  <c r="M110" i="114"/>
  <c r="L110" i="114"/>
  <c r="M109" i="114"/>
  <c r="L109" i="114"/>
  <c r="M108" i="114"/>
  <c r="L108" i="114"/>
  <c r="M107" i="114"/>
  <c r="L107" i="114"/>
  <c r="M106" i="114"/>
  <c r="L106" i="114"/>
  <c r="M105" i="114"/>
  <c r="L105" i="114"/>
  <c r="M104" i="114"/>
  <c r="L104" i="114"/>
  <c r="M103" i="114"/>
  <c r="L103" i="114"/>
  <c r="M102" i="114"/>
  <c r="L102" i="114"/>
  <c r="M101" i="114"/>
  <c r="L101" i="114"/>
  <c r="M100" i="114"/>
  <c r="L100" i="114"/>
  <c r="M99" i="114"/>
  <c r="L99" i="114"/>
  <c r="M98" i="114"/>
  <c r="L98" i="114"/>
  <c r="M97" i="114"/>
  <c r="L97" i="114"/>
  <c r="M96" i="114"/>
  <c r="L96" i="114"/>
  <c r="M95" i="114"/>
  <c r="L95" i="114"/>
  <c r="M94" i="114"/>
  <c r="L94" i="114"/>
  <c r="M93" i="114"/>
  <c r="L93" i="114"/>
  <c r="M92" i="114"/>
  <c r="L92" i="114"/>
  <c r="M91" i="114"/>
  <c r="L91" i="114"/>
  <c r="M90" i="114"/>
  <c r="L90" i="114"/>
  <c r="M89" i="114"/>
  <c r="L89" i="114"/>
  <c r="M88" i="114"/>
  <c r="L88" i="114"/>
  <c r="M87" i="114"/>
  <c r="L87" i="114"/>
  <c r="M86" i="114"/>
  <c r="L86" i="114"/>
  <c r="M85" i="114"/>
  <c r="L85" i="114"/>
  <c r="M84" i="114"/>
  <c r="L84" i="114"/>
  <c r="M83" i="114"/>
  <c r="L83" i="114"/>
  <c r="M82" i="114"/>
  <c r="L82" i="114"/>
  <c r="M81" i="114"/>
  <c r="L81" i="114"/>
  <c r="M80" i="114"/>
  <c r="L80" i="114"/>
  <c r="M79" i="114"/>
  <c r="L79" i="114"/>
  <c r="M78" i="114"/>
  <c r="L78" i="114"/>
  <c r="M77" i="114"/>
  <c r="L77" i="114"/>
  <c r="M76" i="114"/>
  <c r="L76" i="114"/>
  <c r="M75" i="114"/>
  <c r="L75" i="114"/>
  <c r="M74" i="114"/>
  <c r="L74" i="114"/>
  <c r="M73" i="114"/>
  <c r="L73" i="114"/>
  <c r="M72" i="114"/>
  <c r="L72" i="114"/>
  <c r="M71" i="114"/>
  <c r="L71" i="114"/>
  <c r="M70" i="114"/>
  <c r="L70" i="114"/>
  <c r="M69" i="114"/>
  <c r="L69" i="114"/>
  <c r="M68" i="114"/>
  <c r="L68" i="114"/>
  <c r="M67" i="114"/>
  <c r="L67" i="114"/>
  <c r="M66" i="114"/>
  <c r="L66" i="114"/>
  <c r="M65" i="114"/>
  <c r="L65" i="114"/>
  <c r="M64" i="114"/>
  <c r="L64" i="114"/>
  <c r="M63" i="114"/>
  <c r="L63" i="114"/>
  <c r="M62" i="114"/>
  <c r="L62" i="114"/>
  <c r="M61" i="114"/>
  <c r="L61" i="114"/>
  <c r="M60" i="114"/>
  <c r="L60" i="114"/>
  <c r="M59" i="114"/>
  <c r="L59" i="114"/>
  <c r="M58" i="114"/>
  <c r="L58" i="114"/>
  <c r="M57" i="114"/>
  <c r="L57" i="114"/>
  <c r="M56" i="114"/>
  <c r="L56" i="114"/>
  <c r="M55" i="114"/>
  <c r="L55" i="114"/>
  <c r="M54" i="114"/>
  <c r="L54" i="114"/>
  <c r="M53" i="114"/>
  <c r="L53" i="114"/>
  <c r="M52" i="114"/>
  <c r="L52" i="114"/>
  <c r="M51" i="114"/>
  <c r="L51" i="114"/>
  <c r="M50" i="114"/>
  <c r="L50" i="114"/>
  <c r="M49" i="114"/>
  <c r="L49" i="114"/>
  <c r="M48" i="114"/>
  <c r="L48" i="114"/>
  <c r="M47" i="114"/>
  <c r="L47" i="114"/>
  <c r="M46" i="114"/>
  <c r="L46" i="114"/>
  <c r="M45" i="114"/>
  <c r="L45" i="114"/>
  <c r="M44" i="114"/>
  <c r="L44" i="114"/>
  <c r="M43" i="114"/>
  <c r="L43" i="114"/>
  <c r="M42" i="114"/>
  <c r="L42" i="114"/>
  <c r="M41" i="114"/>
  <c r="L41" i="114"/>
  <c r="M40" i="114"/>
  <c r="L40" i="114"/>
  <c r="M39" i="114"/>
  <c r="L39" i="114"/>
  <c r="M38" i="114"/>
  <c r="L38" i="114"/>
  <c r="M37" i="114"/>
  <c r="L37" i="114"/>
  <c r="M36" i="114"/>
  <c r="L36" i="114"/>
  <c r="M35" i="114"/>
  <c r="L35" i="114"/>
  <c r="M34" i="114"/>
  <c r="L34" i="114"/>
  <c r="M33" i="114"/>
  <c r="L33" i="114"/>
  <c r="M32" i="114"/>
  <c r="L32" i="114"/>
  <c r="M31" i="114"/>
  <c r="L31" i="114"/>
  <c r="M30" i="114"/>
  <c r="L30" i="114"/>
  <c r="M29" i="114"/>
  <c r="L29" i="114"/>
  <c r="M28" i="114"/>
  <c r="L28" i="114"/>
  <c r="M27" i="114"/>
  <c r="L27" i="114"/>
  <c r="M26" i="114"/>
  <c r="L26" i="114"/>
  <c r="M25" i="114"/>
  <c r="L25" i="114"/>
  <c r="M24" i="114"/>
  <c r="L24" i="114"/>
  <c r="M23" i="114"/>
  <c r="L23" i="114"/>
  <c r="M22" i="114"/>
  <c r="L22" i="114"/>
  <c r="M21" i="114"/>
  <c r="L21" i="114"/>
  <c r="M20" i="114"/>
  <c r="L20" i="114"/>
  <c r="M19" i="114"/>
  <c r="L19" i="114"/>
  <c r="M18" i="114"/>
  <c r="L18" i="114"/>
  <c r="M17" i="114"/>
  <c r="L17" i="114"/>
  <c r="M16" i="114"/>
  <c r="L16" i="114"/>
  <c r="M15" i="114"/>
  <c r="L15" i="114"/>
  <c r="M14" i="114"/>
  <c r="L14" i="114"/>
  <c r="M13" i="114"/>
  <c r="L13" i="114"/>
  <c r="B13" i="114"/>
  <c r="F13" i="114" s="1"/>
  <c r="A13" i="114"/>
  <c r="E13" i="114" s="1"/>
  <c r="M12" i="114"/>
  <c r="L12" i="114"/>
  <c r="M11" i="114"/>
  <c r="L11" i="114"/>
  <c r="M10" i="114"/>
  <c r="L10" i="114"/>
  <c r="M9" i="114"/>
  <c r="L9" i="114"/>
  <c r="M8" i="114"/>
  <c r="L8" i="114"/>
  <c r="M7" i="114"/>
  <c r="L7" i="114"/>
  <c r="M6" i="114"/>
  <c r="L6" i="114"/>
  <c r="M5" i="114"/>
  <c r="L5" i="114"/>
  <c r="M4" i="114"/>
  <c r="L4" i="114"/>
  <c r="S48" i="113"/>
  <c r="R48" i="113"/>
  <c r="Q48" i="113"/>
  <c r="P48" i="113"/>
  <c r="O48" i="113"/>
  <c r="N48" i="113"/>
  <c r="M48" i="113"/>
  <c r="L48" i="113"/>
  <c r="K48" i="113"/>
  <c r="J48" i="113"/>
  <c r="I48" i="113"/>
  <c r="H48" i="113"/>
  <c r="G48" i="113"/>
  <c r="F48" i="113"/>
  <c r="E48" i="113"/>
  <c r="D48" i="113"/>
  <c r="C48" i="113"/>
  <c r="O4" i="113"/>
  <c r="P4" i="113" s="1"/>
  <c r="Q4" i="113" s="1"/>
  <c r="R4" i="113" s="1"/>
  <c r="S4" i="113" s="1"/>
  <c r="I4" i="113"/>
  <c r="J4" i="113" s="1"/>
  <c r="K4" i="113" s="1"/>
  <c r="L4" i="113" s="1"/>
  <c r="M4" i="113" s="1"/>
  <c r="N4" i="113" s="1"/>
  <c r="G191" i="112"/>
  <c r="E191" i="112"/>
  <c r="I184" i="112"/>
  <c r="H184" i="112"/>
  <c r="R170" i="112"/>
  <c r="L170" i="112"/>
  <c r="K170" i="112"/>
  <c r="J170" i="112"/>
  <c r="I170" i="112"/>
  <c r="H170" i="112"/>
  <c r="G170" i="112"/>
  <c r="F170" i="112"/>
  <c r="E170" i="112"/>
  <c r="D170" i="112"/>
  <c r="C170" i="112"/>
  <c r="B170" i="112"/>
  <c r="U169" i="112"/>
  <c r="T169" i="112"/>
  <c r="U168" i="112"/>
  <c r="T168" i="112"/>
  <c r="F156" i="112"/>
  <c r="A156" i="112"/>
  <c r="F155" i="112"/>
  <c r="A155" i="112"/>
  <c r="F154" i="112"/>
  <c r="A154" i="112"/>
  <c r="F153" i="112"/>
  <c r="A153" i="112"/>
  <c r="H152" i="112"/>
  <c r="G152" i="112"/>
  <c r="F152" i="112"/>
  <c r="E152" i="112"/>
  <c r="D152" i="112"/>
  <c r="C152" i="112"/>
  <c r="B152" i="112"/>
  <c r="A152" i="112"/>
  <c r="F151" i="112"/>
  <c r="A151" i="112"/>
  <c r="F150" i="112"/>
  <c r="A150" i="112"/>
  <c r="H149" i="112"/>
  <c r="G149" i="112"/>
  <c r="F149" i="112"/>
  <c r="E149" i="112"/>
  <c r="D149" i="112"/>
  <c r="C149" i="112"/>
  <c r="B149" i="112"/>
  <c r="F148" i="112"/>
  <c r="A148" i="112"/>
  <c r="F147" i="112"/>
  <c r="A147" i="112"/>
  <c r="F146" i="112"/>
  <c r="A146" i="112"/>
  <c r="F145" i="112"/>
  <c r="A145" i="112"/>
  <c r="H144" i="112"/>
  <c r="N133" i="112"/>
  <c r="M133" i="112"/>
  <c r="N132" i="112"/>
  <c r="M132" i="112"/>
  <c r="N131" i="112"/>
  <c r="M131" i="112"/>
  <c r="F130" i="112"/>
  <c r="E130" i="112"/>
  <c r="D130" i="112"/>
  <c r="C130" i="112"/>
  <c r="B130" i="112"/>
  <c r="F129" i="112"/>
  <c r="E129" i="112"/>
  <c r="D129" i="112"/>
  <c r="C129" i="112"/>
  <c r="B129" i="112"/>
  <c r="Q127" i="112"/>
  <c r="O127" i="112"/>
  <c r="Q126" i="112"/>
  <c r="O126" i="112"/>
  <c r="Q125" i="112"/>
  <c r="O125" i="112"/>
  <c r="Q124" i="112"/>
  <c r="O124" i="112"/>
  <c r="Q123" i="112"/>
  <c r="O123" i="112"/>
  <c r="Q122" i="112"/>
  <c r="O122" i="112"/>
  <c r="Q121" i="112"/>
  <c r="O121" i="112"/>
  <c r="Q120" i="112"/>
  <c r="O120" i="112"/>
  <c r="Q119" i="112"/>
  <c r="O119" i="112"/>
  <c r="Q118" i="112"/>
  <c r="O118" i="112"/>
  <c r="Q117" i="112"/>
  <c r="O117" i="112"/>
  <c r="Q116" i="112"/>
  <c r="O116" i="112"/>
  <c r="G114" i="112"/>
  <c r="G144" i="112" s="1"/>
  <c r="F114" i="112"/>
  <c r="F144" i="112" s="1"/>
  <c r="E114" i="112"/>
  <c r="E144" i="112" s="1"/>
  <c r="D114" i="112"/>
  <c r="D144" i="112" s="1"/>
  <c r="C114" i="112"/>
  <c r="C144" i="112" s="1"/>
  <c r="B114" i="112"/>
  <c r="B144" i="112" s="1"/>
  <c r="J95" i="112"/>
  <c r="I95" i="112"/>
  <c r="H95" i="112"/>
  <c r="E95" i="112"/>
  <c r="D95" i="112"/>
  <c r="C95" i="112"/>
  <c r="B95" i="112"/>
  <c r="J93" i="112"/>
  <c r="I93" i="112"/>
  <c r="H93" i="112"/>
  <c r="G93" i="112"/>
  <c r="F93" i="112"/>
  <c r="E93" i="112"/>
  <c r="D93" i="112"/>
  <c r="C93" i="112"/>
  <c r="B93" i="112"/>
  <c r="G82" i="112"/>
  <c r="F82" i="112"/>
  <c r="E82" i="112"/>
  <c r="D82" i="112"/>
  <c r="C82" i="112"/>
  <c r="B82" i="112"/>
  <c r="H81" i="112"/>
  <c r="G81" i="112"/>
  <c r="F81" i="112"/>
  <c r="E81" i="112"/>
  <c r="D81" i="112"/>
  <c r="C81" i="112"/>
  <c r="B81" i="112"/>
  <c r="G79" i="112"/>
  <c r="F79" i="112"/>
  <c r="E79" i="112"/>
  <c r="D79" i="112"/>
  <c r="C79" i="112"/>
  <c r="B79" i="112"/>
  <c r="J78" i="112"/>
  <c r="I78" i="112"/>
  <c r="H78" i="112"/>
  <c r="G78" i="112"/>
  <c r="F78" i="112"/>
  <c r="E78" i="112"/>
  <c r="D78" i="112"/>
  <c r="C78" i="112"/>
  <c r="B78" i="112"/>
  <c r="J77" i="112"/>
  <c r="I77" i="112"/>
  <c r="H77" i="112"/>
  <c r="G77" i="112"/>
  <c r="F77" i="112"/>
  <c r="E77" i="112"/>
  <c r="D77" i="112"/>
  <c r="C77" i="112"/>
  <c r="B77" i="112"/>
  <c r="G76" i="112"/>
  <c r="F76" i="112"/>
  <c r="E76" i="112"/>
  <c r="D76" i="112"/>
  <c r="C76" i="112"/>
  <c r="B76" i="112"/>
  <c r="G74" i="112"/>
  <c r="F74" i="112"/>
  <c r="E74" i="112"/>
  <c r="D74" i="112"/>
  <c r="C74" i="112"/>
  <c r="B74" i="112"/>
  <c r="G73" i="112"/>
  <c r="F73" i="112"/>
  <c r="E73" i="112"/>
  <c r="D73" i="112"/>
  <c r="C73" i="112"/>
  <c r="B73" i="112"/>
  <c r="J72" i="112"/>
  <c r="I72" i="112"/>
  <c r="H72" i="112"/>
  <c r="G72" i="112"/>
  <c r="F72" i="112"/>
  <c r="E72" i="112"/>
  <c r="D72" i="112"/>
  <c r="C72" i="112"/>
  <c r="B72" i="112"/>
  <c r="G71" i="112"/>
  <c r="F71" i="112"/>
  <c r="E71" i="112"/>
  <c r="D71" i="112"/>
  <c r="C71" i="112"/>
  <c r="B71" i="112"/>
  <c r="G69" i="112"/>
  <c r="F69" i="112"/>
  <c r="E69" i="112"/>
  <c r="D69" i="112"/>
  <c r="C69" i="112"/>
  <c r="B69" i="112"/>
  <c r="G68" i="112"/>
  <c r="F68" i="112"/>
  <c r="E68" i="112"/>
  <c r="D68" i="112"/>
  <c r="C68" i="112"/>
  <c r="B68" i="112"/>
  <c r="G67" i="112"/>
  <c r="F67" i="112"/>
  <c r="E67" i="112"/>
  <c r="D67" i="112"/>
  <c r="C67" i="112"/>
  <c r="B67" i="112"/>
  <c r="G66" i="112"/>
  <c r="F66" i="112"/>
  <c r="E66" i="112"/>
  <c r="D66" i="112"/>
  <c r="C66" i="112"/>
  <c r="B66" i="112"/>
  <c r="G65" i="112"/>
  <c r="F65" i="112"/>
  <c r="E65" i="112"/>
  <c r="D65" i="112"/>
  <c r="C65" i="112"/>
  <c r="B65" i="112"/>
  <c r="G64" i="112"/>
  <c r="F64" i="112"/>
  <c r="E64" i="112"/>
  <c r="D64" i="112"/>
  <c r="C64" i="112"/>
  <c r="B64" i="112"/>
  <c r="G63" i="112"/>
  <c r="F63" i="112"/>
  <c r="E63" i="112"/>
  <c r="D63" i="112"/>
  <c r="C63" i="112"/>
  <c r="B63" i="112"/>
  <c r="G62" i="112"/>
  <c r="F62" i="112"/>
  <c r="E62" i="112"/>
  <c r="D62" i="112"/>
  <c r="C62" i="112"/>
  <c r="B62" i="112"/>
  <c r="G61" i="112"/>
  <c r="F61" i="112"/>
  <c r="E61" i="112"/>
  <c r="D61" i="112"/>
  <c r="C61" i="112"/>
  <c r="B61" i="112"/>
  <c r="G60" i="112"/>
  <c r="F60" i="112"/>
  <c r="E60" i="112"/>
  <c r="D60" i="112"/>
  <c r="C60" i="112"/>
  <c r="C59" i="112" s="1"/>
  <c r="B60" i="112"/>
  <c r="B59" i="112" s="1"/>
  <c r="G59" i="112"/>
  <c r="F59" i="112"/>
  <c r="E59" i="112"/>
  <c r="D59" i="112"/>
  <c r="G11" i="112"/>
  <c r="F11" i="112"/>
  <c r="E11" i="112"/>
  <c r="D11" i="112"/>
  <c r="C11" i="112"/>
  <c r="B11" i="112"/>
  <c r="G10" i="112"/>
  <c r="F10" i="112"/>
  <c r="E10" i="112"/>
  <c r="D10" i="112"/>
  <c r="C10" i="112"/>
  <c r="B10" i="112"/>
  <c r="G1613" i="111"/>
  <c r="G1620" i="111" s="1"/>
  <c r="G1612" i="111"/>
  <c r="G1619" i="111" s="1"/>
  <c r="G1611" i="111"/>
  <c r="G1618" i="111" s="1"/>
  <c r="G1610" i="111"/>
  <c r="G1617" i="111" s="1"/>
  <c r="G1609" i="111"/>
  <c r="G1616" i="111" s="1"/>
  <c r="H1608" i="111"/>
  <c r="G1608" i="111"/>
  <c r="D539" i="111"/>
  <c r="U533" i="111"/>
  <c r="T533" i="111"/>
  <c r="U532" i="111"/>
  <c r="T532" i="111"/>
  <c r="V528" i="111"/>
  <c r="V527" i="111"/>
  <c r="AR496" i="111"/>
  <c r="AO496" i="111"/>
  <c r="AL496" i="111"/>
  <c r="AI496" i="111"/>
  <c r="AF496" i="111"/>
  <c r="AC496" i="111"/>
  <c r="Z496" i="111"/>
  <c r="W496" i="111"/>
  <c r="T496" i="111"/>
  <c r="Q496" i="111"/>
  <c r="G493" i="111"/>
  <c r="G491" i="111"/>
  <c r="G490" i="111"/>
  <c r="G489" i="111"/>
  <c r="G487" i="111"/>
  <c r="G486" i="111"/>
  <c r="G485" i="111"/>
  <c r="G484" i="111"/>
  <c r="E467" i="111"/>
  <c r="C467" i="111"/>
  <c r="E466" i="111"/>
  <c r="G466" i="111" s="1"/>
  <c r="C466" i="111"/>
  <c r="E465" i="111"/>
  <c r="G465" i="111" s="1"/>
  <c r="C465" i="111"/>
  <c r="E464" i="111"/>
  <c r="G464" i="111" s="1"/>
  <c r="C464" i="111"/>
  <c r="H437" i="111"/>
  <c r="G437" i="111"/>
  <c r="F437" i="111"/>
  <c r="E437" i="111"/>
  <c r="D437" i="111"/>
  <c r="C437" i="111"/>
  <c r="H435" i="111"/>
  <c r="G435" i="111"/>
  <c r="F435" i="111"/>
  <c r="E435" i="111"/>
  <c r="D435" i="111"/>
  <c r="C435" i="111"/>
  <c r="L379" i="111"/>
  <c r="K379" i="111"/>
  <c r="J379" i="111"/>
  <c r="I379" i="111"/>
  <c r="E379" i="111"/>
  <c r="D379" i="111"/>
  <c r="C379" i="111"/>
  <c r="B379" i="111"/>
  <c r="F377" i="111"/>
  <c r="E377" i="111"/>
  <c r="D377" i="111"/>
  <c r="C377" i="111"/>
  <c r="C365" i="111"/>
  <c r="C366" i="111" s="1"/>
  <c r="D348" i="111"/>
  <c r="D347" i="111"/>
  <c r="D346" i="111"/>
  <c r="G342" i="111"/>
  <c r="D342" i="111"/>
  <c r="G341" i="111"/>
  <c r="D341" i="111"/>
  <c r="G340" i="111"/>
  <c r="D340" i="111"/>
  <c r="D337" i="111"/>
  <c r="D336" i="111"/>
  <c r="D335" i="111"/>
  <c r="D334" i="111"/>
  <c r="D333" i="111"/>
  <c r="D332" i="111"/>
  <c r="G330" i="111"/>
  <c r="B330" i="111"/>
  <c r="B329" i="111"/>
  <c r="G326" i="111"/>
  <c r="D326" i="111"/>
  <c r="D325" i="111"/>
  <c r="R305" i="111"/>
  <c r="R304" i="111"/>
  <c r="J304" i="111"/>
  <c r="E304" i="111"/>
  <c r="S304" i="111" s="1"/>
  <c r="R303" i="111"/>
  <c r="U303" i="111" s="1"/>
  <c r="M303" i="111"/>
  <c r="P303" i="111" s="1"/>
  <c r="R302" i="111"/>
  <c r="U302" i="111" s="1"/>
  <c r="M302" i="111"/>
  <c r="P302" i="111" s="1"/>
  <c r="J302" i="111"/>
  <c r="E302" i="111"/>
  <c r="S302" i="111" s="1"/>
  <c r="R301" i="111"/>
  <c r="J301" i="111"/>
  <c r="E301" i="111"/>
  <c r="S301" i="111" s="1"/>
  <c r="R300" i="111"/>
  <c r="J300" i="111"/>
  <c r="E300" i="111"/>
  <c r="S300" i="111" s="1"/>
  <c r="R299" i="111"/>
  <c r="J299" i="111"/>
  <c r="F299" i="111"/>
  <c r="E299" i="111"/>
  <c r="S299" i="111" s="1"/>
  <c r="R298" i="111"/>
  <c r="J298" i="111"/>
  <c r="F298" i="111"/>
  <c r="E298" i="111"/>
  <c r="S298" i="111" s="1"/>
  <c r="R297" i="111"/>
  <c r="J297" i="111"/>
  <c r="E297" i="111"/>
  <c r="S297" i="111" s="1"/>
  <c r="R296" i="111"/>
  <c r="J292" i="111"/>
  <c r="I292" i="111"/>
  <c r="N292" i="111" s="1"/>
  <c r="E292" i="111"/>
  <c r="S292" i="111" s="1"/>
  <c r="D292" i="111"/>
  <c r="J291" i="111"/>
  <c r="I291" i="111"/>
  <c r="N291" i="111" s="1"/>
  <c r="F291" i="111"/>
  <c r="E291" i="111"/>
  <c r="S291" i="111" s="1"/>
  <c r="D291" i="111"/>
  <c r="R291" i="111" s="1"/>
  <c r="C291" i="111"/>
  <c r="F290" i="111"/>
  <c r="E290" i="111"/>
  <c r="S290" i="111" s="1"/>
  <c r="D290" i="111"/>
  <c r="F289" i="111"/>
  <c r="E289" i="111"/>
  <c r="D289" i="111"/>
  <c r="J288" i="111"/>
  <c r="I288" i="111"/>
  <c r="N288" i="111" s="1"/>
  <c r="F288" i="111"/>
  <c r="E288" i="111"/>
  <c r="S288" i="111" s="1"/>
  <c r="D288" i="111"/>
  <c r="R288" i="111" s="1"/>
  <c r="C288" i="111"/>
  <c r="J287" i="111"/>
  <c r="I287" i="111"/>
  <c r="N287" i="111" s="1"/>
  <c r="E287" i="111"/>
  <c r="S287" i="111" s="1"/>
  <c r="D287" i="111"/>
  <c r="R287" i="111" s="1"/>
  <c r="C287" i="111"/>
  <c r="J286" i="111"/>
  <c r="I286" i="111"/>
  <c r="N286" i="111" s="1"/>
  <c r="F286" i="111"/>
  <c r="E286" i="111"/>
  <c r="S286" i="111" s="1"/>
  <c r="D286" i="111"/>
  <c r="R286" i="111" s="1"/>
  <c r="C286" i="111"/>
  <c r="J285" i="111"/>
  <c r="I285" i="111"/>
  <c r="N285" i="111" s="1"/>
  <c r="F285" i="111"/>
  <c r="E285" i="111"/>
  <c r="S285" i="111" s="1"/>
  <c r="D285" i="111"/>
  <c r="R285" i="111" s="1"/>
  <c r="C285" i="111"/>
  <c r="J284" i="111"/>
  <c r="I284" i="111"/>
  <c r="N284" i="111" s="1"/>
  <c r="E284" i="111"/>
  <c r="S284" i="111" s="1"/>
  <c r="D284" i="111"/>
  <c r="R284" i="111" s="1"/>
  <c r="C284" i="111"/>
  <c r="H280" i="111"/>
  <c r="M280" i="111" s="1"/>
  <c r="E280" i="111"/>
  <c r="D280" i="111"/>
  <c r="R280" i="111" s="1"/>
  <c r="C280" i="111"/>
  <c r="H279" i="111"/>
  <c r="M279" i="111" s="1"/>
  <c r="E279" i="111"/>
  <c r="D279" i="111"/>
  <c r="R279" i="111" s="1"/>
  <c r="C279" i="111"/>
  <c r="H278" i="111"/>
  <c r="M278" i="111" s="1"/>
  <c r="E278" i="111"/>
  <c r="D278" i="111"/>
  <c r="R278" i="111" s="1"/>
  <c r="C278" i="111"/>
  <c r="H277" i="111"/>
  <c r="M277" i="111" s="1"/>
  <c r="E277" i="111"/>
  <c r="D277" i="111"/>
  <c r="R277" i="111" s="1"/>
  <c r="C277" i="111"/>
  <c r="H276" i="111"/>
  <c r="M276" i="111" s="1"/>
  <c r="E276" i="111"/>
  <c r="D276" i="111"/>
  <c r="R276" i="111" s="1"/>
  <c r="C276" i="111"/>
  <c r="F231" i="111"/>
  <c r="E231" i="111"/>
  <c r="B231" i="111"/>
  <c r="C231" i="111" s="1"/>
  <c r="F230" i="111"/>
  <c r="E230" i="111"/>
  <c r="B230" i="111"/>
  <c r="C230" i="111" s="1"/>
  <c r="F213" i="111"/>
  <c r="E213" i="111"/>
  <c r="D213" i="111"/>
  <c r="C213" i="111"/>
  <c r="B213" i="111"/>
  <c r="F212" i="111"/>
  <c r="E212" i="111"/>
  <c r="D212" i="111"/>
  <c r="C212" i="111"/>
  <c r="B212" i="111"/>
  <c r="F211" i="111"/>
  <c r="E211" i="111"/>
  <c r="D211" i="111"/>
  <c r="C211" i="111"/>
  <c r="B211" i="111"/>
  <c r="F203" i="111"/>
  <c r="E203" i="111"/>
  <c r="D203" i="111"/>
  <c r="C203" i="111"/>
  <c r="B203" i="111"/>
  <c r="C198" i="111"/>
  <c r="C187" i="111"/>
  <c r="C186" i="111"/>
  <c r="C185" i="111"/>
  <c r="C184" i="111"/>
  <c r="C183" i="111"/>
  <c r="C182" i="111"/>
  <c r="C181" i="111"/>
  <c r="C180" i="111"/>
  <c r="E174" i="111"/>
  <c r="E171" i="111"/>
  <c r="E168" i="111"/>
  <c r="E167" i="111"/>
  <c r="F164" i="111"/>
  <c r="G164" i="111" s="1"/>
  <c r="E164" i="111"/>
  <c r="F163" i="111"/>
  <c r="G163" i="111" s="1"/>
  <c r="E163" i="111"/>
  <c r="F162" i="111"/>
  <c r="G162" i="111" s="1"/>
  <c r="E162" i="111"/>
  <c r="F161" i="111"/>
  <c r="G161" i="111" s="1"/>
  <c r="E161" i="111"/>
  <c r="F160" i="111"/>
  <c r="G160" i="111" s="1"/>
  <c r="D160" i="111"/>
  <c r="E160" i="111" s="1"/>
  <c r="F159" i="111"/>
  <c r="G159" i="111" s="1"/>
  <c r="E159" i="111"/>
  <c r="F158" i="111"/>
  <c r="G158" i="111" s="1"/>
  <c r="E158" i="111"/>
  <c r="F157" i="111"/>
  <c r="G157" i="111" s="1"/>
  <c r="E157" i="111"/>
  <c r="H114" i="111"/>
  <c r="G101" i="111"/>
  <c r="F101" i="111"/>
  <c r="E101" i="111"/>
  <c r="G91" i="111"/>
  <c r="G92" i="111" s="1"/>
  <c r="F91" i="111"/>
  <c r="F92" i="111" s="1"/>
  <c r="C91" i="111"/>
  <c r="D91" i="111" s="1"/>
  <c r="F90" i="111"/>
  <c r="E90" i="111"/>
  <c r="Y72" i="111"/>
  <c r="Y71" i="111"/>
  <c r="X71" i="111"/>
  <c r="W71" i="111"/>
  <c r="V71" i="111"/>
  <c r="U71" i="111"/>
  <c r="T71" i="111"/>
  <c r="S71" i="111"/>
  <c r="R71" i="111"/>
  <c r="Q71" i="111"/>
  <c r="P71" i="111"/>
  <c r="O71" i="111"/>
  <c r="N71" i="111"/>
  <c r="M71" i="111"/>
  <c r="L71" i="111"/>
  <c r="K71" i="111"/>
  <c r="J71" i="111"/>
  <c r="I71" i="111"/>
  <c r="H71" i="111"/>
  <c r="G71" i="111"/>
  <c r="F71" i="111"/>
  <c r="E71" i="111"/>
  <c r="D71" i="111"/>
  <c r="C71" i="111"/>
  <c r="Y70" i="111"/>
  <c r="H58" i="111"/>
  <c r="H65" i="111" s="1"/>
  <c r="H57" i="111"/>
  <c r="H64" i="111" s="1"/>
  <c r="F57" i="111"/>
  <c r="F64" i="111" s="1"/>
  <c r="E57" i="111"/>
  <c r="E64" i="111" s="1"/>
  <c r="D57" i="111"/>
  <c r="D64" i="111" s="1"/>
  <c r="C57" i="111"/>
  <c r="C64" i="111" s="1"/>
  <c r="H56" i="111"/>
  <c r="H63" i="111" s="1"/>
  <c r="F56" i="111"/>
  <c r="F63" i="111" s="1"/>
  <c r="E56" i="111"/>
  <c r="E63" i="111" s="1"/>
  <c r="D56" i="111"/>
  <c r="D63" i="111" s="1"/>
  <c r="C56" i="111"/>
  <c r="C63" i="111" s="1"/>
  <c r="H55" i="111"/>
  <c r="H62" i="111" s="1"/>
  <c r="F55" i="111"/>
  <c r="F62" i="111" s="1"/>
  <c r="E55" i="111"/>
  <c r="E62" i="111" s="1"/>
  <c r="D55" i="111"/>
  <c r="D62" i="111" s="1"/>
  <c r="C55" i="111"/>
  <c r="C62" i="111" s="1"/>
  <c r="H54" i="111"/>
  <c r="H61" i="111" s="1"/>
  <c r="F54" i="111"/>
  <c r="F61" i="111" s="1"/>
  <c r="E54" i="111"/>
  <c r="E61" i="111" s="1"/>
  <c r="D54" i="111"/>
  <c r="D61" i="111" s="1"/>
  <c r="C54" i="111"/>
  <c r="C61" i="111" s="1"/>
  <c r="H53" i="111"/>
  <c r="G53" i="111"/>
  <c r="F53" i="111"/>
  <c r="F58" i="111" s="1"/>
  <c r="F65" i="111" s="1"/>
  <c r="E53" i="111"/>
  <c r="E58" i="111" s="1"/>
  <c r="E65" i="111" s="1"/>
  <c r="D53" i="111"/>
  <c r="D58" i="111" s="1"/>
  <c r="D65" i="111" s="1"/>
  <c r="C53" i="111"/>
  <c r="C58" i="111" s="1"/>
  <c r="C65" i="111" s="1"/>
  <c r="J50" i="111"/>
  <c r="G50" i="111"/>
  <c r="F50" i="111"/>
  <c r="E50" i="111"/>
  <c r="D50" i="111"/>
  <c r="C50" i="111"/>
  <c r="B50" i="111"/>
  <c r="G49" i="111"/>
  <c r="F49" i="111"/>
  <c r="E49" i="111"/>
  <c r="D49" i="111"/>
  <c r="C49" i="111"/>
  <c r="AF43" i="111"/>
  <c r="AD43" i="111"/>
  <c r="AG42" i="111"/>
  <c r="AE42" i="111"/>
  <c r="AG41" i="111"/>
  <c r="AE41" i="111"/>
  <c r="AG40" i="111"/>
  <c r="AE40" i="111"/>
  <c r="D10" i="111"/>
  <c r="B10" i="111"/>
  <c r="E9" i="111"/>
  <c r="C9" i="111"/>
  <c r="E8" i="111"/>
  <c r="C8" i="111"/>
  <c r="E7" i="111"/>
  <c r="C7" i="111"/>
  <c r="I2203" i="110"/>
  <c r="H2203" i="110"/>
  <c r="G2203" i="110"/>
  <c r="F2203" i="110"/>
  <c r="E2203" i="110"/>
  <c r="I2202" i="110"/>
  <c r="H2202" i="110"/>
  <c r="G2202" i="110"/>
  <c r="F2202" i="110"/>
  <c r="E2202" i="110"/>
  <c r="I2201" i="110"/>
  <c r="H2201" i="110"/>
  <c r="G2201" i="110"/>
  <c r="F2201" i="110"/>
  <c r="E2201" i="110"/>
  <c r="I2200" i="110"/>
  <c r="H2200" i="110"/>
  <c r="G2200" i="110"/>
  <c r="F2200" i="110"/>
  <c r="E2200" i="110"/>
  <c r="I2199" i="110"/>
  <c r="H2199" i="110"/>
  <c r="G2199" i="110"/>
  <c r="F2199" i="110"/>
  <c r="E2199" i="110"/>
  <c r="I2198" i="110"/>
  <c r="H2198" i="110"/>
  <c r="G2198" i="110"/>
  <c r="F2198" i="110"/>
  <c r="E2198" i="110"/>
  <c r="I2197" i="110"/>
  <c r="H2197" i="110"/>
  <c r="G2197" i="110"/>
  <c r="F2197" i="110"/>
  <c r="E2197" i="110"/>
  <c r="I2196" i="110"/>
  <c r="H2196" i="110"/>
  <c r="G2196" i="110"/>
  <c r="F2196" i="110"/>
  <c r="E2196" i="110"/>
  <c r="I2195" i="110"/>
  <c r="H2195" i="110"/>
  <c r="G2195" i="110"/>
  <c r="F2195" i="110"/>
  <c r="E2195" i="110"/>
  <c r="I2194" i="110"/>
  <c r="H2194" i="110"/>
  <c r="G2194" i="110"/>
  <c r="F2194" i="110"/>
  <c r="E2194" i="110"/>
  <c r="I2193" i="110"/>
  <c r="H2193" i="110"/>
  <c r="G2193" i="110"/>
  <c r="F2193" i="110"/>
  <c r="E2193" i="110"/>
  <c r="I2192" i="110"/>
  <c r="H2192" i="110"/>
  <c r="G2192" i="110"/>
  <c r="F2192" i="110"/>
  <c r="E2192" i="110"/>
  <c r="I2191" i="110"/>
  <c r="H2191" i="110"/>
  <c r="G2191" i="110"/>
  <c r="F2191" i="110"/>
  <c r="E2191" i="110"/>
  <c r="I2190" i="110"/>
  <c r="H2190" i="110"/>
  <c r="G2190" i="110"/>
  <c r="F2190" i="110"/>
  <c r="E2190" i="110"/>
  <c r="I2189" i="110"/>
  <c r="H2189" i="110"/>
  <c r="G2189" i="110"/>
  <c r="F2189" i="110"/>
  <c r="E2189" i="110"/>
  <c r="I2188" i="110"/>
  <c r="H2188" i="110"/>
  <c r="G2188" i="110"/>
  <c r="F2188" i="110"/>
  <c r="E2188" i="110"/>
  <c r="I2187" i="110"/>
  <c r="H2187" i="110"/>
  <c r="G2187" i="110"/>
  <c r="F2187" i="110"/>
  <c r="E2187" i="110"/>
  <c r="I2186" i="110"/>
  <c r="H2186" i="110"/>
  <c r="G2186" i="110"/>
  <c r="F2186" i="110"/>
  <c r="E2186" i="110"/>
  <c r="I2185" i="110"/>
  <c r="H2185" i="110"/>
  <c r="G2185" i="110"/>
  <c r="F2185" i="110"/>
  <c r="E2185" i="110"/>
  <c r="I2184" i="110"/>
  <c r="H2184" i="110"/>
  <c r="G2184" i="110"/>
  <c r="F2184" i="110"/>
  <c r="E2184" i="110"/>
  <c r="I2183" i="110"/>
  <c r="H2183" i="110"/>
  <c r="G2183" i="110"/>
  <c r="F2183" i="110"/>
  <c r="E2183" i="110"/>
  <c r="I2182" i="110"/>
  <c r="H2182" i="110"/>
  <c r="G2182" i="110"/>
  <c r="F2182" i="110"/>
  <c r="E2182" i="110"/>
  <c r="I2181" i="110"/>
  <c r="H2181" i="110"/>
  <c r="G2181" i="110"/>
  <c r="F2181" i="110"/>
  <c r="E2181" i="110"/>
  <c r="I2180" i="110"/>
  <c r="H2180" i="110"/>
  <c r="G2180" i="110"/>
  <c r="F2180" i="110"/>
  <c r="E2180" i="110"/>
  <c r="I2179" i="110"/>
  <c r="H2179" i="110"/>
  <c r="G2179" i="110"/>
  <c r="F2179" i="110"/>
  <c r="E2179" i="110"/>
  <c r="I2178" i="110"/>
  <c r="H2178" i="110"/>
  <c r="G2178" i="110"/>
  <c r="F2178" i="110"/>
  <c r="E2178" i="110"/>
  <c r="I2177" i="110"/>
  <c r="H2177" i="110"/>
  <c r="G2177" i="110"/>
  <c r="F2177" i="110"/>
  <c r="E2177" i="110"/>
  <c r="I2176" i="110"/>
  <c r="H2176" i="110"/>
  <c r="G2176" i="110"/>
  <c r="F2176" i="110"/>
  <c r="E2176" i="110"/>
  <c r="I2175" i="110"/>
  <c r="H2175" i="110"/>
  <c r="G2175" i="110"/>
  <c r="F2175" i="110"/>
  <c r="E2175" i="110"/>
  <c r="I2174" i="110"/>
  <c r="H2174" i="110"/>
  <c r="G2174" i="110"/>
  <c r="F2174" i="110"/>
  <c r="E2174" i="110"/>
  <c r="I2173" i="110"/>
  <c r="H2173" i="110"/>
  <c r="G2173" i="110"/>
  <c r="F2173" i="110"/>
  <c r="E2173" i="110"/>
  <c r="I2172" i="110"/>
  <c r="H2172" i="110"/>
  <c r="G2172" i="110"/>
  <c r="F2172" i="110"/>
  <c r="E2172" i="110"/>
  <c r="I2171" i="110"/>
  <c r="H2171" i="110"/>
  <c r="G2171" i="110"/>
  <c r="F2171" i="110"/>
  <c r="E2171" i="110"/>
  <c r="I2170" i="110"/>
  <c r="H2170" i="110"/>
  <c r="G2170" i="110"/>
  <c r="F2170" i="110"/>
  <c r="E2170" i="110"/>
  <c r="I2169" i="110"/>
  <c r="H2169" i="110"/>
  <c r="G2169" i="110"/>
  <c r="F2169" i="110"/>
  <c r="E2169" i="110"/>
  <c r="I2168" i="110"/>
  <c r="H2168" i="110"/>
  <c r="G2168" i="110"/>
  <c r="F2168" i="110"/>
  <c r="E2168" i="110"/>
  <c r="I2167" i="110"/>
  <c r="H2167" i="110"/>
  <c r="G2167" i="110"/>
  <c r="F2167" i="110"/>
  <c r="E2167" i="110"/>
  <c r="I2166" i="110"/>
  <c r="H2166" i="110"/>
  <c r="G2166" i="110"/>
  <c r="F2166" i="110"/>
  <c r="E2166" i="110"/>
  <c r="I2165" i="110"/>
  <c r="H2165" i="110"/>
  <c r="G2165" i="110"/>
  <c r="F2165" i="110"/>
  <c r="E2165" i="110"/>
  <c r="I2164" i="110"/>
  <c r="H2164" i="110"/>
  <c r="G2164" i="110"/>
  <c r="F2164" i="110"/>
  <c r="E2164" i="110"/>
  <c r="I2163" i="110"/>
  <c r="H2163" i="110"/>
  <c r="G2163" i="110"/>
  <c r="F2163" i="110"/>
  <c r="E2163" i="110"/>
  <c r="I2162" i="110"/>
  <c r="H2162" i="110"/>
  <c r="G2162" i="110"/>
  <c r="F2162" i="110"/>
  <c r="E2162" i="110"/>
  <c r="I2161" i="110"/>
  <c r="H2161" i="110"/>
  <c r="G2161" i="110"/>
  <c r="F2161" i="110"/>
  <c r="E2161" i="110"/>
  <c r="I2160" i="110"/>
  <c r="H2160" i="110"/>
  <c r="G2160" i="110"/>
  <c r="F2160" i="110"/>
  <c r="E2160" i="110"/>
  <c r="I2159" i="110"/>
  <c r="H2159" i="110"/>
  <c r="G2159" i="110"/>
  <c r="F2159" i="110"/>
  <c r="E2159" i="110"/>
  <c r="I2158" i="110"/>
  <c r="H2158" i="110"/>
  <c r="G2158" i="110"/>
  <c r="F2158" i="110"/>
  <c r="E2158" i="110"/>
  <c r="I2157" i="110"/>
  <c r="H2157" i="110"/>
  <c r="G2157" i="110"/>
  <c r="F2157" i="110"/>
  <c r="E2157" i="110"/>
  <c r="I2156" i="110"/>
  <c r="H2156" i="110"/>
  <c r="G2156" i="110"/>
  <c r="F2156" i="110"/>
  <c r="E2156" i="110"/>
  <c r="I2155" i="110"/>
  <c r="H2155" i="110"/>
  <c r="G2155" i="110"/>
  <c r="F2155" i="110"/>
  <c r="E2155" i="110"/>
  <c r="I2154" i="110"/>
  <c r="H2154" i="110"/>
  <c r="G2154" i="110"/>
  <c r="F2154" i="110"/>
  <c r="E2154" i="110"/>
  <c r="I2153" i="110"/>
  <c r="H2153" i="110"/>
  <c r="G2153" i="110"/>
  <c r="F2153" i="110"/>
  <c r="E2153" i="110"/>
  <c r="I2152" i="110"/>
  <c r="H2152" i="110"/>
  <c r="G2152" i="110"/>
  <c r="F2152" i="110"/>
  <c r="E2152" i="110"/>
  <c r="I2151" i="110"/>
  <c r="H2151" i="110"/>
  <c r="G2151" i="110"/>
  <c r="F2151" i="110"/>
  <c r="E2151" i="110"/>
  <c r="I2150" i="110"/>
  <c r="H2150" i="110"/>
  <c r="G2150" i="110"/>
  <c r="F2150" i="110"/>
  <c r="E2150" i="110"/>
  <c r="I2149" i="110"/>
  <c r="H2149" i="110"/>
  <c r="G2149" i="110"/>
  <c r="F2149" i="110"/>
  <c r="E2149" i="110"/>
  <c r="I2148" i="110"/>
  <c r="H2148" i="110"/>
  <c r="G2148" i="110"/>
  <c r="F2148" i="110"/>
  <c r="E2148" i="110"/>
  <c r="I2147" i="110"/>
  <c r="H2147" i="110"/>
  <c r="G2147" i="110"/>
  <c r="F2147" i="110"/>
  <c r="E2147" i="110"/>
  <c r="I2146" i="110"/>
  <c r="H2146" i="110"/>
  <c r="G2146" i="110"/>
  <c r="F2146" i="110"/>
  <c r="E2146" i="110"/>
  <c r="I2145" i="110"/>
  <c r="H2145" i="110"/>
  <c r="G2145" i="110"/>
  <c r="F2145" i="110"/>
  <c r="E2145" i="110"/>
  <c r="I2144" i="110"/>
  <c r="H2144" i="110"/>
  <c r="G2144" i="110"/>
  <c r="F2144" i="110"/>
  <c r="E2144" i="110"/>
  <c r="I2143" i="110"/>
  <c r="H2143" i="110"/>
  <c r="G2143" i="110"/>
  <c r="F2143" i="110"/>
  <c r="E2143" i="110"/>
  <c r="I2142" i="110"/>
  <c r="H2142" i="110"/>
  <c r="G2142" i="110"/>
  <c r="F2142" i="110"/>
  <c r="E2142" i="110"/>
  <c r="I2141" i="110"/>
  <c r="H2141" i="110"/>
  <c r="G2141" i="110"/>
  <c r="F2141" i="110"/>
  <c r="E2141" i="110"/>
  <c r="I2140" i="110"/>
  <c r="H2140" i="110"/>
  <c r="G2140" i="110"/>
  <c r="F2140" i="110"/>
  <c r="E2140" i="110"/>
  <c r="I2139" i="110"/>
  <c r="H2139" i="110"/>
  <c r="G2139" i="110"/>
  <c r="F2139" i="110"/>
  <c r="E2139" i="110"/>
  <c r="I2138" i="110"/>
  <c r="H2138" i="110"/>
  <c r="G2138" i="110"/>
  <c r="F2138" i="110"/>
  <c r="E2138" i="110"/>
  <c r="I2137" i="110"/>
  <c r="H2137" i="110"/>
  <c r="G2137" i="110"/>
  <c r="F2137" i="110"/>
  <c r="E2137" i="110"/>
  <c r="I2136" i="110"/>
  <c r="H2136" i="110"/>
  <c r="G2136" i="110"/>
  <c r="F2136" i="110"/>
  <c r="E2136" i="110"/>
  <c r="I2135" i="110"/>
  <c r="H2135" i="110"/>
  <c r="G2135" i="110"/>
  <c r="F2135" i="110"/>
  <c r="E2135" i="110"/>
  <c r="I2134" i="110"/>
  <c r="H2134" i="110"/>
  <c r="G2134" i="110"/>
  <c r="F2134" i="110"/>
  <c r="E2134" i="110"/>
  <c r="I2133" i="110"/>
  <c r="H2133" i="110"/>
  <c r="G2133" i="110"/>
  <c r="F2133" i="110"/>
  <c r="E2133" i="110"/>
  <c r="I2132" i="110"/>
  <c r="H2132" i="110"/>
  <c r="G2132" i="110"/>
  <c r="F2132" i="110"/>
  <c r="E2132" i="110"/>
  <c r="I2131" i="110"/>
  <c r="H2131" i="110"/>
  <c r="G2131" i="110"/>
  <c r="F2131" i="110"/>
  <c r="E2131" i="110"/>
  <c r="I2130" i="110"/>
  <c r="H2130" i="110"/>
  <c r="G2130" i="110"/>
  <c r="F2130" i="110"/>
  <c r="E2130" i="110"/>
  <c r="I2129" i="110"/>
  <c r="H2129" i="110"/>
  <c r="G2129" i="110"/>
  <c r="F2129" i="110"/>
  <c r="E2129" i="110"/>
  <c r="I2128" i="110"/>
  <c r="H2128" i="110"/>
  <c r="G2128" i="110"/>
  <c r="F2128" i="110"/>
  <c r="E2128" i="110"/>
  <c r="I2127" i="110"/>
  <c r="H2127" i="110"/>
  <c r="G2127" i="110"/>
  <c r="F2127" i="110"/>
  <c r="E2127" i="110"/>
  <c r="I2126" i="110"/>
  <c r="H2126" i="110"/>
  <c r="G2126" i="110"/>
  <c r="F2126" i="110"/>
  <c r="E2126" i="110"/>
  <c r="I2125" i="110"/>
  <c r="H2125" i="110"/>
  <c r="G2125" i="110"/>
  <c r="F2125" i="110"/>
  <c r="E2125" i="110"/>
  <c r="I2124" i="110"/>
  <c r="H2124" i="110"/>
  <c r="G2124" i="110"/>
  <c r="F2124" i="110"/>
  <c r="E2124" i="110"/>
  <c r="I2123" i="110"/>
  <c r="H2123" i="110"/>
  <c r="G2123" i="110"/>
  <c r="F2123" i="110"/>
  <c r="E2123" i="110"/>
  <c r="I2122" i="110"/>
  <c r="H2122" i="110"/>
  <c r="G2122" i="110"/>
  <c r="F2122" i="110"/>
  <c r="E2122" i="110"/>
  <c r="I2121" i="110"/>
  <c r="H2121" i="110"/>
  <c r="G2121" i="110"/>
  <c r="F2121" i="110"/>
  <c r="E2121" i="110"/>
  <c r="I2120" i="110"/>
  <c r="H2120" i="110"/>
  <c r="G2120" i="110"/>
  <c r="F2120" i="110"/>
  <c r="E2120" i="110"/>
  <c r="I2119" i="110"/>
  <c r="H2119" i="110"/>
  <c r="G2119" i="110"/>
  <c r="F2119" i="110"/>
  <c r="E2119" i="110"/>
  <c r="I2118" i="110"/>
  <c r="H2118" i="110"/>
  <c r="G2118" i="110"/>
  <c r="F2118" i="110"/>
  <c r="E2118" i="110"/>
  <c r="I2117" i="110"/>
  <c r="H2117" i="110"/>
  <c r="G2117" i="110"/>
  <c r="F2117" i="110"/>
  <c r="E2117" i="110"/>
  <c r="I2116" i="110"/>
  <c r="H2116" i="110"/>
  <c r="G2116" i="110"/>
  <c r="F2116" i="110"/>
  <c r="E2116" i="110"/>
  <c r="I2115" i="110"/>
  <c r="H2115" i="110"/>
  <c r="G2115" i="110"/>
  <c r="F2115" i="110"/>
  <c r="E2115" i="110"/>
  <c r="I2114" i="110"/>
  <c r="H2114" i="110"/>
  <c r="G2114" i="110"/>
  <c r="F2114" i="110"/>
  <c r="E2114" i="110"/>
  <c r="I2113" i="110"/>
  <c r="H2113" i="110"/>
  <c r="G2113" i="110"/>
  <c r="F2113" i="110"/>
  <c r="E2113" i="110"/>
  <c r="I2112" i="110"/>
  <c r="H2112" i="110"/>
  <c r="G2112" i="110"/>
  <c r="F2112" i="110"/>
  <c r="E2112" i="110"/>
  <c r="I2111" i="110"/>
  <c r="H2111" i="110"/>
  <c r="G2111" i="110"/>
  <c r="F2111" i="110"/>
  <c r="E2111" i="110"/>
  <c r="I2110" i="110"/>
  <c r="H2110" i="110"/>
  <c r="G2110" i="110"/>
  <c r="F2110" i="110"/>
  <c r="E2110" i="110"/>
  <c r="I2109" i="110"/>
  <c r="H2109" i="110"/>
  <c r="G2109" i="110"/>
  <c r="F2109" i="110"/>
  <c r="E2109" i="110"/>
  <c r="I2108" i="110"/>
  <c r="H2108" i="110"/>
  <c r="G2108" i="110"/>
  <c r="F2108" i="110"/>
  <c r="E2108" i="110"/>
  <c r="I2107" i="110"/>
  <c r="H2107" i="110"/>
  <c r="G2107" i="110"/>
  <c r="F2107" i="110"/>
  <c r="E2107" i="110"/>
  <c r="I2106" i="110"/>
  <c r="H2106" i="110"/>
  <c r="G2106" i="110"/>
  <c r="F2106" i="110"/>
  <c r="E2106" i="110"/>
  <c r="I2105" i="110"/>
  <c r="H2105" i="110"/>
  <c r="G2105" i="110"/>
  <c r="F2105" i="110"/>
  <c r="E2105" i="110"/>
  <c r="I2104" i="110"/>
  <c r="H2104" i="110"/>
  <c r="G2104" i="110"/>
  <c r="F2104" i="110"/>
  <c r="E2104" i="110"/>
  <c r="I2103" i="110"/>
  <c r="H2103" i="110"/>
  <c r="G2103" i="110"/>
  <c r="F2103" i="110"/>
  <c r="E2103" i="110"/>
  <c r="I2102" i="110"/>
  <c r="H2102" i="110"/>
  <c r="G2102" i="110"/>
  <c r="F2102" i="110"/>
  <c r="E2102" i="110"/>
  <c r="I2101" i="110"/>
  <c r="H2101" i="110"/>
  <c r="G2101" i="110"/>
  <c r="F2101" i="110"/>
  <c r="E2101" i="110"/>
  <c r="I2100" i="110"/>
  <c r="H2100" i="110"/>
  <c r="G2100" i="110"/>
  <c r="F2100" i="110"/>
  <c r="E2100" i="110"/>
  <c r="I2099" i="110"/>
  <c r="H2099" i="110"/>
  <c r="G2099" i="110"/>
  <c r="F2099" i="110"/>
  <c r="E2099" i="110"/>
  <c r="I2098" i="110"/>
  <c r="H2098" i="110"/>
  <c r="G2098" i="110"/>
  <c r="F2098" i="110"/>
  <c r="E2098" i="110"/>
  <c r="I2097" i="110"/>
  <c r="H2097" i="110"/>
  <c r="G2097" i="110"/>
  <c r="F2097" i="110"/>
  <c r="E2097" i="110"/>
  <c r="I2096" i="110"/>
  <c r="H2096" i="110"/>
  <c r="G2096" i="110"/>
  <c r="F2096" i="110"/>
  <c r="E2096" i="110"/>
  <c r="I2095" i="110"/>
  <c r="H2095" i="110"/>
  <c r="G2095" i="110"/>
  <c r="F2095" i="110"/>
  <c r="E2095" i="110"/>
  <c r="I2094" i="110"/>
  <c r="H2094" i="110"/>
  <c r="G2094" i="110"/>
  <c r="F2094" i="110"/>
  <c r="E2094" i="110"/>
  <c r="I2093" i="110"/>
  <c r="H2093" i="110"/>
  <c r="G2093" i="110"/>
  <c r="F2093" i="110"/>
  <c r="E2093" i="110"/>
  <c r="I2092" i="110"/>
  <c r="H2092" i="110"/>
  <c r="G2092" i="110"/>
  <c r="F2092" i="110"/>
  <c r="E2092" i="110"/>
  <c r="I2091" i="110"/>
  <c r="H2091" i="110"/>
  <c r="G2091" i="110"/>
  <c r="F2091" i="110"/>
  <c r="E2091" i="110"/>
  <c r="I2090" i="110"/>
  <c r="H2090" i="110"/>
  <c r="G2090" i="110"/>
  <c r="F2090" i="110"/>
  <c r="E2090" i="110"/>
  <c r="I2089" i="110"/>
  <c r="H2089" i="110"/>
  <c r="G2089" i="110"/>
  <c r="F2089" i="110"/>
  <c r="E2089" i="110"/>
  <c r="I2088" i="110"/>
  <c r="H2088" i="110"/>
  <c r="G2088" i="110"/>
  <c r="F2088" i="110"/>
  <c r="E2088" i="110"/>
  <c r="I2087" i="110"/>
  <c r="H2087" i="110"/>
  <c r="G2087" i="110"/>
  <c r="F2087" i="110"/>
  <c r="E2087" i="110"/>
  <c r="I2086" i="110"/>
  <c r="H2086" i="110"/>
  <c r="G2086" i="110"/>
  <c r="F2086" i="110"/>
  <c r="E2086" i="110"/>
  <c r="I2085" i="110"/>
  <c r="H2085" i="110"/>
  <c r="G2085" i="110"/>
  <c r="F2085" i="110"/>
  <c r="E2085" i="110"/>
  <c r="I2084" i="110"/>
  <c r="H2084" i="110"/>
  <c r="G2084" i="110"/>
  <c r="F2084" i="110"/>
  <c r="E2084" i="110"/>
  <c r="I2083" i="110"/>
  <c r="H2083" i="110"/>
  <c r="G2083" i="110"/>
  <c r="F2083" i="110"/>
  <c r="E2083" i="110"/>
  <c r="I2082" i="110"/>
  <c r="H2082" i="110"/>
  <c r="G2082" i="110"/>
  <c r="F2082" i="110"/>
  <c r="E2082" i="110"/>
  <c r="I2081" i="110"/>
  <c r="H2081" i="110"/>
  <c r="G2081" i="110"/>
  <c r="F2081" i="110"/>
  <c r="E2081" i="110"/>
  <c r="I2080" i="110"/>
  <c r="H2080" i="110"/>
  <c r="G2080" i="110"/>
  <c r="F2080" i="110"/>
  <c r="E2080" i="110"/>
  <c r="I2079" i="110"/>
  <c r="H2079" i="110"/>
  <c r="G2079" i="110"/>
  <c r="F2079" i="110"/>
  <c r="E2079" i="110"/>
  <c r="I2078" i="110"/>
  <c r="H2078" i="110"/>
  <c r="G2078" i="110"/>
  <c r="F2078" i="110"/>
  <c r="E2078" i="110"/>
  <c r="I2077" i="110"/>
  <c r="H2077" i="110"/>
  <c r="G2077" i="110"/>
  <c r="F2077" i="110"/>
  <c r="E2077" i="110"/>
  <c r="I2076" i="110"/>
  <c r="H2076" i="110"/>
  <c r="G2076" i="110"/>
  <c r="F2076" i="110"/>
  <c r="E2076" i="110"/>
  <c r="I2075" i="110"/>
  <c r="H2075" i="110"/>
  <c r="G2075" i="110"/>
  <c r="F2075" i="110"/>
  <c r="E2075" i="110"/>
  <c r="I2074" i="110"/>
  <c r="H2074" i="110"/>
  <c r="G2074" i="110"/>
  <c r="F2074" i="110"/>
  <c r="E2074" i="110"/>
  <c r="I2073" i="110"/>
  <c r="H2073" i="110"/>
  <c r="G2073" i="110"/>
  <c r="F2073" i="110"/>
  <c r="E2073" i="110"/>
  <c r="I2072" i="110"/>
  <c r="H2072" i="110"/>
  <c r="G2072" i="110"/>
  <c r="F2072" i="110"/>
  <c r="E2072" i="110"/>
  <c r="I2071" i="110"/>
  <c r="H2071" i="110"/>
  <c r="G2071" i="110"/>
  <c r="F2071" i="110"/>
  <c r="E2071" i="110"/>
  <c r="I2070" i="110"/>
  <c r="H2070" i="110"/>
  <c r="G2070" i="110"/>
  <c r="F2070" i="110"/>
  <c r="E2070" i="110"/>
  <c r="I2069" i="110"/>
  <c r="H2069" i="110"/>
  <c r="G2069" i="110"/>
  <c r="F2069" i="110"/>
  <c r="E2069" i="110"/>
  <c r="I2068" i="110"/>
  <c r="H2068" i="110"/>
  <c r="G2068" i="110"/>
  <c r="F2068" i="110"/>
  <c r="E2068" i="110"/>
  <c r="I2067" i="110"/>
  <c r="H2067" i="110"/>
  <c r="G2067" i="110"/>
  <c r="F2067" i="110"/>
  <c r="E2067" i="110"/>
  <c r="I2066" i="110"/>
  <c r="H2066" i="110"/>
  <c r="G2066" i="110"/>
  <c r="F2066" i="110"/>
  <c r="E2066" i="110"/>
  <c r="I2065" i="110"/>
  <c r="H2065" i="110"/>
  <c r="G2065" i="110"/>
  <c r="F2065" i="110"/>
  <c r="E2065" i="110"/>
  <c r="I2064" i="110"/>
  <c r="H2064" i="110"/>
  <c r="G2064" i="110"/>
  <c r="F2064" i="110"/>
  <c r="E2064" i="110"/>
  <c r="I2063" i="110"/>
  <c r="H2063" i="110"/>
  <c r="G2063" i="110"/>
  <c r="F2063" i="110"/>
  <c r="E2063" i="110"/>
  <c r="I2062" i="110"/>
  <c r="H2062" i="110"/>
  <c r="G2062" i="110"/>
  <c r="F2062" i="110"/>
  <c r="E2062" i="110"/>
  <c r="I2061" i="110"/>
  <c r="H2061" i="110"/>
  <c r="G2061" i="110"/>
  <c r="F2061" i="110"/>
  <c r="E2061" i="110"/>
  <c r="I2060" i="110"/>
  <c r="H2060" i="110"/>
  <c r="G2060" i="110"/>
  <c r="F2060" i="110"/>
  <c r="E2060" i="110"/>
  <c r="I2059" i="110"/>
  <c r="H2059" i="110"/>
  <c r="G2059" i="110"/>
  <c r="F2059" i="110"/>
  <c r="E2059" i="110"/>
  <c r="I2058" i="110"/>
  <c r="H2058" i="110"/>
  <c r="G2058" i="110"/>
  <c r="F2058" i="110"/>
  <c r="E2058" i="110"/>
  <c r="I2057" i="110"/>
  <c r="H2057" i="110"/>
  <c r="G2057" i="110"/>
  <c r="F2057" i="110"/>
  <c r="E2057" i="110"/>
  <c r="I2056" i="110"/>
  <c r="H2056" i="110"/>
  <c r="G2056" i="110"/>
  <c r="F2056" i="110"/>
  <c r="E2056" i="110"/>
  <c r="I2055" i="110"/>
  <c r="H2055" i="110"/>
  <c r="G2055" i="110"/>
  <c r="F2055" i="110"/>
  <c r="E2055" i="110"/>
  <c r="I2054" i="110"/>
  <c r="H2054" i="110"/>
  <c r="G2054" i="110"/>
  <c r="F2054" i="110"/>
  <c r="E2054" i="110"/>
  <c r="I2053" i="110"/>
  <c r="H2053" i="110"/>
  <c r="G2053" i="110"/>
  <c r="F2053" i="110"/>
  <c r="E2053" i="110"/>
  <c r="I2052" i="110"/>
  <c r="H2052" i="110"/>
  <c r="G2052" i="110"/>
  <c r="F2052" i="110"/>
  <c r="E2052" i="110"/>
  <c r="I2051" i="110"/>
  <c r="H2051" i="110"/>
  <c r="G2051" i="110"/>
  <c r="F2051" i="110"/>
  <c r="E2051" i="110"/>
  <c r="I2050" i="110"/>
  <c r="H2050" i="110"/>
  <c r="G2050" i="110"/>
  <c r="F2050" i="110"/>
  <c r="E2050" i="110"/>
  <c r="I2049" i="110"/>
  <c r="H2049" i="110"/>
  <c r="G2049" i="110"/>
  <c r="F2049" i="110"/>
  <c r="E2049" i="110"/>
  <c r="I2048" i="110"/>
  <c r="H2048" i="110"/>
  <c r="G2048" i="110"/>
  <c r="F2048" i="110"/>
  <c r="E2048" i="110"/>
  <c r="I2047" i="110"/>
  <c r="H2047" i="110"/>
  <c r="G2047" i="110"/>
  <c r="F2047" i="110"/>
  <c r="E2047" i="110"/>
  <c r="I2046" i="110"/>
  <c r="H2046" i="110"/>
  <c r="G2046" i="110"/>
  <c r="F2046" i="110"/>
  <c r="E2046" i="110"/>
  <c r="I2045" i="110"/>
  <c r="H2045" i="110"/>
  <c r="G2045" i="110"/>
  <c r="F2045" i="110"/>
  <c r="E2045" i="110"/>
  <c r="I2044" i="110"/>
  <c r="H2044" i="110"/>
  <c r="G2044" i="110"/>
  <c r="F2044" i="110"/>
  <c r="E2044" i="110"/>
  <c r="I2043" i="110"/>
  <c r="H2043" i="110"/>
  <c r="G2043" i="110"/>
  <c r="F2043" i="110"/>
  <c r="E2043" i="110"/>
  <c r="I2042" i="110"/>
  <c r="H2042" i="110"/>
  <c r="G2042" i="110"/>
  <c r="F2042" i="110"/>
  <c r="E2042" i="110"/>
  <c r="I2041" i="110"/>
  <c r="H2041" i="110"/>
  <c r="G2041" i="110"/>
  <c r="F2041" i="110"/>
  <c r="E2041" i="110"/>
  <c r="I2040" i="110"/>
  <c r="H2040" i="110"/>
  <c r="G2040" i="110"/>
  <c r="F2040" i="110"/>
  <c r="E2040" i="110"/>
  <c r="I2039" i="110"/>
  <c r="H2039" i="110"/>
  <c r="G2039" i="110"/>
  <c r="F2039" i="110"/>
  <c r="E2039" i="110"/>
  <c r="I2038" i="110"/>
  <c r="H2038" i="110"/>
  <c r="G2038" i="110"/>
  <c r="F2038" i="110"/>
  <c r="E2038" i="110"/>
  <c r="I2037" i="110"/>
  <c r="H2037" i="110"/>
  <c r="G2037" i="110"/>
  <c r="F2037" i="110"/>
  <c r="E2037" i="110"/>
  <c r="I2036" i="110"/>
  <c r="H2036" i="110"/>
  <c r="G2036" i="110"/>
  <c r="F2036" i="110"/>
  <c r="E2036" i="110"/>
  <c r="I2035" i="110"/>
  <c r="H2035" i="110"/>
  <c r="G2035" i="110"/>
  <c r="F2035" i="110"/>
  <c r="E2035" i="110"/>
  <c r="I2034" i="110"/>
  <c r="H2034" i="110"/>
  <c r="G2034" i="110"/>
  <c r="F2034" i="110"/>
  <c r="E2034" i="110"/>
  <c r="I2033" i="110"/>
  <c r="H2033" i="110"/>
  <c r="G2033" i="110"/>
  <c r="F2033" i="110"/>
  <c r="E2033" i="110"/>
  <c r="I2032" i="110"/>
  <c r="H2032" i="110"/>
  <c r="G2032" i="110"/>
  <c r="F2032" i="110"/>
  <c r="E2032" i="110"/>
  <c r="I2031" i="110"/>
  <c r="H2031" i="110"/>
  <c r="G2031" i="110"/>
  <c r="F2031" i="110"/>
  <c r="E2031" i="110"/>
  <c r="I2030" i="110"/>
  <c r="H2030" i="110"/>
  <c r="G2030" i="110"/>
  <c r="F2030" i="110"/>
  <c r="E2030" i="110"/>
  <c r="I2029" i="110"/>
  <c r="H2029" i="110"/>
  <c r="G2029" i="110"/>
  <c r="F2029" i="110"/>
  <c r="E2029" i="110"/>
  <c r="I2028" i="110"/>
  <c r="H2028" i="110"/>
  <c r="G2028" i="110"/>
  <c r="F2028" i="110"/>
  <c r="E2028" i="110"/>
  <c r="I2027" i="110"/>
  <c r="H2027" i="110"/>
  <c r="G2027" i="110"/>
  <c r="F2027" i="110"/>
  <c r="E2027" i="110"/>
  <c r="I2026" i="110"/>
  <c r="H2026" i="110"/>
  <c r="G2026" i="110"/>
  <c r="F2026" i="110"/>
  <c r="E2026" i="110"/>
  <c r="I2025" i="110"/>
  <c r="H2025" i="110"/>
  <c r="G2025" i="110"/>
  <c r="F2025" i="110"/>
  <c r="E2025" i="110"/>
  <c r="I2024" i="110"/>
  <c r="H2024" i="110"/>
  <c r="G2024" i="110"/>
  <c r="F2024" i="110"/>
  <c r="E2024" i="110"/>
  <c r="I2023" i="110"/>
  <c r="H2023" i="110"/>
  <c r="G2023" i="110"/>
  <c r="F2023" i="110"/>
  <c r="E2023" i="110"/>
  <c r="I2022" i="110"/>
  <c r="H2022" i="110"/>
  <c r="G2022" i="110"/>
  <c r="F2022" i="110"/>
  <c r="E2022" i="110"/>
  <c r="I2021" i="110"/>
  <c r="H2021" i="110"/>
  <c r="G2021" i="110"/>
  <c r="F2021" i="110"/>
  <c r="E2021" i="110"/>
  <c r="I2020" i="110"/>
  <c r="H2020" i="110"/>
  <c r="G2020" i="110"/>
  <c r="F2020" i="110"/>
  <c r="E2020" i="110"/>
  <c r="I2019" i="110"/>
  <c r="H2019" i="110"/>
  <c r="G2019" i="110"/>
  <c r="F2019" i="110"/>
  <c r="E2019" i="110"/>
  <c r="I2018" i="110"/>
  <c r="H2018" i="110"/>
  <c r="J1306" i="110"/>
  <c r="J1305" i="110"/>
  <c r="J1304" i="110"/>
  <c r="J1303" i="110"/>
  <c r="J1302" i="110"/>
  <c r="J1301" i="110"/>
  <c r="J1300" i="110"/>
  <c r="J1299" i="110"/>
  <c r="J1298" i="110"/>
  <c r="J1297" i="110"/>
  <c r="J1296" i="110"/>
  <c r="J1295" i="110"/>
  <c r="J1294" i="110"/>
  <c r="J1293" i="110"/>
  <c r="J1292" i="110"/>
  <c r="J1291" i="110"/>
  <c r="J1290" i="110"/>
  <c r="J1289" i="110"/>
  <c r="J1288" i="110"/>
  <c r="J1287" i="110"/>
  <c r="J1286" i="110"/>
  <c r="J1285" i="110"/>
  <c r="J1284" i="110"/>
  <c r="J1283" i="110"/>
  <c r="J1282" i="110"/>
  <c r="J1281" i="110"/>
  <c r="J1148" i="110"/>
  <c r="J1147" i="110"/>
  <c r="J1146" i="110"/>
  <c r="J1145" i="110"/>
  <c r="J1144" i="110"/>
  <c r="J1143" i="110"/>
  <c r="J1142" i="110"/>
  <c r="J1141" i="110"/>
  <c r="J1140" i="110"/>
  <c r="J1139" i="110"/>
  <c r="J1138" i="110"/>
  <c r="J1137" i="110"/>
  <c r="J1136" i="110"/>
  <c r="J1135" i="110"/>
  <c r="J1134" i="110"/>
  <c r="J1133" i="110"/>
  <c r="J1132" i="110"/>
  <c r="J1131" i="110"/>
  <c r="J1130" i="110"/>
  <c r="J1129" i="110"/>
  <c r="J1128" i="110"/>
  <c r="J1127" i="110"/>
  <c r="J1126" i="110"/>
  <c r="J1125" i="110"/>
  <c r="J1124" i="110"/>
  <c r="E1124" i="110"/>
  <c r="J1123" i="110"/>
  <c r="E1123" i="110"/>
  <c r="J1122" i="110"/>
  <c r="E1122" i="110"/>
  <c r="J1121" i="110"/>
  <c r="E1121" i="110"/>
  <c r="J1120" i="110"/>
  <c r="E1120" i="110"/>
  <c r="J1119" i="110"/>
  <c r="E1119" i="110"/>
  <c r="J1118" i="110"/>
  <c r="E1118" i="110"/>
  <c r="J1117" i="110"/>
  <c r="E1117" i="110"/>
  <c r="J1116" i="110"/>
  <c r="E1116" i="110"/>
  <c r="J1115" i="110"/>
  <c r="E1115" i="110"/>
  <c r="J1114" i="110"/>
  <c r="E1114" i="110"/>
  <c r="J1113" i="110"/>
  <c r="E1113" i="110"/>
  <c r="J1112" i="110"/>
  <c r="E1112" i="110"/>
  <c r="J1111" i="110"/>
  <c r="E1111" i="110"/>
  <c r="J1110" i="110"/>
  <c r="E1110" i="110"/>
  <c r="J1109" i="110"/>
  <c r="E1109" i="110"/>
  <c r="J1108" i="110"/>
  <c r="E1108" i="110"/>
  <c r="J1107" i="110"/>
  <c r="E1107" i="110"/>
  <c r="J1106" i="110"/>
  <c r="E1106" i="110"/>
  <c r="J1105" i="110"/>
  <c r="E1105" i="110"/>
  <c r="J1104" i="110"/>
  <c r="E1104" i="110"/>
  <c r="J1103" i="110"/>
  <c r="E1103" i="110"/>
  <c r="J1102" i="110"/>
  <c r="E1102" i="110"/>
  <c r="J1101" i="110"/>
  <c r="E1101" i="110"/>
  <c r="J1100" i="110"/>
  <c r="E1100" i="110"/>
  <c r="J1099" i="110"/>
  <c r="E1099" i="110"/>
  <c r="J1098" i="110"/>
  <c r="E1098" i="110"/>
  <c r="J1097" i="110"/>
  <c r="E1097" i="110"/>
  <c r="J1096" i="110"/>
  <c r="E1096" i="110"/>
  <c r="J1095" i="110"/>
  <c r="E1095" i="110"/>
  <c r="J1094" i="110"/>
  <c r="E1094" i="110"/>
  <c r="J1093" i="110"/>
  <c r="E1093" i="110"/>
  <c r="J1092" i="110"/>
  <c r="E1092" i="110"/>
  <c r="J1091" i="110"/>
  <c r="E1091" i="110"/>
  <c r="J1090" i="110"/>
  <c r="E1090" i="110"/>
  <c r="J1089" i="110"/>
  <c r="E1089" i="110"/>
  <c r="J1088" i="110"/>
  <c r="E1088" i="110"/>
  <c r="J1087" i="110"/>
  <c r="E1087" i="110"/>
  <c r="J1086" i="110"/>
  <c r="E1086" i="110"/>
  <c r="J1085" i="110"/>
  <c r="E1085" i="110"/>
  <c r="J1084" i="110"/>
  <c r="E1084" i="110"/>
  <c r="J1083" i="110"/>
  <c r="E1083" i="110"/>
  <c r="J1082" i="110"/>
  <c r="E1082" i="110"/>
  <c r="J1081" i="110"/>
  <c r="E1081" i="110"/>
  <c r="J1080" i="110"/>
  <c r="E1080" i="110"/>
  <c r="J1079" i="110"/>
  <c r="E1079" i="110"/>
  <c r="J1078" i="110"/>
  <c r="E1078" i="110"/>
  <c r="J1077" i="110"/>
  <c r="E1077" i="110"/>
  <c r="J1076" i="110"/>
  <c r="E1076" i="110"/>
  <c r="J1075" i="110"/>
  <c r="E1075" i="110"/>
  <c r="J1074" i="110"/>
  <c r="E1074" i="110"/>
  <c r="N1073" i="110"/>
  <c r="M1073" i="110"/>
  <c r="L1073" i="110"/>
  <c r="K1073" i="110"/>
  <c r="J1073" i="110"/>
  <c r="E1073" i="110"/>
  <c r="N1072" i="110"/>
  <c r="M1072" i="110"/>
  <c r="L1072" i="110"/>
  <c r="K1072" i="110"/>
  <c r="J1072" i="110"/>
  <c r="E1072" i="110"/>
  <c r="N1071" i="110"/>
  <c r="M1071" i="110"/>
  <c r="L1071" i="110"/>
  <c r="K1071" i="110"/>
  <c r="J1071" i="110"/>
  <c r="E1071" i="110"/>
  <c r="N1070" i="110"/>
  <c r="M1070" i="110"/>
  <c r="L1070" i="110"/>
  <c r="K1070" i="110"/>
  <c r="J1070" i="110"/>
  <c r="E1070" i="110"/>
  <c r="N1069" i="110"/>
  <c r="M1069" i="110"/>
  <c r="L1069" i="110"/>
  <c r="K1069" i="110"/>
  <c r="J1069" i="110"/>
  <c r="E1069" i="110"/>
  <c r="N1068" i="110"/>
  <c r="M1068" i="110"/>
  <c r="L1068" i="110"/>
  <c r="K1068" i="110"/>
  <c r="J1068" i="110"/>
  <c r="E1068" i="110"/>
  <c r="N1067" i="110"/>
  <c r="M1067" i="110"/>
  <c r="L1067" i="110"/>
  <c r="K1067" i="110"/>
  <c r="J1067" i="110"/>
  <c r="E1067" i="110"/>
  <c r="N1066" i="110"/>
  <c r="M1066" i="110"/>
  <c r="L1066" i="110"/>
  <c r="K1066" i="110"/>
  <c r="J1066" i="110"/>
  <c r="E1066" i="110"/>
  <c r="N1065" i="110"/>
  <c r="M1065" i="110"/>
  <c r="L1065" i="110"/>
  <c r="K1065" i="110"/>
  <c r="J1065" i="110"/>
  <c r="E1065" i="110"/>
  <c r="N1064" i="110"/>
  <c r="M1064" i="110"/>
  <c r="L1064" i="110"/>
  <c r="K1064" i="110"/>
  <c r="J1064" i="110"/>
  <c r="E1064" i="110"/>
  <c r="N1063" i="110"/>
  <c r="M1063" i="110"/>
  <c r="L1063" i="110"/>
  <c r="K1063" i="110"/>
  <c r="J1063" i="110"/>
  <c r="E1063" i="110"/>
  <c r="N1062" i="110"/>
  <c r="M1062" i="110"/>
  <c r="L1062" i="110"/>
  <c r="K1062" i="110"/>
  <c r="J1062" i="110"/>
  <c r="E1062" i="110"/>
  <c r="N1061" i="110"/>
  <c r="M1061" i="110"/>
  <c r="L1061" i="110"/>
  <c r="K1061" i="110"/>
  <c r="J1061" i="110"/>
  <c r="E1061" i="110"/>
  <c r="N1060" i="110"/>
  <c r="M1060" i="110"/>
  <c r="L1060" i="110"/>
  <c r="K1060" i="110"/>
  <c r="J1060" i="110"/>
  <c r="E1060" i="110"/>
  <c r="N1059" i="110"/>
  <c r="M1059" i="110"/>
  <c r="L1059" i="110"/>
  <c r="K1059" i="110"/>
  <c r="J1059" i="110"/>
  <c r="E1059" i="110"/>
  <c r="N1058" i="110"/>
  <c r="M1058" i="110"/>
  <c r="L1058" i="110"/>
  <c r="K1058" i="110"/>
  <c r="J1058" i="110"/>
  <c r="E1058" i="110"/>
  <c r="N1057" i="110"/>
  <c r="M1057" i="110"/>
  <c r="L1057" i="110"/>
  <c r="K1057" i="110"/>
  <c r="J1057" i="110"/>
  <c r="E1057" i="110"/>
  <c r="N1056" i="110"/>
  <c r="M1056" i="110"/>
  <c r="L1056" i="110"/>
  <c r="K1056" i="110"/>
  <c r="J1056" i="110"/>
  <c r="E1056" i="110"/>
  <c r="N1055" i="110"/>
  <c r="M1055" i="110"/>
  <c r="L1055" i="110"/>
  <c r="K1055" i="110"/>
  <c r="J1055" i="110"/>
  <c r="E1055" i="110"/>
  <c r="N1054" i="110"/>
  <c r="M1054" i="110"/>
  <c r="L1054" i="110"/>
  <c r="K1054" i="110"/>
  <c r="J1054" i="110"/>
  <c r="E1054" i="110"/>
  <c r="N1053" i="110"/>
  <c r="M1053" i="110"/>
  <c r="L1053" i="110"/>
  <c r="K1053" i="110"/>
  <c r="J953" i="110"/>
  <c r="I953" i="110"/>
  <c r="G953" i="110"/>
  <c r="F953" i="110"/>
  <c r="F527" i="110"/>
  <c r="D527" i="110"/>
  <c r="B527" i="110"/>
  <c r="F526" i="110"/>
  <c r="D526" i="110"/>
  <c r="B526" i="110"/>
  <c r="F525" i="110"/>
  <c r="D525" i="110"/>
  <c r="B525" i="110"/>
  <c r="F524" i="110"/>
  <c r="D524" i="110"/>
  <c r="B524" i="110"/>
  <c r="F523" i="110"/>
  <c r="D523" i="110"/>
  <c r="B523" i="110"/>
  <c r="F522" i="110"/>
  <c r="D522" i="110"/>
  <c r="B522" i="110"/>
  <c r="F521" i="110"/>
  <c r="D521" i="110"/>
  <c r="B521" i="110"/>
  <c r="F520" i="110"/>
  <c r="D520" i="110"/>
  <c r="B520" i="110"/>
  <c r="F519" i="110"/>
  <c r="D519" i="110"/>
  <c r="B519" i="110"/>
  <c r="F518" i="110"/>
  <c r="D518" i="110"/>
  <c r="B518" i="110"/>
  <c r="F517" i="110"/>
  <c r="D517" i="110"/>
  <c r="B517" i="110"/>
  <c r="F516" i="110"/>
  <c r="D516" i="110"/>
  <c r="B516" i="110"/>
  <c r="F515" i="110"/>
  <c r="D515" i="110"/>
  <c r="B515" i="110"/>
  <c r="F514" i="110"/>
  <c r="D514" i="110"/>
  <c r="B514" i="110"/>
  <c r="F513" i="110"/>
  <c r="D513" i="110"/>
  <c r="B513" i="110"/>
  <c r="F512" i="110"/>
  <c r="D512" i="110"/>
  <c r="B512" i="110"/>
  <c r="F511" i="110"/>
  <c r="D511" i="110"/>
  <c r="B511" i="110"/>
  <c r="F510" i="110"/>
  <c r="D510" i="110"/>
  <c r="B510" i="110"/>
  <c r="F509" i="110"/>
  <c r="D509" i="110"/>
  <c r="B509" i="110"/>
  <c r="F508" i="110"/>
  <c r="D508" i="110"/>
  <c r="B508" i="110"/>
  <c r="F507" i="110"/>
  <c r="D507" i="110"/>
  <c r="B507" i="110"/>
  <c r="F506" i="110"/>
  <c r="D506" i="110"/>
  <c r="B506" i="110"/>
  <c r="F505" i="110"/>
  <c r="D505" i="110"/>
  <c r="B505" i="110"/>
  <c r="F504" i="110"/>
  <c r="D504" i="110"/>
  <c r="B504" i="110"/>
  <c r="F503" i="110"/>
  <c r="D503" i="110"/>
  <c r="B503" i="110"/>
  <c r="F502" i="110"/>
  <c r="D502" i="110"/>
  <c r="B502" i="110"/>
  <c r="F501" i="110"/>
  <c r="D501" i="110"/>
  <c r="B501" i="110"/>
  <c r="F500" i="110"/>
  <c r="D500" i="110"/>
  <c r="B500" i="110"/>
  <c r="F499" i="110"/>
  <c r="D499" i="110"/>
  <c r="B499" i="110"/>
  <c r="F498" i="110"/>
  <c r="D498" i="110"/>
  <c r="B498" i="110"/>
  <c r="F497" i="110"/>
  <c r="D497" i="110"/>
  <c r="B497" i="110"/>
  <c r="F496" i="110"/>
  <c r="D496" i="110"/>
  <c r="B496" i="110"/>
  <c r="F495" i="110"/>
  <c r="D495" i="110"/>
  <c r="B495" i="110"/>
  <c r="F494" i="110"/>
  <c r="D494" i="110"/>
  <c r="B494" i="110"/>
  <c r="F493" i="110"/>
  <c r="D493" i="110"/>
  <c r="B493" i="110"/>
  <c r="F492" i="110"/>
  <c r="D492" i="110"/>
  <c r="B492" i="110"/>
  <c r="F491" i="110"/>
  <c r="D491" i="110"/>
  <c r="B491" i="110"/>
  <c r="F490" i="110"/>
  <c r="D490" i="110"/>
  <c r="B490" i="110"/>
  <c r="F489" i="110"/>
  <c r="D489" i="110"/>
  <c r="B489" i="110"/>
  <c r="F488" i="110"/>
  <c r="D488" i="110"/>
  <c r="B488" i="110"/>
  <c r="F487" i="110"/>
  <c r="D487" i="110"/>
  <c r="B487" i="110"/>
  <c r="F486" i="110"/>
  <c r="D486" i="110"/>
  <c r="B486" i="110"/>
  <c r="F485" i="110"/>
  <c r="D485" i="110"/>
  <c r="B485" i="110"/>
  <c r="F484" i="110"/>
  <c r="D484" i="110"/>
  <c r="B484" i="110"/>
  <c r="F483" i="110"/>
  <c r="D483" i="110"/>
  <c r="B483" i="110"/>
  <c r="F482" i="110"/>
  <c r="D482" i="110"/>
  <c r="B482" i="110"/>
  <c r="F481" i="110"/>
  <c r="D481" i="110"/>
  <c r="B481" i="110"/>
  <c r="F480" i="110"/>
  <c r="D480" i="110"/>
  <c r="B480" i="110"/>
  <c r="F479" i="110"/>
  <c r="D479" i="110"/>
  <c r="B479" i="110"/>
  <c r="F478" i="110"/>
  <c r="D478" i="110"/>
  <c r="B478" i="110"/>
  <c r="F477" i="110"/>
  <c r="D477" i="110"/>
  <c r="B477" i="110"/>
  <c r="F476" i="110"/>
  <c r="D476" i="110"/>
  <c r="B476" i="110"/>
  <c r="F475" i="110"/>
  <c r="D475" i="110"/>
  <c r="B475" i="110"/>
  <c r="F474" i="110"/>
  <c r="D474" i="110"/>
  <c r="B474" i="110"/>
  <c r="F473" i="110"/>
  <c r="D473" i="110"/>
  <c r="B473" i="110"/>
  <c r="F472" i="110"/>
  <c r="D472" i="110"/>
  <c r="B472" i="110"/>
  <c r="F471" i="110"/>
  <c r="D471" i="110"/>
  <c r="B471" i="110"/>
  <c r="F470" i="110"/>
  <c r="D470" i="110"/>
  <c r="B470" i="110"/>
  <c r="F469" i="110"/>
  <c r="D469" i="110"/>
  <c r="B469" i="110"/>
  <c r="F468" i="110"/>
  <c r="D468" i="110"/>
  <c r="B468" i="110"/>
  <c r="F467" i="110"/>
  <c r="D467" i="110"/>
  <c r="B467" i="110"/>
  <c r="F466" i="110"/>
  <c r="D466" i="110"/>
  <c r="B466" i="110"/>
  <c r="F465" i="110"/>
  <c r="D465" i="110"/>
  <c r="B465" i="110"/>
  <c r="F464" i="110"/>
  <c r="D464" i="110"/>
  <c r="B464" i="110"/>
  <c r="F463" i="110"/>
  <c r="D463" i="110"/>
  <c r="B463" i="110"/>
  <c r="F462" i="110"/>
  <c r="D462" i="110"/>
  <c r="B462" i="110"/>
  <c r="F461" i="110"/>
  <c r="D461" i="110"/>
  <c r="B461" i="110"/>
  <c r="F460" i="110"/>
  <c r="D460" i="110"/>
  <c r="B460" i="110"/>
  <c r="F459" i="110"/>
  <c r="D459" i="110"/>
  <c r="B459" i="110"/>
  <c r="F458" i="110"/>
  <c r="D458" i="110"/>
  <c r="B458" i="110"/>
  <c r="F457" i="110"/>
  <c r="D457" i="110"/>
  <c r="B457" i="110"/>
  <c r="F456" i="110"/>
  <c r="D456" i="110"/>
  <c r="B456" i="110"/>
  <c r="F455" i="110"/>
  <c r="D455" i="110"/>
  <c r="B455" i="110"/>
  <c r="F454" i="110"/>
  <c r="D454" i="110"/>
  <c r="B454" i="110"/>
  <c r="F453" i="110"/>
  <c r="D453" i="110"/>
  <c r="B453" i="110"/>
  <c r="F452" i="110"/>
  <c r="D452" i="110"/>
  <c r="B452" i="110"/>
  <c r="F451" i="110"/>
  <c r="D451" i="110"/>
  <c r="B451" i="110"/>
  <c r="F450" i="110"/>
  <c r="D450" i="110"/>
  <c r="B450" i="110"/>
  <c r="F449" i="110"/>
  <c r="D449" i="110"/>
  <c r="B449" i="110"/>
  <c r="F448" i="110"/>
  <c r="D448" i="110"/>
  <c r="B448" i="110"/>
  <c r="F447" i="110"/>
  <c r="D447" i="110"/>
  <c r="B447" i="110"/>
  <c r="F446" i="110"/>
  <c r="D446" i="110"/>
  <c r="B446" i="110"/>
  <c r="F445" i="110"/>
  <c r="D445" i="110"/>
  <c r="B445" i="110"/>
  <c r="F444" i="110"/>
  <c r="D444" i="110"/>
  <c r="B444" i="110"/>
  <c r="F443" i="110"/>
  <c r="D443" i="110"/>
  <c r="B443" i="110"/>
  <c r="F442" i="110"/>
  <c r="D442" i="110"/>
  <c r="B442" i="110"/>
  <c r="F441" i="110"/>
  <c r="D441" i="110"/>
  <c r="B441" i="110"/>
  <c r="F440" i="110"/>
  <c r="D440" i="110"/>
  <c r="B440" i="110"/>
  <c r="F439" i="110"/>
  <c r="D439" i="110"/>
  <c r="B439" i="110"/>
  <c r="F438" i="110"/>
  <c r="D438" i="110"/>
  <c r="B438" i="110"/>
  <c r="F437" i="110"/>
  <c r="D437" i="110"/>
  <c r="B437" i="110"/>
  <c r="F436" i="110"/>
  <c r="D436" i="110"/>
  <c r="B436" i="110"/>
  <c r="F435" i="110"/>
  <c r="D435" i="110"/>
  <c r="B435" i="110"/>
  <c r="F434" i="110"/>
  <c r="D434" i="110"/>
  <c r="B434" i="110"/>
  <c r="F433" i="110"/>
  <c r="D433" i="110"/>
  <c r="B433" i="110"/>
  <c r="F432" i="110"/>
  <c r="D432" i="110"/>
  <c r="B432" i="110"/>
  <c r="F431" i="110"/>
  <c r="D431" i="110"/>
  <c r="B431" i="110"/>
  <c r="F430" i="110"/>
  <c r="D430" i="110"/>
  <c r="B430" i="110"/>
  <c r="F429" i="110"/>
  <c r="D429" i="110"/>
  <c r="B429" i="110"/>
  <c r="F428" i="110"/>
  <c r="D428" i="110"/>
  <c r="B428" i="110"/>
  <c r="F427" i="110"/>
  <c r="D427" i="110"/>
  <c r="B427" i="110"/>
  <c r="F426" i="110"/>
  <c r="D426" i="110"/>
  <c r="B426" i="110"/>
  <c r="F425" i="110"/>
  <c r="D425" i="110"/>
  <c r="B425" i="110"/>
  <c r="F424" i="110"/>
  <c r="D424" i="110"/>
  <c r="B424" i="110"/>
  <c r="F423" i="110"/>
  <c r="D423" i="110"/>
  <c r="B423" i="110"/>
  <c r="F422" i="110"/>
  <c r="D422" i="110"/>
  <c r="B422" i="110"/>
  <c r="F421" i="110"/>
  <c r="D421" i="110"/>
  <c r="B421" i="110"/>
  <c r="F420" i="110"/>
  <c r="D420" i="110"/>
  <c r="B420" i="110"/>
  <c r="F419" i="110"/>
  <c r="D419" i="110"/>
  <c r="B419" i="110"/>
  <c r="F418" i="110"/>
  <c r="D418" i="110"/>
  <c r="B418" i="110"/>
  <c r="F417" i="110"/>
  <c r="D417" i="110"/>
  <c r="B417" i="110"/>
  <c r="F416" i="110"/>
  <c r="D416" i="110"/>
  <c r="B416" i="110"/>
  <c r="F415" i="110"/>
  <c r="D415" i="110"/>
  <c r="B415" i="110"/>
  <c r="F414" i="110"/>
  <c r="D414" i="110"/>
  <c r="B414" i="110"/>
  <c r="F413" i="110"/>
  <c r="D413" i="110"/>
  <c r="B413" i="110"/>
  <c r="F412" i="110"/>
  <c r="D412" i="110"/>
  <c r="B412" i="110"/>
  <c r="F411" i="110"/>
  <c r="D411" i="110"/>
  <c r="B411" i="110"/>
  <c r="F410" i="110"/>
  <c r="D410" i="110"/>
  <c r="B410" i="110"/>
  <c r="F409" i="110"/>
  <c r="D409" i="110"/>
  <c r="B409" i="110"/>
  <c r="F408" i="110"/>
  <c r="D408" i="110"/>
  <c r="B408" i="110"/>
  <c r="F407" i="110"/>
  <c r="D407" i="110"/>
  <c r="B407" i="110"/>
  <c r="F406" i="110"/>
  <c r="D406" i="110"/>
  <c r="B406" i="110"/>
  <c r="F405" i="110"/>
  <c r="D405" i="110"/>
  <c r="B405" i="110"/>
  <c r="F404" i="110"/>
  <c r="D404" i="110"/>
  <c r="B404" i="110"/>
  <c r="F403" i="110"/>
  <c r="D403" i="110"/>
  <c r="B403" i="110"/>
  <c r="F402" i="110"/>
  <c r="D402" i="110"/>
  <c r="B402" i="110"/>
  <c r="F401" i="110"/>
  <c r="D401" i="110"/>
  <c r="B401" i="110"/>
  <c r="F400" i="110"/>
  <c r="D400" i="110"/>
  <c r="B400" i="110"/>
  <c r="F399" i="110"/>
  <c r="D399" i="110"/>
  <c r="B399" i="110"/>
  <c r="F398" i="110"/>
  <c r="D398" i="110"/>
  <c r="B398" i="110"/>
  <c r="F397" i="110"/>
  <c r="D397" i="110"/>
  <c r="B397" i="110"/>
  <c r="F396" i="110"/>
  <c r="D396" i="110"/>
  <c r="B396" i="110"/>
  <c r="F395" i="110"/>
  <c r="D395" i="110"/>
  <c r="B395" i="110"/>
  <c r="F394" i="110"/>
  <c r="D394" i="110"/>
  <c r="B394" i="110"/>
  <c r="F393" i="110"/>
  <c r="D393" i="110"/>
  <c r="B393" i="110"/>
  <c r="F392" i="110"/>
  <c r="D392" i="110"/>
  <c r="B392" i="110"/>
  <c r="F391" i="110"/>
  <c r="D391" i="110"/>
  <c r="B391" i="110"/>
  <c r="F390" i="110"/>
  <c r="D390" i="110"/>
  <c r="B390" i="110"/>
  <c r="F389" i="110"/>
  <c r="D389" i="110"/>
  <c r="B389" i="110"/>
  <c r="F388" i="110"/>
  <c r="D388" i="110"/>
  <c r="B388" i="110"/>
  <c r="F387" i="110"/>
  <c r="D387" i="110"/>
  <c r="B387" i="110"/>
  <c r="F386" i="110"/>
  <c r="D386" i="110"/>
  <c r="B386" i="110"/>
  <c r="F385" i="110"/>
  <c r="D385" i="110"/>
  <c r="B385" i="110"/>
  <c r="F384" i="110"/>
  <c r="D384" i="110"/>
  <c r="B384" i="110"/>
  <c r="F383" i="110"/>
  <c r="D383" i="110"/>
  <c r="B383" i="110"/>
  <c r="F382" i="110"/>
  <c r="D382" i="110"/>
  <c r="B382" i="110"/>
  <c r="F381" i="110"/>
  <c r="D381" i="110"/>
  <c r="B381" i="110"/>
  <c r="F380" i="110"/>
  <c r="D380" i="110"/>
  <c r="B380" i="110"/>
  <c r="F379" i="110"/>
  <c r="D379" i="110"/>
  <c r="B379" i="110"/>
  <c r="F378" i="110"/>
  <c r="D378" i="110"/>
  <c r="B378" i="110"/>
  <c r="F377" i="110"/>
  <c r="D377" i="110"/>
  <c r="B377" i="110"/>
  <c r="F376" i="110"/>
  <c r="D376" i="110"/>
  <c r="B376" i="110"/>
  <c r="F375" i="110"/>
  <c r="D375" i="110"/>
  <c r="B375" i="110"/>
  <c r="F374" i="110"/>
  <c r="D374" i="110"/>
  <c r="B374" i="110"/>
  <c r="F373" i="110"/>
  <c r="D373" i="110"/>
  <c r="B373" i="110"/>
  <c r="F372" i="110"/>
  <c r="D372" i="110"/>
  <c r="B372" i="110"/>
  <c r="F371" i="110"/>
  <c r="D371" i="110"/>
  <c r="B371" i="110"/>
  <c r="F370" i="110"/>
  <c r="D370" i="110"/>
  <c r="B370" i="110"/>
  <c r="F369" i="110"/>
  <c r="D369" i="110"/>
  <c r="B369" i="110"/>
  <c r="F368" i="110"/>
  <c r="D368" i="110"/>
  <c r="B368" i="110"/>
  <c r="F367" i="110"/>
  <c r="D367" i="110"/>
  <c r="B367" i="110"/>
  <c r="F366" i="110"/>
  <c r="D366" i="110"/>
  <c r="B366" i="110"/>
  <c r="F365" i="110"/>
  <c r="D365" i="110"/>
  <c r="B365" i="110"/>
  <c r="F364" i="110"/>
  <c r="D364" i="110"/>
  <c r="B364" i="110"/>
  <c r="F363" i="110"/>
  <c r="D363" i="110"/>
  <c r="B363" i="110"/>
  <c r="F362" i="110"/>
  <c r="D362" i="110"/>
  <c r="B362" i="110"/>
  <c r="F361" i="110"/>
  <c r="D361" i="110"/>
  <c r="B361" i="110"/>
  <c r="F360" i="110"/>
  <c r="D360" i="110"/>
  <c r="B360" i="110"/>
  <c r="F359" i="110"/>
  <c r="D359" i="110"/>
  <c r="B359" i="110"/>
  <c r="F358" i="110"/>
  <c r="D358" i="110"/>
  <c r="B358" i="110"/>
  <c r="F357" i="110"/>
  <c r="D357" i="110"/>
  <c r="B357" i="110"/>
  <c r="F356" i="110"/>
  <c r="D356" i="110"/>
  <c r="B356" i="110"/>
  <c r="F355" i="110"/>
  <c r="D355" i="110"/>
  <c r="B355" i="110"/>
  <c r="F354" i="110"/>
  <c r="D354" i="110"/>
  <c r="B354" i="110"/>
  <c r="F353" i="110"/>
  <c r="D353" i="110"/>
  <c r="B353" i="110"/>
  <c r="F352" i="110"/>
  <c r="D352" i="110"/>
  <c r="B352" i="110"/>
  <c r="F351" i="110"/>
  <c r="D351" i="110"/>
  <c r="B351" i="110"/>
  <c r="F350" i="110"/>
  <c r="D350" i="110"/>
  <c r="B350" i="110"/>
  <c r="F349" i="110"/>
  <c r="D349" i="110"/>
  <c r="B349" i="110"/>
  <c r="F348" i="110"/>
  <c r="D348" i="110"/>
  <c r="B348" i="110"/>
  <c r="F347" i="110"/>
  <c r="D347" i="110"/>
  <c r="B347" i="110"/>
  <c r="F346" i="110"/>
  <c r="D346" i="110"/>
  <c r="B346" i="110"/>
  <c r="F345" i="110"/>
  <c r="D345" i="110"/>
  <c r="B345" i="110"/>
  <c r="F344" i="110"/>
  <c r="D344" i="110"/>
  <c r="B344" i="110"/>
  <c r="F343" i="110"/>
  <c r="D343" i="110"/>
  <c r="B343" i="110"/>
  <c r="F342" i="110"/>
  <c r="D342" i="110"/>
  <c r="B342" i="110"/>
  <c r="F341" i="110"/>
  <c r="D341" i="110"/>
  <c r="B341" i="110"/>
  <c r="F340" i="110"/>
  <c r="D340" i="110"/>
  <c r="B340" i="110"/>
  <c r="F339" i="110"/>
  <c r="D339" i="110"/>
  <c r="B339" i="110"/>
  <c r="F338" i="110"/>
  <c r="D338" i="110"/>
  <c r="B338" i="110"/>
  <c r="F337" i="110"/>
  <c r="D337" i="110"/>
  <c r="B337" i="110"/>
  <c r="F336" i="110"/>
  <c r="D336" i="110"/>
  <c r="B336" i="110"/>
  <c r="F335" i="110"/>
  <c r="D335" i="110"/>
  <c r="B335" i="110"/>
  <c r="F334" i="110"/>
  <c r="D334" i="110"/>
  <c r="B334" i="110"/>
  <c r="F333" i="110"/>
  <c r="D333" i="110"/>
  <c r="B333" i="110"/>
  <c r="F332" i="110"/>
  <c r="D332" i="110"/>
  <c r="B332" i="110"/>
  <c r="F331" i="110"/>
  <c r="D331" i="110"/>
  <c r="B331" i="110"/>
  <c r="F330" i="110"/>
  <c r="D330" i="110"/>
  <c r="B330" i="110"/>
  <c r="F329" i="110"/>
  <c r="D329" i="110"/>
  <c r="B329" i="110"/>
  <c r="F328" i="110"/>
  <c r="D328" i="110"/>
  <c r="B328" i="110"/>
  <c r="F327" i="110"/>
  <c r="D327" i="110"/>
  <c r="B327" i="110"/>
  <c r="F326" i="110"/>
  <c r="D326" i="110"/>
  <c r="B326" i="110"/>
  <c r="F325" i="110"/>
  <c r="D325" i="110"/>
  <c r="B325" i="110"/>
  <c r="F324" i="110"/>
  <c r="D324" i="110"/>
  <c r="B324" i="110"/>
  <c r="F323" i="110"/>
  <c r="D323" i="110"/>
  <c r="B323" i="110"/>
  <c r="F322" i="110"/>
  <c r="D322" i="110"/>
  <c r="B322" i="110"/>
  <c r="F321" i="110"/>
  <c r="D321" i="110"/>
  <c r="B321" i="110"/>
  <c r="F320" i="110"/>
  <c r="D320" i="110"/>
  <c r="B320" i="110"/>
  <c r="F319" i="110"/>
  <c r="D319" i="110"/>
  <c r="B319" i="110"/>
  <c r="F318" i="110"/>
  <c r="D318" i="110"/>
  <c r="B318" i="110"/>
  <c r="F317" i="110"/>
  <c r="D317" i="110"/>
  <c r="B317" i="110"/>
  <c r="F316" i="110"/>
  <c r="D316" i="110"/>
  <c r="B316" i="110"/>
  <c r="F315" i="110"/>
  <c r="D315" i="110"/>
  <c r="B315" i="110"/>
  <c r="F314" i="110"/>
  <c r="D314" i="110"/>
  <c r="B314" i="110"/>
  <c r="F313" i="110"/>
  <c r="D313" i="110"/>
  <c r="B313" i="110"/>
  <c r="F312" i="110"/>
  <c r="D312" i="110"/>
  <c r="B312" i="110"/>
  <c r="F311" i="110"/>
  <c r="D311" i="110"/>
  <c r="B311" i="110"/>
  <c r="F310" i="110"/>
  <c r="D310" i="110"/>
  <c r="B310" i="110"/>
  <c r="F309" i="110"/>
  <c r="D309" i="110"/>
  <c r="B309" i="110"/>
  <c r="F308" i="110"/>
  <c r="D308" i="110"/>
  <c r="B308" i="110"/>
  <c r="F307" i="110"/>
  <c r="D307" i="110"/>
  <c r="B307" i="110"/>
  <c r="F306" i="110"/>
  <c r="D306" i="110"/>
  <c r="B306" i="110"/>
  <c r="F305" i="110"/>
  <c r="D305" i="110"/>
  <c r="B305" i="110"/>
  <c r="F304" i="110"/>
  <c r="D304" i="110"/>
  <c r="B304" i="110"/>
  <c r="F303" i="110"/>
  <c r="D303" i="110"/>
  <c r="B303" i="110"/>
  <c r="F302" i="110"/>
  <c r="D302" i="110"/>
  <c r="B302" i="110"/>
  <c r="F301" i="110"/>
  <c r="D301" i="110"/>
  <c r="B301" i="110"/>
  <c r="F300" i="110"/>
  <c r="D300" i="110"/>
  <c r="B300" i="110"/>
  <c r="F299" i="110"/>
  <c r="D299" i="110"/>
  <c r="B299" i="110"/>
  <c r="F298" i="110"/>
  <c r="D298" i="110"/>
  <c r="B298" i="110"/>
  <c r="F297" i="110"/>
  <c r="D297" i="110"/>
  <c r="B297" i="110"/>
  <c r="F296" i="110"/>
  <c r="D296" i="110"/>
  <c r="B296" i="110"/>
  <c r="F295" i="110"/>
  <c r="D295" i="110"/>
  <c r="B295" i="110"/>
  <c r="F294" i="110"/>
  <c r="D294" i="110"/>
  <c r="B294" i="110"/>
  <c r="F293" i="110"/>
  <c r="D293" i="110"/>
  <c r="B293" i="110"/>
  <c r="F292" i="110"/>
  <c r="D292" i="110"/>
  <c r="B292" i="110"/>
  <c r="F291" i="110"/>
  <c r="D291" i="110"/>
  <c r="B291" i="110"/>
  <c r="F290" i="110"/>
  <c r="D290" i="110"/>
  <c r="B290" i="110"/>
  <c r="F289" i="110"/>
  <c r="D289" i="110"/>
  <c r="B289" i="110"/>
  <c r="F288" i="110"/>
  <c r="D288" i="110"/>
  <c r="B288" i="110"/>
  <c r="F287" i="110"/>
  <c r="D287" i="110"/>
  <c r="B287" i="110"/>
  <c r="F286" i="110"/>
  <c r="D286" i="110"/>
  <c r="B286" i="110"/>
  <c r="F285" i="110"/>
  <c r="D285" i="110"/>
  <c r="B285" i="110"/>
  <c r="F284" i="110"/>
  <c r="D284" i="110"/>
  <c r="B284" i="110"/>
  <c r="F283" i="110"/>
  <c r="D283" i="110"/>
  <c r="B283" i="110"/>
  <c r="F282" i="110"/>
  <c r="D282" i="110"/>
  <c r="B282" i="110"/>
  <c r="F281" i="110"/>
  <c r="D281" i="110"/>
  <c r="B281" i="110"/>
  <c r="F280" i="110"/>
  <c r="D280" i="110"/>
  <c r="B280" i="110"/>
  <c r="F279" i="110"/>
  <c r="D279" i="110"/>
  <c r="B279" i="110"/>
  <c r="F278" i="110"/>
  <c r="D278" i="110"/>
  <c r="B278" i="110"/>
  <c r="F277" i="110"/>
  <c r="D277" i="110"/>
  <c r="B277" i="110"/>
  <c r="F276" i="110"/>
  <c r="D276" i="110"/>
  <c r="B276" i="110"/>
  <c r="F275" i="110"/>
  <c r="D275" i="110"/>
  <c r="B275" i="110"/>
  <c r="F274" i="110"/>
  <c r="D274" i="110"/>
  <c r="B274" i="110"/>
  <c r="F273" i="110"/>
  <c r="D273" i="110"/>
  <c r="B273" i="110"/>
  <c r="F272" i="110"/>
  <c r="D272" i="110"/>
  <c r="B272" i="110"/>
  <c r="F271" i="110"/>
  <c r="D271" i="110"/>
  <c r="B271" i="110"/>
  <c r="F270" i="110"/>
  <c r="D270" i="110"/>
  <c r="B270" i="110"/>
  <c r="F269" i="110"/>
  <c r="D269" i="110"/>
  <c r="B269" i="110"/>
  <c r="F268" i="110"/>
  <c r="D268" i="110"/>
  <c r="B268" i="110"/>
  <c r="F267" i="110"/>
  <c r="D267" i="110"/>
  <c r="B267" i="110"/>
  <c r="F266" i="110"/>
  <c r="D266" i="110"/>
  <c r="B266" i="110"/>
  <c r="F265" i="110"/>
  <c r="D265" i="110"/>
  <c r="B265" i="110"/>
  <c r="F264" i="110"/>
  <c r="D264" i="110"/>
  <c r="B264" i="110"/>
  <c r="F263" i="110"/>
  <c r="D263" i="110"/>
  <c r="B263" i="110"/>
  <c r="F262" i="110"/>
  <c r="D262" i="110"/>
  <c r="B262" i="110"/>
  <c r="F261" i="110"/>
  <c r="D261" i="110"/>
  <c r="B261" i="110"/>
  <c r="F260" i="110"/>
  <c r="D260" i="110"/>
  <c r="B260" i="110"/>
  <c r="F259" i="110"/>
  <c r="D259" i="110"/>
  <c r="B259" i="110"/>
  <c r="F258" i="110"/>
  <c r="D258" i="110"/>
  <c r="B258" i="110"/>
  <c r="F257" i="110"/>
  <c r="D257" i="110"/>
  <c r="B257" i="110"/>
  <c r="F256" i="110"/>
  <c r="D256" i="110"/>
  <c r="B256" i="110"/>
  <c r="F255" i="110"/>
  <c r="D255" i="110"/>
  <c r="B255" i="110"/>
  <c r="F254" i="110"/>
  <c r="D254" i="110"/>
  <c r="B254" i="110"/>
  <c r="F253" i="110"/>
  <c r="D253" i="110"/>
  <c r="B253" i="110"/>
  <c r="F252" i="110"/>
  <c r="D252" i="110"/>
  <c r="B252" i="110"/>
  <c r="F251" i="110"/>
  <c r="D251" i="110"/>
  <c r="B251" i="110"/>
  <c r="F250" i="110"/>
  <c r="D250" i="110"/>
  <c r="B250" i="110"/>
  <c r="F249" i="110"/>
  <c r="D249" i="110"/>
  <c r="B249" i="110"/>
  <c r="F248" i="110"/>
  <c r="D248" i="110"/>
  <c r="B248" i="110"/>
  <c r="F247" i="110"/>
  <c r="D247" i="110"/>
  <c r="B247" i="110"/>
  <c r="F246" i="110"/>
  <c r="D246" i="110"/>
  <c r="B246" i="110"/>
  <c r="F245" i="110"/>
  <c r="D245" i="110"/>
  <c r="B245" i="110"/>
  <c r="F244" i="110"/>
  <c r="D244" i="110"/>
  <c r="B244" i="110"/>
  <c r="F243" i="110"/>
  <c r="D243" i="110"/>
  <c r="B243" i="110"/>
  <c r="F242" i="110"/>
  <c r="D242" i="110"/>
  <c r="B242" i="110"/>
  <c r="F241" i="110"/>
  <c r="D241" i="110"/>
  <c r="B241" i="110"/>
  <c r="F240" i="110"/>
  <c r="D240" i="110"/>
  <c r="B240" i="110"/>
  <c r="F239" i="110"/>
  <c r="D239" i="110"/>
  <c r="B239" i="110"/>
  <c r="F238" i="110"/>
  <c r="D238" i="110"/>
  <c r="B238" i="110"/>
  <c r="F237" i="110"/>
  <c r="D237" i="110"/>
  <c r="B237" i="110"/>
  <c r="F236" i="110"/>
  <c r="D236" i="110"/>
  <c r="B236" i="110"/>
  <c r="F235" i="110"/>
  <c r="D235" i="110"/>
  <c r="B235" i="110"/>
  <c r="F234" i="110"/>
  <c r="D234" i="110"/>
  <c r="B234" i="110"/>
  <c r="F233" i="110"/>
  <c r="D233" i="110"/>
  <c r="B233" i="110"/>
  <c r="F232" i="110"/>
  <c r="D232" i="110"/>
  <c r="B232" i="110"/>
  <c r="F231" i="110"/>
  <c r="D231" i="110"/>
  <c r="B231" i="110"/>
  <c r="F230" i="110"/>
  <c r="D230" i="110"/>
  <c r="B230" i="110"/>
  <c r="F229" i="110"/>
  <c r="D229" i="110"/>
  <c r="B229" i="110"/>
  <c r="F228" i="110"/>
  <c r="D228" i="110"/>
  <c r="B228" i="110"/>
  <c r="F227" i="110"/>
  <c r="D227" i="110"/>
  <c r="B227" i="110"/>
  <c r="F226" i="110"/>
  <c r="D226" i="110"/>
  <c r="B226" i="110"/>
  <c r="F225" i="110"/>
  <c r="D225" i="110"/>
  <c r="B225" i="110"/>
  <c r="F224" i="110"/>
  <c r="D224" i="110"/>
  <c r="B224" i="110"/>
  <c r="F223" i="110"/>
  <c r="D223" i="110"/>
  <c r="B223" i="110"/>
  <c r="F222" i="110"/>
  <c r="D222" i="110"/>
  <c r="B222" i="110"/>
  <c r="F221" i="110"/>
  <c r="D221" i="110"/>
  <c r="B221" i="110"/>
  <c r="F220" i="110"/>
  <c r="D220" i="110"/>
  <c r="B220" i="110"/>
  <c r="F219" i="110"/>
  <c r="D219" i="110"/>
  <c r="B219" i="110"/>
  <c r="F218" i="110"/>
  <c r="D218" i="110"/>
  <c r="B218" i="110"/>
  <c r="F217" i="110"/>
  <c r="D217" i="110"/>
  <c r="B217" i="110"/>
  <c r="F216" i="110"/>
  <c r="D216" i="110"/>
  <c r="B216" i="110"/>
  <c r="F215" i="110"/>
  <c r="D215" i="110"/>
  <c r="B215" i="110"/>
  <c r="F214" i="110"/>
  <c r="D214" i="110"/>
  <c r="B214" i="110"/>
  <c r="F213" i="110"/>
  <c r="D213" i="110"/>
  <c r="B213" i="110"/>
  <c r="F212" i="110"/>
  <c r="D212" i="110"/>
  <c r="B212" i="110"/>
  <c r="F211" i="110"/>
  <c r="D211" i="110"/>
  <c r="B211" i="110"/>
  <c r="F210" i="110"/>
  <c r="D210" i="110"/>
  <c r="B210" i="110"/>
  <c r="F209" i="110"/>
  <c r="D209" i="110"/>
  <c r="B209" i="110"/>
  <c r="F208" i="110"/>
  <c r="D208" i="110"/>
  <c r="B208" i="110"/>
  <c r="F207" i="110"/>
  <c r="D207" i="110"/>
  <c r="B207" i="110"/>
  <c r="F206" i="110"/>
  <c r="D206" i="110"/>
  <c r="B206" i="110"/>
  <c r="F205" i="110"/>
  <c r="D205" i="110"/>
  <c r="B205" i="110"/>
  <c r="F204" i="110"/>
  <c r="D204" i="110"/>
  <c r="B204" i="110"/>
  <c r="F203" i="110"/>
  <c r="D203" i="110"/>
  <c r="B203" i="110"/>
  <c r="F202" i="110"/>
  <c r="D202" i="110"/>
  <c r="B202" i="110"/>
  <c r="F201" i="110"/>
  <c r="D201" i="110"/>
  <c r="B201" i="110"/>
  <c r="F200" i="110"/>
  <c r="D200" i="110"/>
  <c r="B200" i="110"/>
  <c r="F199" i="110"/>
  <c r="D199" i="110"/>
  <c r="B199" i="110"/>
  <c r="F198" i="110"/>
  <c r="D198" i="110"/>
  <c r="B198" i="110"/>
  <c r="F197" i="110"/>
  <c r="D197" i="110"/>
  <c r="B197" i="110"/>
  <c r="F196" i="110"/>
  <c r="D196" i="110"/>
  <c r="B196" i="110"/>
  <c r="F195" i="110"/>
  <c r="D195" i="110"/>
  <c r="B195" i="110"/>
  <c r="F194" i="110"/>
  <c r="D194" i="110"/>
  <c r="B194" i="110"/>
  <c r="F193" i="110"/>
  <c r="D193" i="110"/>
  <c r="B193" i="110"/>
  <c r="F192" i="110"/>
  <c r="D192" i="110"/>
  <c r="B192" i="110"/>
  <c r="F191" i="110"/>
  <c r="D191" i="110"/>
  <c r="B191" i="110"/>
  <c r="F190" i="110"/>
  <c r="D190" i="110"/>
  <c r="B190" i="110"/>
  <c r="F189" i="110"/>
  <c r="D189" i="110"/>
  <c r="B189" i="110"/>
  <c r="F188" i="110"/>
  <c r="D188" i="110"/>
  <c r="B188" i="110"/>
  <c r="F187" i="110"/>
  <c r="D187" i="110"/>
  <c r="B187" i="110"/>
  <c r="F186" i="110"/>
  <c r="D186" i="110"/>
  <c r="B186" i="110"/>
  <c r="F185" i="110"/>
  <c r="D185" i="110"/>
  <c r="B185" i="110"/>
  <c r="F184" i="110"/>
  <c r="D184" i="110"/>
  <c r="B184" i="110"/>
  <c r="F183" i="110"/>
  <c r="D183" i="110"/>
  <c r="B183" i="110"/>
  <c r="F182" i="110"/>
  <c r="D182" i="110"/>
  <c r="B182" i="110"/>
  <c r="F181" i="110"/>
  <c r="D181" i="110"/>
  <c r="B181" i="110"/>
  <c r="F180" i="110"/>
  <c r="D180" i="110"/>
  <c r="B180" i="110"/>
  <c r="F179" i="110"/>
  <c r="D179" i="110"/>
  <c r="B179" i="110"/>
  <c r="F178" i="110"/>
  <c r="D178" i="110"/>
  <c r="B178" i="110"/>
  <c r="F177" i="110"/>
  <c r="D177" i="110"/>
  <c r="B177" i="110"/>
  <c r="F176" i="110"/>
  <c r="D176" i="110"/>
  <c r="B176" i="110"/>
  <c r="F175" i="110"/>
  <c r="D175" i="110"/>
  <c r="B175" i="110"/>
  <c r="F174" i="110"/>
  <c r="D174" i="110"/>
  <c r="B174" i="110"/>
  <c r="F173" i="110"/>
  <c r="D173" i="110"/>
  <c r="B173" i="110"/>
  <c r="F172" i="110"/>
  <c r="D172" i="110"/>
  <c r="B172" i="110"/>
  <c r="F171" i="110"/>
  <c r="D171" i="110"/>
  <c r="B171" i="110"/>
  <c r="F170" i="110"/>
  <c r="D170" i="110"/>
  <c r="B170" i="110"/>
  <c r="F169" i="110"/>
  <c r="D169" i="110"/>
  <c r="B169" i="110"/>
  <c r="F168" i="110"/>
  <c r="D168" i="110"/>
  <c r="B168" i="110"/>
  <c r="F167" i="110"/>
  <c r="D167" i="110"/>
  <c r="B167" i="110"/>
  <c r="F166" i="110"/>
  <c r="D166" i="110"/>
  <c r="B166" i="110"/>
  <c r="F165" i="110"/>
  <c r="D165" i="110"/>
  <c r="B165" i="110"/>
  <c r="F164" i="110"/>
  <c r="D164" i="110"/>
  <c r="B164" i="110"/>
  <c r="F163" i="110"/>
  <c r="D163" i="110"/>
  <c r="B163" i="110"/>
  <c r="F162" i="110"/>
  <c r="D162" i="110"/>
  <c r="B162" i="110"/>
  <c r="F161" i="110"/>
  <c r="D161" i="110"/>
  <c r="B161" i="110"/>
  <c r="F160" i="110"/>
  <c r="D160" i="110"/>
  <c r="B160" i="110"/>
  <c r="F159" i="110"/>
  <c r="D159" i="110"/>
  <c r="B159" i="110"/>
  <c r="F158" i="110"/>
  <c r="D158" i="110"/>
  <c r="B158" i="110"/>
  <c r="F157" i="110"/>
  <c r="D157" i="110"/>
  <c r="B157" i="110"/>
  <c r="F156" i="110"/>
  <c r="D156" i="110"/>
  <c r="B156" i="110"/>
  <c r="F155" i="110"/>
  <c r="D155" i="110"/>
  <c r="B155" i="110"/>
  <c r="F154" i="110"/>
  <c r="D154" i="110"/>
  <c r="B154" i="110"/>
  <c r="F153" i="110"/>
  <c r="D153" i="110"/>
  <c r="B153" i="110"/>
  <c r="F152" i="110"/>
  <c r="D152" i="110"/>
  <c r="B152" i="110"/>
  <c r="F151" i="110"/>
  <c r="D151" i="110"/>
  <c r="B151" i="110"/>
  <c r="F150" i="110"/>
  <c r="D150" i="110"/>
  <c r="B150" i="110"/>
  <c r="F149" i="110"/>
  <c r="D149" i="110"/>
  <c r="B149" i="110"/>
  <c r="F148" i="110"/>
  <c r="D148" i="110"/>
  <c r="B148" i="110"/>
  <c r="F147" i="110"/>
  <c r="D147" i="110"/>
  <c r="B147" i="110"/>
  <c r="F146" i="110"/>
  <c r="D146" i="110"/>
  <c r="B146" i="110"/>
  <c r="F145" i="110"/>
  <c r="D145" i="110"/>
  <c r="B145" i="110"/>
  <c r="F144" i="110"/>
  <c r="D144" i="110"/>
  <c r="B144" i="110"/>
  <c r="F143" i="110"/>
  <c r="D143" i="110"/>
  <c r="B143" i="110"/>
  <c r="F142" i="110"/>
  <c r="D142" i="110"/>
  <c r="B142" i="110"/>
  <c r="F141" i="110"/>
  <c r="D141" i="110"/>
  <c r="B141" i="110"/>
  <c r="F140" i="110"/>
  <c r="D140" i="110"/>
  <c r="B140" i="110"/>
  <c r="F139" i="110"/>
  <c r="D139" i="110"/>
  <c r="B139" i="110"/>
  <c r="F138" i="110"/>
  <c r="D138" i="110"/>
  <c r="B138" i="110"/>
  <c r="F137" i="110"/>
  <c r="D137" i="110"/>
  <c r="B137" i="110"/>
  <c r="F136" i="110"/>
  <c r="D136" i="110"/>
  <c r="B136" i="110"/>
  <c r="F135" i="110"/>
  <c r="D135" i="110"/>
  <c r="B135" i="110"/>
  <c r="F134" i="110"/>
  <c r="D134" i="110"/>
  <c r="B134" i="110"/>
  <c r="F133" i="110"/>
  <c r="D133" i="110"/>
  <c r="B133" i="110"/>
  <c r="F132" i="110"/>
  <c r="D132" i="110"/>
  <c r="B132" i="110"/>
  <c r="F131" i="110"/>
  <c r="D131" i="110"/>
  <c r="B131" i="110"/>
  <c r="F130" i="110"/>
  <c r="D130" i="110"/>
  <c r="B130" i="110"/>
  <c r="F129" i="110"/>
  <c r="D129" i="110"/>
  <c r="B129" i="110"/>
  <c r="F128" i="110"/>
  <c r="D128" i="110"/>
  <c r="B128" i="110"/>
  <c r="F127" i="110"/>
  <c r="D127" i="110"/>
  <c r="B127" i="110"/>
  <c r="F126" i="110"/>
  <c r="D126" i="110"/>
  <c r="B126" i="110"/>
  <c r="F125" i="110"/>
  <c r="D125" i="110"/>
  <c r="B125" i="110"/>
  <c r="F124" i="110"/>
  <c r="D124" i="110"/>
  <c r="B124" i="110"/>
  <c r="F123" i="110"/>
  <c r="D123" i="110"/>
  <c r="B123" i="110"/>
  <c r="F122" i="110"/>
  <c r="D122" i="110"/>
  <c r="B122" i="110"/>
  <c r="F121" i="110"/>
  <c r="D121" i="110"/>
  <c r="B121" i="110"/>
  <c r="F120" i="110"/>
  <c r="D120" i="110"/>
  <c r="B120" i="110"/>
  <c r="F119" i="110"/>
  <c r="D119" i="110"/>
  <c r="B119" i="110"/>
  <c r="F118" i="110"/>
  <c r="D118" i="110"/>
  <c r="B118" i="110"/>
  <c r="F117" i="110"/>
  <c r="D117" i="110"/>
  <c r="B117" i="110"/>
  <c r="F116" i="110"/>
  <c r="D116" i="110"/>
  <c r="B116" i="110"/>
  <c r="F115" i="110"/>
  <c r="D115" i="110"/>
  <c r="B115" i="110"/>
  <c r="F114" i="110"/>
  <c r="D114" i="110"/>
  <c r="B114" i="110"/>
  <c r="F113" i="110"/>
  <c r="D113" i="110"/>
  <c r="B113" i="110"/>
  <c r="F112" i="110"/>
  <c r="D112" i="110"/>
  <c r="B112" i="110"/>
  <c r="F111" i="110"/>
  <c r="D111" i="110"/>
  <c r="B111" i="110"/>
  <c r="F110" i="110"/>
  <c r="D110" i="110"/>
  <c r="B110" i="110"/>
  <c r="F109" i="110"/>
  <c r="D109" i="110"/>
  <c r="B109" i="110"/>
  <c r="F108" i="110"/>
  <c r="D108" i="110"/>
  <c r="B108" i="110"/>
  <c r="F107" i="110"/>
  <c r="D107" i="110"/>
  <c r="B107" i="110"/>
  <c r="F106" i="110"/>
  <c r="D106" i="110"/>
  <c r="B106" i="110"/>
  <c r="F105" i="110"/>
  <c r="D105" i="110"/>
  <c r="B105" i="110"/>
  <c r="F104" i="110"/>
  <c r="D104" i="110"/>
  <c r="B104" i="110"/>
  <c r="F103" i="110"/>
  <c r="D103" i="110"/>
  <c r="B103" i="110"/>
  <c r="F102" i="110"/>
  <c r="D102" i="110"/>
  <c r="B102" i="110"/>
  <c r="F101" i="110"/>
  <c r="D101" i="110"/>
  <c r="B101" i="110"/>
  <c r="F100" i="110"/>
  <c r="D100" i="110"/>
  <c r="B100" i="110"/>
  <c r="F99" i="110"/>
  <c r="D99" i="110"/>
  <c r="B99" i="110"/>
  <c r="F98" i="110"/>
  <c r="D98" i="110"/>
  <c r="B98" i="110"/>
  <c r="F97" i="110"/>
  <c r="D97" i="110"/>
  <c r="B97" i="110"/>
  <c r="F96" i="110"/>
  <c r="D96" i="110"/>
  <c r="B96" i="110"/>
  <c r="F95" i="110"/>
  <c r="D95" i="110"/>
  <c r="B95" i="110"/>
  <c r="F94" i="110"/>
  <c r="D94" i="110"/>
  <c r="B94" i="110"/>
  <c r="F93" i="110"/>
  <c r="D93" i="110"/>
  <c r="B93" i="110"/>
  <c r="F92" i="110"/>
  <c r="D92" i="110"/>
  <c r="B92" i="110"/>
  <c r="F91" i="110"/>
  <c r="D91" i="110"/>
  <c r="B91" i="110"/>
  <c r="F90" i="110"/>
  <c r="D90" i="110"/>
  <c r="B90" i="110"/>
  <c r="F89" i="110"/>
  <c r="D89" i="110"/>
  <c r="B89" i="110"/>
  <c r="F88" i="110"/>
  <c r="D88" i="110"/>
  <c r="B88" i="110"/>
  <c r="F87" i="110"/>
  <c r="D87" i="110"/>
  <c r="B87" i="110"/>
  <c r="F86" i="110"/>
  <c r="D86" i="110"/>
  <c r="B86" i="110"/>
  <c r="F85" i="110"/>
  <c r="D85" i="110"/>
  <c r="B85" i="110"/>
  <c r="F84" i="110"/>
  <c r="D84" i="110"/>
  <c r="B84" i="110"/>
  <c r="F83" i="110"/>
  <c r="D83" i="110"/>
  <c r="B83" i="110"/>
  <c r="F82" i="110"/>
  <c r="D82" i="110"/>
  <c r="B82" i="110"/>
  <c r="F81" i="110"/>
  <c r="D81" i="110"/>
  <c r="B81" i="110"/>
  <c r="F80" i="110"/>
  <c r="D80" i="110"/>
  <c r="B80" i="110"/>
  <c r="F79" i="110"/>
  <c r="D79" i="110"/>
  <c r="B79" i="110"/>
  <c r="F78" i="110"/>
  <c r="D78" i="110"/>
  <c r="B78" i="110"/>
  <c r="F77" i="110"/>
  <c r="D77" i="110"/>
  <c r="B77" i="110"/>
  <c r="F76" i="110"/>
  <c r="D76" i="110"/>
  <c r="B76" i="110"/>
  <c r="F75" i="110"/>
  <c r="D75" i="110"/>
  <c r="B75" i="110"/>
  <c r="F74" i="110"/>
  <c r="D74" i="110"/>
  <c r="B74" i="110"/>
  <c r="F73" i="110"/>
  <c r="D73" i="110"/>
  <c r="B73" i="110"/>
  <c r="F72" i="110"/>
  <c r="D72" i="110"/>
  <c r="B72" i="110"/>
  <c r="F71" i="110"/>
  <c r="D71" i="110"/>
  <c r="B71" i="110"/>
  <c r="F70" i="110"/>
  <c r="D70" i="110"/>
  <c r="B70" i="110"/>
  <c r="F69" i="110"/>
  <c r="D69" i="110"/>
  <c r="B69" i="110"/>
  <c r="F68" i="110"/>
  <c r="D68" i="110"/>
  <c r="B68" i="110"/>
  <c r="F67" i="110"/>
  <c r="D67" i="110"/>
  <c r="B67" i="110"/>
  <c r="F66" i="110"/>
  <c r="D66" i="110"/>
  <c r="B66" i="110"/>
  <c r="F65" i="110"/>
  <c r="D65" i="110"/>
  <c r="B65" i="110"/>
  <c r="F64" i="110"/>
  <c r="D64" i="110"/>
  <c r="B64" i="110"/>
  <c r="F63" i="110"/>
  <c r="D63" i="110"/>
  <c r="B63" i="110"/>
  <c r="F62" i="110"/>
  <c r="D62" i="110"/>
  <c r="B62" i="110"/>
  <c r="F61" i="110"/>
  <c r="D61" i="110"/>
  <c r="B61" i="110"/>
  <c r="F60" i="110"/>
  <c r="D60" i="110"/>
  <c r="B60" i="110"/>
  <c r="F59" i="110"/>
  <c r="D59" i="110"/>
  <c r="B59" i="110"/>
  <c r="F58" i="110"/>
  <c r="D58" i="110"/>
  <c r="B58" i="110"/>
  <c r="F57" i="110"/>
  <c r="D57" i="110"/>
  <c r="B57" i="110"/>
  <c r="F56" i="110"/>
  <c r="D56" i="110"/>
  <c r="B56" i="110"/>
  <c r="F55" i="110"/>
  <c r="D55" i="110"/>
  <c r="B55" i="110"/>
  <c r="F54" i="110"/>
  <c r="D54" i="110"/>
  <c r="B54" i="110"/>
  <c r="F53" i="110"/>
  <c r="D53" i="110"/>
  <c r="B53" i="110"/>
  <c r="F52" i="110"/>
  <c r="D52" i="110"/>
  <c r="B52" i="110"/>
  <c r="F51" i="110"/>
  <c r="D51" i="110"/>
  <c r="B51" i="110"/>
  <c r="F50" i="110"/>
  <c r="D50" i="110"/>
  <c r="B50" i="110"/>
  <c r="F49" i="110"/>
  <c r="D49" i="110"/>
  <c r="B49" i="110"/>
  <c r="F48" i="110"/>
  <c r="D48" i="110"/>
  <c r="B48" i="110"/>
  <c r="F47" i="110"/>
  <c r="D47" i="110"/>
  <c r="B47" i="110"/>
  <c r="F46" i="110"/>
  <c r="D46" i="110"/>
  <c r="B46" i="110"/>
  <c r="F45" i="110"/>
  <c r="D45" i="110"/>
  <c r="B45" i="110"/>
  <c r="F44" i="110"/>
  <c r="D44" i="110"/>
  <c r="B44" i="110"/>
  <c r="F43" i="110"/>
  <c r="D43" i="110"/>
  <c r="B43" i="110"/>
  <c r="F42" i="110"/>
  <c r="D42" i="110"/>
  <c r="B42" i="110"/>
  <c r="F41" i="110"/>
  <c r="D41" i="110"/>
  <c r="B41" i="110"/>
  <c r="F40" i="110"/>
  <c r="D40" i="110"/>
  <c r="B40" i="110"/>
  <c r="F39" i="110"/>
  <c r="D39" i="110"/>
  <c r="B39" i="110"/>
  <c r="F38" i="110"/>
  <c r="D38" i="110"/>
  <c r="B38" i="110"/>
  <c r="F37" i="110"/>
  <c r="D37" i="110"/>
  <c r="B37" i="110"/>
  <c r="F36" i="110"/>
  <c r="D36" i="110"/>
  <c r="B36" i="110"/>
  <c r="F35" i="110"/>
  <c r="D35" i="110"/>
  <c r="B35" i="110"/>
  <c r="F34" i="110"/>
  <c r="D34" i="110"/>
  <c r="B34" i="110"/>
  <c r="F33" i="110"/>
  <c r="D33" i="110"/>
  <c r="B33" i="110"/>
  <c r="F32" i="110"/>
  <c r="D32" i="110"/>
  <c r="B32" i="110"/>
  <c r="F31" i="110"/>
  <c r="D31" i="110"/>
  <c r="B31" i="110"/>
  <c r="F30" i="110"/>
  <c r="D30" i="110"/>
  <c r="B30" i="110"/>
  <c r="F29" i="110"/>
  <c r="D29" i="110"/>
  <c r="B29" i="110"/>
  <c r="F28" i="110"/>
  <c r="D28" i="110"/>
  <c r="B28" i="110"/>
  <c r="F27" i="110"/>
  <c r="D27" i="110"/>
  <c r="B27" i="110"/>
  <c r="F26" i="110"/>
  <c r="D26" i="110"/>
  <c r="B26" i="110"/>
  <c r="F25" i="110"/>
  <c r="D25" i="110"/>
  <c r="B25" i="110"/>
  <c r="F24" i="110"/>
  <c r="D24" i="110"/>
  <c r="B24" i="110"/>
  <c r="F23" i="110"/>
  <c r="D23" i="110"/>
  <c r="B23" i="110"/>
  <c r="F22" i="110"/>
  <c r="D22" i="110"/>
  <c r="B22" i="110"/>
  <c r="F21" i="110"/>
  <c r="D21" i="110"/>
  <c r="B21" i="110"/>
  <c r="F20" i="110"/>
  <c r="D20" i="110"/>
  <c r="B20" i="110"/>
  <c r="F19" i="110"/>
  <c r="D19" i="110"/>
  <c r="B19" i="110"/>
  <c r="F18" i="110"/>
  <c r="D18" i="110"/>
  <c r="B18" i="110"/>
  <c r="F17" i="110"/>
  <c r="D17" i="110"/>
  <c r="B17" i="110"/>
  <c r="F16" i="110"/>
  <c r="D16" i="110"/>
  <c r="B16" i="110"/>
  <c r="F15" i="110"/>
  <c r="D15" i="110"/>
  <c r="B15" i="110"/>
  <c r="F14" i="110"/>
  <c r="D14" i="110"/>
  <c r="B14" i="110"/>
  <c r="F13" i="110"/>
  <c r="D13" i="110"/>
  <c r="B13" i="110"/>
  <c r="F12" i="110"/>
  <c r="D12" i="110"/>
  <c r="B12" i="110"/>
  <c r="F11" i="110"/>
  <c r="D11" i="110"/>
  <c r="B11" i="110"/>
  <c r="F10" i="110"/>
  <c r="D10" i="110"/>
  <c r="B10" i="110"/>
  <c r="AK109" i="108"/>
  <c r="AJ109" i="108"/>
  <c r="AG109" i="108"/>
  <c r="AF109" i="108"/>
  <c r="S109" i="108"/>
  <c r="R109" i="108"/>
  <c r="P109" i="108"/>
  <c r="O109" i="108"/>
  <c r="N109" i="108"/>
  <c r="M109" i="108"/>
  <c r="L109" i="108"/>
  <c r="K109" i="108"/>
  <c r="J109" i="108"/>
  <c r="I109" i="108"/>
  <c r="H109" i="108"/>
  <c r="G109" i="108"/>
  <c r="F109" i="108"/>
  <c r="E109" i="108"/>
  <c r="D109" i="108"/>
  <c r="R89" i="108"/>
  <c r="S89" i="108" s="1"/>
  <c r="Q88" i="108"/>
  <c r="R88" i="108" s="1"/>
  <c r="S88" i="108" s="1"/>
  <c r="R87" i="108"/>
  <c r="S87" i="108" s="1"/>
  <c r="R86" i="108"/>
  <c r="S86" i="108" s="1"/>
  <c r="AG83" i="108"/>
  <c r="AF83" i="108"/>
  <c r="S83" i="108"/>
  <c r="R83" i="108"/>
  <c r="Q83" i="108"/>
  <c r="Q80" i="108"/>
  <c r="R80" i="108" s="1"/>
  <c r="S80" i="108" s="1"/>
  <c r="AG79" i="108"/>
  <c r="R79" i="108"/>
  <c r="S79" i="108" s="1"/>
  <c r="Q78" i="108"/>
  <c r="R78" i="108" s="1"/>
  <c r="S78" i="108" s="1"/>
  <c r="R77" i="108"/>
  <c r="S77" i="108" s="1"/>
  <c r="AG75" i="108"/>
  <c r="R75" i="108"/>
  <c r="S75" i="108" s="1"/>
  <c r="S74" i="108" s="1"/>
  <c r="AG74" i="108"/>
  <c r="R74" i="108"/>
  <c r="Q74" i="108"/>
  <c r="R73" i="108"/>
  <c r="S73" i="108" s="1"/>
  <c r="S72" i="108" s="1"/>
  <c r="AG72" i="108"/>
  <c r="AF72" i="108"/>
  <c r="R72" i="108"/>
  <c r="Q72" i="108"/>
  <c r="AF65" i="108"/>
  <c r="H65" i="108"/>
  <c r="G65" i="108"/>
  <c r="F65" i="108"/>
  <c r="E65" i="108"/>
  <c r="D65" i="108"/>
  <c r="C65" i="108"/>
  <c r="AK55" i="108"/>
  <c r="P55" i="108"/>
  <c r="Q55" i="108" s="1"/>
  <c r="R55" i="108" s="1"/>
  <c r="S55" i="108" s="1"/>
  <c r="Q51" i="108"/>
  <c r="R51" i="108" s="1"/>
  <c r="S51" i="108" s="1"/>
  <c r="AG50" i="108"/>
  <c r="AF50" i="108"/>
  <c r="Q50" i="108"/>
  <c r="R50" i="108" s="1"/>
  <c r="S50" i="108" s="1"/>
  <c r="AG43" i="108"/>
  <c r="AK42" i="108"/>
  <c r="P42" i="108"/>
  <c r="Q39" i="108"/>
  <c r="AF37" i="108"/>
  <c r="AK31" i="108"/>
  <c r="AJ31" i="108"/>
  <c r="P31" i="108"/>
  <c r="O31" i="108"/>
  <c r="AF30" i="108"/>
  <c r="AG39" i="108" s="1"/>
  <c r="R30" i="108"/>
  <c r="L30" i="108"/>
  <c r="K30" i="108"/>
  <c r="J30" i="108"/>
  <c r="I30" i="108"/>
  <c r="AF27" i="108"/>
  <c r="AK18" i="108"/>
  <c r="AJ18" i="108"/>
  <c r="P18" i="108"/>
  <c r="O18" i="108"/>
  <c r="N18" i="108"/>
  <c r="M18" i="108"/>
  <c r="L18" i="108"/>
  <c r="K18" i="108"/>
  <c r="AF17" i="108"/>
  <c r="AK12" i="108"/>
  <c r="P12" i="108"/>
  <c r="AK11" i="108"/>
  <c r="P11" i="108"/>
  <c r="AK10" i="108"/>
  <c r="P10" i="108"/>
  <c r="AK9" i="108"/>
  <c r="P9" i="108"/>
  <c r="AF7" i="108"/>
  <c r="S91" i="107"/>
  <c r="K90" i="107"/>
  <c r="J90" i="107"/>
  <c r="I90" i="107"/>
  <c r="H90" i="107"/>
  <c r="G90" i="107"/>
  <c r="F90" i="107"/>
  <c r="E90" i="107"/>
  <c r="D90" i="107"/>
  <c r="C90" i="107"/>
  <c r="Q89" i="107"/>
  <c r="L89" i="107"/>
  <c r="K89" i="107"/>
  <c r="J89" i="107"/>
  <c r="I89" i="107"/>
  <c r="H89" i="107"/>
  <c r="G89" i="107"/>
  <c r="F89" i="107"/>
  <c r="E89" i="107"/>
  <c r="D89" i="107"/>
  <c r="C89" i="107"/>
  <c r="K84" i="107"/>
  <c r="J84" i="107"/>
  <c r="I84" i="107"/>
  <c r="H84" i="107"/>
  <c r="G84" i="107"/>
  <c r="F84" i="107"/>
  <c r="E84" i="107"/>
  <c r="D84" i="107"/>
  <c r="C84" i="107"/>
  <c r="Q83" i="107"/>
  <c r="N83" i="107"/>
  <c r="M83" i="107"/>
  <c r="L83" i="107"/>
  <c r="K83" i="107"/>
  <c r="J83" i="107"/>
  <c r="I83" i="107"/>
  <c r="H83" i="107"/>
  <c r="G83" i="107"/>
  <c r="F83" i="107"/>
  <c r="E83" i="107"/>
  <c r="D83" i="107"/>
  <c r="C83" i="107"/>
  <c r="N82" i="107"/>
  <c r="M82" i="107"/>
  <c r="L82" i="107"/>
  <c r="K82" i="107"/>
  <c r="J82" i="107"/>
  <c r="I82" i="107"/>
  <c r="H82" i="107"/>
  <c r="G82" i="107"/>
  <c r="F82" i="107"/>
  <c r="E82" i="107"/>
  <c r="D82" i="107"/>
  <c r="C82" i="107"/>
  <c r="Q81" i="107"/>
  <c r="N81" i="107"/>
  <c r="M81" i="107"/>
  <c r="L81" i="107"/>
  <c r="K81" i="107"/>
  <c r="J81" i="107"/>
  <c r="I81" i="107"/>
  <c r="H81" i="107"/>
  <c r="G81" i="107"/>
  <c r="F81" i="107"/>
  <c r="E81" i="107"/>
  <c r="D81" i="107"/>
  <c r="C81" i="107"/>
  <c r="K79" i="107"/>
  <c r="K85" i="107" s="1"/>
  <c r="G75" i="112" s="1"/>
  <c r="J79" i="107"/>
  <c r="J85" i="107" s="1"/>
  <c r="F75" i="112" s="1"/>
  <c r="I79" i="107"/>
  <c r="I85" i="107" s="1"/>
  <c r="E75" i="112" s="1"/>
  <c r="H79" i="107"/>
  <c r="H85" i="107" s="1"/>
  <c r="D75" i="112" s="1"/>
  <c r="G79" i="107"/>
  <c r="G85" i="107" s="1"/>
  <c r="C75" i="112" s="1"/>
  <c r="F79" i="107"/>
  <c r="F85" i="107" s="1"/>
  <c r="B75" i="112" s="1"/>
  <c r="E79" i="107"/>
  <c r="E85" i="107" s="1"/>
  <c r="D79" i="107"/>
  <c r="D85" i="107" s="1"/>
  <c r="C79" i="107"/>
  <c r="C85" i="107" s="1"/>
  <c r="Q75" i="107"/>
  <c r="K75" i="107"/>
  <c r="J75" i="107"/>
  <c r="I75" i="107"/>
  <c r="H75" i="107"/>
  <c r="G75" i="107"/>
  <c r="F75" i="107"/>
  <c r="E75" i="107"/>
  <c r="D75" i="107"/>
  <c r="C75" i="107"/>
  <c r="Q74" i="107"/>
  <c r="N74" i="107"/>
  <c r="M74" i="107"/>
  <c r="L74" i="107"/>
  <c r="K74" i="107"/>
  <c r="J74" i="107"/>
  <c r="I74" i="107"/>
  <c r="H74" i="107"/>
  <c r="G74" i="107"/>
  <c r="F74" i="107"/>
  <c r="E74" i="107"/>
  <c r="D74" i="107"/>
  <c r="C74" i="107"/>
  <c r="K73" i="107"/>
  <c r="J73" i="107"/>
  <c r="I73" i="107"/>
  <c r="H73" i="107"/>
  <c r="G73" i="107"/>
  <c r="F73" i="107"/>
  <c r="E73" i="107"/>
  <c r="D73" i="107"/>
  <c r="C73" i="107"/>
  <c r="K72" i="107"/>
  <c r="K77" i="107" s="1"/>
  <c r="G70" i="112" s="1"/>
  <c r="J72" i="107"/>
  <c r="J77" i="107" s="1"/>
  <c r="F70" i="112" s="1"/>
  <c r="I72" i="107"/>
  <c r="I77" i="107" s="1"/>
  <c r="E70" i="112" s="1"/>
  <c r="H72" i="107"/>
  <c r="H77" i="107" s="1"/>
  <c r="D70" i="112" s="1"/>
  <c r="G72" i="107"/>
  <c r="G77" i="107" s="1"/>
  <c r="C70" i="112" s="1"/>
  <c r="F72" i="107"/>
  <c r="F77" i="107" s="1"/>
  <c r="B70" i="112" s="1"/>
  <c r="E72" i="107"/>
  <c r="E77" i="107" s="1"/>
  <c r="D72" i="107"/>
  <c r="D77" i="107" s="1"/>
  <c r="C72" i="107"/>
  <c r="C77" i="107" s="1"/>
  <c r="K69" i="107"/>
  <c r="J69" i="107"/>
  <c r="I69" i="107"/>
  <c r="H69" i="107"/>
  <c r="G69" i="107"/>
  <c r="F69" i="107"/>
  <c r="E69" i="107"/>
  <c r="D69" i="107"/>
  <c r="C69" i="107"/>
  <c r="K68" i="107"/>
  <c r="J68" i="107"/>
  <c r="I68" i="107"/>
  <c r="H68" i="107"/>
  <c r="G68" i="107"/>
  <c r="F68" i="107"/>
  <c r="E68" i="107"/>
  <c r="D68" i="107"/>
  <c r="C68" i="107"/>
  <c r="K67" i="107"/>
  <c r="J67" i="107"/>
  <c r="I67" i="107"/>
  <c r="H67" i="107"/>
  <c r="G67" i="107"/>
  <c r="F67" i="107"/>
  <c r="E67" i="107"/>
  <c r="D67" i="107"/>
  <c r="C67" i="107"/>
  <c r="K66" i="107"/>
  <c r="J66" i="107"/>
  <c r="I66" i="107"/>
  <c r="H66" i="107"/>
  <c r="G66" i="107"/>
  <c r="F66" i="107"/>
  <c r="E66" i="107"/>
  <c r="D66" i="107"/>
  <c r="C66" i="107"/>
  <c r="K65" i="107"/>
  <c r="J65" i="107"/>
  <c r="I65" i="107"/>
  <c r="H65" i="107"/>
  <c r="G65" i="107"/>
  <c r="F65" i="107"/>
  <c r="E65" i="107"/>
  <c r="D65" i="107"/>
  <c r="C65" i="107"/>
  <c r="K64" i="107"/>
  <c r="J64" i="107"/>
  <c r="I64" i="107"/>
  <c r="H64" i="107"/>
  <c r="G64" i="107"/>
  <c r="F64" i="107"/>
  <c r="E64" i="107"/>
  <c r="D64" i="107"/>
  <c r="C64" i="107"/>
  <c r="K63" i="107"/>
  <c r="J63" i="107"/>
  <c r="I63" i="107"/>
  <c r="H63" i="107"/>
  <c r="G63" i="107"/>
  <c r="L245" i="106" s="1"/>
  <c r="G18" i="107" s="1"/>
  <c r="F63" i="107"/>
  <c r="K245" i="106" s="1"/>
  <c r="F18" i="107" s="1"/>
  <c r="E63" i="107"/>
  <c r="J245" i="106" s="1"/>
  <c r="E18" i="107" s="1"/>
  <c r="D63" i="107"/>
  <c r="I245" i="106" s="1"/>
  <c r="D18" i="107" s="1"/>
  <c r="C63" i="107"/>
  <c r="H245" i="106" s="1"/>
  <c r="Q62" i="107"/>
  <c r="K62" i="107"/>
  <c r="J62" i="107"/>
  <c r="I62" i="107"/>
  <c r="H62" i="107"/>
  <c r="G62" i="107"/>
  <c r="F62" i="107"/>
  <c r="E62" i="107"/>
  <c r="D62" i="107"/>
  <c r="C62" i="107"/>
  <c r="Q61" i="107"/>
  <c r="K61" i="107"/>
  <c r="J61" i="107"/>
  <c r="I61" i="107"/>
  <c r="H61" i="107"/>
  <c r="G61" i="107"/>
  <c r="F61" i="107"/>
  <c r="E61" i="107"/>
  <c r="D61" i="107"/>
  <c r="C61" i="107"/>
  <c r="Q60" i="107"/>
  <c r="K60" i="107"/>
  <c r="J60" i="107"/>
  <c r="I60" i="107"/>
  <c r="H60" i="107"/>
  <c r="G60" i="107"/>
  <c r="F60" i="107"/>
  <c r="E60" i="107"/>
  <c r="D60" i="107"/>
  <c r="C60" i="107"/>
  <c r="K59" i="107"/>
  <c r="J59" i="107"/>
  <c r="I59" i="107"/>
  <c r="H59" i="107"/>
  <c r="G59" i="107"/>
  <c r="F59" i="107"/>
  <c r="E59" i="107"/>
  <c r="D59" i="107"/>
  <c r="C59" i="107"/>
  <c r="Q58" i="107"/>
  <c r="K58" i="107"/>
  <c r="J58" i="107"/>
  <c r="I58" i="107"/>
  <c r="H58" i="107"/>
  <c r="G58" i="107"/>
  <c r="F58" i="107"/>
  <c r="E58" i="107"/>
  <c r="D58" i="107"/>
  <c r="C58" i="107"/>
  <c r="Q57" i="107"/>
  <c r="Q70" i="107" s="1"/>
  <c r="K57" i="107"/>
  <c r="K70" i="107" s="1"/>
  <c r="J57" i="107"/>
  <c r="J70" i="107" s="1"/>
  <c r="I57" i="107"/>
  <c r="I70" i="107" s="1"/>
  <c r="H57" i="107"/>
  <c r="H70" i="107" s="1"/>
  <c r="G57" i="107"/>
  <c r="G70" i="107" s="1"/>
  <c r="G87" i="107" s="1"/>
  <c r="C80" i="112" s="1"/>
  <c r="F57" i="107"/>
  <c r="F70" i="107" s="1"/>
  <c r="F87" i="107" s="1"/>
  <c r="B80" i="112" s="1"/>
  <c r="E57" i="107"/>
  <c r="E70" i="107" s="1"/>
  <c r="E87" i="107" s="1"/>
  <c r="D57" i="107"/>
  <c r="D70" i="107" s="1"/>
  <c r="D87" i="107" s="1"/>
  <c r="C57" i="107"/>
  <c r="C70" i="107" s="1"/>
  <c r="C87" i="107" s="1"/>
  <c r="G35" i="107"/>
  <c r="K26" i="107"/>
  <c r="J26" i="107"/>
  <c r="I26" i="107"/>
  <c r="H26" i="107"/>
  <c r="G26" i="107"/>
  <c r="F26" i="107"/>
  <c r="E26" i="107"/>
  <c r="D26" i="107"/>
  <c r="C26" i="107"/>
  <c r="Q25" i="107"/>
  <c r="Q10" i="107"/>
  <c r="Q9" i="107"/>
  <c r="Q8" i="107"/>
  <c r="Q7" i="107"/>
  <c r="Q12" i="107" s="1"/>
  <c r="B7" i="107"/>
  <c r="B5" i="107"/>
  <c r="W309" i="106"/>
  <c r="V309" i="106"/>
  <c r="P309" i="106"/>
  <c r="Q309" i="106" s="1"/>
  <c r="O309" i="106"/>
  <c r="N309" i="106"/>
  <c r="Y309" i="106" s="1"/>
  <c r="Y226" i="106" s="1"/>
  <c r="W25" i="106" s="1"/>
  <c r="M309" i="106"/>
  <c r="L309" i="106"/>
  <c r="K309" i="106"/>
  <c r="J309" i="106"/>
  <c r="I309" i="106"/>
  <c r="W308" i="106"/>
  <c r="W310" i="106" s="1"/>
  <c r="V308" i="106"/>
  <c r="V310" i="106" s="1"/>
  <c r="W311" i="106" s="1"/>
  <c r="P308" i="106"/>
  <c r="O308" i="106"/>
  <c r="O310" i="106" s="1"/>
  <c r="N308" i="106"/>
  <c r="M308" i="106"/>
  <c r="M310" i="106" s="1"/>
  <c r="L308" i="106"/>
  <c r="L310" i="106" s="1"/>
  <c r="M311" i="106" s="1"/>
  <c r="K308" i="106"/>
  <c r="K310" i="106" s="1"/>
  <c r="J308" i="106"/>
  <c r="J310" i="106" s="1"/>
  <c r="I308" i="106"/>
  <c r="I310" i="106" s="1"/>
  <c r="K305" i="106"/>
  <c r="J305" i="106"/>
  <c r="L304" i="106"/>
  <c r="L305" i="106" s="1"/>
  <c r="L303" i="106"/>
  <c r="K303" i="106"/>
  <c r="J303" i="106"/>
  <c r="AK302" i="106"/>
  <c r="Y302" i="106"/>
  <c r="Q302" i="106"/>
  <c r="AJ301" i="106"/>
  <c r="AJ300" i="106"/>
  <c r="AJ299" i="106"/>
  <c r="AJ302" i="106" s="1"/>
  <c r="Y299" i="106"/>
  <c r="W299" i="106"/>
  <c r="W300" i="106" s="1"/>
  <c r="V299" i="106"/>
  <c r="V300" i="106" s="1"/>
  <c r="Q299" i="106"/>
  <c r="P299" i="106"/>
  <c r="O299" i="106"/>
  <c r="N299" i="106"/>
  <c r="M299" i="106"/>
  <c r="L299" i="106"/>
  <c r="K299" i="106"/>
  <c r="J299" i="106"/>
  <c r="I299" i="106"/>
  <c r="K296" i="106"/>
  <c r="J296" i="106"/>
  <c r="K297" i="106" s="1"/>
  <c r="I296" i="106"/>
  <c r="J297" i="106" s="1"/>
  <c r="V295" i="106"/>
  <c r="V294" i="106"/>
  <c r="K291" i="106"/>
  <c r="J291" i="106"/>
  <c r="L290" i="106"/>
  <c r="L291" i="106" s="1"/>
  <c r="W289" i="106"/>
  <c r="V289" i="106"/>
  <c r="W285" i="106"/>
  <c r="W286" i="106" s="1"/>
  <c r="V285" i="106"/>
  <c r="V286" i="106" s="1"/>
  <c r="P285" i="106"/>
  <c r="O285" i="106"/>
  <c r="N285" i="106"/>
  <c r="M285" i="106"/>
  <c r="L285" i="106"/>
  <c r="K285" i="106"/>
  <c r="J285" i="106"/>
  <c r="I285" i="106"/>
  <c r="J284" i="106"/>
  <c r="W283" i="106"/>
  <c r="W284" i="106" s="1"/>
  <c r="V283" i="106"/>
  <c r="P283" i="106"/>
  <c r="O283" i="106"/>
  <c r="N283" i="106"/>
  <c r="M283" i="106"/>
  <c r="L283" i="106"/>
  <c r="K283" i="106"/>
  <c r="K284" i="106" s="1"/>
  <c r="K282" i="106"/>
  <c r="J282" i="106"/>
  <c r="I282" i="106"/>
  <c r="V281" i="106"/>
  <c r="V280" i="106"/>
  <c r="J274" i="106"/>
  <c r="I274" i="106"/>
  <c r="W273" i="106"/>
  <c r="W275" i="106" s="1"/>
  <c r="V273" i="106"/>
  <c r="V275" i="106" s="1"/>
  <c r="P273" i="106"/>
  <c r="O273" i="106"/>
  <c r="N273" i="106"/>
  <c r="N275" i="106" s="1"/>
  <c r="M273" i="106"/>
  <c r="M275" i="106" s="1"/>
  <c r="L273" i="106"/>
  <c r="L275" i="106" s="1"/>
  <c r="K273" i="106"/>
  <c r="K275" i="106" s="1"/>
  <c r="J273" i="106"/>
  <c r="J275" i="106" s="1"/>
  <c r="I273" i="106"/>
  <c r="I275" i="106" s="1"/>
  <c r="K271" i="106"/>
  <c r="J271" i="106"/>
  <c r="I271" i="106"/>
  <c r="K269" i="106"/>
  <c r="J269" i="106"/>
  <c r="I269" i="106"/>
  <c r="K268" i="106"/>
  <c r="J268" i="106"/>
  <c r="I268" i="106"/>
  <c r="K267" i="106"/>
  <c r="J267" i="106"/>
  <c r="I267" i="106"/>
  <c r="K266" i="106"/>
  <c r="J266" i="106"/>
  <c r="I266" i="106"/>
  <c r="Y260" i="106"/>
  <c r="W260" i="106"/>
  <c r="V260" i="106"/>
  <c r="S260" i="106"/>
  <c r="R260" i="106"/>
  <c r="Q260" i="106"/>
  <c r="P260" i="106"/>
  <c r="O260" i="106"/>
  <c r="N260" i="106"/>
  <c r="M260" i="106"/>
  <c r="L260" i="106"/>
  <c r="V253" i="106"/>
  <c r="I253" i="106"/>
  <c r="Q249" i="106"/>
  <c r="R249" i="106" s="1"/>
  <c r="S249" i="106" s="1"/>
  <c r="V248" i="106"/>
  <c r="V34" i="106" s="1"/>
  <c r="W248" i="106" s="1"/>
  <c r="P248" i="106"/>
  <c r="Q248" i="106" s="1"/>
  <c r="O248" i="106"/>
  <c r="N248" i="106"/>
  <c r="M248" i="106"/>
  <c r="L248" i="106"/>
  <c r="K248" i="106"/>
  <c r="J248" i="106"/>
  <c r="Y245" i="106"/>
  <c r="V245" i="106"/>
  <c r="Q18" i="107" s="1"/>
  <c r="P245" i="106"/>
  <c r="K18" i="107" s="1"/>
  <c r="O245" i="106"/>
  <c r="J18" i="107" s="1"/>
  <c r="N245" i="106"/>
  <c r="I18" i="107" s="1"/>
  <c r="M245" i="106"/>
  <c r="H18" i="107" s="1"/>
  <c r="C237" i="106"/>
  <c r="Y231" i="106"/>
  <c r="Q231" i="106"/>
  <c r="R231" i="106" s="1"/>
  <c r="S231" i="106" s="1"/>
  <c r="W230" i="106"/>
  <c r="W234" i="106" s="1"/>
  <c r="W235" i="106" s="1"/>
  <c r="V230" i="106"/>
  <c r="V227" i="106"/>
  <c r="V226" i="106"/>
  <c r="W238" i="106" s="1"/>
  <c r="W239" i="106" s="1"/>
  <c r="V225" i="106"/>
  <c r="V224" i="106"/>
  <c r="V223" i="106"/>
  <c r="W236" i="106" s="1"/>
  <c r="W237" i="106" s="1"/>
  <c r="V222" i="106"/>
  <c r="V221" i="106"/>
  <c r="V220" i="106"/>
  <c r="V229" i="106" s="1"/>
  <c r="V219" i="106"/>
  <c r="V218" i="106"/>
  <c r="W216" i="106"/>
  <c r="V216" i="106"/>
  <c r="B215" i="106"/>
  <c r="W187" i="106"/>
  <c r="V187" i="106"/>
  <c r="R187" i="106"/>
  <c r="Q187" i="106"/>
  <c r="W170" i="106"/>
  <c r="S170" i="106"/>
  <c r="R170" i="106"/>
  <c r="Q170" i="106"/>
  <c r="W160" i="106"/>
  <c r="V160" i="106"/>
  <c r="S160" i="106"/>
  <c r="R160" i="106"/>
  <c r="Q160" i="106"/>
  <c r="V154" i="106"/>
  <c r="V149" i="106"/>
  <c r="W148" i="106"/>
  <c r="V135" i="106"/>
  <c r="P135" i="106"/>
  <c r="O135" i="106"/>
  <c r="N135" i="106"/>
  <c r="M135" i="106"/>
  <c r="L135" i="106"/>
  <c r="K135" i="106"/>
  <c r="J135" i="106"/>
  <c r="I135" i="106"/>
  <c r="W133" i="106"/>
  <c r="V133" i="106"/>
  <c r="V134" i="106" s="1"/>
  <c r="Q76" i="107" s="1"/>
  <c r="Q133" i="106"/>
  <c r="P133" i="106"/>
  <c r="P134" i="106" s="1"/>
  <c r="O133" i="106"/>
  <c r="O134" i="106" s="1"/>
  <c r="N133" i="106"/>
  <c r="N134" i="106" s="1"/>
  <c r="M133" i="106"/>
  <c r="M134" i="106" s="1"/>
  <c r="L133" i="106"/>
  <c r="L134" i="106" s="1"/>
  <c r="K133" i="106"/>
  <c r="K134" i="106" s="1"/>
  <c r="J133" i="106"/>
  <c r="J134" i="106" s="1"/>
  <c r="P130" i="106"/>
  <c r="O130" i="106"/>
  <c r="N130" i="106"/>
  <c r="M130" i="106"/>
  <c r="L130" i="106"/>
  <c r="K130" i="106"/>
  <c r="J130" i="106"/>
  <c r="I130" i="106"/>
  <c r="V127" i="106"/>
  <c r="W126" i="106"/>
  <c r="V126" i="106"/>
  <c r="V130" i="106" s="1"/>
  <c r="Q126" i="106"/>
  <c r="P126" i="106"/>
  <c r="O126" i="106"/>
  <c r="N126" i="106"/>
  <c r="M126" i="106"/>
  <c r="L126" i="106"/>
  <c r="K126" i="106"/>
  <c r="J126" i="106"/>
  <c r="V121" i="106"/>
  <c r="M121" i="106"/>
  <c r="M122" i="106" s="1"/>
  <c r="V97" i="106"/>
  <c r="V88" i="106"/>
  <c r="V87" i="106"/>
  <c r="S87" i="106"/>
  <c r="R87" i="106"/>
  <c r="Q87" i="106"/>
  <c r="P87" i="106"/>
  <c r="O87" i="106"/>
  <c r="N87" i="106"/>
  <c r="M87" i="106"/>
  <c r="L87" i="106"/>
  <c r="K87" i="106"/>
  <c r="J87" i="106"/>
  <c r="I87" i="106"/>
  <c r="V86" i="106"/>
  <c r="P77" i="106"/>
  <c r="O77" i="106"/>
  <c r="N77" i="106"/>
  <c r="M77" i="106"/>
  <c r="L77" i="106"/>
  <c r="K77" i="106"/>
  <c r="J77" i="106"/>
  <c r="J156" i="106" s="1"/>
  <c r="I77" i="106"/>
  <c r="I156" i="106" s="1"/>
  <c r="H77" i="106"/>
  <c r="H156" i="106" s="1"/>
  <c r="I153" i="106" s="1"/>
  <c r="G77" i="106"/>
  <c r="F77" i="106"/>
  <c r="E77" i="106"/>
  <c r="D77" i="106"/>
  <c r="C77" i="106"/>
  <c r="P75" i="106"/>
  <c r="P123" i="106" s="1"/>
  <c r="Q121" i="106" s="1"/>
  <c r="O75" i="106"/>
  <c r="O123" i="106" s="1"/>
  <c r="N75" i="106"/>
  <c r="N123" i="106" s="1"/>
  <c r="W121" i="106" s="1"/>
  <c r="M75" i="106"/>
  <c r="L75" i="106"/>
  <c r="K75" i="106"/>
  <c r="J75" i="106"/>
  <c r="I75" i="106"/>
  <c r="H75" i="106"/>
  <c r="G75" i="106"/>
  <c r="F75" i="106"/>
  <c r="E75" i="106"/>
  <c r="D75" i="106"/>
  <c r="C75" i="106"/>
  <c r="P74" i="106"/>
  <c r="O74" i="106"/>
  <c r="N74" i="106"/>
  <c r="M74" i="106"/>
  <c r="L74" i="106"/>
  <c r="K74" i="106"/>
  <c r="J74" i="106"/>
  <c r="I74" i="106"/>
  <c r="H74" i="106"/>
  <c r="G74" i="106"/>
  <c r="F74" i="106"/>
  <c r="E74" i="106"/>
  <c r="D74" i="106"/>
  <c r="C74" i="106"/>
  <c r="P73" i="106"/>
  <c r="O73" i="106"/>
  <c r="N73" i="106"/>
  <c r="M73" i="106"/>
  <c r="L73" i="106"/>
  <c r="K73" i="106"/>
  <c r="J73" i="106"/>
  <c r="I73" i="106"/>
  <c r="H73" i="106"/>
  <c r="G73" i="106"/>
  <c r="F73" i="106"/>
  <c r="E73" i="106"/>
  <c r="D73" i="106"/>
  <c r="C73" i="106"/>
  <c r="P72" i="106"/>
  <c r="Q72" i="106" s="1"/>
  <c r="O72" i="106"/>
  <c r="N72" i="106"/>
  <c r="W72" i="106" s="1"/>
  <c r="M72" i="106"/>
  <c r="L72" i="106"/>
  <c r="K72" i="106"/>
  <c r="J72" i="106"/>
  <c r="I72" i="106"/>
  <c r="H72" i="106"/>
  <c r="G72" i="106"/>
  <c r="F72" i="106"/>
  <c r="E72" i="106"/>
  <c r="D72" i="106"/>
  <c r="C72" i="106"/>
  <c r="P71" i="106"/>
  <c r="Q71" i="106" s="1"/>
  <c r="R71" i="106" s="1"/>
  <c r="S71" i="106" s="1"/>
  <c r="O71" i="106"/>
  <c r="N71" i="106"/>
  <c r="W71" i="106" s="1"/>
  <c r="M71" i="106"/>
  <c r="V71" i="106" s="1"/>
  <c r="L71" i="106"/>
  <c r="K71" i="106"/>
  <c r="J71" i="106"/>
  <c r="I71" i="106"/>
  <c r="H71" i="106"/>
  <c r="G71" i="106"/>
  <c r="F71" i="106"/>
  <c r="E71" i="106"/>
  <c r="D71" i="106"/>
  <c r="C71" i="106"/>
  <c r="P70" i="106"/>
  <c r="O70" i="106"/>
  <c r="F51" i="112" s="1"/>
  <c r="N70" i="106"/>
  <c r="M70" i="106"/>
  <c r="L70" i="106"/>
  <c r="C51" i="112" s="1"/>
  <c r="K70" i="106"/>
  <c r="B51" i="112" s="1"/>
  <c r="J70" i="106"/>
  <c r="I70" i="106"/>
  <c r="H70" i="106"/>
  <c r="G70" i="106"/>
  <c r="F70" i="106"/>
  <c r="E70" i="106"/>
  <c r="D70" i="106"/>
  <c r="C70" i="106"/>
  <c r="W68" i="106"/>
  <c r="S68" i="106"/>
  <c r="R68" i="106"/>
  <c r="Q68" i="106"/>
  <c r="P68" i="106"/>
  <c r="P170" i="106" s="1"/>
  <c r="O68" i="106"/>
  <c r="O170" i="106" s="1"/>
  <c r="N68" i="106"/>
  <c r="N170" i="106" s="1"/>
  <c r="M68" i="106"/>
  <c r="M170" i="106" s="1"/>
  <c r="V167" i="106" s="1"/>
  <c r="L68" i="106"/>
  <c r="K68" i="106"/>
  <c r="J68" i="106"/>
  <c r="I68" i="106"/>
  <c r="H68" i="106"/>
  <c r="G68" i="106"/>
  <c r="F68" i="106"/>
  <c r="E68" i="106"/>
  <c r="D68" i="106"/>
  <c r="C68" i="106"/>
  <c r="P67" i="106"/>
  <c r="Q67" i="106" s="1"/>
  <c r="R67" i="106" s="1"/>
  <c r="S67" i="106" s="1"/>
  <c r="O67" i="106"/>
  <c r="N67" i="106"/>
  <c r="W67" i="106" s="1"/>
  <c r="M67" i="106"/>
  <c r="V67" i="106" s="1"/>
  <c r="L67" i="106"/>
  <c r="K67" i="106"/>
  <c r="J67" i="106"/>
  <c r="I67" i="106"/>
  <c r="H67" i="106"/>
  <c r="G67" i="106"/>
  <c r="F67" i="106"/>
  <c r="E67" i="106"/>
  <c r="D67" i="106"/>
  <c r="C67" i="106"/>
  <c r="P66" i="106"/>
  <c r="P164" i="106" s="1"/>
  <c r="Q159" i="106" s="1"/>
  <c r="O66" i="106"/>
  <c r="O164" i="106" s="1"/>
  <c r="N66" i="106"/>
  <c r="N164" i="106" s="1"/>
  <c r="W159" i="106" s="1"/>
  <c r="M66" i="106"/>
  <c r="M164" i="106" s="1"/>
  <c r="V159" i="106" s="1"/>
  <c r="V164" i="106" s="1"/>
  <c r="V66" i="106" s="1"/>
  <c r="V64" i="106" s="1"/>
  <c r="L66" i="106"/>
  <c r="L81" i="106" s="1"/>
  <c r="L82" i="106" s="1"/>
  <c r="K66" i="106"/>
  <c r="K81" i="106" s="1"/>
  <c r="K82" i="106" s="1"/>
  <c r="J66" i="106"/>
  <c r="J81" i="106" s="1"/>
  <c r="J82" i="106" s="1"/>
  <c r="I66" i="106"/>
  <c r="I81" i="106" s="1"/>
  <c r="I82" i="106" s="1"/>
  <c r="H66" i="106"/>
  <c r="H81" i="106" s="1"/>
  <c r="H82" i="106" s="1"/>
  <c r="G66" i="106"/>
  <c r="F66" i="106"/>
  <c r="E66" i="106"/>
  <c r="D66" i="106"/>
  <c r="C66" i="106"/>
  <c r="W65" i="106"/>
  <c r="V65" i="106"/>
  <c r="Q65" i="106"/>
  <c r="R65" i="106" s="1"/>
  <c r="P64" i="106"/>
  <c r="O64" i="106"/>
  <c r="N64" i="106"/>
  <c r="M64" i="106"/>
  <c r="L64" i="106"/>
  <c r="K64" i="106"/>
  <c r="J64" i="106"/>
  <c r="J76" i="106" s="1"/>
  <c r="I64" i="106"/>
  <c r="I76" i="106" s="1"/>
  <c r="H64" i="106"/>
  <c r="H76" i="106" s="1"/>
  <c r="G64" i="106"/>
  <c r="G76" i="106" s="1"/>
  <c r="F64" i="106"/>
  <c r="F76" i="106" s="1"/>
  <c r="E64" i="106"/>
  <c r="E76" i="106" s="1"/>
  <c r="D64" i="106"/>
  <c r="D76" i="106" s="1"/>
  <c r="C64" i="106"/>
  <c r="C76" i="106" s="1"/>
  <c r="AD60" i="106"/>
  <c r="P54" i="106"/>
  <c r="O54" i="106"/>
  <c r="N54" i="106"/>
  <c r="M54" i="106"/>
  <c r="L54" i="106"/>
  <c r="K54" i="106"/>
  <c r="J54" i="106"/>
  <c r="J114" i="108" s="1"/>
  <c r="I54" i="106"/>
  <c r="I114" i="108" s="1"/>
  <c r="H54" i="106"/>
  <c r="H114" i="108" s="1"/>
  <c r="G54" i="106"/>
  <c r="G114" i="108" s="1"/>
  <c r="F54" i="106"/>
  <c r="F114" i="108" s="1"/>
  <c r="E54" i="106"/>
  <c r="E114" i="108" s="1"/>
  <c r="D54" i="106"/>
  <c r="D114" i="108" s="1"/>
  <c r="C54" i="106"/>
  <c r="C114" i="108" s="1"/>
  <c r="P53" i="106"/>
  <c r="O53" i="106"/>
  <c r="N53" i="106"/>
  <c r="M53" i="106"/>
  <c r="L53" i="106"/>
  <c r="K53" i="106"/>
  <c r="J53" i="106"/>
  <c r="I53" i="106"/>
  <c r="H53" i="106"/>
  <c r="G53" i="106"/>
  <c r="F53" i="106"/>
  <c r="E53" i="106"/>
  <c r="D53" i="106"/>
  <c r="C53" i="106"/>
  <c r="P50" i="106"/>
  <c r="O50" i="106"/>
  <c r="N50" i="106"/>
  <c r="M50" i="106"/>
  <c r="L50" i="106"/>
  <c r="K50" i="106"/>
  <c r="J50" i="106"/>
  <c r="I50" i="106"/>
  <c r="H50" i="106"/>
  <c r="G50" i="106"/>
  <c r="F50" i="106"/>
  <c r="E50" i="106"/>
  <c r="D50" i="106"/>
  <c r="C50" i="106"/>
  <c r="P48" i="106"/>
  <c r="O48" i="106"/>
  <c r="N48" i="106"/>
  <c r="M48" i="106"/>
  <c r="L48" i="106"/>
  <c r="K48" i="106"/>
  <c r="J48" i="106"/>
  <c r="I48" i="106"/>
  <c r="H48" i="106"/>
  <c r="G48" i="106"/>
  <c r="F48" i="106"/>
  <c r="E48" i="106"/>
  <c r="D48" i="106"/>
  <c r="C48" i="106"/>
  <c r="W47" i="106"/>
  <c r="P47" i="106"/>
  <c r="O47" i="106"/>
  <c r="N47" i="106"/>
  <c r="M47" i="106"/>
  <c r="L47" i="106"/>
  <c r="K47" i="106"/>
  <c r="J47" i="106"/>
  <c r="I47" i="106"/>
  <c r="H47" i="106"/>
  <c r="G47" i="106"/>
  <c r="F47" i="106"/>
  <c r="E47" i="106"/>
  <c r="D47" i="106"/>
  <c r="C47" i="106"/>
  <c r="P46" i="106"/>
  <c r="O46" i="106"/>
  <c r="N46" i="106"/>
  <c r="M46" i="106"/>
  <c r="L46" i="106"/>
  <c r="K46" i="106"/>
  <c r="J46" i="106"/>
  <c r="I46" i="106"/>
  <c r="H46" i="106"/>
  <c r="G46" i="106"/>
  <c r="F46" i="106"/>
  <c r="E46" i="106"/>
  <c r="D46" i="106"/>
  <c r="C46" i="106"/>
  <c r="P45" i="106"/>
  <c r="O45" i="106"/>
  <c r="N45" i="106"/>
  <c r="M45" i="106"/>
  <c r="L45" i="106"/>
  <c r="K45" i="106"/>
  <c r="J45" i="106"/>
  <c r="I45" i="106"/>
  <c r="H45" i="106"/>
  <c r="G45" i="106"/>
  <c r="F45" i="106"/>
  <c r="E45" i="106"/>
  <c r="D45" i="106"/>
  <c r="C45" i="106"/>
  <c r="P44" i="106"/>
  <c r="O44" i="106"/>
  <c r="N44" i="106"/>
  <c r="M44" i="106"/>
  <c r="L44" i="106"/>
  <c r="K44" i="106"/>
  <c r="J44" i="106"/>
  <c r="I44" i="106"/>
  <c r="H44" i="106"/>
  <c r="G44" i="106"/>
  <c r="F44" i="106"/>
  <c r="E44" i="106"/>
  <c r="D44" i="106"/>
  <c r="C44" i="106"/>
  <c r="V43" i="106"/>
  <c r="P43" i="106"/>
  <c r="O43" i="106"/>
  <c r="N43" i="106"/>
  <c r="M43" i="106"/>
  <c r="L43" i="106"/>
  <c r="K43" i="106"/>
  <c r="J43" i="106"/>
  <c r="I43" i="106"/>
  <c r="H43" i="106"/>
  <c r="G43" i="106"/>
  <c r="F43" i="106"/>
  <c r="E43" i="106"/>
  <c r="D43" i="106"/>
  <c r="C43" i="106"/>
  <c r="P42" i="106"/>
  <c r="O42" i="106"/>
  <c r="N42" i="106"/>
  <c r="M42" i="106"/>
  <c r="L42" i="106"/>
  <c r="K42" i="106"/>
  <c r="J42" i="106"/>
  <c r="I42" i="106"/>
  <c r="H42" i="106"/>
  <c r="G42" i="106"/>
  <c r="G49" i="106" s="1"/>
  <c r="F42" i="106"/>
  <c r="F49" i="106" s="1"/>
  <c r="E42" i="106"/>
  <c r="E49" i="106" s="1"/>
  <c r="D42" i="106"/>
  <c r="D49" i="106" s="1"/>
  <c r="C42" i="106"/>
  <c r="C49" i="106" s="1"/>
  <c r="P35" i="106"/>
  <c r="O35" i="106"/>
  <c r="N35" i="106"/>
  <c r="M35" i="106"/>
  <c r="L35" i="106"/>
  <c r="K35" i="106"/>
  <c r="J35" i="106"/>
  <c r="I35" i="106"/>
  <c r="H35" i="106"/>
  <c r="G35" i="106"/>
  <c r="F35" i="106"/>
  <c r="E35" i="106"/>
  <c r="D35" i="106"/>
  <c r="C35" i="106"/>
  <c r="P34" i="106"/>
  <c r="O34" i="106"/>
  <c r="N34" i="106"/>
  <c r="M34" i="106"/>
  <c r="L34" i="106"/>
  <c r="K34" i="106"/>
  <c r="J34" i="106"/>
  <c r="I34" i="106"/>
  <c r="H34" i="106"/>
  <c r="G34" i="106"/>
  <c r="F34" i="106"/>
  <c r="E34" i="106"/>
  <c r="D34" i="106"/>
  <c r="C34" i="106"/>
  <c r="P33" i="106"/>
  <c r="Q33" i="106" s="1"/>
  <c r="R33" i="106" s="1"/>
  <c r="S33" i="106" s="1"/>
  <c r="O33" i="106"/>
  <c r="N33" i="106"/>
  <c r="W33" i="106" s="1"/>
  <c r="M33" i="106"/>
  <c r="L33" i="106"/>
  <c r="K33" i="106"/>
  <c r="J33" i="106"/>
  <c r="I33" i="106"/>
  <c r="H33" i="106"/>
  <c r="G33" i="106"/>
  <c r="F33" i="106"/>
  <c r="E33" i="106"/>
  <c r="D33" i="106"/>
  <c r="C33" i="106"/>
  <c r="P32" i="106"/>
  <c r="O32" i="106"/>
  <c r="N32" i="106"/>
  <c r="M32" i="106"/>
  <c r="L32" i="106"/>
  <c r="K32" i="106"/>
  <c r="J32" i="106"/>
  <c r="I32" i="106"/>
  <c r="H32" i="106"/>
  <c r="G32" i="106"/>
  <c r="F32" i="106"/>
  <c r="E32" i="106"/>
  <c r="D32" i="106"/>
  <c r="C32" i="106"/>
  <c r="P31" i="106"/>
  <c r="O31" i="106"/>
  <c r="O98" i="108" s="1"/>
  <c r="N31" i="106"/>
  <c r="M31" i="106"/>
  <c r="L31" i="106"/>
  <c r="L98" i="108" s="1"/>
  <c r="K31" i="106"/>
  <c r="K98" i="108" s="1"/>
  <c r="J31" i="106"/>
  <c r="J98" i="108" s="1"/>
  <c r="I31" i="106"/>
  <c r="I98" i="108" s="1"/>
  <c r="H31" i="106"/>
  <c r="H98" i="108" s="1"/>
  <c r="G31" i="106"/>
  <c r="G98" i="108" s="1"/>
  <c r="F31" i="106"/>
  <c r="F98" i="108" s="1"/>
  <c r="E31" i="106"/>
  <c r="E98" i="108" s="1"/>
  <c r="D31" i="106"/>
  <c r="D98" i="108" s="1"/>
  <c r="C31" i="106"/>
  <c r="P30" i="106"/>
  <c r="G40" i="112" s="1"/>
  <c r="O30" i="106"/>
  <c r="F40" i="112" s="1"/>
  <c r="N30" i="106"/>
  <c r="E40" i="112" s="1"/>
  <c r="M30" i="106"/>
  <c r="L30" i="106"/>
  <c r="C40" i="112" s="1"/>
  <c r="K30" i="106"/>
  <c r="B40" i="112" s="1"/>
  <c r="J30" i="106"/>
  <c r="I30" i="106"/>
  <c r="H30" i="106"/>
  <c r="G30" i="106"/>
  <c r="F30" i="106"/>
  <c r="E30" i="106"/>
  <c r="D30" i="106"/>
  <c r="C30" i="106"/>
  <c r="V29" i="106"/>
  <c r="W227" i="106" s="1"/>
  <c r="P29" i="106"/>
  <c r="O29" i="106"/>
  <c r="N29" i="106"/>
  <c r="M29" i="106"/>
  <c r="L29" i="106"/>
  <c r="K29" i="106"/>
  <c r="J29" i="106"/>
  <c r="I29" i="106"/>
  <c r="H29" i="106"/>
  <c r="G29" i="106"/>
  <c r="F29" i="106"/>
  <c r="E29" i="106"/>
  <c r="D29" i="106"/>
  <c r="C29" i="106"/>
  <c r="W28" i="106"/>
  <c r="V28" i="106"/>
  <c r="S28" i="106"/>
  <c r="R28" i="106"/>
  <c r="Q28" i="106"/>
  <c r="P28" i="106"/>
  <c r="O28" i="106"/>
  <c r="N28" i="106"/>
  <c r="M28" i="106"/>
  <c r="L28" i="106"/>
  <c r="K28" i="106"/>
  <c r="J28" i="106"/>
  <c r="I28" i="106"/>
  <c r="H28" i="106"/>
  <c r="G28" i="106"/>
  <c r="F28" i="106"/>
  <c r="E28" i="106"/>
  <c r="D28" i="106"/>
  <c r="C28" i="106"/>
  <c r="W27" i="106"/>
  <c r="V27" i="106"/>
  <c r="S27" i="106"/>
  <c r="R27" i="106"/>
  <c r="Q27" i="106"/>
  <c r="P27" i="106"/>
  <c r="O27" i="106"/>
  <c r="N27" i="106"/>
  <c r="M27" i="106"/>
  <c r="L27" i="106"/>
  <c r="K27" i="106"/>
  <c r="J27" i="106"/>
  <c r="I27" i="106"/>
  <c r="H27" i="106"/>
  <c r="G27" i="106"/>
  <c r="F27" i="106"/>
  <c r="E27" i="106"/>
  <c r="D27" i="106"/>
  <c r="C27" i="106"/>
  <c r="W26" i="106"/>
  <c r="V26" i="106"/>
  <c r="S26" i="106"/>
  <c r="R26" i="106"/>
  <c r="Q26" i="106"/>
  <c r="P26" i="106"/>
  <c r="O26" i="106"/>
  <c r="N26" i="106"/>
  <c r="M26" i="106"/>
  <c r="L26" i="106"/>
  <c r="K26" i="106"/>
  <c r="J26" i="106"/>
  <c r="I26" i="106"/>
  <c r="H26" i="106"/>
  <c r="G26" i="106"/>
  <c r="F26" i="106"/>
  <c r="E26" i="106"/>
  <c r="D26" i="106"/>
  <c r="C26" i="106"/>
  <c r="V25" i="106"/>
  <c r="W226" i="106" s="1"/>
  <c r="P25" i="106"/>
  <c r="P226" i="106" s="1"/>
  <c r="O25" i="106"/>
  <c r="O226" i="106" s="1"/>
  <c r="N25" i="106"/>
  <c r="N226" i="106" s="1"/>
  <c r="M25" i="106"/>
  <c r="L25" i="106"/>
  <c r="L226" i="106" s="1"/>
  <c r="K25" i="106"/>
  <c r="K226" i="106" s="1"/>
  <c r="J25" i="106"/>
  <c r="J226" i="106" s="1"/>
  <c r="I25" i="106"/>
  <c r="I226" i="106" s="1"/>
  <c r="H25" i="106"/>
  <c r="H226" i="106" s="1"/>
  <c r="G25" i="106"/>
  <c r="G226" i="106" s="1"/>
  <c r="F25" i="106"/>
  <c r="F226" i="106" s="1"/>
  <c r="E25" i="106"/>
  <c r="E226" i="106" s="1"/>
  <c r="D25" i="106"/>
  <c r="D226" i="106" s="1"/>
  <c r="C25" i="106"/>
  <c r="C226" i="106" s="1"/>
  <c r="V24" i="106"/>
  <c r="W225" i="106" s="1"/>
  <c r="W224" i="106" s="1"/>
  <c r="P24" i="106"/>
  <c r="P225" i="106" s="1"/>
  <c r="P224" i="106" s="1"/>
  <c r="O24" i="106"/>
  <c r="O225" i="106" s="1"/>
  <c r="O224" i="106" s="1"/>
  <c r="N24" i="106"/>
  <c r="N225" i="106" s="1"/>
  <c r="N224" i="106" s="1"/>
  <c r="M24" i="106"/>
  <c r="L24" i="106"/>
  <c r="L225" i="106" s="1"/>
  <c r="L224" i="106" s="1"/>
  <c r="K24" i="106"/>
  <c r="K225" i="106" s="1"/>
  <c r="K224" i="106" s="1"/>
  <c r="J24" i="106"/>
  <c r="J225" i="106" s="1"/>
  <c r="J224" i="106" s="1"/>
  <c r="I24" i="106"/>
  <c r="I225" i="106" s="1"/>
  <c r="I224" i="106" s="1"/>
  <c r="H24" i="106"/>
  <c r="H225" i="106" s="1"/>
  <c r="H224" i="106" s="1"/>
  <c r="G24" i="106"/>
  <c r="G225" i="106" s="1"/>
  <c r="G224" i="106" s="1"/>
  <c r="F24" i="106"/>
  <c r="F225" i="106" s="1"/>
  <c r="F224" i="106" s="1"/>
  <c r="E24" i="106"/>
  <c r="E225" i="106" s="1"/>
  <c r="E224" i="106" s="1"/>
  <c r="D24" i="106"/>
  <c r="D225" i="106" s="1"/>
  <c r="D224" i="106" s="1"/>
  <c r="C24" i="106"/>
  <c r="C225" i="106" s="1"/>
  <c r="C224" i="106" s="1"/>
  <c r="V23" i="106"/>
  <c r="P23" i="106"/>
  <c r="O23" i="106"/>
  <c r="N23" i="106"/>
  <c r="M23" i="106"/>
  <c r="L23" i="106"/>
  <c r="K23" i="106"/>
  <c r="J23" i="106"/>
  <c r="I23" i="106"/>
  <c r="H23" i="106"/>
  <c r="G23" i="106"/>
  <c r="F23" i="106"/>
  <c r="E23" i="106"/>
  <c r="D23" i="106"/>
  <c r="C23" i="106"/>
  <c r="AD22" i="106"/>
  <c r="V21" i="106"/>
  <c r="W223" i="106" s="1"/>
  <c r="W295" i="106" s="1"/>
  <c r="P21" i="106"/>
  <c r="P223" i="106" s="1"/>
  <c r="O21" i="106"/>
  <c r="O223" i="106" s="1"/>
  <c r="N21" i="106"/>
  <c r="N223" i="106" s="1"/>
  <c r="M21" i="106"/>
  <c r="L21" i="106"/>
  <c r="L223" i="106" s="1"/>
  <c r="K21" i="106"/>
  <c r="K223" i="106" s="1"/>
  <c r="J21" i="106"/>
  <c r="J223" i="106" s="1"/>
  <c r="I21" i="106"/>
  <c r="I223" i="106" s="1"/>
  <c r="H21" i="106"/>
  <c r="H223" i="106" s="1"/>
  <c r="G21" i="106"/>
  <c r="G223" i="106" s="1"/>
  <c r="F21" i="106"/>
  <c r="F223" i="106" s="1"/>
  <c r="E21" i="106"/>
  <c r="E223" i="106" s="1"/>
  <c r="D21" i="106"/>
  <c r="D223" i="106" s="1"/>
  <c r="C21" i="106"/>
  <c r="C223" i="106" s="1"/>
  <c r="V20" i="106"/>
  <c r="P20" i="106"/>
  <c r="P222" i="106" s="1"/>
  <c r="O20" i="106"/>
  <c r="O222" i="106" s="1"/>
  <c r="N20" i="106"/>
  <c r="N222" i="106" s="1"/>
  <c r="M20" i="106"/>
  <c r="L20" i="106"/>
  <c r="L222" i="106" s="1"/>
  <c r="K20" i="106"/>
  <c r="K222" i="106" s="1"/>
  <c r="K221" i="106" s="1"/>
  <c r="J20" i="106"/>
  <c r="J222" i="106" s="1"/>
  <c r="J221" i="106" s="1"/>
  <c r="I20" i="106"/>
  <c r="I222" i="106" s="1"/>
  <c r="I221" i="106" s="1"/>
  <c r="H20" i="106"/>
  <c r="H222" i="106" s="1"/>
  <c r="H221" i="106" s="1"/>
  <c r="G20" i="106"/>
  <c r="G222" i="106" s="1"/>
  <c r="G221" i="106" s="1"/>
  <c r="F20" i="106"/>
  <c r="F222" i="106" s="1"/>
  <c r="F221" i="106" s="1"/>
  <c r="E20" i="106"/>
  <c r="E222" i="106" s="1"/>
  <c r="E221" i="106" s="1"/>
  <c r="D20" i="106"/>
  <c r="D222" i="106" s="1"/>
  <c r="D221" i="106" s="1"/>
  <c r="C20" i="106"/>
  <c r="C222" i="106" s="1"/>
  <c r="C221" i="106" s="1"/>
  <c r="V19" i="106"/>
  <c r="P19" i="106"/>
  <c r="G39" i="112" s="1"/>
  <c r="O19" i="106"/>
  <c r="F39" i="112" s="1"/>
  <c r="N19" i="106"/>
  <c r="E39" i="112" s="1"/>
  <c r="M19" i="106"/>
  <c r="L19" i="106"/>
  <c r="C39" i="112" s="1"/>
  <c r="K19" i="106"/>
  <c r="B39" i="112" s="1"/>
  <c r="J19" i="106"/>
  <c r="I19" i="106"/>
  <c r="H19" i="106"/>
  <c r="G19" i="106"/>
  <c r="F19" i="106"/>
  <c r="E19" i="106"/>
  <c r="D19" i="106"/>
  <c r="C19" i="106"/>
  <c r="V18" i="106"/>
  <c r="W220" i="106" s="1"/>
  <c r="P18" i="106"/>
  <c r="P220" i="106" s="1"/>
  <c r="O18" i="106"/>
  <c r="O220" i="106" s="1"/>
  <c r="N18" i="106"/>
  <c r="N220" i="106" s="1"/>
  <c r="M18" i="106"/>
  <c r="L18" i="106"/>
  <c r="L220" i="106" s="1"/>
  <c r="K18" i="106"/>
  <c r="K220" i="106" s="1"/>
  <c r="K229" i="106" s="1"/>
  <c r="J18" i="106"/>
  <c r="J220" i="106" s="1"/>
  <c r="J229" i="106" s="1"/>
  <c r="I18" i="106"/>
  <c r="I220" i="106" s="1"/>
  <c r="I229" i="106" s="1"/>
  <c r="H18" i="106"/>
  <c r="H220" i="106" s="1"/>
  <c r="H229" i="106" s="1"/>
  <c r="G18" i="106"/>
  <c r="G220" i="106" s="1"/>
  <c r="G229" i="106" s="1"/>
  <c r="F18" i="106"/>
  <c r="F220" i="106" s="1"/>
  <c r="F229" i="106" s="1"/>
  <c r="E18" i="106"/>
  <c r="E220" i="106" s="1"/>
  <c r="E229" i="106" s="1"/>
  <c r="D18" i="106"/>
  <c r="D220" i="106" s="1"/>
  <c r="D229" i="106" s="1"/>
  <c r="C18" i="106"/>
  <c r="C220" i="106" s="1"/>
  <c r="C229" i="106" s="1"/>
  <c r="V17" i="106"/>
  <c r="P17" i="106"/>
  <c r="O17" i="106"/>
  <c r="N17" i="106"/>
  <c r="M17" i="106"/>
  <c r="L17" i="106"/>
  <c r="K17" i="106"/>
  <c r="J17" i="106"/>
  <c r="I17" i="106"/>
  <c r="H17" i="106"/>
  <c r="G17" i="106"/>
  <c r="F17" i="106"/>
  <c r="E17" i="106"/>
  <c r="D17" i="106"/>
  <c r="C17" i="106"/>
  <c r="V16" i="106"/>
  <c r="P16" i="106"/>
  <c r="O16" i="106"/>
  <c r="N16" i="106"/>
  <c r="M16" i="106"/>
  <c r="L16" i="106"/>
  <c r="K16" i="106"/>
  <c r="J16" i="106"/>
  <c r="J36" i="106" s="1"/>
  <c r="I16" i="106"/>
  <c r="I36" i="106" s="1"/>
  <c r="H16" i="106"/>
  <c r="H36" i="106" s="1"/>
  <c r="G16" i="106"/>
  <c r="G36" i="106" s="1"/>
  <c r="F16" i="106"/>
  <c r="F36" i="106" s="1"/>
  <c r="E16" i="106"/>
  <c r="E36" i="106" s="1"/>
  <c r="D16" i="106"/>
  <c r="D36" i="106" s="1"/>
  <c r="C16" i="106"/>
  <c r="C36" i="106" s="1"/>
  <c r="P13" i="106"/>
  <c r="O13" i="106"/>
  <c r="F35" i="112" s="1"/>
  <c r="N13" i="106"/>
  <c r="M13" i="106"/>
  <c r="L13" i="106"/>
  <c r="C35" i="112" s="1"/>
  <c r="K13" i="106"/>
  <c r="B35" i="112" s="1"/>
  <c r="J13" i="106"/>
  <c r="I13" i="106"/>
  <c r="H13" i="106"/>
  <c r="G13" i="106"/>
  <c r="F13" i="106"/>
  <c r="E13" i="106"/>
  <c r="D13" i="106"/>
  <c r="C13" i="106"/>
  <c r="P12" i="106"/>
  <c r="Q12" i="106" s="1"/>
  <c r="R12" i="106" s="1"/>
  <c r="S12" i="106" s="1"/>
  <c r="O12" i="106"/>
  <c r="N12" i="106"/>
  <c r="W12" i="106" s="1"/>
  <c r="M12" i="106"/>
  <c r="L12" i="106"/>
  <c r="K12" i="106"/>
  <c r="J12" i="106"/>
  <c r="I12" i="106"/>
  <c r="H12" i="106"/>
  <c r="G12" i="106"/>
  <c r="F12" i="106"/>
  <c r="E12" i="106"/>
  <c r="D12" i="106"/>
  <c r="C12" i="106"/>
  <c r="V11" i="106"/>
  <c r="P11" i="106"/>
  <c r="O11" i="106"/>
  <c r="N11" i="106"/>
  <c r="M11" i="106"/>
  <c r="L11" i="106"/>
  <c r="K11" i="106"/>
  <c r="J11" i="106"/>
  <c r="I11" i="106"/>
  <c r="H11" i="106"/>
  <c r="G11" i="106"/>
  <c r="F11" i="106"/>
  <c r="F77" i="108" s="1"/>
  <c r="E11" i="106"/>
  <c r="E77" i="108" s="1"/>
  <c r="D11" i="106"/>
  <c r="D77" i="108" s="1"/>
  <c r="C11" i="106"/>
  <c r="C77" i="108" s="1"/>
  <c r="P10" i="106"/>
  <c r="Q10" i="106" s="1"/>
  <c r="R10" i="106" s="1"/>
  <c r="S10" i="106" s="1"/>
  <c r="O10" i="106"/>
  <c r="N10" i="106"/>
  <c r="W10" i="106" s="1"/>
  <c r="M10" i="106"/>
  <c r="L10" i="106"/>
  <c r="K10" i="106"/>
  <c r="J10" i="106"/>
  <c r="I10" i="106"/>
  <c r="H10" i="106"/>
  <c r="G10" i="106"/>
  <c r="F10" i="106"/>
  <c r="E10" i="106"/>
  <c r="D10" i="106"/>
  <c r="C10" i="106"/>
  <c r="P9" i="106"/>
  <c r="O9" i="106"/>
  <c r="N9" i="106"/>
  <c r="M9" i="106"/>
  <c r="L9" i="106"/>
  <c r="K9" i="106"/>
  <c r="J9" i="106"/>
  <c r="I9" i="106"/>
  <c r="H9" i="106"/>
  <c r="G9" i="106"/>
  <c r="F9" i="106"/>
  <c r="E9" i="106"/>
  <c r="D9" i="106"/>
  <c r="C9" i="106"/>
  <c r="P8" i="106"/>
  <c r="O8" i="106"/>
  <c r="N8" i="106"/>
  <c r="W8" i="106" s="1"/>
  <c r="M8" i="106"/>
  <c r="L8" i="106"/>
  <c r="K8" i="106"/>
  <c r="J8" i="106"/>
  <c r="I8" i="106"/>
  <c r="H8" i="106"/>
  <c r="G8" i="106"/>
  <c r="F8" i="106"/>
  <c r="E8" i="106"/>
  <c r="D8" i="106"/>
  <c r="C8" i="106"/>
  <c r="P7" i="106"/>
  <c r="O7" i="106"/>
  <c r="N7" i="106"/>
  <c r="M7" i="106"/>
  <c r="L7" i="106"/>
  <c r="K7" i="106"/>
  <c r="J7" i="106"/>
  <c r="I7" i="106"/>
  <c r="H7" i="106"/>
  <c r="G7" i="106"/>
  <c r="H243" i="106" s="1"/>
  <c r="C16" i="107" s="1"/>
  <c r="F7" i="106"/>
  <c r="E7" i="106"/>
  <c r="D7" i="106"/>
  <c r="C7" i="106"/>
  <c r="P6" i="106"/>
  <c r="O6" i="106"/>
  <c r="N6" i="106"/>
  <c r="M6" i="106"/>
  <c r="L6" i="106"/>
  <c r="K6" i="106"/>
  <c r="J6" i="106"/>
  <c r="I6" i="106"/>
  <c r="H6" i="106"/>
  <c r="G6" i="106"/>
  <c r="F6" i="106"/>
  <c r="E6" i="106"/>
  <c r="D6" i="106"/>
  <c r="C6" i="106"/>
  <c r="B458" i="105"/>
  <c r="B459" i="105" s="1"/>
  <c r="C440" i="105" s="1"/>
  <c r="A455" i="105"/>
  <c r="J453" i="105"/>
  <c r="I453" i="105"/>
  <c r="H453" i="105"/>
  <c r="G453" i="105"/>
  <c r="F453" i="105"/>
  <c r="J451" i="105"/>
  <c r="J452" i="105" s="1"/>
  <c r="K452" i="105" s="1"/>
  <c r="L452" i="105" s="1"/>
  <c r="M452" i="105" s="1"/>
  <c r="I451" i="105"/>
  <c r="I452" i="105" s="1"/>
  <c r="H451" i="105"/>
  <c r="H452" i="105" s="1"/>
  <c r="G451" i="105"/>
  <c r="G452" i="105" s="1"/>
  <c r="F451" i="105"/>
  <c r="F452" i="105" s="1"/>
  <c r="E451" i="105"/>
  <c r="E452" i="105" s="1"/>
  <c r="D451" i="105"/>
  <c r="D452" i="105" s="1"/>
  <c r="C451" i="105"/>
  <c r="C452" i="105" s="1"/>
  <c r="B451" i="105"/>
  <c r="B452" i="105" s="1"/>
  <c r="K450" i="105"/>
  <c r="L450" i="105" s="1"/>
  <c r="P449" i="105"/>
  <c r="P451" i="105" s="1"/>
  <c r="P453" i="105" s="1"/>
  <c r="J449" i="105"/>
  <c r="J450" i="105" s="1"/>
  <c r="I449" i="105"/>
  <c r="I450" i="105" s="1"/>
  <c r="H449" i="105"/>
  <c r="H450" i="105" s="1"/>
  <c r="G449" i="105"/>
  <c r="G450" i="105" s="1"/>
  <c r="F449" i="105"/>
  <c r="F450" i="105" s="1"/>
  <c r="E449" i="105"/>
  <c r="D449" i="105"/>
  <c r="C449" i="105"/>
  <c r="B449" i="105"/>
  <c r="P441" i="105"/>
  <c r="C441" i="105"/>
  <c r="P439" i="105"/>
  <c r="E439" i="105"/>
  <c r="D439" i="105"/>
  <c r="C439" i="105"/>
  <c r="P438" i="105"/>
  <c r="E438" i="105"/>
  <c r="D438" i="105"/>
  <c r="C438" i="105"/>
  <c r="P422" i="105"/>
  <c r="P418" i="105"/>
  <c r="P417" i="105"/>
  <c r="J417" i="105"/>
  <c r="J422" i="105" s="1"/>
  <c r="I417" i="105"/>
  <c r="I422" i="105" s="1"/>
  <c r="H417" i="105"/>
  <c r="H422" i="105" s="1"/>
  <c r="G417" i="105"/>
  <c r="G422" i="105" s="1"/>
  <c r="F417" i="105"/>
  <c r="F422" i="105" s="1"/>
  <c r="E417" i="105"/>
  <c r="E422" i="105" s="1"/>
  <c r="D417" i="105"/>
  <c r="D422" i="105" s="1"/>
  <c r="J414" i="105"/>
  <c r="I414" i="105"/>
  <c r="V35" i="105" s="1"/>
  <c r="H414" i="105"/>
  <c r="G414" i="105"/>
  <c r="F414" i="105"/>
  <c r="E414" i="105"/>
  <c r="D414" i="105"/>
  <c r="C414" i="105"/>
  <c r="P393" i="105"/>
  <c r="M393" i="105"/>
  <c r="L393" i="105"/>
  <c r="K393" i="105"/>
  <c r="P392" i="105"/>
  <c r="J390" i="105"/>
  <c r="I390" i="105"/>
  <c r="V32" i="105" s="1"/>
  <c r="H390" i="105"/>
  <c r="G390" i="105"/>
  <c r="F390" i="105"/>
  <c r="E390" i="105"/>
  <c r="D390" i="105"/>
  <c r="C390" i="105"/>
  <c r="P387" i="105"/>
  <c r="J387" i="105"/>
  <c r="J392" i="105" s="1"/>
  <c r="I387" i="105"/>
  <c r="I392" i="105" s="1"/>
  <c r="H387" i="105"/>
  <c r="H392" i="105" s="1"/>
  <c r="G387" i="105"/>
  <c r="G392" i="105" s="1"/>
  <c r="F387" i="105"/>
  <c r="F392" i="105" s="1"/>
  <c r="E387" i="105"/>
  <c r="E392" i="105" s="1"/>
  <c r="D387" i="105"/>
  <c r="D392" i="105" s="1"/>
  <c r="C386" i="105"/>
  <c r="C388" i="105" s="1"/>
  <c r="J383" i="105"/>
  <c r="I383" i="105"/>
  <c r="H383" i="105"/>
  <c r="G383" i="105"/>
  <c r="F383" i="105"/>
  <c r="E383" i="105"/>
  <c r="D383" i="105"/>
  <c r="C383" i="105"/>
  <c r="B383" i="105"/>
  <c r="J382" i="105"/>
  <c r="K382" i="105" s="1"/>
  <c r="L382" i="105" s="1"/>
  <c r="M382" i="105" s="1"/>
  <c r="I382" i="105"/>
  <c r="H382" i="105"/>
  <c r="G382" i="105"/>
  <c r="P382" i="105" s="1"/>
  <c r="F382" i="105"/>
  <c r="E382" i="105"/>
  <c r="D382" i="105"/>
  <c r="C382" i="105"/>
  <c r="B382" i="105"/>
  <c r="J381" i="105"/>
  <c r="I381" i="105"/>
  <c r="H381" i="105"/>
  <c r="G381" i="105"/>
  <c r="F381" i="105"/>
  <c r="E381" i="105"/>
  <c r="D381" i="105"/>
  <c r="C381" i="105"/>
  <c r="B381" i="105"/>
  <c r="J380" i="105"/>
  <c r="I380" i="105"/>
  <c r="H380" i="105"/>
  <c r="G380" i="105"/>
  <c r="F380" i="105"/>
  <c r="E380" i="105"/>
  <c r="D380" i="105"/>
  <c r="C380" i="105"/>
  <c r="B380" i="105"/>
  <c r="J377" i="105"/>
  <c r="J386" i="105" s="1"/>
  <c r="J388" i="105" s="1"/>
  <c r="I377" i="105"/>
  <c r="I386" i="105" s="1"/>
  <c r="I388" i="105" s="1"/>
  <c r="H377" i="105"/>
  <c r="H386" i="105" s="1"/>
  <c r="H388" i="105" s="1"/>
  <c r="G377" i="105"/>
  <c r="G386" i="105" s="1"/>
  <c r="G388" i="105" s="1"/>
  <c r="F377" i="105"/>
  <c r="F386" i="105" s="1"/>
  <c r="F388" i="105" s="1"/>
  <c r="E377" i="105"/>
  <c r="E386" i="105" s="1"/>
  <c r="E388" i="105" s="1"/>
  <c r="D377" i="105"/>
  <c r="D386" i="105" s="1"/>
  <c r="D388" i="105" s="1"/>
  <c r="C371" i="105"/>
  <c r="D371" i="105" s="1"/>
  <c r="E371" i="105" s="1"/>
  <c r="F371" i="105" s="1"/>
  <c r="N333" i="105"/>
  <c r="M333" i="105"/>
  <c r="N314" i="105"/>
  <c r="M314" i="105"/>
  <c r="N313" i="105"/>
  <c r="M313" i="105"/>
  <c r="N312" i="105"/>
  <c r="M312" i="105"/>
  <c r="N311" i="105"/>
  <c r="M311" i="105"/>
  <c r="N310" i="105"/>
  <c r="M310" i="105"/>
  <c r="N309" i="105"/>
  <c r="M309" i="105"/>
  <c r="M296" i="105"/>
  <c r="L296" i="105"/>
  <c r="K296" i="105"/>
  <c r="J296" i="105"/>
  <c r="I296" i="105"/>
  <c r="M294" i="105"/>
  <c r="L294" i="105"/>
  <c r="K294" i="105"/>
  <c r="J294" i="105"/>
  <c r="I294" i="105"/>
  <c r="K291" i="105"/>
  <c r="J291" i="105"/>
  <c r="I291" i="105"/>
  <c r="H291" i="105"/>
  <c r="BR180" i="105"/>
  <c r="BQ180" i="105"/>
  <c r="BP180" i="105"/>
  <c r="BR179" i="105"/>
  <c r="BQ179" i="105"/>
  <c r="BP179" i="105"/>
  <c r="BR178" i="105"/>
  <c r="BQ178" i="105"/>
  <c r="BP178" i="105"/>
  <c r="BR177" i="105"/>
  <c r="BQ177" i="105"/>
  <c r="BP177" i="105"/>
  <c r="BR176" i="105"/>
  <c r="BQ176" i="105"/>
  <c r="BP176" i="105"/>
  <c r="BR175" i="105"/>
  <c r="BQ175" i="105"/>
  <c r="BP175" i="105"/>
  <c r="W128" i="105"/>
  <c r="W124" i="105"/>
  <c r="V124" i="105"/>
  <c r="S124" i="105"/>
  <c r="R124" i="105"/>
  <c r="Q124" i="105"/>
  <c r="P124" i="105"/>
  <c r="O124" i="105"/>
  <c r="N124" i="105"/>
  <c r="M124" i="105"/>
  <c r="L125" i="105" s="1"/>
  <c r="L129" i="105" s="1"/>
  <c r="L124" i="105"/>
  <c r="K125" i="105" s="1"/>
  <c r="K129" i="105" s="1"/>
  <c r="K124" i="105"/>
  <c r="J125" i="105" s="1"/>
  <c r="J129" i="105" s="1"/>
  <c r="J124" i="105"/>
  <c r="I125" i="105" s="1"/>
  <c r="I129" i="105" s="1"/>
  <c r="I124" i="105"/>
  <c r="H125" i="105" s="1"/>
  <c r="H129" i="105" s="1"/>
  <c r="H124" i="105"/>
  <c r="G125" i="105" s="1"/>
  <c r="G129" i="105" s="1"/>
  <c r="G124" i="105"/>
  <c r="F125" i="105" s="1"/>
  <c r="F129" i="105" s="1"/>
  <c r="F124" i="105"/>
  <c r="E125" i="105" s="1"/>
  <c r="E129" i="105" s="1"/>
  <c r="E124" i="105"/>
  <c r="D125" i="105" s="1"/>
  <c r="D129" i="105" s="1"/>
  <c r="D124" i="105"/>
  <c r="C125" i="105" s="1"/>
  <c r="C129" i="105" s="1"/>
  <c r="C124" i="105"/>
  <c r="W122" i="105"/>
  <c r="AV119" i="105"/>
  <c r="AU119" i="105"/>
  <c r="AT119" i="105"/>
  <c r="AS119" i="105"/>
  <c r="AR119" i="105"/>
  <c r="AQ119" i="105"/>
  <c r="AP119" i="105"/>
  <c r="AO119" i="105"/>
  <c r="AN119" i="105"/>
  <c r="AM119" i="105"/>
  <c r="AL119" i="105"/>
  <c r="AK119" i="105"/>
  <c r="AJ119" i="105"/>
  <c r="AI119" i="105"/>
  <c r="AH119" i="105"/>
  <c r="AG119" i="105"/>
  <c r="AF119" i="105"/>
  <c r="AE119" i="105"/>
  <c r="AD119" i="105"/>
  <c r="AC119" i="105"/>
  <c r="AB119" i="105"/>
  <c r="AA119" i="105"/>
  <c r="V108" i="105"/>
  <c r="V109" i="105" s="1"/>
  <c r="Q108" i="105"/>
  <c r="Q109" i="105" s="1"/>
  <c r="R108" i="105" s="1"/>
  <c r="V106" i="105"/>
  <c r="W106" i="105" s="1"/>
  <c r="Q106" i="105" s="1"/>
  <c r="Q105" i="105"/>
  <c r="O105" i="105"/>
  <c r="N105" i="105"/>
  <c r="V104" i="105"/>
  <c r="W88" i="106" s="1"/>
  <c r="AV103" i="105"/>
  <c r="AU103" i="105"/>
  <c r="AT103" i="105"/>
  <c r="AS103" i="105"/>
  <c r="AR103" i="105"/>
  <c r="AQ103" i="105"/>
  <c r="AP103" i="105"/>
  <c r="AO103" i="105"/>
  <c r="AN103" i="105"/>
  <c r="AM103" i="105"/>
  <c r="AL103" i="105"/>
  <c r="AK103" i="105"/>
  <c r="AJ103" i="105"/>
  <c r="AI103" i="105"/>
  <c r="AH103" i="105"/>
  <c r="AG103" i="105"/>
  <c r="AF103" i="105"/>
  <c r="AE103" i="105"/>
  <c r="AD103" i="105"/>
  <c r="AC103" i="105"/>
  <c r="AB103" i="105"/>
  <c r="AA103" i="105"/>
  <c r="M99" i="105"/>
  <c r="M100" i="105" s="1"/>
  <c r="P98" i="105"/>
  <c r="O98" i="105"/>
  <c r="N98" i="105"/>
  <c r="M98" i="105"/>
  <c r="P91" i="105"/>
  <c r="O91" i="105"/>
  <c r="O109" i="105" s="1"/>
  <c r="N91" i="105"/>
  <c r="M91" i="105"/>
  <c r="P100" i="105" s="1"/>
  <c r="L91" i="105"/>
  <c r="K91" i="105"/>
  <c r="J91" i="105"/>
  <c r="BD103" i="105" s="1"/>
  <c r="I91" i="105"/>
  <c r="BC103" i="105" s="1"/>
  <c r="H91" i="105"/>
  <c r="G91" i="105"/>
  <c r="F91" i="105"/>
  <c r="E91" i="105"/>
  <c r="D91" i="105"/>
  <c r="C91" i="105"/>
  <c r="W90" i="105"/>
  <c r="V90" i="105"/>
  <c r="Q90" i="105"/>
  <c r="P90" i="105"/>
  <c r="O90" i="105"/>
  <c r="N90" i="105"/>
  <c r="M90" i="105"/>
  <c r="L90" i="105"/>
  <c r="K90" i="105"/>
  <c r="J90" i="105"/>
  <c r="I90" i="105"/>
  <c r="H90" i="105"/>
  <c r="G90" i="105"/>
  <c r="BA119" i="105" s="1"/>
  <c r="F90" i="105"/>
  <c r="AZ119" i="105" s="1"/>
  <c r="E90" i="105"/>
  <c r="AY119" i="105" s="1"/>
  <c r="D90" i="105"/>
  <c r="AX119" i="105" s="1"/>
  <c r="C90" i="105"/>
  <c r="AW119" i="105" s="1"/>
  <c r="W88" i="105"/>
  <c r="I72" i="105"/>
  <c r="CN64" i="105"/>
  <c r="CO64" i="105" s="1"/>
  <c r="CN60" i="105"/>
  <c r="CO60" i="105" s="1"/>
  <c r="CN59" i="105"/>
  <c r="CN56" i="105"/>
  <c r="CM54" i="105"/>
  <c r="CN54" i="105" s="1"/>
  <c r="CL54" i="105"/>
  <c r="CK54" i="105"/>
  <c r="CU54" i="105" s="1"/>
  <c r="CJ54" i="105"/>
  <c r="CZ54" i="105" s="1"/>
  <c r="CI54" i="105"/>
  <c r="CW54" i="105" s="1"/>
  <c r="CH54" i="105"/>
  <c r="CG54" i="105"/>
  <c r="CV54" i="105" s="1"/>
  <c r="CF54" i="105"/>
  <c r="DA54" i="105" s="1"/>
  <c r="CE54" i="105"/>
  <c r="CX54" i="105" s="1"/>
  <c r="CD54" i="105"/>
  <c r="CC54" i="105"/>
  <c r="CB54" i="105"/>
  <c r="CA54" i="105"/>
  <c r="CT54" i="105" s="1"/>
  <c r="BZ54" i="105"/>
  <c r="BY54" i="105"/>
  <c r="BX54" i="105"/>
  <c r="BW54" i="105"/>
  <c r="CS54" i="105" s="1"/>
  <c r="BV54" i="105"/>
  <c r="BU54" i="105"/>
  <c r="BT54" i="105"/>
  <c r="BS54" i="105"/>
  <c r="BR54" i="105"/>
  <c r="BQ54" i="105"/>
  <c r="BP54" i="105"/>
  <c r="BO54" i="105"/>
  <c r="BN54" i="105"/>
  <c r="BM54" i="105"/>
  <c r="BL54" i="105"/>
  <c r="BK54" i="105"/>
  <c r="BJ54" i="105"/>
  <c r="BI54" i="105"/>
  <c r="BH54" i="105"/>
  <c r="BG54" i="105"/>
  <c r="BF54" i="105"/>
  <c r="BE54" i="105"/>
  <c r="BD54" i="105"/>
  <c r="BC54" i="105"/>
  <c r="P54" i="105"/>
  <c r="O54" i="105"/>
  <c r="N54" i="105"/>
  <c r="M54" i="105"/>
  <c r="L54" i="105"/>
  <c r="K54" i="105"/>
  <c r="J54" i="105"/>
  <c r="J154" i="106" s="1"/>
  <c r="I54" i="105"/>
  <c r="I154" i="106" s="1"/>
  <c r="H54" i="105"/>
  <c r="G54" i="105"/>
  <c r="F54" i="105"/>
  <c r="E54" i="105"/>
  <c r="D54" i="105"/>
  <c r="C54" i="105"/>
  <c r="DR53" i="105"/>
  <c r="DR52" i="105"/>
  <c r="CN52" i="105"/>
  <c r="CO52" i="105" s="1"/>
  <c r="DR51" i="105"/>
  <c r="CM50" i="105"/>
  <c r="CL50" i="105"/>
  <c r="CK50" i="105"/>
  <c r="CJ50" i="105"/>
  <c r="CI50" i="105"/>
  <c r="CH50" i="105"/>
  <c r="CG50" i="105"/>
  <c r="CF50" i="105"/>
  <c r="CE50" i="105"/>
  <c r="CD50" i="105"/>
  <c r="CC50" i="105"/>
  <c r="CB50" i="105"/>
  <c r="CA50" i="105"/>
  <c r="BZ50" i="105"/>
  <c r="BY50" i="105"/>
  <c r="BX50" i="105"/>
  <c r="BW50" i="105"/>
  <c r="BV50" i="105"/>
  <c r="BU50" i="105"/>
  <c r="BT50" i="105"/>
  <c r="BS50" i="105"/>
  <c r="BR50" i="105"/>
  <c r="BQ50" i="105"/>
  <c r="BP50" i="105"/>
  <c r="BO50" i="105"/>
  <c r="BN50" i="105"/>
  <c r="BM50" i="105"/>
  <c r="BL50" i="105"/>
  <c r="BK50" i="105"/>
  <c r="BJ50" i="105"/>
  <c r="BI50" i="105"/>
  <c r="BH50" i="105"/>
  <c r="BG50" i="105"/>
  <c r="BF50" i="105"/>
  <c r="BE50" i="105"/>
  <c r="BD50" i="105"/>
  <c r="BC50" i="105"/>
  <c r="P50" i="105"/>
  <c r="O50" i="105"/>
  <c r="N50" i="105"/>
  <c r="M50" i="105"/>
  <c r="L50" i="105"/>
  <c r="K50" i="105"/>
  <c r="J50" i="105"/>
  <c r="I50" i="105"/>
  <c r="H50" i="105"/>
  <c r="G50" i="105"/>
  <c r="F50" i="105"/>
  <c r="E50" i="105"/>
  <c r="D50" i="105"/>
  <c r="C50" i="105"/>
  <c r="DT49" i="105"/>
  <c r="DR49" i="105"/>
  <c r="DR48" i="105"/>
  <c r="DB48" i="105"/>
  <c r="CN48" i="105"/>
  <c r="DQ46" i="105"/>
  <c r="DP46" i="105"/>
  <c r="CN46" i="105"/>
  <c r="DR45" i="105"/>
  <c r="CM45" i="105"/>
  <c r="CL45" i="105"/>
  <c r="CK45" i="105"/>
  <c r="CJ45" i="105"/>
  <c r="CI45" i="105"/>
  <c r="CH45" i="105"/>
  <c r="CG45" i="105"/>
  <c r="CF45" i="105"/>
  <c r="CE45" i="105"/>
  <c r="CD45" i="105"/>
  <c r="CC45" i="105"/>
  <c r="CB45" i="105"/>
  <c r="CA45" i="105"/>
  <c r="BZ45" i="105"/>
  <c r="BY45" i="105"/>
  <c r="BX45" i="105"/>
  <c r="BW45" i="105"/>
  <c r="BV45" i="105"/>
  <c r="BU45" i="105"/>
  <c r="BT45" i="105"/>
  <c r="BS45" i="105"/>
  <c r="BR45" i="105"/>
  <c r="BQ45" i="105"/>
  <c r="BP45" i="105"/>
  <c r="BO45" i="105"/>
  <c r="BN45" i="105"/>
  <c r="BM45" i="105"/>
  <c r="BL45" i="105"/>
  <c r="BK45" i="105"/>
  <c r="BJ45" i="105"/>
  <c r="BI45" i="105"/>
  <c r="BH45" i="105"/>
  <c r="BG45" i="105"/>
  <c r="BF45" i="105"/>
  <c r="BE45" i="105"/>
  <c r="BD45" i="105"/>
  <c r="BC45" i="105"/>
  <c r="P45" i="105"/>
  <c r="O45" i="105"/>
  <c r="N45" i="105"/>
  <c r="M45" i="105"/>
  <c r="L45" i="105"/>
  <c r="K45" i="105"/>
  <c r="J45" i="105"/>
  <c r="I45" i="105"/>
  <c r="H45" i="105"/>
  <c r="G45" i="105"/>
  <c r="F45" i="105"/>
  <c r="E45" i="105"/>
  <c r="D45" i="105"/>
  <c r="C45" i="105"/>
  <c r="DR44" i="105"/>
  <c r="CM44" i="105"/>
  <c r="CL44" i="105"/>
  <c r="CK44" i="105"/>
  <c r="CJ44" i="105"/>
  <c r="CI44" i="105"/>
  <c r="CH44" i="105"/>
  <c r="CG44" i="105"/>
  <c r="CF44" i="105"/>
  <c r="CE44" i="105"/>
  <c r="CD44" i="105"/>
  <c r="CC44" i="105"/>
  <c r="CB44" i="105"/>
  <c r="CA44" i="105"/>
  <c r="BZ44" i="105"/>
  <c r="BY44" i="105"/>
  <c r="BX44" i="105"/>
  <c r="BW44" i="105"/>
  <c r="BV44" i="105"/>
  <c r="BU44" i="105"/>
  <c r="BT44" i="105"/>
  <c r="BS44" i="105"/>
  <c r="BR44" i="105"/>
  <c r="BQ44" i="105"/>
  <c r="BP44" i="105"/>
  <c r="BO44" i="105"/>
  <c r="BN44" i="105"/>
  <c r="BM44" i="105"/>
  <c r="BL44" i="105"/>
  <c r="BK44" i="105"/>
  <c r="BJ44" i="105"/>
  <c r="BI44" i="105"/>
  <c r="BH44" i="105"/>
  <c r="BG44" i="105"/>
  <c r="DR43" i="105"/>
  <c r="CM43" i="105"/>
  <c r="CN43" i="105" s="1"/>
  <c r="CL43" i="105"/>
  <c r="CK43" i="105"/>
  <c r="CU43" i="105" s="1"/>
  <c r="CJ43" i="105"/>
  <c r="CZ43" i="105" s="1"/>
  <c r="CI43" i="105"/>
  <c r="CW43" i="105" s="1"/>
  <c r="CH43" i="105"/>
  <c r="CG43" i="105"/>
  <c r="CV43" i="105" s="1"/>
  <c r="CF43" i="105"/>
  <c r="DA43" i="105" s="1"/>
  <c r="CE43" i="105"/>
  <c r="CX43" i="105" s="1"/>
  <c r="CD43" i="105"/>
  <c r="CC43" i="105"/>
  <c r="CB43" i="105"/>
  <c r="CA43" i="105"/>
  <c r="CT43" i="105" s="1"/>
  <c r="BZ43" i="105"/>
  <c r="BY43" i="105"/>
  <c r="BX43" i="105"/>
  <c r="BW43" i="105"/>
  <c r="CS43" i="105" s="1"/>
  <c r="BV43" i="105"/>
  <c r="BU43" i="105"/>
  <c r="BT43" i="105"/>
  <c r="BS43" i="105"/>
  <c r="BR43" i="105"/>
  <c r="BQ43" i="105"/>
  <c r="BP43" i="105"/>
  <c r="BO43" i="105"/>
  <c r="BN43" i="105"/>
  <c r="BM43" i="105"/>
  <c r="BL43" i="105"/>
  <c r="BK43" i="105"/>
  <c r="BJ43" i="105"/>
  <c r="BI43" i="105"/>
  <c r="BH43" i="105"/>
  <c r="BG43" i="105"/>
  <c r="BF43" i="105"/>
  <c r="BE43" i="105"/>
  <c r="BD43" i="105"/>
  <c r="BC43" i="105"/>
  <c r="P43" i="105"/>
  <c r="O43" i="105"/>
  <c r="N43" i="105"/>
  <c r="M43" i="105"/>
  <c r="L43" i="105"/>
  <c r="K43" i="105"/>
  <c r="J43" i="105"/>
  <c r="J51" i="108" s="1"/>
  <c r="I43" i="105"/>
  <c r="I51" i="108" s="1"/>
  <c r="H43" i="105"/>
  <c r="G43" i="105"/>
  <c r="F43" i="105"/>
  <c r="E43" i="105"/>
  <c r="D43" i="105"/>
  <c r="C43" i="105"/>
  <c r="CM42" i="105"/>
  <c r="CN42" i="105" s="1"/>
  <c r="CL42" i="105"/>
  <c r="CK42" i="105"/>
  <c r="CU42" i="105" s="1"/>
  <c r="CJ42" i="105"/>
  <c r="CZ42" i="105" s="1"/>
  <c r="CI42" i="105"/>
  <c r="CW42" i="105" s="1"/>
  <c r="CH42" i="105"/>
  <c r="CG42" i="105"/>
  <c r="CV42" i="105" s="1"/>
  <c r="CF42" i="105"/>
  <c r="DA42" i="105" s="1"/>
  <c r="CE42" i="105"/>
  <c r="CX42" i="105" s="1"/>
  <c r="CD42" i="105"/>
  <c r="CC42" i="105"/>
  <c r="CB42" i="105"/>
  <c r="CA42" i="105"/>
  <c r="CT42" i="105" s="1"/>
  <c r="BZ42" i="105"/>
  <c r="BY42" i="105"/>
  <c r="BX42" i="105"/>
  <c r="BW42" i="105"/>
  <c r="CS42" i="105" s="1"/>
  <c r="BV42" i="105"/>
  <c r="BU42" i="105"/>
  <c r="BT42" i="105"/>
  <c r="BS42" i="105"/>
  <c r="BR42" i="105"/>
  <c r="BQ42" i="105"/>
  <c r="BP42" i="105"/>
  <c r="BO42" i="105"/>
  <c r="BN42" i="105"/>
  <c r="BM42" i="105"/>
  <c r="BL42" i="105"/>
  <c r="BK42" i="105"/>
  <c r="BJ42" i="105"/>
  <c r="BI42" i="105"/>
  <c r="BH42" i="105"/>
  <c r="BG42" i="105"/>
  <c r="BF42" i="105"/>
  <c r="BF44" i="105" s="1"/>
  <c r="BE42" i="105"/>
  <c r="BE44" i="105" s="1"/>
  <c r="BD42" i="105"/>
  <c r="BD44" i="105" s="1"/>
  <c r="BC42" i="105"/>
  <c r="BC44" i="105" s="1"/>
  <c r="P42" i="105"/>
  <c r="O42" i="105"/>
  <c r="N42" i="105"/>
  <c r="M42" i="105"/>
  <c r="L42" i="105"/>
  <c r="K42" i="105"/>
  <c r="J42" i="105"/>
  <c r="I42" i="105"/>
  <c r="H42" i="105"/>
  <c r="H44" i="105" s="1"/>
  <c r="G42" i="105"/>
  <c r="G44" i="105" s="1"/>
  <c r="F42" i="105"/>
  <c r="F44" i="105" s="1"/>
  <c r="E42" i="105"/>
  <c r="E44" i="105" s="1"/>
  <c r="D42" i="105"/>
  <c r="D44" i="105" s="1"/>
  <c r="C42" i="105"/>
  <c r="C44" i="105" s="1"/>
  <c r="DR41" i="105"/>
  <c r="DA41" i="105"/>
  <c r="CZ41" i="105"/>
  <c r="DB41" i="105" s="1"/>
  <c r="CO41" i="105"/>
  <c r="CN41" i="105"/>
  <c r="DR40" i="105"/>
  <c r="DR39" i="105"/>
  <c r="DR38" i="105"/>
  <c r="CN38" i="105"/>
  <c r="CO38" i="105" s="1"/>
  <c r="V38" i="105"/>
  <c r="DR37" i="105"/>
  <c r="DF37" i="105"/>
  <c r="DG37" i="105" s="1"/>
  <c r="DE37" i="105"/>
  <c r="CN37" i="105"/>
  <c r="CO37" i="105" s="1"/>
  <c r="DQ36" i="105"/>
  <c r="DR36" i="105" s="1"/>
  <c r="DP36" i="105"/>
  <c r="CN36" i="105"/>
  <c r="CM35" i="105"/>
  <c r="CN35" i="105" s="1"/>
  <c r="CL35" i="105"/>
  <c r="CK35" i="105"/>
  <c r="CU35" i="105" s="1"/>
  <c r="CJ35" i="105"/>
  <c r="CZ35" i="105" s="1"/>
  <c r="CI35" i="105"/>
  <c r="CW35" i="105" s="1"/>
  <c r="CH35" i="105"/>
  <c r="CG35" i="105"/>
  <c r="CV35" i="105" s="1"/>
  <c r="CF35" i="105"/>
  <c r="DA35" i="105" s="1"/>
  <c r="CE35" i="105"/>
  <c r="CX35" i="105" s="1"/>
  <c r="CD35" i="105"/>
  <c r="CC35" i="105"/>
  <c r="CB35" i="105"/>
  <c r="CA35" i="105"/>
  <c r="BZ35" i="105"/>
  <c r="BY35" i="105"/>
  <c r="BX35" i="105"/>
  <c r="BW35" i="105"/>
  <c r="BV35" i="105"/>
  <c r="BU35" i="105"/>
  <c r="BT35" i="105"/>
  <c r="BS35" i="105"/>
  <c r="BR35" i="105"/>
  <c r="BQ35" i="105"/>
  <c r="BP35" i="105"/>
  <c r="BO35" i="105"/>
  <c r="BN35" i="105"/>
  <c r="BM35" i="105"/>
  <c r="BL35" i="105"/>
  <c r="BK35" i="105"/>
  <c r="BJ35" i="105"/>
  <c r="BI35" i="105"/>
  <c r="BH35" i="105"/>
  <c r="BG35" i="105"/>
  <c r="BF35" i="105"/>
  <c r="BE35" i="105"/>
  <c r="BD35" i="105"/>
  <c r="BC35" i="105"/>
  <c r="W35" i="105"/>
  <c r="P35" i="105"/>
  <c r="O35" i="105"/>
  <c r="N35" i="105"/>
  <c r="M35" i="105"/>
  <c r="L35" i="105"/>
  <c r="K35" i="105"/>
  <c r="J35" i="105"/>
  <c r="I35" i="105"/>
  <c r="H35" i="105"/>
  <c r="G35" i="105"/>
  <c r="F35" i="105"/>
  <c r="E35" i="105"/>
  <c r="D35" i="105"/>
  <c r="C35" i="105"/>
  <c r="DS34" i="105"/>
  <c r="DQ34" i="105"/>
  <c r="DT34" i="105" s="1"/>
  <c r="DP34" i="105"/>
  <c r="DJ34" i="105"/>
  <c r="CM34" i="105"/>
  <c r="CN34" i="105" s="1"/>
  <c r="CL34" i="105"/>
  <c r="CK34" i="105"/>
  <c r="CU34" i="105" s="1"/>
  <c r="CJ34" i="105"/>
  <c r="CZ34" i="105" s="1"/>
  <c r="CI34" i="105"/>
  <c r="CW34" i="105" s="1"/>
  <c r="CH34" i="105"/>
  <c r="CG34" i="105"/>
  <c r="CV34" i="105" s="1"/>
  <c r="CF34" i="105"/>
  <c r="DA34" i="105" s="1"/>
  <c r="CE34" i="105"/>
  <c r="CX34" i="105" s="1"/>
  <c r="CD34" i="105"/>
  <c r="CC34" i="105"/>
  <c r="CB34" i="105"/>
  <c r="CA34" i="105"/>
  <c r="BZ34" i="105"/>
  <c r="BY34" i="105"/>
  <c r="BX34" i="105"/>
  <c r="BW34" i="105"/>
  <c r="BV34" i="105"/>
  <c r="BU34" i="105"/>
  <c r="BT34" i="105"/>
  <c r="BS34" i="105"/>
  <c r="BR34" i="105"/>
  <c r="BQ34" i="105"/>
  <c r="BP34" i="105"/>
  <c r="BO34" i="105"/>
  <c r="BN34" i="105"/>
  <c r="BM34" i="105"/>
  <c r="BL34" i="105"/>
  <c r="BK34" i="105"/>
  <c r="BJ34" i="105"/>
  <c r="BI34" i="105"/>
  <c r="BH34" i="105"/>
  <c r="BG34" i="105"/>
  <c r="BF34" i="105"/>
  <c r="BE34" i="105"/>
  <c r="BD34" i="105"/>
  <c r="BC34" i="105"/>
  <c r="W34" i="105"/>
  <c r="P34" i="105"/>
  <c r="J420" i="105" s="1"/>
  <c r="J418" i="105" s="1"/>
  <c r="O34" i="105"/>
  <c r="I420" i="105" s="1"/>
  <c r="N34" i="105"/>
  <c r="H420" i="105" s="1"/>
  <c r="H418" i="105" s="1"/>
  <c r="M34" i="105"/>
  <c r="L34" i="105"/>
  <c r="F420" i="105" s="1"/>
  <c r="F418" i="105" s="1"/>
  <c r="K34" i="105"/>
  <c r="E420" i="105" s="1"/>
  <c r="E418" i="105" s="1"/>
  <c r="J34" i="105"/>
  <c r="D420" i="105" s="1"/>
  <c r="D418" i="105" s="1"/>
  <c r="I34" i="105"/>
  <c r="C420" i="105" s="1"/>
  <c r="C418" i="105" s="1"/>
  <c r="H34" i="105"/>
  <c r="G34" i="105"/>
  <c r="F34" i="105"/>
  <c r="E34" i="105"/>
  <c r="D34" i="105"/>
  <c r="C34" i="105"/>
  <c r="DB33" i="105"/>
  <c r="CM32" i="105"/>
  <c r="CL32" i="105"/>
  <c r="CL39" i="105" s="1"/>
  <c r="CK32" i="105"/>
  <c r="CJ32" i="105"/>
  <c r="CI32" i="105"/>
  <c r="CH32" i="105"/>
  <c r="CH39" i="105" s="1"/>
  <c r="CG32" i="105"/>
  <c r="CF32" i="105"/>
  <c r="CE32" i="105"/>
  <c r="CD32" i="105"/>
  <c r="CD39" i="105" s="1"/>
  <c r="CC32" i="105"/>
  <c r="CC39" i="105" s="1"/>
  <c r="CB32" i="105"/>
  <c r="CB39" i="105" s="1"/>
  <c r="CA32" i="105"/>
  <c r="BZ32" i="105"/>
  <c r="BZ39" i="105" s="1"/>
  <c r="BY32" i="105"/>
  <c r="BY39" i="105" s="1"/>
  <c r="BX32" i="105"/>
  <c r="BX39" i="105" s="1"/>
  <c r="BW32" i="105"/>
  <c r="BV32" i="105"/>
  <c r="BV39" i="105" s="1"/>
  <c r="BU32" i="105"/>
  <c r="BU39" i="105" s="1"/>
  <c r="BT32" i="105"/>
  <c r="BT39" i="105" s="1"/>
  <c r="BS32" i="105"/>
  <c r="BS39" i="105" s="1"/>
  <c r="BR32" i="105"/>
  <c r="BR39" i="105" s="1"/>
  <c r="BQ32" i="105"/>
  <c r="BQ39" i="105" s="1"/>
  <c r="BP32" i="105"/>
  <c r="BP39" i="105" s="1"/>
  <c r="BO32" i="105"/>
  <c r="BO39" i="105" s="1"/>
  <c r="BN32" i="105"/>
  <c r="BN39" i="105" s="1"/>
  <c r="BM32" i="105"/>
  <c r="BM39" i="105" s="1"/>
  <c r="BL32" i="105"/>
  <c r="BL39" i="105" s="1"/>
  <c r="BK32" i="105"/>
  <c r="BK39" i="105" s="1"/>
  <c r="BJ32" i="105"/>
  <c r="BJ39" i="105" s="1"/>
  <c r="BI32" i="105"/>
  <c r="BI39" i="105" s="1"/>
  <c r="BH32" i="105"/>
  <c r="BH39" i="105" s="1"/>
  <c r="BG32" i="105"/>
  <c r="BG39" i="105" s="1"/>
  <c r="BF32" i="105"/>
  <c r="BF39" i="105" s="1"/>
  <c r="BE32" i="105"/>
  <c r="BE39" i="105" s="1"/>
  <c r="BD32" i="105"/>
  <c r="BD39" i="105" s="1"/>
  <c r="BC32" i="105"/>
  <c r="BC39" i="105" s="1"/>
  <c r="W32" i="105"/>
  <c r="P32" i="105"/>
  <c r="O32" i="105"/>
  <c r="N32" i="105"/>
  <c r="M32" i="105"/>
  <c r="L32" i="105"/>
  <c r="K32" i="105"/>
  <c r="J32" i="105"/>
  <c r="I32" i="105"/>
  <c r="H32" i="105"/>
  <c r="G32" i="105"/>
  <c r="F32" i="105"/>
  <c r="E32" i="105"/>
  <c r="D32" i="105"/>
  <c r="C32" i="105"/>
  <c r="DA31" i="105"/>
  <c r="CZ31" i="105"/>
  <c r="DB31" i="105" s="1"/>
  <c r="CN31" i="105"/>
  <c r="CO31" i="105" s="1"/>
  <c r="DF28" i="105"/>
  <c r="DG28" i="105" s="1"/>
  <c r="DE28" i="105"/>
  <c r="DA28" i="105"/>
  <c r="CZ28" i="105"/>
  <c r="DB28" i="105" s="1"/>
  <c r="CX28" i="105"/>
  <c r="CW28" i="105"/>
  <c r="CY28" i="105" s="1"/>
  <c r="CV28" i="105"/>
  <c r="CU28" i="105"/>
  <c r="CT28" i="105"/>
  <c r="CS28" i="105"/>
  <c r="CN28" i="105"/>
  <c r="W28" i="105"/>
  <c r="P28" i="105"/>
  <c r="P230" i="106" s="1"/>
  <c r="O28" i="105"/>
  <c r="O230" i="106" s="1"/>
  <c r="N28" i="105"/>
  <c r="N230" i="106" s="1"/>
  <c r="M28" i="105"/>
  <c r="M230" i="106" s="1"/>
  <c r="L28" i="105"/>
  <c r="L230" i="106" s="1"/>
  <c r="K28" i="105"/>
  <c r="K230" i="106" s="1"/>
  <c r="J28" i="105"/>
  <c r="J230" i="106" s="1"/>
  <c r="I28" i="105"/>
  <c r="I230" i="106" s="1"/>
  <c r="H28" i="105"/>
  <c r="H230" i="106" s="1"/>
  <c r="G28" i="105"/>
  <c r="G230" i="106" s="1"/>
  <c r="F28" i="105"/>
  <c r="F230" i="106" s="1"/>
  <c r="E28" i="105"/>
  <c r="E230" i="106" s="1"/>
  <c r="D28" i="105"/>
  <c r="D230" i="106" s="1"/>
  <c r="C28" i="105"/>
  <c r="C230" i="106" s="1"/>
  <c r="DA27" i="105"/>
  <c r="CZ27" i="105"/>
  <c r="CN27" i="105"/>
  <c r="CO27" i="105" s="1"/>
  <c r="DS25" i="105"/>
  <c r="DS26" i="105" s="1"/>
  <c r="DQ25" i="105"/>
  <c r="DP25" i="105"/>
  <c r="DP26" i="105" s="1"/>
  <c r="CY25" i="105"/>
  <c r="DS24" i="105"/>
  <c r="DQ24" i="105"/>
  <c r="DP24" i="105"/>
  <c r="FB23" i="105"/>
  <c r="FA23" i="105"/>
  <c r="EZ23" i="105"/>
  <c r="EY23" i="105"/>
  <c r="EV23" i="105"/>
  <c r="EU23" i="105"/>
  <c r="ET23" i="105"/>
  <c r="ES23" i="105"/>
  <c r="DS23" i="105"/>
  <c r="DQ23" i="105"/>
  <c r="DP23" i="105"/>
  <c r="EB22" i="105"/>
  <c r="DS22" i="105"/>
  <c r="DQ22" i="105"/>
  <c r="DP22" i="105"/>
  <c r="EB21" i="105"/>
  <c r="DS21" i="105"/>
  <c r="DQ21" i="105"/>
  <c r="DP21" i="105"/>
  <c r="CY21" i="105"/>
  <c r="EB20" i="105"/>
  <c r="CM20" i="105"/>
  <c r="CL20" i="105"/>
  <c r="CK20" i="105"/>
  <c r="CJ20" i="105"/>
  <c r="CI20" i="105"/>
  <c r="CH20" i="105"/>
  <c r="CG20" i="105"/>
  <c r="CF20" i="105"/>
  <c r="CE20" i="105"/>
  <c r="CD20" i="105"/>
  <c r="CC20" i="105"/>
  <c r="CB20" i="105"/>
  <c r="CA20" i="105"/>
  <c r="BZ20" i="105"/>
  <c r="BY20" i="105"/>
  <c r="BX20" i="105"/>
  <c r="BW20" i="105"/>
  <c r="BV20" i="105"/>
  <c r="BU20" i="105"/>
  <c r="BT20" i="105"/>
  <c r="BS20" i="105"/>
  <c r="BR20" i="105"/>
  <c r="BQ20" i="105"/>
  <c r="BP20" i="105"/>
  <c r="BO20" i="105"/>
  <c r="BN20" i="105"/>
  <c r="BM20" i="105"/>
  <c r="BL20" i="105"/>
  <c r="BK20" i="105"/>
  <c r="BJ20" i="105"/>
  <c r="BI20" i="105"/>
  <c r="BH20" i="105"/>
  <c r="BG20" i="105"/>
  <c r="BF20" i="105"/>
  <c r="BE20" i="105"/>
  <c r="BD20" i="105"/>
  <c r="BC20" i="105"/>
  <c r="P20" i="105"/>
  <c r="O20" i="105"/>
  <c r="N20" i="105"/>
  <c r="M20" i="105"/>
  <c r="L20" i="105"/>
  <c r="K20" i="105"/>
  <c r="J20" i="105"/>
  <c r="I20" i="105"/>
  <c r="H20" i="105"/>
  <c r="G20" i="105"/>
  <c r="F20" i="105"/>
  <c r="E20" i="105"/>
  <c r="D20" i="105"/>
  <c r="C20" i="105"/>
  <c r="FB19" i="105"/>
  <c r="FB21" i="105" s="1"/>
  <c r="EB19" i="105"/>
  <c r="DS19" i="105"/>
  <c r="DS20" i="105" s="1"/>
  <c r="DQ19" i="105"/>
  <c r="DP19" i="105"/>
  <c r="DP20" i="105" s="1"/>
  <c r="FB18" i="105"/>
  <c r="FB20" i="105" s="1"/>
  <c r="EB18" i="105"/>
  <c r="DS18" i="105"/>
  <c r="DQ18" i="105"/>
  <c r="DP18" i="105"/>
  <c r="CY18" i="105"/>
  <c r="CM17" i="105"/>
  <c r="CL17" i="105"/>
  <c r="CK17" i="105"/>
  <c r="CJ17" i="105"/>
  <c r="CI17" i="105"/>
  <c r="CH17" i="105"/>
  <c r="CG17" i="105"/>
  <c r="CF17" i="105"/>
  <c r="CE17" i="105"/>
  <c r="CD17" i="105"/>
  <c r="CC17" i="105"/>
  <c r="CB17" i="105"/>
  <c r="CA17" i="105"/>
  <c r="BZ17" i="105"/>
  <c r="BY17" i="105"/>
  <c r="BX17" i="105"/>
  <c r="BW17" i="105"/>
  <c r="BV17" i="105"/>
  <c r="BU17" i="105"/>
  <c r="BT17" i="105"/>
  <c r="BS17" i="105"/>
  <c r="BR17" i="105"/>
  <c r="BQ17" i="105"/>
  <c r="BP17" i="105"/>
  <c r="BO17" i="105"/>
  <c r="BN17" i="105"/>
  <c r="BM17" i="105"/>
  <c r="BL17" i="105"/>
  <c r="BK17" i="105"/>
  <c r="BJ17" i="105"/>
  <c r="BI17" i="105"/>
  <c r="BH17" i="105"/>
  <c r="BG17" i="105"/>
  <c r="BF17" i="105"/>
  <c r="BE17" i="105"/>
  <c r="BD17" i="105"/>
  <c r="BC17" i="105"/>
  <c r="P17" i="105"/>
  <c r="O17" i="105"/>
  <c r="N17" i="105"/>
  <c r="M17" i="105"/>
  <c r="L17" i="105"/>
  <c r="K17" i="105"/>
  <c r="J17" i="105"/>
  <c r="I17" i="105"/>
  <c r="H17" i="105"/>
  <c r="G17" i="105"/>
  <c r="F17" i="105"/>
  <c r="E17" i="105"/>
  <c r="D17" i="105"/>
  <c r="C17" i="105"/>
  <c r="EB16" i="105"/>
  <c r="DS16" i="105"/>
  <c r="DQ16" i="105"/>
  <c r="DP16" i="105"/>
  <c r="DA16" i="105"/>
  <c r="CZ16" i="105"/>
  <c r="DB16" i="105" s="1"/>
  <c r="CY16" i="105"/>
  <c r="CN16" i="105"/>
  <c r="CO16" i="105" s="1"/>
  <c r="EE15" i="105"/>
  <c r="DS15" i="105"/>
  <c r="DQ15" i="105"/>
  <c r="DP15" i="105"/>
  <c r="DA15" i="105"/>
  <c r="CZ15" i="105"/>
  <c r="DB15" i="105" s="1"/>
  <c r="CY15" i="105"/>
  <c r="CN15" i="105"/>
  <c r="CO15" i="105" s="1"/>
  <c r="EV14" i="105"/>
  <c r="DS13" i="105"/>
  <c r="DS14" i="105" s="1"/>
  <c r="DQ13" i="105"/>
  <c r="DP13" i="105"/>
  <c r="DP14" i="105" s="1"/>
  <c r="CM13" i="105"/>
  <c r="CL13" i="105"/>
  <c r="CK13" i="105"/>
  <c r="CJ13" i="105"/>
  <c r="CI13" i="105"/>
  <c r="CH13" i="105"/>
  <c r="CG13" i="105"/>
  <c r="CF13" i="105"/>
  <c r="CE13" i="105"/>
  <c r="CD13" i="105"/>
  <c r="CC13" i="105"/>
  <c r="CB13" i="105"/>
  <c r="CA13" i="105"/>
  <c r="BZ13" i="105"/>
  <c r="BY13" i="105"/>
  <c r="BX13" i="105"/>
  <c r="BW13" i="105"/>
  <c r="BV13" i="105"/>
  <c r="BU13" i="105"/>
  <c r="BT13" i="105"/>
  <c r="BS13" i="105"/>
  <c r="BR13" i="105"/>
  <c r="BQ13" i="105"/>
  <c r="BP13" i="105"/>
  <c r="BO13" i="105"/>
  <c r="BN13" i="105"/>
  <c r="BM13" i="105"/>
  <c r="BL13" i="105"/>
  <c r="BK13" i="105"/>
  <c r="BJ13" i="105"/>
  <c r="BI13" i="105"/>
  <c r="BH13" i="105"/>
  <c r="BG13" i="105"/>
  <c r="BF13" i="105"/>
  <c r="BE13" i="105"/>
  <c r="BD13" i="105"/>
  <c r="BC13" i="105"/>
  <c r="EE12" i="105"/>
  <c r="DS12" i="105"/>
  <c r="DQ12" i="105"/>
  <c r="DP12" i="105"/>
  <c r="CY12" i="105"/>
  <c r="BX12" i="105"/>
  <c r="DR11" i="105"/>
  <c r="CM11" i="105"/>
  <c r="CL11" i="105"/>
  <c r="CK11" i="105"/>
  <c r="CJ11" i="105"/>
  <c r="CI11" i="105"/>
  <c r="CH11" i="105"/>
  <c r="CG11" i="105"/>
  <c r="CF11" i="105"/>
  <c r="CE11" i="105"/>
  <c r="CD11" i="105"/>
  <c r="CC11" i="105"/>
  <c r="CB11" i="105"/>
  <c r="CA11" i="105"/>
  <c r="BZ11" i="105"/>
  <c r="BY11" i="105"/>
  <c r="BX11" i="105"/>
  <c r="BW11" i="105"/>
  <c r="BV11" i="105"/>
  <c r="BU11" i="105"/>
  <c r="BT11" i="105"/>
  <c r="BS11" i="105"/>
  <c r="BR11" i="105"/>
  <c r="BQ11" i="105"/>
  <c r="BP11" i="105"/>
  <c r="BO11" i="105"/>
  <c r="BN11" i="105"/>
  <c r="BN12" i="105" s="1"/>
  <c r="BM11" i="105"/>
  <c r="BM12" i="105" s="1"/>
  <c r="BL11" i="105"/>
  <c r="BL12" i="105" s="1"/>
  <c r="BK11" i="105"/>
  <c r="BK12" i="105" s="1"/>
  <c r="BJ11" i="105"/>
  <c r="BI11" i="105"/>
  <c r="BH11" i="105"/>
  <c r="BG11" i="105"/>
  <c r="BF11" i="105"/>
  <c r="BE11" i="105"/>
  <c r="BD11" i="105"/>
  <c r="BC11" i="105"/>
  <c r="P11" i="105"/>
  <c r="O11" i="105"/>
  <c r="N11" i="105"/>
  <c r="M11" i="105"/>
  <c r="L11" i="105"/>
  <c r="K11" i="105"/>
  <c r="J11" i="105"/>
  <c r="I11" i="105"/>
  <c r="H11" i="105"/>
  <c r="G11" i="105"/>
  <c r="F11" i="105"/>
  <c r="E11" i="105"/>
  <c r="D11" i="105"/>
  <c r="C11" i="105"/>
  <c r="EL10" i="105"/>
  <c r="EF10" i="105"/>
  <c r="EN10" i="105" s="1"/>
  <c r="EB10" i="105"/>
  <c r="EO10" i="105" s="1"/>
  <c r="DQ10" i="105"/>
  <c r="DR10" i="105" s="1"/>
  <c r="DP10" i="105"/>
  <c r="CY10" i="105"/>
  <c r="FA9" i="105"/>
  <c r="EL9" i="105"/>
  <c r="EF9" i="105"/>
  <c r="EB9" i="105"/>
  <c r="DQ9" i="105"/>
  <c r="DR9" i="105" s="1"/>
  <c r="FA8" i="105"/>
  <c r="DQ8" i="105"/>
  <c r="DR8" i="105" s="1"/>
  <c r="DP8" i="105"/>
  <c r="EB7" i="105"/>
  <c r="CM7" i="105"/>
  <c r="CL7" i="105"/>
  <c r="CL8" i="105" s="1"/>
  <c r="BB2" i="103" s="1"/>
  <c r="CK7" i="105"/>
  <c r="CK8" i="105" s="1"/>
  <c r="BA2" i="103" s="1"/>
  <c r="CJ7" i="105"/>
  <c r="CI7" i="105"/>
  <c r="CH7" i="105"/>
  <c r="CH8" i="105" s="1"/>
  <c r="AX2" i="103" s="1"/>
  <c r="CG7" i="105"/>
  <c r="CG8" i="105" s="1"/>
  <c r="AW2" i="103" s="1"/>
  <c r="CF7" i="105"/>
  <c r="CE7" i="105"/>
  <c r="CD7" i="105"/>
  <c r="CD8" i="105" s="1"/>
  <c r="AT2" i="103" s="1"/>
  <c r="CC7" i="105"/>
  <c r="CC8" i="105" s="1"/>
  <c r="AS2" i="103" s="1"/>
  <c r="CB7" i="105"/>
  <c r="CB8" i="105" s="1"/>
  <c r="AR2" i="103" s="1"/>
  <c r="CA7" i="105"/>
  <c r="BZ7" i="105"/>
  <c r="BZ8" i="105" s="1"/>
  <c r="AP2" i="103" s="1"/>
  <c r="BY7" i="105"/>
  <c r="BY8" i="105" s="1"/>
  <c r="AO2" i="103" s="1"/>
  <c r="BX7" i="105"/>
  <c r="BX8" i="105" s="1"/>
  <c r="AN2" i="103" s="1"/>
  <c r="BW7" i="105"/>
  <c r="BV7" i="105"/>
  <c r="BV8" i="105" s="1"/>
  <c r="AL2" i="103" s="1"/>
  <c r="BU7" i="105"/>
  <c r="BU8" i="105" s="1"/>
  <c r="AK2" i="103" s="1"/>
  <c r="BT7" i="105"/>
  <c r="BT8" i="105" s="1"/>
  <c r="AJ2" i="103" s="1"/>
  <c r="BS7" i="105"/>
  <c r="BS8" i="105" s="1"/>
  <c r="AI2" i="103" s="1"/>
  <c r="BR7" i="105"/>
  <c r="BR8" i="105" s="1"/>
  <c r="AH2" i="103" s="1"/>
  <c r="BQ7" i="105"/>
  <c r="BQ8" i="105" s="1"/>
  <c r="AG2" i="103" s="1"/>
  <c r="BP7" i="105"/>
  <c r="BP8" i="105" s="1"/>
  <c r="AF2" i="103" s="1"/>
  <c r="BO7" i="105"/>
  <c r="BO8" i="105" s="1"/>
  <c r="AE2" i="103" s="1"/>
  <c r="CD2" i="103" s="1"/>
  <c r="BN7" i="105"/>
  <c r="BN8" i="105" s="1"/>
  <c r="BM7" i="105"/>
  <c r="BM8" i="105" s="1"/>
  <c r="BL7" i="105"/>
  <c r="BL8" i="105" s="1"/>
  <c r="BK7" i="105"/>
  <c r="BK8" i="105" s="1"/>
  <c r="BJ7" i="105"/>
  <c r="BJ8" i="105" s="1"/>
  <c r="BI7" i="105"/>
  <c r="BI8" i="105" s="1"/>
  <c r="BH7" i="105"/>
  <c r="BH8" i="105" s="1"/>
  <c r="BG7" i="105"/>
  <c r="BG8" i="105" s="1"/>
  <c r="BF7" i="105"/>
  <c r="BF8" i="105" s="1"/>
  <c r="BE7" i="105"/>
  <c r="BE8" i="105" s="1"/>
  <c r="BD7" i="105"/>
  <c r="BD8" i="105" s="1"/>
  <c r="BC7" i="105"/>
  <c r="BC8" i="105" s="1"/>
  <c r="P7" i="105"/>
  <c r="P8" i="105" s="1"/>
  <c r="O7" i="105"/>
  <c r="O8" i="105" s="1"/>
  <c r="N7" i="105"/>
  <c r="N8" i="105" s="1"/>
  <c r="M7" i="105"/>
  <c r="M8" i="105" s="1"/>
  <c r="M71" i="105" s="1"/>
  <c r="L7" i="105"/>
  <c r="L8" i="105" s="1"/>
  <c r="L71" i="105" s="1"/>
  <c r="K7" i="105"/>
  <c r="K8" i="105" s="1"/>
  <c r="K71" i="105" s="1"/>
  <c r="J7" i="105"/>
  <c r="J8" i="105" s="1"/>
  <c r="J71" i="105" s="1"/>
  <c r="I7" i="105"/>
  <c r="I8" i="105" s="1"/>
  <c r="I71" i="105" s="1"/>
  <c r="H7" i="105"/>
  <c r="H8" i="105" s="1"/>
  <c r="G7" i="105"/>
  <c r="G8" i="105" s="1"/>
  <c r="F7" i="105"/>
  <c r="F8" i="105" s="1"/>
  <c r="E7" i="105"/>
  <c r="E8" i="105" s="1"/>
  <c r="D7" i="105"/>
  <c r="D8" i="105" s="1"/>
  <c r="C7" i="105"/>
  <c r="C8" i="105" s="1"/>
  <c r="FB6" i="105"/>
  <c r="FA6" i="105"/>
  <c r="EF6" i="105"/>
  <c r="EB6" i="105"/>
  <c r="EO6" i="105" s="1"/>
  <c r="DS6" i="105"/>
  <c r="DQ6" i="105"/>
  <c r="DP6" i="105"/>
  <c r="CM6" i="105"/>
  <c r="CL6" i="105"/>
  <c r="CL9" i="105" s="1"/>
  <c r="CK6" i="105"/>
  <c r="CK9" i="105" s="1"/>
  <c r="CJ6" i="105"/>
  <c r="CI6" i="105"/>
  <c r="CH6" i="105"/>
  <c r="CH9" i="105" s="1"/>
  <c r="CG6" i="105"/>
  <c r="CG9" i="105" s="1"/>
  <c r="CF6" i="105"/>
  <c r="CE6" i="105"/>
  <c r="CD6" i="105"/>
  <c r="CD9" i="105" s="1"/>
  <c r="CC6" i="105"/>
  <c r="CC9" i="105" s="1"/>
  <c r="CB6" i="105"/>
  <c r="CB9" i="105" s="1"/>
  <c r="CA6" i="105"/>
  <c r="BZ6" i="105"/>
  <c r="BZ9" i="105" s="1"/>
  <c r="BY6" i="105"/>
  <c r="BY9" i="105" s="1"/>
  <c r="BX6" i="105"/>
  <c r="BX9" i="105" s="1"/>
  <c r="BW6" i="105"/>
  <c r="BV6" i="105"/>
  <c r="BV9" i="105" s="1"/>
  <c r="BU6" i="105"/>
  <c r="BU9" i="105" s="1"/>
  <c r="BT6" i="105"/>
  <c r="BT9" i="105" s="1"/>
  <c r="BS6" i="105"/>
  <c r="BS9" i="105" s="1"/>
  <c r="BR6" i="105"/>
  <c r="BR9" i="105" s="1"/>
  <c r="BQ6" i="105"/>
  <c r="BQ9" i="105" s="1"/>
  <c r="BP6" i="105"/>
  <c r="BP9" i="105" s="1"/>
  <c r="BO6" i="105"/>
  <c r="BO9" i="105" s="1"/>
  <c r="BN6" i="105"/>
  <c r="BN9" i="105" s="1"/>
  <c r="BM6" i="105"/>
  <c r="BM9" i="105" s="1"/>
  <c r="BL6" i="105"/>
  <c r="BL9" i="105" s="1"/>
  <c r="BK6" i="105"/>
  <c r="BK9" i="105" s="1"/>
  <c r="BJ6" i="105"/>
  <c r="BJ9" i="105" s="1"/>
  <c r="BJ38" i="105" s="1"/>
  <c r="BI6" i="105"/>
  <c r="BI9" i="105" s="1"/>
  <c r="BI38" i="105" s="1"/>
  <c r="BH6" i="105"/>
  <c r="BH9" i="105" s="1"/>
  <c r="BH38" i="105" s="1"/>
  <c r="BG6" i="105"/>
  <c r="BG9" i="105" s="1"/>
  <c r="BG38" i="105" s="1"/>
  <c r="BF6" i="105"/>
  <c r="BF9" i="105" s="1"/>
  <c r="BF38" i="105" s="1"/>
  <c r="BE6" i="105"/>
  <c r="BE9" i="105" s="1"/>
  <c r="BE38" i="105" s="1"/>
  <c r="BD6" i="105"/>
  <c r="BD9" i="105" s="1"/>
  <c r="BD38" i="105" s="1"/>
  <c r="BC6" i="105"/>
  <c r="BC9" i="105" s="1"/>
  <c r="BC38" i="105" s="1"/>
  <c r="U6" i="105"/>
  <c r="P6" i="105"/>
  <c r="P9" i="105" s="1"/>
  <c r="O6" i="105"/>
  <c r="O9" i="105" s="1"/>
  <c r="N6" i="105"/>
  <c r="N9" i="105" s="1"/>
  <c r="M6" i="105"/>
  <c r="M9" i="105" s="1"/>
  <c r="L6" i="105"/>
  <c r="L9" i="105" s="1"/>
  <c r="K6" i="105"/>
  <c r="K9" i="105" s="1"/>
  <c r="J6" i="105"/>
  <c r="J9" i="105" s="1"/>
  <c r="I6" i="105"/>
  <c r="I9" i="105" s="1"/>
  <c r="H6" i="105"/>
  <c r="H9" i="105" s="1"/>
  <c r="G6" i="105"/>
  <c r="G9" i="105" s="1"/>
  <c r="F6" i="105"/>
  <c r="F9" i="105" s="1"/>
  <c r="E6" i="105"/>
  <c r="E9" i="105" s="1"/>
  <c r="D6" i="105"/>
  <c r="D9" i="105" s="1"/>
  <c r="C6" i="105"/>
  <c r="C9" i="105" s="1"/>
  <c r="EB5" i="105"/>
  <c r="CR4" i="105"/>
  <c r="B4" i="105"/>
  <c r="DA3" i="105"/>
  <c r="CZ3" i="105"/>
  <c r="V1" i="105"/>
  <c r="J221" i="104"/>
  <c r="I221" i="104"/>
  <c r="H221" i="104"/>
  <c r="E221" i="104"/>
  <c r="J220" i="104"/>
  <c r="I220" i="104"/>
  <c r="H220" i="104"/>
  <c r="E220" i="104"/>
  <c r="J219" i="104"/>
  <c r="I219" i="104"/>
  <c r="H219" i="104"/>
  <c r="E219" i="104"/>
  <c r="J218" i="104"/>
  <c r="I218" i="104"/>
  <c r="H218" i="104"/>
  <c r="E218" i="104"/>
  <c r="J217" i="104"/>
  <c r="I217" i="104"/>
  <c r="H217" i="104"/>
  <c r="E217" i="104"/>
  <c r="J216" i="104"/>
  <c r="I216" i="104"/>
  <c r="H216" i="104"/>
  <c r="E216" i="104"/>
  <c r="J215" i="104"/>
  <c r="I215" i="104"/>
  <c r="H215" i="104"/>
  <c r="E215" i="104"/>
  <c r="J214" i="104"/>
  <c r="I214" i="104"/>
  <c r="H214" i="104"/>
  <c r="E214" i="104"/>
  <c r="G184" i="104"/>
  <c r="I184" i="104" s="1"/>
  <c r="G183" i="104"/>
  <c r="I183" i="104" s="1"/>
  <c r="E182" i="104"/>
  <c r="G182" i="104" s="1"/>
  <c r="I182" i="104" s="1"/>
  <c r="E181" i="104"/>
  <c r="G181" i="104" s="1"/>
  <c r="I181" i="104" s="1"/>
  <c r="E180" i="104"/>
  <c r="G180" i="104" s="1"/>
  <c r="I180" i="104" s="1"/>
  <c r="E179" i="104"/>
  <c r="G179" i="104" s="1"/>
  <c r="I179" i="104" s="1"/>
  <c r="E178" i="104"/>
  <c r="G178" i="104" s="1"/>
  <c r="I178" i="104" s="1"/>
  <c r="G186" i="104" s="1"/>
  <c r="C192" i="104" s="1"/>
  <c r="B140" i="104"/>
  <c r="B139" i="104"/>
  <c r="Z136" i="104"/>
  <c r="Y136" i="104"/>
  <c r="X136" i="104"/>
  <c r="W136" i="104"/>
  <c r="V136" i="104"/>
  <c r="U136" i="104"/>
  <c r="T136" i="104"/>
  <c r="S136" i="104"/>
  <c r="R136" i="104"/>
  <c r="Q136" i="104"/>
  <c r="O136" i="104"/>
  <c r="X132" i="104"/>
  <c r="X135" i="104" s="1"/>
  <c r="W132" i="104"/>
  <c r="W135" i="104" s="1"/>
  <c r="V132" i="104"/>
  <c r="V135" i="104" s="1"/>
  <c r="U132" i="104"/>
  <c r="U135" i="104" s="1"/>
  <c r="T132" i="104"/>
  <c r="T135" i="104" s="1"/>
  <c r="S132" i="104"/>
  <c r="S135" i="104" s="1"/>
  <c r="O132" i="104"/>
  <c r="O135" i="104" s="1"/>
  <c r="Z131" i="104"/>
  <c r="Z133" i="104" s="1"/>
  <c r="Z134" i="104" s="1"/>
  <c r="Y131" i="104"/>
  <c r="Y133" i="104" s="1"/>
  <c r="Y134" i="104" s="1"/>
  <c r="X131" i="104"/>
  <c r="X133" i="104" s="1"/>
  <c r="X134" i="104" s="1"/>
  <c r="W131" i="104"/>
  <c r="W133" i="104" s="1"/>
  <c r="W134" i="104" s="1"/>
  <c r="V131" i="104"/>
  <c r="V133" i="104" s="1"/>
  <c r="V134" i="104" s="1"/>
  <c r="U131" i="104"/>
  <c r="U133" i="104" s="1"/>
  <c r="U134" i="104" s="1"/>
  <c r="T131" i="104"/>
  <c r="T133" i="104" s="1"/>
  <c r="T134" i="104" s="1"/>
  <c r="S131" i="104"/>
  <c r="S133" i="104" s="1"/>
  <c r="S134" i="104" s="1"/>
  <c r="R131" i="104"/>
  <c r="R133" i="104" s="1"/>
  <c r="R134" i="104" s="1"/>
  <c r="Q131" i="104"/>
  <c r="Q133" i="104" s="1"/>
  <c r="Q134" i="104" s="1"/>
  <c r="O131" i="104"/>
  <c r="O133" i="104" s="1"/>
  <c r="O134" i="104" s="1"/>
  <c r="Z130" i="104"/>
  <c r="Y130" i="104"/>
  <c r="X130" i="104"/>
  <c r="W130" i="104"/>
  <c r="V130" i="104"/>
  <c r="U130" i="104"/>
  <c r="T130" i="104"/>
  <c r="S130" i="104"/>
  <c r="R130" i="104"/>
  <c r="Q130" i="104"/>
  <c r="O130" i="104"/>
  <c r="Z129" i="104"/>
  <c r="Y129" i="104"/>
  <c r="X129" i="104"/>
  <c r="W129" i="104"/>
  <c r="V129" i="104"/>
  <c r="U129" i="104"/>
  <c r="T129" i="104"/>
  <c r="S129" i="104"/>
  <c r="R129" i="104"/>
  <c r="Q129" i="104"/>
  <c r="P129" i="104"/>
  <c r="O129" i="104"/>
  <c r="N129" i="104"/>
  <c r="M129" i="104"/>
  <c r="L129" i="104"/>
  <c r="K129" i="104"/>
  <c r="J129" i="104"/>
  <c r="I129" i="104"/>
  <c r="H129" i="104"/>
  <c r="G129" i="104"/>
  <c r="F129" i="104"/>
  <c r="E129" i="104"/>
  <c r="D129" i="104"/>
  <c r="C129" i="104"/>
  <c r="H115" i="104"/>
  <c r="H104" i="104"/>
  <c r="I104" i="104" s="1"/>
  <c r="J104" i="104" s="1"/>
  <c r="F104" i="104"/>
  <c r="E104" i="104"/>
  <c r="D104" i="104"/>
  <c r="H82" i="104"/>
  <c r="I82" i="104" s="1"/>
  <c r="J82" i="104" s="1"/>
  <c r="F82" i="104"/>
  <c r="E82" i="104"/>
  <c r="D82" i="104"/>
  <c r="C73" i="104"/>
  <c r="D72" i="104"/>
  <c r="D64" i="104"/>
  <c r="J63" i="104"/>
  <c r="F63" i="104"/>
  <c r="D63" i="104"/>
  <c r="B61" i="104"/>
  <c r="J58" i="104"/>
  <c r="E58" i="104"/>
  <c r="E57" i="104"/>
  <c r="J56" i="104"/>
  <c r="E56" i="104"/>
  <c r="B56" i="104"/>
  <c r="E55" i="104"/>
  <c r="C55" i="104"/>
  <c r="B55" i="104"/>
  <c r="J54" i="104"/>
  <c r="E54" i="104"/>
  <c r="C54" i="104"/>
  <c r="B54" i="104"/>
  <c r="J53" i="104"/>
  <c r="E53" i="104"/>
  <c r="D39" i="104"/>
  <c r="D38" i="104"/>
  <c r="D37" i="104"/>
  <c r="D35" i="104"/>
  <c r="P34" i="104"/>
  <c r="D34" i="104"/>
  <c r="G33" i="104"/>
  <c r="F33" i="104" s="1"/>
  <c r="AB29" i="104"/>
  <c r="C24" i="104"/>
  <c r="C25" i="104" s="1"/>
  <c r="C56" i="104" s="1"/>
  <c r="R8" i="104"/>
  <c r="J8" i="104"/>
  <c r="N309" i="103"/>
  <c r="J309" i="103"/>
  <c r="H309" i="103"/>
  <c r="G309" i="103"/>
  <c r="F309" i="103"/>
  <c r="N308" i="103"/>
  <c r="J308" i="103"/>
  <c r="H308" i="103"/>
  <c r="G308" i="103"/>
  <c r="F308" i="103"/>
  <c r="N307" i="103"/>
  <c r="J307" i="103"/>
  <c r="H307" i="103"/>
  <c r="G307" i="103"/>
  <c r="F307" i="103"/>
  <c r="H303" i="103"/>
  <c r="H310" i="103" s="1"/>
  <c r="G303" i="103"/>
  <c r="G310" i="103" s="1"/>
  <c r="F303" i="103"/>
  <c r="F310" i="103" s="1"/>
  <c r="E303" i="103"/>
  <c r="N296" i="103"/>
  <c r="J296" i="103"/>
  <c r="H296" i="103"/>
  <c r="G296" i="103"/>
  <c r="F296" i="103"/>
  <c r="N294" i="103"/>
  <c r="J294" i="103"/>
  <c r="H294" i="103"/>
  <c r="G294" i="103"/>
  <c r="F294" i="103"/>
  <c r="I254" i="103"/>
  <c r="H254" i="103"/>
  <c r="G254" i="103"/>
  <c r="F254" i="103"/>
  <c r="E254" i="103"/>
  <c r="D254" i="103"/>
  <c r="BL253" i="103"/>
  <c r="BK253" i="103"/>
  <c r="BB253" i="103"/>
  <c r="BA253" i="103"/>
  <c r="AZ253" i="103"/>
  <c r="AY253" i="103"/>
  <c r="AX253" i="103"/>
  <c r="AW253" i="103"/>
  <c r="AV253" i="103"/>
  <c r="AU253" i="103"/>
  <c r="AT253" i="103"/>
  <c r="AS253" i="103"/>
  <c r="AR253" i="103"/>
  <c r="AQ253" i="103"/>
  <c r="AP253" i="103"/>
  <c r="AO253" i="103"/>
  <c r="AN253" i="103"/>
  <c r="AM253" i="103"/>
  <c r="AL253" i="103"/>
  <c r="AL256" i="103" s="1"/>
  <c r="AK253" i="103"/>
  <c r="AK256" i="103" s="1"/>
  <c r="AJ253" i="103"/>
  <c r="AJ256" i="103" s="1"/>
  <c r="AI253" i="103"/>
  <c r="AI256" i="103" s="1"/>
  <c r="AQ250" i="103"/>
  <c r="AQ251" i="103" s="1"/>
  <c r="AP250" i="103"/>
  <c r="AP251" i="103" s="1"/>
  <c r="AO250" i="103"/>
  <c r="AN250" i="103"/>
  <c r="AM250" i="103"/>
  <c r="AL250" i="103"/>
  <c r="H241" i="103"/>
  <c r="G241" i="103"/>
  <c r="F241" i="103"/>
  <c r="E241" i="103"/>
  <c r="D241" i="103"/>
  <c r="C241" i="103"/>
  <c r="B241" i="103"/>
  <c r="I217" i="103"/>
  <c r="H217" i="103"/>
  <c r="G217" i="103"/>
  <c r="I216" i="103"/>
  <c r="H216" i="103"/>
  <c r="AT215" i="103"/>
  <c r="AP215" i="103"/>
  <c r="AL215" i="103"/>
  <c r="AH215" i="103"/>
  <c r="AD215" i="103"/>
  <c r="N215" i="103"/>
  <c r="J215" i="103"/>
  <c r="I215" i="103"/>
  <c r="H215" i="103"/>
  <c r="G215" i="103"/>
  <c r="F215" i="103"/>
  <c r="E215" i="103"/>
  <c r="D215" i="103"/>
  <c r="C215" i="103"/>
  <c r="AQ210" i="103"/>
  <c r="AM210" i="103"/>
  <c r="AI210" i="103"/>
  <c r="F210" i="103"/>
  <c r="E210" i="103"/>
  <c r="D210" i="103"/>
  <c r="C210" i="103"/>
  <c r="AQ209" i="103"/>
  <c r="AM209" i="103"/>
  <c r="F209" i="103"/>
  <c r="E209" i="103"/>
  <c r="D209" i="103"/>
  <c r="AN208" i="103"/>
  <c r="AJ208" i="103"/>
  <c r="AQ207" i="103"/>
  <c r="AM207" i="103"/>
  <c r="AI207" i="103"/>
  <c r="F207" i="103"/>
  <c r="E207" i="103"/>
  <c r="D207" i="103"/>
  <c r="C207" i="103"/>
  <c r="AQ206" i="103"/>
  <c r="AM206" i="103"/>
  <c r="F206" i="103"/>
  <c r="E206" i="103"/>
  <c r="D206" i="103"/>
  <c r="AN205" i="103"/>
  <c r="AJ205" i="103"/>
  <c r="AY202" i="103"/>
  <c r="AU202" i="103"/>
  <c r="AQ202" i="103"/>
  <c r="AM202" i="103"/>
  <c r="I202" i="103"/>
  <c r="F202" i="103"/>
  <c r="E202" i="103"/>
  <c r="D202" i="103"/>
  <c r="BA201" i="103"/>
  <c r="AV201" i="103"/>
  <c r="AR201" i="103"/>
  <c r="AN201" i="103"/>
  <c r="AJ201" i="103"/>
  <c r="U201" i="103"/>
  <c r="V201" i="103" s="1"/>
  <c r="N201" i="103"/>
  <c r="J201" i="103"/>
  <c r="K201" i="103" s="1"/>
  <c r="L201" i="103" s="1"/>
  <c r="G201" i="103"/>
  <c r="AY200" i="103"/>
  <c r="AU200" i="103"/>
  <c r="AQ200" i="103"/>
  <c r="AM200" i="103"/>
  <c r="I200" i="103"/>
  <c r="H200" i="103"/>
  <c r="G200" i="103"/>
  <c r="F200" i="103"/>
  <c r="E200" i="103"/>
  <c r="D200" i="103"/>
  <c r="BA199" i="103"/>
  <c r="AV199" i="103"/>
  <c r="AR199" i="103"/>
  <c r="AN199" i="103"/>
  <c r="AJ199" i="103"/>
  <c r="U199" i="103"/>
  <c r="V199" i="103" s="1"/>
  <c r="O199" i="103"/>
  <c r="N199" i="103"/>
  <c r="N15" i="103" s="1"/>
  <c r="J199" i="103"/>
  <c r="I191" i="103"/>
  <c r="I192" i="103" s="1"/>
  <c r="H191" i="103"/>
  <c r="F191" i="103"/>
  <c r="F192" i="103" s="1"/>
  <c r="E191" i="103"/>
  <c r="E192" i="103" s="1"/>
  <c r="D191" i="103"/>
  <c r="D192" i="103" s="1"/>
  <c r="C191" i="103"/>
  <c r="C192" i="103" s="1"/>
  <c r="B191" i="103"/>
  <c r="I190" i="103"/>
  <c r="I193" i="103" s="1"/>
  <c r="H190" i="103"/>
  <c r="H193" i="103" s="1"/>
  <c r="F190" i="103"/>
  <c r="F193" i="103" s="1"/>
  <c r="E190" i="103"/>
  <c r="E193" i="103" s="1"/>
  <c r="D190" i="103"/>
  <c r="D193" i="103" s="1"/>
  <c r="C190" i="103"/>
  <c r="C193" i="103" s="1"/>
  <c r="B190" i="103"/>
  <c r="B193" i="103" s="1"/>
  <c r="AQ189" i="103"/>
  <c r="I189" i="103"/>
  <c r="F189" i="103"/>
  <c r="E189" i="103"/>
  <c r="D189" i="103"/>
  <c r="C189" i="103"/>
  <c r="AR188" i="103"/>
  <c r="N188" i="103"/>
  <c r="G188" i="103"/>
  <c r="E185" i="103"/>
  <c r="D185" i="103"/>
  <c r="B185" i="103"/>
  <c r="E184" i="103"/>
  <c r="D184" i="103"/>
  <c r="B184" i="103"/>
  <c r="E183" i="103"/>
  <c r="D183" i="103"/>
  <c r="B183" i="103"/>
  <c r="E182" i="103"/>
  <c r="D182" i="103"/>
  <c r="B182" i="103"/>
  <c r="E181" i="103"/>
  <c r="D181" i="103"/>
  <c r="C174" i="103"/>
  <c r="BC173" i="103"/>
  <c r="AY173" i="103"/>
  <c r="AU173" i="103"/>
  <c r="AQ173" i="103"/>
  <c r="AM173" i="103"/>
  <c r="AK173" i="103"/>
  <c r="AI173" i="103"/>
  <c r="I173" i="103"/>
  <c r="AJ12" i="108" s="1"/>
  <c r="H173" i="103"/>
  <c r="O12" i="108" s="1"/>
  <c r="G173" i="103"/>
  <c r="N12" i="108" s="1"/>
  <c r="F173" i="103"/>
  <c r="M12" i="108" s="1"/>
  <c r="E173" i="103"/>
  <c r="L12" i="108" s="1"/>
  <c r="D173" i="103"/>
  <c r="K12" i="108" s="1"/>
  <c r="C173" i="103"/>
  <c r="J12" i="108" s="1"/>
  <c r="BC172" i="103"/>
  <c r="AY172" i="103"/>
  <c r="AU172" i="103"/>
  <c r="AQ172" i="103"/>
  <c r="AM172" i="103"/>
  <c r="AK172" i="103"/>
  <c r="AI172" i="103"/>
  <c r="I172" i="103"/>
  <c r="AJ11" i="108" s="1"/>
  <c r="H172" i="103"/>
  <c r="O11" i="108" s="1"/>
  <c r="G172" i="103"/>
  <c r="N11" i="108" s="1"/>
  <c r="F172" i="103"/>
  <c r="M11" i="108" s="1"/>
  <c r="E172" i="103"/>
  <c r="L11" i="108" s="1"/>
  <c r="D172" i="103"/>
  <c r="K11" i="108" s="1"/>
  <c r="C172" i="103"/>
  <c r="J11" i="108" s="1"/>
  <c r="BC171" i="103"/>
  <c r="AY171" i="103"/>
  <c r="AU171" i="103"/>
  <c r="AQ171" i="103"/>
  <c r="AM171" i="103"/>
  <c r="AK171" i="103"/>
  <c r="AI171" i="103"/>
  <c r="I171" i="103"/>
  <c r="AJ10" i="108" s="1"/>
  <c r="H171" i="103"/>
  <c r="O10" i="108" s="1"/>
  <c r="G171" i="103"/>
  <c r="N10" i="108" s="1"/>
  <c r="F171" i="103"/>
  <c r="M10" i="108" s="1"/>
  <c r="E171" i="103"/>
  <c r="L10" i="108" s="1"/>
  <c r="D171" i="103"/>
  <c r="K10" i="108" s="1"/>
  <c r="C171" i="103"/>
  <c r="J10" i="108" s="1"/>
  <c r="BC170" i="103"/>
  <c r="AY170" i="103"/>
  <c r="AU170" i="103"/>
  <c r="AQ170" i="103"/>
  <c r="AM170" i="103"/>
  <c r="AK170" i="103"/>
  <c r="AI170" i="103"/>
  <c r="I170" i="103"/>
  <c r="AJ9" i="108" s="1"/>
  <c r="H170" i="103"/>
  <c r="O9" i="108" s="1"/>
  <c r="G170" i="103"/>
  <c r="N9" i="108" s="1"/>
  <c r="F170" i="103"/>
  <c r="M9" i="108" s="1"/>
  <c r="E170" i="103"/>
  <c r="L9" i="108" s="1"/>
  <c r="D170" i="103"/>
  <c r="K9" i="108" s="1"/>
  <c r="C170" i="103"/>
  <c r="J9" i="108" s="1"/>
  <c r="E169" i="103"/>
  <c r="D169" i="103"/>
  <c r="C169" i="103"/>
  <c r="BB168" i="103"/>
  <c r="AY167" i="103"/>
  <c r="H167" i="103"/>
  <c r="G167" i="103"/>
  <c r="F167" i="103"/>
  <c r="E167" i="103"/>
  <c r="D167" i="103"/>
  <c r="C167" i="103"/>
  <c r="F166" i="103"/>
  <c r="E166" i="103"/>
  <c r="D166" i="103"/>
  <c r="C166" i="103"/>
  <c r="E164" i="103"/>
  <c r="D164" i="103"/>
  <c r="BD163" i="103"/>
  <c r="CD162" i="103"/>
  <c r="AZ162" i="103"/>
  <c r="AV162" i="103"/>
  <c r="AR162" i="103"/>
  <c r="AN162" i="103"/>
  <c r="AJ162" i="103"/>
  <c r="W162" i="103"/>
  <c r="O162" i="103"/>
  <c r="N162" i="103"/>
  <c r="J162" i="103"/>
  <c r="K162" i="103" s="1"/>
  <c r="L162" i="103" s="1"/>
  <c r="CD161" i="103"/>
  <c r="AZ161" i="103"/>
  <c r="AV161" i="103"/>
  <c r="AR161" i="103"/>
  <c r="AN161" i="103"/>
  <c r="AJ161" i="103"/>
  <c r="W161" i="103"/>
  <c r="O161" i="103"/>
  <c r="N161" i="103"/>
  <c r="J161" i="103"/>
  <c r="K161" i="103" s="1"/>
  <c r="L161" i="103" s="1"/>
  <c r="CD160" i="103"/>
  <c r="AZ160" i="103"/>
  <c r="AV160" i="103"/>
  <c r="AR160" i="103"/>
  <c r="AN160" i="103"/>
  <c r="AJ160" i="103"/>
  <c r="W160" i="103"/>
  <c r="O160" i="103"/>
  <c r="N160" i="103"/>
  <c r="J160" i="103"/>
  <c r="K160" i="103" s="1"/>
  <c r="L160" i="103" s="1"/>
  <c r="CD159" i="103"/>
  <c r="AZ159" i="103"/>
  <c r="AV159" i="103"/>
  <c r="AR159" i="103"/>
  <c r="AN159" i="103"/>
  <c r="AJ159" i="103"/>
  <c r="W159" i="103"/>
  <c r="O159" i="103"/>
  <c r="O12" i="103" s="1"/>
  <c r="N159" i="103"/>
  <c r="J159" i="103"/>
  <c r="K159" i="103" s="1"/>
  <c r="AZ158" i="103"/>
  <c r="BA158" i="103" s="1"/>
  <c r="AY158" i="103"/>
  <c r="AV158" i="103"/>
  <c r="AU158" i="103"/>
  <c r="AR158" i="103"/>
  <c r="AS158" i="103" s="1"/>
  <c r="AQ158" i="103"/>
  <c r="AN158" i="103"/>
  <c r="AM158" i="103"/>
  <c r="CF158" i="103" s="1"/>
  <c r="AK158" i="103"/>
  <c r="AJ158" i="103"/>
  <c r="AI158" i="103"/>
  <c r="CE158" i="103" s="1"/>
  <c r="AH158" i="103"/>
  <c r="AG158" i="103"/>
  <c r="AF158" i="103"/>
  <c r="AE158" i="103"/>
  <c r="CD158" i="103" s="1"/>
  <c r="V158" i="103"/>
  <c r="W158" i="103" s="1"/>
  <c r="N158" i="103"/>
  <c r="N169" i="103" s="1"/>
  <c r="G11" i="102" s="1"/>
  <c r="G9" i="102" s="1"/>
  <c r="N12" i="103" s="1"/>
  <c r="J158" i="103"/>
  <c r="I158" i="103"/>
  <c r="H158" i="103"/>
  <c r="G158" i="103"/>
  <c r="F158" i="103"/>
  <c r="AU157" i="103"/>
  <c r="I157" i="103"/>
  <c r="I168" i="103" s="1"/>
  <c r="H157" i="103"/>
  <c r="F157" i="103"/>
  <c r="E157" i="103"/>
  <c r="D157" i="103"/>
  <c r="C157" i="103"/>
  <c r="B157" i="103"/>
  <c r="B179" i="103" s="1"/>
  <c r="AZ156" i="103"/>
  <c r="AV156" i="103"/>
  <c r="AR156" i="103"/>
  <c r="AQ156" i="103"/>
  <c r="AP156" i="103"/>
  <c r="AO156" i="103"/>
  <c r="J274" i="111" s="1"/>
  <c r="AN156" i="103"/>
  <c r="AM156" i="103"/>
  <c r="AL156" i="103"/>
  <c r="AK156" i="103"/>
  <c r="I274" i="111" s="1"/>
  <c r="AJ156" i="103"/>
  <c r="AI156" i="103"/>
  <c r="AF156" i="103"/>
  <c r="AE156" i="103"/>
  <c r="I156" i="103"/>
  <c r="AU155" i="103"/>
  <c r="AQ155" i="103"/>
  <c r="I155" i="103"/>
  <c r="I166" i="103" s="1"/>
  <c r="H155" i="103"/>
  <c r="N154" i="103"/>
  <c r="AY150" i="103"/>
  <c r="I150" i="103"/>
  <c r="H150" i="103"/>
  <c r="AY149" i="103"/>
  <c r="AU149" i="103"/>
  <c r="AQ149" i="103"/>
  <c r="AP149" i="103"/>
  <c r="AO149" i="103"/>
  <c r="AN149" i="103"/>
  <c r="AM149" i="103"/>
  <c r="AI149" i="103"/>
  <c r="I149" i="103"/>
  <c r="H149" i="103"/>
  <c r="G149" i="103"/>
  <c r="F149" i="103"/>
  <c r="E149" i="103"/>
  <c r="D149" i="103"/>
  <c r="C149" i="103"/>
  <c r="AY148" i="103"/>
  <c r="AU148" i="103"/>
  <c r="AQ148" i="103"/>
  <c r="AP148" i="103"/>
  <c r="AO148" i="103"/>
  <c r="AN148" i="103"/>
  <c r="AM148" i="103"/>
  <c r="AJ148" i="103"/>
  <c r="AI148" i="103"/>
  <c r="I148" i="103"/>
  <c r="H148" i="103"/>
  <c r="G148" i="103"/>
  <c r="F148" i="103"/>
  <c r="E148" i="103"/>
  <c r="D148" i="103"/>
  <c r="C148" i="103"/>
  <c r="AY147" i="103"/>
  <c r="AU147" i="103"/>
  <c r="AQ147" i="103"/>
  <c r="AP147" i="103"/>
  <c r="AO147" i="103"/>
  <c r="AN147" i="103"/>
  <c r="AM147" i="103"/>
  <c r="AI147" i="103"/>
  <c r="I147" i="103"/>
  <c r="H147" i="103"/>
  <c r="G147" i="103"/>
  <c r="F147" i="103"/>
  <c r="E147" i="103"/>
  <c r="D147" i="103"/>
  <c r="C147" i="103"/>
  <c r="AZ146" i="103"/>
  <c r="AY146" i="103"/>
  <c r="AV146" i="103"/>
  <c r="AU146" i="103"/>
  <c r="AR146" i="103"/>
  <c r="AQ146" i="103"/>
  <c r="AP146" i="103"/>
  <c r="AO146" i="103"/>
  <c r="AN146" i="103"/>
  <c r="AM146" i="103"/>
  <c r="AJ146" i="103"/>
  <c r="AI146" i="103"/>
  <c r="I146" i="103"/>
  <c r="H146" i="103"/>
  <c r="G146" i="103"/>
  <c r="F146" i="103"/>
  <c r="E146" i="103"/>
  <c r="D146" i="103"/>
  <c r="C146" i="103"/>
  <c r="AZ145" i="103"/>
  <c r="AY145" i="103"/>
  <c r="AV145" i="103"/>
  <c r="AU145" i="103"/>
  <c r="AR145" i="103"/>
  <c r="AQ145" i="103"/>
  <c r="AP145" i="103"/>
  <c r="AO145" i="103"/>
  <c r="AN145" i="103"/>
  <c r="AM145" i="103"/>
  <c r="AJ145" i="103"/>
  <c r="AI145" i="103"/>
  <c r="I145" i="103"/>
  <c r="H145" i="103"/>
  <c r="G145" i="103"/>
  <c r="F145" i="103"/>
  <c r="E145" i="103"/>
  <c r="D145" i="103"/>
  <c r="C145" i="103"/>
  <c r="AZ144" i="103"/>
  <c r="AY144" i="103"/>
  <c r="AU144" i="103"/>
  <c r="AQ144" i="103"/>
  <c r="AP144" i="103"/>
  <c r="AO144" i="103"/>
  <c r="AN144" i="103"/>
  <c r="AM144" i="103"/>
  <c r="AJ144" i="103"/>
  <c r="AI144" i="103"/>
  <c r="I144" i="103"/>
  <c r="H144" i="103"/>
  <c r="G144" i="103"/>
  <c r="F144" i="103"/>
  <c r="E144" i="103"/>
  <c r="D144" i="103"/>
  <c r="C144" i="103"/>
  <c r="AY143" i="103"/>
  <c r="AY141" i="103"/>
  <c r="AU141" i="103"/>
  <c r="I141" i="103"/>
  <c r="J141" i="103" s="1"/>
  <c r="K141" i="103" s="1"/>
  <c r="L141" i="103" s="1"/>
  <c r="H141" i="103"/>
  <c r="N141" i="103" s="1"/>
  <c r="G141" i="103"/>
  <c r="AY140" i="103"/>
  <c r="W72" i="111" s="1"/>
  <c r="AU140" i="103"/>
  <c r="S72" i="111" s="1"/>
  <c r="AQ140" i="103"/>
  <c r="O72" i="111" s="1"/>
  <c r="AP140" i="103"/>
  <c r="N72" i="111" s="1"/>
  <c r="AO140" i="103"/>
  <c r="M72" i="111" s="1"/>
  <c r="AN140" i="103"/>
  <c r="L72" i="111" s="1"/>
  <c r="AM140" i="103"/>
  <c r="K72" i="111" s="1"/>
  <c r="AL140" i="103"/>
  <c r="J72" i="111" s="1"/>
  <c r="AK140" i="103"/>
  <c r="I72" i="111" s="1"/>
  <c r="AJ140" i="103"/>
  <c r="H72" i="111" s="1"/>
  <c r="AI140" i="103"/>
  <c r="G72" i="111" s="1"/>
  <c r="AE140" i="103"/>
  <c r="C72" i="111" s="1"/>
  <c r="O140" i="103"/>
  <c r="I140" i="103"/>
  <c r="J140" i="103" s="1"/>
  <c r="K140" i="103" s="1"/>
  <c r="L140" i="103" s="1"/>
  <c r="H140" i="103"/>
  <c r="N140" i="103" s="1"/>
  <c r="N121" i="103" s="1"/>
  <c r="G140" i="103"/>
  <c r="F140" i="103"/>
  <c r="E140" i="103"/>
  <c r="D140" i="103"/>
  <c r="C140" i="103"/>
  <c r="B140" i="103"/>
  <c r="AY139" i="103"/>
  <c r="AU139" i="103"/>
  <c r="AQ139" i="103"/>
  <c r="AP139" i="103"/>
  <c r="AO139" i="103"/>
  <c r="AN139" i="103"/>
  <c r="AM139" i="103"/>
  <c r="AL139" i="103"/>
  <c r="AK139" i="103"/>
  <c r="AJ139" i="103"/>
  <c r="AI139" i="103"/>
  <c r="AF139" i="103"/>
  <c r="AE139" i="103"/>
  <c r="U139" i="103"/>
  <c r="O139" i="103"/>
  <c r="I139" i="103"/>
  <c r="J139" i="103" s="1"/>
  <c r="K139" i="103" s="1"/>
  <c r="L139" i="103" s="1"/>
  <c r="H139" i="103"/>
  <c r="N139" i="103" s="1"/>
  <c r="N120" i="103" s="1"/>
  <c r="C180" i="104" s="1"/>
  <c r="G139" i="103"/>
  <c r="F139" i="103"/>
  <c r="E139" i="103"/>
  <c r="D139" i="103"/>
  <c r="C139" i="103"/>
  <c r="B139" i="103"/>
  <c r="AZ138" i="103"/>
  <c r="AY138" i="103"/>
  <c r="AU138" i="103"/>
  <c r="AQ138" i="103"/>
  <c r="AP138" i="103"/>
  <c r="AO138" i="103"/>
  <c r="AN138" i="103"/>
  <c r="AM138" i="103"/>
  <c r="AL138" i="103"/>
  <c r="AK138" i="103"/>
  <c r="AJ138" i="103"/>
  <c r="AI138" i="103"/>
  <c r="AE138" i="103"/>
  <c r="U138" i="103"/>
  <c r="U140" i="103" s="1"/>
  <c r="U142" i="103" s="1"/>
  <c r="O138" i="103"/>
  <c r="I138" i="103"/>
  <c r="J138" i="103" s="1"/>
  <c r="K138" i="103" s="1"/>
  <c r="L138" i="103" s="1"/>
  <c r="H138" i="103"/>
  <c r="G138" i="103"/>
  <c r="F138" i="103"/>
  <c r="E138" i="103"/>
  <c r="D138" i="103"/>
  <c r="C138" i="103"/>
  <c r="B138" i="103"/>
  <c r="BL137" i="103"/>
  <c r="Y69" i="111" s="1"/>
  <c r="AZ137" i="103"/>
  <c r="X69" i="111" s="1"/>
  <c r="AY137" i="103"/>
  <c r="W69" i="111" s="1"/>
  <c r="AV137" i="103"/>
  <c r="T69" i="111" s="1"/>
  <c r="AU137" i="103"/>
  <c r="S69" i="111" s="1"/>
  <c r="AR137" i="103"/>
  <c r="P69" i="111" s="1"/>
  <c r="AQ137" i="103"/>
  <c r="O69" i="111" s="1"/>
  <c r="AP137" i="103"/>
  <c r="N69" i="111" s="1"/>
  <c r="AO137" i="103"/>
  <c r="M69" i="111" s="1"/>
  <c r="AN137" i="103"/>
  <c r="L69" i="111" s="1"/>
  <c r="AM137" i="103"/>
  <c r="K69" i="111" s="1"/>
  <c r="AL137" i="103"/>
  <c r="J69" i="111" s="1"/>
  <c r="AK137" i="103"/>
  <c r="I69" i="111" s="1"/>
  <c r="AJ137" i="103"/>
  <c r="H69" i="111" s="1"/>
  <c r="AI137" i="103"/>
  <c r="G69" i="111" s="1"/>
  <c r="AF137" i="103"/>
  <c r="D69" i="111" s="1"/>
  <c r="AE137" i="103"/>
  <c r="C69" i="111" s="1"/>
  <c r="O137" i="103"/>
  <c r="I137" i="103"/>
  <c r="J137" i="103" s="1"/>
  <c r="K137" i="103" s="1"/>
  <c r="L137" i="103" s="1"/>
  <c r="H137" i="103"/>
  <c r="N137" i="103" s="1"/>
  <c r="F137" i="103"/>
  <c r="E137" i="103"/>
  <c r="D137" i="103"/>
  <c r="C137" i="103"/>
  <c r="B137" i="103"/>
  <c r="BL136" i="103"/>
  <c r="AZ136" i="103"/>
  <c r="X70" i="111" s="1"/>
  <c r="AY136" i="103"/>
  <c r="W70" i="111" s="1"/>
  <c r="AV136" i="103"/>
  <c r="T70" i="111" s="1"/>
  <c r="AU136" i="103"/>
  <c r="S70" i="111" s="1"/>
  <c r="AR136" i="103"/>
  <c r="P70" i="111" s="1"/>
  <c r="AQ136" i="103"/>
  <c r="O70" i="111" s="1"/>
  <c r="AP136" i="103"/>
  <c r="N70" i="111" s="1"/>
  <c r="AO136" i="103"/>
  <c r="M70" i="111" s="1"/>
  <c r="AN136" i="103"/>
  <c r="L70" i="111" s="1"/>
  <c r="AM136" i="103"/>
  <c r="K70" i="111" s="1"/>
  <c r="AL136" i="103"/>
  <c r="J70" i="111" s="1"/>
  <c r="AK136" i="103"/>
  <c r="I70" i="111" s="1"/>
  <c r="AJ136" i="103"/>
  <c r="H70" i="111" s="1"/>
  <c r="AI136" i="103"/>
  <c r="G70" i="111" s="1"/>
  <c r="AF136" i="103"/>
  <c r="D70" i="111" s="1"/>
  <c r="AE136" i="103"/>
  <c r="C70" i="111" s="1"/>
  <c r="I136" i="103"/>
  <c r="J136" i="103" s="1"/>
  <c r="K136" i="103" s="1"/>
  <c r="L136" i="103" s="1"/>
  <c r="H136" i="103"/>
  <c r="G136" i="103"/>
  <c r="F136" i="103"/>
  <c r="E136" i="103"/>
  <c r="D136" i="103"/>
  <c r="C136" i="103"/>
  <c r="B136" i="103"/>
  <c r="AZ135" i="103"/>
  <c r="AY135" i="103"/>
  <c r="AV135" i="103"/>
  <c r="AU135" i="103"/>
  <c r="AQ135" i="103"/>
  <c r="AP135" i="103"/>
  <c r="AO135" i="103"/>
  <c r="AN135" i="103"/>
  <c r="AM135" i="103"/>
  <c r="AL135" i="103"/>
  <c r="AK135" i="103"/>
  <c r="AJ135" i="103"/>
  <c r="AI135" i="103"/>
  <c r="AF135" i="103"/>
  <c r="AE135" i="103"/>
  <c r="J135" i="103"/>
  <c r="K135" i="103" s="1"/>
  <c r="L135" i="103" s="1"/>
  <c r="I135" i="103"/>
  <c r="H135" i="103"/>
  <c r="G135" i="103"/>
  <c r="F135" i="103"/>
  <c r="E135" i="103"/>
  <c r="D135" i="103"/>
  <c r="C135" i="103"/>
  <c r="B135" i="103"/>
  <c r="AZ134" i="103"/>
  <c r="AY134" i="103"/>
  <c r="AU134" i="103"/>
  <c r="AY131" i="103"/>
  <c r="AU131" i="103"/>
  <c r="AY130" i="103"/>
  <c r="AU130" i="103"/>
  <c r="AY129" i="103"/>
  <c r="AU129" i="103"/>
  <c r="AZ128" i="103"/>
  <c r="AY128" i="103"/>
  <c r="AU128" i="103"/>
  <c r="AZ127" i="103"/>
  <c r="AY127" i="103"/>
  <c r="AU127" i="103"/>
  <c r="AZ126" i="103"/>
  <c r="AY126" i="103"/>
  <c r="AU126" i="103"/>
  <c r="AZ125" i="103"/>
  <c r="AY125" i="103"/>
  <c r="AU125" i="103"/>
  <c r="BQ122" i="103"/>
  <c r="D55" i="101" s="1"/>
  <c r="AZ122" i="103"/>
  <c r="AV122" i="103"/>
  <c r="AQ122" i="103"/>
  <c r="AP122" i="103"/>
  <c r="AO122" i="103"/>
  <c r="AN122" i="103"/>
  <c r="AM122" i="103"/>
  <c r="AL122" i="103"/>
  <c r="AK122" i="103"/>
  <c r="AJ122" i="103"/>
  <c r="AI122" i="103"/>
  <c r="AE122" i="103"/>
  <c r="V122" i="103"/>
  <c r="U122" i="103"/>
  <c r="O122" i="103"/>
  <c r="F122" i="103"/>
  <c r="E122" i="103"/>
  <c r="D122" i="103"/>
  <c r="C122" i="103"/>
  <c r="B122" i="103"/>
  <c r="CB121" i="103"/>
  <c r="AZ121" i="103"/>
  <c r="AV121" i="103"/>
  <c r="AR121" i="103"/>
  <c r="AF121" i="103"/>
  <c r="CD120" i="103"/>
  <c r="CB120" i="103"/>
  <c r="AZ120" i="103"/>
  <c r="AV120" i="103"/>
  <c r="AR120" i="103"/>
  <c r="AF120" i="103"/>
  <c r="AZ119" i="103"/>
  <c r="AU119" i="103"/>
  <c r="AQ119" i="103"/>
  <c r="AP119" i="103"/>
  <c r="AO119" i="103"/>
  <c r="AN119" i="103"/>
  <c r="AM119" i="103"/>
  <c r="AL119" i="103"/>
  <c r="AK119" i="103"/>
  <c r="AJ119" i="103"/>
  <c r="AI119" i="103"/>
  <c r="AE119" i="103"/>
  <c r="I119" i="103"/>
  <c r="G119" i="103"/>
  <c r="O119" i="103" s="1"/>
  <c r="F119" i="103"/>
  <c r="E119" i="103"/>
  <c r="D119" i="103"/>
  <c r="C119" i="103"/>
  <c r="B119" i="103"/>
  <c r="AZ118" i="103"/>
  <c r="AV118" i="103"/>
  <c r="AR118" i="103"/>
  <c r="AF118" i="103"/>
  <c r="AZ117" i="103"/>
  <c r="AV117" i="103"/>
  <c r="AR117" i="103"/>
  <c r="AF117" i="103"/>
  <c r="BQ116" i="103"/>
  <c r="AZ116" i="103"/>
  <c r="AV116" i="103"/>
  <c r="AW116" i="103" s="1"/>
  <c r="AU116" i="103"/>
  <c r="BE116" i="103" s="1"/>
  <c r="AQ116" i="103"/>
  <c r="AP116" i="103"/>
  <c r="AO116" i="103"/>
  <c r="AN116" i="103"/>
  <c r="AM116" i="103"/>
  <c r="AL116" i="103"/>
  <c r="AK116" i="103"/>
  <c r="AJ116" i="103"/>
  <c r="AI116" i="103"/>
  <c r="AF116" i="103"/>
  <c r="AE116" i="103"/>
  <c r="CD116" i="103" s="1"/>
  <c r="F116" i="103"/>
  <c r="E116" i="103"/>
  <c r="D116" i="103"/>
  <c r="C116" i="103"/>
  <c r="B116" i="103"/>
  <c r="BQ115" i="103"/>
  <c r="AZ115" i="103"/>
  <c r="AU115" i="103"/>
  <c r="I113" i="103"/>
  <c r="H113" i="103"/>
  <c r="D113" i="103"/>
  <c r="C113" i="103"/>
  <c r="I112" i="103"/>
  <c r="H112" i="103"/>
  <c r="G112" i="103"/>
  <c r="F112" i="103"/>
  <c r="E112" i="103"/>
  <c r="D112" i="103"/>
  <c r="C112" i="103"/>
  <c r="I111" i="103"/>
  <c r="H111" i="103"/>
  <c r="G111" i="103"/>
  <c r="F111" i="103"/>
  <c r="E111" i="103"/>
  <c r="D111" i="103"/>
  <c r="C111" i="103"/>
  <c r="I109" i="103"/>
  <c r="H109" i="103"/>
  <c r="G109" i="103"/>
  <c r="F109" i="103"/>
  <c r="E109" i="103"/>
  <c r="D109" i="103"/>
  <c r="C109" i="103"/>
  <c r="I108" i="103"/>
  <c r="H108" i="103"/>
  <c r="G108" i="103"/>
  <c r="F108" i="103"/>
  <c r="E108" i="103"/>
  <c r="D108" i="103"/>
  <c r="C108" i="103"/>
  <c r="I104" i="103"/>
  <c r="J104" i="103" s="1"/>
  <c r="K104" i="103" s="1"/>
  <c r="L104" i="103" s="1"/>
  <c r="H104" i="103"/>
  <c r="N104" i="103" s="1"/>
  <c r="G104" i="103"/>
  <c r="O104" i="103" s="1"/>
  <c r="I103" i="103"/>
  <c r="J103" i="103" s="1"/>
  <c r="K103" i="103" s="1"/>
  <c r="L103" i="103" s="1"/>
  <c r="H103" i="103"/>
  <c r="N103" i="103" s="1"/>
  <c r="G103" i="103"/>
  <c r="O103" i="103" s="1"/>
  <c r="F103" i="103"/>
  <c r="E103" i="103"/>
  <c r="D103" i="103"/>
  <c r="C103" i="103"/>
  <c r="B103" i="103"/>
  <c r="I102" i="103"/>
  <c r="J102" i="103" s="1"/>
  <c r="K102" i="103" s="1"/>
  <c r="L102" i="103" s="1"/>
  <c r="H102" i="103"/>
  <c r="N102" i="103" s="1"/>
  <c r="G102" i="103"/>
  <c r="O102" i="103" s="1"/>
  <c r="F102" i="103"/>
  <c r="E102" i="103"/>
  <c r="D102" i="103"/>
  <c r="C102" i="103"/>
  <c r="B102" i="103"/>
  <c r="I100" i="103"/>
  <c r="J100" i="103" s="1"/>
  <c r="K100" i="103" s="1"/>
  <c r="L100" i="103" s="1"/>
  <c r="H100" i="103"/>
  <c r="N100" i="103" s="1"/>
  <c r="F100" i="103"/>
  <c r="E100" i="103"/>
  <c r="D100" i="103"/>
  <c r="C100" i="103"/>
  <c r="B100" i="103"/>
  <c r="I99" i="103"/>
  <c r="J99" i="103" s="1"/>
  <c r="K99" i="103" s="1"/>
  <c r="L99" i="103" s="1"/>
  <c r="H99" i="103"/>
  <c r="N99" i="103" s="1"/>
  <c r="G99" i="103"/>
  <c r="O99" i="103" s="1"/>
  <c r="F99" i="103"/>
  <c r="E99" i="103"/>
  <c r="D99" i="103"/>
  <c r="C99" i="103"/>
  <c r="B99" i="103"/>
  <c r="F95" i="103"/>
  <c r="E95" i="103"/>
  <c r="K70" i="103"/>
  <c r="L70" i="103" s="1"/>
  <c r="O69" i="103"/>
  <c r="K69" i="103"/>
  <c r="L69" i="103" s="1"/>
  <c r="O68" i="103"/>
  <c r="V57" i="103"/>
  <c r="I55" i="103"/>
  <c r="H55" i="103"/>
  <c r="G55" i="103"/>
  <c r="I54" i="103"/>
  <c r="H54" i="103"/>
  <c r="G54" i="103"/>
  <c r="N53" i="103"/>
  <c r="N61" i="103" s="1"/>
  <c r="I53" i="103"/>
  <c r="H53" i="103"/>
  <c r="G53" i="103"/>
  <c r="I52" i="103"/>
  <c r="H52" i="103"/>
  <c r="G52" i="103"/>
  <c r="F52" i="103"/>
  <c r="I48" i="103"/>
  <c r="H48" i="103"/>
  <c r="G48" i="103"/>
  <c r="F48" i="103"/>
  <c r="T46" i="103"/>
  <c r="J45" i="103"/>
  <c r="K45" i="103" s="1"/>
  <c r="N41" i="103"/>
  <c r="L41" i="103"/>
  <c r="K41" i="103"/>
  <c r="J41" i="103"/>
  <c r="O40" i="103"/>
  <c r="O41" i="103" s="1"/>
  <c r="F40" i="103"/>
  <c r="E40" i="103"/>
  <c r="D40" i="103"/>
  <c r="C40" i="103"/>
  <c r="B40" i="103"/>
  <c r="B45" i="103" s="1"/>
  <c r="N39" i="103"/>
  <c r="N60" i="103" s="1"/>
  <c r="J39" i="103"/>
  <c r="J60" i="103" s="1"/>
  <c r="I39" i="103"/>
  <c r="H39" i="103"/>
  <c r="G39" i="103"/>
  <c r="I38" i="103"/>
  <c r="H38" i="103"/>
  <c r="G38" i="103"/>
  <c r="I37" i="103"/>
  <c r="H37" i="103"/>
  <c r="G37" i="103"/>
  <c r="F37" i="103"/>
  <c r="E37" i="103"/>
  <c r="D37" i="103"/>
  <c r="C37" i="103"/>
  <c r="B37" i="103"/>
  <c r="AY35" i="103"/>
  <c r="AY34" i="103"/>
  <c r="AY33" i="103"/>
  <c r="AY32" i="103"/>
  <c r="AY31" i="103"/>
  <c r="AY30" i="103"/>
  <c r="AY29" i="103"/>
  <c r="AY26" i="103"/>
  <c r="I26" i="103"/>
  <c r="H26" i="103"/>
  <c r="AY25" i="103"/>
  <c r="AU25" i="103"/>
  <c r="AQ25" i="103"/>
  <c r="AP25" i="103"/>
  <c r="AO25" i="103"/>
  <c r="AN25" i="103"/>
  <c r="AM25" i="103"/>
  <c r="AI25" i="103"/>
  <c r="O25" i="103"/>
  <c r="I25" i="103"/>
  <c r="H25" i="103"/>
  <c r="G25" i="103"/>
  <c r="F25" i="103"/>
  <c r="E25" i="103"/>
  <c r="D25" i="103"/>
  <c r="C25" i="103"/>
  <c r="AY24" i="103"/>
  <c r="AU24" i="103"/>
  <c r="AQ24" i="103"/>
  <c r="AP24" i="103"/>
  <c r="AO24" i="103"/>
  <c r="AN24" i="103"/>
  <c r="AM24" i="103"/>
  <c r="AI24" i="103"/>
  <c r="I24" i="103"/>
  <c r="H24" i="103"/>
  <c r="G24" i="103"/>
  <c r="F24" i="103"/>
  <c r="E24" i="103"/>
  <c r="D24" i="103"/>
  <c r="C24" i="103"/>
  <c r="I23" i="103"/>
  <c r="BN22" i="103"/>
  <c r="BO22" i="103" s="1"/>
  <c r="AY22" i="103"/>
  <c r="AU22" i="103"/>
  <c r="AQ22" i="103"/>
  <c r="AP22" i="103"/>
  <c r="AO22" i="103"/>
  <c r="AN22" i="103"/>
  <c r="AM22" i="103"/>
  <c r="AI22" i="103"/>
  <c r="I22" i="103"/>
  <c r="F22" i="103"/>
  <c r="E22" i="103"/>
  <c r="D22" i="103"/>
  <c r="C22" i="103"/>
  <c r="BN21" i="103"/>
  <c r="AY21" i="103"/>
  <c r="AU21" i="103"/>
  <c r="AQ21" i="103"/>
  <c r="AP21" i="103"/>
  <c r="AO21" i="103"/>
  <c r="AN21" i="103"/>
  <c r="AM21" i="103"/>
  <c r="AI21" i="103"/>
  <c r="I21" i="103"/>
  <c r="H21" i="103"/>
  <c r="G21" i="103"/>
  <c r="F21" i="103"/>
  <c r="E21" i="103"/>
  <c r="D21" i="103"/>
  <c r="C21" i="103"/>
  <c r="I20" i="103"/>
  <c r="BQ17" i="103"/>
  <c r="AZ17" i="103"/>
  <c r="AV17" i="103"/>
  <c r="AQ17" i="103"/>
  <c r="AP17" i="103"/>
  <c r="AO17" i="103"/>
  <c r="AN17" i="103"/>
  <c r="AM17" i="103"/>
  <c r="AL17" i="103"/>
  <c r="AK17" i="103"/>
  <c r="AJ17" i="103"/>
  <c r="AI17" i="103"/>
  <c r="AE17" i="103"/>
  <c r="O17" i="103"/>
  <c r="F17" i="103"/>
  <c r="E17" i="103"/>
  <c r="D17" i="103"/>
  <c r="C17" i="103"/>
  <c r="B17" i="103"/>
  <c r="CF16" i="103"/>
  <c r="CE16" i="103"/>
  <c r="AZ16" i="103"/>
  <c r="AV16" i="103"/>
  <c r="AR16" i="103"/>
  <c r="AF16" i="103"/>
  <c r="O16" i="103"/>
  <c r="N16" i="103"/>
  <c r="J16" i="103"/>
  <c r="CF15" i="103"/>
  <c r="CE15" i="103"/>
  <c r="AZ15" i="103"/>
  <c r="AV15" i="103"/>
  <c r="AR15" i="103"/>
  <c r="AF15" i="103"/>
  <c r="AZ14" i="103"/>
  <c r="AV14" i="103"/>
  <c r="AU14" i="103"/>
  <c r="AQ14" i="103"/>
  <c r="AP14" i="103"/>
  <c r="AO14" i="103"/>
  <c r="AN14" i="103"/>
  <c r="AM14" i="103"/>
  <c r="AL14" i="103"/>
  <c r="AK14" i="103"/>
  <c r="AJ14" i="103"/>
  <c r="AI14" i="103"/>
  <c r="AF14" i="103"/>
  <c r="AE14" i="103"/>
  <c r="CD14" i="103" s="1"/>
  <c r="N14" i="103"/>
  <c r="J14" i="103"/>
  <c r="G14" i="103"/>
  <c r="F14" i="103"/>
  <c r="E14" i="103"/>
  <c r="D14" i="103"/>
  <c r="C14" i="103"/>
  <c r="B14" i="103"/>
  <c r="CF13" i="103"/>
  <c r="CE13" i="103"/>
  <c r="AZ13" i="103"/>
  <c r="AV13" i="103"/>
  <c r="AR13" i="103"/>
  <c r="AF13" i="103"/>
  <c r="CF12" i="103"/>
  <c r="CE12" i="103"/>
  <c r="AZ12" i="103"/>
  <c r="AV12" i="103"/>
  <c r="AR12" i="103"/>
  <c r="AF12" i="103"/>
  <c r="BQ11" i="103"/>
  <c r="AZ11" i="103"/>
  <c r="AV11" i="103"/>
  <c r="AU11" i="103"/>
  <c r="AQ11" i="103"/>
  <c r="AP11" i="103"/>
  <c r="AO11" i="103"/>
  <c r="AN11" i="103"/>
  <c r="AM11" i="103"/>
  <c r="AL11" i="103"/>
  <c r="AK11" i="103"/>
  <c r="AJ11" i="103"/>
  <c r="AI11" i="103"/>
  <c r="AF11" i="103"/>
  <c r="AF20" i="103" s="1"/>
  <c r="AE11" i="103"/>
  <c r="G11" i="103"/>
  <c r="F11" i="103"/>
  <c r="E11" i="103"/>
  <c r="D11" i="103"/>
  <c r="C11" i="103"/>
  <c r="B11" i="103"/>
  <c r="BQ10" i="103"/>
  <c r="AZ10" i="103"/>
  <c r="AV10" i="103"/>
  <c r="AU10" i="103"/>
  <c r="AQ10" i="103"/>
  <c r="AD10" i="103"/>
  <c r="AC10" i="103"/>
  <c r="AB10" i="103"/>
  <c r="AA10" i="103"/>
  <c r="U10" i="103"/>
  <c r="F325" i="111" s="1"/>
  <c r="G325" i="111" s="1"/>
  <c r="I10" i="103"/>
  <c r="H10" i="103"/>
  <c r="F10" i="103"/>
  <c r="E10" i="103"/>
  <c r="D10" i="103"/>
  <c r="C10" i="103"/>
  <c r="B10" i="103"/>
  <c r="S9" i="103"/>
  <c r="S8" i="103"/>
  <c r="T7" i="103"/>
  <c r="T6" i="103"/>
  <c r="CQ4" i="103"/>
  <c r="BQ3" i="103"/>
  <c r="BD3" i="103"/>
  <c r="O2" i="103"/>
  <c r="N2" i="103"/>
  <c r="C1" i="103"/>
  <c r="F97" i="102"/>
  <c r="J82" i="102"/>
  <c r="J81" i="102"/>
  <c r="E73" i="102"/>
  <c r="E72" i="102"/>
  <c r="F56" i="102"/>
  <c r="E56" i="102"/>
  <c r="C47" i="102"/>
  <c r="C46" i="102"/>
  <c r="C45" i="102"/>
  <c r="J43" i="102"/>
  <c r="I43" i="102"/>
  <c r="H43" i="102"/>
  <c r="G43" i="102"/>
  <c r="C30" i="102"/>
  <c r="J28" i="102"/>
  <c r="I28" i="102"/>
  <c r="H28" i="102"/>
  <c r="J17" i="103" s="1"/>
  <c r="G28" i="102"/>
  <c r="N17" i="103" s="1"/>
  <c r="C26" i="102"/>
  <c r="C25" i="102"/>
  <c r="C24" i="102"/>
  <c r="J22" i="102"/>
  <c r="I22" i="102"/>
  <c r="H22" i="102"/>
  <c r="G22" i="102"/>
  <c r="C19" i="102"/>
  <c r="C18" i="102"/>
  <c r="C17" i="102"/>
  <c r="J15" i="102"/>
  <c r="I15" i="102"/>
  <c r="H15" i="102"/>
  <c r="J13" i="103" s="1"/>
  <c r="G15" i="102"/>
  <c r="N13" i="103" s="1"/>
  <c r="E55" i="101"/>
  <c r="C55" i="101"/>
  <c r="E54" i="101"/>
  <c r="E53" i="101"/>
  <c r="D53" i="101"/>
  <c r="C53" i="101"/>
  <c r="E52" i="101"/>
  <c r="D52" i="101"/>
  <c r="C52" i="101"/>
  <c r="E51" i="101"/>
  <c r="D51" i="101"/>
  <c r="C51" i="101"/>
  <c r="E50" i="101"/>
  <c r="E48" i="101"/>
  <c r="D48" i="101"/>
  <c r="C48" i="101"/>
  <c r="E47" i="101"/>
  <c r="D47" i="101"/>
  <c r="C47" i="101"/>
  <c r="K43" i="101"/>
  <c r="L42" i="101"/>
  <c r="K42" i="101"/>
  <c r="G42" i="101"/>
  <c r="L39" i="101"/>
  <c r="K39" i="101"/>
  <c r="G39" i="101"/>
  <c r="C39" i="101"/>
  <c r="L38" i="101"/>
  <c r="K38" i="101"/>
  <c r="H38" i="101"/>
  <c r="G38" i="101"/>
  <c r="C38" i="101"/>
  <c r="L37" i="101"/>
  <c r="K37" i="101"/>
  <c r="G37" i="101"/>
  <c r="C37" i="101"/>
  <c r="L36" i="101"/>
  <c r="K36" i="101"/>
  <c r="H36" i="101"/>
  <c r="G36" i="101"/>
  <c r="C36" i="101"/>
  <c r="L35" i="101"/>
  <c r="K35" i="101"/>
  <c r="H35" i="101"/>
  <c r="G35" i="101"/>
  <c r="D35" i="101"/>
  <c r="C35" i="101"/>
  <c r="L34" i="101"/>
  <c r="K34" i="101"/>
  <c r="H34" i="101"/>
  <c r="G34" i="101"/>
  <c r="D34" i="101"/>
  <c r="C34" i="101"/>
  <c r="L33" i="101"/>
  <c r="K33" i="101"/>
  <c r="H33" i="101"/>
  <c r="G33" i="101"/>
  <c r="D33" i="101"/>
  <c r="C33" i="101"/>
  <c r="L32" i="101"/>
  <c r="K32" i="101"/>
  <c r="H32" i="101"/>
  <c r="G32" i="101"/>
  <c r="D32" i="101"/>
  <c r="C32" i="101"/>
  <c r="L31" i="101"/>
  <c r="K31" i="101"/>
  <c r="G31" i="101"/>
  <c r="C31" i="101"/>
  <c r="L30" i="101"/>
  <c r="K30" i="101"/>
  <c r="H30" i="101"/>
  <c r="G30" i="101"/>
  <c r="C30" i="101"/>
  <c r="L29" i="101"/>
  <c r="K29" i="101"/>
  <c r="G29" i="101"/>
  <c r="L28" i="101"/>
  <c r="K28" i="101"/>
  <c r="H28" i="101"/>
  <c r="G28" i="101"/>
  <c r="C28" i="101"/>
  <c r="K21" i="101"/>
  <c r="J18" i="101"/>
  <c r="I18" i="101"/>
  <c r="H18" i="101"/>
  <c r="G18" i="101"/>
  <c r="F18" i="101"/>
  <c r="E18" i="101"/>
  <c r="D18" i="101"/>
  <c r="J17" i="101"/>
  <c r="I17" i="101"/>
  <c r="H17" i="101"/>
  <c r="G17" i="101"/>
  <c r="F17" i="101"/>
  <c r="E17" i="101"/>
  <c r="D17" i="101"/>
  <c r="C17" i="101"/>
  <c r="K16" i="101"/>
  <c r="J16" i="101"/>
  <c r="I16" i="101"/>
  <c r="H16" i="101"/>
  <c r="G16" i="101"/>
  <c r="F16" i="101"/>
  <c r="E16" i="101"/>
  <c r="D16" i="101"/>
  <c r="K15" i="101"/>
  <c r="J15" i="101"/>
  <c r="I15" i="101"/>
  <c r="H15" i="101"/>
  <c r="G15" i="101"/>
  <c r="F15" i="101"/>
  <c r="E15" i="101"/>
  <c r="D15" i="101"/>
  <c r="C15" i="101"/>
  <c r="J14" i="101"/>
  <c r="G14" i="101"/>
  <c r="F14" i="101"/>
  <c r="E14" i="101"/>
  <c r="D14" i="101"/>
  <c r="J13" i="101"/>
  <c r="I13" i="101"/>
  <c r="G13" i="101"/>
  <c r="F13" i="101"/>
  <c r="E13" i="101"/>
  <c r="D13" i="101"/>
  <c r="C13" i="101"/>
  <c r="J12" i="101"/>
  <c r="I12" i="101"/>
  <c r="H12" i="101"/>
  <c r="G12" i="101"/>
  <c r="F12" i="101"/>
  <c r="E12" i="101"/>
  <c r="D12" i="101"/>
  <c r="J11" i="101"/>
  <c r="I11" i="101"/>
  <c r="H11" i="101"/>
  <c r="G11" i="101"/>
  <c r="F11" i="101"/>
  <c r="E11" i="101"/>
  <c r="D11" i="101"/>
  <c r="C11" i="101"/>
  <c r="J10" i="101"/>
  <c r="I10" i="101"/>
  <c r="H10" i="101"/>
  <c r="G10" i="101"/>
  <c r="F10" i="101"/>
  <c r="E10" i="101"/>
  <c r="D10" i="101"/>
  <c r="J9" i="101"/>
  <c r="I9" i="101"/>
  <c r="H9" i="101"/>
  <c r="G9" i="101"/>
  <c r="F9" i="101"/>
  <c r="E9" i="101"/>
  <c r="D9" i="101"/>
  <c r="C9" i="101"/>
  <c r="J8" i="101"/>
  <c r="G8" i="101"/>
  <c r="F8" i="101"/>
  <c r="E8" i="101"/>
  <c r="D8" i="101"/>
  <c r="J7" i="101"/>
  <c r="I7" i="101"/>
  <c r="G7" i="101"/>
  <c r="F7" i="101"/>
  <c r="E7" i="101"/>
  <c r="D7" i="101"/>
  <c r="C7" i="101"/>
  <c r="J169" i="103" l="1"/>
  <c r="H11" i="102" s="1"/>
  <c r="H9" i="102" s="1"/>
  <c r="J12" i="103" s="1"/>
  <c r="J154" i="103"/>
  <c r="N122" i="103"/>
  <c r="F14" i="114"/>
  <c r="B14" i="114"/>
  <c r="E14" i="114"/>
  <c r="A14" i="114"/>
  <c r="H1620" i="111"/>
  <c r="H1618" i="111"/>
  <c r="H1617" i="111"/>
  <c r="H1616" i="111"/>
  <c r="H1619" i="111"/>
  <c r="H438" i="111"/>
  <c r="H439" i="111"/>
  <c r="G438" i="111"/>
  <c r="G439" i="111"/>
  <c r="F438" i="111"/>
  <c r="F439" i="111"/>
  <c r="E439" i="111"/>
  <c r="E438" i="111"/>
  <c r="D438" i="111"/>
  <c r="D439" i="111"/>
  <c r="O304" i="111"/>
  <c r="O302" i="111"/>
  <c r="O301" i="111"/>
  <c r="O300" i="111"/>
  <c r="O299" i="111"/>
  <c r="T299" i="111"/>
  <c r="U299" i="111" s="1"/>
  <c r="O298" i="111"/>
  <c r="T298" i="111"/>
  <c r="U298" i="111" s="1"/>
  <c r="O297" i="111"/>
  <c r="O292" i="111"/>
  <c r="O291" i="111"/>
  <c r="T291" i="111"/>
  <c r="U291" i="111" s="1"/>
  <c r="T290" i="111"/>
  <c r="U290" i="111" s="1"/>
  <c r="T289" i="111"/>
  <c r="S289" i="111"/>
  <c r="U289" i="111" s="1"/>
  <c r="O288" i="111"/>
  <c r="T288" i="111"/>
  <c r="U288" i="111" s="1"/>
  <c r="O287" i="111"/>
  <c r="O286" i="111"/>
  <c r="T286" i="111"/>
  <c r="U286" i="111" s="1"/>
  <c r="O285" i="111"/>
  <c r="T285" i="111"/>
  <c r="U285" i="111" s="1"/>
  <c r="O284" i="111"/>
  <c r="T280" i="111"/>
  <c r="S280" i="111"/>
  <c r="S279" i="111"/>
  <c r="T279" i="111"/>
  <c r="T278" i="111"/>
  <c r="S278" i="111"/>
  <c r="T277" i="111"/>
  <c r="S277" i="111"/>
  <c r="T276" i="111"/>
  <c r="S276" i="111"/>
  <c r="F216" i="111"/>
  <c r="F209" i="111"/>
  <c r="E209" i="111"/>
  <c r="E216" i="111"/>
  <c r="D209" i="111"/>
  <c r="D216" i="111"/>
  <c r="C209" i="111"/>
  <c r="C216" i="111"/>
  <c r="B209" i="111"/>
  <c r="B216" i="111"/>
  <c r="D92" i="111"/>
  <c r="E92" i="111"/>
  <c r="G64" i="111"/>
  <c r="G65" i="111"/>
  <c r="G62" i="111"/>
  <c r="G63" i="111"/>
  <c r="G61" i="111"/>
  <c r="M1003" i="110"/>
  <c r="N1003" i="110"/>
  <c r="J1004" i="110"/>
  <c r="K1004" i="110"/>
  <c r="L1004" i="110"/>
  <c r="M1004" i="110"/>
  <c r="N1004" i="110"/>
  <c r="J1005" i="110"/>
  <c r="K1005" i="110"/>
  <c r="L1005" i="110"/>
  <c r="M1005" i="110"/>
  <c r="N1005" i="110"/>
  <c r="J1006" i="110"/>
  <c r="K1006" i="110"/>
  <c r="L1006" i="110"/>
  <c r="M1006" i="110"/>
  <c r="N1006" i="110"/>
  <c r="J1007" i="110"/>
  <c r="K1007" i="110"/>
  <c r="L1007" i="110"/>
  <c r="M1007" i="110"/>
  <c r="N1007" i="110"/>
  <c r="J1008" i="110"/>
  <c r="K1008" i="110"/>
  <c r="L1008" i="110"/>
  <c r="M1008" i="110"/>
  <c r="N1008" i="110"/>
  <c r="J1009" i="110"/>
  <c r="K1009" i="110"/>
  <c r="L1009" i="110"/>
  <c r="M1009" i="110"/>
  <c r="N1009" i="110"/>
  <c r="J1010" i="110"/>
  <c r="K1010" i="110"/>
  <c r="L1010" i="110"/>
  <c r="M1010" i="110"/>
  <c r="N1010" i="110"/>
  <c r="J1011" i="110"/>
  <c r="K1011" i="110"/>
  <c r="L1011" i="110"/>
  <c r="M1011" i="110"/>
  <c r="N1011" i="110"/>
  <c r="J1012" i="110"/>
  <c r="K1012" i="110"/>
  <c r="L1012" i="110"/>
  <c r="M1012" i="110"/>
  <c r="N1012" i="110"/>
  <c r="J1013" i="110"/>
  <c r="K1013" i="110"/>
  <c r="L1013" i="110"/>
  <c r="M1013" i="110"/>
  <c r="N1013" i="110"/>
  <c r="J1014" i="110"/>
  <c r="K1014" i="110"/>
  <c r="L1014" i="110"/>
  <c r="M1014" i="110"/>
  <c r="N1014" i="110"/>
  <c r="J1015" i="110"/>
  <c r="K1015" i="110"/>
  <c r="L1015" i="110"/>
  <c r="M1015" i="110"/>
  <c r="N1015" i="110"/>
  <c r="J1016" i="110"/>
  <c r="K1016" i="110"/>
  <c r="L1016" i="110"/>
  <c r="M1016" i="110"/>
  <c r="N1016" i="110"/>
  <c r="J1017" i="110"/>
  <c r="K1017" i="110"/>
  <c r="L1017" i="110"/>
  <c r="M1017" i="110"/>
  <c r="N1017" i="110"/>
  <c r="J1018" i="110"/>
  <c r="K1018" i="110"/>
  <c r="L1018" i="110"/>
  <c r="M1018" i="110"/>
  <c r="N1018" i="110"/>
  <c r="J1019" i="110"/>
  <c r="K1019" i="110"/>
  <c r="L1019" i="110"/>
  <c r="M1019" i="110"/>
  <c r="N1019" i="110"/>
  <c r="J1020" i="110"/>
  <c r="K1020" i="110"/>
  <c r="L1020" i="110"/>
  <c r="M1020" i="110"/>
  <c r="N1020" i="110"/>
  <c r="J1021" i="110"/>
  <c r="K1021" i="110"/>
  <c r="L1021" i="110"/>
  <c r="M1021" i="110"/>
  <c r="N1021" i="110"/>
  <c r="J1022" i="110"/>
  <c r="K1022" i="110"/>
  <c r="L1022" i="110"/>
  <c r="M1022" i="110"/>
  <c r="N1022" i="110"/>
  <c r="J1023" i="110"/>
  <c r="K1023" i="110"/>
  <c r="L1023" i="110"/>
  <c r="M1023" i="110"/>
  <c r="N1023" i="110"/>
  <c r="J1024" i="110"/>
  <c r="K1024" i="110"/>
  <c r="L1024" i="110"/>
  <c r="M1024" i="110"/>
  <c r="N1024" i="110"/>
  <c r="J1025" i="110"/>
  <c r="K1025" i="110"/>
  <c r="L1025" i="110"/>
  <c r="M1025" i="110"/>
  <c r="N1025" i="110"/>
  <c r="J1026" i="110"/>
  <c r="K1026" i="110"/>
  <c r="L1026" i="110"/>
  <c r="M1026" i="110"/>
  <c r="N1026" i="110"/>
  <c r="J1027" i="110"/>
  <c r="K1027" i="110"/>
  <c r="L1027" i="110"/>
  <c r="M1027" i="110"/>
  <c r="N1027" i="110"/>
  <c r="J1028" i="110"/>
  <c r="K1028" i="110"/>
  <c r="L1028" i="110"/>
  <c r="M1028" i="110"/>
  <c r="N1028" i="110"/>
  <c r="J1029" i="110"/>
  <c r="K1029" i="110"/>
  <c r="L1029" i="110"/>
  <c r="M1029" i="110"/>
  <c r="N1029" i="110"/>
  <c r="J1030" i="110"/>
  <c r="K1030" i="110"/>
  <c r="L1030" i="110"/>
  <c r="M1030" i="110"/>
  <c r="N1030" i="110"/>
  <c r="J1031" i="110"/>
  <c r="K1031" i="110"/>
  <c r="L1031" i="110"/>
  <c r="M1031" i="110"/>
  <c r="N1031" i="110"/>
  <c r="J1032" i="110"/>
  <c r="K1032" i="110"/>
  <c r="L1032" i="110"/>
  <c r="M1032" i="110"/>
  <c r="N1032" i="110"/>
  <c r="J1033" i="110"/>
  <c r="K1033" i="110"/>
  <c r="L1033" i="110"/>
  <c r="M1033" i="110"/>
  <c r="N1033" i="110"/>
  <c r="J1034" i="110"/>
  <c r="K1034" i="110"/>
  <c r="L1034" i="110"/>
  <c r="M1034" i="110"/>
  <c r="N1034" i="110"/>
  <c r="J1035" i="110"/>
  <c r="K1035" i="110"/>
  <c r="L1035" i="110"/>
  <c r="M1035" i="110"/>
  <c r="N1035" i="110"/>
  <c r="J1036" i="110"/>
  <c r="K1036" i="110"/>
  <c r="L1036" i="110"/>
  <c r="M1036" i="110"/>
  <c r="N1036" i="110"/>
  <c r="J1037" i="110"/>
  <c r="K1037" i="110"/>
  <c r="L1037" i="110"/>
  <c r="M1037" i="110"/>
  <c r="N1037" i="110"/>
  <c r="J1038" i="110"/>
  <c r="K1038" i="110"/>
  <c r="L1038" i="110"/>
  <c r="M1038" i="110"/>
  <c r="N1038" i="110"/>
  <c r="J1039" i="110"/>
  <c r="K1039" i="110"/>
  <c r="L1039" i="110"/>
  <c r="M1039" i="110"/>
  <c r="N1039" i="110"/>
  <c r="J1040" i="110"/>
  <c r="K1040" i="110"/>
  <c r="L1040" i="110"/>
  <c r="M1040" i="110"/>
  <c r="N1040" i="110"/>
  <c r="J1041" i="110"/>
  <c r="K1041" i="110"/>
  <c r="L1041" i="110"/>
  <c r="M1041" i="110"/>
  <c r="N1041" i="110"/>
  <c r="J1042" i="110"/>
  <c r="K1042" i="110"/>
  <c r="L1042" i="110"/>
  <c r="M1042" i="110"/>
  <c r="N1042" i="110"/>
  <c r="J1043" i="110"/>
  <c r="K1043" i="110"/>
  <c r="L1043" i="110"/>
  <c r="M1043" i="110"/>
  <c r="N1043" i="110"/>
  <c r="J1044" i="110"/>
  <c r="K1044" i="110"/>
  <c r="L1044" i="110"/>
  <c r="M1044" i="110"/>
  <c r="N1044" i="110"/>
  <c r="J1045" i="110"/>
  <c r="K1045" i="110"/>
  <c r="L1045" i="110"/>
  <c r="M1045" i="110"/>
  <c r="N1045" i="110"/>
  <c r="J1046" i="110"/>
  <c r="K1046" i="110"/>
  <c r="L1046" i="110"/>
  <c r="M1046" i="110"/>
  <c r="N1046" i="110"/>
  <c r="J1047" i="110"/>
  <c r="K1047" i="110"/>
  <c r="L1047" i="110"/>
  <c r="M1047" i="110"/>
  <c r="N1047" i="110"/>
  <c r="J1048" i="110"/>
  <c r="K1048" i="110"/>
  <c r="L1048" i="110"/>
  <c r="M1048" i="110"/>
  <c r="N1048" i="110"/>
  <c r="J1049" i="110"/>
  <c r="K1049" i="110"/>
  <c r="L1049" i="110"/>
  <c r="M1049" i="110"/>
  <c r="N1049" i="110"/>
  <c r="J1050" i="110"/>
  <c r="K1050" i="110"/>
  <c r="L1050" i="110"/>
  <c r="M1050" i="110"/>
  <c r="N1050" i="110"/>
  <c r="J1051" i="110"/>
  <c r="K1051" i="110"/>
  <c r="L1051" i="110"/>
  <c r="M1051" i="110"/>
  <c r="N1051" i="110"/>
  <c r="J1052" i="110"/>
  <c r="K1052" i="110"/>
  <c r="L1052" i="110"/>
  <c r="M1052" i="110"/>
  <c r="N1052" i="110"/>
  <c r="J1053" i="110"/>
  <c r="J1149" i="110"/>
  <c r="K1149" i="110"/>
  <c r="L1149" i="110"/>
  <c r="M1149" i="110"/>
  <c r="N1149" i="110"/>
  <c r="J1150" i="110"/>
  <c r="K1150" i="110"/>
  <c r="L1150" i="110"/>
  <c r="M1150" i="110"/>
  <c r="N1150" i="110"/>
  <c r="J1151" i="110"/>
  <c r="K1151" i="110"/>
  <c r="L1151" i="110"/>
  <c r="M1151" i="110"/>
  <c r="N1151" i="110"/>
  <c r="J1152" i="110"/>
  <c r="K1152" i="110"/>
  <c r="L1152" i="110"/>
  <c r="M1152" i="110"/>
  <c r="N1152" i="110"/>
  <c r="J1153" i="110"/>
  <c r="K1153" i="110"/>
  <c r="L1153" i="110"/>
  <c r="M1153" i="110"/>
  <c r="N1153" i="110"/>
  <c r="J1154" i="110"/>
  <c r="K1154" i="110"/>
  <c r="L1154" i="110"/>
  <c r="M1154" i="110"/>
  <c r="N1154" i="110"/>
  <c r="J1155" i="110"/>
  <c r="K1155" i="110"/>
  <c r="L1155" i="110"/>
  <c r="M1155" i="110"/>
  <c r="N1155" i="110"/>
  <c r="J1156" i="110"/>
  <c r="K1156" i="110"/>
  <c r="L1156" i="110"/>
  <c r="M1156" i="110"/>
  <c r="N1156" i="110"/>
  <c r="J1157" i="110"/>
  <c r="K1157" i="110"/>
  <c r="L1157" i="110"/>
  <c r="M1157" i="110"/>
  <c r="N1157" i="110"/>
  <c r="J1158" i="110"/>
  <c r="K1158" i="110"/>
  <c r="L1158" i="110"/>
  <c r="M1158" i="110"/>
  <c r="N1158" i="110"/>
  <c r="J1159" i="110"/>
  <c r="K1159" i="110"/>
  <c r="L1159" i="110"/>
  <c r="M1159" i="110"/>
  <c r="N1159" i="110"/>
  <c r="J1160" i="110"/>
  <c r="K1160" i="110"/>
  <c r="L1160" i="110"/>
  <c r="M1160" i="110"/>
  <c r="N1160" i="110"/>
  <c r="J1161" i="110"/>
  <c r="K1161" i="110"/>
  <c r="L1161" i="110"/>
  <c r="M1161" i="110"/>
  <c r="N1161" i="110"/>
  <c r="J1162" i="110"/>
  <c r="K1162" i="110"/>
  <c r="L1162" i="110"/>
  <c r="M1162" i="110"/>
  <c r="J1163" i="110"/>
  <c r="K1163" i="110"/>
  <c r="L1163" i="110"/>
  <c r="M1163" i="110"/>
  <c r="N1163" i="110"/>
  <c r="J1164" i="110"/>
  <c r="K1164" i="110"/>
  <c r="L1164" i="110"/>
  <c r="M1164" i="110"/>
  <c r="N1164" i="110"/>
  <c r="J1165" i="110"/>
  <c r="K1165" i="110"/>
  <c r="L1165" i="110"/>
  <c r="M1165" i="110"/>
  <c r="N1165" i="110"/>
  <c r="J1166" i="110"/>
  <c r="K1166" i="110"/>
  <c r="L1166" i="110"/>
  <c r="M1166" i="110"/>
  <c r="N1166" i="110"/>
  <c r="J1167" i="110"/>
  <c r="K1167" i="110"/>
  <c r="L1167" i="110"/>
  <c r="M1167" i="110"/>
  <c r="N1167" i="110"/>
  <c r="J1168" i="110"/>
  <c r="K1168" i="110"/>
  <c r="L1168" i="110"/>
  <c r="M1168" i="110"/>
  <c r="N1168" i="110"/>
  <c r="J1169" i="110"/>
  <c r="K1169" i="110"/>
  <c r="L1169" i="110"/>
  <c r="M1169" i="110"/>
  <c r="N1169" i="110"/>
  <c r="J1170" i="110"/>
  <c r="K1170" i="110"/>
  <c r="L1170" i="110"/>
  <c r="M1170" i="110"/>
  <c r="N1170" i="110"/>
  <c r="J1171" i="110"/>
  <c r="K1171" i="110"/>
  <c r="L1171" i="110"/>
  <c r="M1171" i="110"/>
  <c r="N1171" i="110"/>
  <c r="J1172" i="110"/>
  <c r="K1172" i="110"/>
  <c r="L1172" i="110"/>
  <c r="M1172" i="110"/>
  <c r="N1172" i="110"/>
  <c r="J1173" i="110"/>
  <c r="K1173" i="110"/>
  <c r="L1173" i="110"/>
  <c r="M1173" i="110"/>
  <c r="N1173" i="110"/>
  <c r="J1174" i="110"/>
  <c r="K1174" i="110"/>
  <c r="L1174" i="110"/>
  <c r="M1174" i="110"/>
  <c r="N1174" i="110"/>
  <c r="J1175" i="110"/>
  <c r="K1175" i="110"/>
  <c r="L1175" i="110"/>
  <c r="M1175" i="110"/>
  <c r="N1175" i="110"/>
  <c r="J1176" i="110"/>
  <c r="K1176" i="110"/>
  <c r="L1176" i="110"/>
  <c r="M1176" i="110"/>
  <c r="N1176" i="110"/>
  <c r="J1177" i="110"/>
  <c r="K1177" i="110"/>
  <c r="L1177" i="110"/>
  <c r="M1177" i="110"/>
  <c r="N1177" i="110"/>
  <c r="J1178" i="110"/>
  <c r="K1178" i="110"/>
  <c r="L1178" i="110"/>
  <c r="M1178" i="110"/>
  <c r="N1178" i="110"/>
  <c r="J1179" i="110"/>
  <c r="K1179" i="110"/>
  <c r="L1179" i="110"/>
  <c r="M1179" i="110"/>
  <c r="N1179" i="110"/>
  <c r="J1180" i="110"/>
  <c r="K1180" i="110"/>
  <c r="L1180" i="110"/>
  <c r="M1180" i="110"/>
  <c r="N1180" i="110"/>
  <c r="J1181" i="110"/>
  <c r="K1181" i="110"/>
  <c r="L1181" i="110"/>
  <c r="M1181" i="110"/>
  <c r="N1181" i="110"/>
  <c r="J1182" i="110"/>
  <c r="K1182" i="110"/>
  <c r="L1182" i="110"/>
  <c r="M1182" i="110"/>
  <c r="N1182" i="110"/>
  <c r="J1183" i="110"/>
  <c r="K1183" i="110"/>
  <c r="L1183" i="110"/>
  <c r="M1183" i="110"/>
  <c r="N1183" i="110"/>
  <c r="J1184" i="110"/>
  <c r="K1184" i="110"/>
  <c r="L1184" i="110"/>
  <c r="M1184" i="110"/>
  <c r="N1184" i="110"/>
  <c r="J1185" i="110"/>
  <c r="K1185" i="110"/>
  <c r="L1185" i="110"/>
  <c r="M1185" i="110"/>
  <c r="N1185" i="110"/>
  <c r="J1186" i="110"/>
  <c r="K1186" i="110"/>
  <c r="L1186" i="110"/>
  <c r="M1186" i="110"/>
  <c r="N1186" i="110"/>
  <c r="J1187" i="110"/>
  <c r="K1187" i="110"/>
  <c r="L1187" i="110"/>
  <c r="M1187" i="110"/>
  <c r="N1187" i="110"/>
  <c r="J1188" i="110"/>
  <c r="K1188" i="110"/>
  <c r="K1206" i="110"/>
  <c r="L1206" i="110"/>
  <c r="M1206" i="110"/>
  <c r="N1206" i="110"/>
  <c r="J1207" i="110"/>
  <c r="K1207" i="110"/>
  <c r="L1207" i="110"/>
  <c r="M1207" i="110"/>
  <c r="N1207" i="110"/>
  <c r="J1208" i="110"/>
  <c r="K1208" i="110"/>
  <c r="L1208" i="110"/>
  <c r="M1208" i="110"/>
  <c r="N1208" i="110"/>
  <c r="J1209" i="110"/>
  <c r="K1209" i="110"/>
  <c r="L1209" i="110"/>
  <c r="M1209" i="110"/>
  <c r="N1209" i="110"/>
  <c r="J1210" i="110"/>
  <c r="K1210" i="110"/>
  <c r="L1210" i="110"/>
  <c r="M1210" i="110"/>
  <c r="N1210" i="110"/>
  <c r="J1211" i="110"/>
  <c r="K1211" i="110"/>
  <c r="L1211" i="110"/>
  <c r="M1211" i="110"/>
  <c r="N1211" i="110"/>
  <c r="J1212" i="110"/>
  <c r="K1212" i="110"/>
  <c r="L1212" i="110"/>
  <c r="M1212" i="110"/>
  <c r="N1212" i="110"/>
  <c r="J1213" i="110"/>
  <c r="K1213" i="110"/>
  <c r="L1213" i="110"/>
  <c r="M1213" i="110"/>
  <c r="N1213" i="110"/>
  <c r="J1214" i="110"/>
  <c r="K1214" i="110"/>
  <c r="L1214" i="110"/>
  <c r="M1214" i="110"/>
  <c r="N1214" i="110"/>
  <c r="J1215" i="110"/>
  <c r="K1215" i="110"/>
  <c r="L1215" i="110"/>
  <c r="M1215" i="110"/>
  <c r="N1215" i="110"/>
  <c r="J1216" i="110"/>
  <c r="K1216" i="110"/>
  <c r="L1216" i="110"/>
  <c r="M1216" i="110"/>
  <c r="N1216" i="110"/>
  <c r="J1217" i="110"/>
  <c r="K1217" i="110"/>
  <c r="L1217" i="110"/>
  <c r="M1217" i="110"/>
  <c r="N1217" i="110"/>
  <c r="J1218" i="110"/>
  <c r="K1218" i="110"/>
  <c r="L1218" i="110"/>
  <c r="M1218" i="110"/>
  <c r="N1218" i="110"/>
  <c r="J1219" i="110"/>
  <c r="K1219" i="110"/>
  <c r="L1219" i="110"/>
  <c r="M1219" i="110"/>
  <c r="N1219" i="110"/>
  <c r="J1220" i="110"/>
  <c r="K1220" i="110"/>
  <c r="L1220" i="110"/>
  <c r="M1220" i="110"/>
  <c r="N1220" i="110"/>
  <c r="J1221" i="110"/>
  <c r="K1221" i="110"/>
  <c r="L1221" i="110"/>
  <c r="M1221" i="110"/>
  <c r="N1221" i="110"/>
  <c r="J1222" i="110"/>
  <c r="K1222" i="110"/>
  <c r="L1222" i="110"/>
  <c r="M1222" i="110"/>
  <c r="N1222" i="110"/>
  <c r="J1223" i="110"/>
  <c r="K1223" i="110"/>
  <c r="L1223" i="110"/>
  <c r="M1223" i="110"/>
  <c r="N1223" i="110"/>
  <c r="J1224" i="110"/>
  <c r="K1224" i="110"/>
  <c r="L1224" i="110"/>
  <c r="M1224" i="110"/>
  <c r="N1224" i="110"/>
  <c r="J1225" i="110"/>
  <c r="K1225" i="110"/>
  <c r="L1225" i="110"/>
  <c r="M1225" i="110"/>
  <c r="N1225" i="110"/>
  <c r="J1226" i="110"/>
  <c r="K1226" i="110"/>
  <c r="L1226" i="110"/>
  <c r="M1226" i="110"/>
  <c r="N1226" i="110"/>
  <c r="J1227" i="110"/>
  <c r="K1227" i="110"/>
  <c r="L1227" i="110"/>
  <c r="M1227" i="110"/>
  <c r="N1227" i="110"/>
  <c r="J1228" i="110"/>
  <c r="K1228" i="110"/>
  <c r="L1228" i="110"/>
  <c r="M1228" i="110"/>
  <c r="N1228" i="110"/>
  <c r="J1229" i="110"/>
  <c r="K1229" i="110"/>
  <c r="L1229" i="110"/>
  <c r="M1229" i="110"/>
  <c r="N1229" i="110"/>
  <c r="J1230" i="110"/>
  <c r="K1230" i="110"/>
  <c r="L1230" i="110"/>
  <c r="M1230" i="110"/>
  <c r="N1230" i="110"/>
  <c r="J1231" i="110"/>
  <c r="K1231" i="110"/>
  <c r="L1231" i="110"/>
  <c r="M1231" i="110"/>
  <c r="N1231" i="110"/>
  <c r="J1232" i="110"/>
  <c r="K1232" i="110"/>
  <c r="L1232" i="110"/>
  <c r="M1232" i="110"/>
  <c r="N1232" i="110"/>
  <c r="J1233" i="110"/>
  <c r="K1233" i="110"/>
  <c r="L1233" i="110"/>
  <c r="M1233" i="110"/>
  <c r="N1233" i="110"/>
  <c r="J1234" i="110"/>
  <c r="K1234" i="110"/>
  <c r="L1234" i="110"/>
  <c r="M1234" i="110"/>
  <c r="N1234" i="110"/>
  <c r="J1235" i="110"/>
  <c r="K1235" i="110"/>
  <c r="L1235" i="110"/>
  <c r="M1235" i="110"/>
  <c r="N1235" i="110"/>
  <c r="J1236" i="110"/>
  <c r="K1236" i="110"/>
  <c r="L1236" i="110"/>
  <c r="M1236" i="110"/>
  <c r="N1236" i="110"/>
  <c r="J1237" i="110"/>
  <c r="K1237" i="110"/>
  <c r="L1237" i="110"/>
  <c r="M1237" i="110"/>
  <c r="N1237" i="110"/>
  <c r="J1238" i="110"/>
  <c r="K1238" i="110"/>
  <c r="L1238" i="110"/>
  <c r="M1238" i="110"/>
  <c r="N1238" i="110"/>
  <c r="J1239" i="110"/>
  <c r="K1239" i="110"/>
  <c r="L1239" i="110"/>
  <c r="M1239" i="110"/>
  <c r="N1239" i="110"/>
  <c r="J1240" i="110"/>
  <c r="K1240" i="110"/>
  <c r="L1240" i="110"/>
  <c r="M1240" i="110"/>
  <c r="N1240" i="110"/>
  <c r="J1241" i="110"/>
  <c r="K1241" i="110"/>
  <c r="L1241" i="110"/>
  <c r="M1241" i="110"/>
  <c r="N1241" i="110"/>
  <c r="J1242" i="110"/>
  <c r="K1242" i="110"/>
  <c r="L1242" i="110"/>
  <c r="M1242" i="110"/>
  <c r="N1242" i="110"/>
  <c r="J1243" i="110"/>
  <c r="K1243" i="110"/>
  <c r="L1243" i="110"/>
  <c r="M1243" i="110"/>
  <c r="N1243" i="110"/>
  <c r="J1244" i="110"/>
  <c r="K1244" i="110"/>
  <c r="L1244" i="110"/>
  <c r="M1244" i="110"/>
  <c r="N1244" i="110"/>
  <c r="J1245" i="110"/>
  <c r="K1245" i="110"/>
  <c r="L1245" i="110"/>
  <c r="M1245" i="110"/>
  <c r="N1245" i="110"/>
  <c r="J1246" i="110"/>
  <c r="K1246" i="110"/>
  <c r="L1246" i="110"/>
  <c r="M1246" i="110"/>
  <c r="N1246" i="110"/>
  <c r="J1247" i="110"/>
  <c r="K1247" i="110"/>
  <c r="L1247" i="110"/>
  <c r="M1247" i="110"/>
  <c r="N1247" i="110"/>
  <c r="J1248" i="110"/>
  <c r="K1248" i="110"/>
  <c r="L1248" i="110"/>
  <c r="M1248" i="110"/>
  <c r="N1248" i="110"/>
  <c r="J1249" i="110"/>
  <c r="K1249" i="110"/>
  <c r="L1249" i="110"/>
  <c r="M1249" i="110"/>
  <c r="N1249" i="110"/>
  <c r="J1250" i="110"/>
  <c r="L1419" i="110"/>
  <c r="K1419" i="110"/>
  <c r="J1419" i="110"/>
  <c r="M1261" i="110"/>
  <c r="N1347" i="110"/>
  <c r="M1347" i="110"/>
  <c r="L1347" i="110"/>
  <c r="K1347" i="110"/>
  <c r="N1418" i="110"/>
  <c r="M1418" i="110"/>
  <c r="L1418" i="110"/>
  <c r="K1418" i="110"/>
  <c r="J1418" i="110"/>
  <c r="J1347" i="110"/>
  <c r="N1261" i="110"/>
  <c r="N1311" i="110"/>
  <c r="M1311" i="110"/>
  <c r="L1311" i="110"/>
  <c r="N1417" i="110"/>
  <c r="M1417" i="110"/>
  <c r="L1417" i="110"/>
  <c r="K1417" i="110"/>
  <c r="J1417" i="110"/>
  <c r="K1311" i="110"/>
  <c r="N1346" i="110"/>
  <c r="M1346" i="110"/>
  <c r="L1346" i="110"/>
  <c r="K1346" i="110"/>
  <c r="N1416" i="110"/>
  <c r="M1416" i="110"/>
  <c r="L1416" i="110"/>
  <c r="K1416" i="110"/>
  <c r="J1416" i="110"/>
  <c r="J1346" i="110"/>
  <c r="J1311" i="110"/>
  <c r="J1262" i="110"/>
  <c r="L1272" i="110"/>
  <c r="M1272" i="110"/>
  <c r="N1415" i="110"/>
  <c r="M1415" i="110"/>
  <c r="L1415" i="110"/>
  <c r="K1415" i="110"/>
  <c r="J1415" i="110"/>
  <c r="N1272" i="110"/>
  <c r="N1345" i="110"/>
  <c r="M1345" i="110"/>
  <c r="L1345" i="110"/>
  <c r="K1345" i="110"/>
  <c r="N1414" i="110"/>
  <c r="M1414" i="110"/>
  <c r="L1414" i="110"/>
  <c r="K1414" i="110"/>
  <c r="J1414" i="110"/>
  <c r="J1345" i="110"/>
  <c r="J1273" i="110"/>
  <c r="N1310" i="110"/>
  <c r="M1310" i="110"/>
  <c r="L1310" i="110"/>
  <c r="N1413" i="110"/>
  <c r="M1413" i="110"/>
  <c r="L1413" i="110"/>
  <c r="K1413" i="110"/>
  <c r="J1413" i="110"/>
  <c r="K1310" i="110"/>
  <c r="N1344" i="110"/>
  <c r="M1344" i="110"/>
  <c r="L1344" i="110"/>
  <c r="K1344" i="110"/>
  <c r="N1412" i="110"/>
  <c r="M1412" i="110"/>
  <c r="L1412" i="110"/>
  <c r="K1412" i="110"/>
  <c r="J1412" i="110"/>
  <c r="J1344" i="110"/>
  <c r="J1310" i="110"/>
  <c r="K1273" i="110"/>
  <c r="K1262" i="110"/>
  <c r="L1262" i="110"/>
  <c r="N1411" i="110"/>
  <c r="M1411" i="110"/>
  <c r="L1411" i="110"/>
  <c r="K1411" i="110"/>
  <c r="J1411" i="110"/>
  <c r="M1262" i="110"/>
  <c r="N1343" i="110"/>
  <c r="M1343" i="110"/>
  <c r="L1343" i="110"/>
  <c r="K1343" i="110"/>
  <c r="N1410" i="110"/>
  <c r="M1410" i="110"/>
  <c r="L1410" i="110"/>
  <c r="K1410" i="110"/>
  <c r="J1410" i="110"/>
  <c r="J1343" i="110"/>
  <c r="N1262" i="110"/>
  <c r="N1309" i="110"/>
  <c r="M1309" i="110"/>
  <c r="L1309" i="110"/>
  <c r="N1409" i="110"/>
  <c r="M1409" i="110"/>
  <c r="L1409" i="110"/>
  <c r="K1409" i="110"/>
  <c r="J1409" i="110"/>
  <c r="K1309" i="110"/>
  <c r="N1342" i="110"/>
  <c r="M1342" i="110"/>
  <c r="L1342" i="110"/>
  <c r="K1342" i="110"/>
  <c r="N1408" i="110"/>
  <c r="M1408" i="110"/>
  <c r="L1408" i="110"/>
  <c r="K1408" i="110"/>
  <c r="J1408" i="110"/>
  <c r="J1342" i="110"/>
  <c r="J1309" i="110"/>
  <c r="L1273" i="110"/>
  <c r="M1273" i="110"/>
  <c r="N1273" i="110"/>
  <c r="N1407" i="110"/>
  <c r="M1407" i="110"/>
  <c r="L1407" i="110"/>
  <c r="K1407" i="110"/>
  <c r="J1407" i="110"/>
  <c r="J1263" i="110"/>
  <c r="N1341" i="110"/>
  <c r="M1341" i="110"/>
  <c r="L1341" i="110"/>
  <c r="K1341" i="110"/>
  <c r="N1406" i="110"/>
  <c r="M1406" i="110"/>
  <c r="L1406" i="110"/>
  <c r="K1406" i="110"/>
  <c r="J1406" i="110"/>
  <c r="J1341" i="110"/>
  <c r="K1263" i="110"/>
  <c r="N1308" i="110"/>
  <c r="M1308" i="110"/>
  <c r="L1308" i="110"/>
  <c r="N1405" i="110"/>
  <c r="M1405" i="110"/>
  <c r="L1405" i="110"/>
  <c r="K1405" i="110"/>
  <c r="J1405" i="110"/>
  <c r="K1308" i="110"/>
  <c r="N1340" i="110"/>
  <c r="M1340" i="110"/>
  <c r="L1340" i="110"/>
  <c r="K1340" i="110"/>
  <c r="N1404" i="110"/>
  <c r="M1404" i="110"/>
  <c r="L1404" i="110"/>
  <c r="K1404" i="110"/>
  <c r="J1404" i="110"/>
  <c r="J1340" i="110"/>
  <c r="J1308" i="110"/>
  <c r="J1274" i="110"/>
  <c r="K1274" i="110"/>
  <c r="L1274" i="110"/>
  <c r="N1403" i="110"/>
  <c r="M1403" i="110"/>
  <c r="L1403" i="110"/>
  <c r="K1403" i="110"/>
  <c r="J1403" i="110"/>
  <c r="L1263" i="110"/>
  <c r="N1339" i="110"/>
  <c r="M1339" i="110"/>
  <c r="L1339" i="110"/>
  <c r="K1339" i="110"/>
  <c r="N1402" i="110"/>
  <c r="M1402" i="110"/>
  <c r="L1402" i="110"/>
  <c r="K1402" i="110"/>
  <c r="J1402" i="110"/>
  <c r="J1339" i="110"/>
  <c r="M1263" i="110"/>
  <c r="N1307" i="110"/>
  <c r="M1307" i="110"/>
  <c r="L1307" i="110"/>
  <c r="N1401" i="110"/>
  <c r="M1401" i="110"/>
  <c r="L1401" i="110"/>
  <c r="K1401" i="110"/>
  <c r="J1401" i="110"/>
  <c r="K1307" i="110"/>
  <c r="N1338" i="110"/>
  <c r="M1338" i="110"/>
  <c r="L1338" i="110"/>
  <c r="K1338" i="110"/>
  <c r="N1400" i="110"/>
  <c r="M1400" i="110"/>
  <c r="L1400" i="110"/>
  <c r="K1400" i="110"/>
  <c r="J1400" i="110"/>
  <c r="J1338" i="110"/>
  <c r="J1307" i="110"/>
  <c r="M1274" i="110"/>
  <c r="N1274" i="110"/>
  <c r="J1275" i="110"/>
  <c r="N1399" i="110"/>
  <c r="M1399" i="110"/>
  <c r="L1399" i="110"/>
  <c r="K1399" i="110"/>
  <c r="J1399" i="110"/>
  <c r="K1275" i="110"/>
  <c r="N1337" i="110"/>
  <c r="M1337" i="110"/>
  <c r="L1337" i="110"/>
  <c r="K1337" i="110"/>
  <c r="N1398" i="110"/>
  <c r="M1398" i="110"/>
  <c r="L1398" i="110"/>
  <c r="K1398" i="110"/>
  <c r="J1398" i="110"/>
  <c r="J1337" i="110"/>
  <c r="N1263" i="110"/>
  <c r="K1250" i="110"/>
  <c r="L1250" i="110"/>
  <c r="M1250" i="110"/>
  <c r="N1397" i="110"/>
  <c r="M1397" i="110"/>
  <c r="L1397" i="110"/>
  <c r="K1397" i="110"/>
  <c r="J1397" i="110"/>
  <c r="N1250" i="110"/>
  <c r="N1336" i="110"/>
  <c r="M1336" i="110"/>
  <c r="L1336" i="110"/>
  <c r="K1336" i="110"/>
  <c r="N1396" i="110"/>
  <c r="M1396" i="110"/>
  <c r="L1396" i="110"/>
  <c r="K1396" i="110"/>
  <c r="J1396" i="110"/>
  <c r="J1336" i="110"/>
  <c r="J1264" i="110"/>
  <c r="L1275" i="110"/>
  <c r="M1275" i="110"/>
  <c r="N1275" i="110"/>
  <c r="N1395" i="110"/>
  <c r="M1395" i="110"/>
  <c r="L1395" i="110"/>
  <c r="K1395" i="110"/>
  <c r="J1395" i="110"/>
  <c r="K1264" i="110"/>
  <c r="N1335" i="110"/>
  <c r="M1335" i="110"/>
  <c r="L1335" i="110"/>
  <c r="K1335" i="110"/>
  <c r="N1394" i="110"/>
  <c r="M1394" i="110"/>
  <c r="L1394" i="110"/>
  <c r="K1394" i="110"/>
  <c r="J1394" i="110"/>
  <c r="J1335" i="110"/>
  <c r="J1251" i="110"/>
  <c r="K1251" i="110"/>
  <c r="L1251" i="110"/>
  <c r="M1251" i="110"/>
  <c r="N1393" i="110"/>
  <c r="M1393" i="110"/>
  <c r="L1393" i="110"/>
  <c r="K1393" i="110"/>
  <c r="J1393" i="110"/>
  <c r="L1264" i="110"/>
  <c r="N1334" i="110"/>
  <c r="M1334" i="110"/>
  <c r="L1334" i="110"/>
  <c r="K1334" i="110"/>
  <c r="N1392" i="110"/>
  <c r="M1392" i="110"/>
  <c r="L1392" i="110"/>
  <c r="K1392" i="110"/>
  <c r="J1392" i="110"/>
  <c r="J1334" i="110"/>
  <c r="M1264" i="110"/>
  <c r="J1276" i="110"/>
  <c r="K1276" i="110"/>
  <c r="L1276" i="110"/>
  <c r="N1391" i="110"/>
  <c r="M1391" i="110"/>
  <c r="L1391" i="110"/>
  <c r="K1391" i="110"/>
  <c r="J1391" i="110"/>
  <c r="N1251" i="110"/>
  <c r="N1333" i="110"/>
  <c r="M1333" i="110"/>
  <c r="L1333" i="110"/>
  <c r="K1333" i="110"/>
  <c r="N1390" i="110"/>
  <c r="M1390" i="110"/>
  <c r="L1390" i="110"/>
  <c r="K1390" i="110"/>
  <c r="J1390" i="110"/>
  <c r="J1333" i="110"/>
  <c r="J1252" i="110"/>
  <c r="K1252" i="110"/>
  <c r="L1252" i="110"/>
  <c r="N1264" i="110"/>
  <c r="N1389" i="110"/>
  <c r="M1389" i="110"/>
  <c r="L1389" i="110"/>
  <c r="K1389" i="110"/>
  <c r="J1389" i="110"/>
  <c r="J1265" i="110"/>
  <c r="N1332" i="110"/>
  <c r="M1332" i="110"/>
  <c r="L1332" i="110"/>
  <c r="K1332" i="110"/>
  <c r="N1388" i="110"/>
  <c r="M1388" i="110"/>
  <c r="L1388" i="110"/>
  <c r="K1388" i="110"/>
  <c r="J1388" i="110"/>
  <c r="J1332" i="110"/>
  <c r="M1276" i="110"/>
  <c r="N1276" i="110"/>
  <c r="J1277" i="110"/>
  <c r="M1252" i="110"/>
  <c r="N1387" i="110"/>
  <c r="M1387" i="110"/>
  <c r="L1387" i="110"/>
  <c r="K1387" i="110"/>
  <c r="J1387" i="110"/>
  <c r="N1252" i="110"/>
  <c r="N1331" i="110"/>
  <c r="M1331" i="110"/>
  <c r="L1331" i="110"/>
  <c r="K1331" i="110"/>
  <c r="N1386" i="110"/>
  <c r="M1386" i="110"/>
  <c r="L1386" i="110"/>
  <c r="K1386" i="110"/>
  <c r="J1386" i="110"/>
  <c r="J1331" i="110"/>
  <c r="J1253" i="110"/>
  <c r="K1253" i="110"/>
  <c r="K1265" i="110"/>
  <c r="L1265" i="110"/>
  <c r="N1385" i="110"/>
  <c r="M1385" i="110"/>
  <c r="L1385" i="110"/>
  <c r="K1385" i="110"/>
  <c r="J1385" i="110"/>
  <c r="K1277" i="110"/>
  <c r="N1330" i="110"/>
  <c r="M1330" i="110"/>
  <c r="L1330" i="110"/>
  <c r="K1330" i="110"/>
  <c r="N1384" i="110"/>
  <c r="M1384" i="110"/>
  <c r="L1384" i="110"/>
  <c r="K1384" i="110"/>
  <c r="J1384" i="110"/>
  <c r="J1330" i="110"/>
  <c r="L1277" i="110"/>
  <c r="M1277" i="110"/>
  <c r="L1253" i="110"/>
  <c r="M1253" i="110"/>
  <c r="N1383" i="110"/>
  <c r="M1383" i="110"/>
  <c r="L1383" i="110"/>
  <c r="K1383" i="110"/>
  <c r="J1383" i="110"/>
  <c r="N1253" i="110"/>
  <c r="N1329" i="110"/>
  <c r="M1329" i="110"/>
  <c r="L1329" i="110"/>
  <c r="K1329" i="110"/>
  <c r="N1382" i="110"/>
  <c r="M1382" i="110"/>
  <c r="L1382" i="110"/>
  <c r="K1382" i="110"/>
  <c r="J1382" i="110"/>
  <c r="J1329" i="110"/>
  <c r="J1254" i="110"/>
  <c r="N1277" i="110"/>
  <c r="M1265" i="110"/>
  <c r="N1265" i="110"/>
  <c r="N1381" i="110"/>
  <c r="M1381" i="110"/>
  <c r="L1381" i="110"/>
  <c r="K1381" i="110"/>
  <c r="J1381" i="110"/>
  <c r="J1278" i="110"/>
  <c r="N1328" i="110"/>
  <c r="M1328" i="110"/>
  <c r="L1328" i="110"/>
  <c r="K1328" i="110"/>
  <c r="N1380" i="110"/>
  <c r="M1380" i="110"/>
  <c r="L1380" i="110"/>
  <c r="K1380" i="110"/>
  <c r="J1380" i="110"/>
  <c r="J1328" i="110"/>
  <c r="K1278" i="110"/>
  <c r="K1254" i="110"/>
  <c r="L1254" i="110"/>
  <c r="M1254" i="110"/>
  <c r="N1379" i="110"/>
  <c r="M1379" i="110"/>
  <c r="L1379" i="110"/>
  <c r="K1379" i="110"/>
  <c r="J1379" i="110"/>
  <c r="N1254" i="110"/>
  <c r="N1327" i="110"/>
  <c r="M1327" i="110"/>
  <c r="L1327" i="110"/>
  <c r="K1327" i="110"/>
  <c r="N1378" i="110"/>
  <c r="M1378" i="110"/>
  <c r="L1378" i="110"/>
  <c r="K1378" i="110"/>
  <c r="J1378" i="110"/>
  <c r="J1327" i="110"/>
  <c r="L1278" i="110"/>
  <c r="J1266" i="110"/>
  <c r="K1266" i="110"/>
  <c r="L1266" i="110"/>
  <c r="N1377" i="110"/>
  <c r="M1377" i="110"/>
  <c r="L1377" i="110"/>
  <c r="K1377" i="110"/>
  <c r="J1377" i="110"/>
  <c r="M1278" i="110"/>
  <c r="N1326" i="110"/>
  <c r="M1326" i="110"/>
  <c r="L1326" i="110"/>
  <c r="K1326" i="110"/>
  <c r="N1376" i="110"/>
  <c r="M1376" i="110"/>
  <c r="L1376" i="110"/>
  <c r="K1376" i="110"/>
  <c r="J1376" i="110"/>
  <c r="J1326" i="110"/>
  <c r="J1255" i="110"/>
  <c r="K1255" i="110"/>
  <c r="L1255" i="110"/>
  <c r="M1255" i="110"/>
  <c r="N1375" i="110"/>
  <c r="M1375" i="110"/>
  <c r="L1375" i="110"/>
  <c r="K1375" i="110"/>
  <c r="J1375" i="110"/>
  <c r="N1278" i="110"/>
  <c r="N1325" i="110"/>
  <c r="M1325" i="110"/>
  <c r="L1325" i="110"/>
  <c r="K1325" i="110"/>
  <c r="N1374" i="110"/>
  <c r="M1374" i="110"/>
  <c r="L1374" i="110"/>
  <c r="K1374" i="110"/>
  <c r="J1374" i="110"/>
  <c r="J1325" i="110"/>
  <c r="J1279" i="110"/>
  <c r="M1266" i="110"/>
  <c r="N1266" i="110"/>
  <c r="K1279" i="110"/>
  <c r="N1373" i="110"/>
  <c r="M1373" i="110"/>
  <c r="L1373" i="110"/>
  <c r="K1373" i="110"/>
  <c r="J1373" i="110"/>
  <c r="N1255" i="110"/>
  <c r="N1324" i="110"/>
  <c r="M1324" i="110"/>
  <c r="L1324" i="110"/>
  <c r="K1324" i="110"/>
  <c r="N1372" i="110"/>
  <c r="M1372" i="110"/>
  <c r="L1372" i="110"/>
  <c r="K1372" i="110"/>
  <c r="J1372" i="110"/>
  <c r="J1324" i="110"/>
  <c r="J1256" i="110"/>
  <c r="K1256" i="110"/>
  <c r="L1256" i="110"/>
  <c r="L1279" i="110"/>
  <c r="N1371" i="110"/>
  <c r="M1371" i="110"/>
  <c r="L1371" i="110"/>
  <c r="K1371" i="110"/>
  <c r="J1371" i="110"/>
  <c r="J1267" i="110"/>
  <c r="N1323" i="110"/>
  <c r="M1323" i="110"/>
  <c r="L1323" i="110"/>
  <c r="K1323" i="110"/>
  <c r="N1370" i="110"/>
  <c r="M1370" i="110"/>
  <c r="L1370" i="110"/>
  <c r="K1370" i="110"/>
  <c r="J1370" i="110"/>
  <c r="J1323" i="110"/>
  <c r="M1279" i="110"/>
  <c r="K1267" i="110"/>
  <c r="N1279" i="110"/>
  <c r="M1256" i="110"/>
  <c r="N1369" i="110"/>
  <c r="M1369" i="110"/>
  <c r="L1369" i="110"/>
  <c r="K1369" i="110"/>
  <c r="J1369" i="110"/>
  <c r="N1256" i="110"/>
  <c r="N1322" i="110"/>
  <c r="M1322" i="110"/>
  <c r="L1322" i="110"/>
  <c r="K1322" i="110"/>
  <c r="N1368" i="110"/>
  <c r="M1368" i="110"/>
  <c r="L1368" i="110"/>
  <c r="K1368" i="110"/>
  <c r="J1368" i="110"/>
  <c r="J1322" i="110"/>
  <c r="J1257" i="110"/>
  <c r="K1257" i="110"/>
  <c r="L1267" i="110"/>
  <c r="J1280" i="110"/>
  <c r="N1367" i="110"/>
  <c r="M1367" i="110"/>
  <c r="L1367" i="110"/>
  <c r="K1367" i="110"/>
  <c r="N1162" i="110"/>
  <c r="J1367" i="110"/>
  <c r="M1267" i="110"/>
  <c r="N1321" i="110"/>
  <c r="M1321" i="110"/>
  <c r="L1321" i="110"/>
  <c r="K1321" i="110"/>
  <c r="N1366" i="110"/>
  <c r="M1366" i="110"/>
  <c r="L1366" i="110"/>
  <c r="K1366" i="110"/>
  <c r="J1366" i="110"/>
  <c r="J1321" i="110"/>
  <c r="N1267" i="110"/>
  <c r="K1280" i="110"/>
  <c r="L1257" i="110"/>
  <c r="M1257" i="110"/>
  <c r="N1365" i="110"/>
  <c r="M1365" i="110"/>
  <c r="L1365" i="110"/>
  <c r="K1365" i="110"/>
  <c r="J1365" i="110"/>
  <c r="N1257" i="110"/>
  <c r="N1320" i="110"/>
  <c r="M1320" i="110"/>
  <c r="L1320" i="110"/>
  <c r="N1453" i="110"/>
  <c r="M1453" i="110"/>
  <c r="L1453" i="110"/>
  <c r="K1453" i="110"/>
  <c r="J1453" i="110"/>
  <c r="K1320" i="110"/>
  <c r="N1364" i="110"/>
  <c r="M1364" i="110"/>
  <c r="L1364" i="110"/>
  <c r="K1364" i="110"/>
  <c r="N1452" i="110"/>
  <c r="M1452" i="110"/>
  <c r="L1452" i="110"/>
  <c r="K1452" i="110"/>
  <c r="J1452" i="110"/>
  <c r="J1364" i="110"/>
  <c r="J1320" i="110"/>
  <c r="J1258" i="110"/>
  <c r="L1280" i="110"/>
  <c r="J1268" i="110"/>
  <c r="N1451" i="110"/>
  <c r="M1451" i="110"/>
  <c r="L1451" i="110"/>
  <c r="K1451" i="110"/>
  <c r="J1451" i="110"/>
  <c r="M1280" i="110"/>
  <c r="N1363" i="110"/>
  <c r="M1363" i="110"/>
  <c r="L1363" i="110"/>
  <c r="K1363" i="110"/>
  <c r="N1450" i="110"/>
  <c r="M1450" i="110"/>
  <c r="L1450" i="110"/>
  <c r="K1450" i="110"/>
  <c r="J1450" i="110"/>
  <c r="J1363" i="110"/>
  <c r="N1280" i="110"/>
  <c r="N1319" i="110"/>
  <c r="M1319" i="110"/>
  <c r="L1319" i="110"/>
  <c r="N1449" i="110"/>
  <c r="M1449" i="110"/>
  <c r="L1449" i="110"/>
  <c r="K1449" i="110"/>
  <c r="J1449" i="110"/>
  <c r="K1319" i="110"/>
  <c r="N1362" i="110"/>
  <c r="M1362" i="110"/>
  <c r="L1362" i="110"/>
  <c r="K1362" i="110"/>
  <c r="N1448" i="110"/>
  <c r="M1448" i="110"/>
  <c r="L1448" i="110"/>
  <c r="K1448" i="110"/>
  <c r="J1448" i="110"/>
  <c r="J1362" i="110"/>
  <c r="J1319" i="110"/>
  <c r="K1268" i="110"/>
  <c r="K1258" i="110"/>
  <c r="L1258" i="110"/>
  <c r="N1447" i="110"/>
  <c r="M1447" i="110"/>
  <c r="L1447" i="110"/>
  <c r="K1447" i="110"/>
  <c r="J1447" i="110"/>
  <c r="M1258" i="110"/>
  <c r="N1361" i="110"/>
  <c r="M1361" i="110"/>
  <c r="L1361" i="110"/>
  <c r="K1361" i="110"/>
  <c r="N1446" i="110"/>
  <c r="M1446" i="110"/>
  <c r="L1446" i="110"/>
  <c r="K1446" i="110"/>
  <c r="J1446" i="110"/>
  <c r="J1361" i="110"/>
  <c r="N1258" i="110"/>
  <c r="N1318" i="110"/>
  <c r="M1318" i="110"/>
  <c r="L1318" i="110"/>
  <c r="N1445" i="110"/>
  <c r="M1445" i="110"/>
  <c r="L1445" i="110"/>
  <c r="K1445" i="110"/>
  <c r="J1445" i="110"/>
  <c r="K1318" i="110"/>
  <c r="N1360" i="110"/>
  <c r="M1360" i="110"/>
  <c r="L1360" i="110"/>
  <c r="K1360" i="110"/>
  <c r="N1444" i="110"/>
  <c r="M1444" i="110"/>
  <c r="L1444" i="110"/>
  <c r="K1444" i="110"/>
  <c r="J1444" i="110"/>
  <c r="J1360" i="110"/>
  <c r="J1318" i="110"/>
  <c r="L1268" i="110"/>
  <c r="M1268" i="110"/>
  <c r="N1268" i="110"/>
  <c r="N1443" i="110"/>
  <c r="M1443" i="110"/>
  <c r="L1443" i="110"/>
  <c r="K1443" i="110"/>
  <c r="J1443" i="110"/>
  <c r="J1269" i="110"/>
  <c r="N1359" i="110"/>
  <c r="M1359" i="110"/>
  <c r="L1359" i="110"/>
  <c r="K1359" i="110"/>
  <c r="N1442" i="110"/>
  <c r="M1442" i="110"/>
  <c r="L1442" i="110"/>
  <c r="K1442" i="110"/>
  <c r="J1442" i="110"/>
  <c r="J1359" i="110"/>
  <c r="K1269" i="110"/>
  <c r="N1317" i="110"/>
  <c r="M1317" i="110"/>
  <c r="L1317" i="110"/>
  <c r="N1441" i="110"/>
  <c r="M1441" i="110"/>
  <c r="L1441" i="110"/>
  <c r="K1441" i="110"/>
  <c r="J1441" i="110"/>
  <c r="K1317" i="110"/>
  <c r="N1358" i="110"/>
  <c r="M1358" i="110"/>
  <c r="L1358" i="110"/>
  <c r="K1358" i="110"/>
  <c r="N1440" i="110"/>
  <c r="M1440" i="110"/>
  <c r="L1440" i="110"/>
  <c r="K1440" i="110"/>
  <c r="J1440" i="110"/>
  <c r="J1358" i="110"/>
  <c r="J1317" i="110"/>
  <c r="J1259" i="110"/>
  <c r="K1259" i="110"/>
  <c r="L1259" i="110"/>
  <c r="N1439" i="110"/>
  <c r="M1439" i="110"/>
  <c r="L1439" i="110"/>
  <c r="K1439" i="110"/>
  <c r="J1439" i="110"/>
  <c r="M1259" i="110"/>
  <c r="N1357" i="110"/>
  <c r="M1357" i="110"/>
  <c r="L1357" i="110"/>
  <c r="K1357" i="110"/>
  <c r="N1438" i="110"/>
  <c r="M1438" i="110"/>
  <c r="L1438" i="110"/>
  <c r="K1438" i="110"/>
  <c r="J1438" i="110"/>
  <c r="J1357" i="110"/>
  <c r="L1269" i="110"/>
  <c r="N1316" i="110"/>
  <c r="M1316" i="110"/>
  <c r="L1316" i="110"/>
  <c r="N1437" i="110"/>
  <c r="M1437" i="110"/>
  <c r="L1437" i="110"/>
  <c r="K1437" i="110"/>
  <c r="J1437" i="110"/>
  <c r="K1316" i="110"/>
  <c r="N1356" i="110"/>
  <c r="M1356" i="110"/>
  <c r="L1356" i="110"/>
  <c r="K1356" i="110"/>
  <c r="N1436" i="110"/>
  <c r="M1436" i="110"/>
  <c r="L1436" i="110"/>
  <c r="K1436" i="110"/>
  <c r="J1436" i="110"/>
  <c r="J1356" i="110"/>
  <c r="J1316" i="110"/>
  <c r="M1269" i="110"/>
  <c r="N1269" i="110"/>
  <c r="J1270" i="110"/>
  <c r="N1435" i="110"/>
  <c r="M1435" i="110"/>
  <c r="L1435" i="110"/>
  <c r="K1435" i="110"/>
  <c r="J1435" i="110"/>
  <c r="K1270" i="110"/>
  <c r="N1355" i="110"/>
  <c r="M1355" i="110"/>
  <c r="L1355" i="110"/>
  <c r="K1355" i="110"/>
  <c r="N1434" i="110"/>
  <c r="M1434" i="110"/>
  <c r="L1434" i="110"/>
  <c r="K1434" i="110"/>
  <c r="J1434" i="110"/>
  <c r="J1355" i="110"/>
  <c r="N1259" i="110"/>
  <c r="N1315" i="110"/>
  <c r="M1315" i="110"/>
  <c r="L1315" i="110"/>
  <c r="N1433" i="110"/>
  <c r="M1433" i="110"/>
  <c r="L1433" i="110"/>
  <c r="K1433" i="110"/>
  <c r="J1433" i="110"/>
  <c r="K1315" i="110"/>
  <c r="N1354" i="110"/>
  <c r="M1354" i="110"/>
  <c r="L1354" i="110"/>
  <c r="K1354" i="110"/>
  <c r="N1432" i="110"/>
  <c r="M1432" i="110"/>
  <c r="L1432" i="110"/>
  <c r="K1432" i="110"/>
  <c r="J1432" i="110"/>
  <c r="J1354" i="110"/>
  <c r="J1315" i="110"/>
  <c r="J1260" i="110"/>
  <c r="K1260" i="110"/>
  <c r="L1260" i="110"/>
  <c r="N1431" i="110"/>
  <c r="M1431" i="110"/>
  <c r="L1431" i="110"/>
  <c r="K1431" i="110"/>
  <c r="J1431" i="110"/>
  <c r="L1270" i="110"/>
  <c r="N1353" i="110"/>
  <c r="M1353" i="110"/>
  <c r="L1353" i="110"/>
  <c r="K1353" i="110"/>
  <c r="N1430" i="110"/>
  <c r="M1430" i="110"/>
  <c r="L1430" i="110"/>
  <c r="K1430" i="110"/>
  <c r="J1430" i="110"/>
  <c r="J1353" i="110"/>
  <c r="M1270" i="110"/>
  <c r="N1314" i="110"/>
  <c r="M1314" i="110"/>
  <c r="L1314" i="110"/>
  <c r="N1429" i="110"/>
  <c r="M1429" i="110"/>
  <c r="L1429" i="110"/>
  <c r="K1429" i="110"/>
  <c r="J1429" i="110"/>
  <c r="K1314" i="110"/>
  <c r="N1352" i="110"/>
  <c r="M1352" i="110"/>
  <c r="L1352" i="110"/>
  <c r="K1352" i="110"/>
  <c r="N1428" i="110"/>
  <c r="M1428" i="110"/>
  <c r="L1428" i="110"/>
  <c r="K1428" i="110"/>
  <c r="J1428" i="110"/>
  <c r="J1352" i="110"/>
  <c r="J1314" i="110"/>
  <c r="N1270" i="110"/>
  <c r="J1271" i="110"/>
  <c r="K1271" i="110"/>
  <c r="N1427" i="110"/>
  <c r="M1427" i="110"/>
  <c r="L1427" i="110"/>
  <c r="K1427" i="110"/>
  <c r="J1427" i="110"/>
  <c r="M1260" i="110"/>
  <c r="N1351" i="110"/>
  <c r="M1351" i="110"/>
  <c r="L1351" i="110"/>
  <c r="K1351" i="110"/>
  <c r="N1426" i="110"/>
  <c r="M1426" i="110"/>
  <c r="L1426" i="110"/>
  <c r="K1426" i="110"/>
  <c r="J1426" i="110"/>
  <c r="J1351" i="110"/>
  <c r="N1260" i="110"/>
  <c r="N1313" i="110"/>
  <c r="M1313" i="110"/>
  <c r="L1313" i="110"/>
  <c r="N1425" i="110"/>
  <c r="M1425" i="110"/>
  <c r="L1425" i="110"/>
  <c r="K1425" i="110"/>
  <c r="J1425" i="110"/>
  <c r="K1313" i="110"/>
  <c r="N1350" i="110"/>
  <c r="M1350" i="110"/>
  <c r="L1350" i="110"/>
  <c r="K1350" i="110"/>
  <c r="N1424" i="110"/>
  <c r="M1424" i="110"/>
  <c r="L1424" i="110"/>
  <c r="K1424" i="110"/>
  <c r="J1424" i="110"/>
  <c r="J1350" i="110"/>
  <c r="J1313" i="110"/>
  <c r="J1261" i="110"/>
  <c r="K1261" i="110"/>
  <c r="L1271" i="110"/>
  <c r="N1423" i="110"/>
  <c r="M1423" i="110"/>
  <c r="L1423" i="110"/>
  <c r="K1423" i="110"/>
  <c r="J1423" i="110"/>
  <c r="M1271" i="110"/>
  <c r="N1349" i="110"/>
  <c r="M1349" i="110"/>
  <c r="L1349" i="110"/>
  <c r="K1349" i="110"/>
  <c r="N1422" i="110"/>
  <c r="M1422" i="110"/>
  <c r="L1188" i="110"/>
  <c r="M1188" i="110"/>
  <c r="L1422" i="110"/>
  <c r="K1422" i="110"/>
  <c r="N1188" i="110"/>
  <c r="J1189" i="110"/>
  <c r="J1422" i="110"/>
  <c r="K1189" i="110"/>
  <c r="L1189" i="110"/>
  <c r="J1349" i="110"/>
  <c r="N1271" i="110"/>
  <c r="M1189" i="110"/>
  <c r="N1312" i="110"/>
  <c r="M1312" i="110"/>
  <c r="N1189" i="110"/>
  <c r="J1190" i="110"/>
  <c r="L1312" i="110"/>
  <c r="N1421" i="110"/>
  <c r="K1190" i="110"/>
  <c r="L1190" i="110"/>
  <c r="M1421" i="110"/>
  <c r="L1421" i="110"/>
  <c r="K1421" i="110"/>
  <c r="J1421" i="110"/>
  <c r="M1190" i="110"/>
  <c r="N1190" i="110"/>
  <c r="J1191" i="110"/>
  <c r="K1191" i="110"/>
  <c r="K1312" i="110"/>
  <c r="N1348" i="110"/>
  <c r="L1191" i="110"/>
  <c r="M1191" i="110"/>
  <c r="M1348" i="110"/>
  <c r="L1348" i="110"/>
  <c r="N1191" i="110"/>
  <c r="K1348" i="110"/>
  <c r="N1420" i="110"/>
  <c r="J1192" i="110"/>
  <c r="K1192" i="110"/>
  <c r="M1420" i="110"/>
  <c r="L1420" i="110"/>
  <c r="K1420" i="110"/>
  <c r="L1192" i="110"/>
  <c r="M1192" i="110"/>
  <c r="J1420" i="110"/>
  <c r="J1348" i="110"/>
  <c r="N1192" i="110"/>
  <c r="J1312" i="110"/>
  <c r="J1193" i="110"/>
  <c r="K1193" i="110"/>
  <c r="J1272" i="110"/>
  <c r="K1272" i="110"/>
  <c r="L1193" i="110"/>
  <c r="L1261" i="110"/>
  <c r="N1419" i="110"/>
  <c r="M1193" i="110"/>
  <c r="N1193" i="110"/>
  <c r="M1419" i="110"/>
  <c r="J1194" i="110"/>
  <c r="K1194" i="110"/>
  <c r="L1194" i="110"/>
  <c r="M1194" i="110"/>
  <c r="N1194" i="110"/>
  <c r="J1195" i="110"/>
  <c r="K1195" i="110"/>
  <c r="L1195" i="110"/>
  <c r="M1195" i="110"/>
  <c r="N1195" i="110"/>
  <c r="J1196" i="110"/>
  <c r="K1196" i="110"/>
  <c r="L1196" i="110"/>
  <c r="M1196" i="110"/>
  <c r="N1196" i="110"/>
  <c r="J1197" i="110"/>
  <c r="K1197" i="110"/>
  <c r="L1197" i="110"/>
  <c r="M1197" i="110"/>
  <c r="N1197" i="110"/>
  <c r="J1198" i="110"/>
  <c r="K1198" i="110"/>
  <c r="L1198" i="110"/>
  <c r="M1198" i="110"/>
  <c r="N1198" i="110"/>
  <c r="J1199" i="110"/>
  <c r="K1199" i="110"/>
  <c r="L1199" i="110"/>
  <c r="M1199" i="110"/>
  <c r="N1199" i="110"/>
  <c r="J1200" i="110"/>
  <c r="K1200" i="110"/>
  <c r="L1200" i="110"/>
  <c r="M1200" i="110"/>
  <c r="N1200" i="110"/>
  <c r="J1201" i="110"/>
  <c r="K1201" i="110"/>
  <c r="L1201" i="110"/>
  <c r="M1201" i="110"/>
  <c r="N1201" i="110"/>
  <c r="J1202" i="110"/>
  <c r="K1202" i="110"/>
  <c r="L1202" i="110"/>
  <c r="M1202" i="110"/>
  <c r="N1202" i="110"/>
  <c r="J1203" i="110"/>
  <c r="K1203" i="110"/>
  <c r="L1203" i="110"/>
  <c r="M1203" i="110"/>
  <c r="N1203" i="110"/>
  <c r="J1204" i="110"/>
  <c r="K1204" i="110"/>
  <c r="L1204" i="110"/>
  <c r="M1204" i="110"/>
  <c r="N1204" i="110"/>
  <c r="J1205" i="110"/>
  <c r="K1205" i="110"/>
  <c r="L1205" i="110"/>
  <c r="M1205" i="110"/>
  <c r="N1205" i="110"/>
  <c r="J1206" i="110"/>
  <c r="L1003" i="110"/>
  <c r="K1003" i="110"/>
  <c r="J1003" i="110"/>
  <c r="N1002" i="110"/>
  <c r="M1002" i="110"/>
  <c r="L1002" i="110"/>
  <c r="K1002" i="110"/>
  <c r="J1002" i="110"/>
  <c r="N1001" i="110"/>
  <c r="M1001" i="110"/>
  <c r="L1001" i="110"/>
  <c r="K1001" i="110"/>
  <c r="J1001" i="110"/>
  <c r="N1000" i="110"/>
  <c r="M1000" i="110"/>
  <c r="L1000" i="110"/>
  <c r="K1000" i="110"/>
  <c r="J1000" i="110"/>
  <c r="N999" i="110"/>
  <c r="M999" i="110"/>
  <c r="L999" i="110"/>
  <c r="K999" i="110"/>
  <c r="J999" i="110"/>
  <c r="N998" i="110"/>
  <c r="M998" i="110"/>
  <c r="L998" i="110"/>
  <c r="K998" i="110"/>
  <c r="J998" i="110"/>
  <c r="N997" i="110"/>
  <c r="M997" i="110"/>
  <c r="L997" i="110"/>
  <c r="K997" i="110"/>
  <c r="J997" i="110"/>
  <c r="N996" i="110"/>
  <c r="M996" i="110"/>
  <c r="L996" i="110"/>
  <c r="K996" i="110"/>
  <c r="J996" i="110"/>
  <c r="N995" i="110"/>
  <c r="M995" i="110"/>
  <c r="L995" i="110"/>
  <c r="K995" i="110"/>
  <c r="J995" i="110"/>
  <c r="N994" i="110"/>
  <c r="M994" i="110"/>
  <c r="L994" i="110"/>
  <c r="K994" i="110"/>
  <c r="J994" i="110"/>
  <c r="N993" i="110"/>
  <c r="M993" i="110"/>
  <c r="L993" i="110"/>
  <c r="K993" i="110"/>
  <c r="J993" i="110"/>
  <c r="N992" i="110"/>
  <c r="M992" i="110"/>
  <c r="L992" i="110"/>
  <c r="K992" i="110"/>
  <c r="J992" i="110"/>
  <c r="N991" i="110"/>
  <c r="M991" i="110"/>
  <c r="L991" i="110"/>
  <c r="K991" i="110"/>
  <c r="J991" i="110"/>
  <c r="N990" i="110"/>
  <c r="M990" i="110"/>
  <c r="L990" i="110"/>
  <c r="K990" i="110"/>
  <c r="J990" i="110"/>
  <c r="N989" i="110"/>
  <c r="M989" i="110"/>
  <c r="L989" i="110"/>
  <c r="K989" i="110"/>
  <c r="J989" i="110"/>
  <c r="N988" i="110"/>
  <c r="M988" i="110"/>
  <c r="L988" i="110"/>
  <c r="K988" i="110"/>
  <c r="J988" i="110"/>
  <c r="N987" i="110"/>
  <c r="M987" i="110"/>
  <c r="L987" i="110"/>
  <c r="K987" i="110"/>
  <c r="J987" i="110"/>
  <c r="N986" i="110"/>
  <c r="M986" i="110"/>
  <c r="L986" i="110"/>
  <c r="K986" i="110"/>
  <c r="J986" i="110"/>
  <c r="N985" i="110"/>
  <c r="M985" i="110"/>
  <c r="L985" i="110"/>
  <c r="K985" i="110"/>
  <c r="J985" i="110"/>
  <c r="N984" i="110"/>
  <c r="M984" i="110"/>
  <c r="L984" i="110"/>
  <c r="K984" i="110"/>
  <c r="J984" i="110"/>
  <c r="N983" i="110"/>
  <c r="M983" i="110"/>
  <c r="L983" i="110"/>
  <c r="K983" i="110"/>
  <c r="J983" i="110"/>
  <c r="N982" i="110"/>
  <c r="M982" i="110"/>
  <c r="L982" i="110"/>
  <c r="K982" i="110"/>
  <c r="J982" i="110"/>
  <c r="N981" i="110"/>
  <c r="M981" i="110"/>
  <c r="L981" i="110"/>
  <c r="K981" i="110"/>
  <c r="J981" i="110"/>
  <c r="N980" i="110"/>
  <c r="M980" i="110"/>
  <c r="L980" i="110"/>
  <c r="K980" i="110"/>
  <c r="J980" i="110"/>
  <c r="N979" i="110"/>
  <c r="M979" i="110"/>
  <c r="L979" i="110"/>
  <c r="K979" i="110"/>
  <c r="J979" i="110"/>
  <c r="N978" i="110"/>
  <c r="M978" i="110"/>
  <c r="L978" i="110"/>
  <c r="K978" i="110"/>
  <c r="J978" i="110"/>
  <c r="N977" i="110"/>
  <c r="M977" i="110"/>
  <c r="L977" i="110"/>
  <c r="K977" i="110"/>
  <c r="J977" i="110"/>
  <c r="N976" i="110"/>
  <c r="M976" i="110"/>
  <c r="L976" i="110"/>
  <c r="K976" i="110"/>
  <c r="J976" i="110"/>
  <c r="N975" i="110"/>
  <c r="M975" i="110"/>
  <c r="L975" i="110"/>
  <c r="K975" i="110"/>
  <c r="J975" i="110"/>
  <c r="N974" i="110"/>
  <c r="M974" i="110"/>
  <c r="L974" i="110"/>
  <c r="K974" i="110"/>
  <c r="J974" i="110"/>
  <c r="N973" i="110"/>
  <c r="M973" i="110"/>
  <c r="L973" i="110"/>
  <c r="K973" i="110"/>
  <c r="J973" i="110"/>
  <c r="N972" i="110"/>
  <c r="M972" i="110"/>
  <c r="L972" i="110"/>
  <c r="K972" i="110"/>
  <c r="J972" i="110"/>
  <c r="N971" i="110"/>
  <c r="M971" i="110"/>
  <c r="L971" i="110"/>
  <c r="K971" i="110"/>
  <c r="J971" i="110"/>
  <c r="N970" i="110"/>
  <c r="M970" i="110"/>
  <c r="L970" i="110"/>
  <c r="K970" i="110"/>
  <c r="J970" i="110"/>
  <c r="N969" i="110"/>
  <c r="M969" i="110"/>
  <c r="L969" i="110"/>
  <c r="K969" i="110"/>
  <c r="J969" i="110"/>
  <c r="N968" i="110"/>
  <c r="M968" i="110"/>
  <c r="L968" i="110"/>
  <c r="K968" i="110"/>
  <c r="J968" i="110"/>
  <c r="N967" i="110"/>
  <c r="M967" i="110"/>
  <c r="L967" i="110"/>
  <c r="K967" i="110"/>
  <c r="J967" i="110"/>
  <c r="N966" i="110"/>
  <c r="M966" i="110"/>
  <c r="L966" i="110"/>
  <c r="K966" i="110"/>
  <c r="J966" i="110"/>
  <c r="N965" i="110"/>
  <c r="M965" i="110"/>
  <c r="L965" i="110"/>
  <c r="K965" i="110"/>
  <c r="J965" i="110"/>
  <c r="N964" i="110"/>
  <c r="M964" i="110"/>
  <c r="L964" i="110"/>
  <c r="K964" i="110"/>
  <c r="J964" i="110"/>
  <c r="N963" i="110"/>
  <c r="M963" i="110"/>
  <c r="L963" i="110"/>
  <c r="K963" i="110"/>
  <c r="J963" i="110"/>
  <c r="N962" i="110"/>
  <c r="M962" i="110"/>
  <c r="L962" i="110"/>
  <c r="K962" i="110"/>
  <c r="J962" i="110"/>
  <c r="N961" i="110"/>
  <c r="M961" i="110"/>
  <c r="L961" i="110"/>
  <c r="K961" i="110"/>
  <c r="J961" i="110"/>
  <c r="N960" i="110"/>
  <c r="M960" i="110"/>
  <c r="L960" i="110"/>
  <c r="K960" i="110"/>
  <c r="J960" i="110"/>
  <c r="N959" i="110"/>
  <c r="M959" i="110"/>
  <c r="L959" i="110"/>
  <c r="K959" i="110"/>
  <c r="J959" i="110"/>
  <c r="N958" i="110"/>
  <c r="M958" i="110"/>
  <c r="L958" i="110"/>
  <c r="K958" i="110"/>
  <c r="J958" i="110"/>
  <c r="N957" i="110"/>
  <c r="M957" i="110"/>
  <c r="L957" i="110"/>
  <c r="K957" i="110"/>
  <c r="J957" i="110"/>
  <c r="I1971" i="110"/>
  <c r="H1971" i="110"/>
  <c r="G1971" i="110"/>
  <c r="F1971" i="110"/>
  <c r="E1971" i="110"/>
  <c r="I1970" i="110"/>
  <c r="H1970" i="110"/>
  <c r="G1970" i="110"/>
  <c r="F1970" i="110"/>
  <c r="E1970" i="110"/>
  <c r="I1969" i="110"/>
  <c r="H1969" i="110"/>
  <c r="G1969" i="110"/>
  <c r="F1969" i="110"/>
  <c r="E1969" i="110"/>
  <c r="I1968" i="110"/>
  <c r="H1968" i="110"/>
  <c r="G1968" i="110"/>
  <c r="F1968" i="110"/>
  <c r="E1968" i="110"/>
  <c r="I1967" i="110"/>
  <c r="H1967" i="110"/>
  <c r="G1967" i="110"/>
  <c r="F1967" i="110"/>
  <c r="E1967" i="110"/>
  <c r="I1966" i="110"/>
  <c r="H1966" i="110"/>
  <c r="G1966" i="110"/>
  <c r="F1966" i="110"/>
  <c r="E1966" i="110"/>
  <c r="I1965" i="110"/>
  <c r="H1965" i="110"/>
  <c r="G1965" i="110"/>
  <c r="F1965" i="110"/>
  <c r="E1965" i="110"/>
  <c r="I1964" i="110"/>
  <c r="H1964" i="110"/>
  <c r="G1964" i="110"/>
  <c r="F1964" i="110"/>
  <c r="E1964" i="110"/>
  <c r="I1963" i="110"/>
  <c r="H1963" i="110"/>
  <c r="G1963" i="110"/>
  <c r="F1963" i="110"/>
  <c r="E1963" i="110"/>
  <c r="I1962" i="110"/>
  <c r="H1962" i="110"/>
  <c r="G1962" i="110"/>
  <c r="F1962" i="110"/>
  <c r="E1962" i="110"/>
  <c r="I1961" i="110"/>
  <c r="H1961" i="110"/>
  <c r="G1961" i="110"/>
  <c r="F1961" i="110"/>
  <c r="E1961" i="110"/>
  <c r="I1960" i="110"/>
  <c r="H1960" i="110"/>
  <c r="G1960" i="110"/>
  <c r="F1960" i="110"/>
  <c r="E1960" i="110"/>
  <c r="I1959" i="110"/>
  <c r="H1959" i="110"/>
  <c r="G1959" i="110"/>
  <c r="F1959" i="110"/>
  <c r="E1959" i="110"/>
  <c r="I1958" i="110"/>
  <c r="H1958" i="110"/>
  <c r="G1958" i="110"/>
  <c r="F1958" i="110"/>
  <c r="E1958" i="110"/>
  <c r="I1957" i="110"/>
  <c r="H1957" i="110"/>
  <c r="G1957" i="110"/>
  <c r="F1957" i="110"/>
  <c r="E1957" i="110"/>
  <c r="I1956" i="110"/>
  <c r="H1956" i="110"/>
  <c r="G1956" i="110"/>
  <c r="F1956" i="110"/>
  <c r="E1956" i="110"/>
  <c r="I1955" i="110"/>
  <c r="H1955" i="110"/>
  <c r="G1955" i="110"/>
  <c r="F1955" i="110"/>
  <c r="E1955" i="110"/>
  <c r="I1954" i="110"/>
  <c r="H1954" i="110"/>
  <c r="G1954" i="110"/>
  <c r="F1954" i="110"/>
  <c r="E1954" i="110"/>
  <c r="I1953" i="110"/>
  <c r="H1953" i="110"/>
  <c r="G1953" i="110"/>
  <c r="F1953" i="110"/>
  <c r="E1953" i="110"/>
  <c r="I1952" i="110"/>
  <c r="H1952" i="110"/>
  <c r="G1952" i="110"/>
  <c r="F1952" i="110"/>
  <c r="E1952" i="110"/>
  <c r="I1951" i="110"/>
  <c r="H1951" i="110"/>
  <c r="G1951" i="110"/>
  <c r="F1951" i="110"/>
  <c r="E1951" i="110"/>
  <c r="I1950" i="110"/>
  <c r="H1950" i="110"/>
  <c r="G1950" i="110"/>
  <c r="F1950" i="110"/>
  <c r="E1950" i="110"/>
  <c r="I1949" i="110"/>
  <c r="H1949" i="110"/>
  <c r="G1949" i="110"/>
  <c r="F1949" i="110"/>
  <c r="E1949" i="110"/>
  <c r="I1948" i="110"/>
  <c r="H1948" i="110"/>
  <c r="G1948" i="110"/>
  <c r="F1948" i="110"/>
  <c r="E1948" i="110"/>
  <c r="I1947" i="110"/>
  <c r="H1947" i="110"/>
  <c r="G1947" i="110"/>
  <c r="F1947" i="110"/>
  <c r="E1947" i="110"/>
  <c r="I1946" i="110"/>
  <c r="H1946" i="110"/>
  <c r="G1946" i="110"/>
  <c r="F1946" i="110"/>
  <c r="E1946" i="110"/>
  <c r="I1945" i="110"/>
  <c r="H1945" i="110"/>
  <c r="G1945" i="110"/>
  <c r="F1945" i="110"/>
  <c r="E1945" i="110"/>
  <c r="I1944" i="110"/>
  <c r="H1944" i="110"/>
  <c r="G1944" i="110"/>
  <c r="F1944" i="110"/>
  <c r="E1944" i="110"/>
  <c r="I1943" i="110"/>
  <c r="H1943" i="110"/>
  <c r="G1943" i="110"/>
  <c r="F1943" i="110"/>
  <c r="E1943" i="110"/>
  <c r="I1942" i="110"/>
  <c r="H1942" i="110"/>
  <c r="G1942" i="110"/>
  <c r="F1942" i="110"/>
  <c r="E1942" i="110"/>
  <c r="I1941" i="110"/>
  <c r="H1941" i="110"/>
  <c r="G1941" i="110"/>
  <c r="F1941" i="110"/>
  <c r="E1941" i="110"/>
  <c r="I1940" i="110"/>
  <c r="H1940" i="110"/>
  <c r="G1940" i="110"/>
  <c r="F1940" i="110"/>
  <c r="E1940" i="110"/>
  <c r="I1939" i="110"/>
  <c r="H1939" i="110"/>
  <c r="G1939" i="110"/>
  <c r="F1939" i="110"/>
  <c r="E1939" i="110"/>
  <c r="I1938" i="110"/>
  <c r="H1938" i="110"/>
  <c r="G1938" i="110"/>
  <c r="F1938" i="110"/>
  <c r="E1938" i="110"/>
  <c r="I1937" i="110"/>
  <c r="H1937" i="110"/>
  <c r="G1937" i="110"/>
  <c r="F1937" i="110"/>
  <c r="E1937" i="110"/>
  <c r="I1936" i="110"/>
  <c r="H1936" i="110"/>
  <c r="G1936" i="110"/>
  <c r="F1936" i="110"/>
  <c r="E1936" i="110"/>
  <c r="I1935" i="110"/>
  <c r="H1935" i="110"/>
  <c r="G1935" i="110"/>
  <c r="F1935" i="110"/>
  <c r="E1935" i="110"/>
  <c r="I1934" i="110"/>
  <c r="H1934" i="110"/>
  <c r="G1934" i="110"/>
  <c r="F1934" i="110"/>
  <c r="E1934" i="110"/>
  <c r="I1933" i="110"/>
  <c r="H1933" i="110"/>
  <c r="G1933" i="110"/>
  <c r="F1933" i="110"/>
  <c r="E1933" i="110"/>
  <c r="I1932" i="110"/>
  <c r="H1932" i="110"/>
  <c r="G1932" i="110"/>
  <c r="F1932" i="110"/>
  <c r="E1932" i="110"/>
  <c r="I1931" i="110"/>
  <c r="H1931" i="110"/>
  <c r="G1931" i="110"/>
  <c r="F1931" i="110"/>
  <c r="E1931" i="110"/>
  <c r="I1930" i="110"/>
  <c r="H1930" i="110"/>
  <c r="G1930" i="110"/>
  <c r="F1930" i="110"/>
  <c r="E1930" i="110"/>
  <c r="I1929" i="110"/>
  <c r="H1929" i="110"/>
  <c r="G1929" i="110"/>
  <c r="F1929" i="110"/>
  <c r="E1929" i="110"/>
  <c r="I1928" i="110"/>
  <c r="H1928" i="110"/>
  <c r="G1928" i="110"/>
  <c r="F1928" i="110"/>
  <c r="E1928" i="110"/>
  <c r="I1927" i="110"/>
  <c r="H1927" i="110"/>
  <c r="G1927" i="110"/>
  <c r="F1927" i="110"/>
  <c r="E1927" i="110"/>
  <c r="I1926" i="110"/>
  <c r="H1926" i="110"/>
  <c r="G1926" i="110"/>
  <c r="F1926" i="110"/>
  <c r="E1926" i="110"/>
  <c r="I1925" i="110"/>
  <c r="H1925" i="110"/>
  <c r="G1925" i="110"/>
  <c r="F1925" i="110"/>
  <c r="E1925" i="110"/>
  <c r="I1924" i="110"/>
  <c r="H1924" i="110"/>
  <c r="G1924" i="110"/>
  <c r="F1924" i="110"/>
  <c r="E1924" i="110"/>
  <c r="I1923" i="110"/>
  <c r="H1923" i="110"/>
  <c r="G1923" i="110"/>
  <c r="F1923" i="110"/>
  <c r="E1923" i="110"/>
  <c r="I1922" i="110"/>
  <c r="H1922" i="110"/>
  <c r="G1922" i="110"/>
  <c r="F1922" i="110"/>
  <c r="E1922" i="110"/>
  <c r="I1921" i="110"/>
  <c r="H1921" i="110"/>
  <c r="G1921" i="110"/>
  <c r="F1921" i="110"/>
  <c r="E1921" i="110"/>
  <c r="I1920" i="110"/>
  <c r="H1920" i="110"/>
  <c r="G1920" i="110"/>
  <c r="F1920" i="110"/>
  <c r="E1920" i="110"/>
  <c r="I1919" i="110"/>
  <c r="H1919" i="110"/>
  <c r="G1919" i="110"/>
  <c r="F1919" i="110"/>
  <c r="E1919" i="110"/>
  <c r="I1918" i="110"/>
  <c r="H1918" i="110"/>
  <c r="G1918" i="110"/>
  <c r="F1918" i="110"/>
  <c r="E1918" i="110"/>
  <c r="I1917" i="110"/>
  <c r="H1917" i="110"/>
  <c r="G1917" i="110"/>
  <c r="F1917" i="110"/>
  <c r="E1917" i="110"/>
  <c r="I1916" i="110"/>
  <c r="H1916" i="110"/>
  <c r="G1916" i="110"/>
  <c r="F1916" i="110"/>
  <c r="E1916" i="110"/>
  <c r="I1915" i="110"/>
  <c r="H1915" i="110"/>
  <c r="G1915" i="110"/>
  <c r="F1915" i="110"/>
  <c r="E1915" i="110"/>
  <c r="I1914" i="110"/>
  <c r="H1914" i="110"/>
  <c r="G1914" i="110"/>
  <c r="F1914" i="110"/>
  <c r="E1914" i="110"/>
  <c r="I1913" i="110"/>
  <c r="H1913" i="110"/>
  <c r="G1913" i="110"/>
  <c r="F1913" i="110"/>
  <c r="E1913" i="110"/>
  <c r="I1912" i="110"/>
  <c r="H1912" i="110"/>
  <c r="G1912" i="110"/>
  <c r="F1912" i="110"/>
  <c r="E1912" i="110"/>
  <c r="I1911" i="110"/>
  <c r="H1911" i="110"/>
  <c r="G1911" i="110"/>
  <c r="F1911" i="110"/>
  <c r="E1911" i="110"/>
  <c r="I1910" i="110"/>
  <c r="H1910" i="110"/>
  <c r="G1910" i="110"/>
  <c r="F1910" i="110"/>
  <c r="E1910" i="110"/>
  <c r="I1909" i="110"/>
  <c r="H1909" i="110"/>
  <c r="G1909" i="110"/>
  <c r="F1909" i="110"/>
  <c r="E1909" i="110"/>
  <c r="I1908" i="110"/>
  <c r="H1908" i="110"/>
  <c r="G1908" i="110"/>
  <c r="F1908" i="110"/>
  <c r="E1908" i="110"/>
  <c r="I1907" i="110"/>
  <c r="H1907" i="110"/>
  <c r="G1907" i="110"/>
  <c r="F1907" i="110"/>
  <c r="E1907" i="110"/>
  <c r="I1906" i="110"/>
  <c r="H1906" i="110"/>
  <c r="G1906" i="110"/>
  <c r="F1906" i="110"/>
  <c r="E1906" i="110"/>
  <c r="I1905" i="110"/>
  <c r="H1905" i="110"/>
  <c r="G1905" i="110"/>
  <c r="F1905" i="110"/>
  <c r="E1905" i="110"/>
  <c r="I1904" i="110"/>
  <c r="H1904" i="110"/>
  <c r="G1904" i="110"/>
  <c r="F1904" i="110"/>
  <c r="E1904" i="110"/>
  <c r="I1903" i="110"/>
  <c r="H1903" i="110"/>
  <c r="G1903" i="110"/>
  <c r="F1903" i="110"/>
  <c r="E1903" i="110"/>
  <c r="I1902" i="110"/>
  <c r="H1902" i="110"/>
  <c r="G1902" i="110"/>
  <c r="F1902" i="110"/>
  <c r="E1902" i="110"/>
  <c r="I1901" i="110"/>
  <c r="H1901" i="110"/>
  <c r="G1901" i="110"/>
  <c r="F1901" i="110"/>
  <c r="E1901" i="110"/>
  <c r="I1900" i="110"/>
  <c r="H1900" i="110"/>
  <c r="G1900" i="110"/>
  <c r="F1900" i="110"/>
  <c r="E1900" i="110"/>
  <c r="I1899" i="110"/>
  <c r="H1899" i="110"/>
  <c r="G1899" i="110"/>
  <c r="F1899" i="110"/>
  <c r="E1899" i="110"/>
  <c r="I1898" i="110"/>
  <c r="H1898" i="110"/>
  <c r="G1898" i="110"/>
  <c r="F1898" i="110"/>
  <c r="E1898" i="110"/>
  <c r="I1897" i="110"/>
  <c r="H1897" i="110"/>
  <c r="G1897" i="110"/>
  <c r="F1897" i="110"/>
  <c r="E1897" i="110"/>
  <c r="I1896" i="110"/>
  <c r="H1896" i="110"/>
  <c r="G1896" i="110"/>
  <c r="F1896" i="110"/>
  <c r="E1896" i="110"/>
  <c r="I1895" i="110"/>
  <c r="H1895" i="110"/>
  <c r="G1895" i="110"/>
  <c r="F1895" i="110"/>
  <c r="E1895" i="110"/>
  <c r="I1894" i="110"/>
  <c r="H1894" i="110"/>
  <c r="G1894" i="110"/>
  <c r="F1894" i="110"/>
  <c r="E1894" i="110"/>
  <c r="I1893" i="110"/>
  <c r="H1893" i="110"/>
  <c r="G1893" i="110"/>
  <c r="F1893" i="110"/>
  <c r="E1893" i="110"/>
  <c r="I1892" i="110"/>
  <c r="H1892" i="110"/>
  <c r="G1892" i="110"/>
  <c r="F1892" i="110"/>
  <c r="E1892" i="110"/>
  <c r="I1891" i="110"/>
  <c r="H1891" i="110"/>
  <c r="G1891" i="110"/>
  <c r="F1891" i="110"/>
  <c r="E1891" i="110"/>
  <c r="I1890" i="110"/>
  <c r="H1890" i="110"/>
  <c r="G1890" i="110"/>
  <c r="F1890" i="110"/>
  <c r="E1890" i="110"/>
  <c r="I1889" i="110"/>
  <c r="H1889" i="110"/>
  <c r="G1889" i="110"/>
  <c r="F1889" i="110"/>
  <c r="E1889" i="110"/>
  <c r="I1888" i="110"/>
  <c r="H1888" i="110"/>
  <c r="G1888" i="110"/>
  <c r="F1888" i="110"/>
  <c r="E1888" i="110"/>
  <c r="I1887" i="110"/>
  <c r="H1887" i="110"/>
  <c r="G1887" i="110"/>
  <c r="F1887" i="110"/>
  <c r="E1887" i="110"/>
  <c r="I1886" i="110"/>
  <c r="H1886" i="110"/>
  <c r="G1886" i="110"/>
  <c r="F1886" i="110"/>
  <c r="E1886" i="110"/>
  <c r="I1885" i="110"/>
  <c r="H1885" i="110"/>
  <c r="G1885" i="110"/>
  <c r="F1885" i="110"/>
  <c r="E1885" i="110"/>
  <c r="I1884" i="110"/>
  <c r="H1884" i="110"/>
  <c r="G1884" i="110"/>
  <c r="F1884" i="110"/>
  <c r="E1884" i="110"/>
  <c r="I1883" i="110"/>
  <c r="H1883" i="110"/>
  <c r="G1883" i="110"/>
  <c r="F1883" i="110"/>
  <c r="E1883" i="110"/>
  <c r="I1882" i="110"/>
  <c r="H1882" i="110"/>
  <c r="G1882" i="110"/>
  <c r="F1882" i="110"/>
  <c r="E1882" i="110"/>
  <c r="I1881" i="110"/>
  <c r="H1881" i="110"/>
  <c r="G1881" i="110"/>
  <c r="F1881" i="110"/>
  <c r="E1881" i="110"/>
  <c r="I1880" i="110"/>
  <c r="H1880" i="110"/>
  <c r="G1880" i="110"/>
  <c r="F1880" i="110"/>
  <c r="E1880" i="110"/>
  <c r="I1879" i="110"/>
  <c r="H1879" i="110"/>
  <c r="G1879" i="110"/>
  <c r="F1879" i="110"/>
  <c r="E1879" i="110"/>
  <c r="I1878" i="110"/>
  <c r="H1878" i="110"/>
  <c r="G1878" i="110"/>
  <c r="F1878" i="110"/>
  <c r="E1878" i="110"/>
  <c r="I1877" i="110"/>
  <c r="H1877" i="110"/>
  <c r="G1877" i="110"/>
  <c r="F1877" i="110"/>
  <c r="E1877" i="110"/>
  <c r="I1876" i="110"/>
  <c r="H1876" i="110"/>
  <c r="G1876" i="110"/>
  <c r="F1876" i="110"/>
  <c r="E1876" i="110"/>
  <c r="I1875" i="110"/>
  <c r="H1875" i="110"/>
  <c r="G1875" i="110"/>
  <c r="F1875" i="110"/>
  <c r="E1875" i="110"/>
  <c r="I1874" i="110"/>
  <c r="H1874" i="110"/>
  <c r="G1874" i="110"/>
  <c r="F1874" i="110"/>
  <c r="E1874" i="110"/>
  <c r="I1873" i="110"/>
  <c r="H1873" i="110"/>
  <c r="G1873" i="110"/>
  <c r="F1873" i="110"/>
  <c r="E1873" i="110"/>
  <c r="I1872" i="110"/>
  <c r="H1872" i="110"/>
  <c r="G1872" i="110"/>
  <c r="F1872" i="110"/>
  <c r="E1872" i="110"/>
  <c r="I1871" i="110"/>
  <c r="H1871" i="110"/>
  <c r="G1871" i="110"/>
  <c r="F1871" i="110"/>
  <c r="E1871" i="110"/>
  <c r="I1870" i="110"/>
  <c r="H1870" i="110"/>
  <c r="G1870" i="110"/>
  <c r="F1870" i="110"/>
  <c r="I1869" i="110"/>
  <c r="H1869" i="110"/>
  <c r="G1869" i="110"/>
  <c r="F1869" i="110"/>
  <c r="E1869" i="110"/>
  <c r="I1868" i="110"/>
  <c r="H1868" i="110"/>
  <c r="G1868" i="110"/>
  <c r="F1868" i="110"/>
  <c r="E1868" i="110"/>
  <c r="I1867" i="110"/>
  <c r="H1867" i="110"/>
  <c r="G1867" i="110"/>
  <c r="F1867" i="110"/>
  <c r="E1867" i="110"/>
  <c r="I1866" i="110"/>
  <c r="H1866" i="110"/>
  <c r="G1866" i="110"/>
  <c r="F1866" i="110"/>
  <c r="E1866" i="110"/>
  <c r="I1865" i="110"/>
  <c r="H1865" i="110"/>
  <c r="G1865" i="110"/>
  <c r="F1865" i="110"/>
  <c r="E1865" i="110"/>
  <c r="I1864" i="110"/>
  <c r="H1864" i="110"/>
  <c r="G1864" i="110"/>
  <c r="F1864" i="110"/>
  <c r="E1864" i="110"/>
  <c r="I1863" i="110"/>
  <c r="H1863" i="110"/>
  <c r="G1863" i="110"/>
  <c r="F1863" i="110"/>
  <c r="E1863" i="110"/>
  <c r="I1862" i="110"/>
  <c r="H1862" i="110"/>
  <c r="G1862" i="110"/>
  <c r="F1862" i="110"/>
  <c r="E1862" i="110"/>
  <c r="I1861" i="110"/>
  <c r="H1861" i="110"/>
  <c r="G1861" i="110"/>
  <c r="F1861" i="110"/>
  <c r="E1861" i="110"/>
  <c r="I1860" i="110"/>
  <c r="H1860" i="110"/>
  <c r="G1860" i="110"/>
  <c r="F1860" i="110"/>
  <c r="E1860" i="110"/>
  <c r="I1859" i="110"/>
  <c r="H1859" i="110"/>
  <c r="G1859" i="110"/>
  <c r="F1859" i="110"/>
  <c r="E1859" i="110"/>
  <c r="I1858" i="110"/>
  <c r="H1858" i="110"/>
  <c r="G1858" i="110"/>
  <c r="F1858" i="110"/>
  <c r="E1858" i="110"/>
  <c r="I1857" i="110"/>
  <c r="H1857" i="110"/>
  <c r="G1857" i="110"/>
  <c r="F1857" i="110"/>
  <c r="E1857" i="110"/>
  <c r="I1856" i="110"/>
  <c r="H1856" i="110"/>
  <c r="G1856" i="110"/>
  <c r="F1856" i="110"/>
  <c r="E1856" i="110"/>
  <c r="I1855" i="110"/>
  <c r="H1855" i="110"/>
  <c r="G1855" i="110"/>
  <c r="F1855" i="110"/>
  <c r="E1855" i="110"/>
  <c r="I1854" i="110"/>
  <c r="H1854" i="110"/>
  <c r="G1854" i="110"/>
  <c r="F1854" i="110"/>
  <c r="E1854" i="110"/>
  <c r="I1853" i="110"/>
  <c r="H1853" i="110"/>
  <c r="G1853" i="110"/>
  <c r="F1853" i="110"/>
  <c r="E1853" i="110"/>
  <c r="I1852" i="110"/>
  <c r="H1852" i="110"/>
  <c r="G1852" i="110"/>
  <c r="F1852" i="110"/>
  <c r="E1852" i="110"/>
  <c r="I1851" i="110"/>
  <c r="H1851" i="110"/>
  <c r="G1851" i="110"/>
  <c r="F1851" i="110"/>
  <c r="E1851" i="110"/>
  <c r="I1850" i="110"/>
  <c r="H1850" i="110"/>
  <c r="G1850" i="110"/>
  <c r="F1850" i="110"/>
  <c r="E1850" i="110"/>
  <c r="I1849" i="110"/>
  <c r="H1849" i="110"/>
  <c r="G1849" i="110"/>
  <c r="F1849" i="110"/>
  <c r="E1849" i="110"/>
  <c r="I1848" i="110"/>
  <c r="H1848" i="110"/>
  <c r="G1848" i="110"/>
  <c r="F1848" i="110"/>
  <c r="E1848" i="110"/>
  <c r="I1847" i="110"/>
  <c r="H1847" i="110"/>
  <c r="G1847" i="110"/>
  <c r="F1847" i="110"/>
  <c r="E1847" i="110"/>
  <c r="I1846" i="110"/>
  <c r="H1846" i="110"/>
  <c r="G1846" i="110"/>
  <c r="F1846" i="110"/>
  <c r="E1846" i="110"/>
  <c r="I1845" i="110"/>
  <c r="H1845" i="110"/>
  <c r="G1845" i="110"/>
  <c r="F1845" i="110"/>
  <c r="E1845" i="110"/>
  <c r="I1844" i="110"/>
  <c r="H1844" i="110"/>
  <c r="G1844" i="110"/>
  <c r="F1844" i="110"/>
  <c r="E1844" i="110"/>
  <c r="I1843" i="110"/>
  <c r="H1843" i="110"/>
  <c r="G1843" i="110"/>
  <c r="F1843" i="110"/>
  <c r="E1843" i="110"/>
  <c r="I1842" i="110"/>
  <c r="H1842" i="110"/>
  <c r="G1842" i="110"/>
  <c r="F1842" i="110"/>
  <c r="E1842" i="110"/>
  <c r="I1841" i="110"/>
  <c r="H1841" i="110"/>
  <c r="G1841" i="110"/>
  <c r="F1841" i="110"/>
  <c r="E1841" i="110"/>
  <c r="I1840" i="110"/>
  <c r="H1840" i="110"/>
  <c r="G1840" i="110"/>
  <c r="F1840" i="110"/>
  <c r="E1840" i="110"/>
  <c r="I1839" i="110"/>
  <c r="H1839" i="110"/>
  <c r="G1839" i="110"/>
  <c r="F1839" i="110"/>
  <c r="E1839" i="110"/>
  <c r="I1838" i="110"/>
  <c r="H1838" i="110"/>
  <c r="G1838" i="110"/>
  <c r="F1838" i="110"/>
  <c r="E1838" i="110"/>
  <c r="I1837" i="110"/>
  <c r="H1837" i="110"/>
  <c r="G1837" i="110"/>
  <c r="F1837" i="110"/>
  <c r="E1837" i="110"/>
  <c r="I1836" i="110"/>
  <c r="H1836" i="110"/>
  <c r="G1836" i="110"/>
  <c r="F1836" i="110"/>
  <c r="E1836" i="110"/>
  <c r="I1835" i="110"/>
  <c r="H1835" i="110"/>
  <c r="G1835" i="110"/>
  <c r="F1835" i="110"/>
  <c r="E1835" i="110"/>
  <c r="I1834" i="110"/>
  <c r="H1834" i="110"/>
  <c r="G1834" i="110"/>
  <c r="F1834" i="110"/>
  <c r="E1834" i="110"/>
  <c r="I1833" i="110"/>
  <c r="H1833" i="110"/>
  <c r="G1833" i="110"/>
  <c r="F1833" i="110"/>
  <c r="E1833" i="110"/>
  <c r="I1832" i="110"/>
  <c r="H1832" i="110"/>
  <c r="G1832" i="110"/>
  <c r="F1832" i="110"/>
  <c r="E1832" i="110"/>
  <c r="I1831" i="110"/>
  <c r="H1831" i="110"/>
  <c r="G1831" i="110"/>
  <c r="F1831" i="110"/>
  <c r="E1831" i="110"/>
  <c r="I1830" i="110"/>
  <c r="H1830" i="110"/>
  <c r="G1830" i="110"/>
  <c r="F1830" i="110"/>
  <c r="E1830" i="110"/>
  <c r="I1829" i="110"/>
  <c r="H1829" i="110"/>
  <c r="G1829" i="110"/>
  <c r="F1829" i="110"/>
  <c r="E1829" i="110"/>
  <c r="I1828" i="110"/>
  <c r="H1828" i="110"/>
  <c r="G1828" i="110"/>
  <c r="F1828" i="110"/>
  <c r="E1828" i="110"/>
  <c r="I1827" i="110"/>
  <c r="H1827" i="110"/>
  <c r="G1827" i="110"/>
  <c r="F1827" i="110"/>
  <c r="E1827" i="110"/>
  <c r="I1826" i="110"/>
  <c r="H1826" i="110"/>
  <c r="G1826" i="110"/>
  <c r="F1826" i="110"/>
  <c r="E1826" i="110"/>
  <c r="I1825" i="110"/>
  <c r="H1825" i="110"/>
  <c r="G1825" i="110"/>
  <c r="F1825" i="110"/>
  <c r="E1825" i="110"/>
  <c r="I1824" i="110"/>
  <c r="H1824" i="110"/>
  <c r="G1824" i="110"/>
  <c r="F1824" i="110"/>
  <c r="E1824" i="110"/>
  <c r="I1823" i="110"/>
  <c r="H1823" i="110"/>
  <c r="G1823" i="110"/>
  <c r="F1823" i="110"/>
  <c r="E1823" i="110"/>
  <c r="I1822" i="110"/>
  <c r="H1822" i="110"/>
  <c r="G1822" i="110"/>
  <c r="F1822" i="110"/>
  <c r="E1822" i="110"/>
  <c r="I1821" i="110"/>
  <c r="H1821" i="110"/>
  <c r="G1821" i="110"/>
  <c r="F1821" i="110"/>
  <c r="E1821" i="110"/>
  <c r="I1820" i="110"/>
  <c r="H1820" i="110"/>
  <c r="G1820" i="110"/>
  <c r="F1820" i="110"/>
  <c r="E1820" i="110"/>
  <c r="I1819" i="110"/>
  <c r="H1819" i="110"/>
  <c r="G1819" i="110"/>
  <c r="F1819" i="110"/>
  <c r="E1819" i="110"/>
  <c r="I1818" i="110"/>
  <c r="H1818" i="110"/>
  <c r="G1818" i="110"/>
  <c r="F1818" i="110"/>
  <c r="E1818" i="110"/>
  <c r="I1817" i="110"/>
  <c r="H1817" i="110"/>
  <c r="G1817" i="110"/>
  <c r="F1817" i="110"/>
  <c r="E1817" i="110"/>
  <c r="I1816" i="110"/>
  <c r="H1816" i="110"/>
  <c r="G1816" i="110"/>
  <c r="F1816" i="110"/>
  <c r="E1816" i="110"/>
  <c r="I1815" i="110"/>
  <c r="H1815" i="110"/>
  <c r="G1815" i="110"/>
  <c r="F1815" i="110"/>
  <c r="E1815" i="110"/>
  <c r="I1814" i="110"/>
  <c r="H1814" i="110"/>
  <c r="G1814" i="110"/>
  <c r="F1814" i="110"/>
  <c r="E1814" i="110"/>
  <c r="I1813" i="110"/>
  <c r="H1813" i="110"/>
  <c r="G1813" i="110"/>
  <c r="F1813" i="110"/>
  <c r="E1813" i="110"/>
  <c r="I1812" i="110"/>
  <c r="H1812" i="110"/>
  <c r="G1812" i="110"/>
  <c r="F1812" i="110"/>
  <c r="E1812" i="110"/>
  <c r="I1811" i="110"/>
  <c r="H1811" i="110"/>
  <c r="G1811" i="110"/>
  <c r="F1811" i="110"/>
  <c r="E1811" i="110"/>
  <c r="I1810" i="110"/>
  <c r="H1810" i="110"/>
  <c r="G1810" i="110"/>
  <c r="F1810" i="110"/>
  <c r="E1810" i="110"/>
  <c r="I1809" i="110"/>
  <c r="H1809" i="110"/>
  <c r="G1809" i="110"/>
  <c r="F1809" i="110"/>
  <c r="E1809" i="110"/>
  <c r="I1808" i="110"/>
  <c r="H1808" i="110"/>
  <c r="G1808" i="110"/>
  <c r="F1808" i="110"/>
  <c r="E1808" i="110"/>
  <c r="I1807" i="110"/>
  <c r="H1807" i="110"/>
  <c r="G1807" i="110"/>
  <c r="F1807" i="110"/>
  <c r="E1807" i="110"/>
  <c r="I1806" i="110"/>
  <c r="H1806" i="110"/>
  <c r="G1806" i="110"/>
  <c r="F1806" i="110"/>
  <c r="E1806" i="110"/>
  <c r="I1805" i="110"/>
  <c r="H1805" i="110"/>
  <c r="G1805" i="110"/>
  <c r="F1805" i="110"/>
  <c r="E1805" i="110"/>
  <c r="I1804" i="110"/>
  <c r="H1804" i="110"/>
  <c r="G1804" i="110"/>
  <c r="F1804" i="110"/>
  <c r="E1804" i="110"/>
  <c r="I1803" i="110"/>
  <c r="H1803" i="110"/>
  <c r="G1803" i="110"/>
  <c r="F1803" i="110"/>
  <c r="E1803" i="110"/>
  <c r="I1802" i="110"/>
  <c r="H1802" i="110"/>
  <c r="G1802" i="110"/>
  <c r="F1802" i="110"/>
  <c r="E1802" i="110"/>
  <c r="I1801" i="110"/>
  <c r="H1801" i="110"/>
  <c r="G1801" i="110"/>
  <c r="F1801" i="110"/>
  <c r="E1801" i="110"/>
  <c r="I1800" i="110"/>
  <c r="H1800" i="110"/>
  <c r="G1800" i="110"/>
  <c r="F1800" i="110"/>
  <c r="E1800" i="110"/>
  <c r="I1799" i="110"/>
  <c r="H1799" i="110"/>
  <c r="G1799" i="110"/>
  <c r="F1799" i="110"/>
  <c r="E1799" i="110"/>
  <c r="I1798" i="110"/>
  <c r="H1798" i="110"/>
  <c r="G1798" i="110"/>
  <c r="F1798" i="110"/>
  <c r="E1798" i="110"/>
  <c r="I1797" i="110"/>
  <c r="H1797" i="110"/>
  <c r="G1797" i="110"/>
  <c r="F1797" i="110"/>
  <c r="E1797" i="110"/>
  <c r="I1796" i="110"/>
  <c r="H1796" i="110"/>
  <c r="G1796" i="110"/>
  <c r="F1796" i="110"/>
  <c r="E1796" i="110"/>
  <c r="I1795" i="110"/>
  <c r="H1795" i="110"/>
  <c r="G1795" i="110"/>
  <c r="F1795" i="110"/>
  <c r="E1795" i="110"/>
  <c r="I1794" i="110"/>
  <c r="H1794" i="110"/>
  <c r="G1794" i="110"/>
  <c r="F1794" i="110"/>
  <c r="E1794" i="110"/>
  <c r="I1793" i="110"/>
  <c r="H1793" i="110"/>
  <c r="G1793" i="110"/>
  <c r="F1793" i="110"/>
  <c r="E1793" i="110"/>
  <c r="I1792" i="110"/>
  <c r="H1792" i="110"/>
  <c r="G1792" i="110"/>
  <c r="F1792" i="110"/>
  <c r="E1792" i="110"/>
  <c r="I1791" i="110"/>
  <c r="H1791" i="110"/>
  <c r="G1791" i="110"/>
  <c r="F1791" i="110"/>
  <c r="E1791" i="110"/>
  <c r="I1790" i="110"/>
  <c r="H1790" i="110"/>
  <c r="G1790" i="110"/>
  <c r="F1790" i="110"/>
  <c r="E1790" i="110"/>
  <c r="I1789" i="110"/>
  <c r="H1789" i="110"/>
  <c r="G1789" i="110"/>
  <c r="F1789" i="110"/>
  <c r="E1789" i="110"/>
  <c r="I1788" i="110"/>
  <c r="H1788" i="110"/>
  <c r="G1788" i="110"/>
  <c r="F1788" i="110"/>
  <c r="E1788" i="110"/>
  <c r="I1787" i="110"/>
  <c r="H1787" i="110"/>
  <c r="G1787" i="110"/>
  <c r="F1787" i="110"/>
  <c r="E1787" i="110"/>
  <c r="I1786" i="110"/>
  <c r="H1786" i="110"/>
  <c r="G1786" i="110"/>
  <c r="F1786" i="110"/>
  <c r="E1786" i="110"/>
  <c r="I1785" i="110"/>
  <c r="H1785" i="110"/>
  <c r="G1785" i="110"/>
  <c r="F1785" i="110"/>
  <c r="E1785" i="110"/>
  <c r="I1784" i="110"/>
  <c r="H1784" i="110"/>
  <c r="G1784" i="110"/>
  <c r="F1784" i="110"/>
  <c r="E1784" i="110"/>
  <c r="I1783" i="110"/>
  <c r="H1783" i="110"/>
  <c r="G1783" i="110"/>
  <c r="F1783" i="110"/>
  <c r="E1783" i="110"/>
  <c r="I1782" i="110"/>
  <c r="H1782" i="110"/>
  <c r="G1782" i="110"/>
  <c r="F1782" i="110"/>
  <c r="E1782" i="110"/>
  <c r="I1781" i="110"/>
  <c r="H1781" i="110"/>
  <c r="G1781" i="110"/>
  <c r="F1781" i="110"/>
  <c r="E1781" i="110"/>
  <c r="I1780" i="110"/>
  <c r="H1780" i="110"/>
  <c r="G1780" i="110"/>
  <c r="F1780" i="110"/>
  <c r="E1780" i="110"/>
  <c r="I1779" i="110"/>
  <c r="H1779" i="110"/>
  <c r="G1779" i="110"/>
  <c r="F1779" i="110"/>
  <c r="E1779" i="110"/>
  <c r="I1778" i="110"/>
  <c r="H1778" i="110"/>
  <c r="G1778" i="110"/>
  <c r="F1778" i="110"/>
  <c r="E1778" i="110"/>
  <c r="I1777" i="110"/>
  <c r="H1777" i="110"/>
  <c r="G1777" i="110"/>
  <c r="F1777" i="110"/>
  <c r="E1777" i="110"/>
  <c r="I1776" i="110"/>
  <c r="H1776" i="110"/>
  <c r="G1776" i="110"/>
  <c r="F1776" i="110"/>
  <c r="E1776" i="110"/>
  <c r="I1775" i="110"/>
  <c r="H1775" i="110"/>
  <c r="G1775" i="110"/>
  <c r="F1775" i="110"/>
  <c r="E1775" i="110"/>
  <c r="I1774" i="110"/>
  <c r="H1774" i="110"/>
  <c r="G1774" i="110"/>
  <c r="F1774" i="110"/>
  <c r="E1774" i="110"/>
  <c r="I1773" i="110"/>
  <c r="H1773" i="110"/>
  <c r="G1773" i="110"/>
  <c r="F1773" i="110"/>
  <c r="E1773" i="110"/>
  <c r="I1772" i="110"/>
  <c r="H1772" i="110"/>
  <c r="G1772" i="110"/>
  <c r="F1772" i="110"/>
  <c r="E1772" i="110"/>
  <c r="I1771" i="110"/>
  <c r="H1771" i="110"/>
  <c r="G1771" i="110"/>
  <c r="F1771" i="110"/>
  <c r="E1771" i="110"/>
  <c r="I1770" i="110"/>
  <c r="H1770" i="110"/>
  <c r="G1770" i="110"/>
  <c r="F1770" i="110"/>
  <c r="E1770" i="110"/>
  <c r="I1769" i="110"/>
  <c r="H1769" i="110"/>
  <c r="G1769" i="110"/>
  <c r="F1769" i="110"/>
  <c r="E1769" i="110"/>
  <c r="I1768" i="110"/>
  <c r="H1768" i="110"/>
  <c r="G1768" i="110"/>
  <c r="F1768" i="110"/>
  <c r="E1768" i="110"/>
  <c r="I1767" i="110"/>
  <c r="H1767" i="110"/>
  <c r="G1767" i="110"/>
  <c r="F1767" i="110"/>
  <c r="E1767" i="110"/>
  <c r="I1766" i="110"/>
  <c r="H1766" i="110"/>
  <c r="G1766" i="110"/>
  <c r="F1766" i="110"/>
  <c r="E1766" i="110"/>
  <c r="I1765" i="110"/>
  <c r="H1765" i="110"/>
  <c r="G1765" i="110"/>
  <c r="F1765" i="110"/>
  <c r="E1765" i="110"/>
  <c r="I1764" i="110"/>
  <c r="H1764" i="110"/>
  <c r="G1764" i="110"/>
  <c r="F1764" i="110"/>
  <c r="E1764" i="110"/>
  <c r="I1763" i="110"/>
  <c r="H1763" i="110"/>
  <c r="G1763" i="110"/>
  <c r="F1763" i="110"/>
  <c r="E1763" i="110"/>
  <c r="I1762" i="110"/>
  <c r="H1762" i="110"/>
  <c r="G1762" i="110"/>
  <c r="F1762" i="110"/>
  <c r="E1762" i="110"/>
  <c r="I1761" i="110"/>
  <c r="H1761" i="110"/>
  <c r="G1761" i="110"/>
  <c r="F1761" i="110"/>
  <c r="E1761" i="110"/>
  <c r="I1760" i="110"/>
  <c r="H1760" i="110"/>
  <c r="G1760" i="110"/>
  <c r="F1760" i="110"/>
  <c r="E1760" i="110"/>
  <c r="I1759" i="110"/>
  <c r="H1759" i="110"/>
  <c r="G1759" i="110"/>
  <c r="F1759" i="110"/>
  <c r="E1759" i="110"/>
  <c r="I1758" i="110"/>
  <c r="H1758" i="110"/>
  <c r="G1758" i="110"/>
  <c r="F1758" i="110"/>
  <c r="E1758" i="110"/>
  <c r="I1757" i="110"/>
  <c r="H1757" i="110"/>
  <c r="G1757" i="110"/>
  <c r="F1757" i="110"/>
  <c r="E1757" i="110"/>
  <c r="I1756" i="110"/>
  <c r="H1756" i="110"/>
  <c r="G1756" i="110"/>
  <c r="F1756" i="110"/>
  <c r="E1756" i="110"/>
  <c r="I1755" i="110"/>
  <c r="H1755" i="110"/>
  <c r="G1755" i="110"/>
  <c r="F1755" i="110"/>
  <c r="E1755" i="110"/>
  <c r="I1754" i="110"/>
  <c r="H1754" i="110"/>
  <c r="G1754" i="110"/>
  <c r="F1754" i="110"/>
  <c r="E1754" i="110"/>
  <c r="I1753" i="110"/>
  <c r="H1753" i="110"/>
  <c r="G1753" i="110"/>
  <c r="F1753" i="110"/>
  <c r="E1753" i="110"/>
  <c r="I1752" i="110"/>
  <c r="H1752" i="110"/>
  <c r="G1752" i="110"/>
  <c r="F1752" i="110"/>
  <c r="E1752" i="110"/>
  <c r="I1751" i="110"/>
  <c r="H1751" i="110"/>
  <c r="G1751" i="110"/>
  <c r="F1751" i="110"/>
  <c r="E1751" i="110"/>
  <c r="I1750" i="110"/>
  <c r="H1750" i="110"/>
  <c r="G1750" i="110"/>
  <c r="F1750" i="110"/>
  <c r="E1750" i="110"/>
  <c r="I1749" i="110"/>
  <c r="H1749" i="110"/>
  <c r="G1749" i="110"/>
  <c r="F1749" i="110"/>
  <c r="E1749" i="110"/>
  <c r="I1748" i="110"/>
  <c r="H1748" i="110"/>
  <c r="G1748" i="110"/>
  <c r="F1748" i="110"/>
  <c r="E1748" i="110"/>
  <c r="I1747" i="110"/>
  <c r="H1747" i="110"/>
  <c r="G1747" i="110"/>
  <c r="F1747" i="110"/>
  <c r="E1747" i="110"/>
  <c r="I1746" i="110"/>
  <c r="H1746" i="110"/>
  <c r="G1746" i="110"/>
  <c r="F1746" i="110"/>
  <c r="E1746" i="110"/>
  <c r="I1745" i="110"/>
  <c r="H1745" i="110"/>
  <c r="G1745" i="110"/>
  <c r="F1745" i="110"/>
  <c r="E1745" i="110"/>
  <c r="I1744" i="110"/>
  <c r="H1744" i="110"/>
  <c r="G1744" i="110"/>
  <c r="F1744" i="110"/>
  <c r="E1744" i="110"/>
  <c r="I1743" i="110"/>
  <c r="H1743" i="110"/>
  <c r="G1743" i="110"/>
  <c r="F1743" i="110"/>
  <c r="E1743" i="110"/>
  <c r="I1742" i="110"/>
  <c r="H1742" i="110"/>
  <c r="G1742" i="110"/>
  <c r="F1742" i="110"/>
  <c r="E1742" i="110"/>
  <c r="I1741" i="110"/>
  <c r="H1741" i="110"/>
  <c r="G1741" i="110"/>
  <c r="F1741" i="110"/>
  <c r="E1741" i="110"/>
  <c r="I1740" i="110"/>
  <c r="H1740" i="110"/>
  <c r="G1740" i="110"/>
  <c r="F1740" i="110"/>
  <c r="E1740" i="110"/>
  <c r="I1739" i="110"/>
  <c r="H1739" i="110"/>
  <c r="G1739" i="110"/>
  <c r="F1739" i="110"/>
  <c r="E1739" i="110"/>
  <c r="I1738" i="110"/>
  <c r="H1738" i="110"/>
  <c r="G1738" i="110"/>
  <c r="F1738" i="110"/>
  <c r="E1738" i="110"/>
  <c r="I1737" i="110"/>
  <c r="H1737" i="110"/>
  <c r="G1737" i="110"/>
  <c r="F1737" i="110"/>
  <c r="E1737" i="110"/>
  <c r="I1736" i="110"/>
  <c r="H1736" i="110"/>
  <c r="G1736" i="110"/>
  <c r="F1736" i="110"/>
  <c r="E1736" i="110"/>
  <c r="I1735" i="110"/>
  <c r="H1735" i="110"/>
  <c r="G1735" i="110"/>
  <c r="F1735" i="110"/>
  <c r="E1735" i="110"/>
  <c r="I1734" i="110"/>
  <c r="H1734" i="110"/>
  <c r="G1734" i="110"/>
  <c r="F1734" i="110"/>
  <c r="E1734" i="110"/>
  <c r="I1733" i="110"/>
  <c r="H1733" i="110"/>
  <c r="G1733" i="110"/>
  <c r="F1733" i="110"/>
  <c r="E1733" i="110"/>
  <c r="I1732" i="110"/>
  <c r="H1732" i="110"/>
  <c r="G1732" i="110"/>
  <c r="F1732" i="110"/>
  <c r="E1732" i="110"/>
  <c r="I1731" i="110"/>
  <c r="H1731" i="110"/>
  <c r="G1731" i="110"/>
  <c r="F1731" i="110"/>
  <c r="E1731" i="110"/>
  <c r="I1730" i="110"/>
  <c r="H1730" i="110"/>
  <c r="G1730" i="110"/>
  <c r="F1730" i="110"/>
  <c r="E1730" i="110"/>
  <c r="I1729" i="110"/>
  <c r="H1729" i="110"/>
  <c r="G1729" i="110"/>
  <c r="F1729" i="110"/>
  <c r="E1729" i="110"/>
  <c r="I1728" i="110"/>
  <c r="H1728" i="110"/>
  <c r="G1728" i="110"/>
  <c r="F1728" i="110"/>
  <c r="E1728" i="110"/>
  <c r="I1727" i="110"/>
  <c r="H1727" i="110"/>
  <c r="G1727" i="110"/>
  <c r="F1727" i="110"/>
  <c r="E1727" i="110"/>
  <c r="I1726" i="110"/>
  <c r="H1726" i="110"/>
  <c r="G1726" i="110"/>
  <c r="F1726" i="110"/>
  <c r="E1726" i="110"/>
  <c r="I1725" i="110"/>
  <c r="H1725" i="110"/>
  <c r="G1725" i="110"/>
  <c r="F1725" i="110"/>
  <c r="E1725" i="110"/>
  <c r="I1724" i="110"/>
  <c r="H1724" i="110"/>
  <c r="G1724" i="110"/>
  <c r="F1724" i="110"/>
  <c r="E1724" i="110"/>
  <c r="I1723" i="110"/>
  <c r="H1723" i="110"/>
  <c r="G1723" i="110"/>
  <c r="F1723" i="110"/>
  <c r="E1723" i="110"/>
  <c r="I1722" i="110"/>
  <c r="H1722" i="110"/>
  <c r="G1722" i="110"/>
  <c r="F1722" i="110"/>
  <c r="E1722" i="110"/>
  <c r="I1721" i="110"/>
  <c r="H1721" i="110"/>
  <c r="G1721" i="110"/>
  <c r="F1721" i="110"/>
  <c r="E1721" i="110"/>
  <c r="I1720" i="110"/>
  <c r="H1720" i="110"/>
  <c r="G1720" i="110"/>
  <c r="F1720" i="110"/>
  <c r="E1720" i="110"/>
  <c r="I1719" i="110"/>
  <c r="H1719" i="110"/>
  <c r="G1719" i="110"/>
  <c r="F1719" i="110"/>
  <c r="E1719" i="110"/>
  <c r="I1718" i="110"/>
  <c r="H1718" i="110"/>
  <c r="G1718" i="110"/>
  <c r="F1718" i="110"/>
  <c r="E1718" i="110"/>
  <c r="I1717" i="110"/>
  <c r="H1717" i="110"/>
  <c r="G1717" i="110"/>
  <c r="F1717" i="110"/>
  <c r="E1717" i="110"/>
  <c r="I1716" i="110"/>
  <c r="H1716" i="110"/>
  <c r="G1716" i="110"/>
  <c r="F1716" i="110"/>
  <c r="E1716" i="110"/>
  <c r="I1715" i="110"/>
  <c r="H1715" i="110"/>
  <c r="G1715" i="110"/>
  <c r="F1715" i="110"/>
  <c r="E1715" i="110"/>
  <c r="I1714" i="110"/>
  <c r="H1714" i="110"/>
  <c r="G1714" i="110"/>
  <c r="F1714" i="110"/>
  <c r="E1714" i="110"/>
  <c r="I1713" i="110"/>
  <c r="H1713" i="110"/>
  <c r="G1713" i="110"/>
  <c r="F1713" i="110"/>
  <c r="E1713" i="110"/>
  <c r="I1712" i="110"/>
  <c r="H1712" i="110"/>
  <c r="G1712" i="110"/>
  <c r="F1712" i="110"/>
  <c r="E1712" i="110"/>
  <c r="I1711" i="110"/>
  <c r="H1711" i="110"/>
  <c r="G1711" i="110"/>
  <c r="F1711" i="110"/>
  <c r="E1711" i="110"/>
  <c r="I1710" i="110"/>
  <c r="H1710" i="110"/>
  <c r="G1710" i="110"/>
  <c r="F1710" i="110"/>
  <c r="E1710" i="110"/>
  <c r="I1709" i="110"/>
  <c r="H1709" i="110"/>
  <c r="G1709" i="110"/>
  <c r="F1709" i="110"/>
  <c r="E1709" i="110"/>
  <c r="I1708" i="110"/>
  <c r="H1708" i="110"/>
  <c r="G1708" i="110"/>
  <c r="F1708" i="110"/>
  <c r="E1708" i="110"/>
  <c r="I1707" i="110"/>
  <c r="H1707" i="110"/>
  <c r="G1707" i="110"/>
  <c r="F1707" i="110"/>
  <c r="E1707" i="110"/>
  <c r="I1706" i="110"/>
  <c r="H1706" i="110"/>
  <c r="G1706" i="110"/>
  <c r="F1706" i="110"/>
  <c r="E1706" i="110"/>
  <c r="I1705" i="110"/>
  <c r="H1705" i="110"/>
  <c r="G1705" i="110"/>
  <c r="F1705" i="110"/>
  <c r="E1705" i="110"/>
  <c r="I1704" i="110"/>
  <c r="H1704" i="110"/>
  <c r="G1704" i="110"/>
  <c r="F1704" i="110"/>
  <c r="E1704" i="110"/>
  <c r="I1703" i="110"/>
  <c r="H1703" i="110"/>
  <c r="G1703" i="110"/>
  <c r="F1703" i="110"/>
  <c r="E1703" i="110"/>
  <c r="I1702" i="110"/>
  <c r="H1702" i="110"/>
  <c r="G1702" i="110"/>
  <c r="F1702" i="110"/>
  <c r="E1702" i="110"/>
  <c r="I1701" i="110"/>
  <c r="H1701" i="110"/>
  <c r="G1701" i="110"/>
  <c r="F1701" i="110"/>
  <c r="E1701" i="110"/>
  <c r="I1700" i="110"/>
  <c r="H1700" i="110"/>
  <c r="G1700" i="110"/>
  <c r="F1700" i="110"/>
  <c r="E1700" i="110"/>
  <c r="I1699" i="110"/>
  <c r="H1699" i="110"/>
  <c r="G1699" i="110"/>
  <c r="F1699" i="110"/>
  <c r="E1699" i="110"/>
  <c r="I1698" i="110"/>
  <c r="H1698" i="110"/>
  <c r="G1698" i="110"/>
  <c r="F1698" i="110"/>
  <c r="E1698" i="110"/>
  <c r="I1697" i="110"/>
  <c r="H1697" i="110"/>
  <c r="G1697" i="110"/>
  <c r="F1697" i="110"/>
  <c r="E1697" i="110"/>
  <c r="I1696" i="110"/>
  <c r="H1696" i="110"/>
  <c r="G1696" i="110"/>
  <c r="F1696" i="110"/>
  <c r="E1696" i="110"/>
  <c r="I1695" i="110"/>
  <c r="H1695" i="110"/>
  <c r="G1695" i="110"/>
  <c r="F1695" i="110"/>
  <c r="E1695" i="110"/>
  <c r="I1694" i="110"/>
  <c r="H1694" i="110"/>
  <c r="G1694" i="110"/>
  <c r="F1694" i="110"/>
  <c r="E1694" i="110"/>
  <c r="I1693" i="110"/>
  <c r="H1693" i="110"/>
  <c r="G1693" i="110"/>
  <c r="F1693" i="110"/>
  <c r="E1693" i="110"/>
  <c r="I1692" i="110"/>
  <c r="H1692" i="110"/>
  <c r="G1692" i="110"/>
  <c r="F1692" i="110"/>
  <c r="E1692" i="110"/>
  <c r="I1691" i="110"/>
  <c r="H1691" i="110"/>
  <c r="G1691" i="110"/>
  <c r="F1691" i="110"/>
  <c r="E1691" i="110"/>
  <c r="I1690" i="110"/>
  <c r="H1690" i="110"/>
  <c r="G1690" i="110"/>
  <c r="F1690" i="110"/>
  <c r="E1690" i="110"/>
  <c r="I1689" i="110"/>
  <c r="H1689" i="110"/>
  <c r="G1689" i="110"/>
  <c r="F1689" i="110"/>
  <c r="E1689" i="110"/>
  <c r="I1688" i="110"/>
  <c r="H1688" i="110"/>
  <c r="G1688" i="110"/>
  <c r="F1688" i="110"/>
  <c r="E1688" i="110"/>
  <c r="I1687" i="110"/>
  <c r="H1687" i="110"/>
  <c r="G1687" i="110"/>
  <c r="F1687" i="110"/>
  <c r="E1687" i="110"/>
  <c r="I1686" i="110"/>
  <c r="H1686" i="110"/>
  <c r="G1686" i="110"/>
  <c r="F1686" i="110"/>
  <c r="E1686" i="110"/>
  <c r="I1685" i="110"/>
  <c r="H1685" i="110"/>
  <c r="G1685" i="110"/>
  <c r="F1685" i="110"/>
  <c r="E1685" i="110"/>
  <c r="I1684" i="110"/>
  <c r="H1684" i="110"/>
  <c r="G1684" i="110"/>
  <c r="F1684" i="110"/>
  <c r="E1684" i="110"/>
  <c r="I1683" i="110"/>
  <c r="H1683" i="110"/>
  <c r="G1683" i="110"/>
  <c r="F1683" i="110"/>
  <c r="E1683" i="110"/>
  <c r="I1682" i="110"/>
  <c r="H1682" i="110"/>
  <c r="G1682" i="110"/>
  <c r="F1682" i="110"/>
  <c r="E1682" i="110"/>
  <c r="I1681" i="110"/>
  <c r="H1681" i="110"/>
  <c r="G1681" i="110"/>
  <c r="F1681" i="110"/>
  <c r="E1681" i="110"/>
  <c r="I1680" i="110"/>
  <c r="H1680" i="110"/>
  <c r="G1680" i="110"/>
  <c r="F1680" i="110"/>
  <c r="E1680" i="110"/>
  <c r="I1679" i="110"/>
  <c r="H1679" i="110"/>
  <c r="G1679" i="110"/>
  <c r="F1679" i="110"/>
  <c r="E1679" i="110"/>
  <c r="I1678" i="110"/>
  <c r="H1678" i="110"/>
  <c r="G1678" i="110"/>
  <c r="F1678" i="110"/>
  <c r="E1678" i="110"/>
  <c r="I1677" i="110"/>
  <c r="H1677" i="110"/>
  <c r="G1677" i="110"/>
  <c r="F1677" i="110"/>
  <c r="E1677" i="110"/>
  <c r="I1676" i="110"/>
  <c r="H1676" i="110"/>
  <c r="G1676" i="110"/>
  <c r="F1676" i="110"/>
  <c r="E1676" i="110"/>
  <c r="I1675" i="110"/>
  <c r="H1675" i="110"/>
  <c r="G1675" i="110"/>
  <c r="F1675" i="110"/>
  <c r="E1675" i="110"/>
  <c r="I1674" i="110"/>
  <c r="H1674" i="110"/>
  <c r="G1674" i="110"/>
  <c r="F1674" i="110"/>
  <c r="E1674" i="110"/>
  <c r="I1673" i="110"/>
  <c r="H1673" i="110"/>
  <c r="G1673" i="110"/>
  <c r="F1673" i="110"/>
  <c r="E1673" i="110"/>
  <c r="I1672" i="110"/>
  <c r="H1672" i="110"/>
  <c r="G1672" i="110"/>
  <c r="F1672" i="110"/>
  <c r="E1672" i="110"/>
  <c r="I1671" i="110"/>
  <c r="H1671" i="110"/>
  <c r="G1671" i="110"/>
  <c r="F1671" i="110"/>
  <c r="E1671" i="110"/>
  <c r="I1670" i="110"/>
  <c r="H1670" i="110"/>
  <c r="G1670" i="110"/>
  <c r="F1670" i="110"/>
  <c r="E1670" i="110"/>
  <c r="I1669" i="110"/>
  <c r="H1669" i="110"/>
  <c r="G1669" i="110"/>
  <c r="F1669" i="110"/>
  <c r="E1669" i="110"/>
  <c r="I1668" i="110"/>
  <c r="H1668" i="110"/>
  <c r="G1668" i="110"/>
  <c r="F1668" i="110"/>
  <c r="E1668" i="110"/>
  <c r="I1667" i="110"/>
  <c r="H1667" i="110"/>
  <c r="G1667" i="110"/>
  <c r="F1667" i="110"/>
  <c r="E1667" i="110"/>
  <c r="I1666" i="110"/>
  <c r="H1666" i="110"/>
  <c r="G1666" i="110"/>
  <c r="F1666" i="110"/>
  <c r="E1666" i="110"/>
  <c r="I1665" i="110"/>
  <c r="H1665" i="110"/>
  <c r="G1665" i="110"/>
  <c r="F1665" i="110"/>
  <c r="E1665" i="110"/>
  <c r="I1664" i="110"/>
  <c r="H1664" i="110"/>
  <c r="G1664" i="110"/>
  <c r="F1664" i="110"/>
  <c r="E1664" i="110"/>
  <c r="I1663" i="110"/>
  <c r="H1663" i="110"/>
  <c r="G1663" i="110"/>
  <c r="F1663" i="110"/>
  <c r="E1663" i="110"/>
  <c r="I1662" i="110"/>
  <c r="H1662" i="110"/>
  <c r="G1662" i="110"/>
  <c r="F1662" i="110"/>
  <c r="E1662" i="110"/>
  <c r="I1661" i="110"/>
  <c r="H1661" i="110"/>
  <c r="G1661" i="110"/>
  <c r="F1661" i="110"/>
  <c r="E1661" i="110"/>
  <c r="I1660" i="110"/>
  <c r="H1660" i="110"/>
  <c r="G1660" i="110"/>
  <c r="F1660" i="110"/>
  <c r="E1660" i="110"/>
  <c r="I1659" i="110"/>
  <c r="H1659" i="110"/>
  <c r="G1659" i="110"/>
  <c r="F1659" i="110"/>
  <c r="E1659" i="110"/>
  <c r="I1658" i="110"/>
  <c r="H1658" i="110"/>
  <c r="G1658" i="110"/>
  <c r="F1658" i="110"/>
  <c r="E1658" i="110"/>
  <c r="I1657" i="110"/>
  <c r="H1657" i="110"/>
  <c r="G1657" i="110"/>
  <c r="F1657" i="110"/>
  <c r="E1657" i="110"/>
  <c r="I1656" i="110"/>
  <c r="H1656" i="110"/>
  <c r="G1656" i="110"/>
  <c r="F1656" i="110"/>
  <c r="E1656" i="110"/>
  <c r="I1655" i="110"/>
  <c r="H1655" i="110"/>
  <c r="G1655" i="110"/>
  <c r="F1655" i="110"/>
  <c r="E1655" i="110"/>
  <c r="I1654" i="110"/>
  <c r="H1654" i="110"/>
  <c r="G1654" i="110"/>
  <c r="F1654" i="110"/>
  <c r="E1654" i="110"/>
  <c r="I1653" i="110"/>
  <c r="H1653" i="110"/>
  <c r="G1653" i="110"/>
  <c r="F1653" i="110"/>
  <c r="E1653" i="110"/>
  <c r="I1652" i="110"/>
  <c r="H1652" i="110"/>
  <c r="G1652" i="110"/>
  <c r="F1652" i="110"/>
  <c r="E1652" i="110"/>
  <c r="I1651" i="110"/>
  <c r="H1651" i="110"/>
  <c r="G1651" i="110"/>
  <c r="F1651" i="110"/>
  <c r="E1651" i="110"/>
  <c r="I1650" i="110"/>
  <c r="H1650" i="110"/>
  <c r="G1650" i="110"/>
  <c r="F1650" i="110"/>
  <c r="E1650" i="110"/>
  <c r="I1649" i="110"/>
  <c r="H1649" i="110"/>
  <c r="G1649" i="110"/>
  <c r="F1649" i="110"/>
  <c r="E1649" i="110"/>
  <c r="I1648" i="110"/>
  <c r="H1648" i="110"/>
  <c r="G1648" i="110"/>
  <c r="F1648" i="110"/>
  <c r="E1648" i="110"/>
  <c r="I1647" i="110"/>
  <c r="H1647" i="110"/>
  <c r="G1647" i="110"/>
  <c r="F1647" i="110"/>
  <c r="E1647" i="110"/>
  <c r="I1646" i="110"/>
  <c r="H1646" i="110"/>
  <c r="G1646" i="110"/>
  <c r="F1646" i="110"/>
  <c r="E1646" i="110"/>
  <c r="I1645" i="110"/>
  <c r="H1645" i="110"/>
  <c r="G1645" i="110"/>
  <c r="F1645" i="110"/>
  <c r="E1645" i="110"/>
  <c r="I1644" i="110"/>
  <c r="H1644" i="110"/>
  <c r="G1644" i="110"/>
  <c r="F1644" i="110"/>
  <c r="E1644" i="110"/>
  <c r="I1643" i="110"/>
  <c r="H1643" i="110"/>
  <c r="G1643" i="110"/>
  <c r="F1643" i="110"/>
  <c r="E1643" i="110"/>
  <c r="I1642" i="110"/>
  <c r="H1642" i="110"/>
  <c r="G1642" i="110"/>
  <c r="F1642" i="110"/>
  <c r="E1642" i="110"/>
  <c r="I1641" i="110"/>
  <c r="H1641" i="110"/>
  <c r="G1641" i="110"/>
  <c r="F1641" i="110"/>
  <c r="E1641" i="110"/>
  <c r="I1640" i="110"/>
  <c r="H1640" i="110"/>
  <c r="G1640" i="110"/>
  <c r="F1640" i="110"/>
  <c r="E1640" i="110"/>
  <c r="I1639" i="110"/>
  <c r="H1639" i="110"/>
  <c r="G1639" i="110"/>
  <c r="F1639" i="110"/>
  <c r="E1639" i="110"/>
  <c r="I1638" i="110"/>
  <c r="H1638" i="110"/>
  <c r="G1638" i="110"/>
  <c r="F1638" i="110"/>
  <c r="E1638" i="110"/>
  <c r="I1637" i="110"/>
  <c r="H1637" i="110"/>
  <c r="G1637" i="110"/>
  <c r="F1637" i="110"/>
  <c r="E1637" i="110"/>
  <c r="I1636" i="110"/>
  <c r="H1636" i="110"/>
  <c r="G1636" i="110"/>
  <c r="F1636" i="110"/>
  <c r="E1636" i="110"/>
  <c r="I1635" i="110"/>
  <c r="H1635" i="110"/>
  <c r="G1635" i="110"/>
  <c r="F1635" i="110"/>
  <c r="E1635" i="110"/>
  <c r="I1634" i="110"/>
  <c r="H1634" i="110"/>
  <c r="G1634" i="110"/>
  <c r="F1634" i="110"/>
  <c r="E1634" i="110"/>
  <c r="I1633" i="110"/>
  <c r="H1633" i="110"/>
  <c r="G1633" i="110"/>
  <c r="F1633" i="110"/>
  <c r="E1633" i="110"/>
  <c r="I1632" i="110"/>
  <c r="H1632" i="110"/>
  <c r="G1632" i="110"/>
  <c r="F1632" i="110"/>
  <c r="E1632" i="110"/>
  <c r="I1631" i="110"/>
  <c r="H1631" i="110"/>
  <c r="G1631" i="110"/>
  <c r="F1631" i="110"/>
  <c r="E1631" i="110"/>
  <c r="I1630" i="110"/>
  <c r="H1630" i="110"/>
  <c r="G1630" i="110"/>
  <c r="F1630" i="110"/>
  <c r="E1630" i="110"/>
  <c r="I1629" i="110"/>
  <c r="H1629" i="110"/>
  <c r="G1629" i="110"/>
  <c r="F1629" i="110"/>
  <c r="E1629" i="110"/>
  <c r="I1628" i="110"/>
  <c r="H1628" i="110"/>
  <c r="G1628" i="110"/>
  <c r="F1628" i="110"/>
  <c r="E1628" i="110"/>
  <c r="I1627" i="110"/>
  <c r="H1627" i="110"/>
  <c r="G1627" i="110"/>
  <c r="F1627" i="110"/>
  <c r="E1627" i="110"/>
  <c r="I1626" i="110"/>
  <c r="H1626" i="110"/>
  <c r="G1626" i="110"/>
  <c r="F1626" i="110"/>
  <c r="E1626" i="110"/>
  <c r="I1625" i="110"/>
  <c r="H1625" i="110"/>
  <c r="G1625" i="110"/>
  <c r="F1625" i="110"/>
  <c r="E1625" i="110"/>
  <c r="I1624" i="110"/>
  <c r="H1624" i="110"/>
  <c r="G1624" i="110"/>
  <c r="F1624" i="110"/>
  <c r="E1624" i="110"/>
  <c r="I1623" i="110"/>
  <c r="H1623" i="110"/>
  <c r="G1623" i="110"/>
  <c r="F1623" i="110"/>
  <c r="E1623" i="110"/>
  <c r="I1622" i="110"/>
  <c r="H1622" i="110"/>
  <c r="G1622" i="110"/>
  <c r="F1622" i="110"/>
  <c r="E1622" i="110"/>
  <c r="I1621" i="110"/>
  <c r="H1621" i="110"/>
  <c r="G1621" i="110"/>
  <c r="F1621" i="110"/>
  <c r="E1621" i="110"/>
  <c r="I1620" i="110"/>
  <c r="H1620" i="110"/>
  <c r="G1620" i="110"/>
  <c r="F1620" i="110"/>
  <c r="E1620" i="110"/>
  <c r="I1619" i="110"/>
  <c r="H1619" i="110"/>
  <c r="G1619" i="110"/>
  <c r="F1619" i="110"/>
  <c r="E1619" i="110"/>
  <c r="I1618" i="110"/>
  <c r="H1618" i="110"/>
  <c r="G1618" i="110"/>
  <c r="F1618" i="110"/>
  <c r="E1618" i="110"/>
  <c r="I1617" i="110"/>
  <c r="H1617" i="110"/>
  <c r="G1617" i="110"/>
  <c r="F1617" i="110"/>
  <c r="E1617" i="110"/>
  <c r="I1616" i="110"/>
  <c r="H1616" i="110"/>
  <c r="G1616" i="110"/>
  <c r="F1616" i="110"/>
  <c r="E1616" i="110"/>
  <c r="I1615" i="110"/>
  <c r="H1615" i="110"/>
  <c r="G1615" i="110"/>
  <c r="F1615" i="110"/>
  <c r="E1615" i="110"/>
  <c r="I1614" i="110"/>
  <c r="H1614" i="110"/>
  <c r="G1614" i="110"/>
  <c r="F1614" i="110"/>
  <c r="E1614" i="110"/>
  <c r="I1613" i="110"/>
  <c r="H1613" i="110"/>
  <c r="G1613" i="110"/>
  <c r="F1613" i="110"/>
  <c r="E1613" i="110"/>
  <c r="I1612" i="110"/>
  <c r="H1612" i="110"/>
  <c r="G1612" i="110"/>
  <c r="F1612" i="110"/>
  <c r="E1612" i="110"/>
  <c r="I1611" i="110"/>
  <c r="H1611" i="110"/>
  <c r="G1611" i="110"/>
  <c r="F1611" i="110"/>
  <c r="E1611" i="110"/>
  <c r="I1610" i="110"/>
  <c r="H1610" i="110"/>
  <c r="G1610" i="110"/>
  <c r="F1610" i="110"/>
  <c r="E1610" i="110"/>
  <c r="I1609" i="110"/>
  <c r="H1609" i="110"/>
  <c r="G1609" i="110"/>
  <c r="F1609" i="110"/>
  <c r="E1609" i="110"/>
  <c r="I1608" i="110"/>
  <c r="H1608" i="110"/>
  <c r="G1608" i="110"/>
  <c r="F1608" i="110"/>
  <c r="E1608" i="110"/>
  <c r="I1607" i="110"/>
  <c r="H1607" i="110"/>
  <c r="G1607" i="110"/>
  <c r="F1607" i="110"/>
  <c r="E1607" i="110"/>
  <c r="I1606" i="110"/>
  <c r="H1606" i="110"/>
  <c r="G1606" i="110"/>
  <c r="F1606" i="110"/>
  <c r="E1606" i="110"/>
  <c r="I1605" i="110"/>
  <c r="H1605" i="110"/>
  <c r="G1605" i="110"/>
  <c r="F1605" i="110"/>
  <c r="E1605" i="110"/>
  <c r="I1604" i="110"/>
  <c r="H1604" i="110"/>
  <c r="G1604" i="110"/>
  <c r="F1604" i="110"/>
  <c r="E1604" i="110"/>
  <c r="I1603" i="110"/>
  <c r="H1603" i="110"/>
  <c r="G1603" i="110"/>
  <c r="F1603" i="110"/>
  <c r="E1603" i="110"/>
  <c r="I1602" i="110"/>
  <c r="H1602" i="110"/>
  <c r="G1602" i="110"/>
  <c r="F1602" i="110"/>
  <c r="E1602" i="110"/>
  <c r="I1601" i="110"/>
  <c r="H1601" i="110"/>
  <c r="G1601" i="110"/>
  <c r="F1601" i="110"/>
  <c r="E1601" i="110"/>
  <c r="I1600" i="110"/>
  <c r="H1600" i="110"/>
  <c r="G1600" i="110"/>
  <c r="F1600" i="110"/>
  <c r="E1600" i="110"/>
  <c r="I1599" i="110"/>
  <c r="H1599" i="110"/>
  <c r="G1599" i="110"/>
  <c r="F1599" i="110"/>
  <c r="E1599" i="110"/>
  <c r="I1598" i="110"/>
  <c r="H1598" i="110"/>
  <c r="G1598" i="110"/>
  <c r="F1598" i="110"/>
  <c r="E1598" i="110"/>
  <c r="I1597" i="110"/>
  <c r="H1597" i="110"/>
  <c r="G1597" i="110"/>
  <c r="F1597" i="110"/>
  <c r="E1597" i="110"/>
  <c r="I1596" i="110"/>
  <c r="H1596" i="110"/>
  <c r="G1596" i="110"/>
  <c r="F1596" i="110"/>
  <c r="E1596" i="110"/>
  <c r="I1595" i="110"/>
  <c r="H1595" i="110"/>
  <c r="G1595" i="110"/>
  <c r="F1595" i="110"/>
  <c r="E1595" i="110"/>
  <c r="I1594" i="110"/>
  <c r="H1594" i="110"/>
  <c r="G1594" i="110"/>
  <c r="F1594" i="110"/>
  <c r="E1594" i="110"/>
  <c r="I1593" i="110"/>
  <c r="H1593" i="110"/>
  <c r="G1593" i="110"/>
  <c r="F1593" i="110"/>
  <c r="E1593" i="110"/>
  <c r="I1592" i="110"/>
  <c r="H1592" i="110"/>
  <c r="G1592" i="110"/>
  <c r="F1592" i="110"/>
  <c r="E1592" i="110"/>
  <c r="I1591" i="110"/>
  <c r="H1591" i="110"/>
  <c r="G1591" i="110"/>
  <c r="F1591" i="110"/>
  <c r="E1591" i="110"/>
  <c r="I1590" i="110"/>
  <c r="H1590" i="110"/>
  <c r="G1590" i="110"/>
  <c r="F1590" i="110"/>
  <c r="E1590" i="110"/>
  <c r="I1589" i="110"/>
  <c r="H1589" i="110"/>
  <c r="G1589" i="110"/>
  <c r="F1589" i="110"/>
  <c r="E1589" i="110"/>
  <c r="I1588" i="110"/>
  <c r="H1588" i="110"/>
  <c r="G1588" i="110"/>
  <c r="F1588" i="110"/>
  <c r="E1588" i="110"/>
  <c r="I1587" i="110"/>
  <c r="H1587" i="110"/>
  <c r="G1587" i="110"/>
  <c r="F1587" i="110"/>
  <c r="E1587" i="110"/>
  <c r="I1586" i="110"/>
  <c r="H1586" i="110"/>
  <c r="G1586" i="110"/>
  <c r="F1586" i="110"/>
  <c r="E1586" i="110"/>
  <c r="I1585" i="110"/>
  <c r="H1585" i="110"/>
  <c r="G1585" i="110"/>
  <c r="F1585" i="110"/>
  <c r="E1585" i="110"/>
  <c r="I1584" i="110"/>
  <c r="H1584" i="110"/>
  <c r="G1584" i="110"/>
  <c r="F1584" i="110"/>
  <c r="E1584" i="110"/>
  <c r="I1583" i="110"/>
  <c r="H1583" i="110"/>
  <c r="G1583" i="110"/>
  <c r="F1583" i="110"/>
  <c r="E1583" i="110"/>
  <c r="I1582" i="110"/>
  <c r="H1582" i="110"/>
  <c r="G1582" i="110"/>
  <c r="F1582" i="110"/>
  <c r="E1582" i="110"/>
  <c r="I1581" i="110"/>
  <c r="H1581" i="110"/>
  <c r="G1581" i="110"/>
  <c r="F1581" i="110"/>
  <c r="E1581" i="110"/>
  <c r="I1580" i="110"/>
  <c r="H1580" i="110"/>
  <c r="G1580" i="110"/>
  <c r="F1580" i="110"/>
  <c r="E1580" i="110"/>
  <c r="I1579" i="110"/>
  <c r="H1579" i="110"/>
  <c r="G1579" i="110"/>
  <c r="F1579" i="110"/>
  <c r="E1579" i="110"/>
  <c r="I1578" i="110"/>
  <c r="H1578" i="110"/>
  <c r="G1578" i="110"/>
  <c r="F1578" i="110"/>
  <c r="E1578" i="110"/>
  <c r="I1577" i="110"/>
  <c r="H1577" i="110"/>
  <c r="G1577" i="110"/>
  <c r="F1577" i="110"/>
  <c r="E1577" i="110"/>
  <c r="I1576" i="110"/>
  <c r="H1576" i="110"/>
  <c r="G1576" i="110"/>
  <c r="F1576" i="110"/>
  <c r="E1576" i="110"/>
  <c r="I1575" i="110"/>
  <c r="H1575" i="110"/>
  <c r="G1575" i="110"/>
  <c r="F1575" i="110"/>
  <c r="E1575" i="110"/>
  <c r="I1574" i="110"/>
  <c r="H1574" i="110"/>
  <c r="G1574" i="110"/>
  <c r="F1574" i="110"/>
  <c r="E1574" i="110"/>
  <c r="I1573" i="110"/>
  <c r="H1573" i="110"/>
  <c r="G1573" i="110"/>
  <c r="F1573" i="110"/>
  <c r="E1573" i="110"/>
  <c r="I1572" i="110"/>
  <c r="H1572" i="110"/>
  <c r="G1572" i="110"/>
  <c r="F1572" i="110"/>
  <c r="E1572" i="110"/>
  <c r="I1571" i="110"/>
  <c r="H1571" i="110"/>
  <c r="G1571" i="110"/>
  <c r="F1571" i="110"/>
  <c r="E1571" i="110"/>
  <c r="I1570" i="110"/>
  <c r="H1570" i="110"/>
  <c r="G1570" i="110"/>
  <c r="F1570" i="110"/>
  <c r="E1570" i="110"/>
  <c r="I1569" i="110"/>
  <c r="H1569" i="110"/>
  <c r="G1569" i="110"/>
  <c r="F1569" i="110"/>
  <c r="E1569" i="110"/>
  <c r="I1568" i="110"/>
  <c r="H1568" i="110"/>
  <c r="G1568" i="110"/>
  <c r="F1568" i="110"/>
  <c r="E1568" i="110"/>
  <c r="I1567" i="110"/>
  <c r="H1567" i="110"/>
  <c r="G1567" i="110"/>
  <c r="F1567" i="110"/>
  <c r="E1567" i="110"/>
  <c r="I1566" i="110"/>
  <c r="H1566" i="110"/>
  <c r="G1566" i="110"/>
  <c r="F1566" i="110"/>
  <c r="E1566" i="110"/>
  <c r="I1565" i="110"/>
  <c r="H1565" i="110"/>
  <c r="G1565" i="110"/>
  <c r="F1565" i="110"/>
  <c r="E1565" i="110"/>
  <c r="I1564" i="110"/>
  <c r="H1564" i="110"/>
  <c r="G1564" i="110"/>
  <c r="F1564" i="110"/>
  <c r="E1564" i="110"/>
  <c r="I1563" i="110"/>
  <c r="H1563" i="110"/>
  <c r="G1563" i="110"/>
  <c r="G1291" i="110"/>
  <c r="E1291" i="110"/>
  <c r="I1290" i="110"/>
  <c r="F1290" i="110"/>
  <c r="E1289" i="110"/>
  <c r="G1288" i="110"/>
  <c r="E1288" i="110"/>
  <c r="H1287" i="110"/>
  <c r="F1287" i="110"/>
  <c r="G1286" i="110"/>
  <c r="E1286" i="110"/>
  <c r="I1285" i="110"/>
  <c r="G1285" i="110"/>
  <c r="F1285" i="110"/>
  <c r="E1285" i="110"/>
  <c r="G1284" i="110"/>
  <c r="F1284" i="110"/>
  <c r="G1283" i="110"/>
  <c r="E1283" i="110"/>
  <c r="G1282" i="110"/>
  <c r="E1282" i="110"/>
  <c r="I1281" i="110"/>
  <c r="H1281" i="110"/>
  <c r="G1130" i="110"/>
  <c r="H1129" i="110"/>
  <c r="E1129" i="110"/>
  <c r="H1128" i="110"/>
  <c r="I1127" i="110"/>
  <c r="E1127" i="110"/>
  <c r="I1126" i="110"/>
  <c r="H1126" i="110"/>
  <c r="H1125" i="110"/>
  <c r="F1563" i="110"/>
  <c r="E1563" i="110"/>
  <c r="I1562" i="110"/>
  <c r="H1562" i="110"/>
  <c r="G1562" i="110"/>
  <c r="F1562" i="110"/>
  <c r="E1562" i="110"/>
  <c r="I1561" i="110"/>
  <c r="H1561" i="110"/>
  <c r="G1561" i="110"/>
  <c r="F1561" i="110"/>
  <c r="E1561" i="110"/>
  <c r="I1560" i="110"/>
  <c r="H1560" i="110"/>
  <c r="G1560" i="110"/>
  <c r="F1560" i="110"/>
  <c r="E1560" i="110"/>
  <c r="I1559" i="110"/>
  <c r="H1559" i="110"/>
  <c r="G1559" i="110"/>
  <c r="F1559" i="110"/>
  <c r="E1559" i="110"/>
  <c r="I1558" i="110"/>
  <c r="H1558" i="110"/>
  <c r="G1558" i="110"/>
  <c r="F1558" i="110"/>
  <c r="E1558" i="110"/>
  <c r="I1557" i="110"/>
  <c r="H1557" i="110"/>
  <c r="G1557" i="110"/>
  <c r="F1557" i="110"/>
  <c r="E1557" i="110"/>
  <c r="I1556" i="110"/>
  <c r="H1556" i="110"/>
  <c r="G1556" i="110"/>
  <c r="F1556" i="110"/>
  <c r="E1556" i="110"/>
  <c r="I1555" i="110"/>
  <c r="H1555" i="110"/>
  <c r="G1555" i="110"/>
  <c r="F1555" i="110"/>
  <c r="E1555" i="110"/>
  <c r="I1554" i="110"/>
  <c r="H1554" i="110"/>
  <c r="G1554" i="110"/>
  <c r="F1554" i="110"/>
  <c r="E1554" i="110"/>
  <c r="I1553" i="110"/>
  <c r="H1553" i="110"/>
  <c r="G1553" i="110"/>
  <c r="F1553" i="110"/>
  <c r="E1553" i="110"/>
  <c r="I1552" i="110"/>
  <c r="H1552" i="110"/>
  <c r="G1552" i="110"/>
  <c r="F1552" i="110"/>
  <c r="E1552" i="110"/>
  <c r="I1551" i="110"/>
  <c r="H1551" i="110"/>
  <c r="G1551" i="110"/>
  <c r="F1551" i="110"/>
  <c r="E1551" i="110"/>
  <c r="I1550" i="110"/>
  <c r="H1550" i="110"/>
  <c r="G1550" i="110"/>
  <c r="F1550" i="110"/>
  <c r="E1550" i="110"/>
  <c r="I1549" i="110"/>
  <c r="H1549" i="110"/>
  <c r="G1549" i="110"/>
  <c r="F1549" i="110"/>
  <c r="E1549" i="110"/>
  <c r="I1548" i="110"/>
  <c r="H1548" i="110"/>
  <c r="G1548" i="110"/>
  <c r="F1548" i="110"/>
  <c r="E1548" i="110"/>
  <c r="I1547" i="110"/>
  <c r="H1547" i="110"/>
  <c r="G1547" i="110"/>
  <c r="F1547" i="110"/>
  <c r="E1547" i="110"/>
  <c r="I1546" i="110"/>
  <c r="H1546" i="110"/>
  <c r="G1546" i="110"/>
  <c r="F1546" i="110"/>
  <c r="E1546" i="110"/>
  <c r="I1545" i="110"/>
  <c r="H1545" i="110"/>
  <c r="G1545" i="110"/>
  <c r="F1545" i="110"/>
  <c r="E1545" i="110"/>
  <c r="I1544" i="110"/>
  <c r="H1544" i="110"/>
  <c r="G1544" i="110"/>
  <c r="F1544" i="110"/>
  <c r="E1544" i="110"/>
  <c r="I1543" i="110"/>
  <c r="H1543" i="110"/>
  <c r="G1543" i="110"/>
  <c r="F1543" i="110"/>
  <c r="E1543" i="110"/>
  <c r="I1542" i="110"/>
  <c r="H1542" i="110"/>
  <c r="G1542" i="110"/>
  <c r="F1542" i="110"/>
  <c r="E1542" i="110"/>
  <c r="I1541" i="110"/>
  <c r="H1541" i="110"/>
  <c r="G1541" i="110"/>
  <c r="F1541" i="110"/>
  <c r="E1541" i="110"/>
  <c r="I1540" i="110"/>
  <c r="H1540" i="110"/>
  <c r="G1540" i="110"/>
  <c r="F1540" i="110"/>
  <c r="E1540" i="110"/>
  <c r="I1539" i="110"/>
  <c r="H1539" i="110"/>
  <c r="G1539" i="110"/>
  <c r="F1539" i="110"/>
  <c r="E1539" i="110"/>
  <c r="I1538" i="110"/>
  <c r="H1538" i="110"/>
  <c r="G1538" i="110"/>
  <c r="F1538" i="110"/>
  <c r="E1538" i="110"/>
  <c r="I1537" i="110"/>
  <c r="H1537" i="110"/>
  <c r="G1537" i="110"/>
  <c r="F1537" i="110"/>
  <c r="E1537" i="110"/>
  <c r="I1536" i="110"/>
  <c r="H1536" i="110"/>
  <c r="G1536" i="110"/>
  <c r="F1536" i="110"/>
  <c r="E1536" i="110"/>
  <c r="I1535" i="110"/>
  <c r="H1535" i="110"/>
  <c r="G1535" i="110"/>
  <c r="F1535" i="110"/>
  <c r="E1535" i="110"/>
  <c r="I1534" i="110"/>
  <c r="H1534" i="110"/>
  <c r="G1534" i="110"/>
  <c r="F1534" i="110"/>
  <c r="E1534" i="110"/>
  <c r="I1533" i="110"/>
  <c r="H1533" i="110"/>
  <c r="G1533" i="110"/>
  <c r="F1533" i="110"/>
  <c r="E1533" i="110"/>
  <c r="I1532" i="110"/>
  <c r="H1532" i="110"/>
  <c r="G1532" i="110"/>
  <c r="F1532" i="110"/>
  <c r="E1532" i="110"/>
  <c r="I1531" i="110"/>
  <c r="H1531" i="110"/>
  <c r="G1531" i="110"/>
  <c r="F1531" i="110"/>
  <c r="E1531" i="110"/>
  <c r="I1530" i="110"/>
  <c r="H1530" i="110"/>
  <c r="G1530" i="110"/>
  <c r="F1530" i="110"/>
  <c r="E1530" i="110"/>
  <c r="I1529" i="110"/>
  <c r="H1529" i="110"/>
  <c r="G1529" i="110"/>
  <c r="F1529" i="110"/>
  <c r="E1529" i="110"/>
  <c r="I1528" i="110"/>
  <c r="H1528" i="110"/>
  <c r="G1528" i="110"/>
  <c r="F1528" i="110"/>
  <c r="E1528" i="110"/>
  <c r="I1527" i="110"/>
  <c r="H1527" i="110"/>
  <c r="G1527" i="110"/>
  <c r="F1527" i="110"/>
  <c r="E1527" i="110"/>
  <c r="I1526" i="110"/>
  <c r="H1526" i="110"/>
  <c r="G1526" i="110"/>
  <c r="F1526" i="110"/>
  <c r="E1526" i="110"/>
  <c r="I1525" i="110"/>
  <c r="H1525" i="110"/>
  <c r="G1525" i="110"/>
  <c r="F1525" i="110"/>
  <c r="E1525" i="110"/>
  <c r="I1524" i="110"/>
  <c r="H1524" i="110"/>
  <c r="G1524" i="110"/>
  <c r="F1524" i="110"/>
  <c r="E1524" i="110"/>
  <c r="I1523" i="110"/>
  <c r="H1523" i="110"/>
  <c r="G1523" i="110"/>
  <c r="F1523" i="110"/>
  <c r="E1523" i="110"/>
  <c r="I1522" i="110"/>
  <c r="H1522" i="110"/>
  <c r="G1522" i="110"/>
  <c r="F1522" i="110"/>
  <c r="E1522" i="110"/>
  <c r="I1521" i="110"/>
  <c r="H1521" i="110"/>
  <c r="G1521" i="110"/>
  <c r="F1521" i="110"/>
  <c r="E1521" i="110"/>
  <c r="I1520" i="110"/>
  <c r="H1520" i="110"/>
  <c r="G1520" i="110"/>
  <c r="F1520" i="110"/>
  <c r="E1520" i="110"/>
  <c r="I1519" i="110"/>
  <c r="H1519" i="110"/>
  <c r="G1519" i="110"/>
  <c r="F1519" i="110"/>
  <c r="E1519" i="110"/>
  <c r="I1518" i="110"/>
  <c r="H1518" i="110"/>
  <c r="G1518" i="110"/>
  <c r="F1518" i="110"/>
  <c r="E1518" i="110"/>
  <c r="I1517" i="110"/>
  <c r="H1517" i="110"/>
  <c r="G1517" i="110"/>
  <c r="F1517" i="110"/>
  <c r="E1517" i="110"/>
  <c r="I1516" i="110"/>
  <c r="H1516" i="110"/>
  <c r="G1516" i="110"/>
  <c r="F1516" i="110"/>
  <c r="E1516" i="110"/>
  <c r="I1515" i="110"/>
  <c r="H1515" i="110"/>
  <c r="G1515" i="110"/>
  <c r="F1515" i="110"/>
  <c r="E1515" i="110"/>
  <c r="I1514" i="110"/>
  <c r="H1514" i="110"/>
  <c r="G1514" i="110"/>
  <c r="F1514" i="110"/>
  <c r="E1514" i="110"/>
  <c r="I1513" i="110"/>
  <c r="H1513" i="110"/>
  <c r="G1513" i="110"/>
  <c r="F1513" i="110"/>
  <c r="E1513" i="110"/>
  <c r="I1512" i="110"/>
  <c r="H1512" i="110"/>
  <c r="G1512" i="110"/>
  <c r="F1512" i="110"/>
  <c r="E1512" i="110"/>
  <c r="I1511" i="110"/>
  <c r="H1511" i="110"/>
  <c r="G1511" i="110"/>
  <c r="F1511" i="110"/>
  <c r="E1511" i="110"/>
  <c r="I1510" i="110"/>
  <c r="H1510" i="110"/>
  <c r="G1510" i="110"/>
  <c r="F1510" i="110"/>
  <c r="E1510" i="110"/>
  <c r="I1509" i="110"/>
  <c r="H1509" i="110"/>
  <c r="G1509" i="110"/>
  <c r="F1509" i="110"/>
  <c r="E1509" i="110"/>
  <c r="I1508" i="110"/>
  <c r="H1508" i="110"/>
  <c r="G1508" i="110"/>
  <c r="F1508" i="110"/>
  <c r="E1508" i="110"/>
  <c r="I1507" i="110"/>
  <c r="H1507" i="110"/>
  <c r="G1507" i="110"/>
  <c r="F1507" i="110"/>
  <c r="E1507" i="110"/>
  <c r="I1506" i="110"/>
  <c r="H1506" i="110"/>
  <c r="G1506" i="110"/>
  <c r="F1506" i="110"/>
  <c r="E1506" i="110"/>
  <c r="I1505" i="110"/>
  <c r="H1505" i="110"/>
  <c r="G1505" i="110"/>
  <c r="F1505" i="110"/>
  <c r="E1505" i="110"/>
  <c r="I1504" i="110"/>
  <c r="H1504" i="110"/>
  <c r="G1504" i="110"/>
  <c r="F1504" i="110"/>
  <c r="E1504" i="110"/>
  <c r="I1503" i="110"/>
  <c r="H1503" i="110"/>
  <c r="G1503" i="110"/>
  <c r="F1503" i="110"/>
  <c r="E1503" i="110"/>
  <c r="I1502" i="110"/>
  <c r="H1502" i="110"/>
  <c r="G1502" i="110"/>
  <c r="F1502" i="110"/>
  <c r="E1502" i="110"/>
  <c r="I1501" i="110"/>
  <c r="H1501" i="110"/>
  <c r="G1501" i="110"/>
  <c r="F1501" i="110"/>
  <c r="E1501" i="110"/>
  <c r="I1500" i="110"/>
  <c r="H1500" i="110"/>
  <c r="G1500" i="110"/>
  <c r="F1500" i="110"/>
  <c r="E1500" i="110"/>
  <c r="I1499" i="110"/>
  <c r="H1499" i="110"/>
  <c r="G1499" i="110"/>
  <c r="F1499" i="110"/>
  <c r="E1499" i="110"/>
  <c r="I1498" i="110"/>
  <c r="H1498" i="110"/>
  <c r="G1498" i="110"/>
  <c r="F1498" i="110"/>
  <c r="E1498" i="110"/>
  <c r="I1497" i="110"/>
  <c r="H1497" i="110"/>
  <c r="G1497" i="110"/>
  <c r="F1497" i="110"/>
  <c r="E1497" i="110"/>
  <c r="I1496" i="110"/>
  <c r="H1496" i="110"/>
  <c r="G1496" i="110"/>
  <c r="F1496" i="110"/>
  <c r="E1496" i="110"/>
  <c r="I1495" i="110"/>
  <c r="H1495" i="110"/>
  <c r="G1495" i="110"/>
  <c r="F1495" i="110"/>
  <c r="E1495" i="110"/>
  <c r="I1494" i="110"/>
  <c r="H1494" i="110"/>
  <c r="G1494" i="110"/>
  <c r="F1494" i="110"/>
  <c r="E1494" i="110"/>
  <c r="I1493" i="110"/>
  <c r="H1493" i="110"/>
  <c r="G1493" i="110"/>
  <c r="F1493" i="110"/>
  <c r="E1493" i="110"/>
  <c r="I1492" i="110"/>
  <c r="H1492" i="110"/>
  <c r="G1492" i="110"/>
  <c r="F1492" i="110"/>
  <c r="E1492" i="110"/>
  <c r="I1491" i="110"/>
  <c r="H1491" i="110"/>
  <c r="G1491" i="110"/>
  <c r="F1491" i="110"/>
  <c r="E1491" i="110"/>
  <c r="I1490" i="110"/>
  <c r="H1490" i="110"/>
  <c r="G1490" i="110"/>
  <c r="F1490" i="110"/>
  <c r="E1490" i="110"/>
  <c r="I1489" i="110"/>
  <c r="H1489" i="110"/>
  <c r="G1489" i="110"/>
  <c r="F1489" i="110"/>
  <c r="E1489" i="110"/>
  <c r="I1488" i="110"/>
  <c r="H1488" i="110"/>
  <c r="G1488" i="110"/>
  <c r="F1488" i="110"/>
  <c r="E1488" i="110"/>
  <c r="I1487" i="110"/>
  <c r="H1487" i="110"/>
  <c r="G1487" i="110"/>
  <c r="F1487" i="110"/>
  <c r="E1487" i="110"/>
  <c r="I1486" i="110"/>
  <c r="H1486" i="110"/>
  <c r="G1486" i="110"/>
  <c r="F1486" i="110"/>
  <c r="E1486" i="110"/>
  <c r="I1485" i="110"/>
  <c r="H1485" i="110"/>
  <c r="G1485" i="110"/>
  <c r="F1485" i="110"/>
  <c r="E1485" i="110"/>
  <c r="I1484" i="110"/>
  <c r="H1484" i="110"/>
  <c r="G1484" i="110"/>
  <c r="F1484" i="110"/>
  <c r="E1484" i="110"/>
  <c r="I1483" i="110"/>
  <c r="H1483" i="110"/>
  <c r="G1483" i="110"/>
  <c r="F1483" i="110"/>
  <c r="E1483" i="110"/>
  <c r="I1482" i="110"/>
  <c r="H1482" i="110"/>
  <c r="G1482" i="110"/>
  <c r="F1482" i="110"/>
  <c r="E1482" i="110"/>
  <c r="I1481" i="110"/>
  <c r="H1481" i="110"/>
  <c r="G1481" i="110"/>
  <c r="F1481" i="110"/>
  <c r="E1481" i="110"/>
  <c r="I1480" i="110"/>
  <c r="H1480" i="110"/>
  <c r="G1480" i="110"/>
  <c r="F1480" i="110"/>
  <c r="E1480" i="110"/>
  <c r="I1479" i="110"/>
  <c r="H1479" i="110"/>
  <c r="G1479" i="110"/>
  <c r="F1479" i="110"/>
  <c r="E1479" i="110"/>
  <c r="I1478" i="110"/>
  <c r="H1478" i="110"/>
  <c r="G1478" i="110"/>
  <c r="F1478" i="110"/>
  <c r="E1478" i="110"/>
  <c r="I1477" i="110"/>
  <c r="H1477" i="110"/>
  <c r="G1477" i="110"/>
  <c r="F1477" i="110"/>
  <c r="E1477" i="110"/>
  <c r="I1476" i="110"/>
  <c r="H1476" i="110"/>
  <c r="G1476" i="110"/>
  <c r="F1476" i="110"/>
  <c r="E1476" i="110"/>
  <c r="I1475" i="110"/>
  <c r="H1475" i="110"/>
  <c r="G1475" i="110"/>
  <c r="F1475" i="110"/>
  <c r="E1475" i="110"/>
  <c r="I1474" i="110"/>
  <c r="H1474" i="110"/>
  <c r="G1474" i="110"/>
  <c r="F1474" i="110"/>
  <c r="E1474" i="110"/>
  <c r="I1473" i="110"/>
  <c r="H1473" i="110"/>
  <c r="G1473" i="110"/>
  <c r="F1473" i="110"/>
  <c r="E1473" i="110"/>
  <c r="I1472" i="110"/>
  <c r="H1472" i="110"/>
  <c r="G1472" i="110"/>
  <c r="F1472" i="110"/>
  <c r="E1472" i="110"/>
  <c r="I1471" i="110"/>
  <c r="H1471" i="110"/>
  <c r="G1471" i="110"/>
  <c r="F1471" i="110"/>
  <c r="E1471" i="110"/>
  <c r="I1470" i="110"/>
  <c r="H1470" i="110"/>
  <c r="G1470" i="110"/>
  <c r="F1470" i="110"/>
  <c r="E1470" i="110"/>
  <c r="I1469" i="110"/>
  <c r="H1469" i="110"/>
  <c r="G1469" i="110"/>
  <c r="F1469" i="110"/>
  <c r="E1469" i="110"/>
  <c r="I1468" i="110"/>
  <c r="H1468" i="110"/>
  <c r="G1468" i="110"/>
  <c r="F1468" i="110"/>
  <c r="E1468" i="110"/>
  <c r="I1467" i="110"/>
  <c r="H1467" i="110"/>
  <c r="G1467" i="110"/>
  <c r="F1467" i="110"/>
  <c r="E1467" i="110"/>
  <c r="I1466" i="110"/>
  <c r="H1466" i="110"/>
  <c r="G1466" i="110"/>
  <c r="F1466" i="110"/>
  <c r="E1466" i="110"/>
  <c r="I1465" i="110"/>
  <c r="H1465" i="110"/>
  <c r="G1465" i="110"/>
  <c r="F1465" i="110"/>
  <c r="E1465" i="110"/>
  <c r="I1464" i="110"/>
  <c r="H1464" i="110"/>
  <c r="G1464" i="110"/>
  <c r="F1464" i="110"/>
  <c r="E1464" i="110"/>
  <c r="I1463" i="110"/>
  <c r="H1463" i="110"/>
  <c r="G1463" i="110"/>
  <c r="F1463" i="110"/>
  <c r="E1463" i="110"/>
  <c r="I1462" i="110"/>
  <c r="H1462" i="110"/>
  <c r="G1462" i="110"/>
  <c r="F1462" i="110"/>
  <c r="E1462" i="110"/>
  <c r="I1461" i="110"/>
  <c r="H1461" i="110"/>
  <c r="G1461" i="110"/>
  <c r="F1461" i="110"/>
  <c r="E1461" i="110"/>
  <c r="I1460" i="110"/>
  <c r="H1460" i="110"/>
  <c r="G1460" i="110"/>
  <c r="F1460" i="110"/>
  <c r="E1460" i="110"/>
  <c r="I1459" i="110"/>
  <c r="H1459" i="110"/>
  <c r="G1459" i="110"/>
  <c r="F1459" i="110"/>
  <c r="E1459" i="110"/>
  <c r="I1458" i="110"/>
  <c r="H1458" i="110"/>
  <c r="G1458" i="110"/>
  <c r="F1458" i="110"/>
  <c r="E1458" i="110"/>
  <c r="I1457" i="110"/>
  <c r="H1457" i="110"/>
  <c r="G1457" i="110"/>
  <c r="F1457" i="110"/>
  <c r="E1457" i="110"/>
  <c r="I1456" i="110"/>
  <c r="H1456" i="110"/>
  <c r="G1456" i="110"/>
  <c r="F1456" i="110"/>
  <c r="E1456" i="110"/>
  <c r="I1455" i="110"/>
  <c r="H1455" i="110"/>
  <c r="G1455" i="110"/>
  <c r="F1455" i="110"/>
  <c r="E1455" i="110"/>
  <c r="I1454" i="110"/>
  <c r="H1454" i="110"/>
  <c r="G1454" i="110"/>
  <c r="F1454" i="110"/>
  <c r="E1454" i="110"/>
  <c r="I1453" i="110"/>
  <c r="H1453" i="110"/>
  <c r="G1453" i="110"/>
  <c r="F1453" i="110"/>
  <c r="E1453" i="110"/>
  <c r="I1452" i="110"/>
  <c r="H1452" i="110"/>
  <c r="G1452" i="110"/>
  <c r="F1452" i="110"/>
  <c r="E1452" i="110"/>
  <c r="I1451" i="110"/>
  <c r="H1451" i="110"/>
  <c r="G1451" i="110"/>
  <c r="F1451" i="110"/>
  <c r="E1451" i="110"/>
  <c r="I1450" i="110"/>
  <c r="H1450" i="110"/>
  <c r="G1450" i="110"/>
  <c r="F1450" i="110"/>
  <c r="E1450" i="110"/>
  <c r="I1449" i="110"/>
  <c r="H1449" i="110"/>
  <c r="G1449" i="110"/>
  <c r="F1449" i="110"/>
  <c r="E1449" i="110"/>
  <c r="I1448" i="110"/>
  <c r="H1448" i="110"/>
  <c r="G1448" i="110"/>
  <c r="F1448" i="110"/>
  <c r="E1448" i="110"/>
  <c r="I1447" i="110"/>
  <c r="H1447" i="110"/>
  <c r="G1447" i="110"/>
  <c r="F1447" i="110"/>
  <c r="E1447" i="110"/>
  <c r="I1446" i="110"/>
  <c r="H1446" i="110"/>
  <c r="G1446" i="110"/>
  <c r="F1446" i="110"/>
  <c r="E1446" i="110"/>
  <c r="I1445" i="110"/>
  <c r="H1445" i="110"/>
  <c r="G1445" i="110"/>
  <c r="F1445" i="110"/>
  <c r="E1445" i="110"/>
  <c r="I1444" i="110"/>
  <c r="H1444" i="110"/>
  <c r="G1444" i="110"/>
  <c r="F1444" i="110"/>
  <c r="E1444" i="110"/>
  <c r="I1443" i="110"/>
  <c r="H1443" i="110"/>
  <c r="G1443" i="110"/>
  <c r="F1443" i="110"/>
  <c r="E1443" i="110"/>
  <c r="I1442" i="110"/>
  <c r="H1442" i="110"/>
  <c r="G1442" i="110"/>
  <c r="F1442" i="110"/>
  <c r="E1442" i="110"/>
  <c r="I1441" i="110"/>
  <c r="H1441" i="110"/>
  <c r="G1441" i="110"/>
  <c r="F1441" i="110"/>
  <c r="E1441" i="110"/>
  <c r="I1440" i="110"/>
  <c r="H1440" i="110"/>
  <c r="G1440" i="110"/>
  <c r="F1440" i="110"/>
  <c r="E1440" i="110"/>
  <c r="I1439" i="110"/>
  <c r="H1439" i="110"/>
  <c r="G1439" i="110"/>
  <c r="F1439" i="110"/>
  <c r="E1439" i="110"/>
  <c r="I1438" i="110"/>
  <c r="H1438" i="110"/>
  <c r="G1438" i="110"/>
  <c r="F1438" i="110"/>
  <c r="E1438" i="110"/>
  <c r="I1437" i="110"/>
  <c r="H1437" i="110"/>
  <c r="G1437" i="110"/>
  <c r="F1437" i="110"/>
  <c r="E1437" i="110"/>
  <c r="I1436" i="110"/>
  <c r="H1436" i="110"/>
  <c r="G1436" i="110"/>
  <c r="F1436" i="110"/>
  <c r="E1436" i="110"/>
  <c r="I1435" i="110"/>
  <c r="H1435" i="110"/>
  <c r="G1435" i="110"/>
  <c r="F1435" i="110"/>
  <c r="E1435" i="110"/>
  <c r="I1434" i="110"/>
  <c r="H1434" i="110"/>
  <c r="G1434" i="110"/>
  <c r="F1434" i="110"/>
  <c r="E1434" i="110"/>
  <c r="I1433" i="110"/>
  <c r="H1433" i="110"/>
  <c r="G1433" i="110"/>
  <c r="F1433" i="110"/>
  <c r="E1433" i="110"/>
  <c r="I1432" i="110"/>
  <c r="H1432" i="110"/>
  <c r="G1432" i="110"/>
  <c r="F1432" i="110"/>
  <c r="E1432" i="110"/>
  <c r="I1431" i="110"/>
  <c r="H1431" i="110"/>
  <c r="G1431" i="110"/>
  <c r="F1431" i="110"/>
  <c r="E1431" i="110"/>
  <c r="I1430" i="110"/>
  <c r="H1430" i="110"/>
  <c r="G1430" i="110"/>
  <c r="F1430" i="110"/>
  <c r="E1430" i="110"/>
  <c r="I1429" i="110"/>
  <c r="H1429" i="110"/>
  <c r="G1429" i="110"/>
  <c r="F1429" i="110"/>
  <c r="E1429" i="110"/>
  <c r="I1428" i="110"/>
  <c r="H1428" i="110"/>
  <c r="G1428" i="110"/>
  <c r="F1428" i="110"/>
  <c r="E1428" i="110"/>
  <c r="I1427" i="110"/>
  <c r="H1427" i="110"/>
  <c r="G1427" i="110"/>
  <c r="F1427" i="110"/>
  <c r="E1427" i="110"/>
  <c r="I1426" i="110"/>
  <c r="H1426" i="110"/>
  <c r="G1426" i="110"/>
  <c r="F1426" i="110"/>
  <c r="E1426" i="110"/>
  <c r="I1425" i="110"/>
  <c r="H1425" i="110"/>
  <c r="G1425" i="110"/>
  <c r="F1425" i="110"/>
  <c r="E1425" i="110"/>
  <c r="I1424" i="110"/>
  <c r="H1424" i="110"/>
  <c r="G1424" i="110"/>
  <c r="F1424" i="110"/>
  <c r="E1424" i="110"/>
  <c r="I1423" i="110"/>
  <c r="H1423" i="110"/>
  <c r="G1423" i="110"/>
  <c r="F1423" i="110"/>
  <c r="E1423" i="110"/>
  <c r="I1422" i="110"/>
  <c r="H1422" i="110"/>
  <c r="G1422" i="110"/>
  <c r="F1422" i="110"/>
  <c r="E1422" i="110"/>
  <c r="I1421" i="110"/>
  <c r="H1421" i="110"/>
  <c r="G1421" i="110"/>
  <c r="F1421" i="110"/>
  <c r="E1421" i="110"/>
  <c r="I1420" i="110"/>
  <c r="H1420" i="110"/>
  <c r="G1420" i="110"/>
  <c r="F1420" i="110"/>
  <c r="E1420" i="110"/>
  <c r="I1419" i="110"/>
  <c r="H1419" i="110"/>
  <c r="G1419" i="110"/>
  <c r="F1419" i="110"/>
  <c r="E1419" i="110"/>
  <c r="I1418" i="110"/>
  <c r="H1418" i="110"/>
  <c r="G1418" i="110"/>
  <c r="F1418" i="110"/>
  <c r="E1418" i="110"/>
  <c r="I1417" i="110"/>
  <c r="H1417" i="110"/>
  <c r="G1417" i="110"/>
  <c r="F1417" i="110"/>
  <c r="E1417" i="110"/>
  <c r="I1416" i="110"/>
  <c r="H1416" i="110"/>
  <c r="G1416" i="110"/>
  <c r="F1416" i="110"/>
  <c r="E1416" i="110"/>
  <c r="I1415" i="110"/>
  <c r="H1415" i="110"/>
  <c r="G1415" i="110"/>
  <c r="F1415" i="110"/>
  <c r="E1415" i="110"/>
  <c r="I1414" i="110"/>
  <c r="H1414" i="110"/>
  <c r="G1414" i="110"/>
  <c r="F1414" i="110"/>
  <c r="E1414" i="110"/>
  <c r="I1413" i="110"/>
  <c r="H1413" i="110"/>
  <c r="G1413" i="110"/>
  <c r="F1413" i="110"/>
  <c r="E1413" i="110"/>
  <c r="I1412" i="110"/>
  <c r="H1412" i="110"/>
  <c r="G1412" i="110"/>
  <c r="F1412" i="110"/>
  <c r="E1412" i="110"/>
  <c r="I1411" i="110"/>
  <c r="H1411" i="110"/>
  <c r="G1411" i="110"/>
  <c r="F1411" i="110"/>
  <c r="E1411" i="110"/>
  <c r="I1410" i="110"/>
  <c r="H1410" i="110"/>
  <c r="G1410" i="110"/>
  <c r="F1410" i="110"/>
  <c r="E1410" i="110"/>
  <c r="I1409" i="110"/>
  <c r="H1409" i="110"/>
  <c r="G1409" i="110"/>
  <c r="F1409" i="110"/>
  <c r="E1409" i="110"/>
  <c r="I1408" i="110"/>
  <c r="H1408" i="110"/>
  <c r="G1408" i="110"/>
  <c r="F1408" i="110"/>
  <c r="E1408" i="110"/>
  <c r="I1407" i="110"/>
  <c r="H1407" i="110"/>
  <c r="G1407" i="110"/>
  <c r="F1407" i="110"/>
  <c r="E1407" i="110"/>
  <c r="I1406" i="110"/>
  <c r="H1406" i="110"/>
  <c r="G1406" i="110"/>
  <c r="F1406" i="110"/>
  <c r="E1406" i="110"/>
  <c r="I1405" i="110"/>
  <c r="H1405" i="110"/>
  <c r="G1405" i="110"/>
  <c r="F1405" i="110"/>
  <c r="E1405" i="110"/>
  <c r="I1404" i="110"/>
  <c r="H1404" i="110"/>
  <c r="G1404" i="110"/>
  <c r="F1404" i="110"/>
  <c r="E1404" i="110"/>
  <c r="I1403" i="110"/>
  <c r="H1403" i="110"/>
  <c r="G1403" i="110"/>
  <c r="F1403" i="110"/>
  <c r="E1403" i="110"/>
  <c r="I1402" i="110"/>
  <c r="H1402" i="110"/>
  <c r="G1402" i="110"/>
  <c r="F1402" i="110"/>
  <c r="E1402" i="110"/>
  <c r="I1401" i="110"/>
  <c r="H1401" i="110"/>
  <c r="G1401" i="110"/>
  <c r="F1401" i="110"/>
  <c r="E1401" i="110"/>
  <c r="I1400" i="110"/>
  <c r="H1400" i="110"/>
  <c r="G1400" i="110"/>
  <c r="F1400" i="110"/>
  <c r="E1400" i="110"/>
  <c r="I1399" i="110"/>
  <c r="H1399" i="110"/>
  <c r="G1399" i="110"/>
  <c r="F1399" i="110"/>
  <c r="E1399" i="110"/>
  <c r="I1398" i="110"/>
  <c r="H1398" i="110"/>
  <c r="G1398" i="110"/>
  <c r="F1398" i="110"/>
  <c r="E1398" i="110"/>
  <c r="I1397" i="110"/>
  <c r="H1397" i="110"/>
  <c r="G1397" i="110"/>
  <c r="F1397" i="110"/>
  <c r="E1397" i="110"/>
  <c r="I1396" i="110"/>
  <c r="H1396" i="110"/>
  <c r="G1396" i="110"/>
  <c r="F1396" i="110"/>
  <c r="E1396" i="110"/>
  <c r="I1395" i="110"/>
  <c r="H1395" i="110"/>
  <c r="G1395" i="110"/>
  <c r="F1395" i="110"/>
  <c r="E1395" i="110"/>
  <c r="I1394" i="110"/>
  <c r="H1394" i="110"/>
  <c r="G1394" i="110"/>
  <c r="F1394" i="110"/>
  <c r="E1394" i="110"/>
  <c r="I1393" i="110"/>
  <c r="H1393" i="110"/>
  <c r="G1393" i="110"/>
  <c r="F1393" i="110"/>
  <c r="E1393" i="110"/>
  <c r="I1392" i="110"/>
  <c r="H1392" i="110"/>
  <c r="G1392" i="110"/>
  <c r="F1392" i="110"/>
  <c r="E1392" i="110"/>
  <c r="I1391" i="110"/>
  <c r="H1391" i="110"/>
  <c r="G1391" i="110"/>
  <c r="F1391" i="110"/>
  <c r="E1391" i="110"/>
  <c r="I1390" i="110"/>
  <c r="H1390" i="110"/>
  <c r="G1390" i="110"/>
  <c r="F1390" i="110"/>
  <c r="E1390" i="110"/>
  <c r="I1389" i="110"/>
  <c r="H1389" i="110"/>
  <c r="G1389" i="110"/>
  <c r="F1389" i="110"/>
  <c r="E1389" i="110"/>
  <c r="I1388" i="110"/>
  <c r="H1388" i="110"/>
  <c r="G1388" i="110"/>
  <c r="F1388" i="110"/>
  <c r="E1388" i="110"/>
  <c r="I1387" i="110"/>
  <c r="H1387" i="110"/>
  <c r="G1387" i="110"/>
  <c r="F1387" i="110"/>
  <c r="E1387" i="110"/>
  <c r="I1386" i="110"/>
  <c r="H1386" i="110"/>
  <c r="G1386" i="110"/>
  <c r="F1386" i="110"/>
  <c r="E1386" i="110"/>
  <c r="I1385" i="110"/>
  <c r="H1385" i="110"/>
  <c r="G1385" i="110"/>
  <c r="F1385" i="110"/>
  <c r="E1385" i="110"/>
  <c r="I1384" i="110"/>
  <c r="H1384" i="110"/>
  <c r="G1384" i="110"/>
  <c r="F1384" i="110"/>
  <c r="E1384" i="110"/>
  <c r="I1383" i="110"/>
  <c r="H1383" i="110"/>
  <c r="G1383" i="110"/>
  <c r="F1383" i="110"/>
  <c r="E1383" i="110"/>
  <c r="I1382" i="110"/>
  <c r="H1382" i="110"/>
  <c r="G1382" i="110"/>
  <c r="F1382" i="110"/>
  <c r="E1382" i="110"/>
  <c r="I1381" i="110"/>
  <c r="H1381" i="110"/>
  <c r="G1381" i="110"/>
  <c r="F1381" i="110"/>
  <c r="E1381" i="110"/>
  <c r="I1380" i="110"/>
  <c r="H1380" i="110"/>
  <c r="G1380" i="110"/>
  <c r="F1380" i="110"/>
  <c r="E1380" i="110"/>
  <c r="I1379" i="110"/>
  <c r="H1379" i="110"/>
  <c r="G1379" i="110"/>
  <c r="F1379" i="110"/>
  <c r="E1379" i="110"/>
  <c r="I1378" i="110"/>
  <c r="H1378" i="110"/>
  <c r="G1378" i="110"/>
  <c r="F1378" i="110"/>
  <c r="E1378" i="110"/>
  <c r="I1377" i="110"/>
  <c r="H1377" i="110"/>
  <c r="G1377" i="110"/>
  <c r="F1377" i="110"/>
  <c r="E1377" i="110"/>
  <c r="I1376" i="110"/>
  <c r="H1376" i="110"/>
  <c r="G1376" i="110"/>
  <c r="F1376" i="110"/>
  <c r="E1376" i="110"/>
  <c r="I1375" i="110"/>
  <c r="H1375" i="110"/>
  <c r="G1375" i="110"/>
  <c r="F1375" i="110"/>
  <c r="E1375" i="110"/>
  <c r="I1374" i="110"/>
  <c r="H1374" i="110"/>
  <c r="G1374" i="110"/>
  <c r="F1374" i="110"/>
  <c r="E1374" i="110"/>
  <c r="I1373" i="110"/>
  <c r="H1373" i="110"/>
  <c r="G1373" i="110"/>
  <c r="F1373" i="110"/>
  <c r="E1373" i="110"/>
  <c r="I1372" i="110"/>
  <c r="H1372" i="110"/>
  <c r="G1372" i="110"/>
  <c r="F1372" i="110"/>
  <c r="E1372" i="110"/>
  <c r="I1371" i="110"/>
  <c r="H1371" i="110"/>
  <c r="G1371" i="110"/>
  <c r="F1371" i="110"/>
  <c r="E1371" i="110"/>
  <c r="I1370" i="110"/>
  <c r="H1370" i="110"/>
  <c r="G1370" i="110"/>
  <c r="F1370" i="110"/>
  <c r="E1370" i="110"/>
  <c r="I1369" i="110"/>
  <c r="H1369" i="110"/>
  <c r="G1369" i="110"/>
  <c r="F1369" i="110"/>
  <c r="E1369" i="110"/>
  <c r="I1368" i="110"/>
  <c r="H1368" i="110"/>
  <c r="G1368" i="110"/>
  <c r="F1368" i="110"/>
  <c r="E1368" i="110"/>
  <c r="I1367" i="110"/>
  <c r="H1367" i="110"/>
  <c r="G1367" i="110"/>
  <c r="F1367" i="110"/>
  <c r="E1367" i="110"/>
  <c r="I1366" i="110"/>
  <c r="H1366" i="110"/>
  <c r="G1366" i="110"/>
  <c r="F1366" i="110"/>
  <c r="E1366" i="110"/>
  <c r="I1365" i="110"/>
  <c r="H1365" i="110"/>
  <c r="G1365" i="110"/>
  <c r="F1365" i="110"/>
  <c r="E1365" i="110"/>
  <c r="I1364" i="110"/>
  <c r="H1364" i="110"/>
  <c r="G1364" i="110"/>
  <c r="F1364" i="110"/>
  <c r="E1364" i="110"/>
  <c r="I1363" i="110"/>
  <c r="H1363" i="110"/>
  <c r="G1363" i="110"/>
  <c r="F1363" i="110"/>
  <c r="E1363" i="110"/>
  <c r="I1362" i="110"/>
  <c r="H1362" i="110"/>
  <c r="G1362" i="110"/>
  <c r="F1362" i="110"/>
  <c r="E1362" i="110"/>
  <c r="I1361" i="110"/>
  <c r="H1361" i="110"/>
  <c r="G1361" i="110"/>
  <c r="F1361" i="110"/>
  <c r="E1361" i="110"/>
  <c r="I1360" i="110"/>
  <c r="H1360" i="110"/>
  <c r="G1360" i="110"/>
  <c r="F1360" i="110"/>
  <c r="E1360" i="110"/>
  <c r="I1359" i="110"/>
  <c r="H1359" i="110"/>
  <c r="G1359" i="110"/>
  <c r="F1359" i="110"/>
  <c r="E1359" i="110"/>
  <c r="I1358" i="110"/>
  <c r="H1358" i="110"/>
  <c r="G1358" i="110"/>
  <c r="F1358" i="110"/>
  <c r="E1358" i="110"/>
  <c r="I1357" i="110"/>
  <c r="H1357" i="110"/>
  <c r="G1357" i="110"/>
  <c r="F1357" i="110"/>
  <c r="E1357" i="110"/>
  <c r="I1356" i="110"/>
  <c r="H1356" i="110"/>
  <c r="G1356" i="110"/>
  <c r="F1356" i="110"/>
  <c r="E1356" i="110"/>
  <c r="I1355" i="110"/>
  <c r="H1355" i="110"/>
  <c r="G1355" i="110"/>
  <c r="F1355" i="110"/>
  <c r="E1355" i="110"/>
  <c r="I1354" i="110"/>
  <c r="H1354" i="110"/>
  <c r="G1354" i="110"/>
  <c r="F1354" i="110"/>
  <c r="E1354" i="110"/>
  <c r="I1353" i="110"/>
  <c r="H1353" i="110"/>
  <c r="G1353" i="110"/>
  <c r="F1353" i="110"/>
  <c r="E1353" i="110"/>
  <c r="I1352" i="110"/>
  <c r="H1352" i="110"/>
  <c r="G1352" i="110"/>
  <c r="F1352" i="110"/>
  <c r="E1352" i="110"/>
  <c r="I1351" i="110"/>
  <c r="H1351" i="110"/>
  <c r="G1351" i="110"/>
  <c r="F1351" i="110"/>
  <c r="E1351" i="110"/>
  <c r="I1350" i="110"/>
  <c r="H1350" i="110"/>
  <c r="G1350" i="110"/>
  <c r="F1350" i="110"/>
  <c r="E1350" i="110"/>
  <c r="I1349" i="110"/>
  <c r="H1349" i="110"/>
  <c r="G1349" i="110"/>
  <c r="F1349" i="110"/>
  <c r="E1349" i="110"/>
  <c r="I1348" i="110"/>
  <c r="H1348" i="110"/>
  <c r="G1348" i="110"/>
  <c r="F1348" i="110"/>
  <c r="E1348" i="110"/>
  <c r="I1347" i="110"/>
  <c r="H1347" i="110"/>
  <c r="G1347" i="110"/>
  <c r="F1347" i="110"/>
  <c r="E1347" i="110"/>
  <c r="I1346" i="110"/>
  <c r="H1346" i="110"/>
  <c r="G1346" i="110"/>
  <c r="F1346" i="110"/>
  <c r="E1346" i="110"/>
  <c r="I1345" i="110"/>
  <c r="H1345" i="110"/>
  <c r="G1345" i="110"/>
  <c r="F1345" i="110"/>
  <c r="E1345" i="110"/>
  <c r="I1344" i="110"/>
  <c r="H1344" i="110"/>
  <c r="G1344" i="110"/>
  <c r="F1344" i="110"/>
  <c r="E1344" i="110"/>
  <c r="I1343" i="110"/>
  <c r="H1343" i="110"/>
  <c r="G1343" i="110"/>
  <c r="F1343" i="110"/>
  <c r="E1343" i="110"/>
  <c r="I1342" i="110"/>
  <c r="H1342" i="110"/>
  <c r="G1342" i="110"/>
  <c r="F1342" i="110"/>
  <c r="E1342" i="110"/>
  <c r="I1341" i="110"/>
  <c r="H1341" i="110"/>
  <c r="G1341" i="110"/>
  <c r="F1341" i="110"/>
  <c r="E1341" i="110"/>
  <c r="I1340" i="110"/>
  <c r="H1340" i="110"/>
  <c r="G1340" i="110"/>
  <c r="F1340" i="110"/>
  <c r="E1340" i="110"/>
  <c r="I1339" i="110"/>
  <c r="H1339" i="110"/>
  <c r="G1339" i="110"/>
  <c r="F1339" i="110"/>
  <c r="E1339" i="110"/>
  <c r="I1338" i="110"/>
  <c r="H1338" i="110"/>
  <c r="G1338" i="110"/>
  <c r="F1338" i="110"/>
  <c r="E1338" i="110"/>
  <c r="I1337" i="110"/>
  <c r="H1337" i="110"/>
  <c r="G1337" i="110"/>
  <c r="F1337" i="110"/>
  <c r="E1337" i="110"/>
  <c r="I1336" i="110"/>
  <c r="H1336" i="110"/>
  <c r="G1336" i="110"/>
  <c r="F1336" i="110"/>
  <c r="E1336" i="110"/>
  <c r="I1335" i="110"/>
  <c r="H1335" i="110"/>
  <c r="G1335" i="110"/>
  <c r="F1335" i="110"/>
  <c r="E1335" i="110"/>
  <c r="I1334" i="110"/>
  <c r="H1334" i="110"/>
  <c r="G1334" i="110"/>
  <c r="F1334" i="110"/>
  <c r="E1334" i="110"/>
  <c r="I1333" i="110"/>
  <c r="H1333" i="110"/>
  <c r="G1333" i="110"/>
  <c r="F1333" i="110"/>
  <c r="E1333" i="110"/>
  <c r="I1332" i="110"/>
  <c r="H1332" i="110"/>
  <c r="G1332" i="110"/>
  <c r="F1332" i="110"/>
  <c r="E1332" i="110"/>
  <c r="I1331" i="110"/>
  <c r="H1331" i="110"/>
  <c r="G1331" i="110"/>
  <c r="F1331" i="110"/>
  <c r="E1331" i="110"/>
  <c r="I1330" i="110"/>
  <c r="H1330" i="110"/>
  <c r="G1330" i="110"/>
  <c r="F1330" i="110"/>
  <c r="E1330" i="110"/>
  <c r="I1329" i="110"/>
  <c r="H1329" i="110"/>
  <c r="G1329" i="110"/>
  <c r="F1329" i="110"/>
  <c r="E1329" i="110"/>
  <c r="I1328" i="110"/>
  <c r="H1328" i="110"/>
  <c r="G1328" i="110"/>
  <c r="F1328" i="110"/>
  <c r="E1328" i="110"/>
  <c r="I1327" i="110"/>
  <c r="H1327" i="110"/>
  <c r="G1327" i="110"/>
  <c r="F1327" i="110"/>
  <c r="E1327" i="110"/>
  <c r="I1326" i="110"/>
  <c r="H1326" i="110"/>
  <c r="G1326" i="110"/>
  <c r="F1326" i="110"/>
  <c r="E1326" i="110"/>
  <c r="I1325" i="110"/>
  <c r="H1325" i="110"/>
  <c r="G1325" i="110"/>
  <c r="F1325" i="110"/>
  <c r="E1325" i="110"/>
  <c r="I1324" i="110"/>
  <c r="H1324" i="110"/>
  <c r="G1324" i="110"/>
  <c r="F1324" i="110"/>
  <c r="E1324" i="110"/>
  <c r="I1323" i="110"/>
  <c r="H1323" i="110"/>
  <c r="G1323" i="110"/>
  <c r="F1323" i="110"/>
  <c r="E1323" i="110"/>
  <c r="I1322" i="110"/>
  <c r="H1322" i="110"/>
  <c r="G1322" i="110"/>
  <c r="F1322" i="110"/>
  <c r="E1322" i="110"/>
  <c r="I1321" i="110"/>
  <c r="H1321" i="110"/>
  <c r="G1321" i="110"/>
  <c r="F1321" i="110"/>
  <c r="E1321" i="110"/>
  <c r="I1320" i="110"/>
  <c r="H1320" i="110"/>
  <c r="G1320" i="110"/>
  <c r="F1320" i="110"/>
  <c r="E1320" i="110"/>
  <c r="I1319" i="110"/>
  <c r="H1319" i="110"/>
  <c r="G1319" i="110"/>
  <c r="F1319" i="110"/>
  <c r="E1319" i="110"/>
  <c r="I1318" i="110"/>
  <c r="H1318" i="110"/>
  <c r="G1318" i="110"/>
  <c r="F1318" i="110"/>
  <c r="E1318" i="110"/>
  <c r="I1317" i="110"/>
  <c r="H1317" i="110"/>
  <c r="G1317" i="110"/>
  <c r="F1317" i="110"/>
  <c r="E1317" i="110"/>
  <c r="I1316" i="110"/>
  <c r="H1316" i="110"/>
  <c r="G1316" i="110"/>
  <c r="F1316" i="110"/>
  <c r="E1316" i="110"/>
  <c r="I1315" i="110"/>
  <c r="H1315" i="110"/>
  <c r="G1315" i="110"/>
  <c r="F1315" i="110"/>
  <c r="E1315" i="110"/>
  <c r="I1314" i="110"/>
  <c r="H1314" i="110"/>
  <c r="G1314" i="110"/>
  <c r="F1314" i="110"/>
  <c r="E1314" i="110"/>
  <c r="I1313" i="110"/>
  <c r="H1313" i="110"/>
  <c r="G1313" i="110"/>
  <c r="F1313" i="110"/>
  <c r="E1313" i="110"/>
  <c r="I1312" i="110"/>
  <c r="H1312" i="110"/>
  <c r="G1312" i="110"/>
  <c r="F1312" i="110"/>
  <c r="E1312" i="110"/>
  <c r="I1311" i="110"/>
  <c r="H1311" i="110"/>
  <c r="G1311" i="110"/>
  <c r="F1311" i="110"/>
  <c r="E1311" i="110"/>
  <c r="I1310" i="110"/>
  <c r="H1310" i="110"/>
  <c r="G1310" i="110"/>
  <c r="F1310" i="110"/>
  <c r="E1310" i="110"/>
  <c r="I1309" i="110"/>
  <c r="H1309" i="110"/>
  <c r="G1309" i="110"/>
  <c r="F1309" i="110"/>
  <c r="E1309" i="110"/>
  <c r="I1308" i="110"/>
  <c r="H1308" i="110"/>
  <c r="G1308" i="110"/>
  <c r="F1308" i="110"/>
  <c r="E1308" i="110"/>
  <c r="I1307" i="110"/>
  <c r="H1307" i="110"/>
  <c r="G1307" i="110"/>
  <c r="F1307" i="110"/>
  <c r="E1307" i="110"/>
  <c r="I1306" i="110"/>
  <c r="H1306" i="110"/>
  <c r="G1306" i="110"/>
  <c r="F1306" i="110"/>
  <c r="E1306" i="110"/>
  <c r="I1305" i="110"/>
  <c r="H1305" i="110"/>
  <c r="G1305" i="110"/>
  <c r="F1305" i="110"/>
  <c r="E1305" i="110"/>
  <c r="I1304" i="110"/>
  <c r="H1304" i="110"/>
  <c r="G1304" i="110"/>
  <c r="F1304" i="110"/>
  <c r="E1304" i="110"/>
  <c r="I1303" i="110"/>
  <c r="H1303" i="110"/>
  <c r="G1303" i="110"/>
  <c r="F1303" i="110"/>
  <c r="E1303" i="110"/>
  <c r="I1302" i="110"/>
  <c r="H1302" i="110"/>
  <c r="G1302" i="110"/>
  <c r="F1302" i="110"/>
  <c r="E1302" i="110"/>
  <c r="I1301" i="110"/>
  <c r="H1301" i="110"/>
  <c r="G1301" i="110"/>
  <c r="F1301" i="110"/>
  <c r="E1301" i="110"/>
  <c r="I1300" i="110"/>
  <c r="H1300" i="110"/>
  <c r="G1300" i="110"/>
  <c r="F1300" i="110"/>
  <c r="E1300" i="110"/>
  <c r="I1299" i="110"/>
  <c r="H1299" i="110"/>
  <c r="G1299" i="110"/>
  <c r="F1299" i="110"/>
  <c r="E1299" i="110"/>
  <c r="I1298" i="110"/>
  <c r="H1298" i="110"/>
  <c r="G1298" i="110"/>
  <c r="F1298" i="110"/>
  <c r="E1298" i="110"/>
  <c r="I1297" i="110"/>
  <c r="H1297" i="110"/>
  <c r="G1297" i="110"/>
  <c r="F1297" i="110"/>
  <c r="E1297" i="110"/>
  <c r="I1296" i="110"/>
  <c r="H1296" i="110"/>
  <c r="G1296" i="110"/>
  <c r="F1296" i="110"/>
  <c r="E1296" i="110"/>
  <c r="I1295" i="110"/>
  <c r="H1295" i="110"/>
  <c r="G1295" i="110"/>
  <c r="F1295" i="110"/>
  <c r="E1295" i="110"/>
  <c r="I1294" i="110"/>
  <c r="H1294" i="110"/>
  <c r="G1294" i="110"/>
  <c r="F1294" i="110"/>
  <c r="E1294" i="110"/>
  <c r="I1293" i="110"/>
  <c r="H1293" i="110"/>
  <c r="G1293" i="110"/>
  <c r="F1293" i="110"/>
  <c r="E1293" i="110"/>
  <c r="I1292" i="110"/>
  <c r="H1292" i="110"/>
  <c r="G1292" i="110"/>
  <c r="F1292" i="110"/>
  <c r="E1292" i="110"/>
  <c r="I1291" i="110"/>
  <c r="H1291" i="110"/>
  <c r="F1291" i="110"/>
  <c r="H1290" i="110"/>
  <c r="G1290" i="110"/>
  <c r="E1290" i="110"/>
  <c r="I1289" i="110"/>
  <c r="H1289" i="110"/>
  <c r="G1289" i="110"/>
  <c r="F1289" i="110"/>
  <c r="I1288" i="110"/>
  <c r="H1288" i="110"/>
  <c r="F1288" i="110"/>
  <c r="I1287" i="110"/>
  <c r="G1287" i="110"/>
  <c r="E1287" i="110"/>
  <c r="I1286" i="110"/>
  <c r="H1286" i="110"/>
  <c r="F1286" i="110"/>
  <c r="H1285" i="110"/>
  <c r="I1284" i="110"/>
  <c r="H1284" i="110"/>
  <c r="E1284" i="110"/>
  <c r="I1283" i="110"/>
  <c r="H1283" i="110"/>
  <c r="F1283" i="110"/>
  <c r="I1282" i="110"/>
  <c r="H1282" i="110"/>
  <c r="F1282" i="110"/>
  <c r="G1281" i="110"/>
  <c r="H1130" i="110"/>
  <c r="F1129" i="110"/>
  <c r="F1128" i="110"/>
  <c r="G1127" i="110"/>
  <c r="G1126" i="110"/>
  <c r="E1126" i="110"/>
  <c r="I1125" i="110"/>
  <c r="F1125" i="110"/>
  <c r="E1870" i="110"/>
  <c r="F1281" i="110"/>
  <c r="E1281" i="110"/>
  <c r="I1280" i="110"/>
  <c r="H1280" i="110"/>
  <c r="G1280" i="110"/>
  <c r="F1280" i="110"/>
  <c r="E1280" i="110"/>
  <c r="I1279" i="110"/>
  <c r="H1279" i="110"/>
  <c r="G1279" i="110"/>
  <c r="F1279" i="110"/>
  <c r="E1279" i="110"/>
  <c r="I1278" i="110"/>
  <c r="H1278" i="110"/>
  <c r="G1278" i="110"/>
  <c r="F1278" i="110"/>
  <c r="E1278" i="110"/>
  <c r="I1277" i="110"/>
  <c r="H1277" i="110"/>
  <c r="G1277" i="110"/>
  <c r="F1277" i="110"/>
  <c r="E1277" i="110"/>
  <c r="I1276" i="110"/>
  <c r="H1276" i="110"/>
  <c r="G1276" i="110"/>
  <c r="F1276" i="110"/>
  <c r="E1276" i="110"/>
  <c r="I1275" i="110"/>
  <c r="H1275" i="110"/>
  <c r="G1275" i="110"/>
  <c r="F1275" i="110"/>
  <c r="E1275" i="110"/>
  <c r="I1274" i="110"/>
  <c r="H1274" i="110"/>
  <c r="G1274" i="110"/>
  <c r="F1274" i="110"/>
  <c r="E1274" i="110"/>
  <c r="I1273" i="110"/>
  <c r="H1273" i="110"/>
  <c r="G1273" i="110"/>
  <c r="F1273" i="110"/>
  <c r="E1273" i="110"/>
  <c r="I1272" i="110"/>
  <c r="H1272" i="110"/>
  <c r="G1272" i="110"/>
  <c r="F1272" i="110"/>
  <c r="E1272" i="110"/>
  <c r="I1271" i="110"/>
  <c r="H1271" i="110"/>
  <c r="G1271" i="110"/>
  <c r="F1271" i="110"/>
  <c r="E1271" i="110"/>
  <c r="I1270" i="110"/>
  <c r="H1270" i="110"/>
  <c r="G1270" i="110"/>
  <c r="F1270" i="110"/>
  <c r="E1270" i="110"/>
  <c r="I1269" i="110"/>
  <c r="H1269" i="110"/>
  <c r="G1269" i="110"/>
  <c r="F1269" i="110"/>
  <c r="E1269" i="110"/>
  <c r="I1268" i="110"/>
  <c r="H1268" i="110"/>
  <c r="G1268" i="110"/>
  <c r="F1268" i="110"/>
  <c r="E1268" i="110"/>
  <c r="I1267" i="110"/>
  <c r="H1267" i="110"/>
  <c r="G1267" i="110"/>
  <c r="F1267" i="110"/>
  <c r="E1267" i="110"/>
  <c r="I1266" i="110"/>
  <c r="H1266" i="110"/>
  <c r="G1266" i="110"/>
  <c r="F1266" i="110"/>
  <c r="E1266" i="110"/>
  <c r="I1265" i="110"/>
  <c r="H1265" i="110"/>
  <c r="G1265" i="110"/>
  <c r="F1265" i="110"/>
  <c r="E1265" i="110"/>
  <c r="I1264" i="110"/>
  <c r="H1264" i="110"/>
  <c r="G1264" i="110"/>
  <c r="F1264" i="110"/>
  <c r="E1264" i="110"/>
  <c r="I1263" i="110"/>
  <c r="H1263" i="110"/>
  <c r="G1263" i="110"/>
  <c r="F1263" i="110"/>
  <c r="E1263" i="110"/>
  <c r="I1262" i="110"/>
  <c r="H1262" i="110"/>
  <c r="G1262" i="110"/>
  <c r="F1262" i="110"/>
  <c r="E1262" i="110"/>
  <c r="I1261" i="110"/>
  <c r="H1261" i="110"/>
  <c r="G1261" i="110"/>
  <c r="F1261" i="110"/>
  <c r="E1261" i="110"/>
  <c r="I1260" i="110"/>
  <c r="H1260" i="110"/>
  <c r="G1260" i="110"/>
  <c r="F1260" i="110"/>
  <c r="E1260" i="110"/>
  <c r="I1259" i="110"/>
  <c r="H1259" i="110"/>
  <c r="G1259" i="110"/>
  <c r="F1259" i="110"/>
  <c r="E1259" i="110"/>
  <c r="I1258" i="110"/>
  <c r="H1258" i="110"/>
  <c r="G1258" i="110"/>
  <c r="F1258" i="110"/>
  <c r="E1258" i="110"/>
  <c r="I1257" i="110"/>
  <c r="H1257" i="110"/>
  <c r="G1257" i="110"/>
  <c r="F1257" i="110"/>
  <c r="E1257" i="110"/>
  <c r="I1256" i="110"/>
  <c r="H1256" i="110"/>
  <c r="G1256" i="110"/>
  <c r="F1256" i="110"/>
  <c r="E1256" i="110"/>
  <c r="I1255" i="110"/>
  <c r="H1255" i="110"/>
  <c r="G1255" i="110"/>
  <c r="F1255" i="110"/>
  <c r="E1255" i="110"/>
  <c r="I1254" i="110"/>
  <c r="H1254" i="110"/>
  <c r="G1254" i="110"/>
  <c r="F1254" i="110"/>
  <c r="E1254" i="110"/>
  <c r="I1253" i="110"/>
  <c r="H1253" i="110"/>
  <c r="G1253" i="110"/>
  <c r="F1253" i="110"/>
  <c r="E1253" i="110"/>
  <c r="I1252" i="110"/>
  <c r="H1252" i="110"/>
  <c r="G1252" i="110"/>
  <c r="F1252" i="110"/>
  <c r="E1252" i="110"/>
  <c r="I1251" i="110"/>
  <c r="H1251" i="110"/>
  <c r="G1251" i="110"/>
  <c r="F1251" i="110"/>
  <c r="E1251" i="110"/>
  <c r="I1250" i="110"/>
  <c r="H1250" i="110"/>
  <c r="G1250" i="110"/>
  <c r="F1250" i="110"/>
  <c r="E1250" i="110"/>
  <c r="I1249" i="110"/>
  <c r="H1249" i="110"/>
  <c r="G1249" i="110"/>
  <c r="F1249" i="110"/>
  <c r="E1249" i="110"/>
  <c r="I1248" i="110"/>
  <c r="H1248" i="110"/>
  <c r="G1248" i="110"/>
  <c r="F1248" i="110"/>
  <c r="E1248" i="110"/>
  <c r="I1247" i="110"/>
  <c r="H1247" i="110"/>
  <c r="G1247" i="110"/>
  <c r="F1247" i="110"/>
  <c r="E1247" i="110"/>
  <c r="I1246" i="110"/>
  <c r="H1246" i="110"/>
  <c r="G1246" i="110"/>
  <c r="F1246" i="110"/>
  <c r="E1246" i="110"/>
  <c r="I1245" i="110"/>
  <c r="H1245" i="110"/>
  <c r="G1245" i="110"/>
  <c r="F1245" i="110"/>
  <c r="E1245" i="110"/>
  <c r="I1244" i="110"/>
  <c r="H1244" i="110"/>
  <c r="G1244" i="110"/>
  <c r="F1244" i="110"/>
  <c r="E1244" i="110"/>
  <c r="I1243" i="110"/>
  <c r="H1243" i="110"/>
  <c r="G1243" i="110"/>
  <c r="F1243" i="110"/>
  <c r="E1243" i="110"/>
  <c r="I1242" i="110"/>
  <c r="H1242" i="110"/>
  <c r="G1242" i="110"/>
  <c r="F1242" i="110"/>
  <c r="E1242" i="110"/>
  <c r="I1241" i="110"/>
  <c r="H1241" i="110"/>
  <c r="G1241" i="110"/>
  <c r="F1241" i="110"/>
  <c r="E1241" i="110"/>
  <c r="I1240" i="110"/>
  <c r="H1240" i="110"/>
  <c r="G1240" i="110"/>
  <c r="F1240" i="110"/>
  <c r="E1240" i="110"/>
  <c r="I1239" i="110"/>
  <c r="H1239" i="110"/>
  <c r="G1239" i="110"/>
  <c r="F1239" i="110"/>
  <c r="E1239" i="110"/>
  <c r="I1238" i="110"/>
  <c r="H1238" i="110"/>
  <c r="G1238" i="110"/>
  <c r="F1238" i="110"/>
  <c r="E1238" i="110"/>
  <c r="I1237" i="110"/>
  <c r="H1237" i="110"/>
  <c r="G1237" i="110"/>
  <c r="F1237" i="110"/>
  <c r="E1237" i="110"/>
  <c r="I1236" i="110"/>
  <c r="H1236" i="110"/>
  <c r="G1236" i="110"/>
  <c r="F1236" i="110"/>
  <c r="E1236" i="110"/>
  <c r="I1235" i="110"/>
  <c r="H1235" i="110"/>
  <c r="G1235" i="110"/>
  <c r="F1235" i="110"/>
  <c r="E1235" i="110"/>
  <c r="I1234" i="110"/>
  <c r="H1234" i="110"/>
  <c r="G1234" i="110"/>
  <c r="F1234" i="110"/>
  <c r="E1234" i="110"/>
  <c r="I1233" i="110"/>
  <c r="H1233" i="110"/>
  <c r="G1233" i="110"/>
  <c r="F1233" i="110"/>
  <c r="E1233" i="110"/>
  <c r="I1232" i="110"/>
  <c r="H1232" i="110"/>
  <c r="G1232" i="110"/>
  <c r="F1232" i="110"/>
  <c r="E1232" i="110"/>
  <c r="I1231" i="110"/>
  <c r="H1231" i="110"/>
  <c r="G1231" i="110"/>
  <c r="F1231" i="110"/>
  <c r="E1231" i="110"/>
  <c r="I1230" i="110"/>
  <c r="H1230" i="110"/>
  <c r="G1230" i="110"/>
  <c r="F1230" i="110"/>
  <c r="E1230" i="110"/>
  <c r="I1229" i="110"/>
  <c r="H1229" i="110"/>
  <c r="G1229" i="110"/>
  <c r="F1229" i="110"/>
  <c r="E1229" i="110"/>
  <c r="I1228" i="110"/>
  <c r="H1228" i="110"/>
  <c r="G1228" i="110"/>
  <c r="F1228" i="110"/>
  <c r="E1228" i="110"/>
  <c r="I1227" i="110"/>
  <c r="H1227" i="110"/>
  <c r="G1227" i="110"/>
  <c r="F1227" i="110"/>
  <c r="E1227" i="110"/>
  <c r="I1226" i="110"/>
  <c r="H1226" i="110"/>
  <c r="G1226" i="110"/>
  <c r="F1226" i="110"/>
  <c r="E1226" i="110"/>
  <c r="I1225" i="110"/>
  <c r="H1225" i="110"/>
  <c r="G1225" i="110"/>
  <c r="F1225" i="110"/>
  <c r="E1225" i="110"/>
  <c r="I1224" i="110"/>
  <c r="H1224" i="110"/>
  <c r="G1224" i="110"/>
  <c r="F1224" i="110"/>
  <c r="E1224" i="110"/>
  <c r="I1223" i="110"/>
  <c r="H1223" i="110"/>
  <c r="G1223" i="110"/>
  <c r="F1223" i="110"/>
  <c r="E1223" i="110"/>
  <c r="I1222" i="110"/>
  <c r="H1222" i="110"/>
  <c r="G1222" i="110"/>
  <c r="F1222" i="110"/>
  <c r="E1222" i="110"/>
  <c r="I1221" i="110"/>
  <c r="H1221" i="110"/>
  <c r="G1221" i="110"/>
  <c r="F1221" i="110"/>
  <c r="E1221" i="110"/>
  <c r="I1220" i="110"/>
  <c r="H1220" i="110"/>
  <c r="G1220" i="110"/>
  <c r="F1220" i="110"/>
  <c r="E1220" i="110"/>
  <c r="I1219" i="110"/>
  <c r="H1219" i="110"/>
  <c r="G1219" i="110"/>
  <c r="F1219" i="110"/>
  <c r="E1219" i="110"/>
  <c r="I1218" i="110"/>
  <c r="H1218" i="110"/>
  <c r="G1218" i="110"/>
  <c r="F1218" i="110"/>
  <c r="E1218" i="110"/>
  <c r="I1217" i="110"/>
  <c r="H1217" i="110"/>
  <c r="G1217" i="110"/>
  <c r="F1217" i="110"/>
  <c r="E1217" i="110"/>
  <c r="I1216" i="110"/>
  <c r="H1216" i="110"/>
  <c r="G1216" i="110"/>
  <c r="F1216" i="110"/>
  <c r="E1216" i="110"/>
  <c r="I1215" i="110"/>
  <c r="H1215" i="110"/>
  <c r="G1215" i="110"/>
  <c r="F1215" i="110"/>
  <c r="E1215" i="110"/>
  <c r="I1214" i="110"/>
  <c r="H1214" i="110"/>
  <c r="G1214" i="110"/>
  <c r="F1214" i="110"/>
  <c r="E1214" i="110"/>
  <c r="I1213" i="110"/>
  <c r="H1213" i="110"/>
  <c r="G1213" i="110"/>
  <c r="F1213" i="110"/>
  <c r="E1213" i="110"/>
  <c r="I1212" i="110"/>
  <c r="H1212" i="110"/>
  <c r="G1212" i="110"/>
  <c r="F1212" i="110"/>
  <c r="E1212" i="110"/>
  <c r="I1211" i="110"/>
  <c r="H1211" i="110"/>
  <c r="G1211" i="110"/>
  <c r="F1211" i="110"/>
  <c r="E1211" i="110"/>
  <c r="I1210" i="110"/>
  <c r="H1210" i="110"/>
  <c r="G1210" i="110"/>
  <c r="F1210" i="110"/>
  <c r="E1210" i="110"/>
  <c r="I1209" i="110"/>
  <c r="H1209" i="110"/>
  <c r="G1209" i="110"/>
  <c r="F1209" i="110"/>
  <c r="E1209" i="110"/>
  <c r="I1208" i="110"/>
  <c r="H1208" i="110"/>
  <c r="G1208" i="110"/>
  <c r="F1208" i="110"/>
  <c r="E1208" i="110"/>
  <c r="I1207" i="110"/>
  <c r="H1207" i="110"/>
  <c r="G1207" i="110"/>
  <c r="F1207" i="110"/>
  <c r="E1207" i="110"/>
  <c r="I1206" i="110"/>
  <c r="H1206" i="110"/>
  <c r="G1206" i="110"/>
  <c r="F1206" i="110"/>
  <c r="E1206" i="110"/>
  <c r="I1205" i="110"/>
  <c r="H1205" i="110"/>
  <c r="G1205" i="110"/>
  <c r="F1205" i="110"/>
  <c r="E1205" i="110"/>
  <c r="I1204" i="110"/>
  <c r="H1204" i="110"/>
  <c r="G1204" i="110"/>
  <c r="F1204" i="110"/>
  <c r="E1204" i="110"/>
  <c r="I1203" i="110"/>
  <c r="H1203" i="110"/>
  <c r="G1203" i="110"/>
  <c r="F1203" i="110"/>
  <c r="E1203" i="110"/>
  <c r="I1202" i="110"/>
  <c r="H1202" i="110"/>
  <c r="G1202" i="110"/>
  <c r="F1202" i="110"/>
  <c r="E1202" i="110"/>
  <c r="I1201" i="110"/>
  <c r="H1201" i="110"/>
  <c r="G1201" i="110"/>
  <c r="F1201" i="110"/>
  <c r="E1201" i="110"/>
  <c r="I1200" i="110"/>
  <c r="H1200" i="110"/>
  <c r="G1200" i="110"/>
  <c r="F1200" i="110"/>
  <c r="E1200" i="110"/>
  <c r="I1199" i="110"/>
  <c r="H1199" i="110"/>
  <c r="G1199" i="110"/>
  <c r="F1199" i="110"/>
  <c r="E1199" i="110"/>
  <c r="I1198" i="110"/>
  <c r="H1198" i="110"/>
  <c r="G1198" i="110"/>
  <c r="F1198" i="110"/>
  <c r="E1198" i="110"/>
  <c r="I1197" i="110"/>
  <c r="H1197" i="110"/>
  <c r="G1197" i="110"/>
  <c r="F1197" i="110"/>
  <c r="E1197" i="110"/>
  <c r="I1196" i="110"/>
  <c r="H1196" i="110"/>
  <c r="G1196" i="110"/>
  <c r="F1196" i="110"/>
  <c r="E1196" i="110"/>
  <c r="I1195" i="110"/>
  <c r="H1195" i="110"/>
  <c r="G1195" i="110"/>
  <c r="F1195" i="110"/>
  <c r="E1195" i="110"/>
  <c r="I1194" i="110"/>
  <c r="H1194" i="110"/>
  <c r="G1194" i="110"/>
  <c r="F1194" i="110"/>
  <c r="E1194" i="110"/>
  <c r="I1193" i="110"/>
  <c r="H1193" i="110"/>
  <c r="G1193" i="110"/>
  <c r="F1193" i="110"/>
  <c r="E1193" i="110"/>
  <c r="I1192" i="110"/>
  <c r="H1192" i="110"/>
  <c r="G1192" i="110"/>
  <c r="F1192" i="110"/>
  <c r="E1192" i="110"/>
  <c r="I1191" i="110"/>
  <c r="H1191" i="110"/>
  <c r="G1191" i="110"/>
  <c r="F1191" i="110"/>
  <c r="E1191" i="110"/>
  <c r="I1190" i="110"/>
  <c r="H1190" i="110"/>
  <c r="G1190" i="110"/>
  <c r="F1190" i="110"/>
  <c r="E1190" i="110"/>
  <c r="I1189" i="110"/>
  <c r="H1189" i="110"/>
  <c r="G1189" i="110"/>
  <c r="F1189" i="110"/>
  <c r="E1189" i="110"/>
  <c r="I1188" i="110"/>
  <c r="H1188" i="110"/>
  <c r="G1188" i="110"/>
  <c r="F1188" i="110"/>
  <c r="E1188" i="110"/>
  <c r="I1187" i="110"/>
  <c r="H1187" i="110"/>
  <c r="G1187" i="110"/>
  <c r="F1187" i="110"/>
  <c r="E1187" i="110"/>
  <c r="I1186" i="110"/>
  <c r="H1186" i="110"/>
  <c r="G1186" i="110"/>
  <c r="F1186" i="110"/>
  <c r="E1186" i="110"/>
  <c r="I1185" i="110"/>
  <c r="H1185" i="110"/>
  <c r="G1185" i="110"/>
  <c r="F1185" i="110"/>
  <c r="E1185" i="110"/>
  <c r="I1184" i="110"/>
  <c r="H1184" i="110"/>
  <c r="G1184" i="110"/>
  <c r="F1184" i="110"/>
  <c r="E1184" i="110"/>
  <c r="I1183" i="110"/>
  <c r="H1183" i="110"/>
  <c r="G1183" i="110"/>
  <c r="F1183" i="110"/>
  <c r="E1183" i="110"/>
  <c r="I1182" i="110"/>
  <c r="H1182" i="110"/>
  <c r="G1182" i="110"/>
  <c r="F1182" i="110"/>
  <c r="E1182" i="110"/>
  <c r="I1181" i="110"/>
  <c r="H1181" i="110"/>
  <c r="G1181" i="110"/>
  <c r="F1181" i="110"/>
  <c r="E1181" i="110"/>
  <c r="I1180" i="110"/>
  <c r="H1180" i="110"/>
  <c r="G1180" i="110"/>
  <c r="F1180" i="110"/>
  <c r="E1180" i="110"/>
  <c r="I1179" i="110"/>
  <c r="H1179" i="110"/>
  <c r="G1179" i="110"/>
  <c r="F1179" i="110"/>
  <c r="E1179" i="110"/>
  <c r="I1178" i="110"/>
  <c r="H1178" i="110"/>
  <c r="G1178" i="110"/>
  <c r="F1178" i="110"/>
  <c r="E1178" i="110"/>
  <c r="I1177" i="110"/>
  <c r="H1177" i="110"/>
  <c r="G1177" i="110"/>
  <c r="F1177" i="110"/>
  <c r="E1177" i="110"/>
  <c r="I1176" i="110"/>
  <c r="H1176" i="110"/>
  <c r="G1176" i="110"/>
  <c r="F1176" i="110"/>
  <c r="E1176" i="110"/>
  <c r="I1175" i="110"/>
  <c r="H1175" i="110"/>
  <c r="G1175" i="110"/>
  <c r="F1175" i="110"/>
  <c r="E1175" i="110"/>
  <c r="I1174" i="110"/>
  <c r="H1174" i="110"/>
  <c r="G1174" i="110"/>
  <c r="F1174" i="110"/>
  <c r="E1174" i="110"/>
  <c r="I1173" i="110"/>
  <c r="H1173" i="110"/>
  <c r="G1173" i="110"/>
  <c r="F1173" i="110"/>
  <c r="E1173" i="110"/>
  <c r="I1172" i="110"/>
  <c r="H1172" i="110"/>
  <c r="G1172" i="110"/>
  <c r="F1172" i="110"/>
  <c r="E1172" i="110"/>
  <c r="I1171" i="110"/>
  <c r="H1171" i="110"/>
  <c r="G1171" i="110"/>
  <c r="F1171" i="110"/>
  <c r="E1171" i="110"/>
  <c r="I1170" i="110"/>
  <c r="H1170" i="110"/>
  <c r="G1170" i="110"/>
  <c r="F1170" i="110"/>
  <c r="E1170" i="110"/>
  <c r="I1169" i="110"/>
  <c r="H1169" i="110"/>
  <c r="G1169" i="110"/>
  <c r="F1169" i="110"/>
  <c r="E1169" i="110"/>
  <c r="I1168" i="110"/>
  <c r="H1168" i="110"/>
  <c r="G1168" i="110"/>
  <c r="F1168" i="110"/>
  <c r="E1168" i="110"/>
  <c r="I1167" i="110"/>
  <c r="H1167" i="110"/>
  <c r="G1167" i="110"/>
  <c r="F1167" i="110"/>
  <c r="E1167" i="110"/>
  <c r="I1166" i="110"/>
  <c r="H1166" i="110"/>
  <c r="G1166" i="110"/>
  <c r="F1166" i="110"/>
  <c r="E1166" i="110"/>
  <c r="I1165" i="110"/>
  <c r="H1165" i="110"/>
  <c r="G1165" i="110"/>
  <c r="F1165" i="110"/>
  <c r="E1165" i="110"/>
  <c r="I1164" i="110"/>
  <c r="H1164" i="110"/>
  <c r="G1164" i="110"/>
  <c r="F1164" i="110"/>
  <c r="E1164" i="110"/>
  <c r="I1163" i="110"/>
  <c r="H1163" i="110"/>
  <c r="G1163" i="110"/>
  <c r="F1163" i="110"/>
  <c r="E1163" i="110"/>
  <c r="I1162" i="110"/>
  <c r="H1162" i="110"/>
  <c r="G1162" i="110"/>
  <c r="F1162" i="110"/>
  <c r="E1162" i="110"/>
  <c r="I1161" i="110"/>
  <c r="H1161" i="110"/>
  <c r="G1161" i="110"/>
  <c r="F1161" i="110"/>
  <c r="E1161" i="110"/>
  <c r="I1160" i="110"/>
  <c r="H1160" i="110"/>
  <c r="G1160" i="110"/>
  <c r="F1160" i="110"/>
  <c r="E1160" i="110"/>
  <c r="I1159" i="110"/>
  <c r="H1159" i="110"/>
  <c r="G1159" i="110"/>
  <c r="F1159" i="110"/>
  <c r="E1159" i="110"/>
  <c r="I1158" i="110"/>
  <c r="H1158" i="110"/>
  <c r="G1158" i="110"/>
  <c r="F1158" i="110"/>
  <c r="E1158" i="110"/>
  <c r="I1157" i="110"/>
  <c r="H1157" i="110"/>
  <c r="G1157" i="110"/>
  <c r="F1157" i="110"/>
  <c r="E1157" i="110"/>
  <c r="I1156" i="110"/>
  <c r="H1156" i="110"/>
  <c r="G1156" i="110"/>
  <c r="F1156" i="110"/>
  <c r="E1156" i="110"/>
  <c r="I1155" i="110"/>
  <c r="H1155" i="110"/>
  <c r="G1155" i="110"/>
  <c r="F1155" i="110"/>
  <c r="E1155" i="110"/>
  <c r="I1154" i="110"/>
  <c r="H1154" i="110"/>
  <c r="G1154" i="110"/>
  <c r="F1154" i="110"/>
  <c r="E1154" i="110"/>
  <c r="I1153" i="110"/>
  <c r="H1153" i="110"/>
  <c r="G1153" i="110"/>
  <c r="F1153" i="110"/>
  <c r="E1153" i="110"/>
  <c r="I1152" i="110"/>
  <c r="H1152" i="110"/>
  <c r="G1152" i="110"/>
  <c r="F1152" i="110"/>
  <c r="E1152" i="110"/>
  <c r="I1151" i="110"/>
  <c r="H1151" i="110"/>
  <c r="G1151" i="110"/>
  <c r="F1151" i="110"/>
  <c r="E1151" i="110"/>
  <c r="I1150" i="110"/>
  <c r="H1150" i="110"/>
  <c r="G1150" i="110"/>
  <c r="F1150" i="110"/>
  <c r="E1150" i="110"/>
  <c r="I1149" i="110"/>
  <c r="H1149" i="110"/>
  <c r="G1149" i="110"/>
  <c r="F1149" i="110"/>
  <c r="E1149" i="110"/>
  <c r="I1148" i="110"/>
  <c r="H1148" i="110"/>
  <c r="G1148" i="110"/>
  <c r="F1148" i="110"/>
  <c r="E1148" i="110"/>
  <c r="I1147" i="110"/>
  <c r="H1147" i="110"/>
  <c r="G1147" i="110"/>
  <c r="F1147" i="110"/>
  <c r="E1147" i="110"/>
  <c r="I1146" i="110"/>
  <c r="H1146" i="110"/>
  <c r="G1146" i="110"/>
  <c r="F1146" i="110"/>
  <c r="E1146" i="110"/>
  <c r="I1145" i="110"/>
  <c r="H1145" i="110"/>
  <c r="G1145" i="110"/>
  <c r="F1145" i="110"/>
  <c r="E1145" i="110"/>
  <c r="I1144" i="110"/>
  <c r="H1144" i="110"/>
  <c r="G1144" i="110"/>
  <c r="F1144" i="110"/>
  <c r="E1144" i="110"/>
  <c r="I1143" i="110"/>
  <c r="H1143" i="110"/>
  <c r="G1143" i="110"/>
  <c r="F1143" i="110"/>
  <c r="E1143" i="110"/>
  <c r="I1142" i="110"/>
  <c r="H1142" i="110"/>
  <c r="G1142" i="110"/>
  <c r="F1142" i="110"/>
  <c r="E1142" i="110"/>
  <c r="I1141" i="110"/>
  <c r="H1141" i="110"/>
  <c r="G1141" i="110"/>
  <c r="F1141" i="110"/>
  <c r="E1141" i="110"/>
  <c r="I1140" i="110"/>
  <c r="H1140" i="110"/>
  <c r="G1140" i="110"/>
  <c r="F1140" i="110"/>
  <c r="E1140" i="110"/>
  <c r="I1139" i="110"/>
  <c r="H1139" i="110"/>
  <c r="G1139" i="110"/>
  <c r="F1139" i="110"/>
  <c r="E1139" i="110"/>
  <c r="I1138" i="110"/>
  <c r="H1138" i="110"/>
  <c r="G1138" i="110"/>
  <c r="F1138" i="110"/>
  <c r="E1138" i="110"/>
  <c r="I1137" i="110"/>
  <c r="H1137" i="110"/>
  <c r="G1137" i="110"/>
  <c r="F1137" i="110"/>
  <c r="E1137" i="110"/>
  <c r="I1136" i="110"/>
  <c r="H1136" i="110"/>
  <c r="G1136" i="110"/>
  <c r="F1136" i="110"/>
  <c r="E1136" i="110"/>
  <c r="I1135" i="110"/>
  <c r="H1135" i="110"/>
  <c r="G1135" i="110"/>
  <c r="F1135" i="110"/>
  <c r="E1135" i="110"/>
  <c r="I1134" i="110"/>
  <c r="H1134" i="110"/>
  <c r="G1134" i="110"/>
  <c r="F1134" i="110"/>
  <c r="E1134" i="110"/>
  <c r="I1133" i="110"/>
  <c r="H1133" i="110"/>
  <c r="G1133" i="110"/>
  <c r="F1133" i="110"/>
  <c r="E1133" i="110"/>
  <c r="I1132" i="110"/>
  <c r="H1132" i="110"/>
  <c r="G1132" i="110"/>
  <c r="F1132" i="110"/>
  <c r="E1132" i="110"/>
  <c r="I1131" i="110"/>
  <c r="H1131" i="110"/>
  <c r="G1131" i="110"/>
  <c r="F1131" i="110"/>
  <c r="E1131" i="110"/>
  <c r="I1130" i="110"/>
  <c r="F1130" i="110"/>
  <c r="E1130" i="110"/>
  <c r="I1129" i="110"/>
  <c r="G1129" i="110"/>
  <c r="I1128" i="110"/>
  <c r="G1128" i="110"/>
  <c r="E1128" i="110"/>
  <c r="H1127" i="110"/>
  <c r="F1127" i="110"/>
  <c r="F1126" i="110"/>
  <c r="G1125" i="110"/>
  <c r="E1125" i="110"/>
  <c r="I1053" i="110"/>
  <c r="H1053" i="110"/>
  <c r="G1053" i="110"/>
  <c r="F1053" i="110"/>
  <c r="E1053" i="110"/>
  <c r="I1052" i="110"/>
  <c r="H1052" i="110"/>
  <c r="G1052" i="110"/>
  <c r="F1052" i="110"/>
  <c r="E1052" i="110"/>
  <c r="I1051" i="110"/>
  <c r="H1051" i="110"/>
  <c r="G1051" i="110"/>
  <c r="F1051" i="110"/>
  <c r="E1051" i="110"/>
  <c r="I1050" i="110"/>
  <c r="H1050" i="110"/>
  <c r="G1050" i="110"/>
  <c r="F1050" i="110"/>
  <c r="E1050" i="110"/>
  <c r="I1049" i="110"/>
  <c r="H1049" i="110"/>
  <c r="G1049" i="110"/>
  <c r="F1049" i="110"/>
  <c r="E1049" i="110"/>
  <c r="I1048" i="110"/>
  <c r="H1048" i="110"/>
  <c r="G1048" i="110"/>
  <c r="F1048" i="110"/>
  <c r="E1048" i="110"/>
  <c r="I1047" i="110"/>
  <c r="H1047" i="110"/>
  <c r="G1047" i="110"/>
  <c r="F1047" i="110"/>
  <c r="E1047" i="110"/>
  <c r="I1046" i="110"/>
  <c r="H1046" i="110"/>
  <c r="G1046" i="110"/>
  <c r="F1046" i="110"/>
  <c r="E1046" i="110"/>
  <c r="I1045" i="110"/>
  <c r="H1045" i="110"/>
  <c r="G1045" i="110"/>
  <c r="F1045" i="110"/>
  <c r="E1045" i="110"/>
  <c r="I1044" i="110"/>
  <c r="H1044" i="110"/>
  <c r="G1044" i="110"/>
  <c r="F1044" i="110"/>
  <c r="E1044" i="110"/>
  <c r="I1043" i="110"/>
  <c r="H1043" i="110"/>
  <c r="G1043" i="110"/>
  <c r="F1043" i="110"/>
  <c r="E1043" i="110"/>
  <c r="I1042" i="110"/>
  <c r="H1042" i="110"/>
  <c r="G1042" i="110"/>
  <c r="F1042" i="110"/>
  <c r="E1042" i="110"/>
  <c r="I1041" i="110"/>
  <c r="H1041" i="110"/>
  <c r="G1041" i="110"/>
  <c r="F1041" i="110"/>
  <c r="E1041" i="110"/>
  <c r="I1040" i="110"/>
  <c r="H1040" i="110"/>
  <c r="G1040" i="110"/>
  <c r="F1040" i="110"/>
  <c r="E1040" i="110"/>
  <c r="I1039" i="110"/>
  <c r="H1039" i="110"/>
  <c r="G1039" i="110"/>
  <c r="F1039" i="110"/>
  <c r="E1039" i="110"/>
  <c r="I1038" i="110"/>
  <c r="H1038" i="110"/>
  <c r="G1038" i="110"/>
  <c r="F1038" i="110"/>
  <c r="E1038" i="110"/>
  <c r="I1037" i="110"/>
  <c r="H1037" i="110"/>
  <c r="G1037" i="110"/>
  <c r="F1037" i="110"/>
  <c r="E1037" i="110"/>
  <c r="I1036" i="110"/>
  <c r="H1036" i="110"/>
  <c r="G1036" i="110"/>
  <c r="F1036" i="110"/>
  <c r="E1036" i="110"/>
  <c r="I1035" i="110"/>
  <c r="H1035" i="110"/>
  <c r="G1035" i="110"/>
  <c r="F1035" i="110"/>
  <c r="E1035" i="110"/>
  <c r="I1034" i="110"/>
  <c r="H1034" i="110"/>
  <c r="G1034" i="110"/>
  <c r="F1034" i="110"/>
  <c r="E1034" i="110"/>
  <c r="I1033" i="110"/>
  <c r="H1033" i="110"/>
  <c r="G1033" i="110"/>
  <c r="F1033" i="110"/>
  <c r="E1033" i="110"/>
  <c r="I1032" i="110"/>
  <c r="H1032" i="110"/>
  <c r="G1032" i="110"/>
  <c r="F1032" i="110"/>
  <c r="E1032" i="110"/>
  <c r="I1031" i="110"/>
  <c r="H1031" i="110"/>
  <c r="G1031" i="110"/>
  <c r="F1031" i="110"/>
  <c r="E1031" i="110"/>
  <c r="I1030" i="110"/>
  <c r="H1030" i="110"/>
  <c r="G1030" i="110"/>
  <c r="F1030" i="110"/>
  <c r="E1030" i="110"/>
  <c r="I1029" i="110"/>
  <c r="H1029" i="110"/>
  <c r="G1029" i="110"/>
  <c r="F1029" i="110"/>
  <c r="E1029" i="110"/>
  <c r="I1028" i="110"/>
  <c r="H1028" i="110"/>
  <c r="G1028" i="110"/>
  <c r="F1028" i="110"/>
  <c r="E1028" i="110"/>
  <c r="I1027" i="110"/>
  <c r="H1027" i="110"/>
  <c r="G1027" i="110"/>
  <c r="F1027" i="110"/>
  <c r="E1027" i="110"/>
  <c r="I1026" i="110"/>
  <c r="H1026" i="110"/>
  <c r="G1026" i="110"/>
  <c r="F1026" i="110"/>
  <c r="E1026" i="110"/>
  <c r="I1025" i="110"/>
  <c r="H1025" i="110"/>
  <c r="G1025" i="110"/>
  <c r="F1025" i="110"/>
  <c r="E1025" i="110"/>
  <c r="I1024" i="110"/>
  <c r="H1024" i="110"/>
  <c r="G1024" i="110"/>
  <c r="F1024" i="110"/>
  <c r="E1024" i="110"/>
  <c r="I1023" i="110"/>
  <c r="H1023" i="110"/>
  <c r="G1023" i="110"/>
  <c r="F1023" i="110"/>
  <c r="E1023" i="110"/>
  <c r="I1022" i="110"/>
  <c r="H1022" i="110"/>
  <c r="G1022" i="110"/>
  <c r="F1022" i="110"/>
  <c r="E1022" i="110"/>
  <c r="I1021" i="110"/>
  <c r="H1021" i="110"/>
  <c r="G1021" i="110"/>
  <c r="F1021" i="110"/>
  <c r="E1021" i="110"/>
  <c r="I1020" i="110"/>
  <c r="H1020" i="110"/>
  <c r="G1020" i="110"/>
  <c r="F1020" i="110"/>
  <c r="E1020" i="110"/>
  <c r="I1019" i="110"/>
  <c r="H1019" i="110"/>
  <c r="G1019" i="110"/>
  <c r="F1019" i="110"/>
  <c r="E1019" i="110"/>
  <c r="I1018" i="110"/>
  <c r="H1018" i="110"/>
  <c r="G1018" i="110"/>
  <c r="F1018" i="110"/>
  <c r="E1018" i="110"/>
  <c r="I1017" i="110"/>
  <c r="H1017" i="110"/>
  <c r="G1017" i="110"/>
  <c r="F1017" i="110"/>
  <c r="E1017" i="110"/>
  <c r="I1016" i="110"/>
  <c r="H1016" i="110"/>
  <c r="G1016" i="110"/>
  <c r="F1016" i="110"/>
  <c r="E1016" i="110"/>
  <c r="I1015" i="110"/>
  <c r="H1015" i="110"/>
  <c r="G1015" i="110"/>
  <c r="F1015" i="110"/>
  <c r="E1015" i="110"/>
  <c r="I1014" i="110"/>
  <c r="H1014" i="110"/>
  <c r="G1014" i="110"/>
  <c r="F1014" i="110"/>
  <c r="E1014" i="110"/>
  <c r="I1013" i="110"/>
  <c r="H1013" i="110"/>
  <c r="G1013" i="110"/>
  <c r="F1013" i="110"/>
  <c r="E1013" i="110"/>
  <c r="I1012" i="110"/>
  <c r="H1012" i="110"/>
  <c r="G1012" i="110"/>
  <c r="F1012" i="110"/>
  <c r="E1012" i="110"/>
  <c r="I1011" i="110"/>
  <c r="H1011" i="110"/>
  <c r="G1011" i="110"/>
  <c r="F1011" i="110"/>
  <c r="E1011" i="110"/>
  <c r="I1010" i="110"/>
  <c r="H1010" i="110"/>
  <c r="G1010" i="110"/>
  <c r="F1010" i="110"/>
  <c r="E1010" i="110"/>
  <c r="I1009" i="110"/>
  <c r="H1009" i="110"/>
  <c r="G1009" i="110"/>
  <c r="F1009" i="110"/>
  <c r="E1009" i="110"/>
  <c r="I1008" i="110"/>
  <c r="H1008" i="110"/>
  <c r="G1008" i="110"/>
  <c r="F1008" i="110"/>
  <c r="E1008" i="110"/>
  <c r="I1007" i="110"/>
  <c r="H1007" i="110"/>
  <c r="G1007" i="110"/>
  <c r="F1007" i="110"/>
  <c r="E1007" i="110"/>
  <c r="I1006" i="110"/>
  <c r="H1006" i="110"/>
  <c r="G1006" i="110"/>
  <c r="F1006" i="110"/>
  <c r="E1006" i="110"/>
  <c r="I1005" i="110"/>
  <c r="H1005" i="110"/>
  <c r="G1005" i="110"/>
  <c r="F1005" i="110"/>
  <c r="E1005" i="110"/>
  <c r="I1004" i="110"/>
  <c r="H1004" i="110"/>
  <c r="G1004" i="110"/>
  <c r="F1004" i="110"/>
  <c r="E1004" i="110"/>
  <c r="G2018" i="110"/>
  <c r="F2018" i="110"/>
  <c r="E2018" i="110"/>
  <c r="I1003" i="110"/>
  <c r="H1003" i="110"/>
  <c r="G1003" i="110"/>
  <c r="F1003" i="110"/>
  <c r="E1003" i="110"/>
  <c r="I2017" i="110"/>
  <c r="H2017" i="110"/>
  <c r="G2017" i="110"/>
  <c r="F2017" i="110"/>
  <c r="E2017" i="110"/>
  <c r="I1002" i="110"/>
  <c r="H1002" i="110"/>
  <c r="G1002" i="110"/>
  <c r="F1002" i="110"/>
  <c r="E1002" i="110"/>
  <c r="I2016" i="110"/>
  <c r="H2016" i="110"/>
  <c r="G2016" i="110"/>
  <c r="F2016" i="110"/>
  <c r="E2016" i="110"/>
  <c r="I1001" i="110"/>
  <c r="H1001" i="110"/>
  <c r="G1001" i="110"/>
  <c r="F1001" i="110"/>
  <c r="E1001" i="110"/>
  <c r="I2015" i="110"/>
  <c r="H2015" i="110"/>
  <c r="G2015" i="110"/>
  <c r="F2015" i="110"/>
  <c r="E2015" i="110"/>
  <c r="I1000" i="110"/>
  <c r="H1000" i="110"/>
  <c r="G1000" i="110"/>
  <c r="F1000" i="110"/>
  <c r="E1000" i="110"/>
  <c r="I2014" i="110"/>
  <c r="H2014" i="110"/>
  <c r="G2014" i="110"/>
  <c r="F2014" i="110"/>
  <c r="E2014" i="110"/>
  <c r="I999" i="110"/>
  <c r="H999" i="110"/>
  <c r="G999" i="110"/>
  <c r="F999" i="110"/>
  <c r="E999" i="110"/>
  <c r="I2013" i="110"/>
  <c r="H2013" i="110"/>
  <c r="G2013" i="110"/>
  <c r="F2013" i="110"/>
  <c r="E2013" i="110"/>
  <c r="I998" i="110"/>
  <c r="H998" i="110"/>
  <c r="G998" i="110"/>
  <c r="F998" i="110"/>
  <c r="E998" i="110"/>
  <c r="I2012" i="110"/>
  <c r="H2012" i="110"/>
  <c r="G2012" i="110"/>
  <c r="F2012" i="110"/>
  <c r="E2012" i="110"/>
  <c r="I997" i="110"/>
  <c r="H997" i="110"/>
  <c r="G997" i="110"/>
  <c r="F997" i="110"/>
  <c r="E997" i="110"/>
  <c r="I2011" i="110"/>
  <c r="H2011" i="110"/>
  <c r="G2011" i="110"/>
  <c r="F2011" i="110"/>
  <c r="E2011" i="110"/>
  <c r="I996" i="110"/>
  <c r="H996" i="110"/>
  <c r="G996" i="110"/>
  <c r="F996" i="110"/>
  <c r="E996" i="110"/>
  <c r="I2010" i="110"/>
  <c r="H2010" i="110"/>
  <c r="G2010" i="110"/>
  <c r="F2010" i="110"/>
  <c r="E2010" i="110"/>
  <c r="I995" i="110"/>
  <c r="H995" i="110"/>
  <c r="G995" i="110"/>
  <c r="F995" i="110"/>
  <c r="E995" i="110"/>
  <c r="I2009" i="110"/>
  <c r="H2009" i="110"/>
  <c r="G2009" i="110"/>
  <c r="F2009" i="110"/>
  <c r="E2009" i="110"/>
  <c r="I994" i="110"/>
  <c r="H994" i="110"/>
  <c r="G994" i="110"/>
  <c r="F994" i="110"/>
  <c r="E994" i="110"/>
  <c r="I2008" i="110"/>
  <c r="H2008" i="110"/>
  <c r="G2008" i="110"/>
  <c r="F2008" i="110"/>
  <c r="E2008" i="110"/>
  <c r="I993" i="110"/>
  <c r="H993" i="110"/>
  <c r="G993" i="110"/>
  <c r="F993" i="110"/>
  <c r="E993" i="110"/>
  <c r="I2007" i="110"/>
  <c r="H2007" i="110"/>
  <c r="G2007" i="110"/>
  <c r="F2007" i="110"/>
  <c r="E2007" i="110"/>
  <c r="I992" i="110"/>
  <c r="H992" i="110"/>
  <c r="G992" i="110"/>
  <c r="F992" i="110"/>
  <c r="E992" i="110"/>
  <c r="I2006" i="110"/>
  <c r="H2006" i="110"/>
  <c r="G2006" i="110"/>
  <c r="F2006" i="110"/>
  <c r="E2006" i="110"/>
  <c r="I991" i="110"/>
  <c r="H991" i="110"/>
  <c r="G991" i="110"/>
  <c r="F991" i="110"/>
  <c r="E991" i="110"/>
  <c r="I2005" i="110"/>
  <c r="H2005" i="110"/>
  <c r="G2005" i="110"/>
  <c r="F2005" i="110"/>
  <c r="E2005" i="110"/>
  <c r="I990" i="110"/>
  <c r="H990" i="110"/>
  <c r="G990" i="110"/>
  <c r="F990" i="110"/>
  <c r="E990" i="110"/>
  <c r="I2004" i="110"/>
  <c r="H2004" i="110"/>
  <c r="G2004" i="110"/>
  <c r="F2004" i="110"/>
  <c r="E2004" i="110"/>
  <c r="I989" i="110"/>
  <c r="H989" i="110"/>
  <c r="G989" i="110"/>
  <c r="F989" i="110"/>
  <c r="E989" i="110"/>
  <c r="I2003" i="110"/>
  <c r="H2003" i="110"/>
  <c r="G2003" i="110"/>
  <c r="F2003" i="110"/>
  <c r="E2003" i="110"/>
  <c r="I988" i="110"/>
  <c r="H988" i="110"/>
  <c r="G988" i="110"/>
  <c r="F988" i="110"/>
  <c r="E988" i="110"/>
  <c r="I2002" i="110"/>
  <c r="H2002" i="110"/>
  <c r="G2002" i="110"/>
  <c r="F2002" i="110"/>
  <c r="E2002" i="110"/>
  <c r="I987" i="110"/>
  <c r="H987" i="110"/>
  <c r="G987" i="110"/>
  <c r="F987" i="110"/>
  <c r="E987" i="110"/>
  <c r="I2001" i="110"/>
  <c r="H2001" i="110"/>
  <c r="G2001" i="110"/>
  <c r="F2001" i="110"/>
  <c r="E2001" i="110"/>
  <c r="I986" i="110"/>
  <c r="H986" i="110"/>
  <c r="G986" i="110"/>
  <c r="F986" i="110"/>
  <c r="E986" i="110"/>
  <c r="I2000" i="110"/>
  <c r="H2000" i="110"/>
  <c r="G2000" i="110"/>
  <c r="F2000" i="110"/>
  <c r="E2000" i="110"/>
  <c r="I985" i="110"/>
  <c r="H985" i="110"/>
  <c r="G985" i="110"/>
  <c r="F985" i="110"/>
  <c r="E985" i="110"/>
  <c r="I1999" i="110"/>
  <c r="H1999" i="110"/>
  <c r="G1999" i="110"/>
  <c r="F1999" i="110"/>
  <c r="E1999" i="110"/>
  <c r="I984" i="110"/>
  <c r="H984" i="110"/>
  <c r="G984" i="110"/>
  <c r="F984" i="110"/>
  <c r="E984" i="110"/>
  <c r="I1998" i="110"/>
  <c r="H1998" i="110"/>
  <c r="G1998" i="110"/>
  <c r="F1998" i="110"/>
  <c r="E1998" i="110"/>
  <c r="I983" i="110"/>
  <c r="H983" i="110"/>
  <c r="G983" i="110"/>
  <c r="F983" i="110"/>
  <c r="E983" i="110"/>
  <c r="I1997" i="110"/>
  <c r="H1997" i="110"/>
  <c r="G1997" i="110"/>
  <c r="F1997" i="110"/>
  <c r="E1997" i="110"/>
  <c r="I982" i="110"/>
  <c r="H982" i="110"/>
  <c r="G982" i="110"/>
  <c r="F982" i="110"/>
  <c r="E982" i="110"/>
  <c r="I1996" i="110"/>
  <c r="H1996" i="110"/>
  <c r="G1996" i="110"/>
  <c r="F1996" i="110"/>
  <c r="E1996" i="110"/>
  <c r="I981" i="110"/>
  <c r="H981" i="110"/>
  <c r="G981" i="110"/>
  <c r="F981" i="110"/>
  <c r="E981" i="110"/>
  <c r="I1995" i="110"/>
  <c r="H1995" i="110"/>
  <c r="G1995" i="110"/>
  <c r="F1995" i="110"/>
  <c r="E1995" i="110"/>
  <c r="I980" i="110"/>
  <c r="H980" i="110"/>
  <c r="G980" i="110"/>
  <c r="F980" i="110"/>
  <c r="E980" i="110"/>
  <c r="I1994" i="110"/>
  <c r="H1994" i="110"/>
  <c r="G1994" i="110"/>
  <c r="F1994" i="110"/>
  <c r="E1994" i="110"/>
  <c r="I979" i="110"/>
  <c r="H979" i="110"/>
  <c r="G979" i="110"/>
  <c r="F979" i="110"/>
  <c r="E979" i="110"/>
  <c r="I1993" i="110"/>
  <c r="H1993" i="110"/>
  <c r="G1993" i="110"/>
  <c r="F1993" i="110"/>
  <c r="E1993" i="110"/>
  <c r="I978" i="110"/>
  <c r="H978" i="110"/>
  <c r="G978" i="110"/>
  <c r="F978" i="110"/>
  <c r="E978" i="110"/>
  <c r="I1992" i="110"/>
  <c r="H1992" i="110"/>
  <c r="G1992" i="110"/>
  <c r="F1992" i="110"/>
  <c r="E1992" i="110"/>
  <c r="I977" i="110"/>
  <c r="H977" i="110"/>
  <c r="G977" i="110"/>
  <c r="F977" i="110"/>
  <c r="E977" i="110"/>
  <c r="I1991" i="110"/>
  <c r="H1991" i="110"/>
  <c r="G1991" i="110"/>
  <c r="F1991" i="110"/>
  <c r="E1991" i="110"/>
  <c r="I976" i="110"/>
  <c r="H976" i="110"/>
  <c r="G976" i="110"/>
  <c r="F976" i="110"/>
  <c r="E976" i="110"/>
  <c r="I1990" i="110"/>
  <c r="H1990" i="110"/>
  <c r="G1990" i="110"/>
  <c r="F1990" i="110"/>
  <c r="E1990" i="110"/>
  <c r="I975" i="110"/>
  <c r="H975" i="110"/>
  <c r="G975" i="110"/>
  <c r="F975" i="110"/>
  <c r="E975" i="110"/>
  <c r="I1989" i="110"/>
  <c r="H1989" i="110"/>
  <c r="G1989" i="110"/>
  <c r="F1989" i="110"/>
  <c r="E1989" i="110"/>
  <c r="I974" i="110"/>
  <c r="H974" i="110"/>
  <c r="G974" i="110"/>
  <c r="F974" i="110"/>
  <c r="E974" i="110"/>
  <c r="I1988" i="110"/>
  <c r="H1988" i="110"/>
  <c r="G1988" i="110"/>
  <c r="F1988" i="110"/>
  <c r="E1988" i="110"/>
  <c r="I973" i="110"/>
  <c r="H973" i="110"/>
  <c r="G973" i="110"/>
  <c r="F973" i="110"/>
  <c r="E973" i="110"/>
  <c r="I1987" i="110"/>
  <c r="H1987" i="110"/>
  <c r="G1987" i="110"/>
  <c r="F1987" i="110"/>
  <c r="E1987" i="110"/>
  <c r="I972" i="110"/>
  <c r="H972" i="110"/>
  <c r="G972" i="110"/>
  <c r="F972" i="110"/>
  <c r="E972" i="110"/>
  <c r="I1986" i="110"/>
  <c r="H1986" i="110"/>
  <c r="G1986" i="110"/>
  <c r="F1986" i="110"/>
  <c r="E1986" i="110"/>
  <c r="I971" i="110"/>
  <c r="H971" i="110"/>
  <c r="G971" i="110"/>
  <c r="F971" i="110"/>
  <c r="E971" i="110"/>
  <c r="I1985" i="110"/>
  <c r="H1985" i="110"/>
  <c r="G1985" i="110"/>
  <c r="F1985" i="110"/>
  <c r="E1985" i="110"/>
  <c r="I970" i="110"/>
  <c r="H970" i="110"/>
  <c r="G970" i="110"/>
  <c r="F970" i="110"/>
  <c r="E970" i="110"/>
  <c r="I1984" i="110"/>
  <c r="H1984" i="110"/>
  <c r="G1984" i="110"/>
  <c r="F1984" i="110"/>
  <c r="E1984" i="110"/>
  <c r="I969" i="110"/>
  <c r="H969" i="110"/>
  <c r="G969" i="110"/>
  <c r="F969" i="110"/>
  <c r="E969" i="110"/>
  <c r="I1983" i="110"/>
  <c r="H1983" i="110"/>
  <c r="G1983" i="110"/>
  <c r="F1983" i="110"/>
  <c r="E1983" i="110"/>
  <c r="I968" i="110"/>
  <c r="H968" i="110"/>
  <c r="G968" i="110"/>
  <c r="F968" i="110"/>
  <c r="E968" i="110"/>
  <c r="I1982" i="110"/>
  <c r="H1982" i="110"/>
  <c r="G1982" i="110"/>
  <c r="F1982" i="110"/>
  <c r="E1982" i="110"/>
  <c r="I967" i="110"/>
  <c r="H967" i="110"/>
  <c r="G967" i="110"/>
  <c r="F967" i="110"/>
  <c r="E967" i="110"/>
  <c r="I1981" i="110"/>
  <c r="H1981" i="110"/>
  <c r="G1981" i="110"/>
  <c r="F1981" i="110"/>
  <c r="E1981" i="110"/>
  <c r="I966" i="110"/>
  <c r="H966" i="110"/>
  <c r="G966" i="110"/>
  <c r="F966" i="110"/>
  <c r="E966" i="110"/>
  <c r="I1980" i="110"/>
  <c r="H1980" i="110"/>
  <c r="G1980" i="110"/>
  <c r="F1980" i="110"/>
  <c r="E1980" i="110"/>
  <c r="I965" i="110"/>
  <c r="H965" i="110"/>
  <c r="G965" i="110"/>
  <c r="F965" i="110"/>
  <c r="E965" i="110"/>
  <c r="I1979" i="110"/>
  <c r="H1979" i="110"/>
  <c r="G1979" i="110"/>
  <c r="F1979" i="110"/>
  <c r="E1979" i="110"/>
  <c r="I964" i="110"/>
  <c r="H964" i="110"/>
  <c r="G964" i="110"/>
  <c r="F964" i="110"/>
  <c r="E964" i="110"/>
  <c r="I1978" i="110"/>
  <c r="H1978" i="110"/>
  <c r="G1978" i="110"/>
  <c r="F1978" i="110"/>
  <c r="E1978" i="110"/>
  <c r="I963" i="110"/>
  <c r="H963" i="110"/>
  <c r="G963" i="110"/>
  <c r="F963" i="110"/>
  <c r="E963" i="110"/>
  <c r="I1977" i="110"/>
  <c r="H1977" i="110"/>
  <c r="G1977" i="110"/>
  <c r="F1977" i="110"/>
  <c r="E1977" i="110"/>
  <c r="I962" i="110"/>
  <c r="H962" i="110"/>
  <c r="G962" i="110"/>
  <c r="F962" i="110"/>
  <c r="E962" i="110"/>
  <c r="I1976" i="110"/>
  <c r="H1976" i="110"/>
  <c r="G1976" i="110"/>
  <c r="F1976" i="110"/>
  <c r="E1976" i="110"/>
  <c r="I961" i="110"/>
  <c r="H961" i="110"/>
  <c r="G961" i="110"/>
  <c r="F961" i="110"/>
  <c r="E961" i="110"/>
  <c r="I1975" i="110"/>
  <c r="H1975" i="110"/>
  <c r="G1975" i="110"/>
  <c r="F1975" i="110"/>
  <c r="E1975" i="110"/>
  <c r="I960" i="110"/>
  <c r="H960" i="110"/>
  <c r="G960" i="110"/>
  <c r="F960" i="110"/>
  <c r="E960" i="110"/>
  <c r="I1974" i="110"/>
  <c r="H1974" i="110"/>
  <c r="G1974" i="110"/>
  <c r="F1974" i="110"/>
  <c r="E1974" i="110"/>
  <c r="I959" i="110"/>
  <c r="H959" i="110"/>
  <c r="G959" i="110"/>
  <c r="F959" i="110"/>
  <c r="E959" i="110"/>
  <c r="I1973" i="110"/>
  <c r="H1973" i="110"/>
  <c r="G1973" i="110"/>
  <c r="F1973" i="110"/>
  <c r="E1973" i="110"/>
  <c r="I958" i="110"/>
  <c r="H958" i="110"/>
  <c r="G958" i="110"/>
  <c r="F958" i="110"/>
  <c r="E958" i="110"/>
  <c r="I1972" i="110"/>
  <c r="H1972" i="110"/>
  <c r="G1972" i="110"/>
  <c r="F1972" i="110"/>
  <c r="E1972" i="110"/>
  <c r="I957" i="110"/>
  <c r="H957" i="110"/>
  <c r="G957" i="110"/>
  <c r="F957" i="110"/>
  <c r="E957" i="110"/>
  <c r="L1103" i="110"/>
  <c r="N1084" i="110"/>
  <c r="N1080" i="110"/>
  <c r="K1080" i="110"/>
  <c r="M1088" i="110"/>
  <c r="N1079" i="110"/>
  <c r="L1087" i="110"/>
  <c r="K1104" i="110"/>
  <c r="L1079" i="110"/>
  <c r="M1120" i="110"/>
  <c r="M1128" i="110"/>
  <c r="L1298" i="110"/>
  <c r="K1298" i="110"/>
  <c r="N1297" i="110"/>
  <c r="N1127" i="110"/>
  <c r="K1074" i="110"/>
  <c r="N1074" i="110"/>
  <c r="M1129" i="110"/>
  <c r="L1128" i="110"/>
  <c r="M1127" i="110"/>
  <c r="M1096" i="110"/>
  <c r="K1076" i="110"/>
  <c r="K1127" i="110"/>
  <c r="M1126" i="110"/>
  <c r="M1125" i="110"/>
  <c r="K1125" i="110"/>
  <c r="M1297" i="110"/>
  <c r="M1078" i="110"/>
  <c r="N1104" i="110"/>
  <c r="M1076" i="110"/>
  <c r="L1077" i="110"/>
  <c r="M1077" i="110"/>
  <c r="M1086" i="110"/>
  <c r="N1123" i="110"/>
  <c r="L1085" i="110"/>
  <c r="L1297" i="110"/>
  <c r="N1124" i="110"/>
  <c r="K1124" i="110"/>
  <c r="L1123" i="110"/>
  <c r="K1297" i="110"/>
  <c r="M1105" i="110"/>
  <c r="N1076" i="110"/>
  <c r="N1148" i="110"/>
  <c r="M1148" i="110"/>
  <c r="L1148" i="110"/>
  <c r="K1148" i="110"/>
  <c r="K1123" i="110"/>
  <c r="N1095" i="110"/>
  <c r="K1095" i="110"/>
  <c r="N1126" i="110"/>
  <c r="K1126" i="110"/>
  <c r="N1147" i="110"/>
  <c r="M1147" i="110"/>
  <c r="L1147" i="110"/>
  <c r="K1147" i="110"/>
  <c r="N1075" i="110"/>
  <c r="M1075" i="110"/>
  <c r="K1075" i="110"/>
  <c r="L1101" i="110"/>
  <c r="L1074" i="110"/>
  <c r="N1146" i="110"/>
  <c r="M1146" i="110"/>
  <c r="L1146" i="110"/>
  <c r="K1146" i="110"/>
  <c r="N1094" i="110"/>
  <c r="L1106" i="110"/>
  <c r="K1077" i="110"/>
  <c r="N1296" i="110"/>
  <c r="M1296" i="110"/>
  <c r="N1145" i="110"/>
  <c r="M1145" i="110"/>
  <c r="L1145" i="110"/>
  <c r="K1145" i="110"/>
  <c r="M1122" i="110"/>
  <c r="N1121" i="110"/>
  <c r="K1121" i="110"/>
  <c r="K1107" i="110"/>
  <c r="N1107" i="110"/>
  <c r="N1144" i="110"/>
  <c r="M1144" i="110"/>
  <c r="L1144" i="110"/>
  <c r="K1144" i="110"/>
  <c r="N1077" i="110"/>
  <c r="K1094" i="110"/>
  <c r="L1075" i="110"/>
  <c r="L1296" i="110"/>
  <c r="K1296" i="110"/>
  <c r="N1143" i="110"/>
  <c r="M1143" i="110"/>
  <c r="L1143" i="110"/>
  <c r="K1143" i="110"/>
  <c r="M1074" i="110"/>
  <c r="K1079" i="110"/>
  <c r="M1084" i="110"/>
  <c r="L1093" i="110"/>
  <c r="L1078" i="110"/>
  <c r="N1142" i="110"/>
  <c r="M1142" i="110"/>
  <c r="L1142" i="110"/>
  <c r="K1142" i="110"/>
  <c r="M1092" i="110"/>
  <c r="M1108" i="110"/>
  <c r="M1121" i="110"/>
  <c r="N1119" i="110"/>
  <c r="N1083" i="110"/>
  <c r="N1141" i="110"/>
  <c r="M1141" i="110"/>
  <c r="L1141" i="110"/>
  <c r="K1141" i="110"/>
  <c r="M1080" i="110"/>
  <c r="L1076" i="110"/>
  <c r="L1125" i="110"/>
  <c r="K1078" i="110"/>
  <c r="L1109" i="110"/>
  <c r="N1140" i="110"/>
  <c r="M1140" i="110"/>
  <c r="L1140" i="110"/>
  <c r="K1140" i="110"/>
  <c r="N1078" i="110"/>
  <c r="M1079" i="110"/>
  <c r="M1091" i="110"/>
  <c r="M1124" i="110"/>
  <c r="N1081" i="110"/>
  <c r="N1139" i="110"/>
  <c r="M1139" i="110"/>
  <c r="L1139" i="110"/>
  <c r="K1139" i="110"/>
  <c r="K1120" i="110"/>
  <c r="M1119" i="110"/>
  <c r="N1295" i="110"/>
  <c r="K1081" i="110"/>
  <c r="L1090" i="110"/>
  <c r="N1138" i="110"/>
  <c r="M1138" i="110"/>
  <c r="L1138" i="110"/>
  <c r="K1138" i="110"/>
  <c r="L1100" i="110"/>
  <c r="K1110" i="110"/>
  <c r="N1110" i="110"/>
  <c r="M1295" i="110"/>
  <c r="L1295" i="110"/>
  <c r="N1137" i="110"/>
  <c r="M1137" i="110"/>
  <c r="L1137" i="110"/>
  <c r="K1137" i="110"/>
  <c r="L1118" i="110"/>
  <c r="N1117" i="110"/>
  <c r="K1295" i="110"/>
  <c r="L1080" i="110"/>
  <c r="M1111" i="110"/>
  <c r="N1136" i="110"/>
  <c r="M1136" i="110"/>
  <c r="L1136" i="110"/>
  <c r="K1136" i="110"/>
  <c r="M1099" i="110"/>
  <c r="K1089" i="110"/>
  <c r="L1111" i="110"/>
  <c r="N1294" i="110"/>
  <c r="L1117" i="110"/>
  <c r="N1135" i="110"/>
  <c r="M1135" i="110"/>
  <c r="L1135" i="110"/>
  <c r="K1135" i="110"/>
  <c r="M1116" i="110"/>
  <c r="M1294" i="110"/>
  <c r="L1294" i="110"/>
  <c r="L1088" i="110"/>
  <c r="K1088" i="110"/>
  <c r="N1134" i="110"/>
  <c r="M1134" i="110"/>
  <c r="L1134" i="110"/>
  <c r="K1134" i="110"/>
  <c r="L1097" i="110"/>
  <c r="L1081" i="110"/>
  <c r="M1112" i="110"/>
  <c r="K1294" i="110"/>
  <c r="K1115" i="110"/>
  <c r="N1133" i="110"/>
  <c r="M1133" i="110"/>
  <c r="L1133" i="110"/>
  <c r="K1133" i="110"/>
  <c r="L1113" i="110"/>
  <c r="N1293" i="110"/>
  <c r="M1293" i="110"/>
  <c r="K1119" i="110"/>
  <c r="M1118" i="110"/>
  <c r="N1132" i="110"/>
  <c r="M1132" i="110"/>
  <c r="L1132" i="110"/>
  <c r="K1132" i="110"/>
  <c r="K1113" i="110"/>
  <c r="N1087" i="110"/>
  <c r="K1087" i="110"/>
  <c r="M1110" i="110"/>
  <c r="L1293" i="110"/>
  <c r="N1131" i="110"/>
  <c r="M1131" i="110"/>
  <c r="L1131" i="110"/>
  <c r="K1131" i="110"/>
  <c r="K1293" i="110"/>
  <c r="N1292" i="110"/>
  <c r="N1109" i="110"/>
  <c r="L1122" i="110"/>
  <c r="L1086" i="110"/>
  <c r="N1130" i="110"/>
  <c r="M1130" i="110"/>
  <c r="L1130" i="110"/>
  <c r="K1130" i="110"/>
  <c r="K1098" i="110"/>
  <c r="N1113" i="110"/>
  <c r="K1117" i="110"/>
  <c r="L1129" i="110"/>
  <c r="K1109" i="110"/>
  <c r="L1108" i="110"/>
  <c r="N1128" i="110"/>
  <c r="K1128" i="110"/>
  <c r="M1292" i="110"/>
  <c r="L1292" i="110"/>
  <c r="K1082" i="110"/>
  <c r="L1127" i="110"/>
  <c r="L1114" i="110"/>
  <c r="M1114" i="110"/>
  <c r="L1126" i="110"/>
  <c r="N1082" i="110"/>
  <c r="N1125" i="110"/>
  <c r="N1098" i="110"/>
  <c r="N1085" i="110"/>
  <c r="L1124" i="110"/>
  <c r="M1102" i="110"/>
  <c r="L1083" i="110"/>
  <c r="M1123" i="110"/>
  <c r="L1116" i="110"/>
  <c r="N1122" i="110"/>
  <c r="K1122" i="110"/>
  <c r="K1102" i="110"/>
  <c r="L1121" i="110"/>
  <c r="M1107" i="110"/>
  <c r="N1120" i="110"/>
  <c r="L1120" i="110"/>
  <c r="N1106" i="110"/>
  <c r="L1119" i="110"/>
  <c r="K1106" i="110"/>
  <c r="L1288" i="110"/>
  <c r="N1118" i="110"/>
  <c r="K1118" i="110"/>
  <c r="K1292" i="110"/>
  <c r="M1117" i="110"/>
  <c r="N1291" i="110"/>
  <c r="N1116" i="110"/>
  <c r="K1116" i="110"/>
  <c r="M1291" i="110"/>
  <c r="N1115" i="110"/>
  <c r="L1115" i="110"/>
  <c r="L1105" i="110"/>
  <c r="M1104" i="110"/>
  <c r="N1114" i="110"/>
  <c r="K1114" i="110"/>
  <c r="L1291" i="110"/>
  <c r="K1291" i="110"/>
  <c r="M1113" i="110"/>
  <c r="N1103" i="110"/>
  <c r="K1103" i="110"/>
  <c r="N1112" i="110"/>
  <c r="L1112" i="110"/>
  <c r="K1112" i="110"/>
  <c r="N1290" i="110"/>
  <c r="N1111" i="110"/>
  <c r="K1111" i="110"/>
  <c r="L1290" i="110"/>
  <c r="M1289" i="110"/>
  <c r="L1110" i="110"/>
  <c r="N1101" i="110"/>
  <c r="M1109" i="110"/>
  <c r="K1101" i="110"/>
  <c r="N1108" i="110"/>
  <c r="K1108" i="110"/>
  <c r="M1100" i="110"/>
  <c r="L1107" i="110"/>
  <c r="K1289" i="110"/>
  <c r="M1288" i="110"/>
  <c r="M1106" i="110"/>
  <c r="L1099" i="110"/>
  <c r="N1105" i="110"/>
  <c r="K1105" i="110"/>
  <c r="M1098" i="110"/>
  <c r="L1104" i="110"/>
  <c r="K1288" i="110"/>
  <c r="N1287" i="110"/>
  <c r="M1103" i="110"/>
  <c r="L1287" i="110"/>
  <c r="N1102" i="110"/>
  <c r="L1102" i="110"/>
  <c r="M1097" i="110"/>
  <c r="K1097" i="110"/>
  <c r="M1101" i="110"/>
  <c r="L1096" i="110"/>
  <c r="K1287" i="110"/>
  <c r="N1100" i="110"/>
  <c r="K1100" i="110"/>
  <c r="M1286" i="110"/>
  <c r="N1099" i="110"/>
  <c r="K1099" i="110"/>
  <c r="K1083" i="110"/>
  <c r="L1098" i="110"/>
  <c r="K1096" i="110"/>
  <c r="L1095" i="110"/>
  <c r="N1097" i="110"/>
  <c r="M1094" i="110"/>
  <c r="N1096" i="110"/>
  <c r="K1286" i="110"/>
  <c r="M1095" i="110"/>
  <c r="N1285" i="110"/>
  <c r="L1094" i="110"/>
  <c r="L1285" i="110"/>
  <c r="M1093" i="110"/>
  <c r="N1093" i="110"/>
  <c r="K1093" i="110"/>
  <c r="N1092" i="110"/>
  <c r="L1092" i="110"/>
  <c r="M1283" i="110"/>
  <c r="L1091" i="110"/>
  <c r="K1283" i="110"/>
  <c r="K1092" i="110"/>
  <c r="N1090" i="110"/>
  <c r="K1090" i="110"/>
  <c r="N1091" i="110"/>
  <c r="K1091" i="110"/>
  <c r="M1089" i="110"/>
  <c r="N1282" i="110"/>
  <c r="N1088" i="110"/>
  <c r="M1282" i="110"/>
  <c r="K1282" i="110"/>
  <c r="M1087" i="110"/>
  <c r="M1090" i="110"/>
  <c r="N1086" i="110"/>
  <c r="K1086" i="110"/>
  <c r="N1089" i="110"/>
  <c r="M1085" i="110"/>
  <c r="K1085" i="110"/>
  <c r="L1089" i="110"/>
  <c r="L1084" i="110"/>
  <c r="N1281" i="110"/>
  <c r="L1281" i="110"/>
  <c r="M1083" i="110"/>
  <c r="M1115" i="110"/>
  <c r="L1082" i="110"/>
  <c r="K1084" i="110"/>
  <c r="M1082" i="110"/>
  <c r="M1081" i="110"/>
  <c r="K1129" i="110"/>
  <c r="N1129" i="110"/>
  <c r="K1281" i="110"/>
  <c r="M1281" i="110"/>
  <c r="M1298" i="110"/>
  <c r="N1298" i="110"/>
  <c r="L1282" i="110"/>
  <c r="L1283" i="110"/>
  <c r="N1283" i="110"/>
  <c r="K1284" i="110"/>
  <c r="L1284" i="110"/>
  <c r="K1299" i="110"/>
  <c r="L1299" i="110"/>
  <c r="M1299" i="110"/>
  <c r="M1284" i="110"/>
  <c r="N1284" i="110"/>
  <c r="K1285" i="110"/>
  <c r="M1285" i="110"/>
  <c r="L1286" i="110"/>
  <c r="N1299" i="110"/>
  <c r="K1300" i="110"/>
  <c r="N1286" i="110"/>
  <c r="M1287" i="110"/>
  <c r="N1288" i="110"/>
  <c r="L1289" i="110"/>
  <c r="L1300" i="110"/>
  <c r="M1300" i="110"/>
  <c r="N1300" i="110"/>
  <c r="N1289" i="110"/>
  <c r="K1290" i="110"/>
  <c r="M1290" i="110"/>
  <c r="K1301" i="110"/>
  <c r="L1301" i="110"/>
  <c r="M1301" i="110"/>
  <c r="N1301" i="110"/>
  <c r="K1302" i="110"/>
  <c r="L1302" i="110"/>
  <c r="M1302" i="110"/>
  <c r="N1302" i="110"/>
  <c r="K1303" i="110"/>
  <c r="L1303" i="110"/>
  <c r="M1303" i="110"/>
  <c r="N1303" i="110"/>
  <c r="K1304" i="110"/>
  <c r="L1304" i="110"/>
  <c r="M1304" i="110"/>
  <c r="N1304" i="110"/>
  <c r="K1305" i="110"/>
  <c r="L1305" i="110"/>
  <c r="M1305" i="110"/>
  <c r="N1305" i="110"/>
  <c r="K1306" i="110"/>
  <c r="L1306" i="110"/>
  <c r="M1306" i="110"/>
  <c r="N1306" i="110"/>
  <c r="G1117" i="110"/>
  <c r="G1116" i="110"/>
  <c r="I1115" i="110"/>
  <c r="H1115" i="110"/>
  <c r="I1114" i="110"/>
  <c r="F1114" i="110"/>
  <c r="H1113" i="110"/>
  <c r="F1113" i="110"/>
  <c r="G1112" i="110"/>
  <c r="I1111" i="110"/>
  <c r="F1111" i="110"/>
  <c r="F1110" i="110"/>
  <c r="G1109" i="110"/>
  <c r="H1108" i="110"/>
  <c r="I1107" i="110"/>
  <c r="F1107" i="110"/>
  <c r="G1106" i="110"/>
  <c r="H1105" i="110"/>
  <c r="I1104" i="110"/>
  <c r="F1104" i="110"/>
  <c r="G1103" i="110"/>
  <c r="I1102" i="110"/>
  <c r="F1102" i="110"/>
  <c r="I1101" i="110"/>
  <c r="G1101" i="110"/>
  <c r="G1100" i="110"/>
  <c r="I1099" i="110"/>
  <c r="I1098" i="110"/>
  <c r="F1098" i="110"/>
  <c r="G1097" i="110"/>
  <c r="F1096" i="110"/>
  <c r="F1095" i="110"/>
  <c r="I1094" i="110"/>
  <c r="F1094" i="110"/>
  <c r="H1093" i="110"/>
  <c r="I1092" i="110"/>
  <c r="I1091" i="110"/>
  <c r="G1091" i="110"/>
  <c r="H1090" i="110"/>
  <c r="F1090" i="110"/>
  <c r="G1089" i="110"/>
  <c r="I1088" i="110"/>
  <c r="G1088" i="110"/>
  <c r="G1087" i="110"/>
  <c r="H1086" i="110"/>
  <c r="H1085" i="110"/>
  <c r="I1084" i="110"/>
  <c r="F1084" i="110"/>
  <c r="G1083" i="110"/>
  <c r="I1082" i="110"/>
  <c r="F1082" i="110"/>
  <c r="G1081" i="110"/>
  <c r="H1080" i="110"/>
  <c r="I1079" i="110"/>
  <c r="F1079" i="110"/>
  <c r="G1078" i="110"/>
  <c r="I1077" i="110"/>
  <c r="F1077" i="110"/>
  <c r="G1076" i="110"/>
  <c r="H1075" i="110"/>
  <c r="I1074" i="110"/>
  <c r="F1074" i="110"/>
  <c r="G1073" i="110"/>
  <c r="I1072" i="110"/>
  <c r="F1072" i="110"/>
  <c r="H1071" i="110"/>
  <c r="F1071" i="110"/>
  <c r="H1070" i="110"/>
  <c r="F1070" i="110"/>
  <c r="G1069" i="110"/>
  <c r="I1068" i="110"/>
  <c r="G1068" i="110"/>
  <c r="H1067" i="110"/>
  <c r="F1067" i="110"/>
  <c r="I1066" i="110"/>
  <c r="G1066" i="110"/>
  <c r="H1065" i="110"/>
  <c r="I1064" i="110"/>
  <c r="G1064" i="110"/>
  <c r="I1063" i="110"/>
  <c r="G1063" i="110"/>
  <c r="H1062" i="110"/>
  <c r="G1061" i="110"/>
  <c r="G1060" i="110"/>
  <c r="H1059" i="110"/>
  <c r="I1058" i="110"/>
  <c r="F1058" i="110"/>
  <c r="G1057" i="110"/>
  <c r="G1056" i="110"/>
  <c r="I1055" i="110"/>
  <c r="G1055" i="110"/>
  <c r="H1054" i="110"/>
  <c r="H1083" i="110"/>
  <c r="F1083" i="110"/>
  <c r="G1082" i="110"/>
  <c r="H1077" i="110"/>
  <c r="H1081" i="110"/>
  <c r="I1100" i="110"/>
  <c r="I1080" i="110"/>
  <c r="H1079" i="110"/>
  <c r="F1100" i="110"/>
  <c r="F1055" i="110"/>
  <c r="F1056" i="110"/>
  <c r="I1056" i="110"/>
  <c r="H1057" i="110"/>
  <c r="G1058" i="110"/>
  <c r="G1085" i="110"/>
  <c r="F1116" i="110"/>
  <c r="H1102" i="110"/>
  <c r="F1059" i="110"/>
  <c r="I1059" i="110"/>
  <c r="H1060" i="110"/>
  <c r="H1061" i="110"/>
  <c r="G1062" i="110"/>
  <c r="I1116" i="110"/>
  <c r="H1117" i="110"/>
  <c r="H1084" i="110"/>
  <c r="G1099" i="110"/>
  <c r="F1063" i="110"/>
  <c r="H1064" i="110"/>
  <c r="F1065" i="110"/>
  <c r="I1065" i="110"/>
  <c r="H1066" i="110"/>
  <c r="I1083" i="110"/>
  <c r="G1118" i="110"/>
  <c r="I1067" i="110"/>
  <c r="H1068" i="110"/>
  <c r="F1069" i="110"/>
  <c r="I1069" i="110"/>
  <c r="G1070" i="110"/>
  <c r="H1098" i="110"/>
  <c r="F1078" i="110"/>
  <c r="I1078" i="110"/>
  <c r="I1123" i="110"/>
  <c r="H1119" i="110"/>
  <c r="H1082" i="110"/>
  <c r="I1122" i="110"/>
  <c r="F1103" i="110"/>
  <c r="I1103" i="110"/>
  <c r="I1070" i="110"/>
  <c r="G1071" i="110"/>
  <c r="H1072" i="110"/>
  <c r="H1073" i="110"/>
  <c r="G1074" i="110"/>
  <c r="F1080" i="110"/>
  <c r="G1079" i="110"/>
  <c r="I1081" i="110"/>
  <c r="F1081" i="110"/>
  <c r="G1120" i="110"/>
  <c r="F1122" i="110"/>
  <c r="F1075" i="110"/>
  <c r="I1075" i="110"/>
  <c r="H1076" i="110"/>
  <c r="H1078" i="110"/>
  <c r="G1077" i="110"/>
  <c r="F1121" i="110"/>
  <c r="I1121" i="110"/>
  <c r="G1080" i="110"/>
  <c r="H1074" i="110"/>
  <c r="I1073" i="110"/>
  <c r="F1073" i="110"/>
  <c r="G1090" i="110"/>
  <c r="H1091" i="110"/>
  <c r="G1072" i="110"/>
  <c r="I1071" i="110"/>
  <c r="F1092" i="110"/>
  <c r="H1092" i="110"/>
  <c r="H1069" i="110"/>
  <c r="F1068" i="110"/>
  <c r="G1067" i="110"/>
  <c r="F1093" i="110"/>
  <c r="I1093" i="110"/>
  <c r="G1094" i="110"/>
  <c r="F1066" i="110"/>
  <c r="G1065" i="110"/>
  <c r="I1095" i="110"/>
  <c r="H1096" i="110"/>
  <c r="F1064" i="110"/>
  <c r="H1063" i="110"/>
  <c r="I1062" i="110"/>
  <c r="H1097" i="110"/>
  <c r="G1098" i="110"/>
  <c r="F1062" i="110"/>
  <c r="I1061" i="110"/>
  <c r="F1099" i="110"/>
  <c r="H1099" i="110"/>
  <c r="H1100" i="110"/>
  <c r="F1061" i="110"/>
  <c r="I1060" i="110"/>
  <c r="F1060" i="110"/>
  <c r="F1101" i="110"/>
  <c r="H1101" i="110"/>
  <c r="G1059" i="110"/>
  <c r="H1058" i="110"/>
  <c r="G1102" i="110"/>
  <c r="H1103" i="110"/>
  <c r="G1104" i="110"/>
  <c r="I1057" i="110"/>
  <c r="F1057" i="110"/>
  <c r="H1056" i="110"/>
  <c r="F1105" i="110"/>
  <c r="I1105" i="110"/>
  <c r="H1106" i="110"/>
  <c r="H1055" i="110"/>
  <c r="I1054" i="110"/>
  <c r="G1107" i="110"/>
  <c r="F1108" i="110"/>
  <c r="G1054" i="110"/>
  <c r="I1108" i="110"/>
  <c r="H1109" i="110"/>
  <c r="G1110" i="110"/>
  <c r="I1110" i="110"/>
  <c r="H1111" i="110"/>
  <c r="H1112" i="110"/>
  <c r="G1114" i="110"/>
  <c r="G1115" i="110"/>
  <c r="H1116" i="110"/>
  <c r="F1117" i="110"/>
  <c r="I1117" i="110"/>
  <c r="F1118" i="110"/>
  <c r="I1118" i="110"/>
  <c r="G1119" i="110"/>
  <c r="F1120" i="110"/>
  <c r="H1120" i="110"/>
  <c r="H1121" i="110"/>
  <c r="G1122" i="110"/>
  <c r="F1123" i="110"/>
  <c r="H1123" i="110"/>
  <c r="I1124" i="110"/>
  <c r="H1104" i="110"/>
  <c r="I1089" i="110"/>
  <c r="F1089" i="110"/>
  <c r="F1088" i="110"/>
  <c r="I1097" i="110"/>
  <c r="F1097" i="110"/>
  <c r="I1096" i="110"/>
  <c r="G1096" i="110"/>
  <c r="G1105" i="110"/>
  <c r="I1087" i="110"/>
  <c r="F1087" i="110"/>
  <c r="G1086" i="110"/>
  <c r="F1106" i="110"/>
  <c r="I1106" i="110"/>
  <c r="G1075" i="110"/>
  <c r="F1076" i="110"/>
  <c r="H1095" i="110"/>
  <c r="G1095" i="110"/>
  <c r="H1107" i="110"/>
  <c r="G1108" i="110"/>
  <c r="H1094" i="110"/>
  <c r="I1085" i="110"/>
  <c r="F1085" i="110"/>
  <c r="G1093" i="110"/>
  <c r="F1109" i="110"/>
  <c r="G1084" i="110"/>
  <c r="I1076" i="110"/>
  <c r="I1109" i="110"/>
  <c r="H1110" i="110"/>
  <c r="G1092" i="110"/>
  <c r="G1124" i="110"/>
  <c r="F1091" i="110"/>
  <c r="I1090" i="110"/>
  <c r="G1111" i="110"/>
  <c r="F1112" i="110"/>
  <c r="H1089" i="110"/>
  <c r="H1088" i="110"/>
  <c r="I1112" i="110"/>
  <c r="G1113" i="110"/>
  <c r="I1113" i="110"/>
  <c r="H1087" i="110"/>
  <c r="I1086" i="110"/>
  <c r="H1114" i="110"/>
  <c r="F1054" i="110"/>
  <c r="F1115" i="110"/>
  <c r="F1086" i="110"/>
  <c r="H1124" i="110"/>
  <c r="F1124" i="110"/>
  <c r="G1123" i="110"/>
  <c r="H1122" i="110"/>
  <c r="G1121" i="110"/>
  <c r="I1120" i="110"/>
  <c r="I1119" i="110"/>
  <c r="F1119" i="110"/>
  <c r="H1118" i="110"/>
  <c r="S30" i="108"/>
  <c r="S39" i="108" s="1"/>
  <c r="R39" i="108"/>
  <c r="V148" i="106"/>
  <c r="K87" i="107"/>
  <c r="G80" i="112" s="1"/>
  <c r="P148" i="106"/>
  <c r="J87" i="107"/>
  <c r="F80" i="112" s="1"/>
  <c r="O148" i="106"/>
  <c r="I87" i="107"/>
  <c r="E80" i="112" s="1"/>
  <c r="N148" i="106"/>
  <c r="H87" i="107"/>
  <c r="D80" i="112" s="1"/>
  <c r="M148" i="106"/>
  <c r="N37" i="107"/>
  <c r="Q37" i="107"/>
  <c r="M37" i="107"/>
  <c r="L37" i="107"/>
  <c r="R309" i="106"/>
  <c r="Q226" i="106"/>
  <c r="P310" i="106"/>
  <c r="Q308" i="106"/>
  <c r="P311" i="106"/>
  <c r="V311" i="106"/>
  <c r="N310" i="106"/>
  <c r="Y308" i="106"/>
  <c r="R302" i="106"/>
  <c r="K298" i="106"/>
  <c r="K253" i="106"/>
  <c r="J298" i="106"/>
  <c r="J253" i="106"/>
  <c r="V296" i="106"/>
  <c r="W303" i="106"/>
  <c r="W305" i="106"/>
  <c r="W291" i="106"/>
  <c r="V282" i="106"/>
  <c r="P275" i="106"/>
  <c r="P274" i="106"/>
  <c r="O274" i="106"/>
  <c r="O275" i="106"/>
  <c r="W267" i="106"/>
  <c r="W261" i="106"/>
  <c r="W268" i="106"/>
  <c r="W269" i="106"/>
  <c r="W271" i="106"/>
  <c r="V261" i="106"/>
  <c r="V269" i="106"/>
  <c r="V268" i="106"/>
  <c r="AF93" i="108"/>
  <c r="V267" i="106"/>
  <c r="V266" i="106" s="1"/>
  <c r="V271" i="106"/>
  <c r="P269" i="106"/>
  <c r="Q269" i="106" s="1"/>
  <c r="R269" i="106" s="1"/>
  <c r="S269" i="106" s="1"/>
  <c r="P271" i="106"/>
  <c r="P267" i="106"/>
  <c r="P261" i="106"/>
  <c r="P268" i="106"/>
  <c r="Q268" i="106" s="1"/>
  <c r="R268" i="106" s="1"/>
  <c r="S268" i="106" s="1"/>
  <c r="O268" i="106"/>
  <c r="O271" i="106"/>
  <c r="O269" i="106"/>
  <c r="O267" i="106"/>
  <c r="O266" i="106" s="1"/>
  <c r="O261" i="106"/>
  <c r="N267" i="106"/>
  <c r="N271" i="106"/>
  <c r="N268" i="106"/>
  <c r="N269" i="106"/>
  <c r="N261" i="106"/>
  <c r="M271" i="106"/>
  <c r="M267" i="106"/>
  <c r="M261" i="106"/>
  <c r="M269" i="106"/>
  <c r="Y269" i="106" s="1"/>
  <c r="M268" i="106"/>
  <c r="Y268" i="106" s="1"/>
  <c r="L268" i="106"/>
  <c r="L271" i="106"/>
  <c r="L269" i="106"/>
  <c r="L267" i="106"/>
  <c r="L266" i="106" s="1"/>
  <c r="L261" i="106"/>
  <c r="Q34" i="106"/>
  <c r="R248" i="106"/>
  <c r="Y249" i="106"/>
  <c r="Y248" i="106" s="1"/>
  <c r="W34" i="106" s="1"/>
  <c r="P380" i="105"/>
  <c r="V30" i="106"/>
  <c r="V161" i="106"/>
  <c r="V98" i="106"/>
  <c r="V117" i="106"/>
  <c r="V92" i="106" s="1"/>
  <c r="V122" i="106"/>
  <c r="V94" i="106"/>
  <c r="V112" i="106"/>
  <c r="V91" i="106" s="1"/>
  <c r="G53" i="112"/>
  <c r="P156" i="106"/>
  <c r="O156" i="106"/>
  <c r="F53" i="112"/>
  <c r="N156" i="106"/>
  <c r="E53" i="112"/>
  <c r="M156" i="106"/>
  <c r="AD77" i="106"/>
  <c r="D53" i="112"/>
  <c r="L156" i="106"/>
  <c r="C53" i="112"/>
  <c r="K156" i="106"/>
  <c r="B53" i="112"/>
  <c r="K153" i="106"/>
  <c r="J153" i="106"/>
  <c r="J155" i="106" s="1"/>
  <c r="I155" i="106"/>
  <c r="AD75" i="106"/>
  <c r="P118" i="106"/>
  <c r="O118" i="106"/>
  <c r="N118" i="106"/>
  <c r="M118" i="106"/>
  <c r="L118" i="106"/>
  <c r="M116" i="106" s="1"/>
  <c r="P113" i="106"/>
  <c r="G52" i="112"/>
  <c r="O113" i="106"/>
  <c r="F52" i="112"/>
  <c r="E52" i="112"/>
  <c r="N113" i="106"/>
  <c r="D52" i="112"/>
  <c r="M113" i="106"/>
  <c r="AD73" i="106"/>
  <c r="C52" i="112"/>
  <c r="L113" i="106"/>
  <c r="M111" i="106" s="1"/>
  <c r="B52" i="112"/>
  <c r="R72" i="106"/>
  <c r="L84" i="107"/>
  <c r="H79" i="112" s="1"/>
  <c r="AD72" i="106"/>
  <c r="V72" i="106"/>
  <c r="Q84" i="107" s="1"/>
  <c r="G51" i="112"/>
  <c r="E51" i="112"/>
  <c r="D51" i="112"/>
  <c r="AD70" i="106"/>
  <c r="V70" i="106"/>
  <c r="V170" i="106"/>
  <c r="V68" i="106" s="1"/>
  <c r="S65" i="106"/>
  <c r="P76" i="106"/>
  <c r="G50" i="112"/>
  <c r="G54" i="112" s="1"/>
  <c r="O76" i="106"/>
  <c r="F50" i="112"/>
  <c r="F54" i="112" s="1"/>
  <c r="N76" i="106"/>
  <c r="E50" i="112"/>
  <c r="E54" i="112" s="1"/>
  <c r="D50" i="112"/>
  <c r="D54" i="112" s="1"/>
  <c r="M76" i="106"/>
  <c r="AD64" i="106"/>
  <c r="L76" i="106"/>
  <c r="C50" i="112"/>
  <c r="C54" i="112" s="1"/>
  <c r="K76" i="106"/>
  <c r="B50" i="112"/>
  <c r="B54" i="112" s="1"/>
  <c r="C169" i="112"/>
  <c r="J66" i="113"/>
  <c r="E132" i="104"/>
  <c r="E135" i="104" s="1"/>
  <c r="J122" i="105"/>
  <c r="J128" i="105" s="1"/>
  <c r="J40" i="106"/>
  <c r="B169" i="112"/>
  <c r="I66" i="113"/>
  <c r="D132" i="104"/>
  <c r="D135" i="104" s="1"/>
  <c r="I122" i="105"/>
  <c r="I128" i="105" s="1"/>
  <c r="I40" i="106"/>
  <c r="H66" i="113"/>
  <c r="C132" i="104"/>
  <c r="C135" i="104" s="1"/>
  <c r="H122" i="105"/>
  <c r="H128" i="105" s="1"/>
  <c r="H40" i="106"/>
  <c r="G66" i="113"/>
  <c r="G122" i="105"/>
  <c r="G128" i="105" s="1"/>
  <c r="G40" i="106"/>
  <c r="F66" i="113"/>
  <c r="F122" i="105"/>
  <c r="F128" i="105" s="1"/>
  <c r="F40" i="106"/>
  <c r="E66" i="113"/>
  <c r="E122" i="105"/>
  <c r="E128" i="105" s="1"/>
  <c r="E40" i="106"/>
  <c r="D66" i="113"/>
  <c r="D122" i="105"/>
  <c r="D128" i="105" s="1"/>
  <c r="D40" i="106"/>
  <c r="C66" i="113"/>
  <c r="C122" i="105"/>
  <c r="C128" i="105" s="1"/>
  <c r="C40" i="106"/>
  <c r="AJ114" i="108"/>
  <c r="Q54" i="106"/>
  <c r="G48" i="112"/>
  <c r="O114" i="108"/>
  <c r="F48" i="112"/>
  <c r="W54" i="106"/>
  <c r="N114" i="108"/>
  <c r="AG114" i="108" s="1"/>
  <c r="E48" i="112"/>
  <c r="M114" i="108"/>
  <c r="AF114" i="108" s="1"/>
  <c r="AD54" i="106"/>
  <c r="V54" i="106"/>
  <c r="D48" i="112"/>
  <c r="L114" i="108"/>
  <c r="C48" i="112"/>
  <c r="K114" i="108"/>
  <c r="B48" i="112"/>
  <c r="J399" i="105"/>
  <c r="P55" i="106"/>
  <c r="AJ113" i="108"/>
  <c r="G47" i="112"/>
  <c r="AG113" i="108"/>
  <c r="I399" i="105"/>
  <c r="O113" i="108"/>
  <c r="O55" i="106"/>
  <c r="F47" i="112"/>
  <c r="N113" i="108"/>
  <c r="AF113" i="108"/>
  <c r="H399" i="105"/>
  <c r="N55" i="106"/>
  <c r="E47" i="112"/>
  <c r="G399" i="105"/>
  <c r="M113" i="108"/>
  <c r="AD53" i="106"/>
  <c r="D47" i="112"/>
  <c r="M55" i="106"/>
  <c r="F399" i="105"/>
  <c r="C47" i="112"/>
  <c r="L55" i="106"/>
  <c r="L113" i="108"/>
  <c r="E399" i="105"/>
  <c r="B47" i="112"/>
  <c r="K55" i="106"/>
  <c r="K113" i="108"/>
  <c r="D399" i="105"/>
  <c r="J55" i="106"/>
  <c r="J113" i="108"/>
  <c r="C399" i="105"/>
  <c r="I113" i="108"/>
  <c r="I55" i="106"/>
  <c r="B399" i="105"/>
  <c r="H113" i="108"/>
  <c r="H55" i="106"/>
  <c r="G55" i="106"/>
  <c r="G113" i="108"/>
  <c r="F55" i="106"/>
  <c r="F113" i="108"/>
  <c r="E113" i="108"/>
  <c r="E55" i="106"/>
  <c r="D113" i="108"/>
  <c r="D55" i="106"/>
  <c r="C55" i="106"/>
  <c r="C113" i="108"/>
  <c r="P54" i="113"/>
  <c r="P58" i="106"/>
  <c r="P141" i="106"/>
  <c r="P145" i="106"/>
  <c r="Q145" i="106" s="1"/>
  <c r="R145" i="106" s="1"/>
  <c r="S145" i="106" s="1"/>
  <c r="G44" i="112"/>
  <c r="J398" i="105"/>
  <c r="P57" i="106"/>
  <c r="AJ115" i="108"/>
  <c r="O58" i="106"/>
  <c r="P36" i="105" s="1"/>
  <c r="J14" i="104"/>
  <c r="J16" i="104" s="1"/>
  <c r="F99" i="102" s="1"/>
  <c r="O145" i="106"/>
  <c r="O141" i="106"/>
  <c r="O57" i="106"/>
  <c r="O54" i="113"/>
  <c r="O115" i="108"/>
  <c r="AG115" i="108"/>
  <c r="F44" i="112"/>
  <c r="I398" i="105"/>
  <c r="H398" i="105"/>
  <c r="W50" i="106"/>
  <c r="AF115" i="108"/>
  <c r="N141" i="106"/>
  <c r="N115" i="108"/>
  <c r="N54" i="113"/>
  <c r="E44" i="112"/>
  <c r="N145" i="106"/>
  <c r="W145" i="106" s="1"/>
  <c r="N57" i="106"/>
  <c r="N58" i="106"/>
  <c r="O36" i="105" s="1"/>
  <c r="AD50" i="106"/>
  <c r="V50" i="106"/>
  <c r="M115" i="108"/>
  <c r="M54" i="113"/>
  <c r="M58" i="106"/>
  <c r="G398" i="105"/>
  <c r="M141" i="106"/>
  <c r="M145" i="106"/>
  <c r="M57" i="106"/>
  <c r="D44" i="112"/>
  <c r="L58" i="106"/>
  <c r="M36" i="105" s="1"/>
  <c r="L57" i="106"/>
  <c r="L141" i="106"/>
  <c r="M139" i="106" s="1"/>
  <c r="L54" i="113"/>
  <c r="F398" i="105"/>
  <c r="L145" i="106"/>
  <c r="C44" i="112"/>
  <c r="L115" i="108"/>
  <c r="K145" i="106"/>
  <c r="K57" i="106"/>
  <c r="B44" i="112"/>
  <c r="K54" i="113"/>
  <c r="K115" i="108"/>
  <c r="K58" i="106"/>
  <c r="L36" i="105" s="1"/>
  <c r="E398" i="105"/>
  <c r="J145" i="106"/>
  <c r="J54" i="113"/>
  <c r="J57" i="106"/>
  <c r="J55" i="113" s="1"/>
  <c r="J58" i="106"/>
  <c r="K36" i="105" s="1"/>
  <c r="J115" i="108"/>
  <c r="D398" i="105"/>
  <c r="I145" i="106"/>
  <c r="I57" i="106"/>
  <c r="I55" i="113" s="1"/>
  <c r="I54" i="113"/>
  <c r="C398" i="105"/>
  <c r="I58" i="106"/>
  <c r="J36" i="105" s="1"/>
  <c r="I115" i="108"/>
  <c r="H57" i="106"/>
  <c r="H55" i="113" s="1"/>
  <c r="H115" i="108"/>
  <c r="H54" i="113"/>
  <c r="B398" i="105"/>
  <c r="H58" i="106"/>
  <c r="I36" i="105" s="1"/>
  <c r="G54" i="113"/>
  <c r="G115" i="108"/>
  <c r="G57" i="106"/>
  <c r="G55" i="113" s="1"/>
  <c r="G58" i="106"/>
  <c r="H36" i="105" s="1"/>
  <c r="F58" i="106"/>
  <c r="G36" i="105" s="1"/>
  <c r="F54" i="113"/>
  <c r="F57" i="106"/>
  <c r="F55" i="113" s="1"/>
  <c r="F115" i="108"/>
  <c r="E57" i="106"/>
  <c r="E55" i="113" s="1"/>
  <c r="E54" i="113"/>
  <c r="E115" i="108"/>
  <c r="E58" i="106"/>
  <c r="F36" i="105" s="1"/>
  <c r="D58" i="106"/>
  <c r="E36" i="105" s="1"/>
  <c r="D57" i="106"/>
  <c r="D55" i="113" s="1"/>
  <c r="D115" i="108"/>
  <c r="D54" i="113"/>
  <c r="C58" i="106"/>
  <c r="D36" i="105" s="1"/>
  <c r="C54" i="113"/>
  <c r="C57" i="106"/>
  <c r="C55" i="113" s="1"/>
  <c r="C115" i="108"/>
  <c r="P108" i="106"/>
  <c r="O108" i="106"/>
  <c r="N108" i="106"/>
  <c r="M108" i="106"/>
  <c r="AD48" i="106"/>
  <c r="L108" i="106"/>
  <c r="M106" i="106" s="1"/>
  <c r="AD47" i="106"/>
  <c r="AD46" i="106"/>
  <c r="AD45" i="106"/>
  <c r="AD44" i="106"/>
  <c r="V51" i="106"/>
  <c r="AJ79" i="108"/>
  <c r="G43" i="112"/>
  <c r="O79" i="108"/>
  <c r="F43" i="112"/>
  <c r="E43" i="112"/>
  <c r="N79" i="108"/>
  <c r="AD43" i="106"/>
  <c r="M79" i="108"/>
  <c r="AF79" i="108" s="1"/>
  <c r="D43" i="112"/>
  <c r="C43" i="112"/>
  <c r="L79" i="108"/>
  <c r="K79" i="108"/>
  <c r="B43" i="112"/>
  <c r="J79" i="108"/>
  <c r="I79" i="108"/>
  <c r="H79" i="108"/>
  <c r="G51" i="106"/>
  <c r="G10" i="113" s="1"/>
  <c r="G79" i="108"/>
  <c r="F51" i="106"/>
  <c r="F10" i="113" s="1"/>
  <c r="F79" i="108"/>
  <c r="E51" i="106"/>
  <c r="E10" i="113" s="1"/>
  <c r="E79" i="108"/>
  <c r="D51" i="106"/>
  <c r="D10" i="113" s="1"/>
  <c r="D79" i="108"/>
  <c r="C51" i="106"/>
  <c r="C10" i="113" s="1"/>
  <c r="C79" i="108"/>
  <c r="P49" i="106"/>
  <c r="J404" i="105"/>
  <c r="I404" i="105"/>
  <c r="O49" i="106"/>
  <c r="H404" i="105"/>
  <c r="N49" i="106"/>
  <c r="AD42" i="106"/>
  <c r="M49" i="106"/>
  <c r="G404" i="105"/>
  <c r="F404" i="105"/>
  <c r="L49" i="106"/>
  <c r="E404" i="105"/>
  <c r="K49" i="106"/>
  <c r="J49" i="106"/>
  <c r="D404" i="105"/>
  <c r="I49" i="106"/>
  <c r="C404" i="105"/>
  <c r="H49" i="106"/>
  <c r="B404" i="105"/>
  <c r="Q35" i="106"/>
  <c r="W35" i="106"/>
  <c r="AD35" i="106"/>
  <c r="V35" i="106"/>
  <c r="AD34" i="106"/>
  <c r="V33" i="106"/>
  <c r="AD32" i="106"/>
  <c r="Q31" i="106"/>
  <c r="AJ98" i="108"/>
  <c r="W31" i="106"/>
  <c r="N98" i="108"/>
  <c r="AG98" i="108" s="1"/>
  <c r="M98" i="108"/>
  <c r="AF98" i="108" s="1"/>
  <c r="AD31" i="106"/>
  <c r="V31" i="106"/>
  <c r="P383" i="105" s="1"/>
  <c r="AD30" i="106"/>
  <c r="D40" i="112"/>
  <c r="AJ96" i="108"/>
  <c r="P227" i="106"/>
  <c r="G38" i="112"/>
  <c r="O227" i="106"/>
  <c r="F38" i="112"/>
  <c r="O96" i="108"/>
  <c r="N227" i="106"/>
  <c r="E38" i="112"/>
  <c r="N96" i="108"/>
  <c r="AG96" i="108" s="1"/>
  <c r="M96" i="108"/>
  <c r="M227" i="106"/>
  <c r="AD29" i="106"/>
  <c r="D38" i="112"/>
  <c r="C38" i="112"/>
  <c r="L227" i="106"/>
  <c r="L96" i="108"/>
  <c r="AF96" i="108" s="1"/>
  <c r="K227" i="106"/>
  <c r="B38" i="112"/>
  <c r="K96" i="108"/>
  <c r="J227" i="106"/>
  <c r="J96" i="108"/>
  <c r="I227" i="106"/>
  <c r="I96" i="108"/>
  <c r="H227" i="106"/>
  <c r="H96" i="108"/>
  <c r="G96" i="108"/>
  <c r="G227" i="106"/>
  <c r="F96" i="108"/>
  <c r="F227" i="106"/>
  <c r="E227" i="106"/>
  <c r="E96" i="108"/>
  <c r="D96" i="108"/>
  <c r="D227" i="106"/>
  <c r="C96" i="108"/>
  <c r="C227" i="106"/>
  <c r="P238" i="106"/>
  <c r="P239" i="106" s="1"/>
  <c r="O238" i="106"/>
  <c r="O239" i="106" s="1"/>
  <c r="Y311" i="106"/>
  <c r="M226" i="106"/>
  <c r="AD25" i="106"/>
  <c r="C238" i="106"/>
  <c r="C239" i="106" s="1"/>
  <c r="D238" i="106"/>
  <c r="D239" i="106" s="1"/>
  <c r="AD24" i="106"/>
  <c r="M225" i="106"/>
  <c r="M224" i="106" s="1"/>
  <c r="AD23" i="106"/>
  <c r="P295" i="106"/>
  <c r="P236" i="106"/>
  <c r="P237" i="106" s="1"/>
  <c r="O295" i="106"/>
  <c r="O236" i="106"/>
  <c r="O237" i="106" s="1"/>
  <c r="N295" i="106"/>
  <c r="AD21" i="106"/>
  <c r="M223" i="106"/>
  <c r="L295" i="106"/>
  <c r="W222" i="106"/>
  <c r="P294" i="106"/>
  <c r="Q303" i="106" s="1"/>
  <c r="P221" i="106"/>
  <c r="O294" i="106"/>
  <c r="O221" i="106"/>
  <c r="N294" i="106"/>
  <c r="N221" i="106"/>
  <c r="AD20" i="106"/>
  <c r="M222" i="106"/>
  <c r="M236" i="106" s="1"/>
  <c r="M237" i="106" s="1"/>
  <c r="L294" i="106"/>
  <c r="L221" i="106"/>
  <c r="AD19" i="106"/>
  <c r="D39" i="112"/>
  <c r="W229" i="106"/>
  <c r="W281" i="106"/>
  <c r="P229" i="106"/>
  <c r="P281" i="106"/>
  <c r="O229" i="106"/>
  <c r="O281" i="106"/>
  <c r="N229" i="106"/>
  <c r="N281" i="106"/>
  <c r="M220" i="106"/>
  <c r="AD18" i="106"/>
  <c r="L229" i="106"/>
  <c r="L281" i="106"/>
  <c r="V185" i="106"/>
  <c r="W219" i="106"/>
  <c r="AJ97" i="108"/>
  <c r="P219" i="106"/>
  <c r="O219" i="106"/>
  <c r="P234" i="106" s="1"/>
  <c r="P235" i="106" s="1"/>
  <c r="O97" i="108"/>
  <c r="N219" i="106"/>
  <c r="O234" i="106" s="1"/>
  <c r="O235" i="106" s="1"/>
  <c r="N97" i="108"/>
  <c r="AG97" i="108" s="1"/>
  <c r="AD17" i="106"/>
  <c r="M219" i="106"/>
  <c r="N234" i="106" s="1"/>
  <c r="N235" i="106" s="1"/>
  <c r="M97" i="108"/>
  <c r="AF97" i="108" s="1"/>
  <c r="L219" i="106"/>
  <c r="M234" i="106" s="1"/>
  <c r="M235" i="106" s="1"/>
  <c r="L97" i="108"/>
  <c r="K219" i="106"/>
  <c r="K97" i="108"/>
  <c r="J97" i="108"/>
  <c r="J219" i="106"/>
  <c r="I219" i="106"/>
  <c r="I97" i="108"/>
  <c r="H219" i="106"/>
  <c r="H97" i="108"/>
  <c r="G219" i="106"/>
  <c r="G97" i="108"/>
  <c r="F97" i="108"/>
  <c r="F219" i="106"/>
  <c r="E97" i="108"/>
  <c r="E219" i="106"/>
  <c r="D219" i="106"/>
  <c r="D97" i="108"/>
  <c r="C97" i="108"/>
  <c r="C219" i="106"/>
  <c r="V36" i="106"/>
  <c r="Q72" i="107"/>
  <c r="Q77" i="107" s="1"/>
  <c r="P36" i="106"/>
  <c r="G36" i="112" s="1"/>
  <c r="G37" i="112"/>
  <c r="F37" i="112"/>
  <c r="O36" i="106"/>
  <c r="F36" i="112" s="1"/>
  <c r="E37" i="112"/>
  <c r="N36" i="106"/>
  <c r="E36" i="112" s="1"/>
  <c r="AD16" i="106"/>
  <c r="M36" i="106"/>
  <c r="D37" i="112"/>
  <c r="C37" i="112"/>
  <c r="L36" i="106"/>
  <c r="C36" i="112" s="1"/>
  <c r="B37" i="112"/>
  <c r="K36" i="106"/>
  <c r="B36" i="112" s="1"/>
  <c r="G35" i="112"/>
  <c r="E35" i="112"/>
  <c r="AD13" i="106"/>
  <c r="D35" i="112"/>
  <c r="V13" i="106"/>
  <c r="Q66" i="107" s="1"/>
  <c r="AD12" i="106"/>
  <c r="W242" i="106"/>
  <c r="W241" i="106" s="1"/>
  <c r="P402" i="105"/>
  <c r="AJ77" i="108"/>
  <c r="J402" i="105"/>
  <c r="G34" i="112"/>
  <c r="V242" i="106"/>
  <c r="F34" i="112"/>
  <c r="I402" i="105"/>
  <c r="O77" i="108"/>
  <c r="P242" i="106"/>
  <c r="O242" i="106"/>
  <c r="N77" i="108"/>
  <c r="E34" i="112"/>
  <c r="H402" i="105"/>
  <c r="D34" i="112"/>
  <c r="G402" i="105"/>
  <c r="M77" i="108"/>
  <c r="AF77" i="108" s="1"/>
  <c r="Q65" i="107"/>
  <c r="AD11" i="106"/>
  <c r="N242" i="106"/>
  <c r="F402" i="105"/>
  <c r="M242" i="106"/>
  <c r="L77" i="108"/>
  <c r="C34" i="112"/>
  <c r="E402" i="105"/>
  <c r="L242" i="106"/>
  <c r="B34" i="112"/>
  <c r="K77" i="108"/>
  <c r="J77" i="108"/>
  <c r="K242" i="106"/>
  <c r="D402" i="105"/>
  <c r="C402" i="105"/>
  <c r="I77" i="108"/>
  <c r="J242" i="106"/>
  <c r="H77" i="108"/>
  <c r="B402" i="105"/>
  <c r="I242" i="106"/>
  <c r="G77" i="108"/>
  <c r="H242" i="106"/>
  <c r="AD10" i="106"/>
  <c r="G33" i="112"/>
  <c r="J403" i="105"/>
  <c r="AJ78" i="108"/>
  <c r="P143" i="106"/>
  <c r="I403" i="105"/>
  <c r="O78" i="108"/>
  <c r="O143" i="106"/>
  <c r="F33" i="112"/>
  <c r="E33" i="112"/>
  <c r="H403" i="105"/>
  <c r="N78" i="108"/>
  <c r="N143" i="106"/>
  <c r="AD9" i="106"/>
  <c r="D33" i="112"/>
  <c r="M78" i="108"/>
  <c r="AF78" i="108" s="1"/>
  <c r="M143" i="106"/>
  <c r="G403" i="105"/>
  <c r="F403" i="105"/>
  <c r="L78" i="108"/>
  <c r="C33" i="112"/>
  <c r="E403" i="105"/>
  <c r="B33" i="112"/>
  <c r="K78" i="108"/>
  <c r="D403" i="105"/>
  <c r="J78" i="108"/>
  <c r="C403" i="105"/>
  <c r="I78" i="108"/>
  <c r="B403" i="105"/>
  <c r="H78" i="108"/>
  <c r="Q8" i="106"/>
  <c r="L59" i="107" s="1"/>
  <c r="H61" i="112" s="1"/>
  <c r="V8" i="106"/>
  <c r="Q59" i="107" s="1"/>
  <c r="Q7" i="106"/>
  <c r="L73" i="107"/>
  <c r="H73" i="112" s="1"/>
  <c r="J374" i="105"/>
  <c r="V243" i="106"/>
  <c r="Q16" i="107" s="1"/>
  <c r="P243" i="106"/>
  <c r="K16" i="107" s="1"/>
  <c r="I374" i="105"/>
  <c r="O243" i="106"/>
  <c r="J16" i="107" s="1"/>
  <c r="W7" i="106"/>
  <c r="V33" i="105" s="1"/>
  <c r="H374" i="105"/>
  <c r="G374" i="105"/>
  <c r="N243" i="106"/>
  <c r="I16" i="107" s="1"/>
  <c r="V7" i="106"/>
  <c r="Q73" i="107"/>
  <c r="AD7" i="106"/>
  <c r="F374" i="105"/>
  <c r="M243" i="106"/>
  <c r="H16" i="107" s="1"/>
  <c r="E374" i="105"/>
  <c r="L243" i="106"/>
  <c r="G16" i="107" s="1"/>
  <c r="D374" i="105"/>
  <c r="K243" i="106"/>
  <c r="F16" i="107" s="1"/>
  <c r="C374" i="105"/>
  <c r="J243" i="106"/>
  <c r="E16" i="107" s="1"/>
  <c r="B374" i="105"/>
  <c r="I243" i="106"/>
  <c r="D16" i="107" s="1"/>
  <c r="J373" i="105"/>
  <c r="P14" i="106"/>
  <c r="Q147" i="106"/>
  <c r="G32" i="112"/>
  <c r="I373" i="105"/>
  <c r="P147" i="106"/>
  <c r="J15" i="104"/>
  <c r="L55" i="104" s="1"/>
  <c r="O14" i="106"/>
  <c r="F32" i="112"/>
  <c r="W6" i="106"/>
  <c r="N14" i="106"/>
  <c r="E32" i="112"/>
  <c r="H373" i="105"/>
  <c r="O147" i="106"/>
  <c r="N147" i="106"/>
  <c r="G373" i="105"/>
  <c r="AD6" i="106"/>
  <c r="M14" i="106"/>
  <c r="V147" i="106"/>
  <c r="V150" i="106" s="1"/>
  <c r="V140" i="106" s="1"/>
  <c r="D32" i="112"/>
  <c r="F373" i="105"/>
  <c r="F372" i="105" s="1"/>
  <c r="L14" i="106"/>
  <c r="M147" i="106"/>
  <c r="C32" i="112"/>
  <c r="E373" i="105"/>
  <c r="E372" i="105" s="1"/>
  <c r="F376" i="105" s="1"/>
  <c r="L55" i="108" s="1"/>
  <c r="K14" i="106"/>
  <c r="B32" i="112"/>
  <c r="D373" i="105"/>
  <c r="D372" i="105" s="1"/>
  <c r="E376" i="105" s="1"/>
  <c r="K55" i="108" s="1"/>
  <c r="J14" i="106"/>
  <c r="I14" i="106"/>
  <c r="C373" i="105"/>
  <c r="C372" i="105" s="1"/>
  <c r="D376" i="105" s="1"/>
  <c r="J55" i="108" s="1"/>
  <c r="H14" i="106"/>
  <c r="B373" i="105"/>
  <c r="B372" i="105" s="1"/>
  <c r="C376" i="105" s="1"/>
  <c r="I55" i="108" s="1"/>
  <c r="G14" i="106"/>
  <c r="F14" i="106"/>
  <c r="E14" i="106"/>
  <c r="D14" i="106"/>
  <c r="C14" i="106"/>
  <c r="D442" i="105"/>
  <c r="D441" i="105" s="1"/>
  <c r="V53" i="106"/>
  <c r="C457" i="105"/>
  <c r="D457" i="105"/>
  <c r="F457" i="105"/>
  <c r="G457" i="105"/>
  <c r="E457" i="105"/>
  <c r="M450" i="105"/>
  <c r="E450" i="105"/>
  <c r="E453" i="105"/>
  <c r="D453" i="105"/>
  <c r="D450" i="105"/>
  <c r="C450" i="105"/>
  <c r="C453" i="105"/>
  <c r="B450" i="105"/>
  <c r="B453" i="105"/>
  <c r="C393" i="105"/>
  <c r="I58" i="108"/>
  <c r="K388" i="105"/>
  <c r="K381" i="105"/>
  <c r="P381" i="105"/>
  <c r="P388" i="105"/>
  <c r="J393" i="105"/>
  <c r="AJ58" i="108"/>
  <c r="I393" i="105"/>
  <c r="O58" i="108"/>
  <c r="H393" i="105"/>
  <c r="N58" i="108"/>
  <c r="G393" i="105"/>
  <c r="M58" i="108"/>
  <c r="F393" i="105"/>
  <c r="L58" i="108"/>
  <c r="E393" i="105"/>
  <c r="K58" i="108"/>
  <c r="D393" i="105"/>
  <c r="J58" i="108"/>
  <c r="N125" i="105"/>
  <c r="N129" i="105" s="1"/>
  <c r="M125" i="105"/>
  <c r="M129" i="105" s="1"/>
  <c r="Q125" i="105"/>
  <c r="Q129" i="105" s="1"/>
  <c r="S125" i="105"/>
  <c r="S129" i="105" s="1"/>
  <c r="R125" i="105"/>
  <c r="R129" i="105" s="1"/>
  <c r="O125" i="105"/>
  <c r="O129" i="105" s="1"/>
  <c r="P125" i="105"/>
  <c r="P129" i="105" s="1"/>
  <c r="W125" i="105"/>
  <c r="V125" i="105"/>
  <c r="R105" i="105"/>
  <c r="R109" i="105" s="1"/>
  <c r="S108" i="105" s="1"/>
  <c r="R106" i="105"/>
  <c r="S106" i="105" s="1"/>
  <c r="Q104" i="105"/>
  <c r="Q88" i="106" s="1"/>
  <c r="W161" i="106"/>
  <c r="W164" i="106" s="1"/>
  <c r="W66" i="106" s="1"/>
  <c r="W64" i="106" s="1"/>
  <c r="P108" i="105"/>
  <c r="P105" i="105" s="1"/>
  <c r="W108" i="105"/>
  <c r="O100" i="105"/>
  <c r="BF103" i="105"/>
  <c r="N100" i="105"/>
  <c r="BE103" i="105"/>
  <c r="H118" i="105"/>
  <c r="BB103" i="105"/>
  <c r="BA103" i="105"/>
  <c r="G118" i="105"/>
  <c r="F118" i="105"/>
  <c r="AZ103" i="105"/>
  <c r="AY103" i="105"/>
  <c r="E118" i="105"/>
  <c r="AX103" i="105"/>
  <c r="D118" i="105"/>
  <c r="AW103" i="105"/>
  <c r="C118" i="105"/>
  <c r="K132" i="104"/>
  <c r="K135" i="104" s="1"/>
  <c r="V91" i="105"/>
  <c r="P132" i="104"/>
  <c r="P135" i="104" s="1"/>
  <c r="J19" i="104"/>
  <c r="Q91" i="105"/>
  <c r="R90" i="105" s="1"/>
  <c r="BF119" i="105"/>
  <c r="BE119" i="105"/>
  <c r="R19" i="104"/>
  <c r="BD119" i="105"/>
  <c r="BC119" i="105"/>
  <c r="BB119" i="105"/>
  <c r="P154" i="106"/>
  <c r="F139" i="112"/>
  <c r="G21" i="112"/>
  <c r="O154" i="106"/>
  <c r="E139" i="112"/>
  <c r="F21" i="112"/>
  <c r="E21" i="112"/>
  <c r="D139" i="112"/>
  <c r="N154" i="106"/>
  <c r="M154" i="106"/>
  <c r="D21" i="112"/>
  <c r="C139" i="112"/>
  <c r="L154" i="106"/>
  <c r="B139" i="112"/>
  <c r="C21" i="112"/>
  <c r="K154" i="106"/>
  <c r="B21" i="112"/>
  <c r="CN50" i="105"/>
  <c r="CU50" i="105"/>
  <c r="CZ50" i="105"/>
  <c r="CW50" i="105"/>
  <c r="CV50" i="105"/>
  <c r="DA50" i="105"/>
  <c r="CX50" i="105"/>
  <c r="CT50" i="105"/>
  <c r="DF50" i="105"/>
  <c r="DE50" i="105"/>
  <c r="CS50" i="105"/>
  <c r="G16" i="112"/>
  <c r="AJ89" i="108"/>
  <c r="F137" i="112"/>
  <c r="O89" i="108"/>
  <c r="E137" i="112"/>
  <c r="F16" i="112"/>
  <c r="N89" i="108"/>
  <c r="D137" i="112"/>
  <c r="E16" i="112"/>
  <c r="D16" i="112"/>
  <c r="M89" i="108"/>
  <c r="AF89" i="108" s="1"/>
  <c r="V47" i="106" s="1"/>
  <c r="C137" i="112"/>
  <c r="B137" i="112"/>
  <c r="L89" i="108"/>
  <c r="C16" i="112"/>
  <c r="K89" i="108"/>
  <c r="B16" i="112"/>
  <c r="J89" i="108"/>
  <c r="I89" i="108"/>
  <c r="H89" i="108"/>
  <c r="G89" i="108"/>
  <c r="F89" i="108"/>
  <c r="E89" i="108"/>
  <c r="D89" i="108"/>
  <c r="CP45" i="105"/>
  <c r="CN45" i="105"/>
  <c r="CU45" i="105"/>
  <c r="CZ45" i="105"/>
  <c r="CW45" i="105"/>
  <c r="CV45" i="105"/>
  <c r="DA45" i="105"/>
  <c r="CX45" i="105"/>
  <c r="CT45" i="105"/>
  <c r="CS45" i="105"/>
  <c r="F135" i="112"/>
  <c r="P127" i="106"/>
  <c r="P129" i="106" s="1"/>
  <c r="G14" i="112"/>
  <c r="AJ47" i="108"/>
  <c r="O47" i="108"/>
  <c r="O127" i="106"/>
  <c r="O129" i="106" s="1"/>
  <c r="E135" i="112"/>
  <c r="F14" i="112"/>
  <c r="D135" i="112"/>
  <c r="N127" i="106"/>
  <c r="N129" i="106" s="1"/>
  <c r="E14" i="112"/>
  <c r="N47" i="108"/>
  <c r="M127" i="106"/>
  <c r="M129" i="106" s="1"/>
  <c r="D14" i="112"/>
  <c r="M47" i="108"/>
  <c r="C135" i="112"/>
  <c r="L127" i="106"/>
  <c r="L129" i="106" s="1"/>
  <c r="B135" i="112"/>
  <c r="L47" i="108"/>
  <c r="C14" i="112"/>
  <c r="K47" i="108"/>
  <c r="B14" i="112"/>
  <c r="V45" i="105"/>
  <c r="K127" i="106"/>
  <c r="K129" i="106" s="1"/>
  <c r="J47" i="108"/>
  <c r="J127" i="106"/>
  <c r="J129" i="106" s="1"/>
  <c r="I47" i="108"/>
  <c r="I127" i="106"/>
  <c r="H47" i="108"/>
  <c r="G47" i="108"/>
  <c r="F47" i="108"/>
  <c r="E47" i="108"/>
  <c r="D47" i="108"/>
  <c r="CN44" i="105"/>
  <c r="CU44" i="105"/>
  <c r="CZ44" i="105"/>
  <c r="CW44" i="105"/>
  <c r="CV44" i="105"/>
  <c r="DA44" i="105"/>
  <c r="CX44" i="105"/>
  <c r="CT44" i="105"/>
  <c r="DY19" i="105" s="1"/>
  <c r="DF44" i="105"/>
  <c r="DE44" i="105"/>
  <c r="EI19" i="105" s="1"/>
  <c r="CS44" i="105"/>
  <c r="DX19" i="105" s="1"/>
  <c r="EE19" i="105" s="1"/>
  <c r="AJ51" i="108"/>
  <c r="F133" i="112"/>
  <c r="O51" i="108"/>
  <c r="E133" i="112"/>
  <c r="D133" i="112"/>
  <c r="N51" i="108"/>
  <c r="M51" i="108"/>
  <c r="AF51" i="108" s="1"/>
  <c r="AG51" i="108" s="1"/>
  <c r="C133" i="112"/>
  <c r="L51" i="108"/>
  <c r="B133" i="112"/>
  <c r="AJ50" i="108"/>
  <c r="F132" i="112"/>
  <c r="P44" i="105"/>
  <c r="E132" i="112"/>
  <c r="O50" i="108"/>
  <c r="O44" i="105"/>
  <c r="N50" i="108"/>
  <c r="D132" i="112"/>
  <c r="N44" i="105"/>
  <c r="C132" i="112"/>
  <c r="M50" i="108"/>
  <c r="M44" i="105"/>
  <c r="L50" i="108"/>
  <c r="B132" i="112"/>
  <c r="L44" i="105"/>
  <c r="K44" i="105"/>
  <c r="K50" i="108"/>
  <c r="J44" i="105"/>
  <c r="J50" i="108"/>
  <c r="I44" i="105"/>
  <c r="I50" i="108"/>
  <c r="DF35" i="105"/>
  <c r="CA36" i="105"/>
  <c r="CT35" i="105"/>
  <c r="BW36" i="105"/>
  <c r="DE35" i="105"/>
  <c r="CS35" i="105"/>
  <c r="DF34" i="105"/>
  <c r="CT34" i="105"/>
  <c r="DE34" i="105"/>
  <c r="CS34" i="105"/>
  <c r="V34" i="105"/>
  <c r="V39" i="105" s="1"/>
  <c r="I418" i="105"/>
  <c r="Z34" i="105"/>
  <c r="G420" i="105"/>
  <c r="G418" i="105" s="1"/>
  <c r="CM39" i="105"/>
  <c r="CN32" i="105"/>
  <c r="CK39" i="105"/>
  <c r="CU32" i="105"/>
  <c r="CZ32" i="105"/>
  <c r="CJ39" i="105"/>
  <c r="CW32" i="105"/>
  <c r="CI39" i="105"/>
  <c r="CV32" i="105"/>
  <c r="CG39" i="105"/>
  <c r="DA32" i="105"/>
  <c r="CF39" i="105"/>
  <c r="CX32" i="105"/>
  <c r="CE39" i="105"/>
  <c r="DF32" i="105"/>
  <c r="CT32" i="105"/>
  <c r="CA39" i="105"/>
  <c r="DE32" i="105"/>
  <c r="BW39" i="105"/>
  <c r="CS32" i="105"/>
  <c r="W33" i="105"/>
  <c r="W39" i="105"/>
  <c r="P33" i="105"/>
  <c r="P39" i="105"/>
  <c r="O33" i="105"/>
  <c r="O39" i="105"/>
  <c r="N33" i="105"/>
  <c r="N39" i="105"/>
  <c r="Z32" i="105"/>
  <c r="M39" i="105"/>
  <c r="M33" i="105"/>
  <c r="L39" i="105"/>
  <c r="L33" i="105"/>
  <c r="K33" i="105"/>
  <c r="K39" i="105"/>
  <c r="J33" i="105"/>
  <c r="J39" i="105"/>
  <c r="I33" i="105"/>
  <c r="I39" i="105"/>
  <c r="H39" i="105"/>
  <c r="H33" i="105"/>
  <c r="G33" i="105"/>
  <c r="G39" i="105"/>
  <c r="F33" i="105"/>
  <c r="F39" i="105"/>
  <c r="E33" i="105"/>
  <c r="E39" i="105"/>
  <c r="D33" i="105"/>
  <c r="D39" i="105"/>
  <c r="C33" i="105"/>
  <c r="C39" i="105"/>
  <c r="K8" i="107"/>
  <c r="J8" i="107"/>
  <c r="E146" i="112" s="1"/>
  <c r="I8" i="107"/>
  <c r="D146" i="112" s="1"/>
  <c r="H8" i="107"/>
  <c r="C146" i="112" s="1"/>
  <c r="L234" i="106"/>
  <c r="L235" i="106" s="1"/>
  <c r="G8" i="107"/>
  <c r="B146" i="112" s="1"/>
  <c r="K234" i="106"/>
  <c r="K235" i="106" s="1"/>
  <c r="F8" i="107"/>
  <c r="J234" i="106"/>
  <c r="J235" i="106" s="1"/>
  <c r="E8" i="107"/>
  <c r="I234" i="106"/>
  <c r="I235" i="106" s="1"/>
  <c r="D8" i="107"/>
  <c r="H234" i="106"/>
  <c r="H235" i="106" s="1"/>
  <c r="C8" i="107"/>
  <c r="DR25" i="105"/>
  <c r="DT25" i="105"/>
  <c r="DQ26" i="105"/>
  <c r="DR24" i="105"/>
  <c r="DT24" i="105"/>
  <c r="DT23" i="105"/>
  <c r="DU23" i="105"/>
  <c r="DR23" i="105"/>
  <c r="DR22" i="105"/>
  <c r="DT22" i="105"/>
  <c r="EB23" i="105"/>
  <c r="DR21" i="105"/>
  <c r="DT21" i="105"/>
  <c r="CM21" i="105"/>
  <c r="CN21" i="105" s="1"/>
  <c r="CN20" i="105"/>
  <c r="CL21" i="105"/>
  <c r="CL22" i="105"/>
  <c r="CK22" i="105"/>
  <c r="CU20" i="105"/>
  <c r="CK21" i="105"/>
  <c r="CZ20" i="105"/>
  <c r="CJ21" i="105"/>
  <c r="CZ21" i="105" s="1"/>
  <c r="CW20" i="105"/>
  <c r="CI21" i="105"/>
  <c r="CH21" i="105"/>
  <c r="CH22" i="105"/>
  <c r="CG21" i="105"/>
  <c r="CV20" i="105"/>
  <c r="CG22" i="105"/>
  <c r="DA20" i="105"/>
  <c r="CF21" i="105"/>
  <c r="DA21" i="105" s="1"/>
  <c r="CE21" i="105"/>
  <c r="CX20" i="105"/>
  <c r="CD21" i="105"/>
  <c r="CD22" i="105"/>
  <c r="CC21" i="105"/>
  <c r="CC22" i="105"/>
  <c r="CB21" i="105"/>
  <c r="CB22" i="105"/>
  <c r="CT20" i="105"/>
  <c r="CA21" i="105"/>
  <c r="DF20" i="105"/>
  <c r="F310" i="111"/>
  <c r="BZ22" i="105"/>
  <c r="BZ21" i="105"/>
  <c r="BY22" i="105"/>
  <c r="J310" i="111"/>
  <c r="BY21" i="105"/>
  <c r="BX22" i="105"/>
  <c r="BX21" i="105"/>
  <c r="BW21" i="105"/>
  <c r="E310" i="111"/>
  <c r="DE20" i="105"/>
  <c r="CS20" i="105"/>
  <c r="BV22" i="105"/>
  <c r="BV21" i="105"/>
  <c r="BU21" i="105"/>
  <c r="I310" i="111"/>
  <c r="BU22" i="105"/>
  <c r="BT21" i="105"/>
  <c r="BT22" i="105"/>
  <c r="BS22" i="105"/>
  <c r="D310" i="111"/>
  <c r="BS21" i="105"/>
  <c r="BR21" i="105"/>
  <c r="BR22" i="105"/>
  <c r="H310" i="111"/>
  <c r="BQ21" i="105"/>
  <c r="BQ22" i="105"/>
  <c r="BP21" i="105"/>
  <c r="BP22" i="105"/>
  <c r="BO21" i="105"/>
  <c r="C310" i="111"/>
  <c r="BO22" i="105"/>
  <c r="BN22" i="105"/>
  <c r="BN21" i="105"/>
  <c r="BM22" i="105"/>
  <c r="BM21" i="105"/>
  <c r="BL21" i="105"/>
  <c r="BL22" i="105"/>
  <c r="BK21" i="105"/>
  <c r="BK22" i="105"/>
  <c r="I84" i="103"/>
  <c r="P21" i="105"/>
  <c r="P22" i="105"/>
  <c r="AJ43" i="108" s="1"/>
  <c r="H84" i="103"/>
  <c r="O22" i="105"/>
  <c r="O43" i="108" s="1"/>
  <c r="O21" i="105"/>
  <c r="G84" i="103"/>
  <c r="N21" i="105"/>
  <c r="N22" i="105"/>
  <c r="N43" i="108" s="1"/>
  <c r="F84" i="103"/>
  <c r="M21" i="105"/>
  <c r="M22" i="105"/>
  <c r="M43" i="108" s="1"/>
  <c r="L22" i="105"/>
  <c r="L43" i="108" s="1"/>
  <c r="L21" i="105"/>
  <c r="E84" i="103"/>
  <c r="K21" i="105"/>
  <c r="K22" i="105"/>
  <c r="K43" i="108" s="1"/>
  <c r="D84" i="103"/>
  <c r="J22" i="105"/>
  <c r="J43" i="108" s="1"/>
  <c r="J21" i="105"/>
  <c r="C84" i="103"/>
  <c r="B84" i="103"/>
  <c r="I22" i="105"/>
  <c r="I43" i="108" s="1"/>
  <c r="DR19" i="105"/>
  <c r="DT19" i="105"/>
  <c r="DQ20" i="105"/>
  <c r="DT18" i="105"/>
  <c r="DR18" i="105"/>
  <c r="CM18" i="105"/>
  <c r="CN18" i="105" s="1"/>
  <c r="CN17" i="105"/>
  <c r="CL18" i="105"/>
  <c r="CL23" i="105"/>
  <c r="CL19" i="105"/>
  <c r="CK19" i="105"/>
  <c r="CK18" i="105"/>
  <c r="CK23" i="105"/>
  <c r="CU17" i="105"/>
  <c r="CZ17" i="105"/>
  <c r="CJ18" i="105"/>
  <c r="CZ18" i="105" s="1"/>
  <c r="CW17" i="105"/>
  <c r="CI18" i="105"/>
  <c r="CH23" i="105"/>
  <c r="CH18" i="105"/>
  <c r="CH19" i="105"/>
  <c r="CG23" i="105"/>
  <c r="CG19" i="105"/>
  <c r="CV17" i="105"/>
  <c r="CG18" i="105"/>
  <c r="DA17" i="105"/>
  <c r="CF18" i="105"/>
  <c r="DA18" i="105" s="1"/>
  <c r="CE18" i="105"/>
  <c r="CX17" i="105"/>
  <c r="CD19" i="105"/>
  <c r="CD18" i="105"/>
  <c r="CD23" i="105"/>
  <c r="DS17" i="105" s="1"/>
  <c r="CC19" i="105"/>
  <c r="CC23" i="105"/>
  <c r="CC18" i="105"/>
  <c r="CB23" i="105"/>
  <c r="CB18" i="105"/>
  <c r="CB19" i="105"/>
  <c r="CA18" i="105"/>
  <c r="DF17" i="105"/>
  <c r="CT17" i="105"/>
  <c r="F309" i="111"/>
  <c r="BZ18" i="105"/>
  <c r="BZ23" i="105"/>
  <c r="BZ19" i="105"/>
  <c r="BY19" i="105"/>
  <c r="J309" i="111"/>
  <c r="BY23" i="105"/>
  <c r="BY18" i="105"/>
  <c r="BX23" i="105"/>
  <c r="BX18" i="105"/>
  <c r="BX19" i="105"/>
  <c r="DE17" i="105"/>
  <c r="E309" i="111"/>
  <c r="CS17" i="105"/>
  <c r="BW18" i="105"/>
  <c r="BV18" i="105"/>
  <c r="BV19" i="105"/>
  <c r="BV23" i="105"/>
  <c r="BU19" i="105"/>
  <c r="BU18" i="105"/>
  <c r="I309" i="111"/>
  <c r="BU23" i="105"/>
  <c r="BT23" i="105"/>
  <c r="BT18" i="105"/>
  <c r="BT19" i="105"/>
  <c r="BS19" i="105"/>
  <c r="BS18" i="105"/>
  <c r="BS23" i="105"/>
  <c r="D309" i="111"/>
  <c r="BR18" i="105"/>
  <c r="BR23" i="105"/>
  <c r="BR19" i="105"/>
  <c r="BQ23" i="105"/>
  <c r="BQ19" i="105"/>
  <c r="BQ18" i="105"/>
  <c r="H309" i="111"/>
  <c r="BP23" i="105"/>
  <c r="BP19" i="105"/>
  <c r="BP18" i="105"/>
  <c r="BO23" i="105"/>
  <c r="BO19" i="105"/>
  <c r="BO18" i="105"/>
  <c r="C309" i="111"/>
  <c r="BN18" i="105"/>
  <c r="BN23" i="105"/>
  <c r="BN19" i="105"/>
  <c r="BM23" i="105"/>
  <c r="BM18" i="105"/>
  <c r="BM19" i="105"/>
  <c r="BL23" i="105"/>
  <c r="BL19" i="105"/>
  <c r="BL18" i="105"/>
  <c r="BK23" i="105"/>
  <c r="BK19" i="105"/>
  <c r="BK18" i="105"/>
  <c r="BJ23" i="105"/>
  <c r="BJ19" i="105"/>
  <c r="BI23" i="105"/>
  <c r="BI19" i="105"/>
  <c r="BH19" i="105"/>
  <c r="BH23" i="105"/>
  <c r="BG23" i="105"/>
  <c r="BG19" i="105"/>
  <c r="P18" i="105"/>
  <c r="P23" i="105"/>
  <c r="F126" i="112"/>
  <c r="P19" i="105"/>
  <c r="AJ42" i="108" s="1"/>
  <c r="I83" i="103"/>
  <c r="AJ87" i="108"/>
  <c r="G6" i="112"/>
  <c r="O18" i="105"/>
  <c r="E126" i="112"/>
  <c r="F6" i="112"/>
  <c r="O87" i="108"/>
  <c r="O23" i="105"/>
  <c r="H83" i="103"/>
  <c r="O19" i="105"/>
  <c r="O42" i="108" s="1"/>
  <c r="D126" i="112"/>
  <c r="N23" i="105"/>
  <c r="N18" i="105"/>
  <c r="N19" i="105"/>
  <c r="N42" i="108" s="1"/>
  <c r="E6" i="112"/>
  <c r="G83" i="103"/>
  <c r="N87" i="108"/>
  <c r="AG87" i="108" s="1"/>
  <c r="F83" i="103"/>
  <c r="M19" i="105"/>
  <c r="M42" i="108" s="1"/>
  <c r="C126" i="112"/>
  <c r="M87" i="108"/>
  <c r="AF87" i="108" s="1"/>
  <c r="V45" i="106" s="1"/>
  <c r="Q69" i="107" s="1"/>
  <c r="D6" i="112"/>
  <c r="M18" i="105"/>
  <c r="L87" i="108"/>
  <c r="E83" i="103"/>
  <c r="L19" i="105"/>
  <c r="L42" i="108" s="1"/>
  <c r="L18" i="105"/>
  <c r="B126" i="112"/>
  <c r="C6" i="112"/>
  <c r="L23" i="105"/>
  <c r="K18" i="105"/>
  <c r="K87" i="108"/>
  <c r="D83" i="103"/>
  <c r="K23" i="105"/>
  <c r="K19" i="105"/>
  <c r="K42" i="108" s="1"/>
  <c r="B6" i="112"/>
  <c r="J23" i="105"/>
  <c r="J19" i="105"/>
  <c r="J42" i="108" s="1"/>
  <c r="J18" i="105"/>
  <c r="C83" i="103"/>
  <c r="J87" i="108"/>
  <c r="I19" i="105"/>
  <c r="I42" i="108" s="1"/>
  <c r="I23" i="105"/>
  <c r="B83" i="103"/>
  <c r="I87" i="108"/>
  <c r="H87" i="108"/>
  <c r="H19" i="105"/>
  <c r="H42" i="108" s="1"/>
  <c r="G87" i="108"/>
  <c r="G19" i="105"/>
  <c r="G42" i="108" s="1"/>
  <c r="F87" i="108"/>
  <c r="F19" i="105"/>
  <c r="F42" i="108" s="1"/>
  <c r="E87" i="108"/>
  <c r="E19" i="105"/>
  <c r="E42" i="108" s="1"/>
  <c r="D19" i="105"/>
  <c r="D42" i="108" s="1"/>
  <c r="D87" i="108"/>
  <c r="EB17" i="105"/>
  <c r="DR16" i="105"/>
  <c r="DT16" i="105"/>
  <c r="DT15" i="105"/>
  <c r="DR15" i="105"/>
  <c r="DQ14" i="105"/>
  <c r="DR13" i="105"/>
  <c r="DT13" i="105"/>
  <c r="CN13" i="105"/>
  <c r="CM24" i="105"/>
  <c r="BB7" i="103"/>
  <c r="CL24" i="105"/>
  <c r="CL14" i="105"/>
  <c r="CU13" i="105"/>
  <c r="CK24" i="105"/>
  <c r="CK14" i="105"/>
  <c r="BA7" i="103"/>
  <c r="CZ13" i="105"/>
  <c r="CJ24" i="105"/>
  <c r="AZ7" i="103"/>
  <c r="CW13" i="105"/>
  <c r="CI24" i="105"/>
  <c r="AY7" i="103"/>
  <c r="CH14" i="105"/>
  <c r="CH24" i="105"/>
  <c r="AX7" i="103"/>
  <c r="CG24" i="105"/>
  <c r="CV13" i="105"/>
  <c r="AW7" i="103"/>
  <c r="CG14" i="105"/>
  <c r="DA13" i="105"/>
  <c r="AV7" i="103"/>
  <c r="CF24" i="105"/>
  <c r="CX13" i="105"/>
  <c r="AU7" i="103"/>
  <c r="CE24" i="105"/>
  <c r="AT7" i="103"/>
  <c r="CD14" i="105"/>
  <c r="CD24" i="105"/>
  <c r="CC14" i="105"/>
  <c r="AS8" i="103" s="1"/>
  <c r="CC24" i="105"/>
  <c r="AS7" i="103"/>
  <c r="CB14" i="105"/>
  <c r="AR8" i="103" s="1"/>
  <c r="AR7" i="103"/>
  <c r="CB24" i="105"/>
  <c r="CA24" i="105"/>
  <c r="AQ7" i="103"/>
  <c r="DF13" i="105"/>
  <c r="CT13" i="105"/>
  <c r="AP7" i="103"/>
  <c r="BZ24" i="105"/>
  <c r="BZ14" i="105"/>
  <c r="AP8" i="103" s="1"/>
  <c r="BY14" i="105"/>
  <c r="AO8" i="103" s="1"/>
  <c r="BY24" i="105"/>
  <c r="AO7" i="103"/>
  <c r="J268" i="111" s="1"/>
  <c r="BX14" i="105"/>
  <c r="AN8" i="103" s="1"/>
  <c r="AN7" i="103"/>
  <c r="BX24" i="105"/>
  <c r="CS13" i="105"/>
  <c r="BW24" i="105"/>
  <c r="AM7" i="103"/>
  <c r="E268" i="111" s="1"/>
  <c r="DE13" i="105"/>
  <c r="BV24" i="105"/>
  <c r="AL7" i="103"/>
  <c r="BV14" i="105"/>
  <c r="AL8" i="103" s="1"/>
  <c r="AK7" i="103"/>
  <c r="I268" i="111" s="1"/>
  <c r="BU24" i="105"/>
  <c r="BU14" i="105"/>
  <c r="AK8" i="103" s="1"/>
  <c r="AJ7" i="103"/>
  <c r="BT14" i="105"/>
  <c r="AJ8" i="103" s="1"/>
  <c r="BT24" i="105"/>
  <c r="AI7" i="103"/>
  <c r="D268" i="111" s="1"/>
  <c r="BS14" i="105"/>
  <c r="AI8" i="103" s="1"/>
  <c r="BS24" i="105"/>
  <c r="AH7" i="103"/>
  <c r="BR14" i="105"/>
  <c r="AH8" i="103" s="1"/>
  <c r="BR24" i="105"/>
  <c r="AG7" i="103"/>
  <c r="H268" i="111" s="1"/>
  <c r="BQ14" i="105"/>
  <c r="AG8" i="103" s="1"/>
  <c r="BQ24" i="105"/>
  <c r="AF7" i="103"/>
  <c r="BP24" i="105"/>
  <c r="BP14" i="105"/>
  <c r="AF8" i="103" s="1"/>
  <c r="AE7" i="103"/>
  <c r="BO14" i="105"/>
  <c r="AE8" i="103" s="1"/>
  <c r="BO24" i="105"/>
  <c r="BN14" i="105"/>
  <c r="BN24" i="105"/>
  <c r="BM14" i="105"/>
  <c r="BM24" i="105"/>
  <c r="BL14" i="105"/>
  <c r="BL24" i="105"/>
  <c r="BK24" i="105"/>
  <c r="BK14" i="105"/>
  <c r="BJ14" i="105"/>
  <c r="BJ24" i="105"/>
  <c r="BI14" i="105"/>
  <c r="BI24" i="105"/>
  <c r="BH14" i="105"/>
  <c r="BH24" i="105"/>
  <c r="BG24" i="105"/>
  <c r="BG14" i="105"/>
  <c r="BF24" i="105"/>
  <c r="BF14" i="105"/>
  <c r="BE14" i="105"/>
  <c r="BE24" i="105"/>
  <c r="BD24" i="105"/>
  <c r="BD14" i="105"/>
  <c r="BC24" i="105"/>
  <c r="BC14" i="105"/>
  <c r="DR12" i="105"/>
  <c r="DT12" i="105"/>
  <c r="CM12" i="105"/>
  <c r="CN12" i="105" s="1"/>
  <c r="CN11" i="105"/>
  <c r="BB5" i="103"/>
  <c r="CL12" i="105"/>
  <c r="CU11" i="105"/>
  <c r="CK12" i="105"/>
  <c r="BA5" i="103"/>
  <c r="AZ5" i="103"/>
  <c r="CJ12" i="105"/>
  <c r="CZ12" i="105" s="1"/>
  <c r="CZ11" i="105"/>
  <c r="AY5" i="103"/>
  <c r="CI12" i="105"/>
  <c r="CW11" i="105"/>
  <c r="AX5" i="103"/>
  <c r="CH12" i="105"/>
  <c r="CV11" i="105"/>
  <c r="CG12" i="105"/>
  <c r="AW5" i="103"/>
  <c r="DA11" i="105"/>
  <c r="CF12" i="105"/>
  <c r="DA12" i="105" s="1"/>
  <c r="AV5" i="103"/>
  <c r="CX11" i="105"/>
  <c r="AU5" i="103"/>
  <c r="CE12" i="105"/>
  <c r="CD12" i="105"/>
  <c r="AT5" i="103"/>
  <c r="CC12" i="105"/>
  <c r="AS5" i="103"/>
  <c r="CB12" i="105"/>
  <c r="AR5" i="103"/>
  <c r="CT11" i="105"/>
  <c r="CA12" i="105"/>
  <c r="AQ5" i="103"/>
  <c r="DF11" i="105"/>
  <c r="AP57" i="103"/>
  <c r="AP72" i="103" s="1"/>
  <c r="AP5" i="103"/>
  <c r="BZ12" i="105"/>
  <c r="AO5" i="103"/>
  <c r="BY12" i="105"/>
  <c r="AO57" i="103"/>
  <c r="AN57" i="103"/>
  <c r="AN72" i="103" s="1"/>
  <c r="AN5" i="103"/>
  <c r="CS11" i="105"/>
  <c r="DX6" i="105" s="1"/>
  <c r="EE6" i="105" s="1"/>
  <c r="EG6" i="105" s="1"/>
  <c r="DE11" i="105"/>
  <c r="EI6" i="105" s="1"/>
  <c r="EP6" i="105" s="1"/>
  <c r="BW12" i="105"/>
  <c r="AM57" i="103"/>
  <c r="AM5" i="103"/>
  <c r="AL57" i="103"/>
  <c r="AL72" i="103" s="1"/>
  <c r="BV12" i="105"/>
  <c r="AL5" i="103"/>
  <c r="BU12" i="105"/>
  <c r="AK57" i="103"/>
  <c r="AK5" i="103"/>
  <c r="AJ57" i="103"/>
  <c r="AJ72" i="103" s="1"/>
  <c r="BT12" i="105"/>
  <c r="AJ5" i="103"/>
  <c r="AI5" i="103"/>
  <c r="AI57" i="103"/>
  <c r="BS12" i="105"/>
  <c r="AH5" i="103"/>
  <c r="AH6" i="103" s="1"/>
  <c r="BR12" i="105"/>
  <c r="BQ12" i="105"/>
  <c r="AG5" i="103"/>
  <c r="H294" i="111"/>
  <c r="BP12" i="105"/>
  <c r="AF5" i="103"/>
  <c r="AF6" i="103" s="1"/>
  <c r="AE5" i="103"/>
  <c r="C294" i="111"/>
  <c r="BO12" i="105"/>
  <c r="G4" i="112"/>
  <c r="AJ27" i="108"/>
  <c r="AJ116" i="108"/>
  <c r="AJ86" i="108"/>
  <c r="P12" i="105"/>
  <c r="AJ72" i="108"/>
  <c r="AJ73" i="108" s="1"/>
  <c r="I5" i="103"/>
  <c r="F120" i="112"/>
  <c r="P17" i="113"/>
  <c r="P15" i="113"/>
  <c r="AJ83" i="108"/>
  <c r="AJ84" i="108" s="1"/>
  <c r="F4" i="112"/>
  <c r="O27" i="108"/>
  <c r="E120" i="112"/>
  <c r="O17" i="113"/>
  <c r="O12" i="105"/>
  <c r="O83" i="108"/>
  <c r="O84" i="108" s="1"/>
  <c r="O116" i="108"/>
  <c r="O15" i="113"/>
  <c r="O72" i="108"/>
  <c r="O73" i="108" s="1"/>
  <c r="H5" i="103"/>
  <c r="O86" i="108"/>
  <c r="N83" i="108"/>
  <c r="N84" i="108" s="1"/>
  <c r="G5" i="103"/>
  <c r="N17" i="113"/>
  <c r="D120" i="112"/>
  <c r="N12" i="105"/>
  <c r="E4" i="112"/>
  <c r="N116" i="108"/>
  <c r="AG116" i="108" s="1"/>
  <c r="N72" i="108"/>
  <c r="N73" i="108" s="1"/>
  <c r="N86" i="108"/>
  <c r="AG86" i="108" s="1"/>
  <c r="N15" i="113"/>
  <c r="N27" i="108"/>
  <c r="M86" i="108"/>
  <c r="C120" i="112"/>
  <c r="M83" i="108"/>
  <c r="M84" i="108" s="1"/>
  <c r="M72" i="108"/>
  <c r="M73" i="108" s="1"/>
  <c r="M17" i="113"/>
  <c r="F5" i="103"/>
  <c r="M116" i="108"/>
  <c r="AF116" i="108" s="1"/>
  <c r="D4" i="112"/>
  <c r="M12" i="105"/>
  <c r="M27" i="108"/>
  <c r="M15" i="113"/>
  <c r="E5" i="103"/>
  <c r="B120" i="112"/>
  <c r="L17" i="113"/>
  <c r="L116" i="108"/>
  <c r="L12" i="105"/>
  <c r="C4" i="112"/>
  <c r="L83" i="108"/>
  <c r="L84" i="108" s="1"/>
  <c r="L86" i="108"/>
  <c r="L72" i="108"/>
  <c r="L73" i="108" s="1"/>
  <c r="L15" i="113"/>
  <c r="L27" i="108"/>
  <c r="K17" i="113"/>
  <c r="K83" i="108"/>
  <c r="K84" i="108" s="1"/>
  <c r="K116" i="108"/>
  <c r="K12" i="105"/>
  <c r="B4" i="112"/>
  <c r="K86" i="108"/>
  <c r="AF86" i="108" s="1"/>
  <c r="V44" i="106" s="1"/>
  <c r="D5" i="103"/>
  <c r="K27" i="108"/>
  <c r="K72" i="108"/>
  <c r="K73" i="108" s="1"/>
  <c r="K15" i="113"/>
  <c r="J86" i="108"/>
  <c r="C5" i="103"/>
  <c r="J17" i="113"/>
  <c r="J18" i="113" s="1"/>
  <c r="J72" i="108"/>
  <c r="J73" i="108" s="1"/>
  <c r="J15" i="113"/>
  <c r="J16" i="113" s="1"/>
  <c r="J12" i="105"/>
  <c r="J27" i="108"/>
  <c r="J116" i="108"/>
  <c r="J83" i="108"/>
  <c r="J84" i="108" s="1"/>
  <c r="I86" i="108"/>
  <c r="I15" i="113"/>
  <c r="I16" i="113" s="1"/>
  <c r="I17" i="113"/>
  <c r="I18" i="113" s="1"/>
  <c r="I27" i="108"/>
  <c r="B5" i="103"/>
  <c r="I72" i="108"/>
  <c r="I73" i="108" s="1"/>
  <c r="I83" i="108"/>
  <c r="I84" i="108" s="1"/>
  <c r="I12" i="105"/>
  <c r="I116" i="108"/>
  <c r="H12" i="105"/>
  <c r="H86" i="108"/>
  <c r="H27" i="108"/>
  <c r="H83" i="108"/>
  <c r="H84" i="108" s="1"/>
  <c r="H72" i="108"/>
  <c r="H73" i="108" s="1"/>
  <c r="H17" i="113"/>
  <c r="H18" i="113" s="1"/>
  <c r="H116" i="108"/>
  <c r="H15" i="113"/>
  <c r="H16" i="113" s="1"/>
  <c r="G17" i="113"/>
  <c r="G18" i="113" s="1"/>
  <c r="G15" i="113"/>
  <c r="G16" i="113" s="1"/>
  <c r="G86" i="108"/>
  <c r="G116" i="108"/>
  <c r="G83" i="108"/>
  <c r="G84" i="108" s="1"/>
  <c r="G27" i="108"/>
  <c r="G72" i="108"/>
  <c r="G73" i="108" s="1"/>
  <c r="G12" i="105"/>
  <c r="F17" i="113"/>
  <c r="F18" i="113" s="1"/>
  <c r="F72" i="108"/>
  <c r="F73" i="108" s="1"/>
  <c r="F116" i="108"/>
  <c r="F12" i="105"/>
  <c r="F27" i="108"/>
  <c r="F15" i="113"/>
  <c r="F16" i="113" s="1"/>
  <c r="F86" i="108"/>
  <c r="F83" i="108"/>
  <c r="F84" i="108" s="1"/>
  <c r="E83" i="108"/>
  <c r="E84" i="108" s="1"/>
  <c r="E12" i="105"/>
  <c r="E15" i="113"/>
  <c r="E16" i="113" s="1"/>
  <c r="E17" i="113"/>
  <c r="E18" i="113" s="1"/>
  <c r="E27" i="108"/>
  <c r="E86" i="108"/>
  <c r="E116" i="108"/>
  <c r="E72" i="108"/>
  <c r="E73" i="108" s="1"/>
  <c r="D17" i="113"/>
  <c r="D18" i="113" s="1"/>
  <c r="D116" i="108"/>
  <c r="D72" i="108"/>
  <c r="D73" i="108" s="1"/>
  <c r="D86" i="108"/>
  <c r="D15" i="113"/>
  <c r="D16" i="113" s="1"/>
  <c r="D27" i="108"/>
  <c r="D12" i="105"/>
  <c r="D83" i="108"/>
  <c r="D84" i="108" s="1"/>
  <c r="C17" i="113"/>
  <c r="C18" i="113" s="1"/>
  <c r="C15" i="113"/>
  <c r="C16" i="113" s="1"/>
  <c r="C27" i="108"/>
  <c r="EN9" i="105"/>
  <c r="EO9" i="105"/>
  <c r="EB11" i="105"/>
  <c r="EB13" i="105"/>
  <c r="EB8" i="105"/>
  <c r="CN7" i="105"/>
  <c r="CM8" i="105"/>
  <c r="CN8" i="105" s="1"/>
  <c r="CJ8" i="105"/>
  <c r="CZ7" i="105"/>
  <c r="CI8" i="105"/>
  <c r="AY2" i="103" s="1"/>
  <c r="CW7" i="105"/>
  <c r="CF8" i="105"/>
  <c r="DA7" i="105"/>
  <c r="CX7" i="105"/>
  <c r="CE8" i="105"/>
  <c r="AU2" i="103" s="1"/>
  <c r="CA8" i="105"/>
  <c r="AQ2" i="103" s="1"/>
  <c r="CT7" i="105"/>
  <c r="CS7" i="105"/>
  <c r="BW8" i="105"/>
  <c r="AM2" i="103" s="1"/>
  <c r="P71" i="105"/>
  <c r="Q8" i="105"/>
  <c r="O71" i="105"/>
  <c r="W8" i="105"/>
  <c r="V8" i="105"/>
  <c r="N71" i="105"/>
  <c r="DR6" i="105"/>
  <c r="DU6" i="105"/>
  <c r="DT6" i="105"/>
  <c r="CN6" i="105"/>
  <c r="CM9" i="105"/>
  <c r="CL10" i="105"/>
  <c r="BB3" i="103"/>
  <c r="CL33" i="105"/>
  <c r="BA3" i="103"/>
  <c r="CK33" i="105"/>
  <c r="CK10" i="105"/>
  <c r="CZ6" i="105"/>
  <c r="CJ9" i="105"/>
  <c r="CI9" i="105"/>
  <c r="CW6" i="105"/>
  <c r="CH10" i="105"/>
  <c r="AX3" i="103"/>
  <c r="CH33" i="105"/>
  <c r="CG10" i="105"/>
  <c r="AW3" i="103"/>
  <c r="CG33" i="105"/>
  <c r="DA6" i="105"/>
  <c r="CF9" i="105"/>
  <c r="CX6" i="105"/>
  <c r="CE9" i="105"/>
  <c r="AT3" i="103"/>
  <c r="CD33" i="105"/>
  <c r="AS3" i="103"/>
  <c r="CC33" i="105"/>
  <c r="CC10" i="105"/>
  <c r="CB10" i="105"/>
  <c r="AR3" i="103"/>
  <c r="CB33" i="105"/>
  <c r="DF6" i="105"/>
  <c r="CA9" i="105"/>
  <c r="CT6" i="105"/>
  <c r="AP3" i="103"/>
  <c r="BZ38" i="105"/>
  <c r="BZ10" i="105"/>
  <c r="AO3" i="103"/>
  <c r="BY38" i="105"/>
  <c r="BY10" i="105"/>
  <c r="BX10" i="105"/>
  <c r="AN3" i="103"/>
  <c r="BX38" i="105"/>
  <c r="BW9" i="105"/>
  <c r="DE6" i="105"/>
  <c r="CS6" i="105"/>
  <c r="AL3" i="103"/>
  <c r="BV38" i="105"/>
  <c r="BV10" i="105"/>
  <c r="BU10" i="105"/>
  <c r="AK3" i="103"/>
  <c r="BU38" i="105"/>
  <c r="AJ3" i="103"/>
  <c r="BT38" i="105"/>
  <c r="BT10" i="105"/>
  <c r="AI3" i="103"/>
  <c r="BS38" i="105"/>
  <c r="BS10" i="105"/>
  <c r="AH3" i="103"/>
  <c r="BR38" i="105"/>
  <c r="BR10" i="105"/>
  <c r="BQ10" i="105"/>
  <c r="AG3" i="103"/>
  <c r="BQ38" i="105"/>
  <c r="AF3" i="103"/>
  <c r="BP38" i="105"/>
  <c r="BP10" i="105"/>
  <c r="BO10" i="105"/>
  <c r="AE3" i="103"/>
  <c r="BO38" i="105"/>
  <c r="BN10" i="105"/>
  <c r="BN38" i="105"/>
  <c r="BM10" i="105"/>
  <c r="BM38" i="105"/>
  <c r="BL10" i="105"/>
  <c r="BL38" i="105"/>
  <c r="BK10" i="105"/>
  <c r="BK38" i="105"/>
  <c r="G3" i="112"/>
  <c r="P13" i="105"/>
  <c r="F115" i="112"/>
  <c r="I160" i="112"/>
  <c r="P13" i="113"/>
  <c r="P23" i="113"/>
  <c r="P24" i="113"/>
  <c r="P26" i="113"/>
  <c r="I3" i="103"/>
  <c r="P149" i="106"/>
  <c r="P216" i="106"/>
  <c r="P10" i="105"/>
  <c r="AJ57" i="108"/>
  <c r="AJ63" i="108"/>
  <c r="AJ74" i="108"/>
  <c r="AJ75" i="108" s="1"/>
  <c r="AJ80" i="108"/>
  <c r="AJ88" i="108"/>
  <c r="AJ90" i="108"/>
  <c r="AJ117" i="108"/>
  <c r="AJ118" i="108"/>
  <c r="P289" i="106"/>
  <c r="O10" i="105"/>
  <c r="O149" i="106"/>
  <c r="O216" i="106"/>
  <c r="O57" i="108"/>
  <c r="O63" i="108"/>
  <c r="O74" i="108"/>
  <c r="O75" i="108" s="1"/>
  <c r="O80" i="108"/>
  <c r="O88" i="108"/>
  <c r="O90" i="108"/>
  <c r="O117" i="108"/>
  <c r="O118" i="108"/>
  <c r="O289" i="106"/>
  <c r="F3" i="112"/>
  <c r="E115" i="112"/>
  <c r="H160" i="112"/>
  <c r="O13" i="113"/>
  <c r="O23" i="113"/>
  <c r="O24" i="113"/>
  <c r="O26" i="113"/>
  <c r="O13" i="105"/>
  <c r="H3" i="103"/>
  <c r="N289" i="106"/>
  <c r="N57" i="108"/>
  <c r="N63" i="108"/>
  <c r="N74" i="108"/>
  <c r="N75" i="108" s="1"/>
  <c r="N80" i="108"/>
  <c r="N88" i="108"/>
  <c r="AG88" i="108" s="1"/>
  <c r="N90" i="108"/>
  <c r="AG90" i="108" s="1"/>
  <c r="N117" i="108"/>
  <c r="AG117" i="108" s="1"/>
  <c r="N118" i="108"/>
  <c r="N13" i="105"/>
  <c r="N10" i="105"/>
  <c r="E3" i="112"/>
  <c r="D115" i="112"/>
  <c r="G160" i="112"/>
  <c r="R160" i="112"/>
  <c r="N13" i="113"/>
  <c r="N23" i="113"/>
  <c r="N24" i="113"/>
  <c r="N26" i="113"/>
  <c r="G3" i="103"/>
  <c r="N149" i="106"/>
  <c r="N216" i="106"/>
  <c r="EF5" i="105"/>
  <c r="EF11" i="105" s="1"/>
  <c r="D3" i="112"/>
  <c r="C115" i="112"/>
  <c r="F160" i="112"/>
  <c r="M13" i="113"/>
  <c r="M23" i="113"/>
  <c r="M24" i="113"/>
  <c r="M26" i="113"/>
  <c r="F3" i="103"/>
  <c r="M23" i="105"/>
  <c r="M298" i="105"/>
  <c r="M149" i="106"/>
  <c r="M216" i="106"/>
  <c r="M57" i="108"/>
  <c r="M63" i="108"/>
  <c r="M74" i="108"/>
  <c r="M75" i="108" s="1"/>
  <c r="M80" i="108"/>
  <c r="AF80" i="108" s="1"/>
  <c r="V32" i="106" s="1"/>
  <c r="Q63" i="107" s="1"/>
  <c r="W245" i="106" s="1"/>
  <c r="M88" i="108"/>
  <c r="AF88" i="108" s="1"/>
  <c r="V46" i="106" s="1"/>
  <c r="M90" i="108"/>
  <c r="AF90" i="108" s="1"/>
  <c r="M117" i="108"/>
  <c r="M118" i="108"/>
  <c r="M10" i="105"/>
  <c r="M289" i="106"/>
  <c r="M13" i="105"/>
  <c r="L10" i="105"/>
  <c r="L289" i="106"/>
  <c r="C3" i="112"/>
  <c r="B115" i="112"/>
  <c r="E160" i="112"/>
  <c r="L13" i="113"/>
  <c r="L23" i="113"/>
  <c r="L24" i="113"/>
  <c r="L26" i="113"/>
  <c r="E3" i="103"/>
  <c r="L298" i="105"/>
  <c r="M301" i="105"/>
  <c r="L216" i="106"/>
  <c r="L13" i="105"/>
  <c r="L57" i="108"/>
  <c r="L63" i="108"/>
  <c r="L74" i="108"/>
  <c r="L75" i="108" s="1"/>
  <c r="L80" i="108"/>
  <c r="L88" i="108"/>
  <c r="L90" i="108"/>
  <c r="L117" i="108"/>
  <c r="L118" i="108"/>
  <c r="K298" i="105"/>
  <c r="L301" i="105"/>
  <c r="K216" i="106"/>
  <c r="K57" i="108"/>
  <c r="K63" i="108"/>
  <c r="K74" i="108"/>
  <c r="K75" i="108" s="1"/>
  <c r="AF75" i="108" s="1"/>
  <c r="AF74" i="108" s="1"/>
  <c r="V9" i="106" s="1"/>
  <c r="Q64" i="107" s="1"/>
  <c r="K80" i="108"/>
  <c r="K88" i="108"/>
  <c r="K90" i="108"/>
  <c r="K117" i="108"/>
  <c r="K118" i="108"/>
  <c r="K261" i="106"/>
  <c r="K289" i="106"/>
  <c r="K13" i="105"/>
  <c r="B3" i="112"/>
  <c r="D160" i="112"/>
  <c r="K13" i="113"/>
  <c r="K23" i="113"/>
  <c r="K24" i="113"/>
  <c r="K26" i="113"/>
  <c r="K10" i="105"/>
  <c r="D3" i="103"/>
  <c r="EL5" i="105"/>
  <c r="EL11" i="105" s="1"/>
  <c r="J10" i="105"/>
  <c r="J261" i="106"/>
  <c r="J57" i="108"/>
  <c r="J63" i="108"/>
  <c r="J74" i="108"/>
  <c r="J75" i="108" s="1"/>
  <c r="J80" i="108"/>
  <c r="J88" i="108"/>
  <c r="J90" i="108"/>
  <c r="J117" i="108"/>
  <c r="J118" i="108"/>
  <c r="J13" i="105"/>
  <c r="J289" i="106"/>
  <c r="C160" i="112"/>
  <c r="J13" i="113"/>
  <c r="J14" i="113" s="1"/>
  <c r="J19" i="113" s="1"/>
  <c r="J23" i="113"/>
  <c r="J24" i="113"/>
  <c r="J26" i="113"/>
  <c r="C3" i="103"/>
  <c r="J298" i="105"/>
  <c r="K301" i="105"/>
  <c r="J216" i="106"/>
  <c r="J250" i="106" s="1"/>
  <c r="B3" i="103"/>
  <c r="B35" i="103" s="1"/>
  <c r="I13" i="105"/>
  <c r="I298" i="105"/>
  <c r="J301" i="105"/>
  <c r="C392" i="105"/>
  <c r="C422" i="105"/>
  <c r="I216" i="106"/>
  <c r="I261" i="106" s="1"/>
  <c r="I57" i="108"/>
  <c r="I63" i="108"/>
  <c r="I74" i="108"/>
  <c r="I75" i="108" s="1"/>
  <c r="I80" i="108"/>
  <c r="I88" i="108"/>
  <c r="I90" i="108"/>
  <c r="I117" i="108"/>
  <c r="I118" i="108"/>
  <c r="AF118" i="108" s="1"/>
  <c r="I10" i="105"/>
  <c r="I289" i="106"/>
  <c r="B160" i="112"/>
  <c r="I13" i="113"/>
  <c r="I14" i="113" s="1"/>
  <c r="I19" i="113" s="1"/>
  <c r="I23" i="113"/>
  <c r="I24" i="113"/>
  <c r="I26" i="113"/>
  <c r="H10" i="105"/>
  <c r="H13" i="105"/>
  <c r="H13" i="113"/>
  <c r="H14" i="113" s="1"/>
  <c r="H19" i="113" s="1"/>
  <c r="H23" i="113"/>
  <c r="H24" i="113"/>
  <c r="H26" i="113"/>
  <c r="H216" i="106"/>
  <c r="H74" i="108"/>
  <c r="H75" i="108" s="1"/>
  <c r="H80" i="108"/>
  <c r="H88" i="108"/>
  <c r="H90" i="108"/>
  <c r="H117" i="108"/>
  <c r="H118" i="108"/>
  <c r="G13" i="105"/>
  <c r="G74" i="108"/>
  <c r="G75" i="108" s="1"/>
  <c r="G80" i="108"/>
  <c r="G88" i="108"/>
  <c r="G90" i="108"/>
  <c r="G117" i="108"/>
  <c r="G118" i="108"/>
  <c r="G10" i="105"/>
  <c r="G13" i="113"/>
  <c r="G14" i="113" s="1"/>
  <c r="G19" i="113" s="1"/>
  <c r="G23" i="113"/>
  <c r="G24" i="113"/>
  <c r="G26" i="113"/>
  <c r="F13" i="113"/>
  <c r="F14" i="113" s="1"/>
  <c r="F19" i="113" s="1"/>
  <c r="F23" i="113"/>
  <c r="F24" i="113"/>
  <c r="F26" i="113"/>
  <c r="F10" i="105"/>
  <c r="F74" i="108"/>
  <c r="F75" i="108" s="1"/>
  <c r="F80" i="108"/>
  <c r="F88" i="108"/>
  <c r="F90" i="108"/>
  <c r="F117" i="108"/>
  <c r="F118" i="108"/>
  <c r="F13" i="105"/>
  <c r="E13" i="105"/>
  <c r="E13" i="113"/>
  <c r="E14" i="113" s="1"/>
  <c r="E19" i="113" s="1"/>
  <c r="E23" i="113"/>
  <c r="E24" i="113"/>
  <c r="E26" i="113"/>
  <c r="E10" i="105"/>
  <c r="E74" i="108"/>
  <c r="E75" i="108" s="1"/>
  <c r="E80" i="108"/>
  <c r="E88" i="108"/>
  <c r="E90" i="108"/>
  <c r="E117" i="108"/>
  <c r="E118" i="108"/>
  <c r="D74" i="108"/>
  <c r="D75" i="108" s="1"/>
  <c r="D80" i="108"/>
  <c r="D88" i="108"/>
  <c r="D90" i="108"/>
  <c r="D117" i="108"/>
  <c r="D118" i="108"/>
  <c r="D13" i="105"/>
  <c r="D10" i="105"/>
  <c r="D13" i="113"/>
  <c r="D14" i="113" s="1"/>
  <c r="D19" i="113" s="1"/>
  <c r="D23" i="113"/>
  <c r="D24" i="113"/>
  <c r="D26" i="113"/>
  <c r="C10" i="105"/>
  <c r="C61" i="113" s="1"/>
  <c r="C13" i="105"/>
  <c r="C13" i="113"/>
  <c r="C14" i="113" s="1"/>
  <c r="C19" i="113" s="1"/>
  <c r="C23" i="113"/>
  <c r="C24" i="113"/>
  <c r="C26" i="113"/>
  <c r="C194" i="104"/>
  <c r="C196" i="104" s="1"/>
  <c r="C193" i="104"/>
  <c r="H56" i="104"/>
  <c r="G64" i="104"/>
  <c r="H33" i="104"/>
  <c r="E42" i="104"/>
  <c r="S33" i="104"/>
  <c r="K33" i="104"/>
  <c r="I42" i="104" s="1"/>
  <c r="J33" i="104"/>
  <c r="H42" i="104" s="1"/>
  <c r="R33" i="104"/>
  <c r="D42" i="104"/>
  <c r="C67" i="104"/>
  <c r="H55" i="104"/>
  <c r="BB254" i="103"/>
  <c r="BB256" i="103"/>
  <c r="BB257" i="103" s="1"/>
  <c r="BA254" i="103"/>
  <c r="BA256" i="103"/>
  <c r="BA257" i="103" s="1"/>
  <c r="AZ254" i="103"/>
  <c r="AZ256" i="103"/>
  <c r="AZ257" i="103" s="1"/>
  <c r="AY256" i="103"/>
  <c r="AY257" i="103" s="1"/>
  <c r="AY254" i="103"/>
  <c r="AX256" i="103"/>
  <c r="AX254" i="103"/>
  <c r="AW256" i="103"/>
  <c r="AW254" i="103"/>
  <c r="AV254" i="103"/>
  <c r="AV256" i="103"/>
  <c r="AU256" i="103"/>
  <c r="AU254" i="103"/>
  <c r="AT256" i="103"/>
  <c r="AT254" i="103"/>
  <c r="AS254" i="103"/>
  <c r="AS256" i="103"/>
  <c r="AR254" i="103"/>
  <c r="AR256" i="103"/>
  <c r="AQ254" i="103"/>
  <c r="AQ256" i="103"/>
  <c r="AP254" i="103"/>
  <c r="AP256" i="103"/>
  <c r="AP257" i="103" s="1"/>
  <c r="AO254" i="103"/>
  <c r="AO256" i="103"/>
  <c r="AO257" i="103" s="1"/>
  <c r="AN254" i="103"/>
  <c r="AN256" i="103"/>
  <c r="AN257" i="103" s="1"/>
  <c r="AM256" i="103"/>
  <c r="AM257" i="103" s="1"/>
  <c r="AM254" i="103"/>
  <c r="AN209" i="103"/>
  <c r="AN210" i="103"/>
  <c r="AO208" i="103"/>
  <c r="AP208" i="103" s="1"/>
  <c r="AJ210" i="103"/>
  <c r="AK208" i="103"/>
  <c r="AL208" i="103"/>
  <c r="AO205" i="103"/>
  <c r="AP205" i="103"/>
  <c r="AN206" i="103"/>
  <c r="AN207" i="103"/>
  <c r="AK205" i="103"/>
  <c r="AL205" i="103"/>
  <c r="AJ207" i="103"/>
  <c r="BB201" i="103"/>
  <c r="AW201" i="103"/>
  <c r="BA202" i="103" s="1"/>
  <c r="AV202" i="103"/>
  <c r="AZ202" i="103"/>
  <c r="AS201" i="103"/>
  <c r="AR202" i="103"/>
  <c r="AO201" i="103"/>
  <c r="AN202" i="103"/>
  <c r="AP201" i="103"/>
  <c r="AK201" i="103"/>
  <c r="AL201" i="103" s="1"/>
  <c r="I290" i="111" s="1"/>
  <c r="N290" i="111" s="1"/>
  <c r="H202" i="103"/>
  <c r="G202" i="103"/>
  <c r="O201" i="103"/>
  <c r="O15" i="103" s="1"/>
  <c r="BB199" i="103"/>
  <c r="AZ200" i="103"/>
  <c r="AV200" i="103"/>
  <c r="AW199" i="103"/>
  <c r="BA200" i="103" s="1"/>
  <c r="AR200" i="103"/>
  <c r="AS199" i="103"/>
  <c r="AN200" i="103"/>
  <c r="AO199" i="103"/>
  <c r="AP199" i="103" s="1"/>
  <c r="AK199" i="103"/>
  <c r="AL199" i="103" s="1"/>
  <c r="I289" i="111" s="1"/>
  <c r="N289" i="111" s="1"/>
  <c r="O24" i="103"/>
  <c r="O93" i="103"/>
  <c r="O14" i="103"/>
  <c r="N24" i="103"/>
  <c r="N93" i="103"/>
  <c r="K199" i="103"/>
  <c r="J15" i="103"/>
  <c r="N190" i="103"/>
  <c r="N189" i="103"/>
  <c r="O188" i="103"/>
  <c r="G189" i="103"/>
  <c r="H189" i="103"/>
  <c r="G191" i="103"/>
  <c r="G190" i="103"/>
  <c r="G193" i="103" s="1"/>
  <c r="BA162" i="103"/>
  <c r="AZ173" i="103"/>
  <c r="BE162" i="103"/>
  <c r="BK162" i="103" s="1"/>
  <c r="AW162" i="103"/>
  <c r="AV184" i="103"/>
  <c r="AV173" i="103"/>
  <c r="AS162" i="103"/>
  <c r="AR184" i="103"/>
  <c r="CG162" i="103"/>
  <c r="AR173" i="103"/>
  <c r="AO162" i="103"/>
  <c r="AP162" i="103"/>
  <c r="CF162" i="103"/>
  <c r="AN173" i="103"/>
  <c r="CE162" i="103"/>
  <c r="AL162" i="103"/>
  <c r="AJ173" i="103"/>
  <c r="BA161" i="103"/>
  <c r="AZ172" i="103"/>
  <c r="AV183" i="103"/>
  <c r="AW161" i="103"/>
  <c r="BE161" i="103"/>
  <c r="BK161" i="103" s="1"/>
  <c r="AV172" i="103"/>
  <c r="AR183" i="103"/>
  <c r="AS161" i="103"/>
  <c r="AR172" i="103"/>
  <c r="CG161" i="103"/>
  <c r="CF161" i="103"/>
  <c r="AO161" i="103"/>
  <c r="AP161" i="103"/>
  <c r="AN172" i="103"/>
  <c r="CE161" i="103"/>
  <c r="AJ172" i="103"/>
  <c r="AL161" i="103"/>
  <c r="AZ171" i="103"/>
  <c r="BA160" i="103"/>
  <c r="AW160" i="103"/>
  <c r="AV182" i="103"/>
  <c r="BE160" i="103"/>
  <c r="BK160" i="103" s="1"/>
  <c r="AV171" i="103"/>
  <c r="AR182" i="103"/>
  <c r="CG160" i="103"/>
  <c r="AS160" i="103"/>
  <c r="AR171" i="103"/>
  <c r="AO160" i="103"/>
  <c r="AP160" i="103" s="1"/>
  <c r="AP171" i="103" s="1"/>
  <c r="CF160" i="103"/>
  <c r="AN171" i="103"/>
  <c r="AL160" i="103"/>
  <c r="CE160" i="103"/>
  <c r="AJ171" i="103"/>
  <c r="AZ170" i="103"/>
  <c r="BA159" i="103"/>
  <c r="BB159" i="103" s="1"/>
  <c r="AV181" i="103"/>
  <c r="AW159" i="103"/>
  <c r="AV170" i="103"/>
  <c r="BE159" i="103"/>
  <c r="BK159" i="103" s="1"/>
  <c r="AR181" i="103"/>
  <c r="CG159" i="103"/>
  <c r="AR170" i="103"/>
  <c r="AS159" i="103"/>
  <c r="CF159" i="103"/>
  <c r="AN170" i="103"/>
  <c r="AO159" i="103"/>
  <c r="AP159" i="103" s="1"/>
  <c r="AL159" i="103"/>
  <c r="AJ170" i="103"/>
  <c r="CE159" i="103"/>
  <c r="O21" i="103"/>
  <c r="O90" i="103"/>
  <c r="L159" i="103"/>
  <c r="L158" i="103" s="1"/>
  <c r="K158" i="103"/>
  <c r="BC169" i="103"/>
  <c r="BB158" i="103"/>
  <c r="BD158" i="103" s="1"/>
  <c r="AU184" i="103"/>
  <c r="AU183" i="103"/>
  <c r="AU182" i="103"/>
  <c r="AU181" i="103"/>
  <c r="AQ184" i="103"/>
  <c r="AQ183" i="103"/>
  <c r="CG158" i="103"/>
  <c r="CI158" i="103" s="1"/>
  <c r="AQ182" i="103"/>
  <c r="AQ181" i="103"/>
  <c r="N21" i="103"/>
  <c r="N90" i="103"/>
  <c r="N117" i="103"/>
  <c r="C178" i="104" s="1"/>
  <c r="N303" i="103"/>
  <c r="N310" i="103" s="1"/>
  <c r="E54" i="102"/>
  <c r="N11" i="103"/>
  <c r="I169" i="103"/>
  <c r="I164" i="103"/>
  <c r="H169" i="103"/>
  <c r="H164" i="103"/>
  <c r="G184" i="103"/>
  <c r="G183" i="103"/>
  <c r="G169" i="103"/>
  <c r="G164" i="103"/>
  <c r="G181" i="103"/>
  <c r="G182" i="103"/>
  <c r="F184" i="103"/>
  <c r="F169" i="103"/>
  <c r="F180" i="103"/>
  <c r="F181" i="103"/>
  <c r="F164" i="103"/>
  <c r="F185" i="103"/>
  <c r="F182" i="103"/>
  <c r="F183" i="103"/>
  <c r="AY168" i="103"/>
  <c r="F179" i="103"/>
  <c r="F168" i="103"/>
  <c r="E179" i="103"/>
  <c r="E168" i="103"/>
  <c r="D179" i="103"/>
  <c r="D168" i="103"/>
  <c r="C179" i="103"/>
  <c r="C168" i="103"/>
  <c r="BI156" i="103"/>
  <c r="J1613" i="111"/>
  <c r="BA156" i="103"/>
  <c r="BB156" i="103" s="1"/>
  <c r="AZ167" i="103"/>
  <c r="BE156" i="103"/>
  <c r="AW156" i="103"/>
  <c r="AV167" i="103"/>
  <c r="AV157" i="103"/>
  <c r="AS156" i="103"/>
  <c r="AR167" i="103"/>
  <c r="AU167" i="103"/>
  <c r="AQ167" i="103"/>
  <c r="CG156" i="103"/>
  <c r="CF156" i="103"/>
  <c r="E274" i="111"/>
  <c r="CE156" i="103"/>
  <c r="D274" i="111"/>
  <c r="C274" i="111"/>
  <c r="CD156" i="103"/>
  <c r="I167" i="103"/>
  <c r="AQ157" i="103"/>
  <c r="AU168" i="103" s="1"/>
  <c r="C182" i="104"/>
  <c r="C181" i="104"/>
  <c r="N156" i="103"/>
  <c r="N118" i="103"/>
  <c r="C179" i="104" s="1"/>
  <c r="BA122" i="103"/>
  <c r="BI122" i="103"/>
  <c r="AZ141" i="103"/>
  <c r="AZ150" i="103"/>
  <c r="AZ131" i="103"/>
  <c r="BE122" i="103"/>
  <c r="AW122" i="103"/>
  <c r="AV141" i="103"/>
  <c r="AQ141" i="103"/>
  <c r="AU150" i="103"/>
  <c r="AQ150" i="103"/>
  <c r="AQ115" i="103"/>
  <c r="AQ131" i="103" s="1"/>
  <c r="AR122" i="103"/>
  <c r="F303" i="111"/>
  <c r="CB122" i="103"/>
  <c r="AP141" i="103"/>
  <c r="AP150" i="103"/>
  <c r="AO141" i="103"/>
  <c r="J305" i="111"/>
  <c r="AO150" i="103"/>
  <c r="J303" i="111"/>
  <c r="AN141" i="103"/>
  <c r="AN150" i="103"/>
  <c r="AM141" i="103"/>
  <c r="E305" i="111"/>
  <c r="S305" i="111" s="1"/>
  <c r="AM150" i="103"/>
  <c r="E303" i="111"/>
  <c r="S303" i="111" s="1"/>
  <c r="AL141" i="103"/>
  <c r="AK141" i="103"/>
  <c r="AJ141" i="103"/>
  <c r="AI141" i="103"/>
  <c r="AI150" i="103"/>
  <c r="AE141" i="103"/>
  <c r="AF122" i="103"/>
  <c r="AG122" i="103"/>
  <c r="AK150" i="103" s="1"/>
  <c r="F141" i="103"/>
  <c r="G150" i="103"/>
  <c r="F150" i="103"/>
  <c r="E141" i="103"/>
  <c r="E150" i="103"/>
  <c r="D141" i="103"/>
  <c r="D150" i="103"/>
  <c r="C141" i="103"/>
  <c r="C150" i="103"/>
  <c r="B141" i="103"/>
  <c r="BI121" i="103"/>
  <c r="AZ130" i="103"/>
  <c r="AZ149" i="103"/>
  <c r="AZ140" i="103"/>
  <c r="X72" i="111" s="1"/>
  <c r="BA121" i="103"/>
  <c r="BE121" i="103"/>
  <c r="AV149" i="103"/>
  <c r="AW121" i="103"/>
  <c r="AV140" i="103"/>
  <c r="T72" i="111" s="1"/>
  <c r="F304" i="111"/>
  <c r="BD121" i="103"/>
  <c r="AR140" i="103"/>
  <c r="P72" i="111" s="1"/>
  <c r="AR149" i="103"/>
  <c r="AS121" i="103"/>
  <c r="F302" i="111"/>
  <c r="AF140" i="103"/>
  <c r="D72" i="111" s="1"/>
  <c r="CD121" i="103"/>
  <c r="AF119" i="103"/>
  <c r="AJ149" i="103"/>
  <c r="AG121" i="103"/>
  <c r="AH121" i="103" s="1"/>
  <c r="AZ139" i="103"/>
  <c r="AZ148" i="103"/>
  <c r="BA120" i="103"/>
  <c r="AZ129" i="103"/>
  <c r="BI120" i="103"/>
  <c r="AV119" i="103"/>
  <c r="AV148" i="103"/>
  <c r="AW120" i="103"/>
  <c r="BE120" i="103"/>
  <c r="AV139" i="103"/>
  <c r="AR148" i="103"/>
  <c r="BD120" i="103"/>
  <c r="AR139" i="103"/>
  <c r="AS120" i="103"/>
  <c r="F301" i="111"/>
  <c r="AT120" i="103"/>
  <c r="AG120" i="103"/>
  <c r="AH120" i="103" s="1"/>
  <c r="BA119" i="103"/>
  <c r="BI119" i="103"/>
  <c r="AR119" i="103"/>
  <c r="BD119" i="103" s="1"/>
  <c r="BI118" i="103"/>
  <c r="BA118" i="103"/>
  <c r="BE118" i="103"/>
  <c r="AW118" i="103"/>
  <c r="AS118" i="103"/>
  <c r="BD118" i="103"/>
  <c r="CD118" i="103"/>
  <c r="AG118" i="103"/>
  <c r="AH118" i="103"/>
  <c r="BA117" i="103"/>
  <c r="BI117" i="103"/>
  <c r="AW117" i="103"/>
  <c r="BE117" i="103"/>
  <c r="AS117" i="103"/>
  <c r="BD117" i="103"/>
  <c r="AG117" i="103"/>
  <c r="AH117" i="103"/>
  <c r="CD117" i="103"/>
  <c r="BA116" i="103"/>
  <c r="BI116" i="103"/>
  <c r="AX116" i="103"/>
  <c r="AR116" i="103"/>
  <c r="BD116" i="103" s="1"/>
  <c r="BI115" i="103"/>
  <c r="BA115" i="103"/>
  <c r="G113" i="103"/>
  <c r="F104" i="103"/>
  <c r="F113" i="103"/>
  <c r="E113" i="103"/>
  <c r="E104" i="103"/>
  <c r="L45" i="103"/>
  <c r="L39" i="103" s="1"/>
  <c r="L60" i="103" s="1"/>
  <c r="K39" i="103"/>
  <c r="K60" i="103" s="1"/>
  <c r="F45" i="103"/>
  <c r="F41" i="103"/>
  <c r="G41" i="103"/>
  <c r="E45" i="103"/>
  <c r="E41" i="103"/>
  <c r="D45" i="103"/>
  <c r="D41" i="103"/>
  <c r="C41" i="103"/>
  <c r="I41" i="103"/>
  <c r="C45" i="103"/>
  <c r="C46" i="103" s="1"/>
  <c r="J31" i="108" s="1"/>
  <c r="G45" i="103"/>
  <c r="BI17" i="103"/>
  <c r="AZ26" i="103"/>
  <c r="AZ35" i="103"/>
  <c r="BA17" i="103"/>
  <c r="BB17" i="103" s="1"/>
  <c r="BE17" i="103"/>
  <c r="AV35" i="103"/>
  <c r="AW17" i="103"/>
  <c r="AR17" i="103"/>
  <c r="AU26" i="103"/>
  <c r="AQ26" i="103"/>
  <c r="AQ35" i="103"/>
  <c r="AP26" i="103"/>
  <c r="AO26" i="103"/>
  <c r="AN26" i="103"/>
  <c r="CF17" i="103"/>
  <c r="AM26" i="103"/>
  <c r="CE17" i="103"/>
  <c r="AI26" i="103"/>
  <c r="AF17" i="103"/>
  <c r="AG17" i="103"/>
  <c r="AK26" i="103" s="1"/>
  <c r="O95" i="103"/>
  <c r="F26" i="103"/>
  <c r="F216" i="103" s="1"/>
  <c r="G26" i="103"/>
  <c r="G216" i="103" s="1"/>
  <c r="F217" i="103"/>
  <c r="E26" i="103"/>
  <c r="E216" i="103" s="1"/>
  <c r="E217" i="103"/>
  <c r="D217" i="103"/>
  <c r="D26" i="103"/>
  <c r="D216" i="103" s="1"/>
  <c r="D104" i="103"/>
  <c r="C26" i="103"/>
  <c r="C216" i="103" s="1"/>
  <c r="C217" i="103"/>
  <c r="C104" i="103"/>
  <c r="B217" i="103"/>
  <c r="B104" i="103"/>
  <c r="BA16" i="103"/>
  <c r="BB16" i="103" s="1"/>
  <c r="BI16" i="103"/>
  <c r="AZ34" i="103"/>
  <c r="AZ25" i="103"/>
  <c r="AV25" i="103"/>
  <c r="AW16" i="103"/>
  <c r="BE16" i="103"/>
  <c r="AV34" i="103"/>
  <c r="AS16" i="103"/>
  <c r="AR25" i="103"/>
  <c r="BD16" i="103"/>
  <c r="CG16" i="103"/>
  <c r="CI16" i="103" s="1"/>
  <c r="AG16" i="103"/>
  <c r="AH16" i="103"/>
  <c r="AL25" i="103" s="1"/>
  <c r="CD16" i="103"/>
  <c r="AJ25" i="103"/>
  <c r="O94" i="103"/>
  <c r="N94" i="103"/>
  <c r="K16" i="103"/>
  <c r="J94" i="103"/>
  <c r="AZ24" i="103"/>
  <c r="BI15" i="103"/>
  <c r="BA15" i="103"/>
  <c r="BB15" i="103" s="1"/>
  <c r="AZ33" i="103"/>
  <c r="AV33" i="103"/>
  <c r="BE15" i="103"/>
  <c r="AW15" i="103"/>
  <c r="AV24" i="103"/>
  <c r="CG15" i="103"/>
  <c r="CI15" i="103" s="1"/>
  <c r="AR24" i="103"/>
  <c r="BD15" i="103"/>
  <c r="AS15" i="103"/>
  <c r="AJ24" i="103"/>
  <c r="AG15" i="103"/>
  <c r="CD15" i="103"/>
  <c r="AH15" i="103"/>
  <c r="BA14" i="103"/>
  <c r="BB14" i="103" s="1"/>
  <c r="BI14" i="103"/>
  <c r="AZ23" i="103"/>
  <c r="AZ32" i="103"/>
  <c r="AV32" i="103"/>
  <c r="AW14" i="103"/>
  <c r="AU32" i="103"/>
  <c r="BE14" i="103"/>
  <c r="AY23" i="103"/>
  <c r="AU23" i="103"/>
  <c r="AQ32" i="103"/>
  <c r="AR14" i="103"/>
  <c r="AQ23" i="103"/>
  <c r="CG14" i="103"/>
  <c r="AP23" i="103"/>
  <c r="AO23" i="103"/>
  <c r="AN23" i="103"/>
  <c r="AM23" i="103"/>
  <c r="CF14" i="103"/>
  <c r="AJ23" i="103"/>
  <c r="CE14" i="103"/>
  <c r="AI23" i="103"/>
  <c r="N23" i="103"/>
  <c r="N119" i="103"/>
  <c r="K14" i="103"/>
  <c r="J23" i="103"/>
  <c r="Q17" i="108" s="1"/>
  <c r="G23" i="103"/>
  <c r="H23" i="103"/>
  <c r="V23" i="103"/>
  <c r="F23" i="103"/>
  <c r="E23" i="103"/>
  <c r="D23" i="103"/>
  <c r="C23" i="103"/>
  <c r="BI13" i="103"/>
  <c r="AZ22" i="103"/>
  <c r="BA13" i="103"/>
  <c r="AZ31" i="103"/>
  <c r="BE13" i="103"/>
  <c r="AW13" i="103"/>
  <c r="AV22" i="103"/>
  <c r="AV31" i="103"/>
  <c r="CG13" i="103"/>
  <c r="CI13" i="103" s="1"/>
  <c r="AS13" i="103"/>
  <c r="AR22" i="103"/>
  <c r="BD13" i="103"/>
  <c r="CD13" i="103"/>
  <c r="AG13" i="103"/>
  <c r="AH13" i="103"/>
  <c r="AJ22" i="103"/>
  <c r="BI12" i="103"/>
  <c r="AZ21" i="103"/>
  <c r="BA12" i="103"/>
  <c r="AZ30" i="103"/>
  <c r="AV21" i="103"/>
  <c r="BE12" i="103"/>
  <c r="AV30" i="103"/>
  <c r="AW12" i="103"/>
  <c r="BD12" i="103"/>
  <c r="AR250" i="103"/>
  <c r="AR251" i="103" s="1"/>
  <c r="CG12" i="103"/>
  <c r="AS12" i="103"/>
  <c r="AR21" i="103"/>
  <c r="AJ21" i="103"/>
  <c r="AG12" i="103"/>
  <c r="AH12" i="103"/>
  <c r="CD12" i="103"/>
  <c r="D90" i="111" s="1"/>
  <c r="AZ20" i="103"/>
  <c r="BI11" i="103"/>
  <c r="BA11" i="103"/>
  <c r="AZ29" i="103"/>
  <c r="AW11" i="103"/>
  <c r="AW135" i="103" s="1"/>
  <c r="AV29" i="103"/>
  <c r="BE11" i="103"/>
  <c r="BE135" i="103" s="1"/>
  <c r="AU20" i="103"/>
  <c r="AU29" i="103"/>
  <c r="AY20" i="103"/>
  <c r="AR11" i="103"/>
  <c r="AQ20" i="103"/>
  <c r="AQ29" i="103"/>
  <c r="CG11" i="103"/>
  <c r="AP20" i="103"/>
  <c r="AO20" i="103"/>
  <c r="AN20" i="103"/>
  <c r="AM20" i="103"/>
  <c r="CF11" i="103"/>
  <c r="AJ20" i="103"/>
  <c r="CE11" i="103"/>
  <c r="AI20" i="103"/>
  <c r="CD11" i="103"/>
  <c r="AE20" i="103"/>
  <c r="G13" i="103"/>
  <c r="G20" i="103"/>
  <c r="H20" i="103"/>
  <c r="F20" i="103"/>
  <c r="E20" i="103"/>
  <c r="D20" i="103"/>
  <c r="C20" i="103"/>
  <c r="BA10" i="103"/>
  <c r="BI10" i="103"/>
  <c r="AZ19" i="103"/>
  <c r="AW10" i="103"/>
  <c r="AY19" i="103"/>
  <c r="AU34" i="103"/>
  <c r="BE10" i="103"/>
  <c r="AU33" i="103"/>
  <c r="AU35" i="103"/>
  <c r="AU31" i="103"/>
  <c r="AU30" i="103"/>
  <c r="AU19" i="103"/>
  <c r="CB117" i="103"/>
  <c r="AQ30" i="103"/>
  <c r="AQ33" i="103"/>
  <c r="CB118" i="103"/>
  <c r="AR10" i="103"/>
  <c r="AQ31" i="103"/>
  <c r="AQ34" i="103"/>
  <c r="I49" i="103"/>
  <c r="I19" i="103"/>
  <c r="H49" i="103"/>
  <c r="F177" i="103"/>
  <c r="F19" i="103"/>
  <c r="F178" i="103"/>
  <c r="F49" i="103"/>
  <c r="E19" i="103"/>
  <c r="E180" i="103"/>
  <c r="E177" i="103"/>
  <c r="E49" i="103"/>
  <c r="E178" i="103"/>
  <c r="D180" i="103"/>
  <c r="D49" i="103"/>
  <c r="D19" i="103"/>
  <c r="D177" i="103"/>
  <c r="D178" i="103"/>
  <c r="C178" i="103"/>
  <c r="C180" i="103"/>
  <c r="C19" i="103"/>
  <c r="C49" i="103"/>
  <c r="C177" i="103"/>
  <c r="B177" i="103"/>
  <c r="B180" i="103"/>
  <c r="B181" i="103"/>
  <c r="B178" i="103"/>
  <c r="B49" i="103"/>
  <c r="K17" i="103"/>
  <c r="J26" i="103"/>
  <c r="J216" i="103" s="1"/>
  <c r="J95" i="103"/>
  <c r="K17" i="101"/>
  <c r="K18" i="101"/>
  <c r="F57" i="102"/>
  <c r="N26" i="103"/>
  <c r="N216" i="103" s="1"/>
  <c r="N95" i="103"/>
  <c r="E57" i="102"/>
  <c r="K13" i="103"/>
  <c r="J22" i="103"/>
  <c r="J156" i="103" s="1"/>
  <c r="J91" i="103"/>
  <c r="K13" i="101"/>
  <c r="K14" i="101"/>
  <c r="F55" i="102"/>
  <c r="N22" i="103"/>
  <c r="N91" i="103"/>
  <c r="E55" i="102"/>
  <c r="O300" i="106"/>
  <c r="J300" i="106"/>
  <c r="N286" i="106"/>
  <c r="V274" i="106" s="1"/>
  <c r="J286" i="106"/>
  <c r="L274" i="106" s="1"/>
  <c r="L300" i="106"/>
  <c r="I300" i="106"/>
  <c r="O286" i="106"/>
  <c r="W274" i="106" s="1"/>
  <c r="L286" i="106"/>
  <c r="N274" i="106" s="1"/>
  <c r="P300" i="106"/>
  <c r="N300" i="106"/>
  <c r="K300" i="106"/>
  <c r="P286" i="106"/>
  <c r="M286" i="106"/>
  <c r="I286" i="106"/>
  <c r="K274" i="106" s="1"/>
  <c r="M300" i="106"/>
  <c r="K286" i="106"/>
  <c r="M274" i="106" s="1"/>
  <c r="DB34" i="105"/>
  <c r="P136" i="106"/>
  <c r="Q136" i="106" s="1"/>
  <c r="R136" i="106" s="1"/>
  <c r="S136" i="106" s="1"/>
  <c r="O136" i="106"/>
  <c r="N136" i="106"/>
  <c r="M136" i="106"/>
  <c r="L136" i="106"/>
  <c r="K136" i="106"/>
  <c r="J136" i="106"/>
  <c r="I136" i="106"/>
  <c r="Q311" i="106"/>
  <c r="L238" i="106"/>
  <c r="L239" i="106" s="1"/>
  <c r="K238" i="106"/>
  <c r="K239" i="106" s="1"/>
  <c r="J238" i="106"/>
  <c r="J239" i="106" s="1"/>
  <c r="I238" i="106"/>
  <c r="I239" i="106" s="1"/>
  <c r="H238" i="106"/>
  <c r="H239" i="106" s="1"/>
  <c r="G238" i="106"/>
  <c r="G239" i="106" s="1"/>
  <c r="F238" i="106"/>
  <c r="F239" i="106" s="1"/>
  <c r="E238" i="106"/>
  <c r="E239" i="106" s="1"/>
  <c r="L236" i="106"/>
  <c r="L237" i="106" s="1"/>
  <c r="K236" i="106"/>
  <c r="K237" i="106" s="1"/>
  <c r="J236" i="106"/>
  <c r="J237" i="106" s="1"/>
  <c r="I236" i="106"/>
  <c r="I237" i="106" s="1"/>
  <c r="H236" i="106"/>
  <c r="H237" i="106" s="1"/>
  <c r="G236" i="106"/>
  <c r="G237" i="106" s="1"/>
  <c r="F236" i="106"/>
  <c r="F237" i="106" s="1"/>
  <c r="E236" i="106"/>
  <c r="E237" i="106" s="1"/>
  <c r="D236" i="106"/>
  <c r="D237" i="106" s="1"/>
  <c r="G78" i="108"/>
  <c r="F78" i="108"/>
  <c r="E78" i="108"/>
  <c r="D78" i="108"/>
  <c r="C78" i="108"/>
  <c r="DB54" i="105"/>
  <c r="CY54" i="105"/>
  <c r="DB43" i="105"/>
  <c r="CY43" i="105"/>
  <c r="K51" i="108"/>
  <c r="DB42" i="105"/>
  <c r="CY42" i="105"/>
  <c r="DB35" i="105"/>
  <c r="CY35" i="105"/>
  <c r="CY34" i="105"/>
  <c r="BJ22" i="105"/>
  <c r="BI22" i="105"/>
  <c r="BH22" i="105"/>
  <c r="BG22" i="105"/>
  <c r="BF22" i="105"/>
  <c r="BE22" i="105"/>
  <c r="BD22" i="105"/>
  <c r="BC22" i="105"/>
  <c r="H22" i="105"/>
  <c r="H43" i="108" s="1"/>
  <c r="G22" i="105"/>
  <c r="G43" i="108" s="1"/>
  <c r="F22" i="105"/>
  <c r="F43" i="108" s="1"/>
  <c r="E22" i="105"/>
  <c r="E43" i="108" s="1"/>
  <c r="D22" i="105"/>
  <c r="D43" i="108" s="1"/>
  <c r="C22" i="105"/>
  <c r="C43" i="108" s="1"/>
  <c r="BF19" i="105"/>
  <c r="BE19" i="105"/>
  <c r="BD19" i="105"/>
  <c r="BC19" i="105"/>
  <c r="C19" i="105"/>
  <c r="C42" i="108" s="1"/>
  <c r="J303" i="103" l="1"/>
  <c r="F54" i="102"/>
  <c r="J21" i="103"/>
  <c r="K11" i="101"/>
  <c r="J90" i="103"/>
  <c r="K12" i="101"/>
  <c r="J11" i="103"/>
  <c r="J310" i="103"/>
  <c r="R226" i="106"/>
  <c r="S309" i="106"/>
  <c r="S226" i="106" s="1"/>
  <c r="S25" i="106" s="1"/>
  <c r="R311" i="106"/>
  <c r="Q25" i="106"/>
  <c r="Q310" i="106"/>
  <c r="Q225" i="106"/>
  <c r="R308" i="106"/>
  <c r="N311" i="106"/>
  <c r="O311" i="106"/>
  <c r="Y225" i="106"/>
  <c r="Y310" i="106"/>
  <c r="R299" i="106"/>
  <c r="S302" i="106"/>
  <c r="Q267" i="106"/>
  <c r="P266" i="106"/>
  <c r="Y267" i="106"/>
  <c r="Y266" i="106" s="1"/>
  <c r="M266" i="106"/>
  <c r="S248" i="106"/>
  <c r="S34" i="106" s="1"/>
  <c r="R34" i="106"/>
  <c r="V123" i="106"/>
  <c r="V75" i="106" s="1"/>
  <c r="V93" i="106"/>
  <c r="Q153" i="106"/>
  <c r="P153" i="106"/>
  <c r="P155" i="106" s="1"/>
  <c r="O153" i="106"/>
  <c r="O155" i="106" s="1"/>
  <c r="W153" i="106"/>
  <c r="N153" i="106"/>
  <c r="N155" i="106" s="1"/>
  <c r="V153" i="106"/>
  <c r="V156" i="106" s="1"/>
  <c r="V77" i="106" s="1"/>
  <c r="M153" i="106"/>
  <c r="M155" i="106" s="1"/>
  <c r="L153" i="106"/>
  <c r="L155" i="106" s="1"/>
  <c r="K155" i="106"/>
  <c r="Q116" i="106"/>
  <c r="P116" i="106"/>
  <c r="P117" i="106" s="1"/>
  <c r="O116" i="106"/>
  <c r="O117" i="106" s="1"/>
  <c r="N116" i="106"/>
  <c r="N117" i="106" s="1"/>
  <c r="V116" i="106"/>
  <c r="V118" i="106" s="1"/>
  <c r="M117" i="106"/>
  <c r="Q111" i="106"/>
  <c r="P111" i="106"/>
  <c r="P112" i="106" s="1"/>
  <c r="O111" i="106"/>
  <c r="O112" i="106" s="1"/>
  <c r="W111" i="106"/>
  <c r="N111" i="106"/>
  <c r="N112" i="106" s="1"/>
  <c r="V111" i="106"/>
  <c r="V113" i="106" s="1"/>
  <c r="V73" i="106" s="1"/>
  <c r="M112" i="106"/>
  <c r="S72" i="106"/>
  <c r="N84" i="107" s="1"/>
  <c r="J79" i="112" s="1"/>
  <c r="M84" i="107"/>
  <c r="I79" i="112" s="1"/>
  <c r="V76" i="106"/>
  <c r="Q82" i="107"/>
  <c r="I169" i="112"/>
  <c r="P66" i="113"/>
  <c r="P122" i="105"/>
  <c r="P40" i="106"/>
  <c r="H169" i="112"/>
  <c r="O66" i="113"/>
  <c r="J132" i="104"/>
  <c r="J135" i="104" s="1"/>
  <c r="O122" i="105"/>
  <c r="O40" i="106"/>
  <c r="G169" i="112"/>
  <c r="R169" i="112"/>
  <c r="N66" i="113"/>
  <c r="I132" i="104"/>
  <c r="I135" i="104" s="1"/>
  <c r="N122" i="105"/>
  <c r="N40" i="106"/>
  <c r="AD76" i="106"/>
  <c r="Y132" i="104" s="1"/>
  <c r="Y135" i="104" s="1"/>
  <c r="F169" i="112"/>
  <c r="M66" i="113"/>
  <c r="H132" i="104"/>
  <c r="H135" i="104" s="1"/>
  <c r="M122" i="105"/>
  <c r="M40" i="106"/>
  <c r="E169" i="112"/>
  <c r="L66" i="113"/>
  <c r="G132" i="104"/>
  <c r="G135" i="104" s="1"/>
  <c r="L122" i="105"/>
  <c r="L40" i="106"/>
  <c r="D169" i="112"/>
  <c r="K66" i="113"/>
  <c r="F132" i="104"/>
  <c r="F135" i="104" s="1"/>
  <c r="K122" i="105"/>
  <c r="K40" i="106"/>
  <c r="R54" i="106"/>
  <c r="H48" i="112"/>
  <c r="P61" i="106"/>
  <c r="P79" i="106" s="1"/>
  <c r="G46" i="112"/>
  <c r="O61" i="106"/>
  <c r="O79" i="106" s="1"/>
  <c r="F46" i="112"/>
  <c r="N61" i="106"/>
  <c r="N79" i="106" s="1"/>
  <c r="E46" i="112"/>
  <c r="AD55" i="106"/>
  <c r="M61" i="106"/>
  <c r="M79" i="106" s="1"/>
  <c r="D46" i="112"/>
  <c r="L61" i="106"/>
  <c r="L79" i="106" s="1"/>
  <c r="C46" i="112"/>
  <c r="K61" i="106"/>
  <c r="K79" i="106" s="1"/>
  <c r="B46" i="112"/>
  <c r="P144" i="106"/>
  <c r="Q139" i="106"/>
  <c r="J407" i="105"/>
  <c r="J397" i="105"/>
  <c r="P55" i="113"/>
  <c r="G109" i="112"/>
  <c r="O144" i="106"/>
  <c r="P139" i="106"/>
  <c r="P140" i="106" s="1"/>
  <c r="F109" i="112"/>
  <c r="O55" i="113"/>
  <c r="I407" i="105"/>
  <c r="I397" i="105"/>
  <c r="H407" i="105"/>
  <c r="H397" i="105"/>
  <c r="N144" i="106"/>
  <c r="O139" i="106"/>
  <c r="O140" i="106" s="1"/>
  <c r="W139" i="106"/>
  <c r="N140" i="106"/>
  <c r="N55" i="113"/>
  <c r="E109" i="112"/>
  <c r="V58" i="106"/>
  <c r="Q26" i="107"/>
  <c r="Q79" i="107"/>
  <c r="Q85" i="107" s="1"/>
  <c r="Q87" i="107" s="1"/>
  <c r="R14" i="104"/>
  <c r="P398" i="105"/>
  <c r="N36" i="105"/>
  <c r="AD58" i="106"/>
  <c r="G407" i="105"/>
  <c r="G397" i="105"/>
  <c r="M144" i="106"/>
  <c r="N139" i="106"/>
  <c r="V139" i="106"/>
  <c r="V141" i="106" s="1"/>
  <c r="M140" i="106"/>
  <c r="AD57" i="106"/>
  <c r="D109" i="112"/>
  <c r="M55" i="113"/>
  <c r="L55" i="113"/>
  <c r="C109" i="112"/>
  <c r="F407" i="105"/>
  <c r="F397" i="105"/>
  <c r="B109" i="112"/>
  <c r="K55" i="113"/>
  <c r="E407" i="105"/>
  <c r="E397" i="105"/>
  <c r="D407" i="105"/>
  <c r="D397" i="105"/>
  <c r="C407" i="105"/>
  <c r="C397" i="105"/>
  <c r="B407" i="105"/>
  <c r="B397" i="105"/>
  <c r="Q106" i="106"/>
  <c r="P106" i="106"/>
  <c r="P107" i="106" s="1"/>
  <c r="O106" i="106"/>
  <c r="O107" i="106" s="1"/>
  <c r="W106" i="106"/>
  <c r="N106" i="106"/>
  <c r="N107" i="106" s="1"/>
  <c r="V106" i="106"/>
  <c r="M107" i="106"/>
  <c r="G11" i="113"/>
  <c r="G52" i="113"/>
  <c r="F11" i="113"/>
  <c r="F52" i="113"/>
  <c r="E11" i="113"/>
  <c r="E52" i="113"/>
  <c r="D11" i="113"/>
  <c r="D52" i="113"/>
  <c r="C11" i="113"/>
  <c r="C52" i="113"/>
  <c r="G45" i="112"/>
  <c r="Q49" i="106"/>
  <c r="R49" i="106" s="1"/>
  <c r="S49" i="106" s="1"/>
  <c r="E45" i="112"/>
  <c r="W49" i="106"/>
  <c r="V49" i="106"/>
  <c r="W244" i="106" s="1"/>
  <c r="AD49" i="106"/>
  <c r="R35" i="106"/>
  <c r="R31" i="106"/>
  <c r="K383" i="105"/>
  <c r="Q287" i="106"/>
  <c r="Y287" i="106"/>
  <c r="M238" i="106"/>
  <c r="M239" i="106" s="1"/>
  <c r="N238" i="106"/>
  <c r="N239" i="106" s="1"/>
  <c r="N236" i="106"/>
  <c r="N237" i="106" s="1"/>
  <c r="M295" i="106"/>
  <c r="W294" i="106"/>
  <c r="W296" i="106" s="1"/>
  <c r="W297" i="106" s="1"/>
  <c r="W221" i="106"/>
  <c r="Q294" i="106"/>
  <c r="R303" i="106" s="1"/>
  <c r="P296" i="106"/>
  <c r="V305" i="106"/>
  <c r="O296" i="106"/>
  <c r="P305" i="106"/>
  <c r="V303" i="106"/>
  <c r="P303" i="106"/>
  <c r="Y303" i="106"/>
  <c r="Y294" i="106"/>
  <c r="N296" i="106"/>
  <c r="O297" i="106" s="1"/>
  <c r="O303" i="106"/>
  <c r="O305" i="106"/>
  <c r="M294" i="106"/>
  <c r="M221" i="106"/>
  <c r="L296" i="106"/>
  <c r="M303" i="106"/>
  <c r="M305" i="106"/>
  <c r="M229" i="106"/>
  <c r="M281" i="106"/>
  <c r="W233" i="106"/>
  <c r="W280" i="106"/>
  <c r="W282" i="106" s="1"/>
  <c r="W218" i="106"/>
  <c r="P233" i="106"/>
  <c r="P280" i="106"/>
  <c r="P218" i="106"/>
  <c r="V233" i="106"/>
  <c r="Q21" i="107" s="1"/>
  <c r="Q20" i="107" s="1"/>
  <c r="O233" i="106"/>
  <c r="O280" i="106"/>
  <c r="O218" i="106"/>
  <c r="N233" i="106"/>
  <c r="N280" i="106"/>
  <c r="N218" i="106"/>
  <c r="M233" i="106"/>
  <c r="M280" i="106"/>
  <c r="M218" i="106"/>
  <c r="L233" i="106"/>
  <c r="L280" i="106"/>
  <c r="L218" i="106"/>
  <c r="K233" i="106"/>
  <c r="K218" i="106"/>
  <c r="J233" i="106"/>
  <c r="J218" i="106"/>
  <c r="I233" i="106"/>
  <c r="I218" i="106"/>
  <c r="H233" i="106"/>
  <c r="H218" i="106"/>
  <c r="G233" i="106"/>
  <c r="G95" i="108" s="1"/>
  <c r="G218" i="106"/>
  <c r="G234" i="106"/>
  <c r="G235" i="106" s="1"/>
  <c r="F233" i="106"/>
  <c r="F95" i="108" s="1"/>
  <c r="F218" i="106"/>
  <c r="F234" i="106"/>
  <c r="F235" i="106" s="1"/>
  <c r="E233" i="106"/>
  <c r="E95" i="108" s="1"/>
  <c r="E218" i="106"/>
  <c r="E234" i="106"/>
  <c r="E235" i="106" s="1"/>
  <c r="D233" i="106"/>
  <c r="D95" i="108" s="1"/>
  <c r="D218" i="106"/>
  <c r="D234" i="106"/>
  <c r="D235" i="106" s="1"/>
  <c r="C218" i="106"/>
  <c r="AD36" i="106"/>
  <c r="AE36" i="106"/>
  <c r="D36" i="112"/>
  <c r="Q15" i="107"/>
  <c r="Q14" i="107" s="1"/>
  <c r="Q23" i="107" s="1"/>
  <c r="V241" i="106"/>
  <c r="K15" i="107"/>
  <c r="K14" i="107" s="1"/>
  <c r="P241" i="106"/>
  <c r="J15" i="107"/>
  <c r="O241" i="106"/>
  <c r="I15" i="107"/>
  <c r="N241" i="106"/>
  <c r="H15" i="107"/>
  <c r="M241" i="106"/>
  <c r="G15" i="107"/>
  <c r="L241" i="106"/>
  <c r="F15" i="107"/>
  <c r="F14" i="107" s="1"/>
  <c r="K241" i="106"/>
  <c r="E15" i="107"/>
  <c r="E14" i="107" s="1"/>
  <c r="J241" i="106"/>
  <c r="D15" i="107"/>
  <c r="C15" i="107"/>
  <c r="R8" i="106"/>
  <c r="M59" i="107" s="1"/>
  <c r="I61" i="112" s="1"/>
  <c r="K374" i="105"/>
  <c r="R7" i="106"/>
  <c r="M73" i="107" s="1"/>
  <c r="I73" i="112" s="1"/>
  <c r="P374" i="105"/>
  <c r="W243" i="106"/>
  <c r="G31" i="112"/>
  <c r="P8" i="113"/>
  <c r="G108" i="112" s="1"/>
  <c r="P9" i="113"/>
  <c r="P38" i="106"/>
  <c r="F31" i="112"/>
  <c r="O8" i="113"/>
  <c r="F108" i="112" s="1"/>
  <c r="O9" i="113"/>
  <c r="O38" i="106"/>
  <c r="E31" i="112"/>
  <c r="N8" i="113"/>
  <c r="E108" i="112" s="1"/>
  <c r="N9" i="113"/>
  <c r="N38" i="106"/>
  <c r="D31" i="112"/>
  <c r="M8" i="113"/>
  <c r="D108" i="112" s="1"/>
  <c r="M9" i="113"/>
  <c r="M38" i="106"/>
  <c r="AE14" i="106" s="1"/>
  <c r="AD14" i="106"/>
  <c r="C31" i="112"/>
  <c r="L8" i="113"/>
  <c r="C108" i="112" s="1"/>
  <c r="L9" i="113"/>
  <c r="L38" i="106"/>
  <c r="B31" i="112"/>
  <c r="K8" i="113"/>
  <c r="B108" i="112" s="1"/>
  <c r="K9" i="113"/>
  <c r="K38" i="106"/>
  <c r="J8" i="113"/>
  <c r="J9" i="113"/>
  <c r="J38" i="106"/>
  <c r="I8" i="113"/>
  <c r="I9" i="113"/>
  <c r="I38" i="106"/>
  <c r="H8" i="113"/>
  <c r="H9" i="113"/>
  <c r="H38" i="106"/>
  <c r="G8" i="113"/>
  <c r="G9" i="113"/>
  <c r="G38" i="106"/>
  <c r="F8" i="113"/>
  <c r="F9" i="113"/>
  <c r="F38" i="106"/>
  <c r="E8" i="113"/>
  <c r="E9" i="113"/>
  <c r="E38" i="106"/>
  <c r="D8" i="113"/>
  <c r="D9" i="113"/>
  <c r="D38" i="106"/>
  <c r="C8" i="113"/>
  <c r="C9" i="113"/>
  <c r="C38" i="106"/>
  <c r="V55" i="106"/>
  <c r="V61" i="106" s="1"/>
  <c r="Q80" i="107"/>
  <c r="P399" i="105"/>
  <c r="V40" i="106"/>
  <c r="C458" i="105"/>
  <c r="C459" i="105" s="1"/>
  <c r="D440" i="105" s="1"/>
  <c r="D458" i="105"/>
  <c r="D459" i="105" s="1"/>
  <c r="E440" i="105" s="1"/>
  <c r="F442" i="105" s="1"/>
  <c r="F441" i="105" s="1"/>
  <c r="F458" i="105"/>
  <c r="F459" i="105" s="1"/>
  <c r="G440" i="105" s="1"/>
  <c r="G458" i="105"/>
  <c r="G459" i="105" s="1"/>
  <c r="E458" i="105"/>
  <c r="E459" i="105" s="1"/>
  <c r="F440" i="105" s="1"/>
  <c r="L381" i="105"/>
  <c r="L388" i="105"/>
  <c r="P58" i="108" s="1"/>
  <c r="S105" i="105"/>
  <c r="Q161" i="106"/>
  <c r="Q164" i="106" s="1"/>
  <c r="W105" i="105"/>
  <c r="L56" i="104"/>
  <c r="F100" i="102"/>
  <c r="R91" i="105"/>
  <c r="S90" i="105" s="1"/>
  <c r="CY50" i="105"/>
  <c r="W127" i="106"/>
  <c r="W130" i="106" s="1"/>
  <c r="V46" i="105"/>
  <c r="EC19" i="105"/>
  <c r="DZ19" i="105"/>
  <c r="EJ19" i="105"/>
  <c r="EK19" i="105" s="1"/>
  <c r="DG44" i="105"/>
  <c r="G13" i="112"/>
  <c r="F134" i="112"/>
  <c r="F13" i="112"/>
  <c r="E134" i="112"/>
  <c r="E13" i="112"/>
  <c r="D134" i="112"/>
  <c r="D13" i="112"/>
  <c r="C134" i="112"/>
  <c r="EF19" i="105"/>
  <c r="C13" i="112"/>
  <c r="B134" i="112"/>
  <c r="B13" i="112"/>
  <c r="EL19" i="105"/>
  <c r="CN39" i="105"/>
  <c r="CM65" i="105"/>
  <c r="CN65" i="105" s="1"/>
  <c r="CM40" i="105"/>
  <c r="CN40" i="105" s="1"/>
  <c r="CU39" i="105"/>
  <c r="CK40" i="105"/>
  <c r="CK65" i="105"/>
  <c r="CZ39" i="105"/>
  <c r="CJ65" i="105"/>
  <c r="CJ40" i="105"/>
  <c r="CW39" i="105"/>
  <c r="CI65" i="105"/>
  <c r="CI40" i="105"/>
  <c r="CV39" i="105"/>
  <c r="CG40" i="105"/>
  <c r="CG65" i="105"/>
  <c r="DA39" i="105"/>
  <c r="DA40" i="105" s="1"/>
  <c r="CF40" i="105"/>
  <c r="CF65" i="105"/>
  <c r="CX39" i="105"/>
  <c r="CX40" i="105" s="1"/>
  <c r="CE65" i="105"/>
  <c r="CE40" i="105"/>
  <c r="CT39" i="105"/>
  <c r="DY18" i="105" s="1"/>
  <c r="DF39" i="105"/>
  <c r="CA40" i="105"/>
  <c r="CA65" i="105"/>
  <c r="CS39" i="105"/>
  <c r="DX18" i="105" s="1"/>
  <c r="EE18" i="105" s="1"/>
  <c r="DE39" i="105"/>
  <c r="EI18" i="105" s="1"/>
  <c r="EP18" i="105" s="1"/>
  <c r="BW40" i="105"/>
  <c r="BW65" i="105"/>
  <c r="G12" i="112"/>
  <c r="G9" i="112" s="1"/>
  <c r="F131" i="112"/>
  <c r="F12" i="112"/>
  <c r="E131" i="112"/>
  <c r="E12" i="112"/>
  <c r="D131" i="112"/>
  <c r="EF18" i="105"/>
  <c r="EO18" i="105" s="1"/>
  <c r="D12" i="112"/>
  <c r="C131" i="112"/>
  <c r="C12" i="112"/>
  <c r="B131" i="112"/>
  <c r="K40" i="105"/>
  <c r="EL18" i="105"/>
  <c r="B12" i="112"/>
  <c r="J40" i="105"/>
  <c r="I40" i="105"/>
  <c r="CY20" i="105"/>
  <c r="DY10" i="105"/>
  <c r="DG20" i="105"/>
  <c r="EJ10" i="105"/>
  <c r="T310" i="111"/>
  <c r="O310" i="111"/>
  <c r="EI10" i="105"/>
  <c r="EP10" i="105" s="1"/>
  <c r="DX10" i="105"/>
  <c r="CY17" i="105"/>
  <c r="DG17" i="105"/>
  <c r="EJ9" i="105"/>
  <c r="DY9" i="105"/>
  <c r="T309" i="111"/>
  <c r="O309" i="111"/>
  <c r="EI9" i="105"/>
  <c r="DX9" i="105"/>
  <c r="CN24" i="105"/>
  <c r="CM25" i="105"/>
  <c r="CN25" i="105" s="1"/>
  <c r="CM26" i="105"/>
  <c r="CM29" i="105"/>
  <c r="CM47" i="105"/>
  <c r="CM63" i="105" s="1"/>
  <c r="CN63" i="105" s="1"/>
  <c r="N40" i="101"/>
  <c r="N41" i="101"/>
  <c r="CL25" i="105"/>
  <c r="CL26" i="105"/>
  <c r="CL62" i="105" s="1"/>
  <c r="CL29" i="105"/>
  <c r="CL30" i="105" s="1"/>
  <c r="CL47" i="105"/>
  <c r="CL63" i="105" s="1"/>
  <c r="BB8" i="103"/>
  <c r="CL61" i="105"/>
  <c r="CU24" i="105"/>
  <c r="CK25" i="105"/>
  <c r="CK26" i="105"/>
  <c r="CK29" i="105"/>
  <c r="CK47" i="105"/>
  <c r="CK63" i="105"/>
  <c r="BA8" i="103"/>
  <c r="CK61" i="105"/>
  <c r="M40" i="101"/>
  <c r="M41" i="101"/>
  <c r="CZ24" i="105"/>
  <c r="CJ25" i="105"/>
  <c r="CZ25" i="105" s="1"/>
  <c r="CJ26" i="105"/>
  <c r="CJ29" i="105"/>
  <c r="CJ47" i="105"/>
  <c r="CJ63" i="105"/>
  <c r="L40" i="101"/>
  <c r="L41" i="101"/>
  <c r="CW14" i="105"/>
  <c r="CY13" i="105"/>
  <c r="CW24" i="105"/>
  <c r="CI25" i="105"/>
  <c r="CI26" i="105"/>
  <c r="CI62" i="105" s="1"/>
  <c r="CI29" i="105"/>
  <c r="CI47" i="105"/>
  <c r="CI63" i="105"/>
  <c r="K40" i="101"/>
  <c r="K41" i="101"/>
  <c r="AX8" i="103"/>
  <c r="CH61" i="105"/>
  <c r="CH25" i="105"/>
  <c r="CH26" i="105"/>
  <c r="CH62" i="105" s="1"/>
  <c r="CH29" i="105"/>
  <c r="CH30" i="105" s="1"/>
  <c r="CH47" i="105"/>
  <c r="CH63" i="105"/>
  <c r="J40" i="101"/>
  <c r="J41" i="101"/>
  <c r="CV24" i="105"/>
  <c r="CG25" i="105"/>
  <c r="CG26" i="105"/>
  <c r="CG29" i="105"/>
  <c r="CG47" i="105"/>
  <c r="CG63" i="105"/>
  <c r="I40" i="101"/>
  <c r="I41" i="101"/>
  <c r="AW8" i="103"/>
  <c r="CG61" i="105"/>
  <c r="H40" i="101"/>
  <c r="H41" i="101"/>
  <c r="DA24" i="105"/>
  <c r="CF25" i="105"/>
  <c r="DA25" i="105" s="1"/>
  <c r="CF26" i="105"/>
  <c r="CF29" i="105"/>
  <c r="CF47" i="105"/>
  <c r="CF63" i="105" s="1"/>
  <c r="G40" i="101"/>
  <c r="G41" i="101"/>
  <c r="CX24" i="105"/>
  <c r="CX26" i="105" s="1"/>
  <c r="CX66" i="105" s="1"/>
  <c r="CE25" i="105"/>
  <c r="CE26" i="105"/>
  <c r="CE62" i="105" s="1"/>
  <c r="CE29" i="105"/>
  <c r="CE47" i="105"/>
  <c r="CE63" i="105"/>
  <c r="F40" i="101"/>
  <c r="F41" i="101"/>
  <c r="CD61" i="105"/>
  <c r="AT8" i="103"/>
  <c r="CD25" i="105"/>
  <c r="CD26" i="105"/>
  <c r="CD62" i="105" s="1"/>
  <c r="CD29" i="105"/>
  <c r="CD30" i="105" s="1"/>
  <c r="CD47" i="105"/>
  <c r="CD63" i="105" s="1"/>
  <c r="CC25" i="105"/>
  <c r="CC26" i="105"/>
  <c r="CC29" i="105"/>
  <c r="CC30" i="105" s="1"/>
  <c r="CC63" i="105"/>
  <c r="CC47" i="105"/>
  <c r="E40" i="101"/>
  <c r="E41" i="101"/>
  <c r="D40" i="101"/>
  <c r="D41" i="101"/>
  <c r="CB25" i="105"/>
  <c r="CB26" i="105"/>
  <c r="CB29" i="105"/>
  <c r="CB30" i="105" s="1"/>
  <c r="CB47" i="105"/>
  <c r="CB63" i="105" s="1"/>
  <c r="CT24" i="105"/>
  <c r="DF24" i="105"/>
  <c r="CA25" i="105"/>
  <c r="CA26" i="105"/>
  <c r="CA29" i="105"/>
  <c r="CA47" i="105"/>
  <c r="CA63" i="105"/>
  <c r="F313" i="111"/>
  <c r="C40" i="101"/>
  <c r="C41" i="101"/>
  <c r="DG13" i="105"/>
  <c r="EJ7" i="105"/>
  <c r="DY7" i="105"/>
  <c r="BZ25" i="105"/>
  <c r="BZ26" i="105"/>
  <c r="BZ29" i="105"/>
  <c r="BZ30" i="105" s="1"/>
  <c r="BZ47" i="105"/>
  <c r="BZ63" i="105" s="1"/>
  <c r="BY25" i="105"/>
  <c r="BY26" i="105"/>
  <c r="BY29" i="105"/>
  <c r="BY30" i="105" s="1"/>
  <c r="BY47" i="105"/>
  <c r="BY63" i="105"/>
  <c r="J313" i="111"/>
  <c r="BX25" i="105"/>
  <c r="BX26" i="105"/>
  <c r="BX29" i="105"/>
  <c r="BX30" i="105" s="1"/>
  <c r="BX47" i="105"/>
  <c r="BX63" i="105" s="1"/>
  <c r="DX7" i="105"/>
  <c r="CS24" i="105"/>
  <c r="DE24" i="105"/>
  <c r="BW25" i="105"/>
  <c r="BW26" i="105"/>
  <c r="BW29" i="105"/>
  <c r="BW47" i="105"/>
  <c r="BW63" i="105"/>
  <c r="E313" i="111"/>
  <c r="EI7" i="105"/>
  <c r="BV25" i="105"/>
  <c r="BV26" i="105"/>
  <c r="BV29" i="105"/>
  <c r="BV30" i="105" s="1"/>
  <c r="BV47" i="105"/>
  <c r="BV63" i="105" s="1"/>
  <c r="BU25" i="105"/>
  <c r="BU26" i="105"/>
  <c r="BU29" i="105"/>
  <c r="BU30" i="105" s="1"/>
  <c r="BU47" i="105"/>
  <c r="BU63" i="105" s="1"/>
  <c r="I313" i="111"/>
  <c r="BT25" i="105"/>
  <c r="BT26" i="105"/>
  <c r="BT29" i="105"/>
  <c r="BT30" i="105" s="1"/>
  <c r="BT47" i="105"/>
  <c r="BT63" i="105" s="1"/>
  <c r="BS25" i="105"/>
  <c r="BS26" i="105"/>
  <c r="BS29" i="105"/>
  <c r="BS30" i="105" s="1"/>
  <c r="BS47" i="105"/>
  <c r="BS63" i="105" s="1"/>
  <c r="D313" i="111"/>
  <c r="BR25" i="105"/>
  <c r="BR26" i="105"/>
  <c r="BR29" i="105"/>
  <c r="BR30" i="105" s="1"/>
  <c r="BR47" i="105"/>
  <c r="BR63" i="105"/>
  <c r="BQ25" i="105"/>
  <c r="BQ26" i="105"/>
  <c r="BQ29" i="105"/>
  <c r="BQ30" i="105" s="1"/>
  <c r="BQ47" i="105"/>
  <c r="BQ63" i="105"/>
  <c r="H313" i="111"/>
  <c r="BP25" i="105"/>
  <c r="BP26" i="105"/>
  <c r="BP29" i="105"/>
  <c r="BP30" i="105" s="1"/>
  <c r="BP47" i="105"/>
  <c r="BP63" i="105" s="1"/>
  <c r="CD7" i="103"/>
  <c r="C268" i="111"/>
  <c r="BO25" i="105"/>
  <c r="BO26" i="105"/>
  <c r="BO29" i="105"/>
  <c r="BO30" i="105" s="1"/>
  <c r="BO47" i="105"/>
  <c r="BO63" i="105" s="1"/>
  <c r="C313" i="111"/>
  <c r="BN25" i="105"/>
  <c r="BN26" i="105"/>
  <c r="BN29" i="105"/>
  <c r="BN30" i="105" s="1"/>
  <c r="BN47" i="105"/>
  <c r="BN63" i="105"/>
  <c r="BM25" i="105"/>
  <c r="BM26" i="105"/>
  <c r="BM29" i="105"/>
  <c r="BM30" i="105" s="1"/>
  <c r="BM47" i="105"/>
  <c r="BM63" i="105"/>
  <c r="BL25" i="105"/>
  <c r="BL26" i="105"/>
  <c r="BL29" i="105"/>
  <c r="BL30" i="105" s="1"/>
  <c r="BL47" i="105"/>
  <c r="BL63" i="105" s="1"/>
  <c r="BK25" i="105"/>
  <c r="BK26" i="105"/>
  <c r="BK29" i="105"/>
  <c r="BK30" i="105" s="1"/>
  <c r="BK47" i="105"/>
  <c r="BK63" i="105" s="1"/>
  <c r="BJ25" i="105"/>
  <c r="BJ26" i="105"/>
  <c r="BJ29" i="105"/>
  <c r="BJ30" i="105" s="1"/>
  <c r="BJ47" i="105"/>
  <c r="BJ63" i="105" s="1"/>
  <c r="BI25" i="105"/>
  <c r="BI26" i="105"/>
  <c r="BI29" i="105"/>
  <c r="BI30" i="105" s="1"/>
  <c r="BI47" i="105"/>
  <c r="BI63" i="105"/>
  <c r="BH25" i="105"/>
  <c r="BH26" i="105"/>
  <c r="BH29" i="105"/>
  <c r="BH30" i="105" s="1"/>
  <c r="BH47" i="105"/>
  <c r="BH63" i="105"/>
  <c r="BG25" i="105"/>
  <c r="BG26" i="105"/>
  <c r="BG29" i="105"/>
  <c r="BG30" i="105" s="1"/>
  <c r="BG47" i="105"/>
  <c r="BG63" i="105" s="1"/>
  <c r="BF26" i="105"/>
  <c r="BF29" i="105"/>
  <c r="BF30" i="105" s="1"/>
  <c r="BF47" i="105"/>
  <c r="BE26" i="105"/>
  <c r="BE29" i="105"/>
  <c r="BE30" i="105" s="1"/>
  <c r="BE47" i="105"/>
  <c r="BD26" i="105"/>
  <c r="BD29" i="105"/>
  <c r="BD30" i="105" s="1"/>
  <c r="BD47" i="105"/>
  <c r="BC26" i="105"/>
  <c r="BC29" i="105"/>
  <c r="BC30" i="105" s="1"/>
  <c r="BC47" i="105"/>
  <c r="DY6" i="105"/>
  <c r="F267" i="111"/>
  <c r="DD11" i="105"/>
  <c r="DG11" i="105"/>
  <c r="EJ6" i="105"/>
  <c r="EK6" i="105" s="1"/>
  <c r="AO6" i="103"/>
  <c r="J267" i="111"/>
  <c r="AO72" i="103"/>
  <c r="J294" i="111"/>
  <c r="AM72" i="103"/>
  <c r="E294" i="111"/>
  <c r="CF5" i="103"/>
  <c r="AM6" i="103"/>
  <c r="E267" i="111"/>
  <c r="AK72" i="103"/>
  <c r="I294" i="111"/>
  <c r="AK6" i="103"/>
  <c r="I267" i="111"/>
  <c r="AI6" i="103"/>
  <c r="D267" i="111"/>
  <c r="AI72" i="103"/>
  <c r="D294" i="111"/>
  <c r="AG6" i="103"/>
  <c r="H267" i="111"/>
  <c r="CD5" i="103"/>
  <c r="AE6" i="103"/>
  <c r="C267" i="111"/>
  <c r="I6" i="103"/>
  <c r="I57" i="103"/>
  <c r="P18" i="113"/>
  <c r="G103" i="112"/>
  <c r="P16" i="113"/>
  <c r="G102" i="112"/>
  <c r="O18" i="113"/>
  <c r="F103" i="112"/>
  <c r="O16" i="113"/>
  <c r="F102" i="112"/>
  <c r="H6" i="103"/>
  <c r="H57" i="103"/>
  <c r="G6" i="103"/>
  <c r="G57" i="103"/>
  <c r="N18" i="113"/>
  <c r="E103" i="112"/>
  <c r="N16" i="113"/>
  <c r="E102" i="112"/>
  <c r="M18" i="113"/>
  <c r="D103" i="112"/>
  <c r="F6" i="103"/>
  <c r="F57" i="103"/>
  <c r="M16" i="113"/>
  <c r="D102" i="112"/>
  <c r="E6" i="103"/>
  <c r="E57" i="103"/>
  <c r="L18" i="113"/>
  <c r="C103" i="112"/>
  <c r="L16" i="113"/>
  <c r="C102" i="112"/>
  <c r="K18" i="113"/>
  <c r="B103" i="112"/>
  <c r="D6" i="103"/>
  <c r="D57" i="103"/>
  <c r="K16" i="113"/>
  <c r="B102" i="112"/>
  <c r="C6" i="103"/>
  <c r="C57" i="103"/>
  <c r="B6" i="103"/>
  <c r="B57" i="103"/>
  <c r="EB14" i="105"/>
  <c r="AZ2" i="103"/>
  <c r="CZ8" i="105"/>
  <c r="CW8" i="105"/>
  <c r="CY7" i="105"/>
  <c r="DA8" i="105"/>
  <c r="AV2" i="103"/>
  <c r="R8" i="105"/>
  <c r="Q71" i="105"/>
  <c r="CO8" i="105"/>
  <c r="W71" i="105"/>
  <c r="CM10" i="105"/>
  <c r="CN10" i="105" s="1"/>
  <c r="CM33" i="105"/>
  <c r="CN33" i="105" s="1"/>
  <c r="CN9" i="105"/>
  <c r="CJ10" i="105"/>
  <c r="CZ10" i="105" s="1"/>
  <c r="CZ9" i="105"/>
  <c r="AZ3" i="103"/>
  <c r="CJ33" i="105"/>
  <c r="CW9" i="105"/>
  <c r="AY3" i="103"/>
  <c r="CI33" i="105"/>
  <c r="CI10" i="105"/>
  <c r="DA9" i="105"/>
  <c r="CF10" i="105"/>
  <c r="DA10" i="105" s="1"/>
  <c r="AV3" i="103"/>
  <c r="AV4" i="103" s="1"/>
  <c r="CF33" i="105"/>
  <c r="AU3" i="103"/>
  <c r="CE33" i="105"/>
  <c r="CX9" i="105"/>
  <c r="CE10" i="105"/>
  <c r="CT9" i="105"/>
  <c r="DF9" i="105"/>
  <c r="AQ3" i="103"/>
  <c r="CA33" i="105"/>
  <c r="CA10" i="105"/>
  <c r="AP4" i="103"/>
  <c r="AP10" i="103"/>
  <c r="AO4" i="103"/>
  <c r="AO10" i="103"/>
  <c r="J266" i="111"/>
  <c r="AN4" i="103"/>
  <c r="AN10" i="103"/>
  <c r="AR19" i="103" s="1"/>
  <c r="BW10" i="105"/>
  <c r="CS9" i="105"/>
  <c r="DE9" i="105"/>
  <c r="AM3" i="103"/>
  <c r="BW33" i="105"/>
  <c r="BW38" i="105"/>
  <c r="AL4" i="103"/>
  <c r="AL10" i="103"/>
  <c r="AK4" i="103"/>
  <c r="AK10" i="103"/>
  <c r="I266" i="111"/>
  <c r="AJ4" i="103"/>
  <c r="AJ10" i="103"/>
  <c r="AI4" i="103"/>
  <c r="AI10" i="103"/>
  <c r="D266" i="111"/>
  <c r="AH4" i="103"/>
  <c r="AH10" i="103"/>
  <c r="AH155" i="103" s="1"/>
  <c r="AG4" i="103"/>
  <c r="AG10" i="103"/>
  <c r="AG155" i="103" s="1"/>
  <c r="H266" i="111"/>
  <c r="AF4" i="103"/>
  <c r="AF10" i="103"/>
  <c r="AF155" i="103" s="1"/>
  <c r="AF157" i="103" s="1"/>
  <c r="CD3" i="103"/>
  <c r="AE4" i="103"/>
  <c r="AE10" i="103"/>
  <c r="C266" i="111"/>
  <c r="F125" i="112"/>
  <c r="P24" i="105"/>
  <c r="P14" i="105"/>
  <c r="G5" i="112"/>
  <c r="P14" i="113"/>
  <c r="P19" i="113" s="1"/>
  <c r="G101" i="112"/>
  <c r="I4" i="103"/>
  <c r="I7" i="103"/>
  <c r="I29" i="103"/>
  <c r="I30" i="103"/>
  <c r="I31" i="103"/>
  <c r="I32" i="103"/>
  <c r="I33" i="103"/>
  <c r="I34" i="103"/>
  <c r="I35" i="103"/>
  <c r="I163" i="103"/>
  <c r="AJ7" i="108"/>
  <c r="P70" i="105"/>
  <c r="G96" i="112"/>
  <c r="P61" i="113"/>
  <c r="O7" i="108"/>
  <c r="O70" i="105"/>
  <c r="O61" i="113"/>
  <c r="F96" i="112"/>
  <c r="O14" i="113"/>
  <c r="O19" i="113" s="1"/>
  <c r="F101" i="112"/>
  <c r="O24" i="105"/>
  <c r="O14" i="105"/>
  <c r="F5" i="112"/>
  <c r="E125" i="112"/>
  <c r="H4" i="103"/>
  <c r="H7" i="103"/>
  <c r="H29" i="103"/>
  <c r="H30" i="103"/>
  <c r="H31" i="103"/>
  <c r="H32" i="103"/>
  <c r="H33" i="103"/>
  <c r="H34" i="103"/>
  <c r="H35" i="103"/>
  <c r="H163" i="103"/>
  <c r="H2" i="103"/>
  <c r="E5" i="112"/>
  <c r="N14" i="105"/>
  <c r="D125" i="112"/>
  <c r="N24" i="105"/>
  <c r="E96" i="112"/>
  <c r="N61" i="113"/>
  <c r="N70" i="105"/>
  <c r="N7" i="108"/>
  <c r="N14" i="113"/>
  <c r="N19" i="113" s="1"/>
  <c r="E101" i="112"/>
  <c r="G4" i="103"/>
  <c r="G7" i="103"/>
  <c r="G30" i="103"/>
  <c r="G33" i="103"/>
  <c r="G34" i="103"/>
  <c r="G35" i="103"/>
  <c r="G155" i="103"/>
  <c r="G2" i="103"/>
  <c r="EO5" i="105"/>
  <c r="EN5" i="105"/>
  <c r="M14" i="113"/>
  <c r="M19" i="113" s="1"/>
  <c r="D101" i="112"/>
  <c r="F4" i="103"/>
  <c r="F7" i="103"/>
  <c r="F30" i="103"/>
  <c r="F31" i="103"/>
  <c r="F33" i="103"/>
  <c r="F34" i="103"/>
  <c r="F2" i="103"/>
  <c r="M61" i="113"/>
  <c r="D96" i="112"/>
  <c r="M70" i="105"/>
  <c r="M7" i="108"/>
  <c r="EF7" i="105"/>
  <c r="D5" i="112"/>
  <c r="C125" i="112"/>
  <c r="M24" i="105"/>
  <c r="M14" i="105"/>
  <c r="C96" i="112"/>
  <c r="L61" i="113"/>
  <c r="L7" i="108"/>
  <c r="L70" i="105"/>
  <c r="L14" i="113"/>
  <c r="L19" i="113" s="1"/>
  <c r="C101" i="112"/>
  <c r="E4" i="103"/>
  <c r="E7" i="103"/>
  <c r="E30" i="103"/>
  <c r="E31" i="103"/>
  <c r="E33" i="103"/>
  <c r="E34" i="103"/>
  <c r="E2" i="103"/>
  <c r="C5" i="112"/>
  <c r="B125" i="112"/>
  <c r="L24" i="105"/>
  <c r="L14" i="105"/>
  <c r="P403" i="105"/>
  <c r="P405" i="105" s="1"/>
  <c r="V143" i="106"/>
  <c r="B5" i="112"/>
  <c r="K24" i="105"/>
  <c r="EL7" i="105"/>
  <c r="K14" i="105"/>
  <c r="K14" i="113"/>
  <c r="K19" i="113" s="1"/>
  <c r="B101" i="112"/>
  <c r="K7" i="108"/>
  <c r="K70" i="105"/>
  <c r="B96" i="112"/>
  <c r="K61" i="113"/>
  <c r="D4" i="103"/>
  <c r="D7" i="103"/>
  <c r="D30" i="103"/>
  <c r="D31" i="103"/>
  <c r="D33" i="103"/>
  <c r="D34" i="103"/>
  <c r="D2" i="103"/>
  <c r="J7" i="108"/>
  <c r="J70" i="105"/>
  <c r="J61" i="113"/>
  <c r="J14" i="105"/>
  <c r="J24" i="105"/>
  <c r="C4" i="103"/>
  <c r="C7" i="103"/>
  <c r="C30" i="103"/>
  <c r="C31" i="103"/>
  <c r="C33" i="103"/>
  <c r="C34" i="103"/>
  <c r="C2" i="103"/>
  <c r="B29" i="103"/>
  <c r="B32" i="103"/>
  <c r="B7" i="103"/>
  <c r="B30" i="103"/>
  <c r="B31" i="103"/>
  <c r="B33" i="103"/>
  <c r="B34" i="103"/>
  <c r="B2" i="103"/>
  <c r="I14" i="105"/>
  <c r="I24" i="105"/>
  <c r="I61" i="113"/>
  <c r="B4" i="103"/>
  <c r="I70" i="105"/>
  <c r="I7" i="108"/>
  <c r="H61" i="113"/>
  <c r="H7" i="108"/>
  <c r="H14" i="105"/>
  <c r="H24" i="105"/>
  <c r="G14" i="105"/>
  <c r="G24" i="105"/>
  <c r="G61" i="113"/>
  <c r="G7" i="108"/>
  <c r="F7" i="108"/>
  <c r="F61" i="113"/>
  <c r="F24" i="105"/>
  <c r="F14" i="105"/>
  <c r="E24" i="105"/>
  <c r="E14" i="105"/>
  <c r="E7" i="108"/>
  <c r="E61" i="113"/>
  <c r="D14" i="105"/>
  <c r="D24" i="105"/>
  <c r="D61" i="113"/>
  <c r="D7" i="108"/>
  <c r="C14" i="105"/>
  <c r="C24" i="105"/>
  <c r="H64" i="104"/>
  <c r="K64" i="104"/>
  <c r="G66" i="104"/>
  <c r="G67" i="104"/>
  <c r="H57" i="104" s="1"/>
  <c r="E73" i="104"/>
  <c r="F64" i="104"/>
  <c r="L33" i="104"/>
  <c r="J42" i="104" s="1"/>
  <c r="T33" i="104"/>
  <c r="F42" i="104"/>
  <c r="W33" i="104"/>
  <c r="U42" i="104" s="1"/>
  <c r="Q42" i="104"/>
  <c r="V33" i="104"/>
  <c r="T42" i="104" s="1"/>
  <c r="P42" i="104"/>
  <c r="D67" i="104"/>
  <c r="C68" i="104"/>
  <c r="G68" i="104" s="1"/>
  <c r="C76" i="104"/>
  <c r="C66" i="104"/>
  <c r="AP209" i="103"/>
  <c r="AP210" i="103"/>
  <c r="AO209" i="103"/>
  <c r="AO210" i="103"/>
  <c r="AK210" i="103"/>
  <c r="I303" i="111"/>
  <c r="N303" i="111" s="1"/>
  <c r="AO206" i="103"/>
  <c r="AO207" i="103"/>
  <c r="AP206" i="103"/>
  <c r="AP207" i="103"/>
  <c r="AK207" i="103"/>
  <c r="I302" i="111"/>
  <c r="N302" i="111" s="1"/>
  <c r="AX201" i="103"/>
  <c r="AW202" i="103"/>
  <c r="AT201" i="103"/>
  <c r="AT202" i="103" s="1"/>
  <c r="AS202" i="103"/>
  <c r="AO202" i="103"/>
  <c r="J290" i="111"/>
  <c r="AX199" i="103"/>
  <c r="AW200" i="103"/>
  <c r="AT199" i="103"/>
  <c r="AT200" i="103" s="1"/>
  <c r="AS200" i="103"/>
  <c r="AO200" i="103"/>
  <c r="J289" i="111"/>
  <c r="O23" i="103"/>
  <c r="AG17" i="108" s="1"/>
  <c r="W23" i="103"/>
  <c r="L199" i="103"/>
  <c r="L15" i="103" s="1"/>
  <c r="K15" i="103"/>
  <c r="J24" i="103"/>
  <c r="J93" i="103"/>
  <c r="O189" i="103"/>
  <c r="O190" i="103"/>
  <c r="H192" i="103"/>
  <c r="G192" i="103"/>
  <c r="BB162" i="103"/>
  <c r="BA173" i="103"/>
  <c r="AX162" i="103"/>
  <c r="AW173" i="103"/>
  <c r="AT162" i="103"/>
  <c r="AS173" i="103"/>
  <c r="AS184" i="103"/>
  <c r="AO173" i="103"/>
  <c r="J280" i="111"/>
  <c r="O280" i="111" s="1"/>
  <c r="AL173" i="103"/>
  <c r="I280" i="111"/>
  <c r="N280" i="111" s="1"/>
  <c r="BB161" i="103"/>
  <c r="BA172" i="103"/>
  <c r="AX161" i="103"/>
  <c r="AW172" i="103"/>
  <c r="AT161" i="103"/>
  <c r="AS172" i="103"/>
  <c r="AS183" i="103"/>
  <c r="AO172" i="103"/>
  <c r="J279" i="111"/>
  <c r="O279" i="111" s="1"/>
  <c r="AL172" i="103"/>
  <c r="I279" i="111"/>
  <c r="N279" i="111" s="1"/>
  <c r="BB160" i="103"/>
  <c r="BA171" i="103"/>
  <c r="AX160" i="103"/>
  <c r="AW171" i="103"/>
  <c r="AT160" i="103"/>
  <c r="AS171" i="103"/>
  <c r="AS182" i="103"/>
  <c r="AO171" i="103"/>
  <c r="J278" i="111"/>
  <c r="O278" i="111" s="1"/>
  <c r="AL171" i="103"/>
  <c r="I278" i="111"/>
  <c r="N278" i="111" s="1"/>
  <c r="BD159" i="103"/>
  <c r="AX159" i="103"/>
  <c r="BB170" i="103" s="1"/>
  <c r="AW170" i="103"/>
  <c r="AW158" i="103"/>
  <c r="AT159" i="103"/>
  <c r="AS170" i="103"/>
  <c r="AS181" i="103"/>
  <c r="AP170" i="103"/>
  <c r="AP158" i="103"/>
  <c r="AO170" i="103"/>
  <c r="J277" i="111"/>
  <c r="O277" i="111" s="1"/>
  <c r="AO158" i="103"/>
  <c r="J276" i="111" s="1"/>
  <c r="O276" i="111" s="1"/>
  <c r="AL170" i="103"/>
  <c r="I277" i="111"/>
  <c r="N277" i="111" s="1"/>
  <c r="AL158" i="103"/>
  <c r="I276" i="111" s="1"/>
  <c r="N276" i="111" s="1"/>
  <c r="L154" i="103"/>
  <c r="K169" i="103"/>
  <c r="I11" i="102" s="1"/>
  <c r="I9" i="102" s="1"/>
  <c r="K12" i="103" s="1"/>
  <c r="K11" i="103" s="1"/>
  <c r="K154" i="103"/>
  <c r="N20" i="103"/>
  <c r="N116" i="103"/>
  <c r="N10" i="103"/>
  <c r="BN10" i="103" s="1"/>
  <c r="J1608" i="111"/>
  <c r="J1620" i="111" s="1"/>
  <c r="AX156" i="103"/>
  <c r="AW167" i="103"/>
  <c r="AZ168" i="103"/>
  <c r="AV155" i="103"/>
  <c r="AT156" i="103"/>
  <c r="AT167" i="103" s="1"/>
  <c r="AS167" i="103"/>
  <c r="O274" i="111"/>
  <c r="S274" i="111"/>
  <c r="T274" i="111"/>
  <c r="N274" i="111"/>
  <c r="R274" i="111"/>
  <c r="J167" i="103"/>
  <c r="BB122" i="103"/>
  <c r="BA131" i="103"/>
  <c r="BA141" i="103"/>
  <c r="BA150" i="103"/>
  <c r="BI141" i="103"/>
  <c r="BI150" i="103"/>
  <c r="BE141" i="103"/>
  <c r="AX122" i="103"/>
  <c r="AW141" i="103"/>
  <c r="AW150" i="103"/>
  <c r="AR115" i="103"/>
  <c r="BD115" i="103"/>
  <c r="AQ125" i="103"/>
  <c r="AQ126" i="103"/>
  <c r="AQ127" i="103"/>
  <c r="AQ128" i="103"/>
  <c r="AQ129" i="103"/>
  <c r="AQ130" i="103"/>
  <c r="AQ134" i="103"/>
  <c r="AU143" i="103"/>
  <c r="F296" i="111"/>
  <c r="C42" i="101"/>
  <c r="G43" i="101"/>
  <c r="AS122" i="103"/>
  <c r="AR141" i="103"/>
  <c r="AR150" i="103"/>
  <c r="K303" i="111"/>
  <c r="T303" i="111"/>
  <c r="O305" i="111"/>
  <c r="L303" i="111"/>
  <c r="O303" i="111"/>
  <c r="AG141" i="103"/>
  <c r="BI140" i="103"/>
  <c r="BI149" i="103"/>
  <c r="BB121" i="103"/>
  <c r="BA130" i="103"/>
  <c r="BA140" i="103"/>
  <c r="BA149" i="103"/>
  <c r="BE140" i="103"/>
  <c r="BE149" i="103"/>
  <c r="AX121" i="103"/>
  <c r="AW140" i="103"/>
  <c r="U72" i="111" s="1"/>
  <c r="AW149" i="103"/>
  <c r="T304" i="111"/>
  <c r="U304" i="111" s="1"/>
  <c r="AT121" i="103"/>
  <c r="AS140" i="103"/>
  <c r="Q72" i="111" s="1"/>
  <c r="AS149" i="103"/>
  <c r="K302" i="111"/>
  <c r="L302" i="111" s="1"/>
  <c r="T302" i="111"/>
  <c r="CD119" i="103"/>
  <c r="AF138" i="103"/>
  <c r="AJ147" i="103"/>
  <c r="AH140" i="103"/>
  <c r="F72" i="111" s="1"/>
  <c r="AL149" i="103"/>
  <c r="AG140" i="103"/>
  <c r="E72" i="111" s="1"/>
  <c r="AK149" i="103"/>
  <c r="H304" i="111"/>
  <c r="M304" i="111" s="1"/>
  <c r="I304" i="111"/>
  <c r="N304" i="111" s="1"/>
  <c r="BB120" i="103"/>
  <c r="BA129" i="103"/>
  <c r="BA139" i="103"/>
  <c r="BA148" i="103"/>
  <c r="BI139" i="103"/>
  <c r="BI148" i="103"/>
  <c r="BE119" i="103"/>
  <c r="AW119" i="103"/>
  <c r="AV138" i="103"/>
  <c r="AV147" i="103"/>
  <c r="AZ147" i="103"/>
  <c r="AV115" i="103"/>
  <c r="AV128" i="103" s="1"/>
  <c r="AX120" i="103"/>
  <c r="AW139" i="103"/>
  <c r="AW148" i="103"/>
  <c r="BE139" i="103"/>
  <c r="BE148" i="103"/>
  <c r="AS139" i="103"/>
  <c r="AS148" i="103"/>
  <c r="T301" i="111"/>
  <c r="U301" i="111" s="1"/>
  <c r="AT148" i="103"/>
  <c r="AH139" i="103"/>
  <c r="AL148" i="103"/>
  <c r="AH119" i="103"/>
  <c r="AG139" i="103"/>
  <c r="AK148" i="103"/>
  <c r="H301" i="111"/>
  <c r="M301" i="111" s="1"/>
  <c r="I301" i="111"/>
  <c r="N301" i="111" s="1"/>
  <c r="AG119" i="103"/>
  <c r="BB119" i="103"/>
  <c r="BA128" i="103"/>
  <c r="BA138" i="103"/>
  <c r="BA147" i="103"/>
  <c r="BI138" i="103"/>
  <c r="BI147" i="103"/>
  <c r="AS119" i="103"/>
  <c r="AR138" i="103"/>
  <c r="AR147" i="103"/>
  <c r="F300" i="111"/>
  <c r="BI137" i="103"/>
  <c r="BI146" i="103"/>
  <c r="BB118" i="103"/>
  <c r="BA127" i="103"/>
  <c r="BA137" i="103"/>
  <c r="BA146" i="103"/>
  <c r="BE137" i="103"/>
  <c r="BE146" i="103"/>
  <c r="AX118" i="103"/>
  <c r="AW137" i="103"/>
  <c r="U69" i="111" s="1"/>
  <c r="AW146" i="103"/>
  <c r="AT118" i="103"/>
  <c r="AS137" i="103"/>
  <c r="Q69" i="111" s="1"/>
  <c r="AS146" i="103"/>
  <c r="AG137" i="103"/>
  <c r="E69" i="111" s="1"/>
  <c r="AK146" i="103"/>
  <c r="H299" i="111"/>
  <c r="M299" i="111" s="1"/>
  <c r="I299" i="111"/>
  <c r="N299" i="111" s="1"/>
  <c r="AH137" i="103"/>
  <c r="F69" i="111" s="1"/>
  <c r="AL146" i="103"/>
  <c r="BB117" i="103"/>
  <c r="BA126" i="103"/>
  <c r="BA136" i="103"/>
  <c r="BA145" i="103"/>
  <c r="BI136" i="103"/>
  <c r="BI145" i="103"/>
  <c r="AX117" i="103"/>
  <c r="AW136" i="103"/>
  <c r="U70" i="111" s="1"/>
  <c r="AW145" i="103"/>
  <c r="BE136" i="103"/>
  <c r="BE145" i="103"/>
  <c r="AT117" i="103"/>
  <c r="AS136" i="103"/>
  <c r="Q70" i="111" s="1"/>
  <c r="AS145" i="103"/>
  <c r="AG136" i="103"/>
  <c r="E70" i="111" s="1"/>
  <c r="AK145" i="103"/>
  <c r="H298" i="111"/>
  <c r="M298" i="111" s="1"/>
  <c r="I298" i="111"/>
  <c r="N298" i="111" s="1"/>
  <c r="AG116" i="103"/>
  <c r="AH136" i="103"/>
  <c r="F70" i="111" s="1"/>
  <c r="AL145" i="103"/>
  <c r="AH116" i="103"/>
  <c r="BB116" i="103"/>
  <c r="BA125" i="103"/>
  <c r="BA135" i="103"/>
  <c r="BA144" i="103"/>
  <c r="BI135" i="103"/>
  <c r="BI144" i="103"/>
  <c r="AX135" i="103"/>
  <c r="AS116" i="103"/>
  <c r="AR135" i="103"/>
  <c r="AR144" i="103"/>
  <c r="AV144" i="103"/>
  <c r="F297" i="111"/>
  <c r="BI134" i="103"/>
  <c r="BB115" i="103"/>
  <c r="BA134" i="103"/>
  <c r="M42" i="101"/>
  <c r="K74" i="103"/>
  <c r="O45" i="103"/>
  <c r="O39" i="103" s="1"/>
  <c r="O60" i="103" s="1"/>
  <c r="G46" i="103"/>
  <c r="N31" i="108" s="1"/>
  <c r="BN17" i="103"/>
  <c r="BI26" i="103"/>
  <c r="BI35" i="103"/>
  <c r="BB35" i="103"/>
  <c r="N38" i="101"/>
  <c r="BL17" i="103"/>
  <c r="BA26" i="103"/>
  <c r="BA35" i="103"/>
  <c r="M38" i="101"/>
  <c r="M39" i="101"/>
  <c r="BE26" i="103"/>
  <c r="BE35" i="103"/>
  <c r="AX17" i="103"/>
  <c r="AW35" i="103"/>
  <c r="I38" i="101"/>
  <c r="AS17" i="103"/>
  <c r="AR26" i="103"/>
  <c r="AR35" i="103"/>
  <c r="F292" i="111"/>
  <c r="D38" i="101"/>
  <c r="D39" i="101"/>
  <c r="H39" i="101"/>
  <c r="BB34" i="103"/>
  <c r="BL16" i="103"/>
  <c r="BA25" i="103"/>
  <c r="BA34" i="103"/>
  <c r="BN16" i="103"/>
  <c r="BI25" i="103"/>
  <c r="BI34" i="103"/>
  <c r="AX16" i="103"/>
  <c r="BB25" i="103" s="1"/>
  <c r="AW25" i="103"/>
  <c r="AW34" i="103"/>
  <c r="BE25" i="103"/>
  <c r="BE34" i="103"/>
  <c r="AT16" i="103"/>
  <c r="AS25" i="103"/>
  <c r="AS34" i="103"/>
  <c r="AK25" i="103"/>
  <c r="H291" i="111"/>
  <c r="M291" i="111" s="1"/>
  <c r="P291" i="111" s="1"/>
  <c r="K291" i="111" s="1"/>
  <c r="L291" i="111" s="1"/>
  <c r="L16" i="103"/>
  <c r="K94" i="103"/>
  <c r="BN15" i="103"/>
  <c r="BI24" i="103"/>
  <c r="BI33" i="103"/>
  <c r="BB33" i="103"/>
  <c r="BL15" i="103"/>
  <c r="BA24" i="103"/>
  <c r="BA33" i="103"/>
  <c r="BE24" i="103"/>
  <c r="BE33" i="103"/>
  <c r="AX15" i="103"/>
  <c r="BB24" i="103" s="1"/>
  <c r="AW24" i="103"/>
  <c r="AW33" i="103"/>
  <c r="AT15" i="103"/>
  <c r="AT139" i="103" s="1"/>
  <c r="AS24" i="103"/>
  <c r="AS33" i="103"/>
  <c r="AK24" i="103"/>
  <c r="H288" i="111"/>
  <c r="M288" i="111" s="1"/>
  <c r="P288" i="111" s="1"/>
  <c r="K288" i="111" s="1"/>
  <c r="L288" i="111" s="1"/>
  <c r="AG14" i="103"/>
  <c r="AL24" i="103"/>
  <c r="AH14" i="103"/>
  <c r="AL23" i="103" s="1"/>
  <c r="BB32" i="103"/>
  <c r="N36" i="101"/>
  <c r="BL14" i="103"/>
  <c r="BA23" i="103"/>
  <c r="BA32" i="103"/>
  <c r="M36" i="101"/>
  <c r="M37" i="101"/>
  <c r="BN14" i="103"/>
  <c r="BI23" i="103"/>
  <c r="BI32" i="103"/>
  <c r="AX14" i="103"/>
  <c r="AW32" i="103"/>
  <c r="I36" i="101"/>
  <c r="BE23" i="103"/>
  <c r="BE32" i="103"/>
  <c r="AS14" i="103"/>
  <c r="AR23" i="103"/>
  <c r="AR32" i="103"/>
  <c r="F287" i="111"/>
  <c r="D36" i="101"/>
  <c r="D37" i="101"/>
  <c r="H37" i="101"/>
  <c r="L14" i="103"/>
  <c r="K23" i="103"/>
  <c r="R17" i="108" s="1"/>
  <c r="L15" i="101"/>
  <c r="L16" i="101"/>
  <c r="G56" i="102"/>
  <c r="BN13" i="103"/>
  <c r="BI22" i="103"/>
  <c r="BI31" i="103"/>
  <c r="BB13" i="103"/>
  <c r="BL13" i="103"/>
  <c r="BA22" i="103"/>
  <c r="BA31" i="103"/>
  <c r="M34" i="101"/>
  <c r="M35" i="101"/>
  <c r="BE22" i="103"/>
  <c r="BE31" i="103"/>
  <c r="AX13" i="103"/>
  <c r="AW22" i="103"/>
  <c r="AW31" i="103"/>
  <c r="AW157" i="103"/>
  <c r="AW155" i="103" s="1"/>
  <c r="I34" i="101"/>
  <c r="I35" i="101"/>
  <c r="AT13" i="103"/>
  <c r="AS22" i="103"/>
  <c r="AS31" i="103"/>
  <c r="AS157" i="103"/>
  <c r="E34" i="101"/>
  <c r="E35" i="101"/>
  <c r="AK22" i="103"/>
  <c r="AG156" i="103"/>
  <c r="H274" i="111" s="1"/>
  <c r="M274" i="111" s="1"/>
  <c r="AL22" i="103"/>
  <c r="AH156" i="103"/>
  <c r="H286" i="111"/>
  <c r="M286" i="111" s="1"/>
  <c r="P286" i="111" s="1"/>
  <c r="K286" i="111" s="1"/>
  <c r="L286" i="111" s="1"/>
  <c r="BN12" i="103"/>
  <c r="BI21" i="103"/>
  <c r="BI30" i="103"/>
  <c r="BB12" i="103"/>
  <c r="BL12" i="103"/>
  <c r="BA21" i="103"/>
  <c r="BA30" i="103"/>
  <c r="M32" i="101"/>
  <c r="M33" i="101"/>
  <c r="BE21" i="103"/>
  <c r="BE30" i="103"/>
  <c r="AX12" i="103"/>
  <c r="BA250" i="103" s="1"/>
  <c r="AW21" i="103"/>
  <c r="AW30" i="103"/>
  <c r="I32" i="101"/>
  <c r="I33" i="101"/>
  <c r="CI12" i="103"/>
  <c r="G90" i="111"/>
  <c r="AT12" i="103"/>
  <c r="AW250" i="103" s="1"/>
  <c r="AW251" i="103" s="1"/>
  <c r="AS21" i="103"/>
  <c r="AS30" i="103"/>
  <c r="AS250" i="103"/>
  <c r="AS251" i="103" s="1"/>
  <c r="E32" i="101"/>
  <c r="E33" i="101"/>
  <c r="AK21" i="103"/>
  <c r="H285" i="111"/>
  <c r="M285" i="111" s="1"/>
  <c r="P285" i="111" s="1"/>
  <c r="K285" i="111" s="1"/>
  <c r="L285" i="111" s="1"/>
  <c r="AG11" i="103"/>
  <c r="AL21" i="103"/>
  <c r="AI250" i="103"/>
  <c r="AM251" i="103" s="1"/>
  <c r="AJ250" i="103"/>
  <c r="AN251" i="103" s="1"/>
  <c r="AK250" i="103"/>
  <c r="AO251" i="103" s="1"/>
  <c r="AH11" i="103"/>
  <c r="BN11" i="103"/>
  <c r="BI20" i="103"/>
  <c r="BI29" i="103"/>
  <c r="BB11" i="103"/>
  <c r="BL11" i="103"/>
  <c r="BA20" i="103"/>
  <c r="BA29" i="103"/>
  <c r="M30" i="101"/>
  <c r="M31" i="101"/>
  <c r="AX11" i="103"/>
  <c r="AW29" i="103"/>
  <c r="I30" i="101"/>
  <c r="BE29" i="103"/>
  <c r="AS11" i="103"/>
  <c r="AR20" i="103"/>
  <c r="AR29" i="103"/>
  <c r="F284" i="111"/>
  <c r="D30" i="101"/>
  <c r="D31" i="101"/>
  <c r="H31" i="101"/>
  <c r="O13" i="103"/>
  <c r="G22" i="103"/>
  <c r="H22" i="103"/>
  <c r="G31" i="103"/>
  <c r="G100" i="103"/>
  <c r="O100" i="103" s="1"/>
  <c r="G137" i="103"/>
  <c r="O136" i="103" s="1"/>
  <c r="H13" i="101"/>
  <c r="H14" i="101"/>
  <c r="I14" i="101"/>
  <c r="G10" i="103"/>
  <c r="BB10" i="103"/>
  <c r="BL10" i="103"/>
  <c r="BA19" i="103"/>
  <c r="M28" i="101"/>
  <c r="M29" i="101"/>
  <c r="BI19" i="103"/>
  <c r="AX10" i="103"/>
  <c r="I28" i="101"/>
  <c r="AS10" i="103"/>
  <c r="AR155" i="103"/>
  <c r="D28" i="101"/>
  <c r="D29" i="101"/>
  <c r="H29" i="101"/>
  <c r="L17" i="103"/>
  <c r="K26" i="103"/>
  <c r="K95" i="103"/>
  <c r="L17" i="101"/>
  <c r="L18" i="101"/>
  <c r="G57" i="102"/>
  <c r="L13" i="103"/>
  <c r="K22" i="103"/>
  <c r="K156" i="103" s="1"/>
  <c r="K91" i="103"/>
  <c r="L13" i="101"/>
  <c r="L14" i="101"/>
  <c r="G55" i="102"/>
  <c r="M309" i="111"/>
  <c r="AX6" i="103"/>
  <c r="F61" i="106"/>
  <c r="D61" i="106"/>
  <c r="C405" i="105"/>
  <c r="S310" i="111"/>
  <c r="DB11" i="105"/>
  <c r="AV6" i="103"/>
  <c r="AQ6" i="103"/>
  <c r="DB7" i="105"/>
  <c r="CS8" i="105"/>
  <c r="DB6" i="105"/>
  <c r="AW4" i="103"/>
  <c r="DG6" i="105"/>
  <c r="I172" i="112"/>
  <c r="H172" i="112"/>
  <c r="E172" i="112"/>
  <c r="C172" i="112"/>
  <c r="G405" i="105"/>
  <c r="F405" i="105"/>
  <c r="R310" i="111"/>
  <c r="U310" i="111" s="1"/>
  <c r="S309" i="111"/>
  <c r="S268" i="111"/>
  <c r="AY6" i="103"/>
  <c r="AJ6" i="103"/>
  <c r="CX8" i="105"/>
  <c r="AT4" i="103"/>
  <c r="R172" i="112"/>
  <c r="D172" i="112"/>
  <c r="G61" i="106"/>
  <c r="E61" i="106"/>
  <c r="H405" i="105"/>
  <c r="E405" i="105"/>
  <c r="D405" i="105"/>
  <c r="DB17" i="105"/>
  <c r="DB13" i="105"/>
  <c r="O268" i="111"/>
  <c r="BB6" i="103"/>
  <c r="CY11" i="105"/>
  <c r="AS6" i="103"/>
  <c r="AP6" i="103"/>
  <c r="AL6" i="103"/>
  <c r="BA4" i="103"/>
  <c r="F172" i="112"/>
  <c r="I405" i="105"/>
  <c r="M310" i="111"/>
  <c r="P310" i="111" s="1"/>
  <c r="K310" i="111" s="1"/>
  <c r="L310" i="111" s="1"/>
  <c r="N309" i="111"/>
  <c r="R309" i="111"/>
  <c r="U309" i="111" s="1"/>
  <c r="N268" i="111"/>
  <c r="DB12" i="105"/>
  <c r="AW6" i="103"/>
  <c r="AR6" i="103"/>
  <c r="AN6" i="103"/>
  <c r="CT8" i="105"/>
  <c r="BB4" i="103"/>
  <c r="AX4" i="103"/>
  <c r="AS4" i="103"/>
  <c r="G172" i="112"/>
  <c r="W266" i="106"/>
  <c r="N266" i="106"/>
  <c r="C61" i="106"/>
  <c r="J405" i="105"/>
  <c r="B405" i="105"/>
  <c r="DB18" i="105"/>
  <c r="AZ6" i="103"/>
  <c r="AU6" i="103"/>
  <c r="AR4" i="103"/>
  <c r="J372" i="105"/>
  <c r="K377" i="105" s="1"/>
  <c r="K386" i="105" s="1"/>
  <c r="I372" i="105"/>
  <c r="J376" i="105" s="1"/>
  <c r="AJ55" i="108" s="1"/>
  <c r="P150" i="106"/>
  <c r="H372" i="105"/>
  <c r="I376" i="105" s="1"/>
  <c r="O55" i="108" s="1"/>
  <c r="O150" i="106"/>
  <c r="N150" i="106"/>
  <c r="G372" i="105"/>
  <c r="M150" i="106"/>
  <c r="AK58" i="108"/>
  <c r="R104" i="105"/>
  <c r="R88" i="106" s="1"/>
  <c r="DB50" i="105"/>
  <c r="DB45" i="105"/>
  <c r="CY45" i="105"/>
  <c r="DB44" i="105"/>
  <c r="CY44" i="105"/>
  <c r="DG35" i="105"/>
  <c r="DG34" i="105"/>
  <c r="DB32" i="105"/>
  <c r="CY32" i="105"/>
  <c r="DG32" i="105"/>
  <c r="DB20" i="105"/>
  <c r="DB21" i="105"/>
  <c r="N310" i="111"/>
  <c r="BA6" i="103"/>
  <c r="AT6" i="103"/>
  <c r="CY6" i="105"/>
  <c r="AX257" i="103"/>
  <c r="AW257" i="103"/>
  <c r="AV257" i="103"/>
  <c r="AU257" i="103"/>
  <c r="AT257" i="103"/>
  <c r="AS257" i="103"/>
  <c r="AR257" i="103"/>
  <c r="AQ257" i="103"/>
  <c r="AL210" i="103"/>
  <c r="AL207" i="103"/>
  <c r="AP202" i="103"/>
  <c r="CI162" i="103"/>
  <c r="AP173" i="103"/>
  <c r="CI161" i="103"/>
  <c r="AP172" i="103"/>
  <c r="CI160" i="103"/>
  <c r="BA170" i="103"/>
  <c r="CI159" i="103"/>
  <c r="BK156" i="103"/>
  <c r="BA167" i="103"/>
  <c r="CI156" i="103"/>
  <c r="AF141" i="103"/>
  <c r="BD140" i="103"/>
  <c r="BD139" i="103"/>
  <c r="BD137" i="103"/>
  <c r="BD136" i="103"/>
  <c r="L74" i="103"/>
  <c r="F46" i="103"/>
  <c r="M31" i="108" s="1"/>
  <c r="E46" i="103"/>
  <c r="L31" i="108" s="1"/>
  <c r="D46" i="103"/>
  <c r="K31" i="108" s="1"/>
  <c r="CI14" i="103"/>
  <c r="CI11" i="103"/>
  <c r="I50" i="103"/>
  <c r="F50" i="103"/>
  <c r="E50" i="103"/>
  <c r="D50" i="103"/>
  <c r="C50" i="103"/>
  <c r="F217" i="111"/>
  <c r="F210" i="111"/>
  <c r="E210" i="111"/>
  <c r="E217" i="111"/>
  <c r="D210" i="111"/>
  <c r="D217" i="111"/>
  <c r="C210" i="111"/>
  <c r="C217" i="111"/>
  <c r="P244" i="106"/>
  <c r="K17" i="107" s="1"/>
  <c r="P51" i="106"/>
  <c r="F45" i="112"/>
  <c r="O51" i="106"/>
  <c r="O244" i="106"/>
  <c r="J17" i="107" s="1"/>
  <c r="V244" i="106"/>
  <c r="Q17" i="107" s="1"/>
  <c r="N51" i="106"/>
  <c r="N244" i="106"/>
  <c r="I17" i="107" s="1"/>
  <c r="D45" i="112"/>
  <c r="M244" i="106"/>
  <c r="H17" i="107" s="1"/>
  <c r="M51" i="106"/>
  <c r="C45" i="112"/>
  <c r="L244" i="106"/>
  <c r="G17" i="107" s="1"/>
  <c r="L51" i="106"/>
  <c r="B45" i="112"/>
  <c r="K244" i="106"/>
  <c r="F17" i="107" s="1"/>
  <c r="K51" i="106"/>
  <c r="J244" i="106"/>
  <c r="E17" i="107" s="1"/>
  <c r="J51" i="106"/>
  <c r="I244" i="106"/>
  <c r="I51" i="106"/>
  <c r="H51" i="106"/>
  <c r="H244" i="106"/>
  <c r="V42" i="106"/>
  <c r="P404" i="105" s="1"/>
  <c r="Q68" i="107"/>
  <c r="CM22" i="105"/>
  <c r="CN22" i="105" s="1"/>
  <c r="CM23" i="105"/>
  <c r="CN23" i="105" s="1"/>
  <c r="CM14" i="105"/>
  <c r="CM19" i="105"/>
  <c r="CN19" i="105" s="1"/>
  <c r="CO19" i="105" s="1"/>
  <c r="CJ22" i="105"/>
  <c r="CZ22" i="105" s="1"/>
  <c r="CU9" i="105"/>
  <c r="CJ14" i="105"/>
  <c r="CJ23" i="105"/>
  <c r="CZ23" i="105" s="1"/>
  <c r="CJ19" i="105"/>
  <c r="CZ19" i="105" s="1"/>
  <c r="CI19" i="105"/>
  <c r="CI23" i="105"/>
  <c r="CI14" i="105"/>
  <c r="CI22" i="105"/>
  <c r="CV9" i="105"/>
  <c r="CF14" i="105"/>
  <c r="CF19" i="105"/>
  <c r="DA19" i="105" s="1"/>
  <c r="DA62" i="105" s="1"/>
  <c r="CF23" i="105"/>
  <c r="DA23" i="105" s="1"/>
  <c r="CF22" i="105"/>
  <c r="DA22" i="105" s="1"/>
  <c r="DA63" i="105" s="1"/>
  <c r="CE14" i="105"/>
  <c r="CE19" i="105"/>
  <c r="CE22" i="105"/>
  <c r="CE23" i="105"/>
  <c r="DQ17" i="105" s="1"/>
  <c r="CA23" i="105"/>
  <c r="DP17" i="105" s="1"/>
  <c r="CA19" i="105"/>
  <c r="CD10" i="105"/>
  <c r="CA22" i="105"/>
  <c r="CA14" i="105"/>
  <c r="AQ8" i="103" s="1"/>
  <c r="BW19" i="105"/>
  <c r="BW23" i="105"/>
  <c r="BW22" i="105"/>
  <c r="BW14" i="105"/>
  <c r="AM8" i="103" s="1"/>
  <c r="G29" i="103"/>
  <c r="G32" i="103"/>
  <c r="F29" i="103"/>
  <c r="F32" i="103"/>
  <c r="F35" i="103"/>
  <c r="E29" i="103"/>
  <c r="E35" i="103"/>
  <c r="E32" i="103"/>
  <c r="D35" i="103"/>
  <c r="D29" i="103"/>
  <c r="D32" i="103"/>
  <c r="C35" i="103"/>
  <c r="C32" i="103"/>
  <c r="C29" i="103"/>
  <c r="AV150" i="103"/>
  <c r="F305" i="111"/>
  <c r="BD122" i="103"/>
  <c r="BE150" i="103" s="1"/>
  <c r="AJ150" i="103"/>
  <c r="CD122" i="103"/>
  <c r="AH122" i="103"/>
  <c r="BE144" i="103"/>
  <c r="AV26" i="103"/>
  <c r="CG17" i="103"/>
  <c r="CI17" i="103" s="1"/>
  <c r="BD17" i="103"/>
  <c r="C292" i="111"/>
  <c r="R292" i="111" s="1"/>
  <c r="AJ26" i="103"/>
  <c r="CD17" i="103"/>
  <c r="AH17" i="103"/>
  <c r="AV23" i="103"/>
  <c r="BD14" i="103"/>
  <c r="AV20" i="103"/>
  <c r="BD11" i="103"/>
  <c r="AR34" i="103"/>
  <c r="AR31" i="103"/>
  <c r="AR30" i="103"/>
  <c r="AV19" i="103"/>
  <c r="BD10" i="103"/>
  <c r="CG10" i="103"/>
  <c r="AR33" i="103"/>
  <c r="AP200" i="103"/>
  <c r="J20" i="103" l="1"/>
  <c r="M11" i="103"/>
  <c r="J10" i="103"/>
  <c r="K10" i="101"/>
  <c r="K9" i="101"/>
  <c r="G54" i="102"/>
  <c r="L12" i="101"/>
  <c r="L11" i="101"/>
  <c r="K90" i="103"/>
  <c r="L169" i="103"/>
  <c r="J11" i="102" s="1"/>
  <c r="J9" i="102" s="1"/>
  <c r="L12" i="103" s="1"/>
  <c r="L11" i="103" s="1"/>
  <c r="K21" i="103"/>
  <c r="S311" i="106"/>
  <c r="R25" i="106"/>
  <c r="Q24" i="106"/>
  <c r="Q23" i="106" s="1"/>
  <c r="Q224" i="106"/>
  <c r="S308" i="106"/>
  <c r="R310" i="106"/>
  <c r="R225" i="106"/>
  <c r="W24" i="106"/>
  <c r="W23" i="106" s="1"/>
  <c r="Y224" i="106"/>
  <c r="S299" i="106"/>
  <c r="R267" i="106"/>
  <c r="Q266" i="106"/>
  <c r="V74" i="106"/>
  <c r="W116" i="106"/>
  <c r="W118" i="106" s="1"/>
  <c r="W74" i="106" s="1"/>
  <c r="Q132" i="104"/>
  <c r="Q135" i="104" s="1"/>
  <c r="V79" i="106"/>
  <c r="AJ99" i="108"/>
  <c r="P56" i="113"/>
  <c r="P57" i="113"/>
  <c r="I168" i="112"/>
  <c r="P65" i="113"/>
  <c r="P128" i="105"/>
  <c r="EX19" i="105"/>
  <c r="G92" i="112" s="1"/>
  <c r="O56" i="113"/>
  <c r="O57" i="113"/>
  <c r="O99" i="108"/>
  <c r="H168" i="112"/>
  <c r="O65" i="113"/>
  <c r="O128" i="105"/>
  <c r="EW19" i="105"/>
  <c r="F92" i="112" s="1"/>
  <c r="N56" i="113"/>
  <c r="N99" i="108"/>
  <c r="AG99" i="108" s="1"/>
  <c r="N57" i="113"/>
  <c r="G168" i="112"/>
  <c r="R168" i="112"/>
  <c r="N65" i="113"/>
  <c r="N128" i="105"/>
  <c r="EV19" i="105"/>
  <c r="E92" i="112" s="1"/>
  <c r="AE46" i="106"/>
  <c r="AE53" i="106"/>
  <c r="AE64" i="106"/>
  <c r="AE70" i="106"/>
  <c r="AE72" i="106"/>
  <c r="AE77" i="106"/>
  <c r="AE73" i="106"/>
  <c r="AE75" i="106"/>
  <c r="AE42" i="106"/>
  <c r="M57" i="113"/>
  <c r="AE45" i="106"/>
  <c r="AE48" i="106"/>
  <c r="M56" i="113"/>
  <c r="AE54" i="106"/>
  <c r="AE47" i="106"/>
  <c r="AE50" i="106"/>
  <c r="M99" i="108"/>
  <c r="AE43" i="106"/>
  <c r="AE44" i="106"/>
  <c r="AD79" i="106"/>
  <c r="AE79" i="106"/>
  <c r="F168" i="112"/>
  <c r="M65" i="113"/>
  <c r="AE60" i="106"/>
  <c r="M128" i="105"/>
  <c r="EU19" i="105"/>
  <c r="D92" i="112" s="1"/>
  <c r="AD40" i="106"/>
  <c r="AE40" i="106"/>
  <c r="L56" i="113"/>
  <c r="L57" i="113"/>
  <c r="L99" i="108"/>
  <c r="AF99" i="108" s="1"/>
  <c r="E168" i="112"/>
  <c r="L65" i="113"/>
  <c r="L128" i="105"/>
  <c r="ET19" i="105"/>
  <c r="C92" i="112" s="1"/>
  <c r="K56" i="113"/>
  <c r="K57" i="113"/>
  <c r="K99" i="108"/>
  <c r="D168" i="112"/>
  <c r="K128" i="105"/>
  <c r="ES19" i="105"/>
  <c r="B92" i="112" s="1"/>
  <c r="S54" i="106"/>
  <c r="J48" i="112" s="1"/>
  <c r="I48" i="112"/>
  <c r="G49" i="112"/>
  <c r="P53" i="113"/>
  <c r="F49" i="112"/>
  <c r="O53" i="113"/>
  <c r="E49" i="112"/>
  <c r="N53" i="113"/>
  <c r="AD61" i="106"/>
  <c r="AE61" i="106"/>
  <c r="D49" i="112"/>
  <c r="M53" i="113"/>
  <c r="C49" i="112"/>
  <c r="L53" i="113"/>
  <c r="B49" i="112"/>
  <c r="K53" i="113"/>
  <c r="J408" i="105"/>
  <c r="AJ60" i="108"/>
  <c r="I408" i="105"/>
  <c r="O60" i="108"/>
  <c r="AG60" i="108"/>
  <c r="J411" i="105"/>
  <c r="K411" i="105" s="1"/>
  <c r="L411" i="105" s="1"/>
  <c r="M411" i="105" s="1"/>
  <c r="H408" i="105"/>
  <c r="N60" i="108"/>
  <c r="I411" i="105"/>
  <c r="P407" i="105"/>
  <c r="P397" i="105"/>
  <c r="G408" i="105"/>
  <c r="M60" i="108"/>
  <c r="H411" i="105"/>
  <c r="F408" i="105"/>
  <c r="L60" i="108"/>
  <c r="G411" i="105"/>
  <c r="P411" i="105" s="1"/>
  <c r="L61" i="108"/>
  <c r="E408" i="105"/>
  <c r="K60" i="108"/>
  <c r="F411" i="105"/>
  <c r="K61" i="108"/>
  <c r="D408" i="105"/>
  <c r="J60" i="108"/>
  <c r="E411" i="105"/>
  <c r="J61" i="108"/>
  <c r="C408" i="105"/>
  <c r="I60" i="108"/>
  <c r="D411" i="105"/>
  <c r="I61" i="108"/>
  <c r="S35" i="106"/>
  <c r="S31" i="106"/>
  <c r="M383" i="105" s="1"/>
  <c r="L383" i="105"/>
  <c r="W253" i="106"/>
  <c r="W298" i="106"/>
  <c r="Q222" i="106"/>
  <c r="R294" i="106"/>
  <c r="S303" i="106" s="1"/>
  <c r="V297" i="106"/>
  <c r="P297" i="106"/>
  <c r="Y222" i="106"/>
  <c r="O298" i="106"/>
  <c r="O253" i="106"/>
  <c r="M296" i="106"/>
  <c r="N305" i="106"/>
  <c r="N303" i="106"/>
  <c r="L297" i="106"/>
  <c r="M297" i="106"/>
  <c r="P282" i="106"/>
  <c r="O95" i="108"/>
  <c r="J21" i="107"/>
  <c r="J20" i="107" s="1"/>
  <c r="E155" i="112" s="1"/>
  <c r="P284" i="106"/>
  <c r="P291" i="106"/>
  <c r="O282" i="106"/>
  <c r="V291" i="106"/>
  <c r="O284" i="106"/>
  <c r="O291" i="106"/>
  <c r="N282" i="106"/>
  <c r="M95" i="108"/>
  <c r="H21" i="107"/>
  <c r="H20" i="107" s="1"/>
  <c r="C155" i="112" s="1"/>
  <c r="N284" i="106"/>
  <c r="M282" i="106"/>
  <c r="N291" i="106"/>
  <c r="L95" i="108"/>
  <c r="AF95" i="108" s="1"/>
  <c r="G21" i="107"/>
  <c r="G20" i="107" s="1"/>
  <c r="B155" i="112" s="1"/>
  <c r="L284" i="106"/>
  <c r="M284" i="106"/>
  <c r="L282" i="106"/>
  <c r="M291" i="106"/>
  <c r="K95" i="108"/>
  <c r="F21" i="107"/>
  <c r="F20" i="107" s="1"/>
  <c r="J95" i="108"/>
  <c r="E21" i="107"/>
  <c r="E20" i="107" s="1"/>
  <c r="I95" i="108"/>
  <c r="D21" i="107"/>
  <c r="D20" i="107" s="1"/>
  <c r="H95" i="108"/>
  <c r="C21" i="107"/>
  <c r="C20" i="107" s="1"/>
  <c r="Q28" i="107"/>
  <c r="E154" i="112"/>
  <c r="J14" i="107"/>
  <c r="I14" i="107"/>
  <c r="D154" i="112"/>
  <c r="C154" i="112"/>
  <c r="H14" i="107"/>
  <c r="B154" i="112"/>
  <c r="G14" i="107"/>
  <c r="S8" i="106"/>
  <c r="N59" i="107"/>
  <c r="J61" i="112" s="1"/>
  <c r="S7" i="106"/>
  <c r="M374" i="105" s="1"/>
  <c r="L374" i="105"/>
  <c r="N73" i="107"/>
  <c r="J73" i="112" s="1"/>
  <c r="P25" i="113"/>
  <c r="P42" i="113"/>
  <c r="P80" i="106"/>
  <c r="G41" i="112"/>
  <c r="P27" i="113"/>
  <c r="P38" i="113" s="1"/>
  <c r="G106" i="112" s="1"/>
  <c r="P43" i="113"/>
  <c r="O25" i="113"/>
  <c r="O42" i="113"/>
  <c r="G100" i="112"/>
  <c r="O80" i="106"/>
  <c r="F41" i="112"/>
  <c r="O27" i="113"/>
  <c r="O38" i="113" s="1"/>
  <c r="F106" i="112" s="1"/>
  <c r="O43" i="113"/>
  <c r="F100" i="112"/>
  <c r="N42" i="113"/>
  <c r="N25" i="113"/>
  <c r="N80" i="106"/>
  <c r="E41" i="112"/>
  <c r="N27" i="113"/>
  <c r="N38" i="113" s="1"/>
  <c r="E106" i="112" s="1"/>
  <c r="N43" i="113"/>
  <c r="E100" i="112"/>
  <c r="AE6" i="106"/>
  <c r="AE7" i="106"/>
  <c r="M25" i="113"/>
  <c r="AE13" i="106"/>
  <c r="AE34" i="106"/>
  <c r="AE18" i="106"/>
  <c r="AE19" i="106"/>
  <c r="AE31" i="106"/>
  <c r="AE33" i="106"/>
  <c r="M42" i="113"/>
  <c r="AE25" i="106"/>
  <c r="AE30" i="106"/>
  <c r="AE35" i="106"/>
  <c r="AE12" i="106"/>
  <c r="AE16" i="106"/>
  <c r="AE24" i="106"/>
  <c r="AE32" i="106"/>
  <c r="AE9" i="106"/>
  <c r="AE10" i="106"/>
  <c r="AE11" i="106"/>
  <c r="AE17" i="106"/>
  <c r="AE20" i="106"/>
  <c r="AE21" i="106"/>
  <c r="AE23" i="106"/>
  <c r="AE29" i="106"/>
  <c r="AE26" i="106"/>
  <c r="AE27" i="106"/>
  <c r="AE28" i="106"/>
  <c r="AD38" i="106"/>
  <c r="AE38" i="106"/>
  <c r="M80" i="106"/>
  <c r="D41" i="112"/>
  <c r="M27" i="113"/>
  <c r="M43" i="113"/>
  <c r="AE22" i="106"/>
  <c r="L25" i="113"/>
  <c r="L42" i="113"/>
  <c r="D100" i="112"/>
  <c r="L80" i="106"/>
  <c r="C41" i="112"/>
  <c r="L27" i="113"/>
  <c r="L43" i="113"/>
  <c r="C100" i="112"/>
  <c r="K42" i="113"/>
  <c r="K25" i="113"/>
  <c r="K80" i="106"/>
  <c r="B41" i="112"/>
  <c r="K27" i="113"/>
  <c r="K43" i="113"/>
  <c r="J42" i="113"/>
  <c r="J25" i="113"/>
  <c r="B100" i="112"/>
  <c r="J27" i="113"/>
  <c r="J43" i="113"/>
  <c r="I25" i="113"/>
  <c r="I42" i="113"/>
  <c r="I27" i="113"/>
  <c r="I43" i="113"/>
  <c r="H42" i="113"/>
  <c r="H25" i="113"/>
  <c r="H27" i="113"/>
  <c r="H43" i="113"/>
  <c r="G42" i="113"/>
  <c r="G25" i="113"/>
  <c r="G80" i="106"/>
  <c r="G27" i="113"/>
  <c r="G43" i="113"/>
  <c r="F42" i="113"/>
  <c r="F25" i="113"/>
  <c r="F80" i="106"/>
  <c r="F27" i="113"/>
  <c r="F43" i="113"/>
  <c r="E25" i="113"/>
  <c r="E42" i="113"/>
  <c r="E80" i="106"/>
  <c r="E27" i="113"/>
  <c r="E43" i="113"/>
  <c r="D25" i="113"/>
  <c r="D42" i="113"/>
  <c r="D80" i="106"/>
  <c r="D27" i="113"/>
  <c r="D43" i="113"/>
  <c r="C42" i="113"/>
  <c r="C25" i="113"/>
  <c r="C80" i="106"/>
  <c r="C27" i="113"/>
  <c r="C43" i="113"/>
  <c r="W53" i="106"/>
  <c r="E442" i="105"/>
  <c r="E441" i="105" s="1"/>
  <c r="Q53" i="106"/>
  <c r="G442" i="105"/>
  <c r="G441" i="105" s="1"/>
  <c r="M381" i="105"/>
  <c r="M388" i="105"/>
  <c r="R159" i="106"/>
  <c r="R164" i="106" s="1"/>
  <c r="Q66" i="106"/>
  <c r="Q64" i="106" s="1"/>
  <c r="S91" i="105"/>
  <c r="EP19" i="105"/>
  <c r="EO19" i="105"/>
  <c r="DB39" i="105"/>
  <c r="CZ40" i="105"/>
  <c r="DB40" i="105" s="1"/>
  <c r="CY39" i="105"/>
  <c r="CW40" i="105"/>
  <c r="EC18" i="105"/>
  <c r="DZ18" i="105"/>
  <c r="DG39" i="105"/>
  <c r="EJ18" i="105"/>
  <c r="EK18" i="105" s="1"/>
  <c r="EC10" i="105"/>
  <c r="DZ10" i="105"/>
  <c r="EE10" i="105"/>
  <c r="EG10" i="105" s="1"/>
  <c r="DX29" i="105"/>
  <c r="DX30" i="105" s="1"/>
  <c r="DY29" i="105" s="1"/>
  <c r="EJ11" i="105"/>
  <c r="EK9" i="105"/>
  <c r="EC9" i="105"/>
  <c r="DY11" i="105"/>
  <c r="DZ9" i="105"/>
  <c r="EI11" i="105"/>
  <c r="EP9" i="105"/>
  <c r="DX11" i="105"/>
  <c r="EE11" i="105" s="1"/>
  <c r="DX28" i="105"/>
  <c r="DX27" i="105" s="1"/>
  <c r="DY28" i="105" s="1"/>
  <c r="EE9" i="105"/>
  <c r="EG9" i="105" s="1"/>
  <c r="CN26" i="105"/>
  <c r="CM62" i="105"/>
  <c r="CN62" i="105" s="1"/>
  <c r="CN29" i="105"/>
  <c r="CM30" i="105"/>
  <c r="CN30" i="105" s="1"/>
  <c r="CM66" i="105"/>
  <c r="CN66" i="105" s="1"/>
  <c r="CM67" i="105"/>
  <c r="CN67" i="105" s="1"/>
  <c r="CM51" i="105"/>
  <c r="CN51" i="105" s="1"/>
  <c r="CM49" i="105"/>
  <c r="CN49" i="105" s="1"/>
  <c r="CM53" i="105"/>
  <c r="CN47" i="105"/>
  <c r="CL40" i="105"/>
  <c r="CL65" i="105"/>
  <c r="CL66" i="105"/>
  <c r="CL67" i="105"/>
  <c r="CL51" i="105"/>
  <c r="CL49" i="105"/>
  <c r="CL53" i="105"/>
  <c r="CL55" i="105" s="1"/>
  <c r="CU26" i="105"/>
  <c r="CK62" i="105"/>
  <c r="CU29" i="105"/>
  <c r="CK30" i="105"/>
  <c r="CU30" i="105" s="1"/>
  <c r="CK66" i="105"/>
  <c r="CK67" i="105"/>
  <c r="CK51" i="105"/>
  <c r="CK53" i="105"/>
  <c r="CU47" i="105"/>
  <c r="CK49" i="105"/>
  <c r="CZ26" i="105"/>
  <c r="CJ62" i="105"/>
  <c r="CZ29" i="105"/>
  <c r="CJ30" i="105"/>
  <c r="CZ30" i="105" s="1"/>
  <c r="CJ66" i="105"/>
  <c r="CJ67" i="105"/>
  <c r="CJ51" i="105"/>
  <c r="CZ51" i="105" s="1"/>
  <c r="CJ49" i="105"/>
  <c r="CJ53" i="105"/>
  <c r="CZ47" i="105"/>
  <c r="CW61" i="105"/>
  <c r="CY24" i="105"/>
  <c r="CW26" i="105"/>
  <c r="CW29" i="105"/>
  <c r="CI30" i="105"/>
  <c r="CI66" i="105"/>
  <c r="CI67" i="105"/>
  <c r="CI51" i="105"/>
  <c r="CI49" i="105"/>
  <c r="CW47" i="105"/>
  <c r="CI53" i="105"/>
  <c r="CH40" i="105"/>
  <c r="CH65" i="105"/>
  <c r="CH66" i="105"/>
  <c r="CH67" i="105"/>
  <c r="CH51" i="105"/>
  <c r="CH49" i="105"/>
  <c r="CH53" i="105"/>
  <c r="CH55" i="105" s="1"/>
  <c r="CV26" i="105"/>
  <c r="CG62" i="105"/>
  <c r="CV29" i="105"/>
  <c r="CG30" i="105"/>
  <c r="CG66" i="105"/>
  <c r="CG67" i="105"/>
  <c r="CG51" i="105"/>
  <c r="CV47" i="105"/>
  <c r="CG49" i="105"/>
  <c r="CG53" i="105"/>
  <c r="DA26" i="105"/>
  <c r="DA66" i="105" s="1"/>
  <c r="CF62" i="105"/>
  <c r="DA29" i="105"/>
  <c r="CF30" i="105"/>
  <c r="DA30" i="105" s="1"/>
  <c r="CF66" i="105"/>
  <c r="CF67" i="105"/>
  <c r="CF51" i="105"/>
  <c r="DA51" i="105" s="1"/>
  <c r="CF49" i="105"/>
  <c r="DA47" i="105"/>
  <c r="CF53" i="105"/>
  <c r="CX29" i="105"/>
  <c r="CX30" i="105" s="1"/>
  <c r="CE30" i="105"/>
  <c r="CE66" i="105"/>
  <c r="CE67" i="105"/>
  <c r="CE51" i="105"/>
  <c r="CE49" i="105"/>
  <c r="CE53" i="105"/>
  <c r="CX47" i="105"/>
  <c r="CD40" i="105"/>
  <c r="CD65" i="105"/>
  <c r="CD66" i="105"/>
  <c r="CD67" i="105"/>
  <c r="CD51" i="105"/>
  <c r="CD53" i="105"/>
  <c r="CD55" i="105" s="1"/>
  <c r="CD49" i="105"/>
  <c r="CC40" i="105"/>
  <c r="CC65" i="105"/>
  <c r="CC66" i="105"/>
  <c r="CC67" i="105"/>
  <c r="CC51" i="105"/>
  <c r="CC53" i="105"/>
  <c r="CC55" i="105" s="1"/>
  <c r="CC49" i="105"/>
  <c r="CB40" i="105"/>
  <c r="CB65" i="105"/>
  <c r="CB66" i="105"/>
  <c r="CB67" i="105"/>
  <c r="CB51" i="105"/>
  <c r="CB49" i="105"/>
  <c r="CB53" i="105"/>
  <c r="CB55" i="105" s="1"/>
  <c r="DG24" i="105"/>
  <c r="DF26" i="105"/>
  <c r="CT29" i="105"/>
  <c r="DF29" i="105"/>
  <c r="CA30" i="105"/>
  <c r="CA66" i="105"/>
  <c r="CA67" i="105"/>
  <c r="CA51" i="105"/>
  <c r="CT47" i="105"/>
  <c r="CA49" i="105"/>
  <c r="CA53" i="105"/>
  <c r="F316" i="111"/>
  <c r="DF47" i="105"/>
  <c r="T313" i="111"/>
  <c r="EK7" i="105"/>
  <c r="EJ13" i="105"/>
  <c r="DY13" i="105"/>
  <c r="EC7" i="105"/>
  <c r="DZ7" i="105"/>
  <c r="BZ65" i="105"/>
  <c r="BZ40" i="105"/>
  <c r="BZ66" i="105"/>
  <c r="BZ67" i="105"/>
  <c r="BZ51" i="105"/>
  <c r="AP115" i="103"/>
  <c r="BZ49" i="105"/>
  <c r="BZ53" i="105"/>
  <c r="BZ55" i="105" s="1"/>
  <c r="BY65" i="105"/>
  <c r="BY40" i="105"/>
  <c r="BY66" i="105"/>
  <c r="BY67" i="105"/>
  <c r="BY51" i="105"/>
  <c r="BY53" i="105"/>
  <c r="J316" i="111"/>
  <c r="AO115" i="103"/>
  <c r="O313" i="111"/>
  <c r="BX65" i="105"/>
  <c r="BX40" i="105"/>
  <c r="BX66" i="105"/>
  <c r="BX67" i="105"/>
  <c r="BX51" i="105"/>
  <c r="AN115" i="103"/>
  <c r="BX53" i="105"/>
  <c r="BX55" i="105" s="1"/>
  <c r="EE7" i="105"/>
  <c r="EG7" i="105" s="1"/>
  <c r="DX13" i="105"/>
  <c r="DX8" i="105"/>
  <c r="EE8" i="105" s="1"/>
  <c r="CS29" i="105"/>
  <c r="DE29" i="105"/>
  <c r="BW30" i="105"/>
  <c r="BW66" i="105"/>
  <c r="BW67" i="105"/>
  <c r="BW51" i="105"/>
  <c r="E316" i="111"/>
  <c r="AM115" i="103"/>
  <c r="DE47" i="105"/>
  <c r="CS47" i="105"/>
  <c r="BW53" i="105"/>
  <c r="EI8" i="105"/>
  <c r="EP7" i="105"/>
  <c r="EI13" i="105"/>
  <c r="BV65" i="105"/>
  <c r="BV40" i="105"/>
  <c r="BV66" i="105"/>
  <c r="BV67" i="105"/>
  <c r="BV51" i="105"/>
  <c r="AL115" i="103"/>
  <c r="BV53" i="105"/>
  <c r="BV55" i="105" s="1"/>
  <c r="BU65" i="105"/>
  <c r="BU40" i="105"/>
  <c r="BU66" i="105"/>
  <c r="BU67" i="105"/>
  <c r="BU51" i="105"/>
  <c r="BU53" i="105"/>
  <c r="I316" i="111"/>
  <c r="AK115" i="103"/>
  <c r="BT65" i="105"/>
  <c r="BT40" i="105"/>
  <c r="BT66" i="105"/>
  <c r="BT67" i="105"/>
  <c r="BT51" i="105"/>
  <c r="AJ115" i="103"/>
  <c r="BT53" i="105"/>
  <c r="BT55" i="105" s="1"/>
  <c r="BS65" i="105"/>
  <c r="BS40" i="105"/>
  <c r="BS66" i="105"/>
  <c r="BS67" i="105"/>
  <c r="BS51" i="105"/>
  <c r="D316" i="111"/>
  <c r="AI115" i="103"/>
  <c r="BS53" i="105"/>
  <c r="BR65" i="105"/>
  <c r="BR40" i="105"/>
  <c r="BR66" i="105"/>
  <c r="BR67" i="105"/>
  <c r="BR51" i="105"/>
  <c r="BR53" i="105"/>
  <c r="BR55" i="105" s="1"/>
  <c r="AH115" i="103"/>
  <c r="AH134" i="103" s="1"/>
  <c r="BQ65" i="105"/>
  <c r="BQ40" i="105"/>
  <c r="BQ66" i="105"/>
  <c r="BQ67" i="105"/>
  <c r="BQ51" i="105"/>
  <c r="BQ53" i="105"/>
  <c r="H316" i="111"/>
  <c r="AG115" i="103"/>
  <c r="BP65" i="105"/>
  <c r="BP40" i="105"/>
  <c r="BP66" i="105"/>
  <c r="BP67" i="105"/>
  <c r="BP51" i="105"/>
  <c r="AF115" i="103"/>
  <c r="AF134" i="103" s="1"/>
  <c r="BP53" i="105"/>
  <c r="BP55" i="105" s="1"/>
  <c r="R268" i="111"/>
  <c r="M268" i="111"/>
  <c r="BO65" i="105"/>
  <c r="BO40" i="105"/>
  <c r="BO66" i="105"/>
  <c r="BO67" i="105"/>
  <c r="BO51" i="105"/>
  <c r="C316" i="111"/>
  <c r="AE115" i="103"/>
  <c r="BO53" i="105"/>
  <c r="BN65" i="105"/>
  <c r="BN40" i="105"/>
  <c r="BN66" i="105"/>
  <c r="BN67" i="105"/>
  <c r="BN51" i="105"/>
  <c r="BN53" i="105"/>
  <c r="BN55" i="105" s="1"/>
  <c r="BM65" i="105"/>
  <c r="BM40" i="105"/>
  <c r="BM66" i="105"/>
  <c r="BM67" i="105"/>
  <c r="BM51" i="105"/>
  <c r="BM53" i="105"/>
  <c r="BM55" i="105" s="1"/>
  <c r="BL65" i="105"/>
  <c r="BL40" i="105"/>
  <c r="BL66" i="105"/>
  <c r="BL67" i="105"/>
  <c r="BL51" i="105"/>
  <c r="BL53" i="105"/>
  <c r="BL55" i="105" s="1"/>
  <c r="BK65" i="105"/>
  <c r="BK40" i="105"/>
  <c r="BK66" i="105"/>
  <c r="BK67" i="105"/>
  <c r="BK51" i="105"/>
  <c r="BK53" i="105"/>
  <c r="BK55" i="105" s="1"/>
  <c r="BJ65" i="105"/>
  <c r="BJ40" i="105"/>
  <c r="BJ66" i="105"/>
  <c r="BJ67" i="105"/>
  <c r="BJ51" i="105"/>
  <c r="BJ53" i="105"/>
  <c r="BJ55" i="105" s="1"/>
  <c r="BJ57" i="105" s="1"/>
  <c r="BI65" i="105"/>
  <c r="BI40" i="105"/>
  <c r="BI66" i="105"/>
  <c r="BI67" i="105"/>
  <c r="BI51" i="105"/>
  <c r="BI53" i="105"/>
  <c r="BI55" i="105" s="1"/>
  <c r="BI57" i="105" s="1"/>
  <c r="BH65" i="105"/>
  <c r="BH40" i="105"/>
  <c r="BH66" i="105"/>
  <c r="BH67" i="105"/>
  <c r="BH51" i="105"/>
  <c r="BH53" i="105"/>
  <c r="BH55" i="105" s="1"/>
  <c r="BH57" i="105" s="1"/>
  <c r="BG65" i="105"/>
  <c r="BG40" i="105"/>
  <c r="BG66" i="105"/>
  <c r="BG67" i="105"/>
  <c r="BG51" i="105"/>
  <c r="BG53" i="105"/>
  <c r="BG55" i="105" s="1"/>
  <c r="BG57" i="105" s="1"/>
  <c r="BF51" i="105"/>
  <c r="BF53" i="105"/>
  <c r="BF55" i="105" s="1"/>
  <c r="BF57" i="105" s="1"/>
  <c r="BE51" i="105"/>
  <c r="BE53" i="105"/>
  <c r="BE55" i="105" s="1"/>
  <c r="BE57" i="105" s="1"/>
  <c r="BD51" i="105"/>
  <c r="BD53" i="105"/>
  <c r="BD55" i="105" s="1"/>
  <c r="BD57" i="105" s="1"/>
  <c r="BC51" i="105"/>
  <c r="BC53" i="105"/>
  <c r="BC55" i="105" s="1"/>
  <c r="BC57" i="105" s="1"/>
  <c r="DZ6" i="105"/>
  <c r="EC6" i="105"/>
  <c r="S294" i="111"/>
  <c r="T294" i="111"/>
  <c r="I82" i="103"/>
  <c r="I58" i="103"/>
  <c r="I65" i="103"/>
  <c r="I72" i="103"/>
  <c r="AJ24" i="108"/>
  <c r="H82" i="103"/>
  <c r="H58" i="103"/>
  <c r="H65" i="103"/>
  <c r="H72" i="103"/>
  <c r="O24" i="108"/>
  <c r="G82" i="103"/>
  <c r="G58" i="103"/>
  <c r="G65" i="103"/>
  <c r="G72" i="103"/>
  <c r="N24" i="108"/>
  <c r="F82" i="103"/>
  <c r="F58" i="103"/>
  <c r="F65" i="103"/>
  <c r="F72" i="103"/>
  <c r="M24" i="108"/>
  <c r="E82" i="103"/>
  <c r="E58" i="103"/>
  <c r="E65" i="103"/>
  <c r="E72" i="103"/>
  <c r="L24" i="108"/>
  <c r="D82" i="103"/>
  <c r="D58" i="103"/>
  <c r="D65" i="103"/>
  <c r="D72" i="103"/>
  <c r="K24" i="108"/>
  <c r="AF24" i="108" s="1"/>
  <c r="C82" i="103"/>
  <c r="C58" i="103"/>
  <c r="C65" i="103"/>
  <c r="C72" i="103"/>
  <c r="J24" i="108"/>
  <c r="B82" i="103"/>
  <c r="B58" i="103"/>
  <c r="B65" i="103"/>
  <c r="I24" i="108"/>
  <c r="R71" i="105"/>
  <c r="S8" i="105"/>
  <c r="CX22" i="105"/>
  <c r="CX63" i="105" s="1"/>
  <c r="CX14" i="105"/>
  <c r="DY5" i="105"/>
  <c r="DY8" i="105" s="1"/>
  <c r="DD9" i="105"/>
  <c r="EJ5" i="105"/>
  <c r="DJ9" i="105"/>
  <c r="DG9" i="105"/>
  <c r="AP29" i="103"/>
  <c r="AP32" i="103"/>
  <c r="AP35" i="103"/>
  <c r="AP19" i="103"/>
  <c r="AP30" i="103"/>
  <c r="AP31" i="103"/>
  <c r="AP33" i="103"/>
  <c r="AP34" i="103"/>
  <c r="AP155" i="103"/>
  <c r="AP157" i="103" s="1"/>
  <c r="AO29" i="103"/>
  <c r="AO32" i="103"/>
  <c r="AO35" i="103"/>
  <c r="AO19" i="103"/>
  <c r="AO30" i="103"/>
  <c r="AO31" i="103"/>
  <c r="AO33" i="103"/>
  <c r="AO34" i="103"/>
  <c r="AO155" i="103"/>
  <c r="AN29" i="103"/>
  <c r="AN32" i="103"/>
  <c r="AN35" i="103"/>
  <c r="AN19" i="103"/>
  <c r="AN30" i="103"/>
  <c r="AN31" i="103"/>
  <c r="AN33" i="103"/>
  <c r="AN34" i="103"/>
  <c r="AN155" i="103"/>
  <c r="AN157" i="103" s="1"/>
  <c r="AM4" i="103"/>
  <c r="AM10" i="103"/>
  <c r="E266" i="111"/>
  <c r="AL29" i="103"/>
  <c r="AL32" i="103"/>
  <c r="AL35" i="103"/>
  <c r="AL19" i="103"/>
  <c r="AL30" i="103"/>
  <c r="AL31" i="103"/>
  <c r="AL33" i="103"/>
  <c r="AL34" i="103"/>
  <c r="AL155" i="103"/>
  <c r="AL157" i="103" s="1"/>
  <c r="AK29" i="103"/>
  <c r="AK32" i="103"/>
  <c r="AK35" i="103"/>
  <c r="AK19" i="103"/>
  <c r="AK30" i="103"/>
  <c r="AK31" i="103"/>
  <c r="AK33" i="103"/>
  <c r="AK34" i="103"/>
  <c r="AK155" i="103"/>
  <c r="AJ29" i="103"/>
  <c r="AJ32" i="103"/>
  <c r="AJ35" i="103"/>
  <c r="AJ19" i="103"/>
  <c r="AJ30" i="103"/>
  <c r="AJ31" i="103"/>
  <c r="AJ33" i="103"/>
  <c r="AJ34" i="103"/>
  <c r="AJ155" i="103"/>
  <c r="AJ157" i="103" s="1"/>
  <c r="AI29" i="103"/>
  <c r="AI32" i="103"/>
  <c r="AI35" i="103"/>
  <c r="CE10" i="103"/>
  <c r="AI19" i="103"/>
  <c r="AI30" i="103"/>
  <c r="AI31" i="103"/>
  <c r="AI33" i="103"/>
  <c r="AI34" i="103"/>
  <c r="AI155" i="103"/>
  <c r="AG157" i="103"/>
  <c r="H273" i="111"/>
  <c r="CD10" i="103"/>
  <c r="AE155" i="103"/>
  <c r="P25" i="105"/>
  <c r="P26" i="105"/>
  <c r="P29" i="105"/>
  <c r="P47" i="105"/>
  <c r="P63" i="105"/>
  <c r="G7" i="112"/>
  <c r="G8" i="112" s="1"/>
  <c r="F127" i="112"/>
  <c r="I161" i="112"/>
  <c r="P35" i="113"/>
  <c r="G23" i="112"/>
  <c r="P28" i="113"/>
  <c r="AJ37" i="108"/>
  <c r="P61" i="105"/>
  <c r="I8" i="103"/>
  <c r="I80" i="103" s="1"/>
  <c r="I79" i="103"/>
  <c r="J19" i="101"/>
  <c r="J20" i="101"/>
  <c r="J23" i="101"/>
  <c r="O25" i="105"/>
  <c r="O26" i="105"/>
  <c r="O29" i="105"/>
  <c r="O47" i="105"/>
  <c r="O63" i="105"/>
  <c r="F7" i="112"/>
  <c r="F8" i="112" s="1"/>
  <c r="E127" i="112"/>
  <c r="H161" i="112"/>
  <c r="O35" i="113"/>
  <c r="O37" i="108"/>
  <c r="O61" i="105"/>
  <c r="F23" i="112"/>
  <c r="O28" i="113"/>
  <c r="H8" i="103"/>
  <c r="H80" i="103" s="1"/>
  <c r="H79" i="103"/>
  <c r="I19" i="101"/>
  <c r="I20" i="101"/>
  <c r="I23" i="101"/>
  <c r="N28" i="113"/>
  <c r="N37" i="108"/>
  <c r="N61" i="105"/>
  <c r="E23" i="112"/>
  <c r="N25" i="105"/>
  <c r="N26" i="105"/>
  <c r="N29" i="105"/>
  <c r="N47" i="105"/>
  <c r="N63" i="105" s="1"/>
  <c r="E7" i="112"/>
  <c r="E8" i="112" s="1"/>
  <c r="D127" i="112"/>
  <c r="G161" i="112"/>
  <c r="R161" i="112"/>
  <c r="N35" i="113"/>
  <c r="G8" i="103"/>
  <c r="G80" i="103" s="1"/>
  <c r="G79" i="103"/>
  <c r="H19" i="101"/>
  <c r="H20" i="101"/>
  <c r="H166" i="103"/>
  <c r="G157" i="103"/>
  <c r="G166" i="103"/>
  <c r="F8" i="103"/>
  <c r="F80" i="103" s="1"/>
  <c r="F79" i="103"/>
  <c r="G19" i="101"/>
  <c r="G20" i="101"/>
  <c r="G23" i="101"/>
  <c r="EO7" i="105"/>
  <c r="EN7" i="105"/>
  <c r="EF13" i="105"/>
  <c r="EF8" i="105"/>
  <c r="M25" i="105"/>
  <c r="M26" i="105"/>
  <c r="M29" i="105"/>
  <c r="M47" i="105"/>
  <c r="M63" i="105"/>
  <c r="D7" i="112"/>
  <c r="D8" i="112" s="1"/>
  <c r="C127" i="112"/>
  <c r="F161" i="112"/>
  <c r="M35" i="113"/>
  <c r="M38" i="113"/>
  <c r="D106" i="112" s="1"/>
  <c r="M61" i="105"/>
  <c r="D23" i="112"/>
  <c r="M28" i="113"/>
  <c r="M37" i="108"/>
  <c r="E8" i="103"/>
  <c r="E80" i="103" s="1"/>
  <c r="E79" i="103"/>
  <c r="F19" i="101"/>
  <c r="F20" i="101"/>
  <c r="F23" i="101"/>
  <c r="L25" i="105"/>
  <c r="L26" i="105"/>
  <c r="L29" i="105"/>
  <c r="L47" i="105"/>
  <c r="L63" i="105" s="1"/>
  <c r="C7" i="112"/>
  <c r="C8" i="112" s="1"/>
  <c r="B127" i="112"/>
  <c r="E161" i="112"/>
  <c r="L35" i="113"/>
  <c r="L38" i="113"/>
  <c r="C106" i="112" s="1"/>
  <c r="L61" i="105"/>
  <c r="L37" i="108"/>
  <c r="C23" i="112"/>
  <c r="L28" i="113"/>
  <c r="K25" i="105"/>
  <c r="K26" i="105"/>
  <c r="K29" i="105"/>
  <c r="K47" i="105"/>
  <c r="K63" i="105" s="1"/>
  <c r="B7" i="112"/>
  <c r="B8" i="112" s="1"/>
  <c r="D161" i="112"/>
  <c r="K35" i="113"/>
  <c r="K38" i="113"/>
  <c r="B106" i="112" s="1"/>
  <c r="EL8" i="105"/>
  <c r="EL13" i="105"/>
  <c r="EL14" i="105" s="1"/>
  <c r="K37" i="108"/>
  <c r="B23" i="112"/>
  <c r="K28" i="113"/>
  <c r="D8" i="103"/>
  <c r="D80" i="103" s="1"/>
  <c r="D79" i="103"/>
  <c r="E19" i="101"/>
  <c r="E20" i="101"/>
  <c r="E23" i="101"/>
  <c r="J28" i="113"/>
  <c r="J37" i="108"/>
  <c r="J25" i="105"/>
  <c r="J72" i="105" s="1"/>
  <c r="J26" i="105"/>
  <c r="J29" i="105"/>
  <c r="J47" i="105"/>
  <c r="J63" i="105"/>
  <c r="C161" i="112"/>
  <c r="J38" i="113"/>
  <c r="C8" i="103"/>
  <c r="C80" i="103" s="1"/>
  <c r="C79" i="103"/>
  <c r="D19" i="101"/>
  <c r="D20" i="101"/>
  <c r="D23" i="101"/>
  <c r="B8" i="103"/>
  <c r="B80" i="103" s="1"/>
  <c r="B79" i="103"/>
  <c r="C19" i="101"/>
  <c r="C23" i="101"/>
  <c r="I37" i="108"/>
  <c r="I28" i="113"/>
  <c r="I25" i="105"/>
  <c r="I26" i="105"/>
  <c r="I29" i="105"/>
  <c r="I47" i="105"/>
  <c r="I63" i="105" s="1"/>
  <c r="B161" i="112"/>
  <c r="I38" i="113"/>
  <c r="H28" i="113"/>
  <c r="H37" i="108"/>
  <c r="H25" i="105"/>
  <c r="H26" i="105"/>
  <c r="H29" i="113" s="1"/>
  <c r="H29" i="105"/>
  <c r="H47" i="105"/>
  <c r="H63" i="105" s="1"/>
  <c r="H38" i="113"/>
  <c r="G28" i="113"/>
  <c r="G37" i="108"/>
  <c r="G25" i="105"/>
  <c r="G26" i="105"/>
  <c r="G29" i="113" s="1"/>
  <c r="G29" i="105"/>
  <c r="G30" i="105" s="1"/>
  <c r="G30" i="113" s="1"/>
  <c r="G47" i="105"/>
  <c r="G63" i="105"/>
  <c r="G35" i="113"/>
  <c r="G38" i="113"/>
  <c r="F25" i="105"/>
  <c r="F26" i="105"/>
  <c r="F29" i="113" s="1"/>
  <c r="F29" i="105"/>
  <c r="F30" i="105" s="1"/>
  <c r="F30" i="113" s="1"/>
  <c r="F47" i="105"/>
  <c r="F63" i="105"/>
  <c r="F35" i="113"/>
  <c r="F38" i="113"/>
  <c r="F37" i="108"/>
  <c r="F28" i="113"/>
  <c r="E25" i="105"/>
  <c r="E26" i="105"/>
  <c r="E29" i="113" s="1"/>
  <c r="E29" i="105"/>
  <c r="E30" i="105" s="1"/>
  <c r="E30" i="113" s="1"/>
  <c r="E47" i="105"/>
  <c r="E63" i="105"/>
  <c r="E35" i="113"/>
  <c r="E38" i="113"/>
  <c r="E28" i="113"/>
  <c r="E37" i="108"/>
  <c r="D28" i="113"/>
  <c r="D37" i="108"/>
  <c r="D25" i="105"/>
  <c r="D26" i="105"/>
  <c r="D29" i="113" s="1"/>
  <c r="D29" i="105"/>
  <c r="D30" i="105" s="1"/>
  <c r="D30" i="113" s="1"/>
  <c r="D47" i="105"/>
  <c r="D63" i="105" s="1"/>
  <c r="D35" i="113"/>
  <c r="D38" i="113"/>
  <c r="C28" i="113"/>
  <c r="C37" i="108"/>
  <c r="C25" i="105"/>
  <c r="C26" i="105"/>
  <c r="C29" i="113" s="1"/>
  <c r="C29" i="105"/>
  <c r="C30" i="105" s="1"/>
  <c r="C30" i="113" s="1"/>
  <c r="C47" i="105"/>
  <c r="C63" i="105" s="1"/>
  <c r="C35" i="113"/>
  <c r="C38" i="113"/>
  <c r="L64" i="104"/>
  <c r="H66" i="104"/>
  <c r="H67" i="104"/>
  <c r="L67" i="104" s="1"/>
  <c r="F76" i="104" s="1"/>
  <c r="H68" i="104"/>
  <c r="F73" i="104"/>
  <c r="J64" i="104"/>
  <c r="F66" i="104"/>
  <c r="F67" i="104"/>
  <c r="J67" i="104" s="1"/>
  <c r="D76" i="104" s="1"/>
  <c r="F68" i="104"/>
  <c r="D73" i="104"/>
  <c r="X33" i="104"/>
  <c r="V42" i="104" s="1"/>
  <c r="R42" i="104"/>
  <c r="K67" i="104"/>
  <c r="E76" i="104" s="1"/>
  <c r="H54" i="104"/>
  <c r="D68" i="104"/>
  <c r="C69" i="104"/>
  <c r="C77" i="104"/>
  <c r="D66" i="104"/>
  <c r="C75" i="104"/>
  <c r="C65" i="104"/>
  <c r="BB202" i="103"/>
  <c r="AX202" i="103"/>
  <c r="O290" i="111"/>
  <c r="P290" i="111" s="1"/>
  <c r="K290" i="111" s="1"/>
  <c r="L290" i="111" s="1"/>
  <c r="BB200" i="103"/>
  <c r="AX200" i="103"/>
  <c r="O289" i="111"/>
  <c r="P289" i="111" s="1"/>
  <c r="K289" i="111" s="1"/>
  <c r="L289" i="111" s="1"/>
  <c r="L24" i="103"/>
  <c r="L93" i="103"/>
  <c r="K24" i="103"/>
  <c r="K93" i="103"/>
  <c r="BD162" i="103"/>
  <c r="BB173" i="103"/>
  <c r="AT173" i="103"/>
  <c r="BD161" i="103"/>
  <c r="BB172" i="103"/>
  <c r="AT172" i="103"/>
  <c r="BD160" i="103"/>
  <c r="BB171" i="103"/>
  <c r="AT171" i="103"/>
  <c r="AX170" i="103"/>
  <c r="AX158" i="103"/>
  <c r="AT170" i="103"/>
  <c r="AT158" i="103"/>
  <c r="N19" i="103"/>
  <c r="N49" i="103"/>
  <c r="N50" i="103" s="1"/>
  <c r="N59" i="103"/>
  <c r="N62" i="103"/>
  <c r="E58" i="102"/>
  <c r="E59" i="102" s="1"/>
  <c r="N3" i="103"/>
  <c r="K20" i="103"/>
  <c r="L9" i="101"/>
  <c r="L10" i="101"/>
  <c r="K10" i="103"/>
  <c r="J1616" i="111"/>
  <c r="J1617" i="111"/>
  <c r="J1618" i="111"/>
  <c r="J1619" i="111"/>
  <c r="BB167" i="103"/>
  <c r="AX167" i="103"/>
  <c r="BB131" i="103"/>
  <c r="BB141" i="103"/>
  <c r="BB150" i="103"/>
  <c r="AX141" i="103"/>
  <c r="AR129" i="103"/>
  <c r="AR130" i="103"/>
  <c r="AS115" i="103"/>
  <c r="AS125" i="103" s="1"/>
  <c r="AR126" i="103"/>
  <c r="AR127" i="103"/>
  <c r="AR134" i="103"/>
  <c r="AR143" i="103"/>
  <c r="D42" i="101"/>
  <c r="D43" i="101"/>
  <c r="AT122" i="103"/>
  <c r="AX150" i="103" s="1"/>
  <c r="AS131" i="103"/>
  <c r="AS141" i="103"/>
  <c r="AS150" i="103"/>
  <c r="BB130" i="103"/>
  <c r="BB140" i="103"/>
  <c r="BB149" i="103"/>
  <c r="AX140" i="103"/>
  <c r="V72" i="111" s="1"/>
  <c r="AX149" i="103"/>
  <c r="AT140" i="103"/>
  <c r="R72" i="111" s="1"/>
  <c r="AT149" i="103"/>
  <c r="BB129" i="103"/>
  <c r="BB139" i="103"/>
  <c r="BB148" i="103"/>
  <c r="BE147" i="103"/>
  <c r="BE138" i="103"/>
  <c r="AX119" i="103"/>
  <c r="AW138" i="103"/>
  <c r="AW147" i="103"/>
  <c r="AV129" i="103"/>
  <c r="AV130" i="103"/>
  <c r="AV131" i="103"/>
  <c r="BE115" i="103"/>
  <c r="AW115" i="103"/>
  <c r="AW128" i="103" s="1"/>
  <c r="AV125" i="103"/>
  <c r="AV126" i="103"/>
  <c r="AV127" i="103"/>
  <c r="AV134" i="103"/>
  <c r="AV143" i="103"/>
  <c r="AZ143" i="103"/>
  <c r="H42" i="101"/>
  <c r="H43" i="101"/>
  <c r="L43" i="101"/>
  <c r="AX139" i="103"/>
  <c r="AX148" i="103"/>
  <c r="AH138" i="103"/>
  <c r="AL147" i="103"/>
  <c r="AG138" i="103"/>
  <c r="AK147" i="103"/>
  <c r="H300" i="111"/>
  <c r="M300" i="111" s="1"/>
  <c r="P300" i="111" s="1"/>
  <c r="K300" i="111" s="1"/>
  <c r="L300" i="111" s="1"/>
  <c r="I300" i="111"/>
  <c r="N300" i="111" s="1"/>
  <c r="BB128" i="103"/>
  <c r="BB138" i="103"/>
  <c r="BB147" i="103"/>
  <c r="AT119" i="103"/>
  <c r="AS128" i="103"/>
  <c r="AS138" i="103"/>
  <c r="AS147" i="103"/>
  <c r="T300" i="111"/>
  <c r="U300" i="111" s="1"/>
  <c r="BB127" i="103"/>
  <c r="BB137" i="103"/>
  <c r="BB146" i="103"/>
  <c r="AX137" i="103"/>
  <c r="V69" i="111" s="1"/>
  <c r="AX146" i="103"/>
  <c r="AT137" i="103"/>
  <c r="R69" i="111" s="1"/>
  <c r="AT146" i="103"/>
  <c r="BB126" i="103"/>
  <c r="BB136" i="103"/>
  <c r="BB145" i="103"/>
  <c r="AX136" i="103"/>
  <c r="V70" i="111" s="1"/>
  <c r="AX145" i="103"/>
  <c r="AT136" i="103"/>
  <c r="R70" i="111" s="1"/>
  <c r="AT145" i="103"/>
  <c r="AG135" i="103"/>
  <c r="AK144" i="103"/>
  <c r="H297" i="111"/>
  <c r="M297" i="111" s="1"/>
  <c r="I297" i="111"/>
  <c r="N297" i="111" s="1"/>
  <c r="AH135" i="103"/>
  <c r="AL144" i="103"/>
  <c r="BB125" i="103"/>
  <c r="BB135" i="103"/>
  <c r="BB144" i="103"/>
  <c r="AW144" i="103"/>
  <c r="AT116" i="103"/>
  <c r="AS135" i="103"/>
  <c r="AS144" i="103"/>
  <c r="T297" i="111"/>
  <c r="U297" i="111" s="1"/>
  <c r="BB134" i="103"/>
  <c r="N42" i="101"/>
  <c r="AX35" i="103"/>
  <c r="J38" i="101"/>
  <c r="AT17" i="103"/>
  <c r="AS26" i="103"/>
  <c r="AS35" i="103"/>
  <c r="E38" i="101"/>
  <c r="E39" i="101"/>
  <c r="T292" i="111"/>
  <c r="U292" i="111" s="1"/>
  <c r="AX25" i="103"/>
  <c r="AX34" i="103"/>
  <c r="AT25" i="103"/>
  <c r="AT34" i="103"/>
  <c r="L94" i="103"/>
  <c r="AX24" i="103"/>
  <c r="AX33" i="103"/>
  <c r="AT24" i="103"/>
  <c r="AT33" i="103"/>
  <c r="AK23" i="103"/>
  <c r="H287" i="111"/>
  <c r="M287" i="111" s="1"/>
  <c r="P287" i="111" s="1"/>
  <c r="AX32" i="103"/>
  <c r="J36" i="101"/>
  <c r="AT14" i="103"/>
  <c r="AS23" i="103"/>
  <c r="AS32" i="103"/>
  <c r="E36" i="101"/>
  <c r="E37" i="101"/>
  <c r="T287" i="111"/>
  <c r="U287" i="111" s="1"/>
  <c r="K287" i="111" s="1"/>
  <c r="L287" i="111" s="1"/>
  <c r="L23" i="103"/>
  <c r="S17" i="108" s="1"/>
  <c r="M15" i="101"/>
  <c r="M16" i="101"/>
  <c r="H56" i="102"/>
  <c r="BB22" i="103"/>
  <c r="BB31" i="103"/>
  <c r="N34" i="101"/>
  <c r="N35" i="101"/>
  <c r="AX22" i="103"/>
  <c r="AX31" i="103"/>
  <c r="J34" i="101"/>
  <c r="J35" i="101"/>
  <c r="AW168" i="103"/>
  <c r="BA168" i="103"/>
  <c r="AT22" i="103"/>
  <c r="AT31" i="103"/>
  <c r="AT157" i="103"/>
  <c r="F34" i="101"/>
  <c r="F35" i="101"/>
  <c r="BB21" i="103"/>
  <c r="BB30" i="103"/>
  <c r="BB250" i="103"/>
  <c r="N32" i="101"/>
  <c r="N33" i="101"/>
  <c r="AZ250" i="103"/>
  <c r="AX21" i="103"/>
  <c r="AX30" i="103"/>
  <c r="AX250" i="103"/>
  <c r="AY250" i="103"/>
  <c r="J32" i="101"/>
  <c r="J33" i="101"/>
  <c r="AV250" i="103"/>
  <c r="AV251" i="103" s="1"/>
  <c r="AT21" i="103"/>
  <c r="AT30" i="103"/>
  <c r="AT250" i="103"/>
  <c r="AT251" i="103" s="1"/>
  <c r="AU250" i="103"/>
  <c r="AU251" i="103" s="1"/>
  <c r="F32" i="101"/>
  <c r="F33" i="101"/>
  <c r="AK20" i="103"/>
  <c r="AG20" i="103"/>
  <c r="H284" i="111"/>
  <c r="M284" i="111" s="1"/>
  <c r="P284" i="111" s="1"/>
  <c r="K284" i="111" s="1"/>
  <c r="L284" i="111" s="1"/>
  <c r="AL20" i="103"/>
  <c r="AH20" i="103"/>
  <c r="BB20" i="103"/>
  <c r="BB29" i="103"/>
  <c r="N30" i="101"/>
  <c r="N31" i="101"/>
  <c r="AX29" i="103"/>
  <c r="J30" i="101"/>
  <c r="AT11" i="103"/>
  <c r="AS20" i="103"/>
  <c r="AS29" i="103"/>
  <c r="E30" i="101"/>
  <c r="E31" i="101"/>
  <c r="T284" i="111"/>
  <c r="U284" i="111" s="1"/>
  <c r="F266" i="111"/>
  <c r="O11" i="103"/>
  <c r="T22" i="103"/>
  <c r="O91" i="103"/>
  <c r="H19" i="103"/>
  <c r="G19" i="103"/>
  <c r="G49" i="103"/>
  <c r="G178" i="103"/>
  <c r="H7" i="101"/>
  <c r="H8" i="101"/>
  <c r="I8" i="101"/>
  <c r="H23" i="101"/>
  <c r="BB19" i="103"/>
  <c r="N28" i="101"/>
  <c r="N29" i="101"/>
  <c r="J28" i="101"/>
  <c r="AT10" i="103"/>
  <c r="AS19" i="103"/>
  <c r="AS155" i="103"/>
  <c r="E28" i="101"/>
  <c r="E29" i="101"/>
  <c r="CG155" i="103"/>
  <c r="AR157" i="103"/>
  <c r="L26" i="103"/>
  <c r="L95" i="103"/>
  <c r="M17" i="101"/>
  <c r="M18" i="101"/>
  <c r="H57" i="102"/>
  <c r="L22" i="103"/>
  <c r="L156" i="103" s="1"/>
  <c r="L91" i="103"/>
  <c r="M13" i="101"/>
  <c r="M14" i="101"/>
  <c r="H55" i="102"/>
  <c r="F79" i="106"/>
  <c r="F53" i="113"/>
  <c r="D79" i="106"/>
  <c r="D53" i="113"/>
  <c r="G79" i="106"/>
  <c r="G53" i="113"/>
  <c r="E79" i="106"/>
  <c r="E53" i="113"/>
  <c r="C79" i="106"/>
  <c r="C53" i="113"/>
  <c r="P377" i="105"/>
  <c r="P386" i="105" s="1"/>
  <c r="P390" i="105" s="1"/>
  <c r="H376" i="105"/>
  <c r="N55" i="108" s="1"/>
  <c r="G376" i="105"/>
  <c r="M55" i="108" s="1"/>
  <c r="R161" i="106"/>
  <c r="P52" i="113"/>
  <c r="G107" i="112" s="1"/>
  <c r="G42" i="112"/>
  <c r="P10" i="113"/>
  <c r="O52" i="113"/>
  <c r="F107" i="112" s="1"/>
  <c r="F42" i="112"/>
  <c r="O10" i="113"/>
  <c r="N52" i="113"/>
  <c r="E107" i="112" s="1"/>
  <c r="E42" i="112"/>
  <c r="N10" i="113"/>
  <c r="M52" i="113"/>
  <c r="D107" i="112" s="1"/>
  <c r="D42" i="112"/>
  <c r="AE51" i="106"/>
  <c r="AD51" i="106"/>
  <c r="M10" i="113"/>
  <c r="L52" i="113"/>
  <c r="C107" i="112" s="1"/>
  <c r="C42" i="112"/>
  <c r="L10" i="113"/>
  <c r="K52" i="113"/>
  <c r="B107" i="112" s="1"/>
  <c r="B42" i="112"/>
  <c r="K10" i="113"/>
  <c r="J10" i="113"/>
  <c r="J61" i="106"/>
  <c r="J80" i="106" s="1"/>
  <c r="J52" i="113"/>
  <c r="I61" i="106"/>
  <c r="I80" i="106" s="1"/>
  <c r="I10" i="113"/>
  <c r="I52" i="113"/>
  <c r="H61" i="106"/>
  <c r="H80" i="106" s="1"/>
  <c r="H10" i="113"/>
  <c r="H52" i="113"/>
  <c r="CN14" i="105"/>
  <c r="CM61" i="105"/>
  <c r="CN61" i="105" s="1"/>
  <c r="DB22" i="105"/>
  <c r="CZ63" i="105"/>
  <c r="AZ8" i="103"/>
  <c r="CZ14" i="105"/>
  <c r="CJ61" i="105"/>
  <c r="DB19" i="105"/>
  <c r="CZ62" i="105"/>
  <c r="CZ65" i="105" s="1"/>
  <c r="AY8" i="103"/>
  <c r="CI61" i="105"/>
  <c r="DA14" i="105"/>
  <c r="DA61" i="105" s="1"/>
  <c r="CF61" i="105"/>
  <c r="AV8" i="103"/>
  <c r="CE61" i="105"/>
  <c r="AU8" i="103"/>
  <c r="T305" i="111"/>
  <c r="U305" i="111" s="1"/>
  <c r="AL150" i="103"/>
  <c r="AH141" i="103"/>
  <c r="AL26" i="103"/>
  <c r="H292" i="111"/>
  <c r="M292" i="111" s="1"/>
  <c r="P292" i="111" s="1"/>
  <c r="K292" i="111" s="1"/>
  <c r="L292" i="111" s="1"/>
  <c r="BD138" i="103"/>
  <c r="BD32" i="103"/>
  <c r="BE19" i="103"/>
  <c r="BD30" i="103"/>
  <c r="BD31" i="103"/>
  <c r="BD33" i="103"/>
  <c r="BD34" i="103"/>
  <c r="V144" i="106"/>
  <c r="B408" i="105"/>
  <c r="F9" i="112"/>
  <c r="E9" i="112"/>
  <c r="D9" i="112"/>
  <c r="C9" i="112"/>
  <c r="B9" i="112"/>
  <c r="EK10" i="105"/>
  <c r="DB24" i="105"/>
  <c r="DB25" i="105"/>
  <c r="CT26" i="105"/>
  <c r="CT66" i="105" s="1"/>
  <c r="CS26" i="105"/>
  <c r="CS66" i="105" s="1"/>
  <c r="DE26" i="105"/>
  <c r="S313" i="111"/>
  <c r="N313" i="111"/>
  <c r="R313" i="111"/>
  <c r="U313" i="111" s="1"/>
  <c r="M313" i="111"/>
  <c r="P313" i="111" s="1"/>
  <c r="K313" i="111" s="1"/>
  <c r="L313" i="111" s="1"/>
  <c r="T267" i="111"/>
  <c r="O267" i="111"/>
  <c r="O294" i="111"/>
  <c r="S267" i="111"/>
  <c r="N294" i="111"/>
  <c r="N267" i="111"/>
  <c r="R267" i="111"/>
  <c r="M267" i="111"/>
  <c r="DB8" i="105"/>
  <c r="CY8" i="105"/>
  <c r="DB10" i="105"/>
  <c r="DB9" i="105"/>
  <c r="AZ4" i="103"/>
  <c r="CY9" i="105"/>
  <c r="AY4" i="103"/>
  <c r="AU4" i="103"/>
  <c r="AQ4" i="103"/>
  <c r="N266" i="111"/>
  <c r="R266" i="111"/>
  <c r="AH157" i="103"/>
  <c r="M266" i="111"/>
  <c r="AX173" i="103"/>
  <c r="AX172" i="103"/>
  <c r="AX171" i="103"/>
  <c r="BD134" i="103"/>
  <c r="P304" i="111"/>
  <c r="K304" i="111" s="1"/>
  <c r="L304" i="111" s="1"/>
  <c r="P301" i="111"/>
  <c r="K301" i="111" s="1"/>
  <c r="L301" i="111" s="1"/>
  <c r="P299" i="111"/>
  <c r="K299" i="111" s="1"/>
  <c r="L299" i="111" s="1"/>
  <c r="P298" i="111"/>
  <c r="K298" i="111" s="1"/>
  <c r="L298" i="111" s="1"/>
  <c r="P309" i="111"/>
  <c r="K309" i="111" s="1"/>
  <c r="L309" i="111" s="1"/>
  <c r="DB23" i="105"/>
  <c r="DA65" i="105"/>
  <c r="BD141" i="103"/>
  <c r="BD35" i="103"/>
  <c r="BD29" i="103"/>
  <c r="AE76" i="106"/>
  <c r="Z132" i="104" s="1"/>
  <c r="Z135" i="104" s="1"/>
  <c r="AE49" i="106"/>
  <c r="AE57" i="106"/>
  <c r="AE58" i="106"/>
  <c r="AE55" i="106"/>
  <c r="Q90" i="107"/>
  <c r="V6" i="106"/>
  <c r="K21" i="107"/>
  <c r="K20" i="107" s="1"/>
  <c r="AJ95" i="108"/>
  <c r="I21" i="107"/>
  <c r="I20" i="107" s="1"/>
  <c r="D155" i="112" s="1"/>
  <c r="N95" i="108"/>
  <c r="AG95" i="108" s="1"/>
  <c r="S104" i="105"/>
  <c r="S88" i="106" s="1"/>
  <c r="S109" i="105"/>
  <c r="W104" i="105"/>
  <c r="W109" i="105"/>
  <c r="CW22" i="105"/>
  <c r="CW23" i="105"/>
  <c r="CW19" i="105"/>
  <c r="CX19" i="105"/>
  <c r="CX62" i="105" s="1"/>
  <c r="CX65" i="105" s="1"/>
  <c r="CX23" i="105"/>
  <c r="CT22" i="105"/>
  <c r="CT63" i="105" s="1"/>
  <c r="CT14" i="105"/>
  <c r="CT61" i="105" s="1"/>
  <c r="CT19" i="105"/>
  <c r="CT62" i="105" s="1"/>
  <c r="CT65" i="105" s="1"/>
  <c r="CT23" i="105"/>
  <c r="DF19" i="105"/>
  <c r="DF14" i="105"/>
  <c r="DF22" i="105"/>
  <c r="DX5" i="105"/>
  <c r="EE5" i="105" s="1"/>
  <c r="EG5" i="105" s="1"/>
  <c r="CS19" i="105"/>
  <c r="CS62" i="105" s="1"/>
  <c r="CS65" i="105" s="1"/>
  <c r="CS23" i="105"/>
  <c r="CS22" i="105"/>
  <c r="CS63" i="105" s="1"/>
  <c r="CS14" i="105"/>
  <c r="CS61" i="105" s="1"/>
  <c r="EI5" i="105"/>
  <c r="EP5" i="105" s="1"/>
  <c r="DE19" i="105"/>
  <c r="DE14" i="105"/>
  <c r="DE22" i="105"/>
  <c r="AW184" i="103"/>
  <c r="AW183" i="103"/>
  <c r="AW182" i="103"/>
  <c r="AW181" i="103"/>
  <c r="AR131" i="103"/>
  <c r="AR128" i="103"/>
  <c r="AR125" i="103"/>
  <c r="BB26" i="103"/>
  <c r="N39" i="101"/>
  <c r="I39" i="101"/>
  <c r="AW26" i="103"/>
  <c r="BB23" i="103"/>
  <c r="N37" i="101"/>
  <c r="I37" i="101"/>
  <c r="AW23" i="103"/>
  <c r="AW20" i="103"/>
  <c r="I31" i="101"/>
  <c r="AW19" i="103"/>
  <c r="I29" i="101"/>
  <c r="D17" i="107"/>
  <c r="D14" i="107" s="1"/>
  <c r="I241" i="106"/>
  <c r="C17" i="107"/>
  <c r="C14" i="107" s="1"/>
  <c r="H241" i="106"/>
  <c r="H305" i="111"/>
  <c r="M305" i="111" s="1"/>
  <c r="P305" i="111" s="1"/>
  <c r="K305" i="111" s="1"/>
  <c r="L305" i="111" s="1"/>
  <c r="I305" i="111"/>
  <c r="N305" i="111" s="1"/>
  <c r="BE20" i="103"/>
  <c r="BD135" i="103"/>
  <c r="BA251" i="103"/>
  <c r="J63" i="103" l="1"/>
  <c r="K24" i="101"/>
  <c r="F58" i="102"/>
  <c r="F59" i="102" s="1"/>
  <c r="J19" i="103"/>
  <c r="J3" i="103"/>
  <c r="AK29" i="108"/>
  <c r="K7" i="101"/>
  <c r="J49" i="103"/>
  <c r="J50" i="103" s="1"/>
  <c r="K8" i="101"/>
  <c r="H54" i="102"/>
  <c r="L90" i="103"/>
  <c r="M11" i="101"/>
  <c r="M12" i="101"/>
  <c r="L21" i="103"/>
  <c r="S225" i="106"/>
  <c r="S310" i="106"/>
  <c r="R24" i="106"/>
  <c r="R23" i="106" s="1"/>
  <c r="R224" i="106"/>
  <c r="S267" i="106"/>
  <c r="S266" i="106" s="1"/>
  <c r="R266" i="106"/>
  <c r="P408" i="105"/>
  <c r="AF60" i="108"/>
  <c r="Q20" i="106"/>
  <c r="S294" i="106"/>
  <c r="R222" i="106"/>
  <c r="P298" i="106"/>
  <c r="Q298" i="106" s="1"/>
  <c r="P253" i="106"/>
  <c r="W20" i="106"/>
  <c r="AD299" i="106"/>
  <c r="N297" i="106"/>
  <c r="L253" i="106"/>
  <c r="L298" i="106"/>
  <c r="M298" i="106"/>
  <c r="M253" i="106"/>
  <c r="E151" i="112"/>
  <c r="E153" i="112"/>
  <c r="D151" i="112"/>
  <c r="D153" i="112"/>
  <c r="C151" i="112"/>
  <c r="C153" i="112"/>
  <c r="B151" i="112"/>
  <c r="B153" i="112"/>
  <c r="W58" i="106"/>
  <c r="W57" i="106"/>
  <c r="W55" i="106"/>
  <c r="K399" i="105"/>
  <c r="H47" i="112"/>
  <c r="L80" i="107"/>
  <c r="Q55" i="106"/>
  <c r="R53" i="106"/>
  <c r="R66" i="106"/>
  <c r="R64" i="106" s="1"/>
  <c r="S159" i="106"/>
  <c r="S164" i="106" s="1"/>
  <c r="S66" i="106" s="1"/>
  <c r="S64" i="106" s="1"/>
  <c r="H50" i="112"/>
  <c r="CM55" i="105"/>
  <c r="CN53" i="105"/>
  <c r="CL57" i="105"/>
  <c r="CL58" i="105"/>
  <c r="CU53" i="105"/>
  <c r="CK55" i="105"/>
  <c r="DB26" i="105"/>
  <c r="CZ66" i="105"/>
  <c r="CZ53" i="105"/>
  <c r="DB53" i="105" s="1"/>
  <c r="CJ55" i="105"/>
  <c r="CZ49" i="105"/>
  <c r="DB49" i="105" s="1"/>
  <c r="DB47" i="105"/>
  <c r="CZ67" i="105"/>
  <c r="CY26" i="105"/>
  <c r="CY66" i="105" s="1"/>
  <c r="CW66" i="105"/>
  <c r="CY29" i="105"/>
  <c r="CW30" i="105"/>
  <c r="CY30" i="105" s="1"/>
  <c r="CW51" i="105"/>
  <c r="CY47" i="105"/>
  <c r="CY67" i="105" s="1"/>
  <c r="CW67" i="105"/>
  <c r="CW49" i="105"/>
  <c r="CI55" i="105"/>
  <c r="CW53" i="105"/>
  <c r="CH57" i="105"/>
  <c r="CG55" i="105"/>
  <c r="CV53" i="105"/>
  <c r="DA49" i="105"/>
  <c r="DA67" i="105"/>
  <c r="CF55" i="105"/>
  <c r="DA53" i="105"/>
  <c r="CX53" i="105"/>
  <c r="CE55" i="105"/>
  <c r="CH58" i="105" s="1"/>
  <c r="CX51" i="105"/>
  <c r="CX49" i="105"/>
  <c r="CX67" i="105"/>
  <c r="CD57" i="105"/>
  <c r="CC57" i="105"/>
  <c r="CB57" i="105"/>
  <c r="CB58" i="105"/>
  <c r="CT30" i="105"/>
  <c r="DY16" i="105"/>
  <c r="DG29" i="105"/>
  <c r="DF30" i="105"/>
  <c r="EJ16" i="105"/>
  <c r="CT51" i="105"/>
  <c r="DY20" i="105"/>
  <c r="CT67" i="105"/>
  <c r="CT53" i="105"/>
  <c r="DY21" i="105" s="1"/>
  <c r="F318" i="111"/>
  <c r="CA55" i="105"/>
  <c r="CD58" i="105" s="1"/>
  <c r="DF53" i="105"/>
  <c r="T316" i="111"/>
  <c r="DF51" i="105"/>
  <c r="DJ47" i="105"/>
  <c r="EJ20" i="105"/>
  <c r="EK20" i="105" s="1"/>
  <c r="DG47" i="105"/>
  <c r="EK13" i="105"/>
  <c r="EJ14" i="105"/>
  <c r="DY14" i="105"/>
  <c r="DZ13" i="105"/>
  <c r="EC13" i="105"/>
  <c r="AP131" i="103"/>
  <c r="AP125" i="103"/>
  <c r="AP126" i="103"/>
  <c r="AP127" i="103"/>
  <c r="AP128" i="103"/>
  <c r="AP129" i="103"/>
  <c r="AP130" i="103"/>
  <c r="AP134" i="103"/>
  <c r="AP143" i="103"/>
  <c r="BZ58" i="105"/>
  <c r="BZ57" i="105"/>
  <c r="BY55" i="105"/>
  <c r="CC58" i="105" s="1"/>
  <c r="J318" i="111"/>
  <c r="O316" i="111"/>
  <c r="AO131" i="103"/>
  <c r="AO125" i="103"/>
  <c r="AO126" i="103"/>
  <c r="AO127" i="103"/>
  <c r="AO128" i="103"/>
  <c r="AO129" i="103"/>
  <c r="AO130" i="103"/>
  <c r="AO134" i="103"/>
  <c r="AO143" i="103"/>
  <c r="J296" i="111"/>
  <c r="AN131" i="103"/>
  <c r="AN125" i="103"/>
  <c r="AN126" i="103"/>
  <c r="AN127" i="103"/>
  <c r="AN128" i="103"/>
  <c r="AN129" i="103"/>
  <c r="AN130" i="103"/>
  <c r="AN134" i="103"/>
  <c r="AN143" i="103"/>
  <c r="BX58" i="105"/>
  <c r="BX57" i="105"/>
  <c r="EE13" i="105"/>
  <c r="EG13" i="105" s="1"/>
  <c r="DX14" i="105"/>
  <c r="EE14" i="105" s="1"/>
  <c r="CS30" i="105"/>
  <c r="DX16" i="105"/>
  <c r="DE30" i="105"/>
  <c r="EI16" i="105"/>
  <c r="C43" i="101"/>
  <c r="AQ143" i="103"/>
  <c r="AM131" i="103"/>
  <c r="AM125" i="103"/>
  <c r="AM126" i="103"/>
  <c r="AM127" i="103"/>
  <c r="AM128" i="103"/>
  <c r="AM129" i="103"/>
  <c r="AM130" i="103"/>
  <c r="AM134" i="103"/>
  <c r="AM143" i="103"/>
  <c r="E296" i="111"/>
  <c r="DE51" i="105"/>
  <c r="EI20" i="105"/>
  <c r="CS51" i="105"/>
  <c r="CS67" i="105"/>
  <c r="DX20" i="105"/>
  <c r="EE20" i="105" s="1"/>
  <c r="CS53" i="105"/>
  <c r="DX21" i="105" s="1"/>
  <c r="DE53" i="105"/>
  <c r="EI21" i="105" s="1"/>
  <c r="E318" i="111"/>
  <c r="S318" i="111" s="1"/>
  <c r="BW55" i="105"/>
  <c r="EI14" i="105"/>
  <c r="EP13" i="105"/>
  <c r="AL131" i="103"/>
  <c r="AL125" i="103"/>
  <c r="AL126" i="103"/>
  <c r="AL127" i="103"/>
  <c r="AL128" i="103"/>
  <c r="AL129" i="103"/>
  <c r="AL130" i="103"/>
  <c r="AL134" i="103"/>
  <c r="AL143" i="103"/>
  <c r="BV57" i="105"/>
  <c r="BV58" i="105"/>
  <c r="BU55" i="105"/>
  <c r="I318" i="111"/>
  <c r="N318" i="111" s="1"/>
  <c r="AK131" i="103"/>
  <c r="AK125" i="103"/>
  <c r="AK126" i="103"/>
  <c r="AK127" i="103"/>
  <c r="AK128" i="103"/>
  <c r="AK129" i="103"/>
  <c r="AK130" i="103"/>
  <c r="AK134" i="103"/>
  <c r="AK143" i="103"/>
  <c r="AJ131" i="103"/>
  <c r="AJ125" i="103"/>
  <c r="AJ126" i="103"/>
  <c r="AJ127" i="103"/>
  <c r="AJ128" i="103"/>
  <c r="AJ129" i="103"/>
  <c r="AJ130" i="103"/>
  <c r="AJ134" i="103"/>
  <c r="AJ143" i="103"/>
  <c r="BT57" i="105"/>
  <c r="BT58" i="105"/>
  <c r="AI131" i="103"/>
  <c r="AI125" i="103"/>
  <c r="AI126" i="103"/>
  <c r="AI127" i="103"/>
  <c r="AI128" i="103"/>
  <c r="AI129" i="103"/>
  <c r="AI130" i="103"/>
  <c r="AI134" i="103"/>
  <c r="AI143" i="103"/>
  <c r="BS55" i="105"/>
  <c r="D318" i="111"/>
  <c r="BR57" i="105"/>
  <c r="BR58" i="105"/>
  <c r="H318" i="111"/>
  <c r="BQ55" i="105"/>
  <c r="AG134" i="103"/>
  <c r="H296" i="111"/>
  <c r="M296" i="111" s="1"/>
  <c r="I296" i="111"/>
  <c r="N296" i="111" s="1"/>
  <c r="BP58" i="105"/>
  <c r="BP57" i="105"/>
  <c r="CD115" i="103"/>
  <c r="AE134" i="103"/>
  <c r="BO55" i="105"/>
  <c r="C318" i="111"/>
  <c r="BN58" i="105"/>
  <c r="BN57" i="105"/>
  <c r="BM57" i="105"/>
  <c r="BM58" i="105"/>
  <c r="BL57" i="105"/>
  <c r="BL58" i="105"/>
  <c r="BK57" i="105"/>
  <c r="BK58" i="105"/>
  <c r="I59" i="103"/>
  <c r="I60" i="103"/>
  <c r="I61" i="103"/>
  <c r="I62" i="103"/>
  <c r="I63" i="103"/>
  <c r="H59" i="103"/>
  <c r="H60" i="103"/>
  <c r="H61" i="103"/>
  <c r="H62" i="103"/>
  <c r="H63" i="103"/>
  <c r="G60" i="103"/>
  <c r="G59" i="103"/>
  <c r="G61" i="103"/>
  <c r="G62" i="103"/>
  <c r="G63" i="103"/>
  <c r="F59" i="103"/>
  <c r="F60" i="103"/>
  <c r="F61" i="103"/>
  <c r="F62" i="103"/>
  <c r="F63" i="103"/>
  <c r="E59" i="103"/>
  <c r="E60" i="103"/>
  <c r="E61" i="103"/>
  <c r="E62" i="103"/>
  <c r="E63" i="103"/>
  <c r="D59" i="103"/>
  <c r="D60" i="103"/>
  <c r="D61" i="103"/>
  <c r="D62" i="103"/>
  <c r="D63" i="103"/>
  <c r="C59" i="103"/>
  <c r="C60" i="103"/>
  <c r="C61" i="103"/>
  <c r="C62" i="103"/>
  <c r="C63" i="103"/>
  <c r="B59" i="103"/>
  <c r="B60" i="103"/>
  <c r="B61" i="103"/>
  <c r="B62" i="103"/>
  <c r="B63" i="103"/>
  <c r="S71" i="105"/>
  <c r="DZ5" i="105"/>
  <c r="EC5" i="105"/>
  <c r="AO157" i="103"/>
  <c r="J273" i="111"/>
  <c r="AQ19" i="103"/>
  <c r="AM29" i="103"/>
  <c r="AM32" i="103"/>
  <c r="AM35" i="103"/>
  <c r="CF10" i="103"/>
  <c r="AM19" i="103"/>
  <c r="AM30" i="103"/>
  <c r="AM31" i="103"/>
  <c r="AM33" i="103"/>
  <c r="AM34" i="103"/>
  <c r="AM155" i="103"/>
  <c r="C29" i="101"/>
  <c r="O266" i="111"/>
  <c r="S266" i="111"/>
  <c r="AK157" i="103"/>
  <c r="I275" i="111" s="1"/>
  <c r="I273" i="111"/>
  <c r="CE155" i="103"/>
  <c r="AI157" i="103"/>
  <c r="D273" i="111"/>
  <c r="CD155" i="103"/>
  <c r="AE157" i="103"/>
  <c r="C273" i="111"/>
  <c r="M273" i="111" s="1"/>
  <c r="P72" i="105"/>
  <c r="G98" i="112"/>
  <c r="P62" i="105"/>
  <c r="G25" i="112"/>
  <c r="I162" i="112"/>
  <c r="P29" i="113"/>
  <c r="P30" i="105"/>
  <c r="G22" i="112"/>
  <c r="G97" i="112"/>
  <c r="F128" i="112"/>
  <c r="I173" i="112"/>
  <c r="P65" i="105"/>
  <c r="P66" i="105"/>
  <c r="P40" i="105"/>
  <c r="P46" i="105"/>
  <c r="P67" i="105"/>
  <c r="P51" i="105"/>
  <c r="P48" i="105"/>
  <c r="P53" i="105"/>
  <c r="P49" i="105"/>
  <c r="AJ65" i="108" s="1"/>
  <c r="P59" i="105"/>
  <c r="G15" i="112"/>
  <c r="G17" i="112" s="1"/>
  <c r="F136" i="112"/>
  <c r="P31" i="113"/>
  <c r="P46" i="113"/>
  <c r="P58" i="113"/>
  <c r="G110" i="112" s="1"/>
  <c r="I115" i="103"/>
  <c r="O72" i="105"/>
  <c r="F98" i="112"/>
  <c r="O62" i="105"/>
  <c r="F25" i="112"/>
  <c r="H162" i="112"/>
  <c r="O29" i="113"/>
  <c r="J136" i="104"/>
  <c r="O30" i="105"/>
  <c r="F22" i="112"/>
  <c r="E128" i="112"/>
  <c r="H173" i="112"/>
  <c r="F97" i="112"/>
  <c r="J130" i="104"/>
  <c r="O65" i="105"/>
  <c r="O40" i="105"/>
  <c r="O66" i="105"/>
  <c r="O46" i="105"/>
  <c r="O67" i="105"/>
  <c r="O51" i="105"/>
  <c r="O49" i="105"/>
  <c r="O65" i="108" s="1"/>
  <c r="O48" i="105"/>
  <c r="O53" i="105"/>
  <c r="O59" i="105"/>
  <c r="F15" i="112"/>
  <c r="F17" i="112" s="1"/>
  <c r="E136" i="112"/>
  <c r="O31" i="113"/>
  <c r="O46" i="113"/>
  <c r="O58" i="113"/>
  <c r="F110" i="112" s="1"/>
  <c r="P62" i="113"/>
  <c r="H115" i="103"/>
  <c r="N72" i="105"/>
  <c r="E98" i="112"/>
  <c r="N62" i="105"/>
  <c r="E25" i="112"/>
  <c r="G162" i="112"/>
  <c r="R162" i="112"/>
  <c r="N29" i="113"/>
  <c r="I136" i="104"/>
  <c r="N30" i="105"/>
  <c r="E22" i="112"/>
  <c r="E97" i="112"/>
  <c r="D128" i="112"/>
  <c r="R164" i="112"/>
  <c r="G173" i="112"/>
  <c r="I130" i="104"/>
  <c r="N65" i="105"/>
  <c r="N40" i="105"/>
  <c r="N66" i="105"/>
  <c r="N46" i="105"/>
  <c r="N67" i="105"/>
  <c r="N51" i="105"/>
  <c r="N53" i="105"/>
  <c r="E15" i="112"/>
  <c r="E17" i="112" s="1"/>
  <c r="D136" i="112"/>
  <c r="N31" i="113"/>
  <c r="N46" i="113"/>
  <c r="N58" i="113"/>
  <c r="E110" i="112" s="1"/>
  <c r="O62" i="113"/>
  <c r="G115" i="103"/>
  <c r="N59" i="105"/>
  <c r="N48" i="105"/>
  <c r="N49" i="105"/>
  <c r="N65" i="108" s="1"/>
  <c r="H168" i="103"/>
  <c r="G168" i="103"/>
  <c r="G179" i="103"/>
  <c r="EO13" i="105"/>
  <c r="EF14" i="105"/>
  <c r="EN13" i="105"/>
  <c r="M72" i="105"/>
  <c r="D98" i="112"/>
  <c r="M62" i="105"/>
  <c r="D25" i="112"/>
  <c r="F162" i="112"/>
  <c r="M29" i="113"/>
  <c r="H136" i="104"/>
  <c r="M30" i="105"/>
  <c r="EF16" i="105"/>
  <c r="D22" i="112"/>
  <c r="D97" i="112"/>
  <c r="C128" i="112"/>
  <c r="F173" i="112"/>
  <c r="H130" i="104"/>
  <c r="M65" i="105"/>
  <c r="M40" i="105"/>
  <c r="M66" i="105"/>
  <c r="M46" i="105"/>
  <c r="M67" i="105"/>
  <c r="M51" i="105"/>
  <c r="M49" i="105"/>
  <c r="M65" i="108" s="1"/>
  <c r="M53" i="105"/>
  <c r="M299" i="105"/>
  <c r="M59" i="105"/>
  <c r="M48" i="105"/>
  <c r="D15" i="112"/>
  <c r="D17" i="112" s="1"/>
  <c r="C136" i="112"/>
  <c r="M31" i="113"/>
  <c r="M46" i="113"/>
  <c r="M58" i="113"/>
  <c r="D110" i="112" s="1"/>
  <c r="N62" i="113"/>
  <c r="EF20" i="105"/>
  <c r="F115" i="103"/>
  <c r="L72" i="105"/>
  <c r="C98" i="112"/>
  <c r="L62" i="105"/>
  <c r="C25" i="112"/>
  <c r="E162" i="112"/>
  <c r="L29" i="113"/>
  <c r="G136" i="104"/>
  <c r="L30" i="105"/>
  <c r="C22" i="112"/>
  <c r="B128" i="112"/>
  <c r="E173" i="112"/>
  <c r="C97" i="112"/>
  <c r="G130" i="104"/>
  <c r="L65" i="105"/>
  <c r="L40" i="105"/>
  <c r="L66" i="105"/>
  <c r="L67" i="105"/>
  <c r="L46" i="105"/>
  <c r="L51" i="105"/>
  <c r="L48" i="105"/>
  <c r="L53" i="105"/>
  <c r="L49" i="105"/>
  <c r="L65" i="108" s="1"/>
  <c r="C15" i="112"/>
  <c r="C17" i="112" s="1"/>
  <c r="B136" i="112"/>
  <c r="L31" i="113"/>
  <c r="L46" i="113"/>
  <c r="L58" i="113"/>
  <c r="C110" i="112" s="1"/>
  <c r="M62" i="113"/>
  <c r="E115" i="103"/>
  <c r="L59" i="105"/>
  <c r="L299" i="105"/>
  <c r="M302" i="105"/>
  <c r="K72" i="105"/>
  <c r="B98" i="112"/>
  <c r="B25" i="112"/>
  <c r="D162" i="112"/>
  <c r="K29" i="113"/>
  <c r="F136" i="104"/>
  <c r="K30" i="105"/>
  <c r="EL16" i="105"/>
  <c r="EL17" i="105" s="1"/>
  <c r="B22" i="112"/>
  <c r="B97" i="112"/>
  <c r="D173" i="112"/>
  <c r="F130" i="104"/>
  <c r="K65" i="105"/>
  <c r="K66" i="105"/>
  <c r="K46" i="105"/>
  <c r="K67" i="105"/>
  <c r="K51" i="105"/>
  <c r="B15" i="112"/>
  <c r="B17" i="112" s="1"/>
  <c r="K31" i="113"/>
  <c r="K46" i="113"/>
  <c r="K58" i="113"/>
  <c r="B110" i="112" s="1"/>
  <c r="L62" i="113"/>
  <c r="D115" i="103"/>
  <c r="K299" i="105"/>
  <c r="L302" i="105"/>
  <c r="K48" i="105"/>
  <c r="K53" i="105"/>
  <c r="K59" i="105"/>
  <c r="EL20" i="105"/>
  <c r="K49" i="105"/>
  <c r="K65" i="108" s="1"/>
  <c r="C162" i="112"/>
  <c r="J29" i="113"/>
  <c r="E136" i="104"/>
  <c r="J30" i="105"/>
  <c r="J30" i="113" s="1"/>
  <c r="C173" i="112"/>
  <c r="E130" i="104"/>
  <c r="J65" i="105"/>
  <c r="J66" i="105"/>
  <c r="J67" i="105"/>
  <c r="J46" i="105"/>
  <c r="J51" i="105"/>
  <c r="J49" i="105"/>
  <c r="J65" i="108" s="1"/>
  <c r="J53" i="105"/>
  <c r="J48" i="105"/>
  <c r="J31" i="113"/>
  <c r="J46" i="113"/>
  <c r="J58" i="113"/>
  <c r="K62" i="113"/>
  <c r="C115" i="103"/>
  <c r="J299" i="105"/>
  <c r="K302" i="105"/>
  <c r="J59" i="105"/>
  <c r="B162" i="112"/>
  <c r="I29" i="113"/>
  <c r="D136" i="104"/>
  <c r="I30" i="105"/>
  <c r="I30" i="113" s="1"/>
  <c r="B173" i="112"/>
  <c r="D130" i="104"/>
  <c r="I65" i="105"/>
  <c r="I66" i="105"/>
  <c r="I67" i="105"/>
  <c r="I46" i="105"/>
  <c r="I51" i="105"/>
  <c r="I49" i="105"/>
  <c r="I65" i="108" s="1"/>
  <c r="I59" i="105"/>
  <c r="I53" i="105"/>
  <c r="I31" i="113"/>
  <c r="I46" i="113"/>
  <c r="I58" i="113"/>
  <c r="J62" i="113"/>
  <c r="B115" i="103"/>
  <c r="I299" i="105"/>
  <c r="J302" i="105"/>
  <c r="C136" i="104"/>
  <c r="H30" i="105"/>
  <c r="H30" i="113" s="1"/>
  <c r="C130" i="104"/>
  <c r="H65" i="105"/>
  <c r="H67" i="105"/>
  <c r="H46" i="105"/>
  <c r="H51" i="105"/>
  <c r="H66" i="105"/>
  <c r="H49" i="105"/>
  <c r="H31" i="113"/>
  <c r="H46" i="113"/>
  <c r="H58" i="113"/>
  <c r="I62" i="113"/>
  <c r="H53" i="105"/>
  <c r="H48" i="105"/>
  <c r="H59" i="105"/>
  <c r="G65" i="105"/>
  <c r="G67" i="105"/>
  <c r="G46" i="105"/>
  <c r="G51" i="105"/>
  <c r="G44" i="108" s="1"/>
  <c r="G66" i="105"/>
  <c r="G53" i="105"/>
  <c r="G59" i="105"/>
  <c r="G48" i="105"/>
  <c r="G49" i="105"/>
  <c r="G31" i="113"/>
  <c r="G46" i="113"/>
  <c r="G58" i="113"/>
  <c r="H62" i="113"/>
  <c r="F65" i="105"/>
  <c r="F67" i="105"/>
  <c r="F46" i="105"/>
  <c r="F51" i="105"/>
  <c r="F44" i="108" s="1"/>
  <c r="F66" i="105"/>
  <c r="F48" i="105"/>
  <c r="F53" i="105"/>
  <c r="F59" i="105"/>
  <c r="F31" i="113"/>
  <c r="F46" i="113"/>
  <c r="F58" i="113"/>
  <c r="G62" i="113"/>
  <c r="F49" i="105"/>
  <c r="E65" i="105"/>
  <c r="E46" i="105"/>
  <c r="E67" i="105"/>
  <c r="E51" i="105"/>
  <c r="E44" i="108" s="1"/>
  <c r="E66" i="105"/>
  <c r="E53" i="105"/>
  <c r="E49" i="105"/>
  <c r="E59" i="105"/>
  <c r="E48" i="105"/>
  <c r="E31" i="113"/>
  <c r="E46" i="113"/>
  <c r="E58" i="113"/>
  <c r="F62" i="113"/>
  <c r="D65" i="105"/>
  <c r="D46" i="105"/>
  <c r="D67" i="105"/>
  <c r="D51" i="105"/>
  <c r="D44" i="108" s="1"/>
  <c r="D66" i="105"/>
  <c r="D53" i="105"/>
  <c r="D31" i="113"/>
  <c r="D46" i="113"/>
  <c r="D58" i="113"/>
  <c r="E62" i="113"/>
  <c r="D49" i="105"/>
  <c r="D59" i="105"/>
  <c r="D48" i="105"/>
  <c r="C65" i="105"/>
  <c r="C66" i="105"/>
  <c r="C67" i="105"/>
  <c r="C51" i="105"/>
  <c r="C44" i="108" s="1"/>
  <c r="C53" i="105"/>
  <c r="C49" i="105"/>
  <c r="C31" i="113"/>
  <c r="C46" i="113"/>
  <c r="C58" i="113"/>
  <c r="C62" i="113"/>
  <c r="D62" i="113"/>
  <c r="C48" i="105"/>
  <c r="H58" i="104"/>
  <c r="L54" i="104"/>
  <c r="L58" i="104" s="1"/>
  <c r="J68" i="104"/>
  <c r="D77" i="104" s="1"/>
  <c r="K68" i="104"/>
  <c r="E77" i="104" s="1"/>
  <c r="L68" i="104"/>
  <c r="F77" i="104" s="1"/>
  <c r="G69" i="104"/>
  <c r="D69" i="104"/>
  <c r="C70" i="104"/>
  <c r="C78" i="104"/>
  <c r="J66" i="104"/>
  <c r="D75" i="104" s="1"/>
  <c r="K66" i="104"/>
  <c r="E75" i="104" s="1"/>
  <c r="L66" i="104"/>
  <c r="F75" i="104" s="1"/>
  <c r="G65" i="104"/>
  <c r="D65" i="104"/>
  <c r="C74" i="104"/>
  <c r="N73" i="103"/>
  <c r="N29" i="103"/>
  <c r="N31" i="103"/>
  <c r="N35" i="103"/>
  <c r="N32" i="103"/>
  <c r="N34" i="103"/>
  <c r="N30" i="103"/>
  <c r="N33" i="103"/>
  <c r="N4" i="103"/>
  <c r="W9" i="105"/>
  <c r="E62" i="102"/>
  <c r="G78" i="102" s="1"/>
  <c r="L20" i="103"/>
  <c r="M9" i="101"/>
  <c r="M10" i="101"/>
  <c r="L10" i="103"/>
  <c r="P29" i="108"/>
  <c r="K19" i="103"/>
  <c r="K49" i="103"/>
  <c r="K63" i="103"/>
  <c r="L7" i="101"/>
  <c r="L8" i="101"/>
  <c r="G58" i="102"/>
  <c r="K3" i="103"/>
  <c r="AS126" i="103"/>
  <c r="AS127" i="103"/>
  <c r="AS129" i="103"/>
  <c r="AS130" i="103"/>
  <c r="AT115" i="103"/>
  <c r="AS134" i="103"/>
  <c r="AS143" i="103"/>
  <c r="E42" i="101"/>
  <c r="E43" i="101"/>
  <c r="AT141" i="103"/>
  <c r="AT150" i="103"/>
  <c r="AX138" i="103"/>
  <c r="AX147" i="103"/>
  <c r="BI143" i="103"/>
  <c r="BE143" i="103"/>
  <c r="BE134" i="103"/>
  <c r="M43" i="101"/>
  <c r="BA143" i="103"/>
  <c r="AW126" i="103"/>
  <c r="AW127" i="103"/>
  <c r="AW129" i="103"/>
  <c r="AW130" i="103"/>
  <c r="AW131" i="103"/>
  <c r="AW125" i="103"/>
  <c r="AX115" i="103"/>
  <c r="AX128" i="103" s="1"/>
  <c r="AW134" i="103"/>
  <c r="AW143" i="103"/>
  <c r="I42" i="101"/>
  <c r="I43" i="101"/>
  <c r="AT138" i="103"/>
  <c r="AT147" i="103"/>
  <c r="AX144" i="103"/>
  <c r="AT135" i="103"/>
  <c r="AT144" i="103"/>
  <c r="AT26" i="103"/>
  <c r="AT35" i="103"/>
  <c r="F38" i="101"/>
  <c r="F39" i="101"/>
  <c r="AT23" i="103"/>
  <c r="AT32" i="103"/>
  <c r="F36" i="101"/>
  <c r="F37" i="101"/>
  <c r="AT168" i="103"/>
  <c r="AX168" i="103"/>
  <c r="AT20" i="103"/>
  <c r="AT29" i="103"/>
  <c r="F30" i="101"/>
  <c r="F31" i="101"/>
  <c r="T266" i="111"/>
  <c r="F268" i="111"/>
  <c r="T268" i="111" s="1"/>
  <c r="O10" i="103"/>
  <c r="O20" i="103"/>
  <c r="H50" i="103"/>
  <c r="G50" i="103"/>
  <c r="AT19" i="103"/>
  <c r="AT155" i="103"/>
  <c r="F28" i="101"/>
  <c r="F29" i="101"/>
  <c r="CG157" i="103"/>
  <c r="AV168" i="103"/>
  <c r="AR168" i="103"/>
  <c r="F65" i="113"/>
  <c r="F99" i="108"/>
  <c r="F56" i="113"/>
  <c r="F57" i="113"/>
  <c r="D65" i="113"/>
  <c r="D99" i="108"/>
  <c r="D56" i="113"/>
  <c r="D57" i="113"/>
  <c r="G65" i="113"/>
  <c r="G99" i="108"/>
  <c r="G56" i="113"/>
  <c r="G57" i="113"/>
  <c r="E65" i="113"/>
  <c r="E99" i="108"/>
  <c r="E57" i="113"/>
  <c r="E56" i="113"/>
  <c r="C57" i="113"/>
  <c r="C56" i="113"/>
  <c r="C65" i="113"/>
  <c r="J79" i="106"/>
  <c r="J53" i="113"/>
  <c r="I79" i="106"/>
  <c r="I53" i="113"/>
  <c r="H79" i="106"/>
  <c r="H53" i="113"/>
  <c r="CZ61" i="105"/>
  <c r="DB14" i="105"/>
  <c r="V14" i="106"/>
  <c r="V38" i="106" s="1"/>
  <c r="V80" i="106" s="1"/>
  <c r="Q91" i="107" s="1"/>
  <c r="R15" i="104"/>
  <c r="R16" i="104" s="1"/>
  <c r="P373" i="105"/>
  <c r="P372" i="105" s="1"/>
  <c r="W147" i="106"/>
  <c r="V57" i="106"/>
  <c r="S161" i="106"/>
  <c r="CY22" i="105"/>
  <c r="CY63" i="105" s="1"/>
  <c r="CW63" i="105"/>
  <c r="CW62" i="105"/>
  <c r="CW65" i="105" s="1"/>
  <c r="CY19" i="105"/>
  <c r="CY62" i="105" s="1"/>
  <c r="CY65" i="105" s="1"/>
  <c r="CY23" i="105"/>
  <c r="DB29" i="105"/>
  <c r="DB30" i="105"/>
  <c r="DB51" i="105"/>
  <c r="CV30" i="105"/>
  <c r="R316" i="111"/>
  <c r="U316" i="111" s="1"/>
  <c r="S316" i="111"/>
  <c r="N316" i="111"/>
  <c r="M316" i="111"/>
  <c r="P316" i="111" s="1"/>
  <c r="K316" i="111" s="1"/>
  <c r="L316" i="111" s="1"/>
  <c r="H275" i="111"/>
  <c r="P297" i="111"/>
  <c r="K297" i="111" s="1"/>
  <c r="L297" i="111" s="1"/>
  <c r="BB251" i="103"/>
  <c r="AZ251" i="103"/>
  <c r="AX251" i="103"/>
  <c r="AY251" i="103"/>
  <c r="CX61" i="105"/>
  <c r="CY14" i="105"/>
  <c r="CY61" i="105" s="1"/>
  <c r="EK5" i="105"/>
  <c r="EJ8" i="105"/>
  <c r="F69" i="104"/>
  <c r="H69" i="104"/>
  <c r="F65" i="104"/>
  <c r="H65" i="104"/>
  <c r="AT181" i="103"/>
  <c r="AT184" i="103"/>
  <c r="AT183" i="103"/>
  <c r="AT182" i="103"/>
  <c r="AX26" i="103"/>
  <c r="J39" i="101"/>
  <c r="AX23" i="103"/>
  <c r="J37" i="101"/>
  <c r="AX20" i="103"/>
  <c r="J31" i="101"/>
  <c r="AX19" i="103"/>
  <c r="J29" i="101"/>
  <c r="J77" i="103" l="1"/>
  <c r="AK34" i="108"/>
  <c r="J4" i="103"/>
  <c r="J30" i="103"/>
  <c r="J34" i="103"/>
  <c r="J2" i="103"/>
  <c r="F62" i="102"/>
  <c r="H78" i="102" s="1"/>
  <c r="G59" i="102"/>
  <c r="J31" i="103"/>
  <c r="J35" i="103"/>
  <c r="J29" i="103"/>
  <c r="J33" i="103"/>
  <c r="J32" i="103"/>
  <c r="K50" i="103"/>
  <c r="V238" i="106"/>
  <c r="V239" i="106" s="1"/>
  <c r="S24" i="106"/>
  <c r="S23" i="106" s="1"/>
  <c r="S224" i="106"/>
  <c r="V298" i="106"/>
  <c r="S222" i="106"/>
  <c r="R20" i="106"/>
  <c r="Q297" i="106"/>
  <c r="Q295" i="106" s="1"/>
  <c r="R298" i="106"/>
  <c r="N298" i="106"/>
  <c r="Y298" i="106" s="1"/>
  <c r="Y297" i="106" s="1"/>
  <c r="Y295" i="106" s="1"/>
  <c r="N253" i="106"/>
  <c r="V36" i="105"/>
  <c r="W36" i="105"/>
  <c r="H46" i="112"/>
  <c r="S53" i="106"/>
  <c r="R55" i="106"/>
  <c r="M80" i="107"/>
  <c r="I47" i="112"/>
  <c r="L399" i="105"/>
  <c r="I50" i="112"/>
  <c r="J50" i="112"/>
  <c r="CN55" i="105"/>
  <c r="CM57" i="105"/>
  <c r="CN57" i="105" s="1"/>
  <c r="CM58" i="105"/>
  <c r="CN58" i="105" s="1"/>
  <c r="CU55" i="105"/>
  <c r="CK57" i="105"/>
  <c r="CK58" i="105"/>
  <c r="CJ57" i="105"/>
  <c r="CZ57" i="105" s="1"/>
  <c r="CJ58" i="105"/>
  <c r="CZ55" i="105"/>
  <c r="DB55" i="105" s="1"/>
  <c r="CI57" i="105"/>
  <c r="CW55" i="105"/>
  <c r="CI58" i="105"/>
  <c r="CV55" i="105"/>
  <c r="CG58" i="105"/>
  <c r="CG57" i="105"/>
  <c r="CF58" i="105"/>
  <c r="DA55" i="105"/>
  <c r="CF57" i="105"/>
  <c r="DA57" i="105" s="1"/>
  <c r="DA68" i="105" s="1"/>
  <c r="CX55" i="105"/>
  <c r="CX57" i="105" s="1"/>
  <c r="CX68" i="105" s="1"/>
  <c r="CE57" i="105"/>
  <c r="CE58" i="105"/>
  <c r="DY17" i="105"/>
  <c r="EC16" i="105"/>
  <c r="DZ16" i="105"/>
  <c r="EJ17" i="105"/>
  <c r="EK16" i="105"/>
  <c r="ED20" i="105"/>
  <c r="DZ20" i="105"/>
  <c r="EC20" i="105"/>
  <c r="DZ21" i="105"/>
  <c r="EC21" i="105"/>
  <c r="DY23" i="105"/>
  <c r="T318" i="111"/>
  <c r="CA57" i="105"/>
  <c r="CT55" i="105"/>
  <c r="DF55" i="105"/>
  <c r="CA58" i="105"/>
  <c r="EJ21" i="105"/>
  <c r="DG53" i="105"/>
  <c r="BY58" i="105"/>
  <c r="BY57" i="105"/>
  <c r="O318" i="111"/>
  <c r="O296" i="111"/>
  <c r="EE16" i="105"/>
  <c r="EG16" i="105" s="1"/>
  <c r="DX17" i="105"/>
  <c r="EE17" i="105" s="1"/>
  <c r="EP16" i="105"/>
  <c r="EI17" i="105"/>
  <c r="T296" i="111"/>
  <c r="S296" i="111"/>
  <c r="U296" i="111" s="1"/>
  <c r="EE21" i="105"/>
  <c r="DX23" i="105"/>
  <c r="EE23" i="105" s="1"/>
  <c r="EI23" i="105"/>
  <c r="BW58" i="105"/>
  <c r="CS55" i="105"/>
  <c r="BW57" i="105"/>
  <c r="DE55" i="105"/>
  <c r="BU58" i="105"/>
  <c r="BU57" i="105"/>
  <c r="BS57" i="105"/>
  <c r="BS58" i="105"/>
  <c r="BQ58" i="105"/>
  <c r="BQ57" i="105"/>
  <c r="BO58" i="105"/>
  <c r="BO57" i="105"/>
  <c r="AJ28" i="108"/>
  <c r="I73" i="103"/>
  <c r="I66" i="103"/>
  <c r="J74" i="103"/>
  <c r="AJ29" i="108"/>
  <c r="I74" i="103"/>
  <c r="I67" i="103"/>
  <c r="AJ32" i="108"/>
  <c r="I75" i="103"/>
  <c r="I68" i="103"/>
  <c r="AJ33" i="108"/>
  <c r="I76" i="103"/>
  <c r="I69" i="103"/>
  <c r="AJ34" i="108"/>
  <c r="I77" i="103"/>
  <c r="I70" i="103"/>
  <c r="O28" i="108"/>
  <c r="H73" i="103"/>
  <c r="H66" i="103"/>
  <c r="N74" i="103"/>
  <c r="O29" i="108"/>
  <c r="H74" i="103"/>
  <c r="H67" i="103"/>
  <c r="N75" i="103"/>
  <c r="O32" i="108"/>
  <c r="H75" i="103"/>
  <c r="H68" i="103"/>
  <c r="N76" i="103"/>
  <c r="O33" i="108"/>
  <c r="H76" i="103"/>
  <c r="H69" i="103"/>
  <c r="O34" i="108"/>
  <c r="H77" i="103"/>
  <c r="H70" i="103"/>
  <c r="O74" i="103"/>
  <c r="N29" i="108"/>
  <c r="G74" i="103"/>
  <c r="G67" i="103"/>
  <c r="N28" i="108"/>
  <c r="G73" i="103"/>
  <c r="G66" i="103"/>
  <c r="N32" i="108"/>
  <c r="G75" i="103"/>
  <c r="G68" i="103"/>
  <c r="N33" i="108"/>
  <c r="G76" i="103"/>
  <c r="G69" i="103"/>
  <c r="N34" i="108"/>
  <c r="G77" i="103"/>
  <c r="G70" i="103"/>
  <c r="F66" i="103"/>
  <c r="F73" i="103"/>
  <c r="M28" i="108"/>
  <c r="F67" i="103"/>
  <c r="F74" i="103"/>
  <c r="M29" i="108"/>
  <c r="F68" i="103"/>
  <c r="F75" i="103"/>
  <c r="M32" i="108"/>
  <c r="F69" i="103"/>
  <c r="F76" i="103"/>
  <c r="M33" i="108"/>
  <c r="F70" i="103"/>
  <c r="F77" i="103"/>
  <c r="M34" i="108"/>
  <c r="E66" i="103"/>
  <c r="E73" i="103"/>
  <c r="L28" i="108"/>
  <c r="E67" i="103"/>
  <c r="E74" i="103"/>
  <c r="L29" i="108"/>
  <c r="E68" i="103"/>
  <c r="E75" i="103"/>
  <c r="L32" i="108"/>
  <c r="E69" i="103"/>
  <c r="E76" i="103"/>
  <c r="L33" i="108"/>
  <c r="E70" i="103"/>
  <c r="E77" i="103"/>
  <c r="L34" i="108"/>
  <c r="D66" i="103"/>
  <c r="D73" i="103"/>
  <c r="K28" i="108"/>
  <c r="D67" i="103"/>
  <c r="D74" i="103"/>
  <c r="K29" i="108"/>
  <c r="D68" i="103"/>
  <c r="D75" i="103"/>
  <c r="K32" i="108"/>
  <c r="D69" i="103"/>
  <c r="D76" i="103"/>
  <c r="K33" i="108"/>
  <c r="AF33" i="108" s="1"/>
  <c r="D70" i="103"/>
  <c r="D77" i="103"/>
  <c r="K34" i="108"/>
  <c r="AF34" i="108" s="1"/>
  <c r="C66" i="103"/>
  <c r="C73" i="103"/>
  <c r="J28" i="108"/>
  <c r="C67" i="103"/>
  <c r="C74" i="103"/>
  <c r="J29" i="108"/>
  <c r="C68" i="103"/>
  <c r="C75" i="103"/>
  <c r="J32" i="108"/>
  <c r="C69" i="103"/>
  <c r="C76" i="103"/>
  <c r="J33" i="108"/>
  <c r="C70" i="103"/>
  <c r="C77" i="103"/>
  <c r="J34" i="108"/>
  <c r="B66" i="103"/>
  <c r="I28" i="108"/>
  <c r="B67" i="103"/>
  <c r="I29" i="108"/>
  <c r="B68" i="103"/>
  <c r="I32" i="108"/>
  <c r="B69" i="103"/>
  <c r="I33" i="108"/>
  <c r="B70" i="103"/>
  <c r="I34" i="108"/>
  <c r="AS168" i="103"/>
  <c r="J275" i="111"/>
  <c r="CF155" i="103"/>
  <c r="CI155" i="103" s="1"/>
  <c r="AM157" i="103"/>
  <c r="E273" i="111"/>
  <c r="CE157" i="103"/>
  <c r="D275" i="111"/>
  <c r="CD157" i="103"/>
  <c r="C275" i="111"/>
  <c r="M275" i="111" s="1"/>
  <c r="G24" i="112"/>
  <c r="P30" i="113"/>
  <c r="K9" i="107"/>
  <c r="K25" i="107"/>
  <c r="AJ44" i="108"/>
  <c r="P55" i="105"/>
  <c r="P57" i="105"/>
  <c r="G26" i="112" s="1"/>
  <c r="G19" i="112"/>
  <c r="F138" i="112"/>
  <c r="P32" i="113"/>
  <c r="P41" i="113" s="1"/>
  <c r="P44" i="113" s="1"/>
  <c r="P63" i="113"/>
  <c r="P47" i="113"/>
  <c r="P49" i="113"/>
  <c r="I125" i="103"/>
  <c r="I126" i="103"/>
  <c r="I127" i="103"/>
  <c r="I128" i="103"/>
  <c r="I129" i="103"/>
  <c r="I130" i="103"/>
  <c r="I131" i="103"/>
  <c r="I134" i="103"/>
  <c r="I143" i="103"/>
  <c r="J143" i="103"/>
  <c r="J21" i="101"/>
  <c r="J22" i="101"/>
  <c r="K22" i="101"/>
  <c r="J24" i="101"/>
  <c r="F24" i="112"/>
  <c r="O30" i="113"/>
  <c r="J9" i="107"/>
  <c r="E147" i="112" s="1"/>
  <c r="O44" i="108"/>
  <c r="J25" i="107"/>
  <c r="O57" i="105"/>
  <c r="F26" i="112" s="1"/>
  <c r="F19" i="112"/>
  <c r="E138" i="112"/>
  <c r="O32" i="113"/>
  <c r="O41" i="113" s="1"/>
  <c r="O44" i="113" s="1"/>
  <c r="O63" i="113"/>
  <c r="O55" i="105"/>
  <c r="O47" i="113"/>
  <c r="O49" i="113"/>
  <c r="H125" i="103"/>
  <c r="H126" i="103"/>
  <c r="H127" i="103"/>
  <c r="H128" i="103"/>
  <c r="H129" i="103"/>
  <c r="H130" i="103"/>
  <c r="H131" i="103"/>
  <c r="H134" i="103"/>
  <c r="H143" i="103"/>
  <c r="I21" i="101"/>
  <c r="I22" i="101"/>
  <c r="I24" i="101"/>
  <c r="E24" i="112"/>
  <c r="N30" i="113"/>
  <c r="I9" i="107"/>
  <c r="D147" i="112" s="1"/>
  <c r="I25" i="107"/>
  <c r="N44" i="108"/>
  <c r="E19" i="112"/>
  <c r="D138" i="112"/>
  <c r="N32" i="113"/>
  <c r="N41" i="113" s="1"/>
  <c r="N44" i="113" s="1"/>
  <c r="N63" i="113"/>
  <c r="N55" i="105"/>
  <c r="N57" i="105"/>
  <c r="E26" i="112" s="1"/>
  <c r="N47" i="113"/>
  <c r="N49" i="113"/>
  <c r="H24" i="101"/>
  <c r="O115" i="103"/>
  <c r="W122" i="103" s="1"/>
  <c r="T122" i="103"/>
  <c r="G125" i="103"/>
  <c r="G126" i="103"/>
  <c r="G127" i="103"/>
  <c r="G128" i="103"/>
  <c r="G129" i="103"/>
  <c r="G130" i="103"/>
  <c r="G131" i="103"/>
  <c r="G134" i="103"/>
  <c r="G143" i="103"/>
  <c r="H21" i="101"/>
  <c r="H22" i="101"/>
  <c r="D24" i="112"/>
  <c r="M30" i="113"/>
  <c r="EO16" i="105"/>
  <c r="EF17" i="105"/>
  <c r="EN16" i="105"/>
  <c r="H9" i="107"/>
  <c r="C147" i="112" s="1"/>
  <c r="M44" i="108"/>
  <c r="H25" i="107"/>
  <c r="M57" i="105"/>
  <c r="D26" i="112" s="1"/>
  <c r="EF21" i="105"/>
  <c r="EP21" i="105" s="1"/>
  <c r="M55" i="105"/>
  <c r="D19" i="112"/>
  <c r="C138" i="112"/>
  <c r="M32" i="113"/>
  <c r="M41" i="113" s="1"/>
  <c r="M44" i="113" s="1"/>
  <c r="M63" i="113"/>
  <c r="M47" i="113"/>
  <c r="M49" i="113" s="1"/>
  <c r="EO20" i="105"/>
  <c r="EN20" i="105"/>
  <c r="F131" i="103"/>
  <c r="F125" i="103"/>
  <c r="F126" i="103"/>
  <c r="F127" i="103"/>
  <c r="F128" i="103"/>
  <c r="F129" i="103"/>
  <c r="F130" i="103"/>
  <c r="F134" i="103"/>
  <c r="F143" i="103"/>
  <c r="G21" i="101"/>
  <c r="G22" i="101"/>
  <c r="G24" i="101"/>
  <c r="C24" i="112"/>
  <c r="L30" i="113"/>
  <c r="L44" i="108"/>
  <c r="G9" i="107"/>
  <c r="B147" i="112" s="1"/>
  <c r="G25" i="107"/>
  <c r="C19" i="112"/>
  <c r="B138" i="112"/>
  <c r="L32" i="113"/>
  <c r="L41" i="113" s="1"/>
  <c r="L44" i="113" s="1"/>
  <c r="L63" i="113"/>
  <c r="L55" i="105"/>
  <c r="L57" i="105"/>
  <c r="C26" i="112" s="1"/>
  <c r="L47" i="113"/>
  <c r="L49" i="113" s="1"/>
  <c r="E131" i="103"/>
  <c r="E125" i="103"/>
  <c r="E126" i="103"/>
  <c r="E127" i="103"/>
  <c r="E128" i="103"/>
  <c r="E129" i="103"/>
  <c r="E130" i="103"/>
  <c r="E134" i="103"/>
  <c r="E143" i="103"/>
  <c r="F21" i="101"/>
  <c r="F22" i="101"/>
  <c r="F24" i="101"/>
  <c r="B24" i="112"/>
  <c r="K30" i="113"/>
  <c r="F9" i="107"/>
  <c r="F25" i="107"/>
  <c r="K44" i="108"/>
  <c r="K47" i="113"/>
  <c r="K49" i="113" s="1"/>
  <c r="D131" i="103"/>
  <c r="D125" i="103"/>
  <c r="D126" i="103"/>
  <c r="D127" i="103"/>
  <c r="D128" i="103"/>
  <c r="D129" i="103"/>
  <c r="D130" i="103"/>
  <c r="D134" i="103"/>
  <c r="D143" i="103"/>
  <c r="E21" i="101"/>
  <c r="E22" i="101"/>
  <c r="E24" i="101"/>
  <c r="EL21" i="105"/>
  <c r="EL23" i="105" s="1"/>
  <c r="K57" i="105"/>
  <c r="B26" i="112" s="1"/>
  <c r="K55" i="105"/>
  <c r="B19" i="112"/>
  <c r="K32" i="113"/>
  <c r="K41" i="113" s="1"/>
  <c r="K44" i="113" s="1"/>
  <c r="K63" i="113"/>
  <c r="E25" i="107"/>
  <c r="E9" i="107"/>
  <c r="J44" i="108"/>
  <c r="J57" i="105"/>
  <c r="J32" i="113"/>
  <c r="J41" i="113" s="1"/>
  <c r="J44" i="113" s="1"/>
  <c r="J63" i="113"/>
  <c r="J55" i="105"/>
  <c r="J47" i="113"/>
  <c r="J49" i="113"/>
  <c r="C131" i="103"/>
  <c r="C125" i="103"/>
  <c r="C126" i="103"/>
  <c r="C127" i="103"/>
  <c r="C128" i="103"/>
  <c r="C129" i="103"/>
  <c r="C130" i="103"/>
  <c r="C134" i="103"/>
  <c r="C143" i="103"/>
  <c r="D21" i="101"/>
  <c r="D22" i="101"/>
  <c r="D24" i="101"/>
  <c r="I44" i="108"/>
  <c r="D9" i="107"/>
  <c r="D25" i="107"/>
  <c r="I32" i="113"/>
  <c r="I41" i="113" s="1"/>
  <c r="I44" i="113" s="1"/>
  <c r="I63" i="113"/>
  <c r="I57" i="105"/>
  <c r="I55" i="105"/>
  <c r="I47" i="113"/>
  <c r="I49" i="113" s="1"/>
  <c r="B131" i="103"/>
  <c r="B125" i="103"/>
  <c r="B126" i="103"/>
  <c r="B127" i="103"/>
  <c r="B128" i="103"/>
  <c r="B129" i="103"/>
  <c r="B130" i="103"/>
  <c r="B134" i="103"/>
  <c r="C21" i="101"/>
  <c r="C24" i="101"/>
  <c r="C9" i="107"/>
  <c r="H44" i="108"/>
  <c r="C25" i="107"/>
  <c r="H47" i="113"/>
  <c r="H49" i="113" s="1"/>
  <c r="H57" i="105"/>
  <c r="H32" i="113"/>
  <c r="H41" i="113" s="1"/>
  <c r="H44" i="113" s="1"/>
  <c r="H63" i="113"/>
  <c r="H55" i="105"/>
  <c r="G55" i="105"/>
  <c r="G57" i="105"/>
  <c r="G32" i="113"/>
  <c r="G41" i="113" s="1"/>
  <c r="G44" i="113" s="1"/>
  <c r="G63" i="113"/>
  <c r="G47" i="113"/>
  <c r="G49" i="113"/>
  <c r="F57" i="105"/>
  <c r="F32" i="113"/>
  <c r="F41" i="113" s="1"/>
  <c r="F44" i="113" s="1"/>
  <c r="F63" i="113"/>
  <c r="F55" i="105"/>
  <c r="F47" i="113"/>
  <c r="F49" i="113"/>
  <c r="E57" i="105"/>
  <c r="E55" i="105"/>
  <c r="E32" i="113"/>
  <c r="E41" i="113" s="1"/>
  <c r="E44" i="113" s="1"/>
  <c r="E63" i="113"/>
  <c r="E47" i="113"/>
  <c r="E49" i="113"/>
  <c r="D32" i="113"/>
  <c r="D41" i="113" s="1"/>
  <c r="D44" i="113" s="1"/>
  <c r="D63" i="113"/>
  <c r="D57" i="105"/>
  <c r="D55" i="105"/>
  <c r="D47" i="113"/>
  <c r="D49" i="113"/>
  <c r="C32" i="113"/>
  <c r="C41" i="113" s="1"/>
  <c r="C44" i="113" s="1"/>
  <c r="C63" i="113"/>
  <c r="C57" i="105"/>
  <c r="C55" i="105"/>
  <c r="C47" i="113"/>
  <c r="C49" i="113" s="1"/>
  <c r="J69" i="104"/>
  <c r="D78" i="104" s="1"/>
  <c r="K69" i="104"/>
  <c r="E78" i="104" s="1"/>
  <c r="L69" i="104"/>
  <c r="F78" i="104" s="1"/>
  <c r="F70" i="104"/>
  <c r="H70" i="104"/>
  <c r="G70" i="104"/>
  <c r="D70" i="104"/>
  <c r="C79" i="104"/>
  <c r="J65" i="104"/>
  <c r="D74" i="104" s="1"/>
  <c r="K65" i="104"/>
  <c r="E74" i="104" s="1"/>
  <c r="L65" i="104"/>
  <c r="F74" i="104" s="1"/>
  <c r="W6" i="105"/>
  <c r="W7" i="105" s="1"/>
  <c r="W40" i="105"/>
  <c r="W42" i="105"/>
  <c r="W45" i="105"/>
  <c r="W10" i="105"/>
  <c r="W70" i="105" s="1"/>
  <c r="W17" i="105"/>
  <c r="W20" i="105"/>
  <c r="T160" i="112"/>
  <c r="U160" i="112"/>
  <c r="U172" i="112" s="1"/>
  <c r="Y216" i="106"/>
  <c r="L19" i="103"/>
  <c r="L49" i="103"/>
  <c r="L50" i="103" s="1"/>
  <c r="L63" i="103"/>
  <c r="L77" i="103" s="1"/>
  <c r="M7" i="101"/>
  <c r="M8" i="101"/>
  <c r="H58" i="102"/>
  <c r="H59" i="102" s="1"/>
  <c r="L3" i="103"/>
  <c r="K77" i="103"/>
  <c r="P34" i="108"/>
  <c r="K29" i="103"/>
  <c r="K33" i="103"/>
  <c r="K31" i="103"/>
  <c r="K35" i="103"/>
  <c r="K34" i="103"/>
  <c r="K30" i="103"/>
  <c r="K32" i="103"/>
  <c r="K4" i="103"/>
  <c r="G62" i="102"/>
  <c r="K2" i="103"/>
  <c r="AT126" i="103"/>
  <c r="AT127" i="103"/>
  <c r="AT130" i="103"/>
  <c r="AT129" i="103"/>
  <c r="AT134" i="103"/>
  <c r="AT143" i="103"/>
  <c r="F42" i="101"/>
  <c r="F43" i="101"/>
  <c r="N43" i="101"/>
  <c r="BB143" i="103"/>
  <c r="AX126" i="103"/>
  <c r="AX127" i="103"/>
  <c r="AX129" i="103"/>
  <c r="AX130" i="103"/>
  <c r="AX131" i="103"/>
  <c r="AX125" i="103"/>
  <c r="AX134" i="103"/>
  <c r="AX143" i="103"/>
  <c r="J42" i="101"/>
  <c r="J43" i="101"/>
  <c r="O19" i="103"/>
  <c r="O49" i="103"/>
  <c r="O62" i="103"/>
  <c r="O76" i="103" s="1"/>
  <c r="O63" i="103"/>
  <c r="O77" i="103" s="1"/>
  <c r="O3" i="103"/>
  <c r="J35" i="113"/>
  <c r="K65" i="113"/>
  <c r="J65" i="113"/>
  <c r="C168" i="112"/>
  <c r="J99" i="108"/>
  <c r="J57" i="113"/>
  <c r="J56" i="113"/>
  <c r="I35" i="113"/>
  <c r="I65" i="113"/>
  <c r="B168" i="112"/>
  <c r="I99" i="108"/>
  <c r="I56" i="113"/>
  <c r="I57" i="113"/>
  <c r="H35" i="113"/>
  <c r="H65" i="113"/>
  <c r="H99" i="108"/>
  <c r="H57" i="113"/>
  <c r="H56" i="113"/>
  <c r="CY51" i="105"/>
  <c r="CY49" i="105"/>
  <c r="CY53" i="105"/>
  <c r="EP20" i="105"/>
  <c r="EG20" i="105"/>
  <c r="R318" i="111"/>
  <c r="U318" i="111" s="1"/>
  <c r="M318" i="111"/>
  <c r="P318" i="111" s="1"/>
  <c r="K318" i="111" s="1"/>
  <c r="L318" i="111" s="1"/>
  <c r="P296" i="111"/>
  <c r="K296" i="111" s="1"/>
  <c r="L296" i="111" s="1"/>
  <c r="N273" i="111"/>
  <c r="R273" i="111"/>
  <c r="AT131" i="103"/>
  <c r="AT128" i="103"/>
  <c r="AT125" i="103"/>
  <c r="M5" i="103" l="1"/>
  <c r="J62" i="103"/>
  <c r="Q9" i="105"/>
  <c r="J59" i="103"/>
  <c r="V236" i="106"/>
  <c r="S20" i="106"/>
  <c r="Q296" i="106"/>
  <c r="Q223" i="106"/>
  <c r="S298" i="106"/>
  <c r="S297" i="106" s="1"/>
  <c r="R297" i="106"/>
  <c r="R295" i="106" s="1"/>
  <c r="Y296" i="106"/>
  <c r="Y223" i="106"/>
  <c r="S55" i="106"/>
  <c r="N80" i="107"/>
  <c r="J47" i="112"/>
  <c r="M399" i="105"/>
  <c r="I46" i="112"/>
  <c r="CZ68" i="105"/>
  <c r="DB57" i="105"/>
  <c r="CY55" i="105"/>
  <c r="CW57" i="105"/>
  <c r="CT57" i="105"/>
  <c r="CT68" i="105" s="1"/>
  <c r="DY22" i="105"/>
  <c r="EJ22" i="105"/>
  <c r="DG55" i="105"/>
  <c r="DF57" i="105"/>
  <c r="EK21" i="105"/>
  <c r="EJ23" i="105"/>
  <c r="CS57" i="105"/>
  <c r="CS68" i="105" s="1"/>
  <c r="DX22" i="105"/>
  <c r="EE22" i="105" s="1"/>
  <c r="EI22" i="105"/>
  <c r="DE57" i="105"/>
  <c r="AQ168" i="103"/>
  <c r="CF157" i="103"/>
  <c r="CI157" i="103" s="1"/>
  <c r="E275" i="111"/>
  <c r="O273" i="111"/>
  <c r="S273" i="111"/>
  <c r="T273" i="111"/>
  <c r="N275" i="111"/>
  <c r="R275" i="111"/>
  <c r="AJ105" i="108"/>
  <c r="AJ104" i="108"/>
  <c r="AJ107" i="108"/>
  <c r="P58" i="105"/>
  <c r="G20" i="112"/>
  <c r="G94" i="112"/>
  <c r="F140" i="112"/>
  <c r="I163" i="112"/>
  <c r="P34" i="113"/>
  <c r="P36" i="113"/>
  <c r="P37" i="113"/>
  <c r="P87" i="105"/>
  <c r="P117" i="105"/>
  <c r="P119" i="105"/>
  <c r="Q119" i="105" s="1"/>
  <c r="P86" i="106"/>
  <c r="K7" i="107"/>
  <c r="K12" i="107" s="1"/>
  <c r="K23" i="107" s="1"/>
  <c r="P56" i="105"/>
  <c r="O104" i="108"/>
  <c r="O105" i="108"/>
  <c r="O107" i="108"/>
  <c r="F20" i="112"/>
  <c r="E140" i="112"/>
  <c r="H163" i="112"/>
  <c r="O33" i="113"/>
  <c r="F104" i="112" s="1"/>
  <c r="O34" i="113"/>
  <c r="O36" i="113"/>
  <c r="O37" i="113"/>
  <c r="F94" i="112"/>
  <c r="O87" i="105"/>
  <c r="O117" i="105"/>
  <c r="O119" i="105"/>
  <c r="W119" i="105" s="1"/>
  <c r="O86" i="106"/>
  <c r="O58" i="105"/>
  <c r="O56" i="105"/>
  <c r="J7" i="107"/>
  <c r="N105" i="108"/>
  <c r="AG105" i="108" s="1"/>
  <c r="N104" i="108"/>
  <c r="AG104" i="108" s="1"/>
  <c r="N107" i="108"/>
  <c r="AG107" i="108" s="1"/>
  <c r="N87" i="105"/>
  <c r="N117" i="105"/>
  <c r="N119" i="105"/>
  <c r="N86" i="106"/>
  <c r="N56" i="105"/>
  <c r="N58" i="105"/>
  <c r="I7" i="107"/>
  <c r="E20" i="112"/>
  <c r="E94" i="112"/>
  <c r="D140" i="112"/>
  <c r="G163" i="112"/>
  <c r="N33" i="113"/>
  <c r="E104" i="112" s="1"/>
  <c r="N34" i="113"/>
  <c r="N36" i="113"/>
  <c r="N37" i="113"/>
  <c r="EO21" i="105"/>
  <c r="EF23" i="105"/>
  <c r="M107" i="108"/>
  <c r="AF107" i="108" s="1"/>
  <c r="M104" i="108"/>
  <c r="AF104" i="108" s="1"/>
  <c r="M105" i="108"/>
  <c r="AF105" i="108" s="1"/>
  <c r="M58" i="105"/>
  <c r="EF22" i="105"/>
  <c r="H7" i="107"/>
  <c r="D20" i="112"/>
  <c r="D94" i="112"/>
  <c r="C140" i="112"/>
  <c r="F163" i="112"/>
  <c r="M33" i="113"/>
  <c r="D104" i="112" s="1"/>
  <c r="M34" i="113"/>
  <c r="M36" i="113"/>
  <c r="M37" i="113"/>
  <c r="M56" i="105"/>
  <c r="M87" i="105"/>
  <c r="M117" i="105"/>
  <c r="M119" i="105"/>
  <c r="M86" i="106"/>
  <c r="L105" i="108"/>
  <c r="L104" i="108"/>
  <c r="L107" i="108"/>
  <c r="L58" i="105"/>
  <c r="L56" i="105"/>
  <c r="G7" i="107"/>
  <c r="C20" i="112"/>
  <c r="B140" i="112"/>
  <c r="E163" i="112"/>
  <c r="L33" i="113"/>
  <c r="C104" i="112" s="1"/>
  <c r="L34" i="113"/>
  <c r="L36" i="113"/>
  <c r="L37" i="113"/>
  <c r="C94" i="112"/>
  <c r="L87" i="105"/>
  <c r="L117" i="105"/>
  <c r="L119" i="105"/>
  <c r="L86" i="106"/>
  <c r="K104" i="108"/>
  <c r="K107" i="108"/>
  <c r="K105" i="108"/>
  <c r="B20" i="112"/>
  <c r="B94" i="112"/>
  <c r="D163" i="112"/>
  <c r="K33" i="113"/>
  <c r="B104" i="112" s="1"/>
  <c r="K34" i="113"/>
  <c r="K36" i="113"/>
  <c r="K37" i="113"/>
  <c r="K87" i="105"/>
  <c r="K117" i="105"/>
  <c r="K119" i="105"/>
  <c r="K86" i="106"/>
  <c r="F7" i="107"/>
  <c r="F12" i="107" s="1"/>
  <c r="F23" i="107" s="1"/>
  <c r="EL22" i="105"/>
  <c r="K56" i="105"/>
  <c r="K58" i="105"/>
  <c r="J104" i="108"/>
  <c r="J107" i="108"/>
  <c r="J105" i="108"/>
  <c r="J56" i="105"/>
  <c r="J58" i="105"/>
  <c r="C163" i="112"/>
  <c r="J33" i="113"/>
  <c r="J34" i="113"/>
  <c r="J36" i="113"/>
  <c r="J37" i="113"/>
  <c r="C165" i="112" s="1"/>
  <c r="J86" i="105"/>
  <c r="J87" i="105"/>
  <c r="E10" i="107" s="1"/>
  <c r="J117" i="105"/>
  <c r="J119" i="105"/>
  <c r="J86" i="106"/>
  <c r="E7" i="107"/>
  <c r="E12" i="107" s="1"/>
  <c r="E23" i="107" s="1"/>
  <c r="I107" i="108"/>
  <c r="I104" i="108"/>
  <c r="I105" i="108"/>
  <c r="D7" i="107"/>
  <c r="B163" i="112"/>
  <c r="I33" i="113"/>
  <c r="I34" i="113"/>
  <c r="I36" i="113"/>
  <c r="I37" i="113"/>
  <c r="B165" i="112" s="1"/>
  <c r="I58" i="105"/>
  <c r="I87" i="105"/>
  <c r="I117" i="105"/>
  <c r="I119" i="105"/>
  <c r="I86" i="106"/>
  <c r="H119" i="105"/>
  <c r="H105" i="108"/>
  <c r="H104" i="108"/>
  <c r="H107" i="108"/>
  <c r="H87" i="105"/>
  <c r="H117" i="105"/>
  <c r="C7" i="107"/>
  <c r="C12" i="107" s="1"/>
  <c r="C23" i="107" s="1"/>
  <c r="H58" i="105"/>
  <c r="H33" i="113"/>
  <c r="H34" i="113"/>
  <c r="H36" i="113"/>
  <c r="H37" i="113"/>
  <c r="G119" i="105"/>
  <c r="G105" i="108"/>
  <c r="G107" i="108"/>
  <c r="G104" i="108"/>
  <c r="G58" i="105"/>
  <c r="G33" i="113"/>
  <c r="G34" i="113"/>
  <c r="G36" i="113"/>
  <c r="G37" i="113"/>
  <c r="G87" i="105"/>
  <c r="G86" i="105" s="1"/>
  <c r="G113" i="105" s="1"/>
  <c r="G94" i="105"/>
  <c r="G117" i="105"/>
  <c r="F119" i="105"/>
  <c r="F107" i="108"/>
  <c r="F104" i="108"/>
  <c r="F105" i="108"/>
  <c r="F58" i="105"/>
  <c r="F33" i="113"/>
  <c r="F34" i="113"/>
  <c r="F36" i="113"/>
  <c r="F37" i="113"/>
  <c r="F87" i="105"/>
  <c r="F86" i="105" s="1"/>
  <c r="F113" i="105" s="1"/>
  <c r="F94" i="105"/>
  <c r="F117" i="105"/>
  <c r="E119" i="105"/>
  <c r="E107" i="108"/>
  <c r="E104" i="108"/>
  <c r="E105" i="108"/>
  <c r="E33" i="113"/>
  <c r="E34" i="113"/>
  <c r="E36" i="113"/>
  <c r="E37" i="113"/>
  <c r="E87" i="105"/>
  <c r="E86" i="105" s="1"/>
  <c r="E113" i="105" s="1"/>
  <c r="E114" i="105" s="1"/>
  <c r="E94" i="105"/>
  <c r="E117" i="105"/>
  <c r="E58" i="105"/>
  <c r="D119" i="105"/>
  <c r="D104" i="108"/>
  <c r="D107" i="108"/>
  <c r="D105" i="108"/>
  <c r="D58" i="105"/>
  <c r="D33" i="113"/>
  <c r="D34" i="113"/>
  <c r="D36" i="113"/>
  <c r="D37" i="113"/>
  <c r="D87" i="105"/>
  <c r="D86" i="105" s="1"/>
  <c r="D113" i="105" s="1"/>
  <c r="D94" i="105"/>
  <c r="D117" i="105"/>
  <c r="C119" i="105"/>
  <c r="C104" i="108"/>
  <c r="C105" i="108"/>
  <c r="C107" i="108"/>
  <c r="C33" i="113"/>
  <c r="C34" i="113"/>
  <c r="C36" i="113"/>
  <c r="C37" i="113"/>
  <c r="C87" i="105"/>
  <c r="C86" i="105" s="1"/>
  <c r="C113" i="105" s="1"/>
  <c r="C94" i="105"/>
  <c r="C121" i="105" s="1"/>
  <c r="C117" i="105"/>
  <c r="J70" i="104"/>
  <c r="D79" i="104" s="1"/>
  <c r="K70" i="104"/>
  <c r="E79" i="104" s="1"/>
  <c r="L70" i="104"/>
  <c r="F79" i="104" s="1"/>
  <c r="W46" i="105"/>
  <c r="W23" i="105"/>
  <c r="W18" i="105"/>
  <c r="W22" i="105"/>
  <c r="W21" i="105"/>
  <c r="L29" i="103"/>
  <c r="L31" i="103"/>
  <c r="L35" i="103"/>
  <c r="L32" i="103"/>
  <c r="L34" i="103"/>
  <c r="L30" i="103"/>
  <c r="L33" i="103"/>
  <c r="L4" i="103"/>
  <c r="H62" i="102"/>
  <c r="L2" i="103"/>
  <c r="Q34" i="108"/>
  <c r="R34" i="108" s="1"/>
  <c r="S34" i="108" s="1"/>
  <c r="N70" i="103"/>
  <c r="N63" i="103" s="1"/>
  <c r="K59" i="103"/>
  <c r="K62" i="103"/>
  <c r="R9" i="105"/>
  <c r="O29" i="103"/>
  <c r="O31" i="103"/>
  <c r="O32" i="103"/>
  <c r="O34" i="103"/>
  <c r="O35" i="103"/>
  <c r="O30" i="103"/>
  <c r="O33" i="103"/>
  <c r="O4" i="103"/>
  <c r="V9" i="105"/>
  <c r="EG21" i="105"/>
  <c r="O66" i="103"/>
  <c r="O59" i="103" s="1"/>
  <c r="J76" i="103" l="1"/>
  <c r="AK33" i="108"/>
  <c r="Q6" i="105"/>
  <c r="Q13" i="106"/>
  <c r="Q300" i="106"/>
  <c r="Q10" i="105"/>
  <c r="Q42" i="105"/>
  <c r="Q45" i="105"/>
  <c r="Q9" i="106"/>
  <c r="Q17" i="105"/>
  <c r="Q273" i="106"/>
  <c r="Q227" i="106" s="1"/>
  <c r="Q288" i="106" s="1"/>
  <c r="Q20" i="105"/>
  <c r="H3" i="112"/>
  <c r="G115" i="112"/>
  <c r="J160" i="112"/>
  <c r="J172" i="112" s="1"/>
  <c r="CO9" i="105"/>
  <c r="K387" i="105"/>
  <c r="K417" i="105"/>
  <c r="AK63" i="108" s="1"/>
  <c r="Q32" i="106"/>
  <c r="AK80" i="108" s="1"/>
  <c r="Q46" i="106"/>
  <c r="Q135" i="106"/>
  <c r="Q149" i="106"/>
  <c r="Q216" i="106"/>
  <c r="AK90" i="108"/>
  <c r="AK118" i="108"/>
  <c r="J73" i="103"/>
  <c r="AK28" i="108"/>
  <c r="V237" i="106"/>
  <c r="V190" i="106"/>
  <c r="V192" i="106"/>
  <c r="R296" i="106"/>
  <c r="S295" i="106"/>
  <c r="R223" i="106"/>
  <c r="Q221" i="106"/>
  <c r="Q236" i="106"/>
  <c r="R236" i="106"/>
  <c r="Q21" i="106"/>
  <c r="Q19" i="106" s="1"/>
  <c r="H39" i="112" s="1"/>
  <c r="Y221" i="106"/>
  <c r="W21" i="106"/>
  <c r="W19" i="106" s="1"/>
  <c r="Y236" i="106"/>
  <c r="J46" i="112"/>
  <c r="CY57" i="105"/>
  <c r="CY68" i="105" s="1"/>
  <c r="CW68" i="105"/>
  <c r="DZ22" i="105"/>
  <c r="EC22" i="105"/>
  <c r="O275" i="111"/>
  <c r="S275" i="111"/>
  <c r="T275" i="111"/>
  <c r="E69" i="102"/>
  <c r="G105" i="112"/>
  <c r="I165" i="112"/>
  <c r="T165" i="112"/>
  <c r="U165" i="112"/>
  <c r="P126" i="105"/>
  <c r="P64" i="113"/>
  <c r="R119" i="105"/>
  <c r="Q97" i="106"/>
  <c r="P97" i="106"/>
  <c r="P94" i="106"/>
  <c r="P98" i="106"/>
  <c r="P100" i="106"/>
  <c r="Q100" i="106" s="1"/>
  <c r="P101" i="106"/>
  <c r="Q101" i="106" s="1"/>
  <c r="R101" i="106" s="1"/>
  <c r="S101" i="106" s="1"/>
  <c r="P102" i="106"/>
  <c r="P103" i="106"/>
  <c r="P11" i="113"/>
  <c r="K28" i="107"/>
  <c r="F105" i="112"/>
  <c r="H165" i="112"/>
  <c r="S165" i="112"/>
  <c r="O126" i="105"/>
  <c r="O127" i="105" s="1"/>
  <c r="O64" i="113"/>
  <c r="O97" i="106"/>
  <c r="O94" i="106"/>
  <c r="O98" i="106"/>
  <c r="O100" i="106"/>
  <c r="O101" i="106"/>
  <c r="O102" i="106"/>
  <c r="O103" i="106"/>
  <c r="J12" i="107"/>
  <c r="E145" i="112"/>
  <c r="N126" i="105"/>
  <c r="N64" i="113"/>
  <c r="N97" i="106"/>
  <c r="N94" i="106"/>
  <c r="N98" i="106"/>
  <c r="N100" i="106"/>
  <c r="W100" i="106" s="1"/>
  <c r="V88" i="105" s="1"/>
  <c r="N101" i="106"/>
  <c r="W101" i="106" s="1"/>
  <c r="N102" i="106"/>
  <c r="N103" i="106"/>
  <c r="D145" i="112"/>
  <c r="I12" i="107"/>
  <c r="E105" i="112"/>
  <c r="G165" i="112"/>
  <c r="R165" i="112"/>
  <c r="EB28" i="105"/>
  <c r="EO22" i="105"/>
  <c r="H12" i="107"/>
  <c r="C145" i="112"/>
  <c r="D105" i="112"/>
  <c r="F165" i="112"/>
  <c r="M126" i="105"/>
  <c r="M64" i="113"/>
  <c r="M97" i="106"/>
  <c r="M94" i="106"/>
  <c r="M98" i="106"/>
  <c r="M100" i="106"/>
  <c r="V100" i="106" s="1"/>
  <c r="V107" i="106" s="1"/>
  <c r="M101" i="106"/>
  <c r="M102" i="106"/>
  <c r="M103" i="106"/>
  <c r="B145" i="112"/>
  <c r="G12" i="107"/>
  <c r="C105" i="112"/>
  <c r="E165" i="112"/>
  <c r="L126" i="105"/>
  <c r="L64" i="113"/>
  <c r="L97" i="106"/>
  <c r="L98" i="106"/>
  <c r="L100" i="106"/>
  <c r="L101" i="106"/>
  <c r="L102" i="106"/>
  <c r="L103" i="106"/>
  <c r="B105" i="112"/>
  <c r="D165" i="112"/>
  <c r="K126" i="105"/>
  <c r="K64" i="113"/>
  <c r="K97" i="106"/>
  <c r="K98" i="106"/>
  <c r="K100" i="106"/>
  <c r="K101" i="106"/>
  <c r="K102" i="106"/>
  <c r="K103" i="106"/>
  <c r="K11" i="113"/>
  <c r="F28" i="107"/>
  <c r="J94" i="105"/>
  <c r="J113" i="105"/>
  <c r="J126" i="105"/>
  <c r="J64" i="113"/>
  <c r="J97" i="106"/>
  <c r="J98" i="106"/>
  <c r="J100" i="106"/>
  <c r="J101" i="106"/>
  <c r="J102" i="106"/>
  <c r="J103" i="106"/>
  <c r="J11" i="113"/>
  <c r="E28" i="107"/>
  <c r="I126" i="105"/>
  <c r="I64" i="113"/>
  <c r="I97" i="106"/>
  <c r="I98" i="106"/>
  <c r="I100" i="106"/>
  <c r="I101" i="106"/>
  <c r="I102" i="106"/>
  <c r="I103" i="106"/>
  <c r="H126" i="105"/>
  <c r="H64" i="113"/>
  <c r="H11" i="113"/>
  <c r="C28" i="107"/>
  <c r="G95" i="105"/>
  <c r="G121" i="105"/>
  <c r="G126" i="105"/>
  <c r="G64" i="113"/>
  <c r="F95" i="105"/>
  <c r="F121" i="105"/>
  <c r="F126" i="105"/>
  <c r="F64" i="113"/>
  <c r="E95" i="105"/>
  <c r="E121" i="105"/>
  <c r="E126" i="105"/>
  <c r="E64" i="113"/>
  <c r="D95" i="105"/>
  <c r="D121" i="105"/>
  <c r="D126" i="105"/>
  <c r="D127" i="105" s="1"/>
  <c r="D64" i="113"/>
  <c r="C126" i="105"/>
  <c r="C64" i="113"/>
  <c r="L59" i="103"/>
  <c r="L62" i="103"/>
  <c r="L76" i="103" s="1"/>
  <c r="S9" i="105"/>
  <c r="N57" i="103"/>
  <c r="N77" i="103"/>
  <c r="K73" i="103"/>
  <c r="P28" i="108"/>
  <c r="K76" i="103"/>
  <c r="P33" i="108"/>
  <c r="R6" i="105"/>
  <c r="R7" i="105" s="1"/>
  <c r="R300" i="106"/>
  <c r="L387" i="105"/>
  <c r="P57" i="108" s="1"/>
  <c r="Q57" i="108" s="1"/>
  <c r="R57" i="108" s="1"/>
  <c r="S57" i="108" s="1"/>
  <c r="L417" i="105"/>
  <c r="P63" i="108" s="1"/>
  <c r="R32" i="106"/>
  <c r="R46" i="106"/>
  <c r="R135" i="106"/>
  <c r="R149" i="106"/>
  <c r="R216" i="106"/>
  <c r="R273" i="106"/>
  <c r="P90" i="108"/>
  <c r="Q90" i="108" s="1"/>
  <c r="R90" i="108" s="1"/>
  <c r="S90" i="108" s="1"/>
  <c r="P118" i="108"/>
  <c r="Q118" i="108" s="1"/>
  <c r="R118" i="108" s="1"/>
  <c r="S118" i="108" s="1"/>
  <c r="R9" i="106"/>
  <c r="R45" i="105"/>
  <c r="R17" i="105"/>
  <c r="R20" i="105"/>
  <c r="R42" i="105"/>
  <c r="R10" i="105"/>
  <c r="I3" i="112"/>
  <c r="H115" i="112"/>
  <c r="K160" i="112"/>
  <c r="W13" i="106"/>
  <c r="V6" i="105"/>
  <c r="V7" i="105" s="1"/>
  <c r="Y300" i="106"/>
  <c r="Y273" i="106"/>
  <c r="S160" i="112"/>
  <c r="V10" i="105"/>
  <c r="AG7" i="108" s="1"/>
  <c r="W32" i="106"/>
  <c r="W46" i="106"/>
  <c r="W135" i="106"/>
  <c r="W149" i="106"/>
  <c r="W150" i="106" s="1"/>
  <c r="W140" i="106" s="1"/>
  <c r="W141" i="106" s="1"/>
  <c r="W9" i="106"/>
  <c r="V17" i="105"/>
  <c r="V20" i="105"/>
  <c r="V42" i="105"/>
  <c r="O73" i="103"/>
  <c r="V119" i="105"/>
  <c r="W97" i="106" s="1"/>
  <c r="EK22" i="105"/>
  <c r="EG22" i="105"/>
  <c r="EP22" i="105"/>
  <c r="K10" i="107"/>
  <c r="P86" i="105"/>
  <c r="J10" i="107"/>
  <c r="E148" i="112" s="1"/>
  <c r="O86" i="105"/>
  <c r="I10" i="107"/>
  <c r="D148" i="112" s="1"/>
  <c r="N86" i="105"/>
  <c r="H10" i="107"/>
  <c r="C148" i="112" s="1"/>
  <c r="M86" i="105"/>
  <c r="G10" i="107"/>
  <c r="B148" i="112" s="1"/>
  <c r="L86" i="105"/>
  <c r="F10" i="107"/>
  <c r="K86" i="105"/>
  <c r="D10" i="107"/>
  <c r="D12" i="107" s="1"/>
  <c r="D23" i="107" s="1"/>
  <c r="I86" i="105"/>
  <c r="C10" i="107"/>
  <c r="H86" i="105"/>
  <c r="G114" i="105"/>
  <c r="F114" i="105"/>
  <c r="D114" i="105"/>
  <c r="Q7" i="105" l="1"/>
  <c r="CO7" i="105" s="1"/>
  <c r="CO6" i="105"/>
  <c r="R13" i="106"/>
  <c r="L66" i="107"/>
  <c r="H35" i="112"/>
  <c r="CO10" i="105"/>
  <c r="Q7" i="108"/>
  <c r="Q70" i="105"/>
  <c r="Q61" i="113"/>
  <c r="AK7" i="108"/>
  <c r="H96" i="112"/>
  <c r="CO42" i="105"/>
  <c r="AK50" i="108"/>
  <c r="G132" i="112"/>
  <c r="U46" i="105"/>
  <c r="CO45" i="105"/>
  <c r="H14" i="112"/>
  <c r="G135" i="112"/>
  <c r="Q127" i="106"/>
  <c r="Q130" i="106" s="1"/>
  <c r="L60" i="107"/>
  <c r="H62" i="112" s="1"/>
  <c r="R13" i="113"/>
  <c r="H33" i="112"/>
  <c r="L64" i="107"/>
  <c r="H66" i="112" s="1"/>
  <c r="AK78" i="108"/>
  <c r="K403" i="105"/>
  <c r="R243" i="106"/>
  <c r="M16" i="107" s="1"/>
  <c r="Q243" i="106"/>
  <c r="L16" i="107" s="1"/>
  <c r="Q45" i="106"/>
  <c r="AK87" i="108" s="1"/>
  <c r="G126" i="112"/>
  <c r="Q18" i="105"/>
  <c r="CO18" i="105" s="1"/>
  <c r="H6" i="112"/>
  <c r="Q23" i="105"/>
  <c r="CO23" i="105" s="1"/>
  <c r="CO17" i="105"/>
  <c r="CO20" i="105"/>
  <c r="Q22" i="105"/>
  <c r="Q21" i="105"/>
  <c r="CO21" i="105" s="1"/>
  <c r="K172" i="112"/>
  <c r="AK74" i="108"/>
  <c r="AK75" i="108" s="1"/>
  <c r="Q13" i="113"/>
  <c r="K390" i="105"/>
  <c r="Q32" i="105" s="1"/>
  <c r="AK57" i="108"/>
  <c r="AK88" i="108"/>
  <c r="P88" i="108"/>
  <c r="R133" i="106"/>
  <c r="R134" i="106" s="1"/>
  <c r="M76" i="107" s="1"/>
  <c r="Q134" i="106"/>
  <c r="L76" i="107" s="1"/>
  <c r="P74" i="108"/>
  <c r="M64" i="107"/>
  <c r="I66" i="112" s="1"/>
  <c r="S296" i="106"/>
  <c r="S223" i="106"/>
  <c r="R221" i="106"/>
  <c r="S236" i="106"/>
  <c r="S237" i="106" s="1"/>
  <c r="R21" i="106"/>
  <c r="R19" i="106" s="1"/>
  <c r="I39" i="112" s="1"/>
  <c r="Q190" i="106"/>
  <c r="Q192" i="106"/>
  <c r="Q237" i="106"/>
  <c r="R190" i="106"/>
  <c r="R237" i="106"/>
  <c r="R192" i="106"/>
  <c r="W190" i="106"/>
  <c r="W192" i="106"/>
  <c r="Y237" i="106"/>
  <c r="S119" i="105"/>
  <c r="S97" i="106" s="1"/>
  <c r="R97" i="106"/>
  <c r="R100" i="106"/>
  <c r="Q88" i="105"/>
  <c r="E150" i="112"/>
  <c r="J23" i="107"/>
  <c r="I23" i="107"/>
  <c r="D150" i="112"/>
  <c r="H23" i="107"/>
  <c r="C150" i="112"/>
  <c r="V108" i="106"/>
  <c r="V48" i="106" s="1"/>
  <c r="V90" i="106"/>
  <c r="G23" i="107"/>
  <c r="B150" i="112"/>
  <c r="J95" i="105"/>
  <c r="J121" i="105"/>
  <c r="C164" i="112"/>
  <c r="E131" i="104"/>
  <c r="E133" i="104" s="1"/>
  <c r="E134" i="104" s="1"/>
  <c r="L73" i="103"/>
  <c r="S6" i="105"/>
  <c r="S7" i="105" s="1"/>
  <c r="S300" i="106"/>
  <c r="S9" i="106"/>
  <c r="S20" i="105"/>
  <c r="S273" i="106"/>
  <c r="S45" i="105"/>
  <c r="J3" i="112"/>
  <c r="L160" i="112"/>
  <c r="L172" i="112" s="1"/>
  <c r="S10" i="105"/>
  <c r="S17" i="105"/>
  <c r="M387" i="105"/>
  <c r="M417" i="105"/>
  <c r="S32" i="106"/>
  <c r="S46" i="106"/>
  <c r="S135" i="106"/>
  <c r="S149" i="106"/>
  <c r="S216" i="106"/>
  <c r="S42" i="105"/>
  <c r="N5" i="103"/>
  <c r="N72" i="103"/>
  <c r="N65" i="103"/>
  <c r="N79" i="103"/>
  <c r="S133" i="106"/>
  <c r="R227" i="106"/>
  <c r="R288" i="106" s="1"/>
  <c r="I33" i="112"/>
  <c r="L403" i="105"/>
  <c r="P78" i="108"/>
  <c r="I14" i="112"/>
  <c r="H135" i="112"/>
  <c r="R127" i="106"/>
  <c r="M60" i="107"/>
  <c r="I62" i="112" s="1"/>
  <c r="I6" i="112"/>
  <c r="H126" i="112"/>
  <c r="R23" i="105"/>
  <c r="R18" i="105"/>
  <c r="R45" i="106"/>
  <c r="R22" i="105"/>
  <c r="P43" i="108" s="1"/>
  <c r="R21" i="105"/>
  <c r="H132" i="112"/>
  <c r="I96" i="112"/>
  <c r="R61" i="113"/>
  <c r="P7" i="108"/>
  <c r="R7" i="108"/>
  <c r="R70" i="105"/>
  <c r="R287" i="106"/>
  <c r="Q29" i="106"/>
  <c r="Q285" i="106"/>
  <c r="Q289" i="106"/>
  <c r="Y227" i="106"/>
  <c r="T172" i="112"/>
  <c r="S172" i="112"/>
  <c r="W30" i="106"/>
  <c r="W134" i="106"/>
  <c r="Y243" i="106"/>
  <c r="V18" i="105"/>
  <c r="V19" i="105"/>
  <c r="V23" i="105"/>
  <c r="W45" i="106"/>
  <c r="V21" i="105"/>
  <c r="V22" i="105"/>
  <c r="P113" i="105"/>
  <c r="P114" i="105" s="1"/>
  <c r="P94" i="105"/>
  <c r="O113" i="105"/>
  <c r="O94" i="105"/>
  <c r="N113" i="105"/>
  <c r="N94" i="105"/>
  <c r="M113" i="105"/>
  <c r="M94" i="105"/>
  <c r="L113" i="105"/>
  <c r="L94" i="105"/>
  <c r="K113" i="105"/>
  <c r="K114" i="105" s="1"/>
  <c r="K94" i="105"/>
  <c r="I11" i="113"/>
  <c r="D28" i="107"/>
  <c r="I113" i="105"/>
  <c r="I94" i="105"/>
  <c r="H113" i="105"/>
  <c r="H114" i="105" s="1"/>
  <c r="H94" i="105"/>
  <c r="P127" i="105"/>
  <c r="N127" i="105"/>
  <c r="M127" i="105"/>
  <c r="L127" i="105"/>
  <c r="K127" i="105"/>
  <c r="J127" i="105"/>
  <c r="I127" i="105"/>
  <c r="H127" i="105"/>
  <c r="G127" i="105"/>
  <c r="F127" i="105"/>
  <c r="E127" i="105"/>
  <c r="M66" i="107" l="1"/>
  <c r="I35" i="112"/>
  <c r="S13" i="106"/>
  <c r="K380" i="105"/>
  <c r="R126" i="106"/>
  <c r="Q30" i="106"/>
  <c r="H40" i="112" s="1"/>
  <c r="R14" i="113"/>
  <c r="I101" i="112"/>
  <c r="AK43" i="108"/>
  <c r="CO22" i="105"/>
  <c r="P87" i="108"/>
  <c r="CO32" i="105"/>
  <c r="H10" i="112"/>
  <c r="G129" i="112"/>
  <c r="H101" i="112"/>
  <c r="Q14" i="113"/>
  <c r="S13" i="113"/>
  <c r="N64" i="107"/>
  <c r="J66" i="112" s="1"/>
  <c r="R130" i="106"/>
  <c r="S221" i="106"/>
  <c r="S21" i="106"/>
  <c r="S19" i="106" s="1"/>
  <c r="J39" i="112" s="1"/>
  <c r="S100" i="106"/>
  <c r="S88" i="105" s="1"/>
  <c r="R88" i="105"/>
  <c r="J28" i="107"/>
  <c r="E156" i="112"/>
  <c r="O11" i="113"/>
  <c r="D156" i="112"/>
  <c r="N11" i="113"/>
  <c r="I28" i="107"/>
  <c r="C156" i="112"/>
  <c r="M11" i="113"/>
  <c r="H28" i="107"/>
  <c r="B156" i="112"/>
  <c r="L11" i="113"/>
  <c r="G28" i="107"/>
  <c r="M403" i="105"/>
  <c r="J33" i="112"/>
  <c r="S21" i="105"/>
  <c r="S22" i="105"/>
  <c r="J14" i="112"/>
  <c r="S127" i="106"/>
  <c r="N60" i="107"/>
  <c r="J62" i="112" s="1"/>
  <c r="J96" i="112"/>
  <c r="S70" i="105"/>
  <c r="S7" i="108"/>
  <c r="S61" i="113"/>
  <c r="S23" i="105"/>
  <c r="S45" i="106"/>
  <c r="S18" i="105"/>
  <c r="J6" i="112"/>
  <c r="N7" i="103"/>
  <c r="N8" i="103" s="1"/>
  <c r="N80" i="103" s="1"/>
  <c r="N6" i="103"/>
  <c r="W11" i="105"/>
  <c r="S287" i="106"/>
  <c r="R29" i="106"/>
  <c r="AK96" i="108"/>
  <c r="H38" i="112"/>
  <c r="Q280" i="106"/>
  <c r="Q233" i="106"/>
  <c r="Q286" i="106"/>
  <c r="P95" i="105"/>
  <c r="G99" i="112" s="1"/>
  <c r="P121" i="105"/>
  <c r="EX18" i="105"/>
  <c r="I164" i="112"/>
  <c r="G91" i="112"/>
  <c r="O95" i="105"/>
  <c r="F99" i="112" s="1"/>
  <c r="O121" i="105"/>
  <c r="EW18" i="105"/>
  <c r="F91" i="112"/>
  <c r="H164" i="112"/>
  <c r="J131" i="104"/>
  <c r="J133" i="104" s="1"/>
  <c r="J134" i="104" s="1"/>
  <c r="N95" i="105"/>
  <c r="E99" i="112" s="1"/>
  <c r="N121" i="105"/>
  <c r="EV18" i="105"/>
  <c r="G164" i="112"/>
  <c r="E91" i="112"/>
  <c r="I131" i="104"/>
  <c r="I133" i="104" s="1"/>
  <c r="I134" i="104" s="1"/>
  <c r="M95" i="105"/>
  <c r="D99" i="112" s="1"/>
  <c r="M121" i="105"/>
  <c r="EU18" i="105"/>
  <c r="D91" i="112"/>
  <c r="F164" i="112"/>
  <c r="H131" i="104"/>
  <c r="H133" i="104" s="1"/>
  <c r="H134" i="104" s="1"/>
  <c r="EB24" i="105"/>
  <c r="L95" i="105"/>
  <c r="C99" i="112" s="1"/>
  <c r="L121" i="105"/>
  <c r="E164" i="112"/>
  <c r="ET18" i="105"/>
  <c r="C91" i="112"/>
  <c r="G131" i="104"/>
  <c r="G133" i="104" s="1"/>
  <c r="G134" i="104" s="1"/>
  <c r="EF24" i="105"/>
  <c r="K95" i="105"/>
  <c r="B99" i="112" s="1"/>
  <c r="K121" i="105"/>
  <c r="B91" i="112"/>
  <c r="D164" i="112"/>
  <c r="F131" i="104"/>
  <c r="F133" i="104" s="1"/>
  <c r="F134" i="104" s="1"/>
  <c r="EL24" i="105"/>
  <c r="ES18" i="105"/>
  <c r="J114" i="105"/>
  <c r="I114" i="105"/>
  <c r="I95" i="105"/>
  <c r="I121" i="105"/>
  <c r="B164" i="112"/>
  <c r="D131" i="104"/>
  <c r="D133" i="104" s="1"/>
  <c r="D134" i="104" s="1"/>
  <c r="H95" i="105"/>
  <c r="H121" i="105"/>
  <c r="C131" i="104"/>
  <c r="C133" i="104" s="1"/>
  <c r="C134" i="104" s="1"/>
  <c r="O114" i="105"/>
  <c r="N114" i="105"/>
  <c r="M114" i="105"/>
  <c r="L114" i="105"/>
  <c r="S134" i="106"/>
  <c r="N76" i="107" s="1"/>
  <c r="R285" i="106"/>
  <c r="R289" i="106"/>
  <c r="W29" i="106"/>
  <c r="Y288" i="106"/>
  <c r="AK47" i="108" l="1"/>
  <c r="AK98" i="108"/>
  <c r="N66" i="107"/>
  <c r="J35" i="112"/>
  <c r="S243" i="106"/>
  <c r="N16" i="107" s="1"/>
  <c r="S14" i="113"/>
  <c r="J101" i="112"/>
  <c r="L380" i="105"/>
  <c r="R30" i="106"/>
  <c r="S126" i="106"/>
  <c r="S130" i="106" s="1"/>
  <c r="W13" i="105"/>
  <c r="W43" i="105"/>
  <c r="W44" i="105" s="1"/>
  <c r="W12" i="105"/>
  <c r="P96" i="108"/>
  <c r="Q96" i="108" s="1"/>
  <c r="R96" i="108" s="1"/>
  <c r="S96" i="108" s="1"/>
  <c r="I38" i="112"/>
  <c r="R280" i="106"/>
  <c r="R283" i="106" s="1"/>
  <c r="Q219" i="106"/>
  <c r="Q283" i="106"/>
  <c r="AK95" i="108"/>
  <c r="L21" i="107"/>
  <c r="L20" i="107" s="1"/>
  <c r="G155" i="112" s="1"/>
  <c r="R233" i="106"/>
  <c r="R286" i="106"/>
  <c r="Y289" i="106"/>
  <c r="Y285" i="106"/>
  <c r="EO24" i="105"/>
  <c r="EN24" i="105"/>
  <c r="P47" i="108" l="1"/>
  <c r="I40" i="112"/>
  <c r="P98" i="108"/>
  <c r="Q98" i="108" s="1"/>
  <c r="R98" i="108" s="1"/>
  <c r="S98" i="108" s="1"/>
  <c r="M380" i="105"/>
  <c r="S30" i="106"/>
  <c r="J40" i="112" s="1"/>
  <c r="W14" i="105"/>
  <c r="W61" i="105" s="1"/>
  <c r="W24" i="105"/>
  <c r="E63" i="102"/>
  <c r="R219" i="106"/>
  <c r="Q17" i="106"/>
  <c r="R230" i="106"/>
  <c r="R253" i="106"/>
  <c r="Q230" i="106"/>
  <c r="Q253" i="106"/>
  <c r="Q281" i="106"/>
  <c r="P95" i="108"/>
  <c r="Q95" i="108" s="1"/>
  <c r="R95" i="108" s="1"/>
  <c r="S95" i="108" s="1"/>
  <c r="S227" i="106" s="1"/>
  <c r="M21" i="107"/>
  <c r="M20" i="107" s="1"/>
  <c r="H155" i="112" s="1"/>
  <c r="Y280" i="106"/>
  <c r="Y233" i="106"/>
  <c r="Y286" i="106"/>
  <c r="W25" i="105" l="1"/>
  <c r="W72" i="105" s="1"/>
  <c r="W26" i="105"/>
  <c r="W29" i="105"/>
  <c r="W47" i="105"/>
  <c r="W63" i="105" s="1"/>
  <c r="T161" i="112"/>
  <c r="U161" i="112"/>
  <c r="E64" i="102"/>
  <c r="R17" i="106"/>
  <c r="Q185" i="106"/>
  <c r="AK97" i="108"/>
  <c r="M58" i="107"/>
  <c r="I63" i="112" s="1"/>
  <c r="M8" i="107"/>
  <c r="H146" i="112" s="1"/>
  <c r="K53" i="103"/>
  <c r="K61" i="103" s="1"/>
  <c r="R28" i="105"/>
  <c r="L58" i="107"/>
  <c r="H63" i="112" s="1"/>
  <c r="L8" i="107"/>
  <c r="G146" i="112" s="1"/>
  <c r="J53" i="103"/>
  <c r="J61" i="103" s="1"/>
  <c r="Q28" i="105"/>
  <c r="CO28" i="105" s="1"/>
  <c r="Q282" i="106"/>
  <c r="Q220" i="106"/>
  <c r="R281" i="106"/>
  <c r="S288" i="106"/>
  <c r="S29" i="106"/>
  <c r="J38" i="112" s="1"/>
  <c r="Y219" i="106"/>
  <c r="Y283" i="106"/>
  <c r="W62" i="105" l="1"/>
  <c r="T162" i="112"/>
  <c r="U162" i="112"/>
  <c r="E65" i="102"/>
  <c r="K136" i="104"/>
  <c r="W30" i="105"/>
  <c r="T164" i="112"/>
  <c r="U173" i="112"/>
  <c r="K130" i="104"/>
  <c r="W66" i="105"/>
  <c r="W67" i="105"/>
  <c r="W65" i="105"/>
  <c r="W49" i="105"/>
  <c r="E66" i="102"/>
  <c r="N115" i="103"/>
  <c r="N143" i="103" s="1"/>
  <c r="W48" i="105"/>
  <c r="W59" i="105"/>
  <c r="R185" i="106"/>
  <c r="P97" i="108"/>
  <c r="Q97" i="108" s="1"/>
  <c r="R97" i="108" s="1"/>
  <c r="S97" i="108" s="1"/>
  <c r="K57" i="103"/>
  <c r="K75" i="103"/>
  <c r="P32" i="108"/>
  <c r="J57" i="103"/>
  <c r="J75" i="103"/>
  <c r="AK32" i="108"/>
  <c r="Q218" i="106"/>
  <c r="Q229" i="106"/>
  <c r="Q234" i="106"/>
  <c r="Q235" i="106" s="1"/>
  <c r="Q18" i="106"/>
  <c r="Q16" i="106" s="1"/>
  <c r="R282" i="106"/>
  <c r="R220" i="106"/>
  <c r="R234" i="106" s="1"/>
  <c r="R235" i="106" s="1"/>
  <c r="S285" i="106"/>
  <c r="S289" i="106"/>
  <c r="W17" i="106"/>
  <c r="Y230" i="106"/>
  <c r="Y253" i="106"/>
  <c r="Y281" i="106"/>
  <c r="K5" i="103" l="1"/>
  <c r="P24" i="108"/>
  <c r="K72" i="103"/>
  <c r="K65" i="103"/>
  <c r="K79" i="103"/>
  <c r="J5" i="103"/>
  <c r="AK24" i="108"/>
  <c r="J72" i="103"/>
  <c r="J65" i="103"/>
  <c r="J79" i="103"/>
  <c r="L72" i="107"/>
  <c r="Q36" i="106"/>
  <c r="H37" i="112"/>
  <c r="Q24" i="113"/>
  <c r="R218" i="106"/>
  <c r="R229" i="106"/>
  <c r="R18" i="106"/>
  <c r="R16" i="106" s="1"/>
  <c r="S280" i="106"/>
  <c r="S286" i="106"/>
  <c r="S233" i="106"/>
  <c r="N21" i="107" s="1"/>
  <c r="N20" i="107" s="1"/>
  <c r="W185" i="106"/>
  <c r="O53" i="103"/>
  <c r="O61" i="103" s="1"/>
  <c r="V28" i="105"/>
  <c r="Y282" i="106"/>
  <c r="Y220" i="106"/>
  <c r="K7" i="103" l="1"/>
  <c r="K6" i="103"/>
  <c r="R11" i="105"/>
  <c r="J7" i="103"/>
  <c r="J6" i="103"/>
  <c r="Q11" i="105"/>
  <c r="H71" i="112"/>
  <c r="Q23" i="113"/>
  <c r="H36" i="112"/>
  <c r="M72" i="107"/>
  <c r="R36" i="106"/>
  <c r="I37" i="112"/>
  <c r="R24" i="113"/>
  <c r="S219" i="106"/>
  <c r="V284" i="106"/>
  <c r="S283" i="106"/>
  <c r="O57" i="103"/>
  <c r="O75" i="103"/>
  <c r="Y218" i="106"/>
  <c r="Y229" i="106"/>
  <c r="Y234" i="106"/>
  <c r="Y235" i="106" s="1"/>
  <c r="W18" i="106"/>
  <c r="W16" i="106" s="1"/>
  <c r="W36" i="106" s="1"/>
  <c r="L20" i="101" l="1"/>
  <c r="L19" i="101"/>
  <c r="K8" i="103"/>
  <c r="K80" i="103" s="1"/>
  <c r="L23" i="101"/>
  <c r="R13" i="105"/>
  <c r="L449" i="105"/>
  <c r="R43" i="106"/>
  <c r="R44" i="106"/>
  <c r="P27" i="108"/>
  <c r="R27" i="108"/>
  <c r="R12" i="105"/>
  <c r="R11" i="106"/>
  <c r="R43" i="105"/>
  <c r="I4" i="112"/>
  <c r="H120" i="112"/>
  <c r="K20" i="101"/>
  <c r="K19" i="101"/>
  <c r="J8" i="103"/>
  <c r="J80" i="103" s="1"/>
  <c r="K23" i="101"/>
  <c r="Q13" i="105"/>
  <c r="K449" i="105"/>
  <c r="Q43" i="106"/>
  <c r="Q44" i="106"/>
  <c r="CO11" i="105"/>
  <c r="Q27" i="108"/>
  <c r="AK27" i="108"/>
  <c r="Q43" i="105"/>
  <c r="Q11" i="106"/>
  <c r="Q12" i="105"/>
  <c r="CO12" i="105" s="1"/>
  <c r="H4" i="112"/>
  <c r="G120" i="112"/>
  <c r="I71" i="112"/>
  <c r="R23" i="113"/>
  <c r="I36" i="112"/>
  <c r="V234" i="106"/>
  <c r="V235" i="106" s="1"/>
  <c r="S17" i="106"/>
  <c r="S281" i="106"/>
  <c r="S230" i="106"/>
  <c r="S253" i="106"/>
  <c r="O5" i="103"/>
  <c r="O72" i="103"/>
  <c r="O65" i="103"/>
  <c r="O79" i="103"/>
  <c r="R15" i="113" l="1"/>
  <c r="AK72" i="108"/>
  <c r="AK73" i="108" s="1"/>
  <c r="Q15" i="113"/>
  <c r="P72" i="108"/>
  <c r="P73" i="108" s="1"/>
  <c r="R24" i="105"/>
  <c r="G63" i="102"/>
  <c r="H125" i="112"/>
  <c r="I5" i="112"/>
  <c r="R14" i="105"/>
  <c r="G438" i="105"/>
  <c r="L451" i="105"/>
  <c r="M68" i="107"/>
  <c r="I68" i="112" s="1"/>
  <c r="P79" i="108"/>
  <c r="I43" i="112"/>
  <c r="R42" i="106"/>
  <c r="L404" i="105" s="1"/>
  <c r="R143" i="106"/>
  <c r="I34" i="112"/>
  <c r="L402" i="105"/>
  <c r="P77" i="108"/>
  <c r="R44" i="105"/>
  <c r="H133" i="112"/>
  <c r="Q14" i="105"/>
  <c r="Q24" i="105"/>
  <c r="F63" i="102"/>
  <c r="G125" i="112"/>
  <c r="H5" i="112"/>
  <c r="CO13" i="105"/>
  <c r="K451" i="105"/>
  <c r="F438" i="105"/>
  <c r="L68" i="107"/>
  <c r="H68" i="112" s="1"/>
  <c r="AK79" i="108"/>
  <c r="H43" i="112"/>
  <c r="Q42" i="106"/>
  <c r="K404" i="105" s="1"/>
  <c r="Q44" i="105"/>
  <c r="CO43" i="105"/>
  <c r="G133" i="112"/>
  <c r="AK51" i="108"/>
  <c r="Q143" i="106"/>
  <c r="Q242" i="106"/>
  <c r="L65" i="107"/>
  <c r="H67" i="112" s="1"/>
  <c r="H34" i="112"/>
  <c r="K402" i="105"/>
  <c r="R242" i="106"/>
  <c r="M65" i="107"/>
  <c r="I67" i="112" s="1"/>
  <c r="AK77" i="108"/>
  <c r="S282" i="106"/>
  <c r="S220" i="106"/>
  <c r="N58" i="107"/>
  <c r="J63" i="112" s="1"/>
  <c r="N8" i="107"/>
  <c r="L53" i="103"/>
  <c r="L61" i="103" s="1"/>
  <c r="S28" i="105"/>
  <c r="O7" i="103"/>
  <c r="O8" i="103" s="1"/>
  <c r="O80" i="103" s="1"/>
  <c r="O6" i="103"/>
  <c r="V11" i="105"/>
  <c r="P83" i="108"/>
  <c r="P84" i="108" s="1"/>
  <c r="R17" i="113"/>
  <c r="AK83" i="108"/>
  <c r="AK84" i="108" s="1"/>
  <c r="Q17" i="113"/>
  <c r="P86" i="108"/>
  <c r="AK86" i="108"/>
  <c r="L405" i="105" l="1"/>
  <c r="I102" i="112"/>
  <c r="R16" i="113"/>
  <c r="Q16" i="113"/>
  <c r="H102" i="112"/>
  <c r="R25" i="105"/>
  <c r="R26" i="105"/>
  <c r="R29" i="105"/>
  <c r="I7" i="112"/>
  <c r="I8" i="112" s="1"/>
  <c r="H127" i="112"/>
  <c r="K161" i="112"/>
  <c r="G64" i="102"/>
  <c r="I23" i="112"/>
  <c r="R28" i="113"/>
  <c r="R61" i="105"/>
  <c r="P37" i="108"/>
  <c r="R37" i="108"/>
  <c r="H134" i="112"/>
  <c r="I13" i="112"/>
  <c r="Q37" i="108"/>
  <c r="AK37" i="108"/>
  <c r="CO14" i="105"/>
  <c r="Q61" i="105"/>
  <c r="CO61" i="105" s="1"/>
  <c r="H23" i="112"/>
  <c r="Q28" i="113"/>
  <c r="CO24" i="105"/>
  <c r="Q25" i="105"/>
  <c r="Q26" i="105"/>
  <c r="Q29" i="105"/>
  <c r="H7" i="112"/>
  <c r="H8" i="112" s="1"/>
  <c r="G127" i="112"/>
  <c r="J161" i="112"/>
  <c r="F64" i="102"/>
  <c r="G134" i="112"/>
  <c r="H13" i="112"/>
  <c r="CO44" i="105"/>
  <c r="L15" i="107"/>
  <c r="M15" i="107"/>
  <c r="S218" i="106"/>
  <c r="S234" i="106"/>
  <c r="S235" i="106" s="1"/>
  <c r="S18" i="106"/>
  <c r="S16" i="106" s="1"/>
  <c r="S229" i="106"/>
  <c r="L57" i="103"/>
  <c r="L75" i="103"/>
  <c r="V13" i="105"/>
  <c r="W11" i="106"/>
  <c r="AG27" i="108"/>
  <c r="V12" i="105"/>
  <c r="V37" i="105"/>
  <c r="V43" i="105"/>
  <c r="V44" i="105" s="1"/>
  <c r="W43" i="106"/>
  <c r="W44" i="106"/>
  <c r="I103" i="112"/>
  <c r="R18" i="113"/>
  <c r="H103" i="112"/>
  <c r="Q18" i="113"/>
  <c r="K405" i="105"/>
  <c r="G439" i="105"/>
  <c r="L453" i="105"/>
  <c r="F439" i="105"/>
  <c r="Q50" i="106" s="1"/>
  <c r="K453" i="105"/>
  <c r="R19" i="113" l="1"/>
  <c r="Q19" i="113"/>
  <c r="R50" i="106"/>
  <c r="S50" i="106" s="1"/>
  <c r="Q58" i="106"/>
  <c r="L26" i="107"/>
  <c r="L79" i="107"/>
  <c r="H44" i="112"/>
  <c r="C13" i="104"/>
  <c r="K398" i="105"/>
  <c r="AK117" i="108"/>
  <c r="AK116" i="108"/>
  <c r="R72" i="105"/>
  <c r="I98" i="112"/>
  <c r="R62" i="105"/>
  <c r="I25" i="112"/>
  <c r="K162" i="112"/>
  <c r="R29" i="113"/>
  <c r="G65" i="102"/>
  <c r="M136" i="104"/>
  <c r="R30" i="105"/>
  <c r="I22" i="112"/>
  <c r="I97" i="112"/>
  <c r="H128" i="112"/>
  <c r="K173" i="112"/>
  <c r="M130" i="104"/>
  <c r="CO25" i="105"/>
  <c r="Q72" i="105"/>
  <c r="H98" i="112"/>
  <c r="CO26" i="105"/>
  <c r="Q62" i="105"/>
  <c r="CO62" i="105" s="1"/>
  <c r="H25" i="112"/>
  <c r="J162" i="112"/>
  <c r="Q29" i="113"/>
  <c r="F65" i="102"/>
  <c r="L136" i="104"/>
  <c r="CO29" i="105"/>
  <c r="Q30" i="105"/>
  <c r="H22" i="112"/>
  <c r="G128" i="112"/>
  <c r="J173" i="112"/>
  <c r="H97" i="112"/>
  <c r="L130" i="104"/>
  <c r="G154" i="112"/>
  <c r="H154" i="112"/>
  <c r="N72" i="107"/>
  <c r="S36" i="106"/>
  <c r="J37" i="112"/>
  <c r="S24" i="113"/>
  <c r="L5" i="103"/>
  <c r="L72" i="103"/>
  <c r="L65" i="103"/>
  <c r="L79" i="103"/>
  <c r="V14" i="105"/>
  <c r="AG37" i="108" s="1"/>
  <c r="V24" i="105"/>
  <c r="W14" i="106"/>
  <c r="W38" i="106" s="1"/>
  <c r="W143" i="106"/>
  <c r="W144" i="106" s="1"/>
  <c r="Y242" i="106"/>
  <c r="Y241" i="106" s="1"/>
  <c r="Y244" i="106"/>
  <c r="W42" i="106"/>
  <c r="L85" i="107" l="1"/>
  <c r="H75" i="112" s="1"/>
  <c r="H76" i="112"/>
  <c r="K397" i="105"/>
  <c r="K414" i="105" s="1"/>
  <c r="K407" i="105"/>
  <c r="Q60" i="108" s="1"/>
  <c r="R58" i="106"/>
  <c r="M26" i="107"/>
  <c r="M79" i="107"/>
  <c r="I44" i="112"/>
  <c r="L398" i="105"/>
  <c r="P117" i="108"/>
  <c r="Q117" i="108" s="1"/>
  <c r="R117" i="108" s="1"/>
  <c r="S117" i="108" s="1"/>
  <c r="P116" i="108"/>
  <c r="Q116" i="108" s="1"/>
  <c r="R116" i="108" s="1"/>
  <c r="S116" i="108" s="1"/>
  <c r="I24" i="112"/>
  <c r="R30" i="113"/>
  <c r="CO30" i="105"/>
  <c r="H24" i="112"/>
  <c r="Q30" i="113"/>
  <c r="S58" i="106"/>
  <c r="N26" i="107"/>
  <c r="N79" i="107"/>
  <c r="J44" i="112"/>
  <c r="M398" i="105"/>
  <c r="J71" i="112"/>
  <c r="S23" i="113"/>
  <c r="J36" i="112"/>
  <c r="L7" i="103"/>
  <c r="L6" i="103"/>
  <c r="S11" i="105"/>
  <c r="V25" i="105"/>
  <c r="V26" i="105"/>
  <c r="S162" i="112" s="1"/>
  <c r="V29" i="105"/>
  <c r="V47" i="105"/>
  <c r="S161" i="112"/>
  <c r="K408" i="105" l="1"/>
  <c r="AK60" i="108"/>
  <c r="M85" i="107"/>
  <c r="I75" i="112" s="1"/>
  <c r="I76" i="112"/>
  <c r="L407" i="105"/>
  <c r="L397" i="105"/>
  <c r="K420" i="105"/>
  <c r="Q34" i="105" s="1"/>
  <c r="Q35" i="105"/>
  <c r="N85" i="107"/>
  <c r="J75" i="112" s="1"/>
  <c r="J76" i="112"/>
  <c r="M407" i="105"/>
  <c r="M397" i="105"/>
  <c r="M20" i="101"/>
  <c r="M19" i="101"/>
  <c r="L8" i="103"/>
  <c r="L80" i="103" s="1"/>
  <c r="M23" i="101"/>
  <c r="S13" i="105"/>
  <c r="M449" i="105"/>
  <c r="J4" i="112"/>
  <c r="S43" i="106"/>
  <c r="S17" i="113" s="1"/>
  <c r="S44" i="106"/>
  <c r="S12" i="105"/>
  <c r="S27" i="108"/>
  <c r="S43" i="105"/>
  <c r="S44" i="105" s="1"/>
  <c r="S11" i="106"/>
  <c r="S15" i="113" s="1"/>
  <c r="P136" i="104"/>
  <c r="V30" i="105"/>
  <c r="S164" i="112"/>
  <c r="P130" i="104"/>
  <c r="V48" i="105"/>
  <c r="V49" i="105"/>
  <c r="AG65" i="108" s="1"/>
  <c r="V51" i="105"/>
  <c r="V53" i="105"/>
  <c r="V59" i="105"/>
  <c r="M414" i="105" l="1"/>
  <c r="L408" i="105"/>
  <c r="P60" i="108"/>
  <c r="R60" i="108"/>
  <c r="L414" i="105"/>
  <c r="P61" i="108"/>
  <c r="Q39" i="105"/>
  <c r="CO34" i="105"/>
  <c r="H11" i="112"/>
  <c r="G130" i="112"/>
  <c r="CO35" i="105"/>
  <c r="Q36" i="105"/>
  <c r="CO36" i="105" s="1"/>
  <c r="L61" i="107"/>
  <c r="L62" i="107"/>
  <c r="N61" i="108"/>
  <c r="P414" i="105"/>
  <c r="AJ61" i="108"/>
  <c r="O61" i="108"/>
  <c r="AK61" i="108"/>
  <c r="S24" i="105"/>
  <c r="H63" i="102"/>
  <c r="J5" i="112"/>
  <c r="S14" i="105"/>
  <c r="M451" i="105"/>
  <c r="M453" i="105" s="1"/>
  <c r="S16" i="113"/>
  <c r="J102" i="112"/>
  <c r="S18" i="113"/>
  <c r="J103" i="112"/>
  <c r="N68" i="107"/>
  <c r="J68" i="112" s="1"/>
  <c r="J43" i="112"/>
  <c r="S42" i="106"/>
  <c r="M404" i="105" s="1"/>
  <c r="J13" i="112"/>
  <c r="N65" i="107"/>
  <c r="J67" i="112" s="1"/>
  <c r="S242" i="106"/>
  <c r="S143" i="106"/>
  <c r="J34" i="112"/>
  <c r="M402" i="105"/>
  <c r="V57" i="105"/>
  <c r="V54" i="105"/>
  <c r="M405" i="105" l="1"/>
  <c r="L420" i="105"/>
  <c r="R34" i="105" s="1"/>
  <c r="R35" i="105"/>
  <c r="M420" i="105"/>
  <c r="S34" i="105" s="1"/>
  <c r="J11" i="112" s="1"/>
  <c r="S35" i="105"/>
  <c r="Q47" i="105"/>
  <c r="G131" i="112"/>
  <c r="H12" i="112"/>
  <c r="H9" i="112" s="1"/>
  <c r="L75" i="107"/>
  <c r="CO39" i="105"/>
  <c r="L63" i="107"/>
  <c r="P420" i="105"/>
  <c r="M61" i="108"/>
  <c r="S25" i="105"/>
  <c r="S26" i="105"/>
  <c r="S29" i="105"/>
  <c r="J7" i="112"/>
  <c r="J8" i="112" s="1"/>
  <c r="L161" i="112"/>
  <c r="H64" i="102"/>
  <c r="J23" i="112"/>
  <c r="S28" i="113"/>
  <c r="S37" i="108"/>
  <c r="S61" i="105"/>
  <c r="N15" i="107"/>
  <c r="S19" i="113"/>
  <c r="H64" i="112"/>
  <c r="W154" i="106"/>
  <c r="W156" i="106" s="1"/>
  <c r="W77" i="106" s="1"/>
  <c r="V55" i="105"/>
  <c r="M408" i="105" l="1"/>
  <c r="S60" i="108"/>
  <c r="Q65" i="105"/>
  <c r="CO65" i="105" s="1"/>
  <c r="Q40" i="105"/>
  <c r="CO40" i="105" s="1"/>
  <c r="S36" i="105"/>
  <c r="N61" i="107"/>
  <c r="N62" i="107"/>
  <c r="I11" i="112"/>
  <c r="H130" i="112"/>
  <c r="M62" i="107"/>
  <c r="M61" i="107"/>
  <c r="I64" i="112" s="1"/>
  <c r="R36" i="105"/>
  <c r="Q58" i="113"/>
  <c r="H110" i="112" s="1"/>
  <c r="CO47" i="105"/>
  <c r="Q49" i="105"/>
  <c r="Q59" i="105"/>
  <c r="CO59" i="105" s="1"/>
  <c r="F66" i="102"/>
  <c r="Q46" i="113"/>
  <c r="Q31" i="113"/>
  <c r="G136" i="112"/>
  <c r="H15" i="112"/>
  <c r="H17" i="112" s="1"/>
  <c r="Q50" i="105"/>
  <c r="Q53" i="105" s="1"/>
  <c r="U48" i="105"/>
  <c r="Q48" i="105"/>
  <c r="CO48" i="105" s="1"/>
  <c r="Q62" i="113"/>
  <c r="Q46" i="105"/>
  <c r="CO46" i="105" s="1"/>
  <c r="Q67" i="105"/>
  <c r="CO67" i="105" s="1"/>
  <c r="Q66" i="105"/>
  <c r="CO66" i="105" s="1"/>
  <c r="Q63" i="105"/>
  <c r="CO63" i="105" s="1"/>
  <c r="L77" i="107"/>
  <c r="H70" i="112" s="1"/>
  <c r="H74" i="112"/>
  <c r="Q245" i="106"/>
  <c r="L18" i="107" s="1"/>
  <c r="S72" i="105"/>
  <c r="J98" i="112"/>
  <c r="S62" i="105"/>
  <c r="J25" i="112"/>
  <c r="L162" i="112"/>
  <c r="S29" i="113"/>
  <c r="H65" i="102"/>
  <c r="N136" i="104"/>
  <c r="S30" i="105"/>
  <c r="J22" i="112"/>
  <c r="L173" i="112"/>
  <c r="J97" i="112"/>
  <c r="N130" i="104"/>
  <c r="V58" i="105"/>
  <c r="W86" i="106"/>
  <c r="V126" i="105"/>
  <c r="V127" i="105" s="1"/>
  <c r="V118" i="105"/>
  <c r="V117" i="105"/>
  <c r="V87" i="105"/>
  <c r="V86" i="105"/>
  <c r="J64" i="112" l="1"/>
  <c r="CO49" i="105"/>
  <c r="Q65" i="108"/>
  <c r="AK65" i="108"/>
  <c r="CO53" i="105"/>
  <c r="Q54" i="105"/>
  <c r="Q55" i="105" s="1"/>
  <c r="Q57" i="105"/>
  <c r="L57" i="107"/>
  <c r="H19" i="112"/>
  <c r="G138" i="112"/>
  <c r="Q32" i="113"/>
  <c r="Q41" i="113" s="1"/>
  <c r="Q63" i="113"/>
  <c r="F67" i="102"/>
  <c r="H79" i="102" s="1"/>
  <c r="Q47" i="113"/>
  <c r="Q49" i="113" s="1"/>
  <c r="CO50" i="105"/>
  <c r="Q51" i="105"/>
  <c r="H16" i="112"/>
  <c r="G137" i="112"/>
  <c r="Q47" i="106"/>
  <c r="AK89" i="108"/>
  <c r="J24" i="112"/>
  <c r="S30" i="113"/>
  <c r="W98" i="106"/>
  <c r="W107" i="106"/>
  <c r="W112" i="106"/>
  <c r="W117" i="106"/>
  <c r="W92" i="106" s="1"/>
  <c r="W122" i="106"/>
  <c r="V120" i="105"/>
  <c r="W87" i="106"/>
  <c r="V94" i="105"/>
  <c r="V113" i="105"/>
  <c r="V114" i="105" s="1"/>
  <c r="CO54" i="105" l="1"/>
  <c r="H21" i="112"/>
  <c r="G139" i="112"/>
  <c r="Q154" i="106"/>
  <c r="Q156" i="106" s="1"/>
  <c r="CO57" i="105"/>
  <c r="H26" i="112"/>
  <c r="H60" i="112"/>
  <c r="Q56" i="105"/>
  <c r="CO56" i="105" s="1"/>
  <c r="H20" i="112"/>
  <c r="G140" i="112"/>
  <c r="J163" i="112"/>
  <c r="H94" i="112"/>
  <c r="CO55" i="105"/>
  <c r="Q87" i="105"/>
  <c r="Q117" i="105"/>
  <c r="Q64" i="113" s="1"/>
  <c r="Q126" i="105"/>
  <c r="Q127" i="105" s="1"/>
  <c r="Q86" i="106"/>
  <c r="Q58" i="105"/>
  <c r="CO58" i="105" s="1"/>
  <c r="L7" i="107"/>
  <c r="L25" i="107"/>
  <c r="L9" i="107"/>
  <c r="G147" i="112" s="1"/>
  <c r="CO51" i="105"/>
  <c r="AK44" i="108"/>
  <c r="Q244" i="106"/>
  <c r="L69" i="107"/>
  <c r="W108" i="106"/>
  <c r="W48" i="106" s="1"/>
  <c r="W51" i="106" s="1"/>
  <c r="W61" i="106" s="1"/>
  <c r="W90" i="106"/>
  <c r="W113" i="106"/>
  <c r="W73" i="106" s="1"/>
  <c r="W91" i="106"/>
  <c r="W123" i="106"/>
  <c r="W75" i="106" s="1"/>
  <c r="W93" i="106"/>
  <c r="V121" i="105"/>
  <c r="V129" i="105"/>
  <c r="S170" i="112"/>
  <c r="EW23" i="105"/>
  <c r="F95" i="112" s="1"/>
  <c r="V95" i="105"/>
  <c r="P131" i="104"/>
  <c r="P133" i="104" s="1"/>
  <c r="P134" i="104" s="1"/>
  <c r="L10" i="107" l="1"/>
  <c r="Q86" i="105"/>
  <c r="R153" i="106"/>
  <c r="Q77" i="106"/>
  <c r="H53" i="112" s="1"/>
  <c r="Q98" i="106"/>
  <c r="Q107" i="106"/>
  <c r="Q112" i="106"/>
  <c r="Q117" i="106"/>
  <c r="Q122" i="106"/>
  <c r="G145" i="112"/>
  <c r="Q241" i="106"/>
  <c r="L17" i="107"/>
  <c r="L14" i="107" s="1"/>
  <c r="W94" i="106"/>
  <c r="W70" i="106" s="1"/>
  <c r="W76" i="106" s="1"/>
  <c r="H69" i="112"/>
  <c r="L70" i="107"/>
  <c r="G148" i="112" l="1"/>
  <c r="L12" i="107"/>
  <c r="Q94" i="105"/>
  <c r="Q113" i="105"/>
  <c r="Q114" i="105" s="1"/>
  <c r="Q108" i="106"/>
  <c r="Q90" i="106"/>
  <c r="Q113" i="106"/>
  <c r="Q91" i="106"/>
  <c r="Q118" i="106"/>
  <c r="Q92" i="106"/>
  <c r="Q123" i="106"/>
  <c r="Q93" i="106"/>
  <c r="G153" i="112"/>
  <c r="G151" i="112"/>
  <c r="W80" i="106"/>
  <c r="W40" i="106"/>
  <c r="W79" i="106"/>
  <c r="S168" i="112" s="1"/>
  <c r="S169" i="112"/>
  <c r="R132" i="104"/>
  <c r="R135" i="104" s="1"/>
  <c r="V122" i="105"/>
  <c r="V128" i="105"/>
  <c r="H59" i="112"/>
  <c r="H65" i="112"/>
  <c r="Q148" i="106"/>
  <c r="Q150" i="106" s="1"/>
  <c r="Q140" i="106" s="1"/>
  <c r="Q141" i="106" s="1"/>
  <c r="L87" i="107"/>
  <c r="L23" i="107" l="1"/>
  <c r="G150" i="112"/>
  <c r="J164" i="112"/>
  <c r="F68" i="102"/>
  <c r="H91" i="112"/>
  <c r="Q95" i="105"/>
  <c r="H99" i="112" s="1"/>
  <c r="Q121" i="105"/>
  <c r="EY18" i="105"/>
  <c r="L131" i="104"/>
  <c r="L133" i="104" s="1"/>
  <c r="L134" i="104" s="1"/>
  <c r="R106" i="106"/>
  <c r="Q48" i="106"/>
  <c r="R111" i="106"/>
  <c r="Q73" i="106"/>
  <c r="R116" i="106"/>
  <c r="Q74" i="106"/>
  <c r="AK105" i="108" s="1"/>
  <c r="R121" i="106"/>
  <c r="Q75" i="106"/>
  <c r="R139" i="106"/>
  <c r="Q144" i="106"/>
  <c r="Q6" i="106"/>
  <c r="L90" i="107"/>
  <c r="H80" i="112"/>
  <c r="Q94" i="106"/>
  <c r="Q70" i="106" s="1"/>
  <c r="G156" i="112" l="1"/>
  <c r="L28" i="107"/>
  <c r="Q51" i="106"/>
  <c r="Q10" i="113" s="1"/>
  <c r="H45" i="112"/>
  <c r="AK107" i="108"/>
  <c r="AK104" i="108"/>
  <c r="H52" i="112"/>
  <c r="Q57" i="106"/>
  <c r="Q33" i="105"/>
  <c r="CO33" i="105" s="1"/>
  <c r="Q14" i="106"/>
  <c r="R147" i="106"/>
  <c r="K373" i="105"/>
  <c r="K372" i="105" s="1"/>
  <c r="L377" i="105" s="1"/>
  <c r="L386" i="105" s="1"/>
  <c r="L390" i="105" s="1"/>
  <c r="R32" i="105" s="1"/>
  <c r="H32" i="112"/>
  <c r="M89" i="107"/>
  <c r="H82" i="112"/>
  <c r="Q76" i="106"/>
  <c r="H51" i="112"/>
  <c r="Q11" i="113" l="1"/>
  <c r="Q61" i="106"/>
  <c r="Q79" i="106" s="1"/>
  <c r="H42" i="112"/>
  <c r="Q52" i="113"/>
  <c r="H107" i="112" s="1"/>
  <c r="Q55" i="113"/>
  <c r="H109" i="112"/>
  <c r="H31" i="112"/>
  <c r="Q8" i="113"/>
  <c r="H108" i="112" s="1"/>
  <c r="Q9" i="113"/>
  <c r="Q38" i="106"/>
  <c r="R39" i="105"/>
  <c r="R47" i="105" s="1"/>
  <c r="I10" i="112"/>
  <c r="H129" i="112"/>
  <c r="I81" i="112"/>
  <c r="Q37" i="113"/>
  <c r="Q36" i="113"/>
  <c r="Q115" i="108"/>
  <c r="AK115" i="108"/>
  <c r="Q54" i="113"/>
  <c r="Q26" i="113"/>
  <c r="Q128" i="105"/>
  <c r="Q122" i="105"/>
  <c r="EY19" i="105" s="1"/>
  <c r="H92" i="112" s="1"/>
  <c r="L132" i="104"/>
  <c r="L135" i="104" s="1"/>
  <c r="C12" i="104"/>
  <c r="C15" i="104" s="1"/>
  <c r="F73" i="102"/>
  <c r="Q66" i="113"/>
  <c r="J169" i="112"/>
  <c r="AK114" i="108"/>
  <c r="AK113" i="108"/>
  <c r="Q40" i="106"/>
  <c r="Q113" i="108"/>
  <c r="H54" i="112"/>
  <c r="Q53" i="113" l="1"/>
  <c r="H49" i="112"/>
  <c r="Q34" i="113"/>
  <c r="Q33" i="113"/>
  <c r="H104" i="112" s="1"/>
  <c r="P33" i="113"/>
  <c r="G104" i="112" s="1"/>
  <c r="Q42" i="113"/>
  <c r="Q25" i="113"/>
  <c r="H100" i="112"/>
  <c r="Q80" i="106"/>
  <c r="T91" i="107" s="1"/>
  <c r="H41" i="112"/>
  <c r="Q27" i="113"/>
  <c r="Q38" i="113" s="1"/>
  <c r="H106" i="112" s="1"/>
  <c r="Q43" i="113"/>
  <c r="F72" i="102"/>
  <c r="M63" i="107"/>
  <c r="M75" i="107"/>
  <c r="I12" i="112"/>
  <c r="I9" i="112" s="1"/>
  <c r="H131" i="112"/>
  <c r="J165" i="112"/>
  <c r="F69" i="102"/>
  <c r="H105" i="112"/>
  <c r="C16" i="104"/>
  <c r="Q56" i="113"/>
  <c r="Q35" i="113"/>
  <c r="Q57" i="113"/>
  <c r="AK99" i="108"/>
  <c r="J168" i="112"/>
  <c r="Q65" i="113"/>
  <c r="R40" i="105" l="1"/>
  <c r="R65" i="105"/>
  <c r="Q44" i="113"/>
  <c r="R62" i="113"/>
  <c r="R58" i="113"/>
  <c r="I110" i="112" s="1"/>
  <c r="K115" i="103"/>
  <c r="G66" i="102"/>
  <c r="R46" i="113"/>
  <c r="R31" i="113"/>
  <c r="H136" i="112"/>
  <c r="I15" i="112"/>
  <c r="I17" i="112" s="1"/>
  <c r="R50" i="105"/>
  <c r="R53" i="105" s="1"/>
  <c r="R49" i="105"/>
  <c r="R59" i="105"/>
  <c r="R48" i="105"/>
  <c r="R46" i="105"/>
  <c r="R67" i="105"/>
  <c r="R66" i="105"/>
  <c r="R63" i="105"/>
  <c r="R245" i="106"/>
  <c r="M18" i="107" s="1"/>
  <c r="M77" i="107"/>
  <c r="I70" i="112" s="1"/>
  <c r="I74" i="112"/>
  <c r="L24" i="101" l="1"/>
  <c r="K143" i="103"/>
  <c r="L21" i="101"/>
  <c r="L22" i="101"/>
  <c r="R47" i="113"/>
  <c r="R49" i="113" s="1"/>
  <c r="I19" i="112"/>
  <c r="H138" i="112"/>
  <c r="R32" i="113"/>
  <c r="R41" i="113" s="1"/>
  <c r="R63" i="113"/>
  <c r="G67" i="102"/>
  <c r="M57" i="107"/>
  <c r="R57" i="105"/>
  <c r="I26" i="112" s="1"/>
  <c r="R54" i="105"/>
  <c r="R55" i="105" s="1"/>
  <c r="R58" i="105" s="1"/>
  <c r="I16" i="112"/>
  <c r="H137" i="112"/>
  <c r="R47" i="106"/>
  <c r="P89" i="108" s="1"/>
  <c r="R51" i="105"/>
  <c r="P65" i="108"/>
  <c r="R65" i="108"/>
  <c r="M7" i="107" l="1"/>
  <c r="Z55" i="105"/>
  <c r="I20" i="112"/>
  <c r="I94" i="112"/>
  <c r="H140" i="112"/>
  <c r="K163" i="112"/>
  <c r="R56" i="105"/>
  <c r="R87" i="105"/>
  <c r="R117" i="105"/>
  <c r="R64" i="113" s="1"/>
  <c r="R126" i="105"/>
  <c r="R127" i="105" s="1"/>
  <c r="R86" i="106"/>
  <c r="I60" i="112"/>
  <c r="I21" i="112"/>
  <c r="H139" i="112"/>
  <c r="R154" i="106"/>
  <c r="R156" i="106" s="1"/>
  <c r="R244" i="106"/>
  <c r="M69" i="107"/>
  <c r="M9" i="107"/>
  <c r="H147" i="112" s="1"/>
  <c r="M25" i="107"/>
  <c r="P44" i="108"/>
  <c r="H145" i="112" l="1"/>
  <c r="R98" i="106"/>
  <c r="R107" i="106"/>
  <c r="R112" i="106"/>
  <c r="R117" i="106"/>
  <c r="R122" i="106"/>
  <c r="S153" i="106"/>
  <c r="R77" i="106"/>
  <c r="I53" i="112" s="1"/>
  <c r="R241" i="106"/>
  <c r="M17" i="107"/>
  <c r="M14" i="107" s="1"/>
  <c r="W50" i="105"/>
  <c r="Q44" i="108"/>
  <c r="R44" i="108" s="1"/>
  <c r="S44" i="108" s="1"/>
  <c r="M10" i="107"/>
  <c r="R86" i="105"/>
  <c r="I69" i="112"/>
  <c r="M70" i="107"/>
  <c r="H148" i="112" l="1"/>
  <c r="M12" i="107"/>
  <c r="R108" i="106"/>
  <c r="R90" i="106"/>
  <c r="R113" i="106"/>
  <c r="R91" i="106"/>
  <c r="R118" i="106"/>
  <c r="R92" i="106"/>
  <c r="R123" i="106"/>
  <c r="R93" i="106"/>
  <c r="H153" i="112"/>
  <c r="H151" i="112"/>
  <c r="W53" i="105"/>
  <c r="W51" i="105"/>
  <c r="C19" i="104" s="1"/>
  <c r="C20" i="104" s="1"/>
  <c r="C27" i="104" s="1"/>
  <c r="R113" i="105"/>
  <c r="R114" i="105" s="1"/>
  <c r="R94" i="105"/>
  <c r="I59" i="112"/>
  <c r="I65" i="112"/>
  <c r="R148" i="106"/>
  <c r="R150" i="106" s="1"/>
  <c r="R140" i="106" s="1"/>
  <c r="R141" i="106" s="1"/>
  <c r="M87" i="107"/>
  <c r="M23" i="107" l="1"/>
  <c r="H156" i="112" s="1"/>
  <c r="H150" i="112"/>
  <c r="S106" i="106"/>
  <c r="R48" i="106"/>
  <c r="S111" i="106"/>
  <c r="R73" i="106"/>
  <c r="S116" i="106"/>
  <c r="R74" i="106"/>
  <c r="P105" i="108" s="1"/>
  <c r="Q105" i="108" s="1"/>
  <c r="R105" i="108" s="1"/>
  <c r="S105" i="108" s="1"/>
  <c r="S121" i="106"/>
  <c r="R75" i="106"/>
  <c r="W54" i="105"/>
  <c r="W55" i="105" s="1"/>
  <c r="E67" i="102"/>
  <c r="G79" i="102" s="1"/>
  <c r="W57" i="105"/>
  <c r="R7" i="104"/>
  <c r="J7" i="104"/>
  <c r="F98" i="102"/>
  <c r="G36" i="107"/>
  <c r="C86" i="104"/>
  <c r="C36" i="104"/>
  <c r="Q38" i="107"/>
  <c r="L38" i="107"/>
  <c r="R95" i="105"/>
  <c r="I99" i="112" s="1"/>
  <c r="R121" i="105"/>
  <c r="EZ18" i="105"/>
  <c r="K164" i="112"/>
  <c r="I91" i="112"/>
  <c r="G68" i="102"/>
  <c r="M131" i="104"/>
  <c r="M133" i="104" s="1"/>
  <c r="M134" i="104" s="1"/>
  <c r="R144" i="106"/>
  <c r="S139" i="106"/>
  <c r="M90" i="107"/>
  <c r="R6" i="106"/>
  <c r="I80" i="112"/>
  <c r="R94" i="106"/>
  <c r="R70" i="106" s="1"/>
  <c r="M28" i="107" l="1"/>
  <c r="M38" i="107"/>
  <c r="I45" i="112"/>
  <c r="R51" i="106"/>
  <c r="R10" i="113" s="1"/>
  <c r="P107" i="108"/>
  <c r="Q107" i="108" s="1"/>
  <c r="R107" i="108" s="1"/>
  <c r="S107" i="108" s="1"/>
  <c r="P104" i="108"/>
  <c r="Q104" i="108" s="1"/>
  <c r="R104" i="108" s="1"/>
  <c r="S104" i="108" s="1"/>
  <c r="I52" i="112"/>
  <c r="U163" i="112"/>
  <c r="W58" i="105"/>
  <c r="W87" i="105"/>
  <c r="W86" i="105" s="1"/>
  <c r="W117" i="105"/>
  <c r="W118" i="105"/>
  <c r="W120" i="105" s="1"/>
  <c r="W126" i="105"/>
  <c r="W127" i="105" s="1"/>
  <c r="W56" i="105"/>
  <c r="C87" i="104"/>
  <c r="C88" i="104" s="1"/>
  <c r="C89" i="104" s="1"/>
  <c r="C85" i="104"/>
  <c r="C84" i="104" s="1"/>
  <c r="C83" i="104" s="1"/>
  <c r="T36" i="104"/>
  <c r="S36" i="104"/>
  <c r="R36" i="104"/>
  <c r="O36" i="104"/>
  <c r="O45" i="104" s="1"/>
  <c r="P36" i="104"/>
  <c r="R6" i="104" s="1"/>
  <c r="C37" i="104"/>
  <c r="C45" i="104"/>
  <c r="F46" i="107"/>
  <c r="C35" i="104"/>
  <c r="N89" i="107"/>
  <c r="I82" i="112"/>
  <c r="R33" i="105"/>
  <c r="R14" i="106"/>
  <c r="S147" i="106"/>
  <c r="L373" i="105"/>
  <c r="L372" i="105" s="1"/>
  <c r="M377" i="105" s="1"/>
  <c r="M386" i="105" s="1"/>
  <c r="M390" i="105" s="1"/>
  <c r="S32" i="105" s="1"/>
  <c r="I32" i="112"/>
  <c r="R57" i="106"/>
  <c r="I51" i="112"/>
  <c r="R76" i="106"/>
  <c r="F36" i="104"/>
  <c r="H36" i="104"/>
  <c r="I54" i="112" l="1"/>
  <c r="R11" i="113"/>
  <c r="R61" i="106"/>
  <c r="R79" i="106" s="1"/>
  <c r="I42" i="112"/>
  <c r="R52" i="113"/>
  <c r="I107" i="112" s="1"/>
  <c r="W94" i="105"/>
  <c r="W121" i="105" s="1"/>
  <c r="W113" i="105"/>
  <c r="W114" i="105" s="1"/>
  <c r="W129" i="105"/>
  <c r="Q109" i="108"/>
  <c r="T170" i="112"/>
  <c r="U170" i="112"/>
  <c r="EX23" i="105"/>
  <c r="G95" i="112" s="1"/>
  <c r="R9" i="104"/>
  <c r="W36" i="104"/>
  <c r="Q45" i="104" s="1"/>
  <c r="U45" i="104" s="1"/>
  <c r="H37" i="104"/>
  <c r="L37" i="104" s="1"/>
  <c r="F46" i="104" s="1"/>
  <c r="J46" i="104" s="1"/>
  <c r="G37" i="104"/>
  <c r="K37" i="104" s="1"/>
  <c r="E46" i="104" s="1"/>
  <c r="I46" i="104" s="1"/>
  <c r="F37" i="104"/>
  <c r="J37" i="104" s="1"/>
  <c r="D46" i="104" s="1"/>
  <c r="H46" i="104" s="1"/>
  <c r="T37" i="104"/>
  <c r="S37" i="104"/>
  <c r="R37" i="104"/>
  <c r="O37" i="104"/>
  <c r="O46" i="104" s="1"/>
  <c r="P37" i="104"/>
  <c r="C38" i="104"/>
  <c r="C46" i="104"/>
  <c r="F47" i="107"/>
  <c r="G35" i="104"/>
  <c r="K35" i="104" s="1"/>
  <c r="E44" i="104" s="1"/>
  <c r="I44" i="104" s="1"/>
  <c r="H35" i="104"/>
  <c r="L35" i="104" s="1"/>
  <c r="F44" i="104" s="1"/>
  <c r="J44" i="104" s="1"/>
  <c r="F35" i="104"/>
  <c r="J35" i="104" s="1"/>
  <c r="D44" i="104" s="1"/>
  <c r="H44" i="104" s="1"/>
  <c r="T35" i="104"/>
  <c r="S35" i="104"/>
  <c r="R35" i="104"/>
  <c r="O35" i="104"/>
  <c r="O44" i="104" s="1"/>
  <c r="P35" i="104"/>
  <c r="C44" i="104"/>
  <c r="F45" i="107"/>
  <c r="C34" i="104"/>
  <c r="J81" i="112"/>
  <c r="I31" i="112"/>
  <c r="R8" i="113"/>
  <c r="I108" i="112" s="1"/>
  <c r="R9" i="113"/>
  <c r="R38" i="106"/>
  <c r="S39" i="105"/>
  <c r="J10" i="112"/>
  <c r="I109" i="112"/>
  <c r="R55" i="113"/>
  <c r="R37" i="113"/>
  <c r="R36" i="113"/>
  <c r="R54" i="113"/>
  <c r="R115" i="108"/>
  <c r="P115" i="108"/>
  <c r="R26" i="113"/>
  <c r="R128" i="105"/>
  <c r="R122" i="105"/>
  <c r="EZ19" i="105" s="1"/>
  <c r="I92" i="112" s="1"/>
  <c r="M132" i="104"/>
  <c r="M135" i="104" s="1"/>
  <c r="G73" i="102"/>
  <c r="R66" i="113"/>
  <c r="K169" i="112"/>
  <c r="P114" i="108"/>
  <c r="Q114" i="108" s="1"/>
  <c r="R114" i="108" s="1"/>
  <c r="S114" i="108" s="1"/>
  <c r="R40" i="106"/>
  <c r="R113" i="108"/>
  <c r="P113" i="108"/>
  <c r="X36" i="104"/>
  <c r="R45" i="104" s="1"/>
  <c r="V45" i="104" s="1"/>
  <c r="V36" i="104"/>
  <c r="P45" i="104" s="1"/>
  <c r="T45" i="104" s="1"/>
  <c r="X37" i="104" l="1"/>
  <c r="R46" i="104" s="1"/>
  <c r="V46" i="104" s="1"/>
  <c r="W37" i="104"/>
  <c r="Q46" i="104" s="1"/>
  <c r="U46" i="104" s="1"/>
  <c r="V37" i="104"/>
  <c r="P46" i="104" s="1"/>
  <c r="T46" i="104" s="1"/>
  <c r="R53" i="113"/>
  <c r="I49" i="112"/>
  <c r="W95" i="105"/>
  <c r="U164" i="112"/>
  <c r="E68" i="102"/>
  <c r="K131" i="104"/>
  <c r="K133" i="104" s="1"/>
  <c r="K134" i="104" s="1"/>
  <c r="R13" i="104"/>
  <c r="R17" i="104" s="1"/>
  <c r="R21" i="104" s="1"/>
  <c r="R10" i="104"/>
  <c r="H38" i="104"/>
  <c r="L38" i="104" s="1"/>
  <c r="F47" i="104" s="1"/>
  <c r="J47" i="104" s="1"/>
  <c r="G38" i="104"/>
  <c r="K38" i="104" s="1"/>
  <c r="E47" i="104" s="1"/>
  <c r="I47" i="104" s="1"/>
  <c r="F38" i="104"/>
  <c r="J38" i="104" s="1"/>
  <c r="D47" i="104" s="1"/>
  <c r="H47" i="104" s="1"/>
  <c r="S38" i="104"/>
  <c r="T38" i="104"/>
  <c r="R38" i="104"/>
  <c r="O38" i="104"/>
  <c r="O47" i="104" s="1"/>
  <c r="P38" i="104"/>
  <c r="C39" i="104"/>
  <c r="C47" i="104"/>
  <c r="F48" i="107"/>
  <c r="H34" i="104"/>
  <c r="L34" i="104" s="1"/>
  <c r="F43" i="104" s="1"/>
  <c r="J43" i="104" s="1"/>
  <c r="G34" i="104"/>
  <c r="K34" i="104" s="1"/>
  <c r="E43" i="104" s="1"/>
  <c r="I43" i="104" s="1"/>
  <c r="F34" i="104"/>
  <c r="J34" i="104" s="1"/>
  <c r="D43" i="104" s="1"/>
  <c r="H43" i="104" s="1"/>
  <c r="R34" i="104"/>
  <c r="V34" i="104" s="1"/>
  <c r="P43" i="104" s="1"/>
  <c r="T43" i="104" s="1"/>
  <c r="T34" i="104"/>
  <c r="X34" i="104" s="1"/>
  <c r="R43" i="104" s="1"/>
  <c r="V43" i="104" s="1"/>
  <c r="S34" i="104"/>
  <c r="W34" i="104" s="1"/>
  <c r="Q43" i="104" s="1"/>
  <c r="U43" i="104" s="1"/>
  <c r="O34" i="104"/>
  <c r="O43" i="104" s="1"/>
  <c r="C43" i="104"/>
  <c r="F44" i="107"/>
  <c r="R33" i="113"/>
  <c r="I104" i="112" s="1"/>
  <c r="R34" i="113"/>
  <c r="I100" i="112"/>
  <c r="R42" i="113"/>
  <c r="R25" i="113"/>
  <c r="R80" i="106"/>
  <c r="U91" i="107" s="1"/>
  <c r="I41" i="112"/>
  <c r="R27" i="113"/>
  <c r="R38" i="113" s="1"/>
  <c r="I106" i="112" s="1"/>
  <c r="R43" i="113"/>
  <c r="G72" i="102"/>
  <c r="S47" i="105"/>
  <c r="N63" i="107"/>
  <c r="N75" i="107"/>
  <c r="J12" i="112"/>
  <c r="J9" i="112" s="1"/>
  <c r="K165" i="112"/>
  <c r="I105" i="112"/>
  <c r="G69" i="102"/>
  <c r="R56" i="113"/>
  <c r="R35" i="113"/>
  <c r="R57" i="113"/>
  <c r="P99" i="108"/>
  <c r="Q99" i="108" s="1"/>
  <c r="R99" i="108" s="1"/>
  <c r="S99" i="108" s="1"/>
  <c r="K168" i="112"/>
  <c r="R65" i="113"/>
  <c r="W35" i="104"/>
  <c r="Q44" i="104" s="1"/>
  <c r="U44" i="104" s="1"/>
  <c r="X35" i="104"/>
  <c r="R44" i="104" s="1"/>
  <c r="V44" i="104" s="1"/>
  <c r="V35" i="104"/>
  <c r="P44" i="104" s="1"/>
  <c r="T44" i="104" s="1"/>
  <c r="S40" i="105" l="1"/>
  <c r="S65" i="105"/>
  <c r="W38" i="104"/>
  <c r="Q47" i="104" s="1"/>
  <c r="U47" i="104" s="1"/>
  <c r="H39" i="104"/>
  <c r="L39" i="104" s="1"/>
  <c r="F48" i="104" s="1"/>
  <c r="J48" i="104" s="1"/>
  <c r="F39" i="104"/>
  <c r="J39" i="104" s="1"/>
  <c r="D48" i="104" s="1"/>
  <c r="H48" i="104" s="1"/>
  <c r="G39" i="104"/>
  <c r="K39" i="104" s="1"/>
  <c r="E48" i="104" s="1"/>
  <c r="I48" i="104" s="1"/>
  <c r="T39" i="104"/>
  <c r="S39" i="104"/>
  <c r="R39" i="104"/>
  <c r="O39" i="104"/>
  <c r="O48" i="104" s="1"/>
  <c r="P39" i="104"/>
  <c r="C48" i="104"/>
  <c r="F49" i="107"/>
  <c r="S62" i="113"/>
  <c r="S49" i="105"/>
  <c r="S65" i="108" s="1"/>
  <c r="S50" i="105"/>
  <c r="S53" i="105" s="1"/>
  <c r="S48" i="105"/>
  <c r="L115" i="103"/>
  <c r="H66" i="102"/>
  <c r="S46" i="113"/>
  <c r="S31" i="113"/>
  <c r="J15" i="112"/>
  <c r="J17" i="112" s="1"/>
  <c r="S59" i="105"/>
  <c r="S46" i="105"/>
  <c r="S67" i="105"/>
  <c r="S66" i="105"/>
  <c r="S58" i="113"/>
  <c r="J110" i="112" s="1"/>
  <c r="S63" i="105"/>
  <c r="S245" i="106"/>
  <c r="N18" i="107" s="1"/>
  <c r="N77" i="107"/>
  <c r="J70" i="112" s="1"/>
  <c r="J74" i="112"/>
  <c r="X38" i="104"/>
  <c r="R47" i="104" s="1"/>
  <c r="V47" i="104" s="1"/>
  <c r="V38" i="104"/>
  <c r="P47" i="104" s="1"/>
  <c r="T47" i="104" s="1"/>
  <c r="R44" i="113"/>
  <c r="W39" i="104" l="1"/>
  <c r="Q48" i="104" s="1"/>
  <c r="U48" i="104" s="1"/>
  <c r="V39" i="104"/>
  <c r="P48" i="104" s="1"/>
  <c r="T48" i="104" s="1"/>
  <c r="X39" i="104"/>
  <c r="R48" i="104" s="1"/>
  <c r="V48" i="104" s="1"/>
  <c r="S51" i="105"/>
  <c r="S47" i="106"/>
  <c r="J16" i="112"/>
  <c r="M24" i="101"/>
  <c r="L143" i="103"/>
  <c r="M21" i="101"/>
  <c r="M22" i="101"/>
  <c r="S47" i="113"/>
  <c r="S49" i="113" s="1"/>
  <c r="S54" i="105"/>
  <c r="S55" i="105" s="1"/>
  <c r="S57" i="105"/>
  <c r="J26" i="112" s="1"/>
  <c r="J19" i="112"/>
  <c r="S32" i="113"/>
  <c r="S41" i="113" s="1"/>
  <c r="S63" i="113"/>
  <c r="H67" i="102"/>
  <c r="N57" i="107"/>
  <c r="N9" i="107" l="1"/>
  <c r="N25" i="107"/>
  <c r="S244" i="106"/>
  <c r="N69" i="107"/>
  <c r="J21" i="112"/>
  <c r="S154" i="106"/>
  <c r="S156" i="106" s="1"/>
  <c r="S77" i="106" s="1"/>
  <c r="J53" i="112" s="1"/>
  <c r="N7" i="107"/>
  <c r="S56" i="105"/>
  <c r="S58" i="105"/>
  <c r="J20" i="112"/>
  <c r="L163" i="112"/>
  <c r="J94" i="112"/>
  <c r="S87" i="105"/>
  <c r="S117" i="105"/>
  <c r="S64" i="113" s="1"/>
  <c r="S126" i="105"/>
  <c r="S127" i="105" s="1"/>
  <c r="S86" i="106"/>
  <c r="J60" i="112"/>
  <c r="S241" i="106" l="1"/>
  <c r="N17" i="107"/>
  <c r="N14" i="107" s="1"/>
  <c r="S98" i="106"/>
  <c r="S107" i="106"/>
  <c r="S112" i="106"/>
  <c r="S117" i="106"/>
  <c r="S122" i="106"/>
  <c r="J69" i="112"/>
  <c r="N70" i="107"/>
  <c r="N10" i="107"/>
  <c r="N12" i="107" s="1"/>
  <c r="S86" i="105"/>
  <c r="N23" i="107" l="1"/>
  <c r="S108" i="106"/>
  <c r="S48" i="106" s="1"/>
  <c r="S90" i="106"/>
  <c r="S113" i="106"/>
  <c r="S73" i="106" s="1"/>
  <c r="S91" i="106"/>
  <c r="S118" i="106"/>
  <c r="S74" i="106" s="1"/>
  <c r="S92" i="106"/>
  <c r="S123" i="106"/>
  <c r="S75" i="106" s="1"/>
  <c r="S93" i="106"/>
  <c r="J59" i="112"/>
  <c r="J65" i="112"/>
  <c r="S148" i="106"/>
  <c r="S150" i="106" s="1"/>
  <c r="S140" i="106" s="1"/>
  <c r="S141" i="106" s="1"/>
  <c r="S144" i="106" s="1"/>
  <c r="N87" i="107"/>
  <c r="S113" i="105"/>
  <c r="S114" i="105" s="1"/>
  <c r="S94" i="105"/>
  <c r="N38" i="107" l="1"/>
  <c r="D36" i="104" s="1"/>
  <c r="L36" i="104" s="1"/>
  <c r="F45" i="104" s="1"/>
  <c r="J45" i="104" s="1"/>
  <c r="N28" i="107"/>
  <c r="G36" i="104"/>
  <c r="J52" i="112"/>
  <c r="S94" i="106"/>
  <c r="S70" i="106" s="1"/>
  <c r="J45" i="112"/>
  <c r="S51" i="106"/>
  <c r="N90" i="107"/>
  <c r="J82" i="112" s="1"/>
  <c r="S6" i="106"/>
  <c r="J80" i="112"/>
  <c r="S95" i="105"/>
  <c r="J99" i="112" s="1"/>
  <c r="S121" i="105"/>
  <c r="J91" i="112"/>
  <c r="L164" i="112"/>
  <c r="H68" i="102"/>
  <c r="N131" i="104"/>
  <c r="N133" i="104" s="1"/>
  <c r="N134" i="104" s="1"/>
  <c r="FA18" i="105"/>
  <c r="J36" i="104" l="1"/>
  <c r="D45" i="104" s="1"/>
  <c r="H45" i="104" s="1"/>
  <c r="J6" i="104"/>
  <c r="K36" i="104"/>
  <c r="J9" i="104"/>
  <c r="S76" i="106"/>
  <c r="J51" i="112"/>
  <c r="J54" i="112" s="1"/>
  <c r="S11" i="113"/>
  <c r="S61" i="106"/>
  <c r="J42" i="112"/>
  <c r="S33" i="105"/>
  <c r="S14" i="106"/>
  <c r="M373" i="105"/>
  <c r="M372" i="105" s="1"/>
  <c r="S10" i="113"/>
  <c r="J32" i="112"/>
  <c r="S57" i="106"/>
  <c r="S79" i="106" l="1"/>
  <c r="J13" i="104"/>
  <c r="J17" i="104" s="1"/>
  <c r="J21" i="104" s="1"/>
  <c r="J10" i="104"/>
  <c r="S52" i="113"/>
  <c r="J107" i="112" s="1"/>
  <c r="S37" i="113"/>
  <c r="L165" i="112" s="1"/>
  <c r="E45" i="104"/>
  <c r="D89" i="102"/>
  <c r="S36" i="113"/>
  <c r="S54" i="113"/>
  <c r="S115" i="108"/>
  <c r="S26" i="113"/>
  <c r="S40" i="106"/>
  <c r="S113" i="108"/>
  <c r="S128" i="105"/>
  <c r="S122" i="105"/>
  <c r="FA19" i="105" s="1"/>
  <c r="J92" i="112" s="1"/>
  <c r="N132" i="104"/>
  <c r="N135" i="104" s="1"/>
  <c r="H73" i="102"/>
  <c r="S66" i="113"/>
  <c r="L169" i="112"/>
  <c r="J49" i="112"/>
  <c r="J31" i="112"/>
  <c r="S8" i="113"/>
  <c r="J108" i="112" s="1"/>
  <c r="S9" i="113"/>
  <c r="S38" i="106"/>
  <c r="S55" i="113"/>
  <c r="J109" i="112"/>
  <c r="S65" i="113" l="1"/>
  <c r="L168" i="112"/>
  <c r="S57" i="113"/>
  <c r="S35" i="113"/>
  <c r="S53" i="113"/>
  <c r="S56" i="113"/>
  <c r="J24" i="104"/>
  <c r="C115" i="104" s="1"/>
  <c r="ET6" i="105"/>
  <c r="H69" i="102"/>
  <c r="J105" i="112"/>
  <c r="I45" i="104"/>
  <c r="F89" i="102"/>
  <c r="S34" i="113"/>
  <c r="S33" i="113"/>
  <c r="J104" i="112" s="1"/>
  <c r="J100" i="112"/>
  <c r="S42" i="113"/>
  <c r="S25" i="113"/>
  <c r="S80" i="106"/>
  <c r="J41" i="112"/>
  <c r="S27" i="113"/>
  <c r="S38" i="113" s="1"/>
  <c r="J106" i="112" s="1"/>
  <c r="S43" i="113"/>
  <c r="H72" i="102"/>
  <c r="B166" i="112" l="1"/>
  <c r="C166" i="112"/>
  <c r="H166" i="112"/>
  <c r="F87" i="112" s="1"/>
  <c r="T166" i="112"/>
  <c r="D166" i="112"/>
  <c r="S166" i="112"/>
  <c r="U166" i="112"/>
  <c r="E167" i="112"/>
  <c r="G167" i="112"/>
  <c r="H167" i="112"/>
  <c r="F88" i="112" s="1"/>
  <c r="I166" i="112"/>
  <c r="G87" i="112" s="1"/>
  <c r="E70" i="102" s="1"/>
  <c r="F167" i="112"/>
  <c r="J166" i="112"/>
  <c r="H87" i="112" s="1"/>
  <c r="F70" i="102" s="1"/>
  <c r="K166" i="112"/>
  <c r="I87" i="112" s="1"/>
  <c r="G70" i="102" s="1"/>
  <c r="ET20" i="105"/>
  <c r="C87" i="112" s="1"/>
  <c r="EW20" i="105"/>
  <c r="FA20" i="105"/>
  <c r="E166" i="112"/>
  <c r="F166" i="112"/>
  <c r="G166" i="112"/>
  <c r="L166" i="112"/>
  <c r="J87" i="112" s="1"/>
  <c r="H70" i="102" s="1"/>
  <c r="R166" i="112"/>
  <c r="B167" i="112"/>
  <c r="C167" i="112"/>
  <c r="D167" i="112"/>
  <c r="I167" i="112"/>
  <c r="G88" i="112" s="1"/>
  <c r="E71" i="102" s="1"/>
  <c r="J167" i="112"/>
  <c r="H88" i="112" s="1"/>
  <c r="F71" i="102" s="1"/>
  <c r="ET8" i="105"/>
  <c r="ES20" i="105"/>
  <c r="B87" i="112" s="1"/>
  <c r="EV21" i="105"/>
  <c r="E88" i="112" s="1"/>
  <c r="EX20" i="105"/>
  <c r="EY21" i="105"/>
  <c r="EY20" i="105"/>
  <c r="EU20" i="105"/>
  <c r="D87" i="112" s="1"/>
  <c r="ET21" i="105"/>
  <c r="C88" i="112" s="1"/>
  <c r="FA21" i="105"/>
  <c r="ES21" i="105"/>
  <c r="B88" i="112" s="1"/>
  <c r="EZ21" i="105"/>
  <c r="EX21" i="105"/>
  <c r="EW21" i="105"/>
  <c r="EV20" i="105"/>
  <c r="E87" i="112" s="1"/>
  <c r="EZ20" i="105"/>
  <c r="EU21" i="105"/>
  <c r="D88" i="112" s="1"/>
  <c r="C82" i="104"/>
  <c r="H89" i="102"/>
  <c r="K167" i="112"/>
  <c r="I88" i="112" s="1"/>
  <c r="G71" i="102" s="1"/>
  <c r="L167" i="112"/>
  <c r="J88" i="112" s="1"/>
  <c r="H71" i="102" s="1"/>
  <c r="R167" i="112"/>
  <c r="S167" i="112"/>
  <c r="T167" i="112"/>
  <c r="U167" i="112"/>
  <c r="S44" i="113"/>
  <c r="ET16" i="105" l="1"/>
  <c r="ET9" i="105"/>
  <c r="EV16" i="105" s="1"/>
  <c r="EU8" i="105"/>
  <c r="ES22" i="105" l="1"/>
  <c r="B90" i="112" s="1"/>
  <c r="EX22" i="105"/>
  <c r="G90" i="112" s="1"/>
  <c r="EY22" i="105"/>
  <c r="H90" i="112" s="1"/>
  <c r="EV22" i="105"/>
  <c r="E90" i="112" s="1"/>
  <c r="EZ22" i="105"/>
  <c r="I90" i="112" s="1"/>
  <c r="C89" i="112"/>
  <c r="E89" i="112"/>
  <c r="G89" i="112"/>
  <c r="I89" i="112"/>
  <c r="B89" i="112"/>
  <c r="D89" i="112"/>
  <c r="F89" i="112"/>
  <c r="H89" i="112"/>
  <c r="J89" i="112"/>
  <c r="ET22" i="105"/>
  <c r="C90" i="112" s="1"/>
  <c r="FA22" i="105"/>
  <c r="J90" i="112" s="1"/>
  <c r="EW22" i="105"/>
  <c r="F90" i="112" s="1"/>
  <c r="EU22" i="105"/>
  <c r="D90" i="112" s="1"/>
  <c r="FB22" i="105"/>
  <c r="G185" i="103"/>
  <c r="G163" i="10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Quan, Ton Dat</author>
    <author>tc={817A4BDE-691C-4379-9CFE-0CAE5EEDA24A}</author>
    <author>Huong, Huynh Hong</author>
    <author>Microsoft Office User</author>
  </authors>
  <commentList>
    <comment ref="G11" authorId="0" shapeId="0" xr:uid="{70245B4D-B797-44A3-84E8-0DDABE00C114}">
      <text>
        <r>
          <rPr>
            <b/>
            <sz val="9"/>
            <color indexed="81"/>
            <rFont val="Tahoma"/>
            <family val="2"/>
          </rPr>
          <t>Quan, Ton Dat:</t>
        </r>
        <r>
          <rPr>
            <sz val="9"/>
            <color indexed="81"/>
            <rFont val="Tahoma"/>
            <family val="2"/>
          </rPr>
          <t xml:space="preserve">
31.449 </t>
        </r>
      </text>
    </comment>
    <comment ref="H11" authorId="0" shapeId="0" xr:uid="{CE8D1F18-7FE8-4A17-BAE1-2ADB3EBF00E1}">
      <text>
        <r>
          <rPr>
            <b/>
            <sz val="9"/>
            <color indexed="81"/>
            <rFont val="Tahoma"/>
            <family val="2"/>
          </rPr>
          <t>Quan, Ton Dat:</t>
        </r>
        <r>
          <rPr>
            <sz val="9"/>
            <color indexed="81"/>
            <rFont val="Tahoma"/>
            <family val="2"/>
          </rPr>
          <t xml:space="preserve">
31.449 </t>
        </r>
      </text>
    </comment>
    <comment ref="J11" authorId="1" shapeId="0" xr:uid="{817A4BDE-691C-4379-9CFE-0CAE5EEDA24A}">
      <text>
        <t>[Threaded comment]
Your version of Excel allows you to read this threaded comment; however, any edits to it will get removed if the file is opened in a newer version of Excel. Learn more: https://go.microsoft.com/fwlink/?linkid=870924
Comment:
    FPT's 2023 for Total IT: 31,150bn</t>
      </text>
    </comment>
    <comment ref="BX12" authorId="2" shapeId="0" xr:uid="{00000000-0006-0000-0100-000001000000}">
      <text>
        <r>
          <rPr>
            <b/>
            <sz val="9"/>
            <color indexed="8"/>
            <rFont val="Tahoma"/>
            <family val="2"/>
          </rPr>
          <t>Huong, Huynh Hong:</t>
        </r>
        <r>
          <rPr>
            <sz val="9"/>
            <color indexed="8"/>
            <rFont val="Tahoma"/>
            <family val="2"/>
          </rPr>
          <t xml:space="preserve">
</t>
        </r>
        <r>
          <rPr>
            <sz val="9"/>
            <color indexed="8"/>
            <rFont val="Tahoma"/>
            <family val="2"/>
          </rPr>
          <t>$1bn target</t>
        </r>
      </text>
    </comment>
    <comment ref="J19" authorId="0" shapeId="0" xr:uid="{EDE2169C-01E1-4A48-82A7-7F297F6C6E4C}">
      <text>
        <r>
          <rPr>
            <b/>
            <sz val="9"/>
            <color indexed="81"/>
            <rFont val="Tahoma"/>
            <family val="2"/>
          </rPr>
          <t>Quan, Ton Dat:</t>
        </r>
        <r>
          <rPr>
            <sz val="9"/>
            <color indexed="81"/>
            <rFont val="Tahoma"/>
            <family val="2"/>
          </rPr>
          <t xml:space="preserve">
17.5%</t>
        </r>
      </text>
    </comment>
    <comment ref="J20" authorId="0" shapeId="0" xr:uid="{3BE5DAE0-EA5F-4159-9309-5B633DB51DCE}">
      <text>
        <r>
          <rPr>
            <b/>
            <sz val="9"/>
            <color indexed="81"/>
            <rFont val="Tahoma"/>
            <family val="2"/>
          </rPr>
          <t>Quan, Ton Dat:</t>
        </r>
        <r>
          <rPr>
            <sz val="9"/>
            <color indexed="81"/>
            <rFont val="Tahoma"/>
            <family val="2"/>
          </rPr>
          <t xml:space="preserve">
21.3% = FPT's target</t>
        </r>
      </text>
    </comment>
    <comment ref="J22" authorId="2" shapeId="0" xr:uid="{00000000-0006-0000-0100-000002000000}">
      <text>
        <r>
          <rPr>
            <b/>
            <sz val="9"/>
            <color indexed="8"/>
            <rFont val="Tahoma"/>
            <family val="2"/>
          </rPr>
          <t>Huong, Huynh Hong:</t>
        </r>
        <r>
          <rPr>
            <sz val="9"/>
            <color indexed="8"/>
            <rFont val="Tahoma"/>
            <family val="2"/>
          </rPr>
          <t xml:space="preserve">
</t>
        </r>
        <r>
          <rPr>
            <sz val="9"/>
            <color indexed="8"/>
            <rFont val="Tahoma"/>
            <family val="2"/>
          </rPr>
          <t xml:space="preserve">Theo định hướng phát triển ngành thông tin - truyền thông giai đoạn 2023-2025
</t>
        </r>
        <r>
          <rPr>
            <sz val="9"/>
            <color indexed="8"/>
            <rFont val="Tahoma"/>
            <family val="2"/>
          </rPr>
          <t xml:space="preserve">
</t>
        </r>
        <r>
          <rPr>
            <sz val="9"/>
            <color indexed="8"/>
            <rFont val="Tahoma"/>
            <family val="2"/>
          </rPr>
          <t>https://thuvienphapluat.vn/van-ban/Cong-nghe-thong-tin/Chi-thi-01-CT-BTTTT-2023-dinh-huong-phat-trien-nganh-Thong-tin-truyen-thong-554939.aspx</t>
        </r>
      </text>
    </comment>
    <comment ref="J23" authorId="0" shapeId="0" xr:uid="{AAF67CC0-716E-4CB0-ACE2-12EDD2E4690D}">
      <text>
        <r>
          <rPr>
            <b/>
            <sz val="9"/>
            <color indexed="81"/>
            <rFont val="Tahoma"/>
            <family val="2"/>
          </rPr>
          <t>Quan, Ton Dat:</t>
        </r>
        <r>
          <rPr>
            <sz val="9"/>
            <color indexed="81"/>
            <rFont val="Tahoma"/>
            <family val="2"/>
          </rPr>
          <t xml:space="preserve">
11.4% FPT target</t>
        </r>
      </text>
    </comment>
    <comment ref="J25" authorId="2" shapeId="0" xr:uid="{00000000-0006-0000-0100-000003000000}">
      <text>
        <r>
          <rPr>
            <b/>
            <sz val="9"/>
            <color indexed="8"/>
            <rFont val="Tahoma"/>
            <family val="2"/>
          </rPr>
          <t>Huong, Huynh Hong:</t>
        </r>
        <r>
          <rPr>
            <sz val="9"/>
            <color indexed="8"/>
            <rFont val="Tahoma"/>
            <family val="2"/>
          </rPr>
          <t xml:space="preserve">
</t>
        </r>
        <r>
          <rPr>
            <sz val="9"/>
            <color indexed="8"/>
            <rFont val="Tahoma"/>
            <family val="2"/>
          </rPr>
          <t>https://www.statista.com/outlook/dmo/digital-advertising/vietnam</t>
        </r>
      </text>
    </comment>
    <comment ref="J26" authorId="2" shapeId="0" xr:uid="{ACA66782-C7FC-45E6-B509-5B8A0C7166DB}">
      <text>
        <r>
          <rPr>
            <b/>
            <sz val="9"/>
            <color indexed="8"/>
            <rFont val="Tahoma"/>
            <family val="2"/>
          </rPr>
          <t>Huong, Huynh Hong:</t>
        </r>
        <r>
          <rPr>
            <sz val="9"/>
            <color indexed="8"/>
            <rFont val="Tahoma"/>
            <family val="2"/>
          </rPr>
          <t xml:space="preserve">
</t>
        </r>
        <r>
          <rPr>
            <sz val="9"/>
            <color indexed="8"/>
            <rFont val="Tahoma"/>
            <family val="2"/>
          </rPr>
          <t xml:space="preserve">Theo định hướng phát triển ngành thông tin - truyền thông giai đoạn 2023-2025
</t>
        </r>
        <r>
          <rPr>
            <sz val="9"/>
            <color indexed="8"/>
            <rFont val="Tahoma"/>
            <family val="2"/>
          </rPr>
          <t xml:space="preserve">
</t>
        </r>
        <r>
          <rPr>
            <sz val="9"/>
            <color indexed="8"/>
            <rFont val="Tahoma"/>
            <family val="2"/>
          </rPr>
          <t>https://thuvienphapluat.vn/van-ban/Cong-nghe-thong-tin/Chi-thi-01-CT-BTTTT-2023-dinh-huong-phat-trien-nganh-Thong-tin-truyen-thong-554939.aspx</t>
        </r>
      </text>
    </comment>
    <comment ref="J40" authorId="0" shapeId="0" xr:uid="{23BA78B7-DFD6-42DD-98F1-D05AB5C4C80A}">
      <text>
        <r>
          <rPr>
            <b/>
            <sz val="9"/>
            <color indexed="81"/>
            <rFont val="Tahoma"/>
            <family val="2"/>
          </rPr>
          <t>Quan, Ton Dat:
FPT đặt mục tiêu 50.000 nhân sự đến năm 2024 (từ:2018)</t>
        </r>
        <r>
          <rPr>
            <sz val="9"/>
            <color indexed="81"/>
            <rFont val="Tahoma"/>
            <family val="2"/>
          </rPr>
          <t xml:space="preserve">
https://chungta.vn/nguoi-fpt/fpt-dat-muc-tieu-50-000-nhan-su-den-nam-2024-1120762.html</t>
        </r>
      </text>
    </comment>
    <comment ref="B102" authorId="2" shapeId="0" xr:uid="{00000000-0006-0000-0100-000004000000}">
      <text>
        <r>
          <rPr>
            <b/>
            <sz val="9"/>
            <color indexed="81"/>
            <rFont val="Tahoma"/>
            <family val="2"/>
          </rPr>
          <t>Huong, Huynh Hong:</t>
        </r>
        <r>
          <rPr>
            <sz val="9"/>
            <color indexed="81"/>
            <rFont val="Tahoma"/>
            <family val="2"/>
          </rPr>
          <t xml:space="preserve">
CP đầu tư Viễn thông 3000 tỷ</t>
        </r>
      </text>
    </comment>
    <comment ref="AI140" authorId="2" shapeId="0" xr:uid="{00000000-0006-0000-0100-000005000000}">
      <text>
        <r>
          <rPr>
            <b/>
            <sz val="9"/>
            <color indexed="81"/>
            <rFont val="Tahoma"/>
            <family val="2"/>
          </rPr>
          <t>Huong, Huynh Hong:</t>
        </r>
        <r>
          <rPr>
            <sz val="9"/>
            <color indexed="81"/>
            <rFont val="Tahoma"/>
            <family val="2"/>
          </rPr>
          <t xml:space="preserve">
LNTT mảng I&amp;E riêng lẻ (0 adjust) chênh lệch do ghi nhận cổ tức từ các CTLK (lợi nhuận TC)</t>
        </r>
      </text>
    </comment>
    <comment ref="J143" authorId="0" shapeId="0" xr:uid="{EF8F189D-7298-4B83-86CD-14D9DFCC32F9}">
      <text>
        <r>
          <rPr>
            <b/>
            <sz val="9"/>
            <color indexed="81"/>
            <rFont val="Tahoma"/>
            <family val="2"/>
          </rPr>
          <t>Quan, Ton Dat:</t>
        </r>
        <r>
          <rPr>
            <sz val="9"/>
            <color indexed="81"/>
            <rFont val="Tahoma"/>
            <family val="2"/>
          </rPr>
          <t xml:space="preserve">
18.2% - FPT target</t>
        </r>
      </text>
    </comment>
    <comment ref="J144" authorId="0" shapeId="0" xr:uid="{08089344-B384-4195-930E-56662452E293}">
      <text>
        <r>
          <rPr>
            <b/>
            <sz val="9"/>
            <color indexed="81"/>
            <rFont val="Tahoma"/>
            <family val="2"/>
          </rPr>
          <t>Quan, Ton Dat:</t>
        </r>
        <r>
          <rPr>
            <sz val="9"/>
            <color indexed="81"/>
            <rFont val="Tahoma"/>
            <family val="2"/>
          </rPr>
          <t xml:space="preserve">
24.8% = FPT target</t>
        </r>
      </text>
    </comment>
    <comment ref="J147" authorId="0" shapeId="0" xr:uid="{14C75BEC-1DAA-464C-9C28-724CD4E1F52F}">
      <text>
        <r>
          <rPr>
            <b/>
            <sz val="9"/>
            <color indexed="81"/>
            <rFont val="Tahoma"/>
            <family val="2"/>
          </rPr>
          <t>Quan, Ton Dat:</t>
        </r>
        <r>
          <rPr>
            <sz val="9"/>
            <color indexed="81"/>
            <rFont val="Tahoma"/>
            <family val="2"/>
          </rPr>
          <t xml:space="preserve">
15.3% = FPT target</t>
        </r>
      </text>
    </comment>
    <comment ref="J150" authorId="0" shapeId="0" xr:uid="{F078D2B6-B1D5-4426-8300-9599884AA283}">
      <text>
        <r>
          <rPr>
            <b/>
            <sz val="9"/>
            <color indexed="81"/>
            <rFont val="Tahoma"/>
            <family val="2"/>
          </rPr>
          <t>Quan, Ton Dat:</t>
        </r>
        <r>
          <rPr>
            <sz val="9"/>
            <color indexed="81"/>
            <rFont val="Tahoma"/>
            <family val="2"/>
          </rPr>
          <t xml:space="preserve">
8.7% </t>
        </r>
      </text>
    </comment>
    <comment ref="X159" authorId="2" shapeId="0" xr:uid="{43AEBF0D-2E62-422B-B36E-9A36F058E15A}">
      <text>
        <r>
          <rPr>
            <b/>
            <sz val="9"/>
            <color indexed="8"/>
            <rFont val="Tahoma"/>
            <family val="2"/>
          </rPr>
          <t>Huong, Huynh Hong:</t>
        </r>
        <r>
          <rPr>
            <sz val="9"/>
            <color indexed="8"/>
            <rFont val="Tahoma"/>
            <family val="2"/>
          </rPr>
          <t xml:space="preserve">
</t>
        </r>
        <r>
          <rPr>
            <sz val="9"/>
            <color indexed="8"/>
            <rFont val="Tahoma"/>
            <family val="2"/>
          </rPr>
          <t>$1bn target</t>
        </r>
      </text>
    </comment>
    <comment ref="J188" authorId="0" shapeId="0" xr:uid="{871A1414-DD2C-4FC7-AAE8-99877E521672}">
      <text>
        <r>
          <rPr>
            <b/>
            <sz val="9"/>
            <color indexed="81"/>
            <rFont val="Tahoma"/>
            <family val="2"/>
          </rPr>
          <t xml:space="preserve">Quan, Ton Dat:
</t>
        </r>
        <r>
          <rPr>
            <sz val="9"/>
            <color indexed="81"/>
            <rFont val="Tahoma"/>
            <family val="2"/>
          </rPr>
          <t>FPT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đặt mục tiêu doanh thu chuyển đổi kỹ thuật số của FPT sẽ tăng hơn 35% so với năm 2022
https://doanhnhan.vn/fpt-canh-tranh-tren-thi-truong-my-bang-loi-the-gia-thap-dat-ke-hoach-doanh-thu-mang-xuat-khau-phan-mem-toan-cau-tang-25-50284.html</t>
        </r>
      </text>
    </comment>
    <comment ref="E199" authorId="2" shapeId="0" xr:uid="{00000000-0006-0000-0100-000008000000}">
      <text>
        <r>
          <rPr>
            <b/>
            <sz val="9"/>
            <color indexed="81"/>
            <rFont val="Tahoma"/>
            <family val="2"/>
          </rPr>
          <t>Huong, Huynh Hong:</t>
        </r>
        <r>
          <rPr>
            <sz val="9"/>
            <color indexed="81"/>
            <rFont val="Tahoma"/>
            <family val="2"/>
          </rPr>
          <t xml:space="preserve">
fixed broadband accounts 28.1% of total telecom revenue in 2020</t>
        </r>
      </text>
    </comment>
    <comment ref="F200" authorId="3" shapeId="0" xr:uid="{00000000-0006-0000-0100-000009000000}">
      <text>
        <r>
          <rPr>
            <b/>
            <sz val="10"/>
            <color indexed="8"/>
            <rFont val="Tahoma"/>
            <family val="2"/>
          </rPr>
          <t>Microsoft Office User:</t>
        </r>
        <r>
          <rPr>
            <sz val="10"/>
            <color indexed="8"/>
            <rFont val="Tahoma"/>
            <family val="2"/>
          </rPr>
          <t xml:space="preserve">
</t>
        </r>
        <r>
          <rPr>
            <sz val="10"/>
            <color indexed="8"/>
            <rFont val="Tahoma"/>
            <family val="2"/>
          </rPr>
          <t>https://vietnamnet.vn/toc-do-internet-viet-nam-se-tang-vot-trong-nam-2023-i5012152.html</t>
        </r>
      </text>
    </comment>
    <comment ref="J200" authorId="2" shapeId="0" xr:uid="{00000000-0006-0000-0100-00000A000000}">
      <text>
        <r>
          <rPr>
            <b/>
            <sz val="9"/>
            <color indexed="8"/>
            <rFont val="Tahoma"/>
            <family val="2"/>
          </rPr>
          <t>Huong, Huynh Hong:</t>
        </r>
        <r>
          <rPr>
            <sz val="9"/>
            <color indexed="8"/>
            <rFont val="Tahoma"/>
            <family val="2"/>
          </rPr>
          <t xml:space="preserve">
https://www.globaldata.com/media/technology/telecom-service-revenue-in-vietnam-to-increase-at-4-4-cagr-during-2022-2027-forecasts-globaldata/
Equals to subscriber +8.5% YoY, ARPU -3.7% YoY</t>
        </r>
      </text>
    </comment>
    <comment ref="F214" authorId="2" shapeId="0" xr:uid="{00000000-0006-0000-0100-00000B000000}">
      <text>
        <r>
          <rPr>
            <b/>
            <sz val="9"/>
            <color indexed="8"/>
            <rFont val="Tahoma"/>
            <family val="2"/>
          </rPr>
          <t>Huong, Huynh Hong:</t>
        </r>
        <r>
          <rPr>
            <sz val="9"/>
            <color indexed="8"/>
            <rFont val="Tahoma"/>
            <family val="2"/>
          </rPr>
          <t xml:space="preserve">
</t>
        </r>
        <r>
          <rPr>
            <sz val="9"/>
            <color indexed="8"/>
            <rFont val="Tahoma"/>
            <family val="2"/>
          </rPr>
          <t>&gt;</t>
        </r>
      </text>
    </comment>
    <comment ref="N214" authorId="0" shapeId="0" xr:uid="{A6A6116E-5F70-4220-9739-14602557EAD0}">
      <text>
        <r>
          <rPr>
            <b/>
            <sz val="9"/>
            <color indexed="81"/>
            <rFont val="Tahoma"/>
            <family val="2"/>
          </rPr>
          <t>Quan, Ton Dat:</t>
        </r>
        <r>
          <rPr>
            <sz val="9"/>
            <color indexed="81"/>
            <rFont val="Tahoma"/>
            <family val="2"/>
          </rPr>
          <t xml:space="preserve">
FPT hướng tới quy mô Giga (1tr) học sinh vào năm 2025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Huong, Huynh Hong</author>
  </authors>
  <commentList>
    <comment ref="H133" authorId="0" shapeId="0" xr:uid="{00000000-0006-0000-0700-000001000000}">
      <text>
        <r>
          <rPr>
            <b/>
            <sz val="9"/>
            <color indexed="8"/>
            <rFont val="Tahoma"/>
            <family val="2"/>
          </rPr>
          <t>Huong, Huynh Hong:</t>
        </r>
        <r>
          <rPr>
            <sz val="9"/>
            <color indexed="8"/>
            <rFont val="Tahoma"/>
            <family val="2"/>
          </rPr>
          <t xml:space="preserve">
</t>
        </r>
        <r>
          <rPr>
            <sz val="9"/>
            <color indexed="8"/>
            <rFont val="Tahoma"/>
            <family val="2"/>
          </rPr>
          <t>20.4 -1 STD from average (7/11/22)</t>
        </r>
      </text>
    </comment>
    <comment ref="I133" authorId="0" shapeId="0" xr:uid="{00000000-0006-0000-0700-000002000000}">
      <text>
        <r>
          <rPr>
            <b/>
            <sz val="9"/>
            <color indexed="8"/>
            <rFont val="Tahoma"/>
            <family val="2"/>
          </rPr>
          <t>Huong, Huynh Hong:</t>
        </r>
        <r>
          <rPr>
            <sz val="9"/>
            <color indexed="8"/>
            <rFont val="Tahoma"/>
            <family val="2"/>
          </rPr>
          <t xml:space="preserve">
</t>
        </r>
        <r>
          <rPr>
            <sz val="9"/>
            <color indexed="8"/>
            <rFont val="Tahoma"/>
            <family val="2"/>
          </rPr>
          <t>Previous file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Quan, Ton Dat</author>
    <author>Huong, Huynh Hong</author>
    <author>HOME</author>
  </authors>
  <commentList>
    <comment ref="W6" authorId="0" shapeId="0" xr:uid="{BA0ECBA8-3DFB-41C0-9972-BCE894BD2CBB}">
      <text>
        <r>
          <rPr>
            <b/>
            <sz val="9"/>
            <color indexed="81"/>
            <rFont val="Tahoma"/>
            <family val="2"/>
          </rPr>
          <t>Quan, Ton Dat:</t>
        </r>
        <r>
          <rPr>
            <sz val="9"/>
            <color indexed="81"/>
            <rFont val="Tahoma"/>
            <family val="2"/>
          </rPr>
          <t xml:space="preserve">
Plan: 75400</t>
        </r>
      </text>
    </comment>
    <comment ref="V14" authorId="1" shapeId="0" xr:uid="{00000000-0006-0000-0300-000001000000}">
      <text>
        <r>
          <rPr>
            <b/>
            <sz val="9"/>
            <color rgb="FF000000"/>
            <rFont val="Tahoma"/>
            <family val="2"/>
          </rPr>
          <t>Huong, Huynh Hong: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Gross margin improved due to slower growth of employees</t>
        </r>
      </text>
    </comment>
    <comment ref="EV18" authorId="1" shapeId="0" xr:uid="{00000000-0006-0000-0300-000003000000}">
      <text>
        <r>
          <rPr>
            <b/>
            <sz val="9"/>
            <color indexed="81"/>
            <rFont val="Tahoma"/>
            <family val="2"/>
          </rPr>
          <t>Huong, Huynh Hong:</t>
        </r>
        <r>
          <rPr>
            <sz val="9"/>
            <color indexed="81"/>
            <rFont val="Tahoma"/>
            <family val="2"/>
          </rPr>
          <t xml:space="preserve">
Unadjusted, only adjust for current ESOP</t>
        </r>
      </text>
    </comment>
    <comment ref="EW18" authorId="1" shapeId="0" xr:uid="{00000000-0006-0000-0300-000004000000}">
      <text>
        <r>
          <rPr>
            <b/>
            <sz val="9"/>
            <color indexed="81"/>
            <rFont val="Tahoma"/>
            <family val="2"/>
          </rPr>
          <t>Huong, Huynh Hong:</t>
        </r>
        <r>
          <rPr>
            <sz val="9"/>
            <color indexed="81"/>
            <rFont val="Tahoma"/>
            <family val="2"/>
          </rPr>
          <t xml:space="preserve">
Unadjusted</t>
        </r>
      </text>
    </comment>
    <comment ref="B38" authorId="2" shapeId="0" xr:uid="{00000000-0006-0000-0300-000005000000}">
      <text>
        <r>
          <rPr>
            <b/>
            <sz val="9"/>
            <color indexed="81"/>
            <rFont val="Tahoma"/>
            <family val="2"/>
          </rPr>
          <t>HOME:</t>
        </r>
        <r>
          <rPr>
            <sz val="9"/>
            <color indexed="81"/>
            <rFont val="Tahoma"/>
            <family val="2"/>
          </rPr>
          <t xml:space="preserve">
0.3% of materials of which = 75% COGS</t>
        </r>
      </text>
    </comment>
    <comment ref="CR38" authorId="2" shapeId="0" xr:uid="{C54ED671-392E-46E2-82E2-89BDFB41AEFA}">
      <text>
        <r>
          <rPr>
            <b/>
            <sz val="9"/>
            <color indexed="81"/>
            <rFont val="Tahoma"/>
            <family val="2"/>
          </rPr>
          <t>HOME:</t>
        </r>
        <r>
          <rPr>
            <sz val="9"/>
            <color indexed="81"/>
            <rFont val="Tahoma"/>
            <family val="2"/>
          </rPr>
          <t xml:space="preserve">
0.3% of materials of which = 75% COGS</t>
        </r>
      </text>
    </comment>
    <comment ref="W47" authorId="0" shapeId="0" xr:uid="{0A4BC297-DAD0-44AA-8D79-8F803307EBD4}">
      <text>
        <r>
          <rPr>
            <b/>
            <sz val="9"/>
            <color indexed="81"/>
            <rFont val="Tahoma"/>
            <family val="2"/>
          </rPr>
          <t>Quan, Ton Dat:</t>
        </r>
        <r>
          <rPr>
            <sz val="9"/>
            <color indexed="81"/>
            <rFont val="Tahoma"/>
            <family val="2"/>
          </rPr>
          <t xml:space="preserve">
Plan: 13,395</t>
        </r>
      </text>
    </comment>
    <comment ref="N99" authorId="1" shapeId="0" xr:uid="{9D07BC74-FAD8-42B9-A0BE-F8A8AA057D8B}">
      <text>
        <r>
          <rPr>
            <b/>
            <sz val="9"/>
            <color indexed="8"/>
            <rFont val="Tahoma"/>
            <family val="2"/>
          </rPr>
          <t>Huong, Huynh Hong:</t>
        </r>
        <r>
          <rPr>
            <sz val="9"/>
            <color indexed="8"/>
            <rFont val="Tahoma"/>
            <family val="2"/>
          </rPr>
          <t xml:space="preserve">
ESOP Distribution
- 5mil shares cho nhân viên có thành tích đóng góp năm trước
-2mil shares cho BLĐ cấp cao năm nay 
Lặp lại theo thông lệ hằng năm, thực hiện khoảng đầu tháng 5</t>
        </r>
      </text>
    </comment>
    <comment ref="B103" authorId="1" shapeId="0" xr:uid="{00000000-0006-0000-0300-000008000000}">
      <text>
        <r>
          <rPr>
            <b/>
            <sz val="9"/>
            <color indexed="81"/>
            <rFont val="Tahoma"/>
            <family val="2"/>
          </rPr>
          <t>Huong, Huynh Hong:</t>
        </r>
        <r>
          <rPr>
            <sz val="9"/>
            <color indexed="81"/>
            <rFont val="Tahoma"/>
            <family val="2"/>
          </rPr>
          <t xml:space="preserve">
Stock dividend</t>
        </r>
      </text>
    </comment>
    <comment ref="L103" authorId="1" shapeId="0" xr:uid="{00000000-0006-0000-0300-000009000000}">
      <text>
        <r>
          <rPr>
            <b/>
            <sz val="9"/>
            <color indexed="8"/>
            <rFont val="Tahoma"/>
            <family val="2"/>
          </rPr>
          <t>Huong, Huynh Hong:</t>
        </r>
        <r>
          <rPr>
            <sz val="9"/>
            <color indexed="8"/>
            <rFont val="Tahoma"/>
            <family val="2"/>
          </rPr>
          <t xml:space="preserve">
</t>
        </r>
        <r>
          <rPr>
            <sz val="9"/>
            <color indexed="8"/>
            <rFont val="Tahoma"/>
            <family val="2"/>
          </rPr>
          <t>5:1</t>
        </r>
      </text>
    </comment>
    <comment ref="M103" authorId="1" shapeId="0" xr:uid="{00000000-0006-0000-0300-00000A000000}">
      <text>
        <r>
          <rPr>
            <b/>
            <sz val="9"/>
            <color indexed="8"/>
            <rFont val="Tahoma"/>
            <family val="2"/>
          </rPr>
          <t>Huong, Huynh Hong:</t>
        </r>
        <r>
          <rPr>
            <sz val="9"/>
            <color indexed="8"/>
            <rFont val="Tahoma"/>
            <family val="2"/>
          </rPr>
          <t xml:space="preserve">
</t>
        </r>
        <r>
          <rPr>
            <sz val="9"/>
            <color indexed="8"/>
            <rFont val="Tahoma"/>
            <family val="2"/>
          </rPr>
          <t xml:space="preserve">20:3
</t>
        </r>
        <r>
          <rPr>
            <sz val="9"/>
            <color indexed="8"/>
            <rFont val="Tahoma"/>
            <family val="2"/>
          </rPr>
          <t>To be issue later in 2023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Quan, Ton Dat</author>
    <author>Huong, Huynh Hong</author>
    <author>Ton Quan</author>
    <author>Microsoft Office User</author>
    <author>HOME</author>
  </authors>
  <commentList>
    <comment ref="V9" authorId="0" shapeId="0" xr:uid="{4464BC41-F3DE-41DF-8A4D-6A4015A6ED87}">
      <text>
        <r>
          <rPr>
            <b/>
            <sz val="9"/>
            <color indexed="81"/>
            <rFont val="Tahoma"/>
            <family val="2"/>
          </rPr>
          <t>Quan, Ton Dat:</t>
        </r>
        <r>
          <rPr>
            <sz val="9"/>
            <color indexed="81"/>
            <rFont val="Tahoma"/>
            <family val="2"/>
          </rPr>
          <t xml:space="preserve">
Net Sales*Days of Receivables</t>
        </r>
      </text>
    </comment>
    <comment ref="V11" authorId="0" shapeId="0" xr:uid="{5BF7350B-DD5E-41E4-9FDA-8803F8559DFE}">
      <text>
        <r>
          <rPr>
            <b/>
            <sz val="9"/>
            <color rgb="FF000000"/>
            <rFont val="Tahoma"/>
            <family val="2"/>
          </rPr>
          <t>Quan, Ton Dat: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COGS*DOH</t>
        </r>
      </text>
    </comment>
    <comment ref="B13" authorId="1" shapeId="0" xr:uid="{00000000-0006-0000-0200-000001000000}">
      <text>
        <r>
          <rPr>
            <b/>
            <sz val="9"/>
            <color indexed="8"/>
            <rFont val="Tahoma"/>
            <family val="2"/>
          </rPr>
          <t>Huong, Huynh Hong:</t>
        </r>
        <r>
          <rPr>
            <sz val="9"/>
            <color indexed="8"/>
            <rFont val="Tahoma"/>
            <family val="2"/>
          </rPr>
          <t xml:space="preserve">
</t>
        </r>
        <r>
          <rPr>
            <sz val="9"/>
            <color indexed="8"/>
            <rFont val="Tahoma"/>
            <family val="2"/>
          </rPr>
          <t>mostly prepayment to suppliers</t>
        </r>
      </text>
    </comment>
    <comment ref="I34" authorId="1" shapeId="0" xr:uid="{00000000-0006-0000-0200-000002000000}">
      <text>
        <r>
          <rPr>
            <b/>
            <sz val="9"/>
            <color rgb="FF000000"/>
            <rFont val="Tahoma"/>
            <family val="2"/>
          </rPr>
          <t>Huong, Huynh Hong: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Mua 90% cp Intellinet</t>
        </r>
      </text>
    </comment>
    <comment ref="L34" authorId="1" shapeId="0" xr:uid="{00000000-0006-0000-0200-000003000000}">
      <text>
        <r>
          <rPr>
            <b/>
            <sz val="9"/>
            <color indexed="8"/>
            <rFont val="Tahoma"/>
            <family val="2"/>
          </rPr>
          <t>Huong, Huynh Hong:</t>
        </r>
        <r>
          <rPr>
            <sz val="9"/>
            <color indexed="8"/>
            <rFont val="Tahoma"/>
            <family val="2"/>
          </rPr>
          <t xml:space="preserve">
</t>
        </r>
        <r>
          <rPr>
            <sz val="9"/>
            <color indexed="8"/>
            <rFont val="Tahoma"/>
            <family val="2"/>
          </rPr>
          <t>Bắt đầu invest vô Intertec</t>
        </r>
      </text>
    </comment>
    <comment ref="V34" authorId="1" shapeId="0" xr:uid="{00000000-0006-0000-0200-000004000000}">
      <text>
        <r>
          <rPr>
            <b/>
            <sz val="9"/>
            <color rgb="FF000000"/>
            <rFont val="Tahoma"/>
            <family val="2"/>
          </rPr>
          <t>Huong, Huynh Hong: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Mua lại mảng IT services của Intertect
</t>
        </r>
        <r>
          <rPr>
            <sz val="9"/>
            <color rgb="FF000000"/>
            <rFont val="Tahoma"/>
            <family val="2"/>
          </rPr>
          <t>Theo số Q1/23</t>
        </r>
      </text>
    </comment>
    <comment ref="B35" authorId="1" shapeId="0" xr:uid="{00000000-0006-0000-0200-000005000000}">
      <text>
        <r>
          <rPr>
            <b/>
            <sz val="9"/>
            <color rgb="FF000000"/>
            <rFont val="Tahoma"/>
            <family val="2"/>
          </rPr>
          <t>Huong, Huynh Hong: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included prepayments</t>
        </r>
      </text>
    </comment>
    <comment ref="V36" authorId="2" shapeId="0" xr:uid="{8BB7EAE3-857B-3F4E-ACD3-F6B63B2243A2}">
      <text>
        <r>
          <rPr>
            <b/>
            <sz val="10"/>
            <color rgb="FF000000"/>
            <rFont val="Tahoma"/>
            <family val="2"/>
          </rPr>
          <t>Ton Quan: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should be 23,000bn</t>
        </r>
      </text>
    </comment>
    <comment ref="V43" authorId="0" shapeId="0" xr:uid="{115FFCCD-D833-4D5C-9D85-83A83AD8BCC3}">
      <text>
        <r>
          <rPr>
            <b/>
            <sz val="9"/>
            <color rgb="FF000000"/>
            <rFont val="Tahoma"/>
            <family val="2"/>
          </rPr>
          <t>Quan, Ton Dat: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COGs*DOP</t>
        </r>
      </text>
    </comment>
    <comment ref="V44" authorId="0" shapeId="0" xr:uid="{21B37EF1-6A79-4BD2-93A6-99FC9C074C72}">
      <text>
        <r>
          <rPr>
            <b/>
            <sz val="9"/>
            <color rgb="FF000000"/>
            <rFont val="Tahoma"/>
            <family val="2"/>
          </rPr>
          <t>Quan, Ton Dat: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COGs*Accrued Expenses</t>
        </r>
      </text>
    </comment>
    <comment ref="V45" authorId="0" shapeId="0" xr:uid="{5C965A58-51F0-4EAB-A800-D8139469B789}">
      <text>
        <r>
          <rPr>
            <b/>
            <sz val="9"/>
            <color rgb="FF000000"/>
            <rFont val="Tahoma"/>
            <family val="2"/>
          </rPr>
          <t xml:space="preserve">Quan, Ton Dat:
</t>
        </r>
        <r>
          <rPr>
            <sz val="9"/>
            <color rgb="FF000000"/>
            <rFont val="Tahoma"/>
            <family val="2"/>
          </rPr>
          <t>SG&amp;A*Prepaid expenses</t>
        </r>
      </text>
    </comment>
    <comment ref="V46" authorId="0" shapeId="0" xr:uid="{F71395DA-CA05-4554-9B3A-7944768335E7}">
      <text>
        <r>
          <rPr>
            <b/>
            <sz val="9"/>
            <color rgb="FF000000"/>
            <rFont val="Tahoma"/>
            <family val="2"/>
          </rPr>
          <t>Quan, Ton Dat: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Net Sales*Salary and other expenses/net sales</t>
        </r>
      </text>
    </comment>
    <comment ref="M50" authorId="1" shapeId="0" xr:uid="{00000000-0006-0000-0200-000006000000}">
      <text>
        <r>
          <rPr>
            <b/>
            <sz val="9"/>
            <color indexed="8"/>
            <rFont val="Tahoma"/>
            <family val="2"/>
          </rPr>
          <t>Huong, Huynh Hong:</t>
        </r>
        <r>
          <rPr>
            <sz val="9"/>
            <color indexed="8"/>
            <rFont val="Tahoma"/>
            <family val="2"/>
          </rPr>
          <t xml:space="preserve">
</t>
        </r>
        <r>
          <rPr>
            <sz val="9"/>
            <color indexed="8"/>
            <rFont val="Tahoma"/>
            <family val="2"/>
          </rPr>
          <t>Already added current portion of LT debts</t>
        </r>
      </text>
    </comment>
    <comment ref="V53" authorId="1" shapeId="0" xr:uid="{00000000-0006-0000-0200-000007000000}">
      <text>
        <r>
          <rPr>
            <b/>
            <sz val="9"/>
            <color rgb="FF000000"/>
            <rFont val="Tahoma"/>
            <family val="2"/>
          </rPr>
          <t>Huong, Huynh Hong: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According to Q1 number, company paid back debts. Assume no long-term borrowing due to enough capital
</t>
        </r>
      </text>
    </comment>
    <comment ref="N88" authorId="0" shapeId="0" xr:uid="{306DD479-B497-45DA-9FA8-149FA2370389}">
      <text>
        <r>
          <rPr>
            <b/>
            <sz val="9"/>
            <color indexed="81"/>
            <rFont val="Tahoma"/>
            <family val="2"/>
          </rPr>
          <t>Quan, Ton Dat:</t>
        </r>
        <r>
          <rPr>
            <sz val="9"/>
            <color indexed="81"/>
            <rFont val="Tahoma"/>
            <family val="2"/>
          </rPr>
          <t xml:space="preserve">
FPT trả cổ tức 2022 10% par
+ 10% đợt 1 2023 </t>
        </r>
      </text>
    </comment>
    <comment ref="B110" authorId="0" shapeId="0" xr:uid="{ABBA942A-F5CB-4948-AD79-C530A4672075}">
      <text>
        <r>
          <rPr>
            <b/>
            <sz val="9"/>
            <color indexed="81"/>
            <rFont val="Tahoma"/>
            <family val="2"/>
          </rPr>
          <t>Quan, Ton Dat:</t>
        </r>
        <r>
          <rPr>
            <sz val="9"/>
            <color indexed="81"/>
            <rFont val="Tahoma"/>
            <family val="2"/>
          </rPr>
          <t xml:space="preserve">
Quỹ đầu tư phát triển</t>
        </r>
      </text>
    </comment>
    <comment ref="L128" authorId="1" shapeId="0" xr:uid="{00000000-0006-0000-0200-000008000000}">
      <text>
        <r>
          <rPr>
            <b/>
            <sz val="9"/>
            <color indexed="8"/>
            <rFont val="Tahoma"/>
            <family val="2"/>
          </rPr>
          <t>Huong, Huynh Hong:</t>
        </r>
        <r>
          <rPr>
            <sz val="9"/>
            <color indexed="8"/>
            <rFont val="Tahoma"/>
            <family val="2"/>
          </rPr>
          <t xml:space="preserve">
Dividend DTTC 5 tỷ</t>
        </r>
      </text>
    </comment>
    <comment ref="M128" authorId="3" shapeId="0" xr:uid="{00000000-0006-0000-0200-000009000000}">
      <text>
        <r>
          <rPr>
            <b/>
            <sz val="10"/>
            <color indexed="8"/>
            <rFont val="Tahoma"/>
            <family val="2"/>
          </rPr>
          <t>Microsoft Office User:</t>
        </r>
        <r>
          <rPr>
            <sz val="10"/>
            <color indexed="8"/>
            <rFont val="Tahoma"/>
            <family val="2"/>
          </rPr>
          <t xml:space="preserve">
</t>
        </r>
        <r>
          <rPr>
            <sz val="10"/>
            <color indexed="8"/>
            <rFont val="Tahoma"/>
            <family val="2"/>
          </rPr>
          <t>Dividend DTTC 14.6 tỷ</t>
        </r>
      </text>
    </comment>
    <comment ref="V128" authorId="4" shapeId="0" xr:uid="{00000000-0006-0000-0200-00000A000000}">
      <text>
        <r>
          <rPr>
            <b/>
            <sz val="9"/>
            <color rgb="FF000000"/>
            <rFont val="Tahoma"/>
            <family val="2"/>
          </rPr>
          <t>HOME: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Sheet FI&amp;FE assume 0 dividend</t>
        </r>
      </text>
    </comment>
    <comment ref="V160" authorId="1" shapeId="0" xr:uid="{00000000-0006-0000-0200-00000B000000}">
      <text>
        <r>
          <rPr>
            <b/>
            <sz val="9"/>
            <color indexed="81"/>
            <rFont val="Tahoma"/>
            <family val="2"/>
          </rPr>
          <t>Huong, Huynh Hong:</t>
        </r>
        <r>
          <rPr>
            <sz val="9"/>
            <color indexed="81"/>
            <rFont val="Tahoma"/>
            <family val="2"/>
          </rPr>
          <t xml:space="preserve">
From ESOP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HOME</author>
    <author>Huong, Huynh Hong</author>
    <author>Ton Quan</author>
  </authors>
  <commentList>
    <comment ref="Q63" authorId="0" shapeId="0" xr:uid="{00000000-0006-0000-0400-000001000000}">
      <text>
        <r>
          <rPr>
            <b/>
            <sz val="9"/>
            <color rgb="FF000000"/>
            <rFont val="Tahoma"/>
            <family val="2"/>
          </rPr>
          <t>HOME: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Cty trừ lãi Investing activities ra khỏi dòng tiền HĐKD</t>
        </r>
      </text>
    </comment>
    <comment ref="B64" authorId="1" shapeId="0" xr:uid="{00000000-0006-0000-0400-000002000000}">
      <text>
        <r>
          <rPr>
            <b/>
            <sz val="9"/>
            <color rgb="FF000000"/>
            <rFont val="Tahoma"/>
            <family val="2"/>
          </rPr>
          <t>Huong, Huynh Hong: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included provision</t>
        </r>
      </text>
    </comment>
    <comment ref="B66" authorId="2" shapeId="0" xr:uid="{F9B5090E-1751-9147-AB4C-FD3D13B886C0}">
      <text>
        <r>
          <rPr>
            <b/>
            <sz val="10"/>
            <color rgb="FF000000"/>
            <rFont val="Tahoma"/>
            <family val="2"/>
          </rPr>
          <t>Ton Quan:</t>
        </r>
        <r>
          <rPr>
            <sz val="10"/>
            <color rgb="FF000000"/>
            <rFont val="Tahoma"/>
            <family val="2"/>
          </rPr>
          <t xml:space="preserve"> 
</t>
        </r>
        <r>
          <rPr>
            <sz val="10"/>
            <color rgb="FF000000"/>
            <rFont val="Tahoma"/>
            <family val="2"/>
          </rPr>
          <t>(Increase)/decrease in prepaid expenses</t>
        </r>
      </text>
    </comment>
    <comment ref="Q81" authorId="1" shapeId="0" xr:uid="{00000000-0006-0000-0400-000003000000}">
      <text>
        <r>
          <rPr>
            <b/>
            <sz val="9"/>
            <color rgb="FF000000"/>
            <rFont val="Tahoma"/>
            <family val="2"/>
          </rPr>
          <t>Huong, Huynh Hong: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From Retained earnings, not Capital injection</t>
        </r>
      </text>
    </comment>
    <comment ref="B100" authorId="1" shapeId="0" xr:uid="{00000000-0006-0000-0400-000004000000}">
      <text>
        <r>
          <rPr>
            <b/>
            <sz val="9"/>
            <color indexed="81"/>
            <rFont val="Tahoma"/>
            <family val="2"/>
          </rPr>
          <t>Huong, Huynh Hong:</t>
        </r>
        <r>
          <rPr>
            <sz val="9"/>
            <color indexed="81"/>
            <rFont val="Tahoma"/>
            <family val="2"/>
          </rPr>
          <t xml:space="preserve">
In case of not using Debt Paydown method, but maintains around average level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Quan, Ton Dat</author>
    <author>Huong, Huynh Hong</author>
  </authors>
  <commentList>
    <comment ref="AF7" authorId="0" shapeId="0" xr:uid="{466E7BEA-0EB5-43EC-99F8-905837C8DDBD}">
      <text>
        <r>
          <rPr>
            <b/>
            <sz val="9"/>
            <color indexed="81"/>
            <rFont val="Tahoma"/>
            <family val="2"/>
          </rPr>
          <t>Quan, Ton Dat:</t>
        </r>
        <r>
          <rPr>
            <sz val="9"/>
            <color indexed="81"/>
            <rFont val="Tahoma"/>
            <family val="2"/>
          </rPr>
          <t xml:space="preserve">
FPT's net revenue growth target 2023: 18.8% YoY</t>
        </r>
      </text>
    </comment>
    <comment ref="AF9" authorId="0" shapeId="0" xr:uid="{30A416DA-F206-4AD5-B61F-B6C8F8AE8852}">
      <text>
        <r>
          <rPr>
            <b/>
            <sz val="9"/>
            <color indexed="81"/>
            <rFont val="Tahoma"/>
            <family val="2"/>
          </rPr>
          <t>Quan, Ton Dat:</t>
        </r>
        <r>
          <rPr>
            <sz val="9"/>
            <color indexed="81"/>
            <rFont val="Tahoma"/>
            <family val="2"/>
          </rPr>
          <t xml:space="preserve">
Quan, Ton Dat:
Average of last 6 Quarters</t>
        </r>
      </text>
    </comment>
    <comment ref="AF11" authorId="0" shapeId="0" xr:uid="{EE373C62-E1CE-448A-A7DA-53DA248E65CC}">
      <text>
        <r>
          <rPr>
            <b/>
            <sz val="9"/>
            <color rgb="FF000000"/>
            <rFont val="Tahoma"/>
            <family val="2"/>
          </rPr>
          <t>Quan, Ton Dat: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https://vietnambiz.vn/fpt-dat-muc-tieu-loi-nhuan-nam-2023-tang-18-ma-se-la-uu-tien-hang-dau-cho-chien-luoc-tang-truong-toan-cau-202322784041351.htm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FPT đang đẩy nhanh việc mở các trung tâm giao nhận tại Châu Âu để tăng cường sự hiện diện và đạt mức tăng trưởng doanh thu ổn định 20% so với cùng kỳ trong năm 2023.</t>
        </r>
      </text>
    </comment>
    <comment ref="AF20" authorId="1" shapeId="0" xr:uid="{4B01B272-184B-4160-B8CE-9238088A3599}">
      <text>
        <r>
          <rPr>
            <b/>
            <sz val="9"/>
            <color indexed="8"/>
            <rFont val="Tahoma"/>
            <family val="2"/>
          </rPr>
          <t>Huong, Huynh Hong:</t>
        </r>
        <r>
          <rPr>
            <sz val="9"/>
            <color indexed="8"/>
            <rFont val="Tahoma"/>
            <family val="2"/>
          </rPr>
          <t xml:space="preserve">
</t>
        </r>
        <r>
          <rPr>
            <sz val="9"/>
            <color indexed="8"/>
            <rFont val="Tahoma"/>
            <family val="2"/>
          </rPr>
          <t>https://www.statista.com/outlook/dmo/digital-advertising/vietnam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Huong, Huynh Hong</author>
    <author>Quan, Ton Dat</author>
  </authors>
  <commentList>
    <comment ref="D159" authorId="0" shapeId="0" xr:uid="{B4D9D931-8B12-4F5F-9678-B699F8DE218B}">
      <text>
        <r>
          <rPr>
            <b/>
            <sz val="9"/>
            <color indexed="8"/>
            <rFont val="Tahoma"/>
            <family val="2"/>
          </rPr>
          <t>Huong, Huynh Hong:</t>
        </r>
        <r>
          <rPr>
            <sz val="9"/>
            <color indexed="8"/>
            <rFont val="Tahoma"/>
            <family val="2"/>
          </rPr>
          <t xml:space="preserve">
</t>
        </r>
        <r>
          <rPr>
            <sz val="9"/>
            <color indexed="8"/>
            <rFont val="Tahoma"/>
            <family val="2"/>
          </rPr>
          <t>$1bn target</t>
        </r>
      </text>
    </comment>
    <comment ref="D180" authorId="0" shapeId="0" xr:uid="{C495E4FB-0394-451E-A698-7C024B946072}">
      <text>
        <r>
          <rPr>
            <b/>
            <sz val="9"/>
            <color indexed="8"/>
            <rFont val="Tahoma"/>
            <family val="2"/>
          </rPr>
          <t>Huong, Huynh Hong:</t>
        </r>
        <r>
          <rPr>
            <sz val="9"/>
            <color indexed="8"/>
            <rFont val="Tahoma"/>
            <family val="2"/>
          </rPr>
          <t xml:space="preserve">
</t>
        </r>
        <r>
          <rPr>
            <sz val="9"/>
            <color indexed="8"/>
            <rFont val="Tahoma"/>
            <family val="2"/>
          </rPr>
          <t>$1bn target</t>
        </r>
      </text>
    </comment>
    <comment ref="D192" authorId="0" shapeId="0" xr:uid="{D9C13AC9-0169-439D-ADB1-BE700A2290FF}">
      <text>
        <r>
          <rPr>
            <b/>
            <sz val="9"/>
            <color indexed="8"/>
            <rFont val="Tahoma"/>
            <family val="2"/>
          </rPr>
          <t>Huong, Huynh Hong:</t>
        </r>
        <r>
          <rPr>
            <sz val="9"/>
            <color indexed="8"/>
            <rFont val="Tahoma"/>
            <family val="2"/>
          </rPr>
          <t xml:space="preserve">
</t>
        </r>
        <r>
          <rPr>
            <sz val="9"/>
            <color indexed="8"/>
            <rFont val="Tahoma"/>
            <family val="2"/>
          </rPr>
          <t>$1bn target</t>
        </r>
      </text>
    </comment>
    <comment ref="N264" authorId="1" shapeId="0" xr:uid="{37E8A1E8-7C4E-40F9-AAF3-C5688C4F5A09}">
      <text>
        <r>
          <rPr>
            <b/>
            <sz val="9"/>
            <color indexed="81"/>
            <rFont val="Tahoma"/>
            <family val="2"/>
          </rPr>
          <t>Quan, Ton Dat:</t>
        </r>
        <r>
          <rPr>
            <sz val="9"/>
            <color indexed="81"/>
            <rFont val="Tahoma"/>
            <family val="2"/>
          </rPr>
          <t xml:space="preserve">
H2 usually records more revenue and expenses than H1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Huong, Huynh Hong</author>
  </authors>
  <commentList>
    <comment ref="D60" authorId="0" shapeId="0" xr:uid="{00000000-0006-0000-0000-000001000000}">
      <text>
        <r>
          <rPr>
            <b/>
            <sz val="9"/>
            <color rgb="FF000000"/>
            <rFont val="Tahoma"/>
            <family val="2"/>
          </rPr>
          <t>Huong, Huynh Hong: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included lãi tiền gửi</t>
        </r>
      </text>
    </comment>
    <comment ref="A6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Huong, Huynh Hong:</t>
        </r>
        <r>
          <rPr>
            <sz val="9"/>
            <color indexed="81"/>
            <rFont val="Tahoma"/>
            <family val="2"/>
          </rPr>
          <t xml:space="preserve">
Provisions &amp; Unrealized FX gain/loss</t>
        </r>
      </text>
    </comment>
    <comment ref="A69" authorId="0" shapeId="0" xr:uid="{00000000-0006-0000-0000-000003000000}">
      <text>
        <r>
          <rPr>
            <b/>
            <sz val="9"/>
            <color rgb="FF000000"/>
            <rFont val="Tahoma"/>
            <family val="2"/>
          </rPr>
          <t>Huong, Huynh Hong: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includes Unrealized FX gain/loss</t>
        </r>
      </text>
    </comment>
    <comment ref="C73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Huong, Huynh Hong:</t>
        </r>
        <r>
          <rPr>
            <sz val="9"/>
            <color indexed="81"/>
            <rFont val="Tahoma"/>
            <family val="2"/>
          </rPr>
          <t xml:space="preserve">
chi lãi tiền gửi</t>
        </r>
      </text>
    </comment>
    <comment ref="D73" authorId="0" shapeId="0" xr:uid="{00000000-0006-0000-0000-000005000000}">
      <text>
        <r>
          <rPr>
            <b/>
            <sz val="9"/>
            <color rgb="FF000000"/>
            <rFont val="Tahoma"/>
            <family val="2"/>
          </rPr>
          <t>Huong, Huynh Hong: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thu lãi tiền gửi, chuyển sang CFO</t>
        </r>
      </text>
    </comment>
    <comment ref="D78" authorId="0" shapeId="0" xr:uid="{00000000-0006-0000-0000-000006000000}">
      <text>
        <r>
          <rPr>
            <b/>
            <sz val="9"/>
            <color rgb="FF000000"/>
            <rFont val="Tahoma"/>
            <family val="2"/>
          </rPr>
          <t>Huong, Huynh Hong: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Dividend 2021</t>
        </r>
      </text>
    </comment>
    <comment ref="E87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Huong, Huynh Hong:</t>
        </r>
        <r>
          <rPr>
            <sz val="9"/>
            <color indexed="81"/>
            <rFont val="Tahoma"/>
            <family val="2"/>
          </rPr>
          <t xml:space="preserve">
Unadjusted number, only adjusted for current ESOP</t>
        </r>
      </text>
    </comment>
  </commentList>
</comments>
</file>

<file path=xl/sharedStrings.xml><?xml version="1.0" encoding="utf-8"?>
<sst xmlns="http://schemas.openxmlformats.org/spreadsheetml/2006/main" count="5448" uniqueCount="2159">
  <si>
    <t>EPS</t>
  </si>
  <si>
    <t>Price</t>
  </si>
  <si>
    <t>P/BV</t>
  </si>
  <si>
    <t>Opening Cash balance</t>
  </si>
  <si>
    <t>Ending Cash Balance</t>
  </si>
  <si>
    <t>WACC</t>
  </si>
  <si>
    <t xml:space="preserve">E/(D+E) </t>
  </si>
  <si>
    <t xml:space="preserve">D/(D+E) </t>
  </si>
  <si>
    <t>+</t>
  </si>
  <si>
    <t>=</t>
  </si>
  <si>
    <t>P/E, P/BV MODELS</t>
  </si>
  <si>
    <t>BV</t>
  </si>
  <si>
    <t>P/E</t>
  </si>
  <si>
    <t>PEG</t>
  </si>
  <si>
    <t>Growth (%)</t>
  </si>
  <si>
    <t>Gross Profit margin (%)</t>
  </si>
  <si>
    <t>Selling expenses</t>
  </si>
  <si>
    <t>Administration expenses</t>
  </si>
  <si>
    <t>Operating Profit</t>
  </si>
  <si>
    <t>Expenses of financial activities</t>
  </si>
  <si>
    <t>Other income</t>
  </si>
  <si>
    <t>Other expenses</t>
  </si>
  <si>
    <t>Profit before tax</t>
  </si>
  <si>
    <t>Profit after tax</t>
  </si>
  <si>
    <t>Net profit attributable to minority interest</t>
  </si>
  <si>
    <t>Net profit attributable to equity shareholders</t>
  </si>
  <si>
    <t>Outstanding number of shares</t>
  </si>
  <si>
    <t>Par value</t>
  </si>
  <si>
    <t>Projection</t>
  </si>
  <si>
    <t>BALANCE SHEET</t>
  </si>
  <si>
    <t>Short-term financial investment</t>
  </si>
  <si>
    <t>Account Receivable</t>
  </si>
  <si>
    <t>Inventory</t>
  </si>
  <si>
    <t>Other current assets</t>
  </si>
  <si>
    <t>Current Asset</t>
  </si>
  <si>
    <t xml:space="preserve">  Historical price</t>
  </si>
  <si>
    <t>Work-in-progress</t>
  </si>
  <si>
    <t>Tangible Fixed Assets</t>
  </si>
  <si>
    <t>Intangible Fixed Assets</t>
  </si>
  <si>
    <t>Long-term financial investment</t>
  </si>
  <si>
    <t>Long-term account receivable</t>
  </si>
  <si>
    <t>Other non-current assets</t>
  </si>
  <si>
    <t>Non-current assets</t>
  </si>
  <si>
    <t>Total Assets</t>
  </si>
  <si>
    <t>Account Payable</t>
  </si>
  <si>
    <t>Taxation payable</t>
  </si>
  <si>
    <t>Short-term loans</t>
  </si>
  <si>
    <t>Long-term loans</t>
  </si>
  <si>
    <t>Total liabilities</t>
  </si>
  <si>
    <t>Equity</t>
  </si>
  <si>
    <t>Retained Earnings</t>
  </si>
  <si>
    <t>Discrepancies from asset revaluation</t>
  </si>
  <si>
    <t>Development and Investment Funds</t>
  </si>
  <si>
    <t>Financial Reserve Funds</t>
  </si>
  <si>
    <t>Total Equity</t>
  </si>
  <si>
    <t>Minority Interest</t>
  </si>
  <si>
    <t>Total Equity and Liabilities</t>
  </si>
  <si>
    <t>Net sales growth</t>
  </si>
  <si>
    <t>COGS/ net sales</t>
  </si>
  <si>
    <t>GP Margin (%)</t>
  </si>
  <si>
    <t>Administration expenses/net sales</t>
  </si>
  <si>
    <t>Inventory/COGS</t>
  </si>
  <si>
    <t>Receivable/net sales</t>
  </si>
  <si>
    <t>Account Payable/COGS</t>
  </si>
  <si>
    <t>Salary and other expenses/net sales</t>
  </si>
  <si>
    <t>Other payable/Net sales</t>
  </si>
  <si>
    <t>Dividend growth rate</t>
  </si>
  <si>
    <t>Long term debt/Equity</t>
  </si>
  <si>
    <t>Other long-term payable/Equity</t>
  </si>
  <si>
    <t>Short term debt/Equity</t>
  </si>
  <si>
    <t>FINANCIAL RATIOS</t>
  </si>
  <si>
    <t>LIQUIDITY RATIOS</t>
  </si>
  <si>
    <t>FINANCING STRUCTURE</t>
  </si>
  <si>
    <t>GROWTH RATE</t>
  </si>
  <si>
    <t>DUPONT ANALYSIS</t>
  </si>
  <si>
    <t>PROFITABILITY RATIOS</t>
  </si>
  <si>
    <t>Depreciation per annum for tangible fixed assets (%)</t>
  </si>
  <si>
    <t>Depreciation per annum for intangible fixed assets (%)</t>
  </si>
  <si>
    <t>Movements in Working Capital</t>
  </si>
  <si>
    <t xml:space="preserve"> + Depreciation</t>
  </si>
  <si>
    <t xml:space="preserve"> + Interest expenses after tax</t>
  </si>
  <si>
    <t>Cash flow before WC movement</t>
  </si>
  <si>
    <t>WC movement</t>
  </si>
  <si>
    <t>Capital Expenditure</t>
  </si>
  <si>
    <t>Free Cash Flow to Firm (FCFF)</t>
  </si>
  <si>
    <t>New loans/(loans pay back)</t>
  </si>
  <si>
    <t>Free Cash Flow to Equity (FCFE)</t>
  </si>
  <si>
    <t>DISCOUNTED FCFF MODEL</t>
  </si>
  <si>
    <t>Assumption</t>
  </si>
  <si>
    <t>Net sales growth rate in long-term</t>
  </si>
  <si>
    <t>Present Value</t>
  </si>
  <si>
    <t>Growth rate to perpeptuity</t>
  </si>
  <si>
    <t>Total company present value</t>
  </si>
  <si>
    <t>- Debt</t>
  </si>
  <si>
    <t>+ Cash and cash equivalent</t>
  </si>
  <si>
    <t>Net debt</t>
  </si>
  <si>
    <t>Present value of Equity</t>
  </si>
  <si>
    <t>Present value per share</t>
  </si>
  <si>
    <t>Tax rate</t>
  </si>
  <si>
    <t>After tax cost of debt</t>
  </si>
  <si>
    <t>Risk free rate</t>
  </si>
  <si>
    <t>Beta</t>
  </si>
  <si>
    <t>Expected market return</t>
  </si>
  <si>
    <t>Terminal Value</t>
  </si>
  <si>
    <t>Company Value</t>
  </si>
  <si>
    <t>Equity Value</t>
  </si>
  <si>
    <t>Value per share</t>
  </si>
  <si>
    <t>DISCOUNTED FCFE MODEL</t>
  </si>
  <si>
    <t>Terminal value</t>
  </si>
  <si>
    <t>Terminal value/ Total company value</t>
  </si>
  <si>
    <t>Cost of equity</t>
  </si>
  <si>
    <t>Share Price (P/E model)</t>
  </si>
  <si>
    <t>Share Price (P/BV model)</t>
  </si>
  <si>
    <t>Common shares</t>
  </si>
  <si>
    <t>Interest expenses after tax</t>
  </si>
  <si>
    <t>Intrinsic Value</t>
  </si>
  <si>
    <t xml:space="preserve">    Acid-test Ratio</t>
  </si>
  <si>
    <t xml:space="preserve">    (Cash+Short term financial investment)/Current Liabilities</t>
  </si>
  <si>
    <t xml:space="preserve">    Average AR (days)</t>
  </si>
  <si>
    <t xml:space="preserve">    Average inventory (days)</t>
  </si>
  <si>
    <t xml:space="preserve">    Average AP (days)</t>
  </si>
  <si>
    <t xml:space="preserve">    WC turnover</t>
  </si>
  <si>
    <t xml:space="preserve">    Equity turnover</t>
  </si>
  <si>
    <t xml:space="preserve">    Operating profit margin</t>
  </si>
  <si>
    <t>Profit before tax / net sales</t>
  </si>
  <si>
    <t>Profit after tax / net sales</t>
  </si>
  <si>
    <t>ROA Adjusted</t>
  </si>
  <si>
    <t>ROCE</t>
  </si>
  <si>
    <t>ROE (year-end)</t>
  </si>
  <si>
    <t>ROE (average)</t>
  </si>
  <si>
    <t>Profit after tax / net sales (1)</t>
  </si>
  <si>
    <t>Assets turnover (2)</t>
  </si>
  <si>
    <t>Leverage (3)</t>
  </si>
  <si>
    <t xml:space="preserve">    Debt / Total Assets</t>
  </si>
  <si>
    <t>Turnover growth</t>
  </si>
  <si>
    <t>Profit before tax growth</t>
  </si>
  <si>
    <t>Profit after tax growth</t>
  </si>
  <si>
    <t>EPS Growth</t>
  </si>
  <si>
    <t>Total Assets growth</t>
  </si>
  <si>
    <t>Equity Growth</t>
  </si>
  <si>
    <t>Net sales</t>
  </si>
  <si>
    <t>Gross Profit</t>
  </si>
  <si>
    <t>Gross Sales</t>
  </si>
  <si>
    <t>Discount</t>
  </si>
  <si>
    <t>EPS (VND)</t>
  </si>
  <si>
    <t>Cash &amp; cash equivalents</t>
  </si>
  <si>
    <t>Others</t>
  </si>
  <si>
    <t>COGS</t>
  </si>
  <si>
    <t>Gross profit</t>
  </si>
  <si>
    <t>Operating profit</t>
  </si>
  <si>
    <t>Q1 10</t>
  </si>
  <si>
    <t>Q3 10</t>
  </si>
  <si>
    <t>Q4 10</t>
  </si>
  <si>
    <t>Monthly Stock Prices</t>
  </si>
  <si>
    <t>Date</t>
  </si>
  <si>
    <t>VN-Index</t>
  </si>
  <si>
    <t>Returns</t>
  </si>
  <si>
    <t>Stock Ticker:</t>
  </si>
  <si>
    <t>Alpha</t>
  </si>
  <si>
    <t>Cash</t>
  </si>
  <si>
    <t>2009</t>
  </si>
  <si>
    <t>EPS Growth (%)</t>
  </si>
  <si>
    <t>Gross Margin (%)</t>
  </si>
  <si>
    <t>Net revenue</t>
  </si>
  <si>
    <t xml:space="preserve"> </t>
  </si>
  <si>
    <t>Gross margin</t>
  </si>
  <si>
    <t>SG&amp;A as % of sales</t>
  </si>
  <si>
    <t>Operating margin</t>
  </si>
  <si>
    <t>Net margin</t>
  </si>
  <si>
    <t>USDVND</t>
  </si>
  <si>
    <t>(4-year CF)</t>
  </si>
  <si>
    <t xml:space="preserve">Cash </t>
  </si>
  <si>
    <t>Net Profit</t>
  </si>
  <si>
    <t>DPS (VND)</t>
  </si>
  <si>
    <t>Other Current Assets</t>
  </si>
  <si>
    <t>Total Liabilities</t>
  </si>
  <si>
    <t>BVPS (VND)</t>
  </si>
  <si>
    <t>P/E (x)</t>
  </si>
  <si>
    <t>P/B (x)</t>
  </si>
  <si>
    <t>Q1 11</t>
  </si>
  <si>
    <t>Q2 11</t>
  </si>
  <si>
    <t>Q3 11</t>
  </si>
  <si>
    <t>Q4 11</t>
  </si>
  <si>
    <t>Q1 12</t>
  </si>
  <si>
    <t>Q2 10</t>
  </si>
  <si>
    <t>Q2 12</t>
  </si>
  <si>
    <t>Q3 12</t>
  </si>
  <si>
    <t>Q4 12</t>
  </si>
  <si>
    <t>Tax payable/tax expenses</t>
  </si>
  <si>
    <t>Q1 13</t>
  </si>
  <si>
    <t>Q2 13</t>
  </si>
  <si>
    <t>Q3 13</t>
  </si>
  <si>
    <t>Q4 13</t>
  </si>
  <si>
    <t>Q1 14</t>
  </si>
  <si>
    <t>Q2 14</t>
  </si>
  <si>
    <t>Q3 14</t>
  </si>
  <si>
    <t>Q4 14</t>
  </si>
  <si>
    <t>Net Revenue</t>
  </si>
  <si>
    <t>EBITDA</t>
  </si>
  <si>
    <t>EBITDA margin</t>
  </si>
  <si>
    <t>Historical</t>
  </si>
  <si>
    <t>Growth</t>
  </si>
  <si>
    <t>Company 5 year plan</t>
  </si>
  <si>
    <t>PBT</t>
  </si>
  <si>
    <t>Work in progress</t>
  </si>
  <si>
    <t>Average life of tangible fixed assets (years)</t>
  </si>
  <si>
    <t>Average life of intangible fixed assets (years)</t>
  </si>
  <si>
    <t>Inventory movement</t>
  </si>
  <si>
    <t>Account receivable movement</t>
  </si>
  <si>
    <t>Account payable movement</t>
  </si>
  <si>
    <t xml:space="preserve">Price </t>
  </si>
  <si>
    <t>Outstanding no. of shares</t>
  </si>
  <si>
    <t>Market Cap (VND bn)</t>
  </si>
  <si>
    <t>LT &amp; ST interest bearing debts</t>
  </si>
  <si>
    <t>Minorities Interest</t>
  </si>
  <si>
    <t>ST investment</t>
  </si>
  <si>
    <t>Cash and equivalent</t>
  </si>
  <si>
    <t>EV (VND bn)</t>
  </si>
  <si>
    <t>EV (VND mn)</t>
  </si>
  <si>
    <t>EV/EBITDA (x)</t>
  </si>
  <si>
    <t>Market Cap (VND mn)</t>
  </si>
  <si>
    <t>Minority interest</t>
  </si>
  <si>
    <t>Long-term liabilities</t>
  </si>
  <si>
    <t>Revenue Growth (%)</t>
  </si>
  <si>
    <t>ROA (%)</t>
  </si>
  <si>
    <t>ROE (%)</t>
  </si>
  <si>
    <t xml:space="preserve">    EBITDA margin</t>
  </si>
  <si>
    <t>ROA average</t>
  </si>
  <si>
    <t xml:space="preserve">Market Cap </t>
  </si>
  <si>
    <t>Enterprise Value</t>
  </si>
  <si>
    <t>Net financial income</t>
  </si>
  <si>
    <t>Net other income</t>
  </si>
  <si>
    <t># of shares</t>
  </si>
  <si>
    <t>Q1 15</t>
  </si>
  <si>
    <t>Q2 15</t>
  </si>
  <si>
    <t>Q3 15</t>
  </si>
  <si>
    <t>Q4 15</t>
  </si>
  <si>
    <t>Dividend yield (%)</t>
  </si>
  <si>
    <t>Fully depreciated but still in use assets</t>
  </si>
  <si>
    <t>AP to suppliers</t>
  </si>
  <si>
    <t>AP for expenses</t>
  </si>
  <si>
    <t>-  Bonus fund</t>
  </si>
  <si>
    <t>% of net profit</t>
  </si>
  <si>
    <t>Q1</t>
  </si>
  <si>
    <t>Q2</t>
  </si>
  <si>
    <t>Q3</t>
  </si>
  <si>
    <t>Q4</t>
  </si>
  <si>
    <t xml:space="preserve">Sensitivity Analysis </t>
  </si>
  <si>
    <t>Present value of next 4-year cash flow</t>
  </si>
  <si>
    <t>SOQ/YP</t>
  </si>
  <si>
    <t>Adjusting ratio</t>
  </si>
  <si>
    <t>Accummulated adjusting ratio</t>
  </si>
  <si>
    <t>Multiples</t>
  </si>
  <si>
    <t>D/A</t>
  </si>
  <si>
    <t>D/E</t>
  </si>
  <si>
    <t>2023F</t>
  </si>
  <si>
    <t>Q4/2021</t>
  </si>
  <si>
    <t>Q4/2020</t>
  </si>
  <si>
    <t>VND bn</t>
  </si>
  <si>
    <t>Bonus &amp; welfare funds</t>
  </si>
  <si>
    <t>2022 Plan</t>
  </si>
  <si>
    <t>2024F</t>
  </si>
  <si>
    <t>2025F</t>
  </si>
  <si>
    <t>2026F</t>
  </si>
  <si>
    <t>LT capital</t>
  </si>
  <si>
    <t>Short-term investment</t>
  </si>
  <si>
    <t>Interest income</t>
  </si>
  <si>
    <t>Long-term investment</t>
  </si>
  <si>
    <t>Invest in affiliates</t>
  </si>
  <si>
    <t>Financial income</t>
  </si>
  <si>
    <t>Total loan</t>
  </si>
  <si>
    <t>Short-term loan</t>
  </si>
  <si>
    <t>Long-term loan</t>
  </si>
  <si>
    <t>Total financial expense</t>
  </si>
  <si>
    <t>Interest expense</t>
  </si>
  <si>
    <t xml:space="preserve">Average deposit interest </t>
  </si>
  <si>
    <t>Total financial income</t>
  </si>
  <si>
    <t>Loan details</t>
  </si>
  <si>
    <t>Working capital demand</t>
  </si>
  <si>
    <t xml:space="preserve">   - Inventory</t>
  </si>
  <si>
    <t xml:space="preserve">   - Receivable</t>
  </si>
  <si>
    <t xml:space="preserve">   - Payable</t>
  </si>
  <si>
    <t>WC</t>
  </si>
  <si>
    <t xml:space="preserve">   % short-term loan/WC</t>
  </si>
  <si>
    <t>Financial expense</t>
  </si>
  <si>
    <t>Present value of Equity YE</t>
  </si>
  <si>
    <t>Timing adjusting factor</t>
  </si>
  <si>
    <t>Discount number of year</t>
  </si>
  <si>
    <t>Valuation date</t>
  </si>
  <si>
    <t>Share Price (EV/EBITDA)</t>
  </si>
  <si>
    <t>Q2/2022</t>
  </si>
  <si>
    <t>PV by Valuation date</t>
  </si>
  <si>
    <r>
      <t xml:space="preserve">   </t>
    </r>
    <r>
      <rPr>
        <sz val="10"/>
        <rFont val="Arial"/>
        <family val="2"/>
      </rPr>
      <t>- Inventory movement</t>
    </r>
  </si>
  <si>
    <r>
      <t xml:space="preserve">    Current Ratio</t>
    </r>
    <r>
      <rPr>
        <sz val="10"/>
        <rFont val="Arial"/>
        <family val="2"/>
      </rPr>
      <t xml:space="preserve"> </t>
    </r>
  </si>
  <si>
    <r>
      <t xml:space="preserve">    </t>
    </r>
    <r>
      <rPr>
        <sz val="10"/>
        <rFont val="Arial"/>
        <family val="2"/>
      </rPr>
      <t>OCF/ Current liabilities</t>
    </r>
  </si>
  <si>
    <r>
      <t xml:space="preserve">  </t>
    </r>
    <r>
      <rPr>
        <b/>
        <sz val="10"/>
        <color indexed="61"/>
        <rFont val="Arial"/>
        <family val="2"/>
      </rPr>
      <t>Operating</t>
    </r>
  </si>
  <si>
    <r>
      <t xml:space="preserve">    </t>
    </r>
    <r>
      <rPr>
        <sz val="10"/>
        <rFont val="Arial"/>
        <family val="2"/>
      </rPr>
      <t>Account Receivable Turnover</t>
    </r>
  </si>
  <si>
    <r>
      <t xml:space="preserve">    </t>
    </r>
    <r>
      <rPr>
        <sz val="10"/>
        <rFont val="Arial"/>
        <family val="2"/>
      </rPr>
      <t>Inventory turnover</t>
    </r>
  </si>
  <si>
    <r>
      <t xml:space="preserve">    </t>
    </r>
    <r>
      <rPr>
        <sz val="10"/>
        <rFont val="Arial"/>
        <family val="2"/>
      </rPr>
      <t>Account Payable Turnover</t>
    </r>
  </si>
  <si>
    <r>
      <t xml:space="preserve">    </t>
    </r>
    <r>
      <rPr>
        <sz val="10"/>
        <rFont val="Arial"/>
        <family val="2"/>
      </rPr>
      <t>Fixed Assets and long term investment tunrover</t>
    </r>
  </si>
  <si>
    <r>
      <t xml:space="preserve">    </t>
    </r>
    <r>
      <rPr>
        <sz val="10"/>
        <rFont val="Arial"/>
        <family val="2"/>
      </rPr>
      <t>Fixed Assets turnover</t>
    </r>
  </si>
  <si>
    <r>
      <t xml:space="preserve">    </t>
    </r>
    <r>
      <rPr>
        <sz val="10"/>
        <rFont val="Arial"/>
        <family val="2"/>
      </rPr>
      <t>Total Assets turnover</t>
    </r>
  </si>
  <si>
    <r>
      <t xml:space="preserve">  </t>
    </r>
    <r>
      <rPr>
        <b/>
        <sz val="10"/>
        <color indexed="61"/>
        <rFont val="Arial"/>
        <family val="2"/>
      </rPr>
      <t>Dupont</t>
    </r>
  </si>
  <si>
    <r>
      <t xml:space="preserve">    </t>
    </r>
    <r>
      <rPr>
        <sz val="10"/>
        <rFont val="Arial"/>
        <family val="2"/>
      </rPr>
      <t>ROE = (1) x (2) x (3)</t>
    </r>
  </si>
  <si>
    <r>
      <t xml:space="preserve">    </t>
    </r>
    <r>
      <rPr>
        <sz val="10"/>
        <rFont val="Arial"/>
        <family val="2"/>
      </rPr>
      <t>Lợi nhuận sau thuế từ hoạt động kinh doanh/Tài sản ròng (1)</t>
    </r>
  </si>
  <si>
    <r>
      <t xml:space="preserve">    </t>
    </r>
    <r>
      <rPr>
        <sz val="10"/>
        <rFont val="Arial"/>
        <family val="2"/>
      </rPr>
      <t>Tác động của đòn cân nợ (2)</t>
    </r>
  </si>
  <si>
    <r>
      <t xml:space="preserve">    </t>
    </r>
    <r>
      <rPr>
        <sz val="10"/>
        <rFont val="Arial"/>
        <family val="2"/>
      </rPr>
      <t>Đòn cân nợ thuần (3)</t>
    </r>
  </si>
  <si>
    <r>
      <t xml:space="preserve">    </t>
    </r>
    <r>
      <rPr>
        <sz val="10"/>
        <rFont val="Arial"/>
        <family val="2"/>
      </rPr>
      <t>Lợi nhuận trên vốn chủ sở hữu = (1) + (2) x (3)</t>
    </r>
  </si>
  <si>
    <r>
      <t xml:space="preserve">    </t>
    </r>
    <r>
      <rPr>
        <sz val="10"/>
        <rFont val="Arial"/>
        <family val="2"/>
      </rPr>
      <t>Debt / Equity</t>
    </r>
  </si>
  <si>
    <r>
      <t xml:space="preserve">    </t>
    </r>
    <r>
      <rPr>
        <sz val="10"/>
        <rFont val="Arial"/>
        <family val="2"/>
      </rPr>
      <t>Loans / Equity</t>
    </r>
  </si>
  <si>
    <r>
      <t xml:space="preserve">    </t>
    </r>
    <r>
      <rPr>
        <sz val="10"/>
        <rFont val="Arial"/>
        <family val="2"/>
      </rPr>
      <t>Net liabilities / Equity</t>
    </r>
  </si>
  <si>
    <r>
      <t xml:space="preserve">    </t>
    </r>
    <r>
      <rPr>
        <sz val="10"/>
        <rFont val="Arial"/>
        <family val="2"/>
      </rPr>
      <t>Loans / Total Assets</t>
    </r>
  </si>
  <si>
    <r>
      <t xml:space="preserve">    Long term </t>
    </r>
    <r>
      <rPr>
        <sz val="10"/>
        <rFont val="Arial"/>
        <family val="2"/>
      </rPr>
      <t>Loans / Total Assets</t>
    </r>
  </si>
  <si>
    <r>
      <t xml:space="preserve">    </t>
    </r>
    <r>
      <rPr>
        <sz val="10"/>
        <rFont val="Arial"/>
        <family val="2"/>
      </rPr>
      <t>Interest cover</t>
    </r>
  </si>
  <si>
    <t>Current liabilities</t>
  </si>
  <si>
    <t>Non-current liabilities</t>
  </si>
  <si>
    <t>Q1/19</t>
  </si>
  <si>
    <t>Q2/19</t>
  </si>
  <si>
    <t>Q3/19</t>
  </si>
  <si>
    <t>Q1/20</t>
  </si>
  <si>
    <t>Q2/20</t>
  </si>
  <si>
    <t>Q3/20</t>
  </si>
  <si>
    <t>Data Title</t>
  </si>
  <si>
    <t>Date Of Extract</t>
  </si>
  <si>
    <t>Ticker</t>
  </si>
  <si>
    <t>View by</t>
  </si>
  <si>
    <t>Yearly</t>
  </si>
  <si>
    <t>2021</t>
  </si>
  <si>
    <t>Type</t>
  </si>
  <si>
    <t>Consolidated</t>
  </si>
  <si>
    <t>Currency</t>
  </si>
  <si>
    <t>VND</t>
  </si>
  <si>
    <t>VNDbn</t>
  </si>
  <si>
    <t>2004</t>
  </si>
  <si>
    <t>2005</t>
  </si>
  <si>
    <t>2006</t>
  </si>
  <si>
    <t>2007</t>
  </si>
  <si>
    <t>2008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</si>
  <si>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</si>
  <si>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</si>
  <si>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</si>
  <si>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</si>
  <si>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</si>
  <si>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</si>
  <si>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</si>
  <si>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</si>
  <si>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</si>
  <si>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</si>
  <si>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</si>
  <si>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Audit Status</t>
  </si>
  <si>
    <t>Audited</t>
  </si>
  <si>
    <t>Audit Firm</t>
  </si>
  <si>
    <t>Deloitte Vietnam</t>
  </si>
  <si>
    <t>Audit Opinion Type</t>
  </si>
  <si>
    <t>Unqualified Opinion</t>
  </si>
  <si>
    <t>Net cash inflows/(outflows) from operating activities</t>
  </si>
  <si>
    <t xml:space="preserve">     Purchases of fixed assets and other long term assets</t>
  </si>
  <si>
    <t xml:space="preserve">     Proceeds from disposal of fixed assets</t>
  </si>
  <si>
    <t xml:space="preserve">     Loans granted, purchases of debt instruments</t>
  </si>
  <si>
    <t xml:space="preserve">     Collection of loans, proceeds from sales of debts instruments</t>
  </si>
  <si>
    <t xml:space="preserve">     Investments in other entities</t>
  </si>
  <si>
    <t xml:space="preserve">     Proceeds from divestment in other entities</t>
  </si>
  <si>
    <t xml:space="preserve">     Dividends and interest received</t>
  </si>
  <si>
    <t>Net cash inflows/(outflows) from investing activities</t>
  </si>
  <si>
    <t xml:space="preserve">     Proceeds from issue of shares</t>
  </si>
  <si>
    <t xml:space="preserve">     Payments for share returns and repurchases</t>
  </si>
  <si>
    <t xml:space="preserve">     Proceeds from borrowings</t>
  </si>
  <si>
    <t xml:space="preserve">     Repayment of borrowings</t>
  </si>
  <si>
    <t xml:space="preserve">     Finance lease principal payments</t>
  </si>
  <si>
    <t xml:space="preserve">     Dividends paid</t>
  </si>
  <si>
    <t xml:space="preserve">     Interests, dividends, profits received</t>
  </si>
  <si>
    <t>Net cash inflows/(outflows) from financing activities</t>
  </si>
  <si>
    <t>Net increase in cash and cash equivalents</t>
  </si>
  <si>
    <t>Effect of foreign exchange differences</t>
  </si>
  <si>
    <t>Cash and cash equivalents at the end of period</t>
  </si>
  <si>
    <t xml:space="preserve">     Net profit/(loss) before tax</t>
  </si>
  <si>
    <t xml:space="preserve">     Depreciation and amortisation</t>
  </si>
  <si>
    <t xml:space="preserve">     Amortisation of goodwill</t>
  </si>
  <si>
    <t xml:space="preserve">     Provisions</t>
  </si>
  <si>
    <t xml:space="preserve">     Unrealised foreign exchange gain/loss</t>
  </si>
  <si>
    <t xml:space="preserve">     Profit/loss from liquidating fixed assets</t>
  </si>
  <si>
    <t xml:space="preserve">     Profit/loss from investing activities</t>
  </si>
  <si>
    <t xml:space="preserve">     Interest expense</t>
  </si>
  <si>
    <t xml:space="preserve">     Interest income and dividend</t>
  </si>
  <si>
    <t xml:space="preserve">     Other adjustments</t>
  </si>
  <si>
    <t>Operating profit/(loss) before changes in Working Capital</t>
  </si>
  <si>
    <t xml:space="preserve">     (Increase)/decrease in receivables</t>
  </si>
  <si>
    <t xml:space="preserve">     (Increase)/decrease in inventories</t>
  </si>
  <si>
    <t xml:space="preserve">     Increase/(decrease) in payables</t>
  </si>
  <si>
    <t xml:space="preserve">     (Increase)/decrease in prepaid expenses</t>
  </si>
  <si>
    <t xml:space="preserve">     (Increase)/decrease  in trading securities</t>
  </si>
  <si>
    <t xml:space="preserve">     Interest paid</t>
  </si>
  <si>
    <t xml:space="preserve">     Corporate Income Tax paid</t>
  </si>
  <si>
    <t xml:space="preserve">     Other receipts from operating activities</t>
  </si>
  <si>
    <t xml:space="preserve">     Other payments on operating activities</t>
  </si>
  <si>
    <t>Cash and cash equivalents at the beginning o period</t>
  </si>
  <si>
    <t>FIINGROUP CORPORATION</t>
  </si>
  <si>
    <t>Head Office: 10th Floor, Peakview Tower, 36 Hoang Cau, Dong Da District, Hanoi, Vietnam</t>
  </si>
  <si>
    <t>HCMC Branch: 3rd Floor, Profomilk Plaza Building, 51-53 Vo Van Tan, Ward 6, District 3, Ho Chi Minh, Vietnam</t>
  </si>
  <si>
    <t>Email: info@fiingroup.vn</t>
  </si>
  <si>
    <t>CUSTOMER SUPPORT CENTER</t>
  </si>
  <si>
    <t>In Hanoi</t>
  </si>
  <si>
    <t>T: (8424) - 3562 6962 - Ext: 103</t>
  </si>
  <si>
    <t>Email: fiinpro@fiingroup.vn</t>
  </si>
  <si>
    <t>In HCM</t>
  </si>
  <si>
    <t xml:space="preserve">T: (8428)- 3933 3586 - ext: 201 </t>
  </si>
  <si>
    <t>Payout ratio (%)</t>
  </si>
  <si>
    <t>Dividend Yield (%)</t>
  </si>
  <si>
    <t>EBITDA Growth (%)</t>
  </si>
  <si>
    <t>Operating Profit Growth (%)</t>
  </si>
  <si>
    <t>Accounts Receivable Turnover (x)</t>
  </si>
  <si>
    <t>Inventory Turnover (x)</t>
  </si>
  <si>
    <t>Accounts Payable Turnover (x)</t>
  </si>
  <si>
    <t>ROIC (%)</t>
  </si>
  <si>
    <t>Liability to Equity Ratio (%)</t>
  </si>
  <si>
    <t>Current Ratio (%)</t>
  </si>
  <si>
    <t>Net Debt to Equity Ratio (%)</t>
  </si>
  <si>
    <t>Interest Coverage Ratio (x)</t>
  </si>
  <si>
    <t>Comprehensive Income Statement (Summarized)</t>
  </si>
  <si>
    <t>Cost of Sales</t>
  </si>
  <si>
    <t>SG&amp;A Expenses</t>
  </si>
  <si>
    <t>Operating Profit (Adj)</t>
  </si>
  <si>
    <t>Non-Operating Profit</t>
  </si>
  <si>
    <t>Net Gain from Inv in Associates</t>
  </si>
  <si>
    <t>Pretax Profit</t>
  </si>
  <si>
    <t>Income Tax</t>
  </si>
  <si>
    <t>Profit from Continuing Operations</t>
  </si>
  <si>
    <t>Profit from Discontinued Operations</t>
  </si>
  <si>
    <t>Controlling Interests</t>
  </si>
  <si>
    <t>Non-Controlling Interests</t>
  </si>
  <si>
    <t>EBITDA Margin (%)</t>
  </si>
  <si>
    <t>Operating Profit Margin (%)</t>
  </si>
  <si>
    <t>Net Profit Margin (%)</t>
  </si>
  <si>
    <t>Statement of Financial Condition (Summarized)</t>
  </si>
  <si>
    <t>Current Assets</t>
  </si>
  <si>
    <t>Cash and Cash Equivalents</t>
  </si>
  <si>
    <t>Inventories</t>
  </si>
  <si>
    <t>Non-Current Assets</t>
  </si>
  <si>
    <t>Property, Plant and Equipment</t>
  </si>
  <si>
    <t>Intangible Assets</t>
  </si>
  <si>
    <t>Current Liabilities</t>
  </si>
  <si>
    <t>Short-Term Financial Liabilities</t>
  </si>
  <si>
    <t>Other Current Liabilities</t>
  </si>
  <si>
    <t>Non-Current Liabilities</t>
  </si>
  <si>
    <t>Long-Term Financial Liabilities</t>
  </si>
  <si>
    <t>Other Non-Current Liabilities</t>
  </si>
  <si>
    <t>Capital Stock</t>
  </si>
  <si>
    <t>Stockholders' Equity</t>
  </si>
  <si>
    <t>Cash Flows (Summarized)</t>
  </si>
  <si>
    <t>Cash Flows from Op Activities</t>
  </si>
  <si>
    <t>Chg in Working Capital</t>
  </si>
  <si>
    <t>Chg in Inventories</t>
  </si>
  <si>
    <t>Cash Flows from Inv Activities</t>
  </si>
  <si>
    <t>Chg in Financial Assets</t>
  </si>
  <si>
    <t>Cash Flows from Fin Activities</t>
  </si>
  <si>
    <t>Chg in Financial Liabilities</t>
  </si>
  <si>
    <t>Chg in Equity</t>
  </si>
  <si>
    <t>Dividends Paid</t>
  </si>
  <si>
    <t>Increase (Decrease) in Cash</t>
  </si>
  <si>
    <t>Beginning Balance</t>
  </si>
  <si>
    <t>Ending Balance</t>
  </si>
  <si>
    <t>Forecasts/Valuations (Summarized)</t>
  </si>
  <si>
    <t>(VNDbn)</t>
  </si>
  <si>
    <t>BPS (VND)</t>
  </si>
  <si>
    <t>Plus: Depreciation and amortization</t>
  </si>
  <si>
    <t>Less: change in Inventory</t>
  </si>
  <si>
    <t>Plus: change in Accounts payable</t>
  </si>
  <si>
    <t>Cash from operating activities</t>
  </si>
  <si>
    <t>Net Purchases of Investment in affiliates</t>
  </si>
  <si>
    <t>Cash from investing activities</t>
  </si>
  <si>
    <t>Plus: New share issuances</t>
  </si>
  <si>
    <t>Less: Share repurchases</t>
  </si>
  <si>
    <t>Cash from financing activities</t>
  </si>
  <si>
    <t>Net change in cash during period</t>
  </si>
  <si>
    <t>Total debt</t>
  </si>
  <si>
    <t>Plus: Provisions</t>
  </si>
  <si>
    <t>Plus: Interest expense</t>
  </si>
  <si>
    <t>Less: Interest paid</t>
  </si>
  <si>
    <t>Net Capital expenditures (tangible assets + intangibles)</t>
  </si>
  <si>
    <t>Net loan granted &amp; purchases of debt instruments</t>
  </si>
  <si>
    <t>Cash and cash equivalents - beginning balance</t>
  </si>
  <si>
    <t>Cash and cash equivalents - ending balance</t>
  </si>
  <si>
    <t>Less: Dividends paid</t>
  </si>
  <si>
    <t>Plus: Change in Other equity account &amp; other changes</t>
  </si>
  <si>
    <r>
      <t xml:space="preserve">  </t>
    </r>
    <r>
      <rPr>
        <i/>
        <sz val="10"/>
        <rFont val="Arial"/>
        <family val="2"/>
      </rPr>
      <t>Depreciation</t>
    </r>
  </si>
  <si>
    <r>
      <t xml:space="preserve">  </t>
    </r>
    <r>
      <rPr>
        <i/>
        <sz val="10"/>
        <rFont val="Arial"/>
        <family val="2"/>
      </rPr>
      <t>Amortisation</t>
    </r>
  </si>
  <si>
    <t>Financial Lease Assets</t>
  </si>
  <si>
    <t>Other funds</t>
  </si>
  <si>
    <t>Profit/Loss from Financial activities</t>
  </si>
  <si>
    <t>Profit/Loss from Other activities</t>
  </si>
  <si>
    <t>Provision for bad debts</t>
  </si>
  <si>
    <t>Plus: Net change in short-term borrowings</t>
  </si>
  <si>
    <t>Plus: Net change in long-term borrowings</t>
  </si>
  <si>
    <t>Payable to employees</t>
  </si>
  <si>
    <t>Other current liabilities</t>
  </si>
  <si>
    <t>Other non-current liabilities</t>
  </si>
  <si>
    <t>Share premium</t>
  </si>
  <si>
    <r>
      <t xml:space="preserve">  Effective t</t>
    </r>
    <r>
      <rPr>
        <i/>
        <sz val="10"/>
        <rFont val="Arial"/>
        <family val="2"/>
      </rPr>
      <t>ax rate (%)</t>
    </r>
  </si>
  <si>
    <t xml:space="preserve">Income from financial activities </t>
  </si>
  <si>
    <t>Profit from Joint venture partners/ Affiliates</t>
  </si>
  <si>
    <t>2003</t>
  </si>
  <si>
    <t>CURRENT ASSETS</t>
  </si>
  <si>
    <t>Cash and cash equivalents</t>
  </si>
  <si>
    <t xml:space="preserve">     Cash</t>
  </si>
  <si>
    <t xml:space="preserve">     Cash equivalents</t>
  </si>
  <si>
    <t>Short-term investments</t>
  </si>
  <si>
    <t xml:space="preserve">     Short-term investments</t>
  </si>
  <si>
    <t xml:space="preserve">     Provision for diminution</t>
  </si>
  <si>
    <t xml:space="preserve">     Held-to-maturity investment</t>
  </si>
  <si>
    <t>Accounts receivable</t>
  </si>
  <si>
    <t xml:space="preserve">     Trade accounts receivable</t>
  </si>
  <si>
    <t xml:space="preserve">     Prepayments to suppliers</t>
  </si>
  <si>
    <t xml:space="preserve">     Intercompany receivables</t>
  </si>
  <si>
    <t xml:space="preserve">     Construction contract in progress receivables</t>
  </si>
  <si>
    <t xml:space="preserve">     Short-term loans receivables</t>
  </si>
  <si>
    <t xml:space="preserve">     Other receivables</t>
  </si>
  <si>
    <t xml:space="preserve">     Provision for doubtful debts</t>
  </si>
  <si>
    <t xml:space="preserve">     Shortage of current assets waiting for solution</t>
  </si>
  <si>
    <t xml:space="preserve">     Inventories</t>
  </si>
  <si>
    <t xml:space="preserve">     Provision for decline in inventories</t>
  </si>
  <si>
    <t xml:space="preserve">     Short-term prepaid expenses</t>
  </si>
  <si>
    <t xml:space="preserve">     VAT to be claimed</t>
  </si>
  <si>
    <t xml:space="preserve">     Other taxes receivable</t>
  </si>
  <si>
    <t xml:space="preserve">     Government bonds purchased for resale</t>
  </si>
  <si>
    <t xml:space="preserve">     Other current assets</t>
  </si>
  <si>
    <t>LONG-TERM ASSETS</t>
  </si>
  <si>
    <t>Long-term trade receivables</t>
  </si>
  <si>
    <t xml:space="preserve">     Long-term trade receivables from customers</t>
  </si>
  <si>
    <t xml:space="preserve">     Long-term prepayments to suppliers</t>
  </si>
  <si>
    <t xml:space="preserve">     Paid-in capital in wholly-owned subsidiaries</t>
  </si>
  <si>
    <t xml:space="preserve">     Long-term intercompany receivables</t>
  </si>
  <si>
    <t xml:space="preserve">     Long-term loans receivables</t>
  </si>
  <si>
    <t xml:space="preserve">     Other long-term receivables</t>
  </si>
  <si>
    <t xml:space="preserve">     Provision for doubtful LT receivable</t>
  </si>
  <si>
    <t>Fixed assets</t>
  </si>
  <si>
    <t xml:space="preserve">     Tangible fixed assets</t>
  </si>
  <si>
    <t xml:space="preserve">          Cost</t>
  </si>
  <si>
    <t xml:space="preserve">          Accumulated depreciation</t>
  </si>
  <si>
    <t xml:space="preserve">     Finance lease assets</t>
  </si>
  <si>
    <t xml:space="preserve">     Intangible fixed assets</t>
  </si>
  <si>
    <t xml:space="preserve">     Construction in progress (before 2015)</t>
  </si>
  <si>
    <t>Investment properties</t>
  </si>
  <si>
    <t xml:space="preserve">     Cost</t>
  </si>
  <si>
    <t xml:space="preserve">     Accumulated depreciation</t>
  </si>
  <si>
    <t>Long-term incomplete assets</t>
  </si>
  <si>
    <t xml:space="preserve">     Long-term cost of work in progress</t>
  </si>
  <si>
    <t xml:space="preserve">     Construction in progress</t>
  </si>
  <si>
    <t>Long-term investments</t>
  </si>
  <si>
    <t xml:space="preserve">     Investments in subsidiaries</t>
  </si>
  <si>
    <t xml:space="preserve">     Investments in associates</t>
  </si>
  <si>
    <t xml:space="preserve">     Other long-term investments</t>
  </si>
  <si>
    <t xml:space="preserve">     Provision for long-term investments</t>
  </si>
  <si>
    <t>Good will (before 2015)</t>
  </si>
  <si>
    <t>Other long-term assets</t>
  </si>
  <si>
    <t xml:space="preserve">     Long-term prepayments</t>
  </si>
  <si>
    <t xml:space="preserve">     Deferred income tax assets</t>
  </si>
  <si>
    <t xml:space="preserve">     Long-term equipment, material and spare parts</t>
  </si>
  <si>
    <t xml:space="preserve">     Other long-term assets</t>
  </si>
  <si>
    <t xml:space="preserve">     Good will</t>
  </si>
  <si>
    <t>TOTAL ASSETS</t>
  </si>
  <si>
    <t>LIABILITIES</t>
  </si>
  <si>
    <t xml:space="preserve">     Trade accounts payable</t>
  </si>
  <si>
    <t xml:space="preserve">     Advances from customers</t>
  </si>
  <si>
    <t xml:space="preserve">     Taxes and other payable to State Budget</t>
  </si>
  <si>
    <t xml:space="preserve">     Payable to employees</t>
  </si>
  <si>
    <t xml:space="preserve">     Accrued expenses</t>
  </si>
  <si>
    <t xml:space="preserve">     Intercompany payables</t>
  </si>
  <si>
    <t xml:space="preserve">     Construction contract in progress payables</t>
  </si>
  <si>
    <t xml:space="preserve">     Short-term unrealized revenue</t>
  </si>
  <si>
    <t xml:space="preserve">     Other payables</t>
  </si>
  <si>
    <t xml:space="preserve">     Short-term borrowings</t>
  </si>
  <si>
    <t xml:space="preserve">     Provision for ST liabilities</t>
  </si>
  <si>
    <t xml:space="preserve">     Bonus and welfare funds</t>
  </si>
  <si>
    <t xml:space="preserve">     Price stabilization fund</t>
  </si>
  <si>
    <t xml:space="preserve">     Long-term trade payables</t>
  </si>
  <si>
    <t xml:space="preserve">     Long-term advances from customers</t>
  </si>
  <si>
    <t xml:space="preserve">     Long-term accrued expenses</t>
  </si>
  <si>
    <t xml:space="preserve">     Intra-company payables for operating capital received</t>
  </si>
  <si>
    <t xml:space="preserve">     Long-term intercompany payables</t>
  </si>
  <si>
    <t xml:space="preserve">     Unrealized revenue</t>
  </si>
  <si>
    <t xml:space="preserve">     Other long-term payables</t>
  </si>
  <si>
    <t xml:space="preserve">     Long-term borrowings</t>
  </si>
  <si>
    <t xml:space="preserve">     Convertible bonds</t>
  </si>
  <si>
    <t xml:space="preserve">     Preferred shares</t>
  </si>
  <si>
    <t xml:space="preserve">     Deferred income tax liabilities</t>
  </si>
  <si>
    <t xml:space="preserve">     Provision for severance allowances</t>
  </si>
  <si>
    <t xml:space="preserve">     Provision for long-term liabilities</t>
  </si>
  <si>
    <t xml:space="preserve">     Technology-science development fund</t>
  </si>
  <si>
    <t>OWNER'S EQUITY</t>
  </si>
  <si>
    <t>Capital and reserves</t>
  </si>
  <si>
    <t xml:space="preserve">     Paid-in capital</t>
  </si>
  <si>
    <t xml:space="preserve">          Common shares</t>
  </si>
  <si>
    <t xml:space="preserve">          Preferred shares</t>
  </si>
  <si>
    <t xml:space="preserve">     Share premium</t>
  </si>
  <si>
    <t xml:space="preserve">     Conversion options on convertible bonds</t>
  </si>
  <si>
    <t xml:space="preserve">     Owner's other capital</t>
  </si>
  <si>
    <t xml:space="preserve">     Treasury shares</t>
  </si>
  <si>
    <t xml:space="preserve">     Differences upon asset revaluation</t>
  </si>
  <si>
    <t xml:space="preserve">     Foreign exchange differences</t>
  </si>
  <si>
    <t xml:space="preserve">     Investment and development funds</t>
  </si>
  <si>
    <t xml:space="preserve">     Enterprise arrangement fund</t>
  </si>
  <si>
    <t xml:space="preserve">     Financial researve funds</t>
  </si>
  <si>
    <t xml:space="preserve">     Other funds</t>
  </si>
  <si>
    <t xml:space="preserve">     Undistributed earnings</t>
  </si>
  <si>
    <t xml:space="preserve">          Beginning accumulated undistributed earnings</t>
  </si>
  <si>
    <t xml:space="preserve">          Current period undistributed earnings</t>
  </si>
  <si>
    <t xml:space="preserve">     Minority interests</t>
  </si>
  <si>
    <t>Budget sources and other funds</t>
  </si>
  <si>
    <t xml:space="preserve">     Bonus and welfare funds (Before 2010)</t>
  </si>
  <si>
    <t xml:space="preserve">     Budget sources and other funds</t>
  </si>
  <si>
    <t xml:space="preserve">     Funds used for fixed asset acquisitions</t>
  </si>
  <si>
    <t>MINORITY INTERESTS</t>
  </si>
  <si>
    <t>TOTAL RESOURCES</t>
  </si>
  <si>
    <t>Total Invested Capital</t>
  </si>
  <si>
    <t>ROIC (EBIT/Invested Capital)</t>
  </si>
  <si>
    <t>DCF MODEL</t>
  </si>
  <si>
    <t>SG&amp;A expenses</t>
  </si>
  <si>
    <t>Income tax</t>
  </si>
  <si>
    <t>Valuation</t>
  </si>
  <si>
    <t>Chosen target multiple</t>
  </si>
  <si>
    <t>Number of shares</t>
  </si>
  <si>
    <t>Short-term interest</t>
  </si>
  <si>
    <t>Long-term interest</t>
  </si>
  <si>
    <t>N/A</t>
  </si>
  <si>
    <t>Net profit</t>
  </si>
  <si>
    <t>YoY</t>
  </si>
  <si>
    <t>Q1/2014</t>
  </si>
  <si>
    <t>Q2/2014</t>
  </si>
  <si>
    <t>Q3/2014</t>
  </si>
  <si>
    <t>Q4/2014</t>
  </si>
  <si>
    <t>Q1/2015</t>
  </si>
  <si>
    <t>Q2/2015</t>
  </si>
  <si>
    <t>Q3/2015</t>
  </si>
  <si>
    <t>Q4/2015</t>
  </si>
  <si>
    <t>Q1/2016</t>
  </si>
  <si>
    <t>Q2/2016</t>
  </si>
  <si>
    <t>Q3/2016</t>
  </si>
  <si>
    <t>Q4/2016</t>
  </si>
  <si>
    <t>Q1/2017</t>
  </si>
  <si>
    <t>Q2/2017</t>
  </si>
  <si>
    <t>Q3/2017</t>
  </si>
  <si>
    <t>Q4/2017</t>
  </si>
  <si>
    <t>Q1/2018</t>
  </si>
  <si>
    <t>Q2/2018</t>
  </si>
  <si>
    <t>Q3/2018</t>
  </si>
  <si>
    <t>Q4/2018</t>
  </si>
  <si>
    <t>Q1/2019</t>
  </si>
  <si>
    <t>Q2/2019</t>
  </si>
  <si>
    <t>Q3/2019</t>
  </si>
  <si>
    <t>Q4/2019</t>
  </si>
  <si>
    <t>Q1/2020</t>
  </si>
  <si>
    <t>Q2/2020</t>
  </si>
  <si>
    <t>Q3/2020</t>
  </si>
  <si>
    <t>Q1/2021</t>
  </si>
  <si>
    <t>Q2/2021</t>
  </si>
  <si>
    <t>Q3/2021</t>
  </si>
  <si>
    <t>Q1/2022</t>
  </si>
  <si>
    <t>Unaudited</t>
  </si>
  <si>
    <t>PwC Vietnam</t>
  </si>
  <si>
    <t>Sales</t>
  </si>
  <si>
    <t>Sales deductions</t>
  </si>
  <si>
    <t>Cost of sales</t>
  </si>
  <si>
    <t>Financial expenses</t>
  </si>
  <si>
    <t xml:space="preserve">     of which: interest expenses</t>
  </si>
  <si>
    <t>Gain/(loss) from joint ventures (from 2015)</t>
  </si>
  <si>
    <t>General and admin expenses</t>
  </si>
  <si>
    <t>Operating profit/(loss)</t>
  </si>
  <si>
    <t xml:space="preserve">     Other incomes</t>
  </si>
  <si>
    <t xml:space="preserve">     Other expenses</t>
  </si>
  <si>
    <t>Net other income/(expenses)</t>
  </si>
  <si>
    <t>Income from investments in other entities</t>
  </si>
  <si>
    <t>Net accounting profit/(loss) before tax</t>
  </si>
  <si>
    <t xml:space="preserve">     Corporate income tax - current</t>
  </si>
  <si>
    <t xml:space="preserve">     Corporate income tax - deferred</t>
  </si>
  <si>
    <t>Corporate income tax expenses</t>
  </si>
  <si>
    <t>Net profit/(loss) after tax</t>
  </si>
  <si>
    <t>Minority interests</t>
  </si>
  <si>
    <t>Attributable to parent company</t>
  </si>
  <si>
    <t>EPS_basis (VND)</t>
  </si>
  <si>
    <t>EPS_diluted (VND)</t>
  </si>
  <si>
    <t xml:space="preserve">Cost of debt </t>
  </si>
  <si>
    <t xml:space="preserve">Cost of equity </t>
  </si>
  <si>
    <t>Less: change in Financial investment</t>
  </si>
  <si>
    <t>Plus: change in Other current liabilities</t>
  </si>
  <si>
    <t xml:space="preserve">Less: change in Other current assets </t>
  </si>
  <si>
    <t>Other adjustments</t>
  </si>
  <si>
    <t>Net Interest Expense</t>
  </si>
  <si>
    <t>EV/EBIT (x)</t>
  </si>
  <si>
    <t>Asset Turnover (x)</t>
  </si>
  <si>
    <t>Financial Profit</t>
  </si>
  <si>
    <t>Other Profit</t>
  </si>
  <si>
    <t>Financial Income</t>
  </si>
  <si>
    <t>Financial Expenses</t>
  </si>
  <si>
    <t>Dividends &amp; Interest Received</t>
  </si>
  <si>
    <t>Account Receivables</t>
  </si>
  <si>
    <t>Account Payables</t>
  </si>
  <si>
    <t>Other Non-Current Assets</t>
  </si>
  <si>
    <t>2002</t>
  </si>
  <si>
    <t>KPMG Auditing</t>
  </si>
  <si>
    <t>Provision for decline in inventories</t>
  </si>
  <si>
    <t>Provision for LT receivable</t>
  </si>
  <si>
    <t>Provision for LT investment</t>
  </si>
  <si>
    <t>Goodwill</t>
  </si>
  <si>
    <t>Quarterly</t>
  </si>
  <si>
    <t>2022</t>
  </si>
  <si>
    <t>Q1/2005</t>
  </si>
  <si>
    <t>Q2/2005</t>
  </si>
  <si>
    <t>Q3/2005</t>
  </si>
  <si>
    <t>Q4/2005</t>
  </si>
  <si>
    <t>Q1/2006</t>
  </si>
  <si>
    <t>Q2/2006</t>
  </si>
  <si>
    <t>Q3/2006</t>
  </si>
  <si>
    <t>Q4/2006</t>
  </si>
  <si>
    <t>Q1/2007</t>
  </si>
  <si>
    <t>Q3/2007</t>
  </si>
  <si>
    <t>Q4/2007</t>
  </si>
  <si>
    <t>Q1/2008</t>
  </si>
  <si>
    <t>Q2/2008</t>
  </si>
  <si>
    <t>Q3/2008</t>
  </si>
  <si>
    <t>Q4/2008</t>
  </si>
  <si>
    <t>Q1/2009</t>
  </si>
  <si>
    <t>Q2/2009</t>
  </si>
  <si>
    <t>Q3/2009</t>
  </si>
  <si>
    <t>Q4/2009</t>
  </si>
  <si>
    <t>Q1/2010</t>
  </si>
  <si>
    <t>Q2/2010</t>
  </si>
  <si>
    <t>Q3/2010</t>
  </si>
  <si>
    <t>Q4/2010</t>
  </si>
  <si>
    <t>Q1/2011</t>
  </si>
  <si>
    <t>Q2/2011</t>
  </si>
  <si>
    <t>Q3/2011</t>
  </si>
  <si>
    <t>Q4/2011</t>
  </si>
  <si>
    <t>Q1/2012</t>
  </si>
  <si>
    <t>Q2/2012</t>
  </si>
  <si>
    <t>Q3/2012</t>
  </si>
  <si>
    <t>Q4/2012</t>
  </si>
  <si>
    <t>Q1/2013</t>
  </si>
  <si>
    <t>Q2/2013</t>
  </si>
  <si>
    <t>Q3/2013</t>
  </si>
  <si>
    <t>Q4/2013</t>
  </si>
  <si>
    <t>Domestic</t>
  </si>
  <si>
    <t>Raw materials</t>
  </si>
  <si>
    <t>Total COGS</t>
  </si>
  <si>
    <t xml:space="preserve">Equity </t>
  </si>
  <si>
    <t xml:space="preserve">Debt </t>
  </si>
  <si>
    <t>Balance</t>
  </si>
  <si>
    <t>Decrease during the year</t>
  </si>
  <si>
    <t>Works in progress / Revenue</t>
  </si>
  <si>
    <t>Average Inventory/COGS</t>
  </si>
  <si>
    <t>Average Receivable/net sales</t>
  </si>
  <si>
    <t>Average Account Payable/COGS</t>
  </si>
  <si>
    <t>Prepaid expenses/SG&amp;A</t>
  </si>
  <si>
    <t xml:space="preserve"> FX loss</t>
  </si>
  <si>
    <t>% of COGS</t>
  </si>
  <si>
    <t>Accrued expenses/COGS</t>
  </si>
  <si>
    <t>Investments in affiliates (Equity method)</t>
  </si>
  <si>
    <t>Beginning of period</t>
  </si>
  <si>
    <t>Gain/(loss) from affiliates</t>
  </si>
  <si>
    <t>Dividends (enter as -)</t>
  </si>
  <si>
    <t>End of period</t>
  </si>
  <si>
    <t>Revolver (short term debt)</t>
  </si>
  <si>
    <t>Increases / (decreases)</t>
  </si>
  <si>
    <t>Maximum availability</t>
  </si>
  <si>
    <t>Compliance check</t>
  </si>
  <si>
    <t>Cash at Beginning of period</t>
  </si>
  <si>
    <t>Less: Minimum cash balance</t>
  </si>
  <si>
    <t>Minority interest expense (+)</t>
  </si>
  <si>
    <t>Retained earnings</t>
  </si>
  <si>
    <t>Net retained earnings</t>
  </si>
  <si>
    <t>Bonus &amp; Welfare Funds</t>
  </si>
  <si>
    <t>Fixed Assets (historical price)/net sales</t>
  </si>
  <si>
    <t xml:space="preserve">Less: increase in Bonus and welfare fund </t>
  </si>
  <si>
    <t xml:space="preserve">Less: increase in Financial reserve fund </t>
  </si>
  <si>
    <t>Less: increase in Investment &amp; development funds</t>
  </si>
  <si>
    <t>Investment and Development Fund (for VN)</t>
  </si>
  <si>
    <t>Financial Reserve Fund (for VN)</t>
  </si>
  <si>
    <t>Other funds (for VN)</t>
  </si>
  <si>
    <t>Plus: Cash flows generated other than revolver</t>
  </si>
  <si>
    <t>Preference shares</t>
  </si>
  <si>
    <t>Equals: Cash available to paydown</t>
  </si>
  <si>
    <t>Minority interest (Consolidation method)</t>
  </si>
  <si>
    <t>Historical price</t>
  </si>
  <si>
    <t xml:space="preserve">EV/TTM EBITDA </t>
  </si>
  <si>
    <t>Less: common dividends</t>
  </si>
  <si>
    <t xml:space="preserve"> Interest expense</t>
  </si>
  <si>
    <t>(Cash+ST inv.)/A</t>
  </si>
  <si>
    <t>Increases /(decreases)</t>
  </si>
  <si>
    <t>Forex income</t>
  </si>
  <si>
    <t>Forex loss</t>
  </si>
  <si>
    <t>Provision for diminution (stock)</t>
  </si>
  <si>
    <t>Other long-term investments</t>
  </si>
  <si>
    <t>Q3/2022</t>
  </si>
  <si>
    <t>Q4/2022</t>
  </si>
  <si>
    <t>% growth</t>
  </si>
  <si>
    <t>% margin</t>
  </si>
  <si>
    <t>% revenue</t>
  </si>
  <si>
    <t>Other Equity Accounts</t>
  </si>
  <si>
    <t>Depreciation &amp; Amortization</t>
  </si>
  <si>
    <t>Provisions</t>
  </si>
  <si>
    <t>Chg in Account Receivables</t>
  </si>
  <si>
    <t>Chg in Account Payables</t>
  </si>
  <si>
    <t>Income from affiliates</t>
  </si>
  <si>
    <t>FY (Dec)</t>
  </si>
  <si>
    <t>Revenue (VNDbn)</t>
  </si>
  <si>
    <t>OP (VNDbn)</t>
  </si>
  <si>
    <t>OP margin (%)</t>
  </si>
  <si>
    <t>NPATMI</t>
  </si>
  <si>
    <t>Chg in Net Purchases of Investment in Affiliates</t>
  </si>
  <si>
    <t>NPATMI (VNDbn)</t>
  </si>
  <si>
    <t>Consolidated net sales</t>
  </si>
  <si>
    <t>Revenue growth (%)</t>
  </si>
  <si>
    <t>EBITDA (VNDbn)</t>
  </si>
  <si>
    <t>2027F</t>
  </si>
  <si>
    <t>Total net revenue</t>
  </si>
  <si>
    <t>2023 Plan</t>
  </si>
  <si>
    <t>Q1/2023</t>
  </si>
  <si>
    <t>Selling expenses/Net sales (%)</t>
  </si>
  <si>
    <t>Operating Profit/Net Sales (%)</t>
  </si>
  <si>
    <t>EBITDA margin (%)</t>
  </si>
  <si>
    <t>Interest income (%)</t>
  </si>
  <si>
    <t>Interest expenses (%)</t>
  </si>
  <si>
    <t>PBT margin (%)</t>
  </si>
  <si>
    <t>Net margin (%)</t>
  </si>
  <si>
    <t>Net profit growth (%)</t>
  </si>
  <si>
    <t>PBT growth (%)</t>
  </si>
  <si>
    <t>Discount/Gross sales (%)</t>
  </si>
  <si>
    <t>Selling expenses/net sales</t>
  </si>
  <si>
    <t>% change</t>
  </si>
  <si>
    <t>% weight</t>
  </si>
  <si>
    <t>ST debt/ COGS (%)</t>
  </si>
  <si>
    <t>SG&amp;A/Net sales (%)</t>
  </si>
  <si>
    <t>Total assets (VNDbn)</t>
  </si>
  <si>
    <t>Total equity (VNDbn)</t>
  </si>
  <si>
    <t>Chg in Fixed Assets</t>
  </si>
  <si>
    <t>Depreciation for existing fixed assets</t>
  </si>
  <si>
    <t>Depreciation for new fixed assets</t>
  </si>
  <si>
    <t>Depreciation for existing intangible assets</t>
  </si>
  <si>
    <t>Depreciation for new intangible assets</t>
  </si>
  <si>
    <t>Dividends from affiliates &amp; deposits</t>
  </si>
  <si>
    <t>fiinpro_fs_fpt_consolidated_q4_2022_0_vndbn_03_30_2023.xlsm</t>
  </si>
  <si>
    <t>03/30/2023</t>
  </si>
  <si>
    <t xml:space="preserve">FPT </t>
  </si>
  <si>
    <t>fiinpro_fs_fpt_consolidated_2022_0_vndbn_03_30_2023.xlsm</t>
  </si>
  <si>
    <t>Forecast</t>
  </si>
  <si>
    <t>Qualified Opinion</t>
  </si>
  <si>
    <t>FPT</t>
  </si>
  <si>
    <t>FPT (VND)</t>
  </si>
  <si>
    <t>Paid-in capital</t>
  </si>
  <si>
    <t>Capital injection</t>
  </si>
  <si>
    <t>Treasury stocks</t>
  </si>
  <si>
    <t>Foreign exchange differences</t>
  </si>
  <si>
    <t>Investment &amp; development funds</t>
  </si>
  <si>
    <t>Financial reserve funds</t>
  </si>
  <si>
    <t xml:space="preserve">Less: increase in Other funds </t>
  </si>
  <si>
    <t>Global IT</t>
  </si>
  <si>
    <t>Domestic IT</t>
  </si>
  <si>
    <t>Digital content</t>
  </si>
  <si>
    <t>Communication</t>
  </si>
  <si>
    <t>SG&amp;A &amp; other costs</t>
  </si>
  <si>
    <t>Pre-tax profit</t>
  </si>
  <si>
    <t>Gross profit margin</t>
  </si>
  <si>
    <t>Pre-tax profit margin</t>
  </si>
  <si>
    <t>Total gross profit</t>
  </si>
  <si>
    <t>H1/19</t>
  </si>
  <si>
    <t>H1/20</t>
  </si>
  <si>
    <t>H1/21</t>
  </si>
  <si>
    <t>H1/22</t>
  </si>
  <si>
    <t>H1/23</t>
  </si>
  <si>
    <t>H2/19</t>
  </si>
  <si>
    <t>H2/20</t>
  </si>
  <si>
    <t>H2/21</t>
  </si>
  <si>
    <t>H2/22</t>
  </si>
  <si>
    <t>H2/23</t>
  </si>
  <si>
    <t>Production costs by factors</t>
  </si>
  <si>
    <t>Labour costs</t>
  </si>
  <si>
    <t>Depreciation expense</t>
  </si>
  <si>
    <t>Outside service expenses</t>
  </si>
  <si>
    <t>Other cash expenses</t>
  </si>
  <si>
    <t>% production costs</t>
  </si>
  <si>
    <t># employees</t>
  </si>
  <si>
    <t>COGS as % revenue</t>
  </si>
  <si>
    <t>Average annual salary (VNDbn)</t>
  </si>
  <si>
    <t>Investment, education &amp; others</t>
  </si>
  <si>
    <t>Total IT</t>
  </si>
  <si>
    <t>Total communication</t>
  </si>
  <si>
    <t>2023P</t>
  </si>
  <si>
    <t>Net revenue by country</t>
  </si>
  <si>
    <t>Vietnam</t>
  </si>
  <si>
    <t>Japan</t>
  </si>
  <si>
    <t>US</t>
  </si>
  <si>
    <t>EU</t>
  </si>
  <si>
    <t>Asia Pacific</t>
  </si>
  <si>
    <t>Japan, Korea, China</t>
  </si>
  <si>
    <t>Global</t>
  </si>
  <si>
    <t>% complete</t>
  </si>
  <si>
    <t>Telecom</t>
  </si>
  <si>
    <t>Summary</t>
  </si>
  <si>
    <t>Telecommunications</t>
  </si>
  <si>
    <t>Communication revenue breakdown</t>
  </si>
  <si>
    <t>Broadband</t>
  </si>
  <si>
    <t>Non-broadband</t>
  </si>
  <si>
    <t>Communication PBT breakdown</t>
  </si>
  <si>
    <t>% net revenue contribution</t>
  </si>
  <si>
    <t>Traditional services</t>
  </si>
  <si>
    <t>Net revenue by tech services</t>
  </si>
  <si>
    <t>COGS growth</t>
  </si>
  <si>
    <t>Depreciation breakdown</t>
  </si>
  <si>
    <t>Depreciation breakdown (% revenue)</t>
  </si>
  <si>
    <t>Depreciation growth breakdown</t>
  </si>
  <si>
    <t>Q1 2022</t>
  </si>
  <si>
    <t>Q1 2023</t>
  </si>
  <si>
    <t xml:space="preserve">Average interest rate </t>
  </si>
  <si>
    <t>Operating Profit (EBIT)</t>
  </si>
  <si>
    <t>Other LT investments/ revenue (%)</t>
  </si>
  <si>
    <t>Provision/ LT investment</t>
  </si>
  <si>
    <t>Other LT assets/ Total assets</t>
  </si>
  <si>
    <t>ASSETS</t>
  </si>
  <si>
    <t>LIABILITIES &amp; EQUITY</t>
  </si>
  <si>
    <t>Effective tax rate (%)</t>
  </si>
  <si>
    <t xml:space="preserve">Total depreciation </t>
  </si>
  <si>
    <t>Planned capex</t>
  </si>
  <si>
    <t>Technology</t>
  </si>
  <si>
    <t>E&amp;I</t>
  </si>
  <si>
    <t xml:space="preserve">as % total capex </t>
  </si>
  <si>
    <t>Tangible fixed assets</t>
  </si>
  <si>
    <t>Accumulated Depreciation</t>
  </si>
  <si>
    <t>Depreciation in year</t>
  </si>
  <si>
    <t xml:space="preserve">Depreciation/Gross value </t>
  </si>
  <si>
    <t>as % ending gross value prior year</t>
  </si>
  <si>
    <t>Intangible fixed assets</t>
  </si>
  <si>
    <t>Disposals</t>
  </si>
  <si>
    <t xml:space="preserve">Addition </t>
  </si>
  <si>
    <t>as % revenue</t>
  </si>
  <si>
    <t>Amortization in year</t>
  </si>
  <si>
    <t>Works in progress / Total CapEx</t>
  </si>
  <si>
    <t>Estimated fixed tangible capex</t>
  </si>
  <si>
    <t>Addition to gross value</t>
  </si>
  <si>
    <t>Depreciation per annum for financial lease assets (%)</t>
  </si>
  <si>
    <t>Average life of financial lease assets (years)</t>
  </si>
  <si>
    <t>Accumulated depreciation &amp; amortisation</t>
  </si>
  <si>
    <t>Annual depreciation &amp; amortisation</t>
  </si>
  <si>
    <t>FI as % revenue</t>
  </si>
  <si>
    <t>LT debts</t>
  </si>
  <si>
    <t>1y maturity</t>
  </si>
  <si>
    <t>2y maturity</t>
  </si>
  <si>
    <t>5y maturity</t>
  </si>
  <si>
    <t>&gt;5y maturity</t>
  </si>
  <si>
    <t>Leasing debts</t>
  </si>
  <si>
    <t>2028F</t>
  </si>
  <si>
    <t>Current LT debts</t>
  </si>
  <si>
    <t>New debts</t>
  </si>
  <si>
    <t>ST debts</t>
  </si>
  <si>
    <t>Outstanding shares at the year end</t>
  </si>
  <si>
    <t>Outstanding shares in the beginning</t>
  </si>
  <si>
    <t>Less: stock dividends</t>
  </si>
  <si>
    <t>% NPATMI</t>
  </si>
  <si>
    <t>% common dividends</t>
  </si>
  <si>
    <t>% stock dividends</t>
  </si>
  <si>
    <t xml:space="preserve">% increase in Bonus and welfare fund </t>
  </si>
  <si>
    <t>% increase in Investment &amp; development funds</t>
  </si>
  <si>
    <t xml:space="preserve">% increase in Financial reserve fund </t>
  </si>
  <si>
    <t xml:space="preserve">% increase in Other funds </t>
  </si>
  <si>
    <t>Plus: NPATMI</t>
  </si>
  <si>
    <t>% charter capital</t>
  </si>
  <si>
    <t>ESOP shares</t>
  </si>
  <si>
    <t>ESOP distribution</t>
  </si>
  <si>
    <t>Issue price</t>
  </si>
  <si>
    <t>Less: ESOP</t>
  </si>
  <si>
    <t>% ESOP</t>
  </si>
  <si>
    <t>Stock dividend shares</t>
  </si>
  <si>
    <t>Common stock and APIC</t>
  </si>
  <si>
    <t>Plus: Stock dividend</t>
  </si>
  <si>
    <t>Plus: Stock based compensation</t>
  </si>
  <si>
    <t>Less: Treasury stock retired (enter as -)</t>
  </si>
  <si>
    <t>Treasury stock</t>
  </si>
  <si>
    <t>Less: Stock repurchases (enter as -)</t>
  </si>
  <si>
    <t>Plus: Stocks retired</t>
  </si>
  <si>
    <t>Stock dividend distribution</t>
  </si>
  <si>
    <t>BVPS unadjusted (VND)</t>
  </si>
  <si>
    <t>EPS unadjusted (VND)</t>
  </si>
  <si>
    <t xml:space="preserve">EPS adjusted </t>
  </si>
  <si>
    <t>BVPS adjusted</t>
  </si>
  <si>
    <t>DPS adjusted</t>
  </si>
  <si>
    <t>DPS unadjusted (VND)</t>
  </si>
  <si>
    <t>Dividend/ EPS (%)</t>
  </si>
  <si>
    <t>Net purchase (+)/ sale (-) of affiliates</t>
  </si>
  <si>
    <t>Stock dividend ratio</t>
  </si>
  <si>
    <t>Check</t>
  </si>
  <si>
    <t xml:space="preserve">Cash dividend </t>
  </si>
  <si>
    <t>Growth vs conduction</t>
  </si>
  <si>
    <t>LT financial debts (after 1y)</t>
  </si>
  <si>
    <t>LT Leasing debts (after 1y)</t>
  </si>
  <si>
    <t>LT financial debts + Leasing debts (after 1y)</t>
  </si>
  <si>
    <t>Total debts (including 1y)</t>
  </si>
  <si>
    <t>Short-term debt/COGS</t>
  </si>
  <si>
    <t>Short-term debt/Net revenue</t>
  </si>
  <si>
    <t>Long term debt/Net revenue</t>
  </si>
  <si>
    <t>Invest in others</t>
  </si>
  <si>
    <t>Held-to-maturity</t>
  </si>
  <si>
    <t>Provision for investments</t>
  </si>
  <si>
    <t>Dividends/ Other investments</t>
  </si>
  <si>
    <t>Debt proceeds</t>
  </si>
  <si>
    <t>Debt prepayments</t>
  </si>
  <si>
    <t>as % total expenses</t>
  </si>
  <si>
    <t>% total debt proceeds</t>
  </si>
  <si>
    <t>Net change</t>
  </si>
  <si>
    <t>LT debts repayment</t>
  </si>
  <si>
    <t>ST debts repayment</t>
  </si>
  <si>
    <t>Spending</t>
  </si>
  <si>
    <t>Owner capital</t>
  </si>
  <si>
    <t>Borrowing</t>
  </si>
  <si>
    <t>% 2022</t>
  </si>
  <si>
    <t>% 2023F</t>
  </si>
  <si>
    <t>MC (US$bn)</t>
  </si>
  <si>
    <t>1Q22</t>
  </si>
  <si>
    <t>1Q23</t>
  </si>
  <si>
    <t>APAC</t>
  </si>
  <si>
    <t>2Q22</t>
  </si>
  <si>
    <t>3Q22</t>
  </si>
  <si>
    <t>4Q22</t>
  </si>
  <si>
    <t>1Q21</t>
  </si>
  <si>
    <r>
      <t xml:space="preserve">   </t>
    </r>
    <r>
      <rPr>
        <sz val="10"/>
        <rFont val="Arial"/>
        <family val="2"/>
      </rPr>
      <t>- Other non-current adjustment</t>
    </r>
    <r>
      <rPr>
        <sz val="10"/>
        <rFont val="Arial Unicode MS"/>
        <family val="2"/>
      </rPr>
      <t>s</t>
    </r>
  </si>
  <si>
    <t>Other non-current adjustments</t>
  </si>
  <si>
    <t>Plus: Other non-current adjustments</t>
  </si>
  <si>
    <r>
      <t xml:space="preserve">   </t>
    </r>
    <r>
      <rPr>
        <sz val="10"/>
        <rFont val="Arial"/>
        <family val="2"/>
      </rPr>
      <t>- Current liabilities movement</t>
    </r>
  </si>
  <si>
    <r>
      <t xml:space="preserve">   </t>
    </r>
    <r>
      <rPr>
        <sz val="10"/>
        <rFont val="Arial"/>
        <family val="2"/>
      </rPr>
      <t>- Current assets movement</t>
    </r>
  </si>
  <si>
    <t>Total company's PV</t>
  </si>
  <si>
    <t>Total IT services</t>
  </si>
  <si>
    <t>Total telecom</t>
  </si>
  <si>
    <t>Operating Expenses</t>
  </si>
  <si>
    <t>Enterprises effective income tax</t>
  </si>
  <si>
    <t>Q2/2023</t>
  </si>
  <si>
    <t xml:space="preserve">    Gross Profit Margin</t>
  </si>
  <si>
    <t>CASH FLOW STATEMENTS</t>
  </si>
  <si>
    <t>6M2023</t>
  </si>
  <si>
    <t>6M2022</t>
  </si>
  <si>
    <t>2Q23</t>
  </si>
  <si>
    <t>DX Total net revenue</t>
  </si>
  <si>
    <t>From interim reports</t>
  </si>
  <si>
    <t>Total Revenue Breakdown (2018-2Q2023)</t>
  </si>
  <si>
    <t>2Q2023</t>
  </si>
  <si>
    <t>6M2023 Progress vs 2023 Target</t>
  </si>
  <si>
    <t>2023 Target</t>
  </si>
  <si>
    <t>%23/Plan</t>
  </si>
  <si>
    <t>%revenue growth geography breakdown</t>
  </si>
  <si>
    <t>Revenue contribution</t>
  </si>
  <si>
    <t>pie chart</t>
  </si>
  <si>
    <t>Profit before tax contribution</t>
  </si>
  <si>
    <t>Profit margin</t>
  </si>
  <si>
    <t>Revenue contribution per head</t>
  </si>
  <si>
    <t>QUARTER REPORT</t>
  </si>
  <si>
    <t>Vietnam's IT Service</t>
  </si>
  <si>
    <t>Other business lines</t>
  </si>
  <si>
    <t>I&amp;E revenue breakdown</t>
  </si>
  <si>
    <t>%QoQ net revenue growth by country</t>
  </si>
  <si>
    <t># Global IT services employees</t>
  </si>
  <si>
    <t># Total production employees</t>
  </si>
  <si>
    <t>Average of last 3 years</t>
  </si>
  <si>
    <t>Assumed here, output in PL</t>
  </si>
  <si>
    <t>Rationale of Assumptions</t>
  </si>
  <si>
    <t>Earnings per share (EPS)</t>
  </si>
  <si>
    <t>Assumptions</t>
  </si>
  <si>
    <t>INCOME STATEMENTS</t>
  </si>
  <si>
    <t xml:space="preserve">Transfer from Construction In Progress (CIP) </t>
  </si>
  <si>
    <t>Sales Revenue</t>
  </si>
  <si>
    <t>Total depreciation expenses</t>
  </si>
  <si>
    <t>Days of Inventory on Hand</t>
  </si>
  <si>
    <t>Days of receivables</t>
  </si>
  <si>
    <t>Days of payables</t>
  </si>
  <si>
    <t>CAPEX</t>
  </si>
  <si>
    <t>Fixed Aset Schedule -  Detail breakdown</t>
  </si>
  <si>
    <t>???</t>
  </si>
  <si>
    <t>Fixed Assets Schedule</t>
  </si>
  <si>
    <t>Planned CAPEX (in bn)</t>
  </si>
  <si>
    <t>Working Cap Schedule</t>
  </si>
  <si>
    <t>Addition to gross values = CAPEX</t>
  </si>
  <si>
    <t>Addition to gross values = Transfer from CIP + Addition</t>
  </si>
  <si>
    <t>ASSUMPTIONS</t>
  </si>
  <si>
    <t>% revenue growth (Global IT Service)</t>
  </si>
  <si>
    <t>% revenue growth (Domestic IT Service)</t>
  </si>
  <si>
    <t>% revenue growth (Telecom + Education)</t>
  </si>
  <si>
    <t>Average annual salary (VNDbn) growth</t>
  </si>
  <si>
    <t>``</t>
  </si>
  <si>
    <t>Profit from JVs,affiliates/ Net Long Term investments</t>
  </si>
  <si>
    <t>Other income (financial income/net sales)</t>
  </si>
  <si>
    <t>Other expenses (financial expenses/COGs)</t>
  </si>
  <si>
    <t>Days of receivables increase in year 2023</t>
  </si>
  <si>
    <t>Days of inventory on hand increase in year 2023</t>
  </si>
  <si>
    <t>Current assets</t>
  </si>
  <si>
    <t>Prepaid expenses to customers</t>
  </si>
  <si>
    <t>Less: Income from affiliates</t>
  </si>
  <si>
    <t>%23/Forecast</t>
  </si>
  <si>
    <t>https://www.globaldata.com/media/technology/telecom-service-revenue-in-vietnam-to-increase-at-4-4-cagr-during-2022-2027-forecasts-globaldata/</t>
  </si>
  <si>
    <t>Non-broadband (Data centers, FPT play, Smarthome)</t>
  </si>
  <si>
    <t>2023 Forecasted</t>
  </si>
  <si>
    <t>As of 6M2023, Digital content achieves 32.7% forecasted figure</t>
  </si>
  <si>
    <t>As of 6M2023, Education &amp; Investment achieves 46.3% forecasted figure</t>
  </si>
  <si>
    <t>[3.COGs Assumption]</t>
  </si>
  <si>
    <t xml:space="preserve">FPT plans 50,000 headcount by 2024 (từ:2018)
</t>
  </si>
  <si>
    <t>https://chungta.vn/nguoi-fpt/fpt-dat-muc-tieu-50-000-nhan-su-den-nam-2024-1120762.html</t>
  </si>
  <si>
    <t xml:space="preserve">COGS by factors </t>
  </si>
  <si>
    <t>COGs by factors</t>
  </si>
  <si>
    <t>proportional to COGs</t>
  </si>
  <si>
    <t>P&amp;L Statement</t>
  </si>
  <si>
    <t>SG&amp;A and other costs</t>
  </si>
  <si>
    <t xml:space="preserve">Selling Expenses is assumed to stay at last year''s figure </t>
  </si>
  <si>
    <t xml:space="preserve">Admin Expenses is assumed to stay at last year''s figure </t>
  </si>
  <si>
    <t>Using last year' tax rate</t>
  </si>
  <si>
    <t>PL Joint Ventures &amp; Affliates</t>
  </si>
  <si>
    <t>PL Other activities</t>
  </si>
  <si>
    <t>FX loss as % revenue</t>
  </si>
  <si>
    <t>Revenue Model</t>
  </si>
  <si>
    <t xml:space="preserve">FPT''s planned YoY revenue growth at 18.8% </t>
  </si>
  <si>
    <t>Financial Income &amp; Financial Expenses</t>
  </si>
  <si>
    <t>Average COGs of last 3 years</t>
  </si>
  <si>
    <t>Depreciation expenses expected to go up with new planned CAPEX in education</t>
  </si>
  <si>
    <t>FX Income as % revenue</t>
  </si>
  <si>
    <t>Achieved/Forecast</t>
  </si>
  <si>
    <t>6M/2023</t>
  </si>
  <si>
    <t>6M/2022</t>
  </si>
  <si>
    <t xml:space="preserve">  Accum Depreciation</t>
  </si>
  <si>
    <t xml:space="preserve">  Accum Amortisation</t>
  </si>
  <si>
    <t>From CF Statement's Purchases of fixed assets and other long term assets</t>
  </si>
  <si>
    <t xml:space="preserve">=Estimated fix tangible capex - Work in progress </t>
  </si>
  <si>
    <t>Net Book Value</t>
  </si>
  <si>
    <t>Gross Book Value</t>
  </si>
  <si>
    <t>Education&amp;Inv</t>
  </si>
  <si>
    <t>Estimated fixed tangible CAPEX/% revenue</t>
  </si>
  <si>
    <t>PL from Financial activities (FI&amp;FE')</t>
  </si>
  <si>
    <t>Gross value =last year gross value + addition to gross value</t>
  </si>
  <si>
    <t>6M/23 Progress (Global IT)</t>
  </si>
  <si>
    <t>According to Modor Intelligence , The Japanese ICT market is anticipated to record a CAGR of 11.25% over the forecast period (2023-2028)</t>
  </si>
  <si>
    <t>According to Modor Intelligence , The US ICT market is anticipated to record a CAGR of 7.5% over the forecast period (2023-2028)</t>
  </si>
  <si>
    <t>Domestic IT expected to grow at a stronger rate after 2023 however lack of labor supply may weigh down the prospect</t>
  </si>
  <si>
    <t>Vietnam''s Telecom industry already in maturity phase. Growth follows market's CAGR:4.5%</t>
  </si>
  <si>
    <t>COGs</t>
  </si>
  <si>
    <t>Peer Analysis</t>
  </si>
  <si>
    <t>Company</t>
  </si>
  <si>
    <t>CMG</t>
  </si>
  <si>
    <t>ELG</t>
  </si>
  <si>
    <t>ITD</t>
  </si>
  <si>
    <t>6M2023 growth (%YoY)</t>
  </si>
  <si>
    <t>Growth by quarters from 6M2021-6M2023</t>
  </si>
  <si>
    <t>Revenue</t>
  </si>
  <si>
    <t>Profit After Tax</t>
  </si>
  <si>
    <t>ROE</t>
  </si>
  <si>
    <t>5-Y P/E(x)</t>
  </si>
  <si>
    <t>Trailing P/E(x)</t>
  </si>
  <si>
    <t>6M/2023' (YoY Growth)</t>
  </si>
  <si>
    <t>technology</t>
  </si>
  <si>
    <t>telecommunications</t>
  </si>
  <si>
    <t>education &amp; investment</t>
  </si>
  <si>
    <t># Revenue per employee (VNDmn)</t>
  </si>
  <si>
    <t>Number of employees</t>
  </si>
  <si>
    <t>Net sales- Elcom</t>
  </si>
  <si>
    <t>Net sales- ITD</t>
  </si>
  <si>
    <t>Q12023 revenue</t>
  </si>
  <si>
    <t>Net profit/(loss) after tax - Elcom</t>
  </si>
  <si>
    <t>Net profit/(loss) after tax - ITD</t>
  </si>
  <si>
    <t>Q1/2023 after tax</t>
  </si>
  <si>
    <t>Q1/2023 growth (%YoY)</t>
  </si>
  <si>
    <t>First 6 Months</t>
  </si>
  <si>
    <t>Last 6 Months</t>
  </si>
  <si>
    <t>H1 vs H2 Growth</t>
  </si>
  <si>
    <t>First 6H Yearly Growth</t>
  </si>
  <si>
    <t>2021 v 2020</t>
  </si>
  <si>
    <t>2022 v 2021</t>
  </si>
  <si>
    <t>2023 v 2022</t>
  </si>
  <si>
    <t>Average of H1 to H2 growth</t>
  </si>
  <si>
    <t>Average of HoH Growth</t>
  </si>
  <si>
    <t>==((CF!$M$23*(1+Valuation!G$33))/(Valuation!$C36-Valuation!G$33))/((1+Valuation!$C36)^CF!$M$37)</t>
  </si>
  <si>
    <t>Terrminal value</t>
  </si>
  <si>
    <t>Discount number of year 2027</t>
  </si>
  <si>
    <t>CF!M23</t>
  </si>
  <si>
    <t>V!G33</t>
  </si>
  <si>
    <t>V!C36</t>
  </si>
  <si>
    <t>Equity Value (EV-Net Debt)</t>
  </si>
  <si>
    <t>CF!M37</t>
  </si>
  <si>
    <t>Average of last year</t>
  </si>
  <si>
    <t>FPT's plan</t>
  </si>
  <si>
    <t>Labour cost</t>
  </si>
  <si>
    <t>in bn</t>
  </si>
  <si>
    <t>Total IT services pH</t>
  </si>
  <si>
    <t>Total telecom pH</t>
  </si>
  <si>
    <t>Investment, education &amp; others pH</t>
  </si>
  <si>
    <t>Labor cost pH</t>
  </si>
  <si>
    <t>Revenue per employee</t>
  </si>
  <si>
    <t>Long term AR turnover</t>
  </si>
  <si>
    <t>NPATMNI excluding bonus &amp; welfare fund</t>
  </si>
  <si>
    <t>EPS (ex bonus and welfare fund)</t>
  </si>
  <si>
    <t>Deducted: Welfare and bonus fund</t>
  </si>
  <si>
    <t>Reported EPS on Historical FS</t>
  </si>
  <si>
    <t>No Dilution Case</t>
  </si>
  <si>
    <t>Dilution Case</t>
  </si>
  <si>
    <t>Chưa kiểm toán</t>
  </si>
  <si>
    <t>YoY growth</t>
  </si>
  <si>
    <t>Labor cost pH YoY growth</t>
  </si>
  <si>
    <t>Revenue pH YoY growth</t>
  </si>
  <si>
    <t>Revenue per student</t>
  </si>
  <si>
    <t>=Last year CAPEX WIP</t>
  </si>
  <si>
    <t>Global DX - Digital Transformation Revenue</t>
  </si>
  <si>
    <t>1H2022</t>
  </si>
  <si>
    <t>2H2022</t>
  </si>
  <si>
    <t>1H2023</t>
  </si>
  <si>
    <t>2H2021</t>
  </si>
  <si>
    <t>Global IT revenue</t>
  </si>
  <si>
    <t>1H2020</t>
  </si>
  <si>
    <r>
      <t xml:space="preserve">% </t>
    </r>
    <r>
      <rPr>
        <sz val="10"/>
        <color theme="2" tint="-0.499984740745262"/>
        <rFont val="Arial"/>
        <family val="2"/>
      </rPr>
      <t>Dx revenue portion</t>
    </r>
  </si>
  <si>
    <t xml:space="preserve">Dx revenue </t>
  </si>
  <si>
    <t>2Q21</t>
  </si>
  <si>
    <t>3Q21</t>
  </si>
  <si>
    <t>4Q21</t>
  </si>
  <si>
    <t>1Q20</t>
  </si>
  <si>
    <t>2Q20</t>
  </si>
  <si>
    <t>3Q20</t>
  </si>
  <si>
    <t>4Q20</t>
  </si>
  <si>
    <t>8M/2023</t>
  </si>
  <si>
    <t>8M/2022</t>
  </si>
  <si>
    <t>Business Performance Update by FPT Investor Relations</t>
  </si>
  <si>
    <t>FPT revenue</t>
  </si>
  <si>
    <t>FPT Profit before tax</t>
  </si>
  <si>
    <t>FPT Profit after tax</t>
  </si>
  <si>
    <t>Profit after tax to parents company shareholders</t>
  </si>
  <si>
    <t>8M2022</t>
  </si>
  <si>
    <t>8M2023</t>
  </si>
  <si>
    <t>Earnings</t>
  </si>
  <si>
    <t>Revenue Makeup</t>
  </si>
  <si>
    <t>Education</t>
  </si>
  <si>
    <t>PBT Makeup</t>
  </si>
  <si>
    <t>Global IT services</t>
  </si>
  <si>
    <t>Global IT PBT</t>
  </si>
  <si>
    <t>DX revenue</t>
  </si>
  <si>
    <t>Japan market</t>
  </si>
  <si>
    <t>APC</t>
  </si>
  <si>
    <t>Signed Global IT revenue</t>
  </si>
  <si>
    <t>Domestic IT services</t>
  </si>
  <si>
    <t>A%</t>
  </si>
  <si>
    <t>Year</t>
  </si>
  <si>
    <t>No. of students</t>
  </si>
  <si>
    <t>FPT Education</t>
  </si>
  <si>
    <t>No of tech workers</t>
  </si>
  <si>
    <t>Q3/2023</t>
  </si>
  <si>
    <t>3Q23</t>
  </si>
  <si>
    <t>9M23</t>
  </si>
  <si>
    <t>Revenue by market portion (%)</t>
  </si>
  <si>
    <t>Total IT portion</t>
  </si>
  <si>
    <t>Education, Investment &amp; Others</t>
  </si>
  <si>
    <t>Signed revenue</t>
  </si>
  <si>
    <t>YoY (%) RHS</t>
  </si>
  <si>
    <t>Tu</t>
  </si>
  <si>
    <t>Mo</t>
  </si>
  <si>
    <t>Fr</t>
  </si>
  <si>
    <t>Th</t>
  </si>
  <si>
    <t>We</t>
  </si>
  <si>
    <t>JPYVND</t>
  </si>
  <si>
    <t>EURVND</t>
  </si>
  <si>
    <t>fiinpro_vietnam-economic-data</t>
  </si>
  <si>
    <t>08/10/2023</t>
  </si>
  <si>
    <t>Buy (VND-USD) (VCB) Trading Date From: 2020-05-09 To: 2023-08-09 Unit: VND</t>
  </si>
  <si>
    <t>Buy (VND-EUR) (VCB) Trading Date From: 2020-05-09 To: 2023-08-09 Unit: VND</t>
  </si>
  <si>
    <t>Buy (VND-JPY) (VCB) Trading Date From: 2020-05-09 To: 2023-08-09 Unit: VND</t>
  </si>
  <si>
    <t>SCB - Short Term - VND applicable to ordinary loans - Highest Unit: %</t>
  </si>
  <si>
    <t>SCB - Short Term - USD Deposit Rate - Highest Unit: %</t>
  </si>
  <si>
    <t>SCB - Medium and long Term - VND applicable to ordinary loans - Highest Unit: %</t>
  </si>
  <si>
    <t>Deposit Rate - 1 month to 6 months - Lowest Unit: %</t>
  </si>
  <si>
    <t>Period</t>
  </si>
  <si>
    <t>TradingDate</t>
  </si>
  <si>
    <t>DDE1</t>
  </si>
  <si>
    <t>DDE3</t>
  </si>
  <si>
    <t>DDE4</t>
  </si>
  <si>
    <t>DDE5</t>
  </si>
  <si>
    <t>DDE6</t>
  </si>
  <si>
    <t>DDE7</t>
  </si>
  <si>
    <t>Contact</t>
  </si>
  <si>
    <t>11/28/2023</t>
  </si>
  <si>
    <t>11/17/2021</t>
  </si>
  <si>
    <t>11/16/2021</t>
  </si>
  <si>
    <t>11/15/2021</t>
  </si>
  <si>
    <t>11/12/2021</t>
  </si>
  <si>
    <t>11/11/2021</t>
  </si>
  <si>
    <t>11/10/2021</t>
  </si>
  <si>
    <t>11/09/2021</t>
  </si>
  <si>
    <t>11/08/2021</t>
  </si>
  <si>
    <t>11/05/2021</t>
  </si>
  <si>
    <t>11/04/2021</t>
  </si>
  <si>
    <t>11/03/2021</t>
  </si>
  <si>
    <t>11/02/2021</t>
  </si>
  <si>
    <t>11/01/2021</t>
  </si>
  <si>
    <t>10/29/2021</t>
  </si>
  <si>
    <t>10/28/2021</t>
  </si>
  <si>
    <t>10/27/2021</t>
  </si>
  <si>
    <t>10/26/2021</t>
  </si>
  <si>
    <t>10/25/2021</t>
  </si>
  <si>
    <t>10/22/2021</t>
  </si>
  <si>
    <t>10/21/2021</t>
  </si>
  <si>
    <t>10/20/2021</t>
  </si>
  <si>
    <t>10/19/2021</t>
  </si>
  <si>
    <t>10/18/2021</t>
  </si>
  <si>
    <t>10/15/2021</t>
  </si>
  <si>
    <t>10/14/2021</t>
  </si>
  <si>
    <t>10/13/2021</t>
  </si>
  <si>
    <t>10/12/2021</t>
  </si>
  <si>
    <t>10/11/2021</t>
  </si>
  <si>
    <t>10/08/2021</t>
  </si>
  <si>
    <t>10/07/2021</t>
  </si>
  <si>
    <t>10/06/2021</t>
  </si>
  <si>
    <t>10/05/2021</t>
  </si>
  <si>
    <t>10/04/2021</t>
  </si>
  <si>
    <t>10/01/2021</t>
  </si>
  <si>
    <t>09/30/2021</t>
  </si>
  <si>
    <t>09/29/2021</t>
  </si>
  <si>
    <t>09/28/2021</t>
  </si>
  <si>
    <t>09/27/2021</t>
  </si>
  <si>
    <t>09/24/2021</t>
  </si>
  <si>
    <t>09/23/2021</t>
  </si>
  <si>
    <t>09/22/2021</t>
  </si>
  <si>
    <t>09/21/2021</t>
  </si>
  <si>
    <t>09/20/2021</t>
  </si>
  <si>
    <t>09/17/2021</t>
  </si>
  <si>
    <t>09/16/2021</t>
  </si>
  <si>
    <t>09/15/2021</t>
  </si>
  <si>
    <t>09/14/2021</t>
  </si>
  <si>
    <t>09/13/2021</t>
  </si>
  <si>
    <t>09/10/2021</t>
  </si>
  <si>
    <t>09/09/2021</t>
  </si>
  <si>
    <t>09/08/2021</t>
  </si>
  <si>
    <t>09/07/2021</t>
  </si>
  <si>
    <t>09/06/2021</t>
  </si>
  <si>
    <t>09/03/2021</t>
  </si>
  <si>
    <t>09/02/2021</t>
  </si>
  <si>
    <t>09/01/2021</t>
  </si>
  <si>
    <t>08/31/2021</t>
  </si>
  <si>
    <t>08/30/2021</t>
  </si>
  <si>
    <t>P/B</t>
  </si>
  <si>
    <t>Std P/E</t>
  </si>
  <si>
    <t>Std P/B</t>
  </si>
  <si>
    <t>Average P/E</t>
  </si>
  <si>
    <t>Average P/B</t>
  </si>
  <si>
    <t>=+1sd</t>
  </si>
  <si>
    <t>=+2sd</t>
  </si>
  <si>
    <t>=-1sd</t>
  </si>
  <si>
    <t>=-2sd</t>
  </si>
  <si>
    <t>9M22</t>
  </si>
  <si>
    <t>Admin expenses</t>
  </si>
  <si>
    <t>9M23 Update Table</t>
  </si>
  <si>
    <t>Education, Investments and others</t>
  </si>
  <si>
    <t>1Q18</t>
  </si>
  <si>
    <t>2Q18</t>
  </si>
  <si>
    <t>3Q18</t>
  </si>
  <si>
    <t>4Q18</t>
  </si>
  <si>
    <t>1Q19</t>
  </si>
  <si>
    <t>2Q19</t>
  </si>
  <si>
    <t>3Q19</t>
  </si>
  <si>
    <t>4Q19</t>
  </si>
  <si>
    <t>4Q23</t>
  </si>
  <si>
    <t>EBIT margin (%)</t>
  </si>
  <si>
    <t>Chỉ tiêuTỷ VND</t>
  </si>
  <si>
    <t>Trạng thái kiểm toán</t>
  </si>
  <si>
    <t>Đã kiểm toán</t>
  </si>
  <si>
    <t>Công ty kiểm toán</t>
  </si>
  <si>
    <t>Deloitte Vietnam Audit Co., Ltd</t>
  </si>
  <si>
    <t>Pwc Vietnam</t>
  </si>
  <si>
    <t>Loại ý kiến kiểm toán</t>
  </si>
  <si>
    <t>Chấp nhận toàn phần</t>
  </si>
  <si>
    <t>TÀI SẢN NGẮN HẠN</t>
  </si>
  <si>
    <t>Tiền và tương đương tiền</t>
  </si>
  <si>
    <t xml:space="preserve">     Tiền</t>
  </si>
  <si>
    <t xml:space="preserve">     Các khoản tương đương tiền</t>
  </si>
  <si>
    <t>Giá trị thuần đầu tư ngắn hạn</t>
  </si>
  <si>
    <t xml:space="preserve">     Đầu tư ngắn hạn</t>
  </si>
  <si>
    <t xml:space="preserve">     Dự phòng đầu tư ngắn hạn</t>
  </si>
  <si>
    <t xml:space="preserve">     Đầu tư nắm giữ đến ngày đáo hạn</t>
  </si>
  <si>
    <t>Các khoản phải thu</t>
  </si>
  <si>
    <t xml:space="preserve">     Phải thu khách hàng</t>
  </si>
  <si>
    <t xml:space="preserve">     Trả trước người bán</t>
  </si>
  <si>
    <t xml:space="preserve">     Phải thu nội bộ</t>
  </si>
  <si>
    <t xml:space="preserve">     Phải thu về XDCB</t>
  </si>
  <si>
    <t xml:space="preserve">     Phải thu về cho vay ngắn hạn</t>
  </si>
  <si>
    <t xml:space="preserve">     Phải thu khác</t>
  </si>
  <si>
    <t xml:space="preserve">     Dự phòng nợ khó đòi</t>
  </si>
  <si>
    <t xml:space="preserve">     Tài sản thiếu chờ xử lý</t>
  </si>
  <si>
    <t>Hàng tồn kho, ròng</t>
  </si>
  <si>
    <t xml:space="preserve">     Hàng tồn kho</t>
  </si>
  <si>
    <t xml:space="preserve">     Dự phòng giảm giá HTK</t>
  </si>
  <si>
    <t>Tài sản lưu động khác</t>
  </si>
  <si>
    <t xml:space="preserve">     Chi phí trả trước ngắn hạn</t>
  </si>
  <si>
    <t xml:space="preserve">     Thuế GTGT được khấu trừ</t>
  </si>
  <si>
    <t xml:space="preserve">     Phải thu thuế khác</t>
  </si>
  <si>
    <t xml:space="preserve">     Giao dịch mua bán lại trái phiếu chính phủ</t>
  </si>
  <si>
    <t xml:space="preserve">     Tài sản lưu động khác</t>
  </si>
  <si>
    <t>TÀI SẢN DÀI HẠN</t>
  </si>
  <si>
    <t>Phải thu dài hạn</t>
  </si>
  <si>
    <t xml:space="preserve">     Phải thu khách hàng dài hạn</t>
  </si>
  <si>
    <t xml:space="preserve">     Trả trước người bán dài hạn</t>
  </si>
  <si>
    <t xml:space="preserve">     Vốn kinh doanh ở các đơn vị trực thuộc</t>
  </si>
  <si>
    <t xml:space="preserve">     Phải thu nội bộ dài hạn</t>
  </si>
  <si>
    <t xml:space="preserve">     Phải thu về cho vay dài hạn</t>
  </si>
  <si>
    <t xml:space="preserve">     Phải thu dài hạn khác</t>
  </si>
  <si>
    <t xml:space="preserve">     Dự phòng phải thu dài hạn</t>
  </si>
  <si>
    <t>Tài sản cố định</t>
  </si>
  <si>
    <t xml:space="preserve">     GTCL TSCĐ hữu hình</t>
  </si>
  <si>
    <t xml:space="preserve">          Nguyên giá TSCĐ hữu hình</t>
  </si>
  <si>
    <t xml:space="preserve">          Khấu hao lũy kế TSCĐ hữu hình</t>
  </si>
  <si>
    <t xml:space="preserve">     GTCL Tài sản thuê tài chính</t>
  </si>
  <si>
    <t xml:space="preserve">          Nguyên giá tài sản thuê tài chính</t>
  </si>
  <si>
    <t xml:space="preserve">          Khấu hao lũy kế tài sản thuê tài chính</t>
  </si>
  <si>
    <t xml:space="preserve">     GTCL tài sản cố định vô hình</t>
  </si>
  <si>
    <t xml:space="preserve">          Nguyên giá TSCĐ vô hình</t>
  </si>
  <si>
    <t xml:space="preserve">          Khấu khao lũy kế TSCĐ vô hình</t>
  </si>
  <si>
    <t xml:space="preserve">     Xây dựng cơ bản dở dang (trước 2015)</t>
  </si>
  <si>
    <t>Giá trị ròng tài sản đầu tư</t>
  </si>
  <si>
    <t xml:space="preserve">     Nguyên giá tài sản đầu tư</t>
  </si>
  <si>
    <t xml:space="preserve">     Khấu hao lũy kế tài sản đầu tư</t>
  </si>
  <si>
    <t>Tài sản dở dang dài hạn</t>
  </si>
  <si>
    <t xml:space="preserve">     Chi phí sản xuất, kinh doanh dở dang dài hạn</t>
  </si>
  <si>
    <t xml:space="preserve">     Xây dựng cơ bản dở dang</t>
  </si>
  <si>
    <t>Đầu tư dài hạn</t>
  </si>
  <si>
    <t xml:space="preserve">     Đầu tư vào các công ty con</t>
  </si>
  <si>
    <t xml:space="preserve">     Đầu tư vào các công ty liên kết</t>
  </si>
  <si>
    <t xml:space="preserve">     Đầu tư dài hạn khác</t>
  </si>
  <si>
    <t xml:space="preserve">     Dự phòng giảm giá đầu tư dài hạn</t>
  </si>
  <si>
    <t>Lợi thế thương mại (trước 2015)</t>
  </si>
  <si>
    <t>Tài sản dài hạn khác</t>
  </si>
  <si>
    <t xml:space="preserve">     Trả trước dài hạn</t>
  </si>
  <si>
    <t xml:space="preserve">     Thuế thu nhập hoãn lại phải thu</t>
  </si>
  <si>
    <t xml:space="preserve">     Thiết bị, vật tư, phụ tùng thay thế dài hạn</t>
  </si>
  <si>
    <t xml:space="preserve">     Các tài sản dài hạn khác</t>
  </si>
  <si>
    <t xml:space="preserve">     Lợi thế thương mại</t>
  </si>
  <si>
    <t>TỔNG CỘNG TÀI SẢN</t>
  </si>
  <si>
    <t>NỢ PHẢI TRẢ</t>
  </si>
  <si>
    <t>Nợ ngắn hạn</t>
  </si>
  <si>
    <t xml:space="preserve">     Phải trả người bán</t>
  </si>
  <si>
    <t xml:space="preserve">     Người mua trả tiền trước</t>
  </si>
  <si>
    <t xml:space="preserve">     Thuế và các khoản phải trả Nhà nước</t>
  </si>
  <si>
    <t xml:space="preserve">     Phải trả người lao động</t>
  </si>
  <si>
    <t xml:space="preserve">     Chi phí phải trả</t>
  </si>
  <si>
    <t xml:space="preserve">     Phải trả nội bộ</t>
  </si>
  <si>
    <t xml:space="preserve">     Phải trả về xây dựng cơ bản</t>
  </si>
  <si>
    <t xml:space="preserve">     Doanh thu chưa thực hiện ngắn hạn</t>
  </si>
  <si>
    <t xml:space="preserve">     Phải trả khác</t>
  </si>
  <si>
    <t xml:space="preserve">     Vay ngắn hạn</t>
  </si>
  <si>
    <t xml:space="preserve">     Dự phòng các khoản phải trả ngắn hạn</t>
  </si>
  <si>
    <t xml:space="preserve">     Quỹ khen thưởng, phúc lợi</t>
  </si>
  <si>
    <t xml:space="preserve">     Quỹ bình ổn giá</t>
  </si>
  <si>
    <t>Nợ dài hạn</t>
  </si>
  <si>
    <t xml:space="preserve">     Phải trả nhà cung cấp dài hạn</t>
  </si>
  <si>
    <t xml:space="preserve">     Người mua trả tiền trước dài hạn</t>
  </si>
  <si>
    <t xml:space="preserve">     Chi phí phải trả dài hạn</t>
  </si>
  <si>
    <t xml:space="preserve">     Phải trả nội bộ về vốn kinh doanh</t>
  </si>
  <si>
    <t xml:space="preserve">     Phải trả nội bộ dài hạn</t>
  </si>
  <si>
    <t xml:space="preserve">     Doanh thu chưa thực hiên</t>
  </si>
  <si>
    <t xml:space="preserve">     Phải trả dài hạn khác</t>
  </si>
  <si>
    <t xml:space="preserve">     Vay dài hạn</t>
  </si>
  <si>
    <t xml:space="preserve">     Trái phiếu chuyển đổi</t>
  </si>
  <si>
    <t xml:space="preserve">     Cổ phiếu ưu đãi</t>
  </si>
  <si>
    <t xml:space="preserve">     Thuế thu nhập hoãn lại phải trả</t>
  </si>
  <si>
    <t xml:space="preserve">     Dự phòng trợ cấp thôi việc</t>
  </si>
  <si>
    <t xml:space="preserve">     Dự phòng các khoản công nợ dài hạn</t>
  </si>
  <si>
    <t xml:space="preserve">     Quỹ phát triển khoa học công nghệ</t>
  </si>
  <si>
    <t>VỐN CHỦ SỞ HỮU</t>
  </si>
  <si>
    <t>Vốn và các quỹ</t>
  </si>
  <si>
    <t xml:space="preserve">     Vốn góp</t>
  </si>
  <si>
    <t xml:space="preserve">          Cổ phiếu phổ thông</t>
  </si>
  <si>
    <t xml:space="preserve">          Cổ phiếu ưu đãi</t>
  </si>
  <si>
    <t xml:space="preserve">     Thặng dư vốn cổ phần</t>
  </si>
  <si>
    <t xml:space="preserve">     Quyền chọn chuyển đổi trái phiếu</t>
  </si>
  <si>
    <t xml:space="preserve">     Vốn khác</t>
  </si>
  <si>
    <t xml:space="preserve">     Cổ phiếu quỹ</t>
  </si>
  <si>
    <t xml:space="preserve">     Chênh lệch đánh giá lại tài sản</t>
  </si>
  <si>
    <t xml:space="preserve">     Chênh lệch tỷ giá</t>
  </si>
  <si>
    <t xml:space="preserve">     Quỹ đầu tư và phát triển</t>
  </si>
  <si>
    <t xml:space="preserve">     Quỹ hỗ trợ sắp xếp doanh nghiệp</t>
  </si>
  <si>
    <t xml:space="preserve">     Quỹ dự phòng tài chính</t>
  </si>
  <si>
    <t xml:space="preserve">     Quỹ khác</t>
  </si>
  <si>
    <t xml:space="preserve">     Lãi chưa phân phối</t>
  </si>
  <si>
    <t xml:space="preserve">          LNST chưa phân phối lũy kế đến cuối kỳ trước</t>
  </si>
  <si>
    <t xml:space="preserve">          LNST chưa phân phối kỳ này</t>
  </si>
  <si>
    <t xml:space="preserve">     Lợi ích cổ đông không kiểm soát</t>
  </si>
  <si>
    <t>Vốn Ngân sách nhà nước và quỹ khác</t>
  </si>
  <si>
    <t xml:space="preserve">     Quỹ khen thưởng, phúc lợi (trước 2010)</t>
  </si>
  <si>
    <t xml:space="preserve">     Vốn ngân sách nhà nước</t>
  </si>
  <si>
    <t xml:space="preserve">     Nguồn kinh phí đã hình thành TSCĐ</t>
  </si>
  <si>
    <t>LỢI ÍCH CỦA CỔ ĐÔNG THIỂU SỐ</t>
  </si>
  <si>
    <t>TỔNG CỘNG NGUỒN VỐN</t>
  </si>
  <si>
    <t>Revenue and Profit make-up</t>
  </si>
  <si>
    <t>%</t>
  </si>
  <si>
    <t>Sum</t>
  </si>
  <si>
    <t>Book to bill order</t>
  </si>
  <si>
    <t>Billed revenue</t>
  </si>
  <si>
    <t xml:space="preserve">Booked (Signed) revenue </t>
  </si>
  <si>
    <t>Booked-to-billed (RHS)</t>
  </si>
  <si>
    <t>9M21</t>
  </si>
  <si>
    <t>9M20</t>
  </si>
  <si>
    <t>2021 to 2022</t>
  </si>
  <si>
    <t>2022 to 2023</t>
  </si>
  <si>
    <t>Less: change in Accounts receivables</t>
  </si>
  <si>
    <t>Q4/2023</t>
  </si>
  <si>
    <t>Q1/2024</t>
  </si>
  <si>
    <t>1Q24</t>
  </si>
  <si>
    <t xml:space="preserve">     Tiền mặt</t>
  </si>
  <si>
    <t xml:space="preserve">     Tiền gửi Ngân hàng</t>
  </si>
  <si>
    <t xml:space="preserve">     Tiền đang chuyển</t>
  </si>
  <si>
    <t xml:space="preserve">     Tiền và tương đương tiền</t>
  </si>
  <si>
    <t>Đầu tư tài chính NH</t>
  </si>
  <si>
    <t xml:space="preserve">     Chứng khoán đầu tư ngắn hạn</t>
  </si>
  <si>
    <t xml:space="preserve">     Đầu tư dài hạn</t>
  </si>
  <si>
    <t xml:space="preserve">     Đầu tư NH khác</t>
  </si>
  <si>
    <t xml:space="preserve">     Dự phòng giảm giá ĐTNH</t>
  </si>
  <si>
    <t>Phải thu ngắn hạn khác</t>
  </si>
  <si>
    <t xml:space="preserve">     Phải thu về cổ phần hóa</t>
  </si>
  <si>
    <t xml:space="preserve">     Phải thu về cổ tức và lợi nhuận được chia</t>
  </si>
  <si>
    <t xml:space="preserve">     Phải thu người lao động</t>
  </si>
  <si>
    <t>Hàng tồn kho</t>
  </si>
  <si>
    <t xml:space="preserve">     Hàng mua đang đi đường</t>
  </si>
  <si>
    <t xml:space="preserve">     Nguyên liệu, vật liệu</t>
  </si>
  <si>
    <t xml:space="preserve">     Công cụ, dụng cụ</t>
  </si>
  <si>
    <t xml:space="preserve">     Chi phí SX, KD dở dang</t>
  </si>
  <si>
    <t xml:space="preserve">     Thành phẩm</t>
  </si>
  <si>
    <t xml:space="preserve">     Hàng hóa</t>
  </si>
  <si>
    <t xml:space="preserve">     Hàng gửi đi bán</t>
  </si>
  <si>
    <t xml:space="preserve">     Hàng hoá kho bảo thuế</t>
  </si>
  <si>
    <t xml:space="preserve">     Hàng hoá bất động sản</t>
  </si>
  <si>
    <t>Tài sản ngắn hạn khác</t>
  </si>
  <si>
    <t xml:space="preserve">     Tạm ứng</t>
  </si>
  <si>
    <t xml:space="preserve">     Cầm cố, ký quỹ, ký cược NH</t>
  </si>
  <si>
    <t xml:space="preserve">     Khác</t>
  </si>
  <si>
    <t>Phải thu dài hạn khác</t>
  </si>
  <si>
    <t xml:space="preserve">     Ký quỹ, ký cược dài hạn</t>
  </si>
  <si>
    <t xml:space="preserve">     Các khoản tiền nhận ủy thác</t>
  </si>
  <si>
    <t xml:space="preserve">     Cho vay không có lãi</t>
  </si>
  <si>
    <t>Nguyên giá TSCĐHH</t>
  </si>
  <si>
    <t xml:space="preserve">     Nguyên giá đầu kỳ</t>
  </si>
  <si>
    <t xml:space="preserve">     Tăng trong kỳ</t>
  </si>
  <si>
    <t xml:space="preserve">     Giảm trong kỳ</t>
  </si>
  <si>
    <t>Hao mòn TSCĐHH</t>
  </si>
  <si>
    <t xml:space="preserve">     Đầu kỳ</t>
  </si>
  <si>
    <t>Nguyên giá TSCĐ TTC</t>
  </si>
  <si>
    <t>Hao mòn TSCĐ TTC</t>
  </si>
  <si>
    <t>Nguyên giá TSCĐVH</t>
  </si>
  <si>
    <t>Hao mòn TSCĐVH</t>
  </si>
  <si>
    <t>Đầu tư dài hạn khác</t>
  </si>
  <si>
    <t xml:space="preserve">     Đầu tư cổ phiếu</t>
  </si>
  <si>
    <t xml:space="preserve">     Đầu tư trái phiếu</t>
  </si>
  <si>
    <t xml:space="preserve">     Đầu tư tín phiếu, kỳ phiếu</t>
  </si>
  <si>
    <t xml:space="preserve">     Cho vay dài hạn</t>
  </si>
  <si>
    <t>Vay và nợ ngắn hạn</t>
  </si>
  <si>
    <t xml:space="preserve">     Vay dài hạn đến hạn trả</t>
  </si>
  <si>
    <t>Giá gốc Lợi thế thương mại</t>
  </si>
  <si>
    <t xml:space="preserve">     Số dư đầu kỳ</t>
  </si>
  <si>
    <t>Phân bổ Lũy kế</t>
  </si>
  <si>
    <t xml:space="preserve">     Số dư dầu kỳ</t>
  </si>
  <si>
    <t>Các khoản phải trả về Thuế</t>
  </si>
  <si>
    <t xml:space="preserve">     Thuế GTGT</t>
  </si>
  <si>
    <t xml:space="preserve">     Thuế TTĐB</t>
  </si>
  <si>
    <t xml:space="preserve">     Thuế XNK</t>
  </si>
  <si>
    <t xml:space="preserve">     Thuế TNDN</t>
  </si>
  <si>
    <t xml:space="preserve">     Thuế TNCN</t>
  </si>
  <si>
    <t xml:space="preserve">     Thuế Tài nguyên</t>
  </si>
  <si>
    <t xml:space="preserve">     Thuế nhà đất và tiền thuê đất</t>
  </si>
  <si>
    <t xml:space="preserve">     Các loại thuế khác</t>
  </si>
  <si>
    <t xml:space="preserve">     Các khoản phí, lệ phí khác</t>
  </si>
  <si>
    <t>Chi phí phải trả</t>
  </si>
  <si>
    <t xml:space="preserve">     Trích trước CP lương nghỉ phép</t>
  </si>
  <si>
    <t xml:space="preserve">     Chi phí SCL TSCĐ</t>
  </si>
  <si>
    <t xml:space="preserve">     Chi phí trong thời gian ngừng KD</t>
  </si>
  <si>
    <t>Phải trả phải nộp khác</t>
  </si>
  <si>
    <t xml:space="preserve">     Tài sản thừa chờ XL</t>
  </si>
  <si>
    <t xml:space="preserve">     Kinh phí công đoàn</t>
  </si>
  <si>
    <t xml:space="preserve">     Bảo hiểm xã hội</t>
  </si>
  <si>
    <t xml:space="preserve">     Bảo hiểm y tế</t>
  </si>
  <si>
    <t xml:space="preserve">     Bảo hiểm thất nghiệp</t>
  </si>
  <si>
    <t xml:space="preserve">     Phải trả về CPH</t>
  </si>
  <si>
    <t xml:space="preserve">     Nhận ký quỹ, ký cược NH</t>
  </si>
  <si>
    <t xml:space="preserve">     Doanh thu chưa thực hiện</t>
  </si>
  <si>
    <t>Vay Dài hạn</t>
  </si>
  <si>
    <t xml:space="preserve">     Vay ngân hàng</t>
  </si>
  <si>
    <t xml:space="preserve">     Vay đối tượng khác</t>
  </si>
  <si>
    <t xml:space="preserve">     Trái phiếu phát hành</t>
  </si>
  <si>
    <t xml:space="preserve">     Thuê tài chính</t>
  </si>
  <si>
    <t xml:space="preserve">     Nợ dài hạn khác</t>
  </si>
  <si>
    <t>Vốn chủ sở hữu</t>
  </si>
  <si>
    <t xml:space="preserve">     Vốn góp của nhà nước</t>
  </si>
  <si>
    <t xml:space="preserve">     Vốn đầu tư của đối tượng khác</t>
  </si>
  <si>
    <t>Doanh thu</t>
  </si>
  <si>
    <t xml:space="preserve">     Doanh thu bán hàng</t>
  </si>
  <si>
    <t xml:space="preserve">     Doanh thu cung cấp dịch vụ</t>
  </si>
  <si>
    <t xml:space="preserve">     Doanh thu hợp đồng xây dựng</t>
  </si>
  <si>
    <t>Giảm trừ doanh thu</t>
  </si>
  <si>
    <t xml:space="preserve">     Chiết khấu thương mại</t>
  </si>
  <si>
    <t xml:space="preserve">     Giảm giá hàng bán</t>
  </si>
  <si>
    <t xml:space="preserve">     Hàng bán bị trả lại</t>
  </si>
  <si>
    <t xml:space="preserve">     Thuế GTGT phải nộp</t>
  </si>
  <si>
    <t xml:space="preserve">     Thuế tiêu thụ đặc biệt</t>
  </si>
  <si>
    <t xml:space="preserve">     Thuế xuất khẩu</t>
  </si>
  <si>
    <t>Giá vốn</t>
  </si>
  <si>
    <t xml:space="preserve">     Giá vốn hàng hóa đã bán</t>
  </si>
  <si>
    <t xml:space="preserve">     Giá vốn thành phẩm đã bán</t>
  </si>
  <si>
    <t xml:space="preserve">     Giá vốn của dịch vụ cung cấp</t>
  </si>
  <si>
    <t xml:space="preserve">     Giá trị còn lại, chi phí nhượng bán, Thanh lý BĐS đầu tư đã bán</t>
  </si>
  <si>
    <t xml:space="preserve">     Chi phí kinh doanh BĐS đầu tư</t>
  </si>
  <si>
    <t xml:space="preserve">     Hao hụt, mất mát hàng tồn kho</t>
  </si>
  <si>
    <t xml:space="preserve">     Các khoản chi phí vượt mức bình thường</t>
  </si>
  <si>
    <t xml:space="preserve">     Dự phòng</t>
  </si>
  <si>
    <t>Doanh thu tài chính</t>
  </si>
  <si>
    <t xml:space="preserve">     Lãi tiền gửi, tiền cho vay</t>
  </si>
  <si>
    <t xml:space="preserve">     Lãi đầu tư trái phiếu, kỳ phiếu, tín phiếu</t>
  </si>
  <si>
    <t xml:space="preserve">     Cổ tức, lợi nhuận được chia</t>
  </si>
  <si>
    <t xml:space="preserve">     Lãi từ bán, thanh lý các khoản đầu tư</t>
  </si>
  <si>
    <t xml:space="preserve">     Lãi bán ngoại tệ</t>
  </si>
  <si>
    <t xml:space="preserve">     Lãi chênh lệch tỷ giá đã thực hiện</t>
  </si>
  <si>
    <t xml:space="preserve">     Lãi chênh lệch tỷ giá chưa thực hiện</t>
  </si>
  <si>
    <t xml:space="preserve">     Lãi bán hành trả chậm</t>
  </si>
  <si>
    <t xml:space="preserve">     Doanh thu hoạt động tài chính khác</t>
  </si>
  <si>
    <t>Chi phí tài chính</t>
  </si>
  <si>
    <t xml:space="preserve">     Lãi tiền vay</t>
  </si>
  <si>
    <t xml:space="preserve">     Chiết khấu thanh toán, lãi bán hàng trả chậm</t>
  </si>
  <si>
    <t xml:space="preserve">     Lỗ do thanh lý các khoản đầu tư ngắn hạn, dài hạn</t>
  </si>
  <si>
    <t xml:space="preserve">     Lỗ bán ngoại tệ</t>
  </si>
  <si>
    <t xml:space="preserve">     Lỗ chênh lệch tỷ giá đã thực hiện</t>
  </si>
  <si>
    <t xml:space="preserve">     Lỗ chênh lệch tỷ giá chưa thực hiện</t>
  </si>
  <si>
    <t xml:space="preserve">     Dự phòng giảm giá các khoản đầu tư ngắn hạn, dài hạn</t>
  </si>
  <si>
    <t xml:space="preserve">     Chi phí tài chính khác</t>
  </si>
  <si>
    <t>Chi phí sản xuất theo yếu tố</t>
  </si>
  <si>
    <t xml:space="preserve">     Chi phí nguyên liệu, vật liệu</t>
  </si>
  <si>
    <t xml:space="preserve">     Chi phí nhân công</t>
  </si>
  <si>
    <t xml:space="preserve">     Chi phí khấu hao tài sản cố định</t>
  </si>
  <si>
    <t xml:space="preserve">     Chi phí dịch vụ mua ngoài</t>
  </si>
  <si>
    <t xml:space="preserve">     Chi phí khác bằng tiền</t>
  </si>
  <si>
    <t>2023</t>
  </si>
  <si>
    <t>global IT</t>
  </si>
  <si>
    <t>domestic IT</t>
  </si>
  <si>
    <t>Công nghệ</t>
  </si>
  <si>
    <t>Viễn thông</t>
  </si>
  <si>
    <t>Giáo dục, Đầu tư và Khác</t>
  </si>
  <si>
    <t>Giải ngân 2022</t>
  </si>
  <si>
    <t>Giải ngân 2023 Chú thích</t>
  </si>
  <si>
    <t>Hoàn thiện, đưa vào vận hành cơ sở F-Ville 3 tại Hà Nội, tiếp tục đầu tư cơ sở
F-Town 3 và FPT Complex Đà Nẵng.</t>
  </si>
  <si>
    <t>Tiếp tục triển khai, hoàn thiện Trung tâm dữ liệu tại Hà Nội và Tp.HCM.</t>
  </si>
  <si>
    <t>Hoàn thiện và đưa vào vận hành các tòa nhà cho khối Đại học và các cơ sở FPT School mới tại các tỉnh thành trên cả nước.</t>
  </si>
  <si>
    <t>CAPEX spending</t>
  </si>
  <si>
    <t>My projection</t>
  </si>
  <si>
    <t>FPT's 2024 plan</t>
  </si>
  <si>
    <t>Actual spent capex</t>
  </si>
  <si>
    <t>OOOOO</t>
  </si>
  <si>
    <t>Page 49 on FS</t>
  </si>
  <si>
    <t>Bonus and Welfare Fund (for VN)</t>
  </si>
  <si>
    <t>OLD</t>
  </si>
  <si>
    <t>31/3/2024</t>
  </si>
  <si>
    <t>2029F</t>
  </si>
  <si>
    <t>2030F</t>
  </si>
  <si>
    <t xml:space="preserve">CAPEX spending </t>
  </si>
  <si>
    <t>ALC project</t>
  </si>
  <si>
    <t>Nvidia AI Factory</t>
  </si>
  <si>
    <t>Net income from other activities</t>
  </si>
  <si>
    <t>Net income from Joint Venture</t>
  </si>
  <si>
    <t>Operating profit*(before interest income)</t>
  </si>
  <si>
    <t>QoQ</t>
  </si>
  <si>
    <t>Table 1. 1Q24 results</t>
  </si>
  <si>
    <t>% 2024P</t>
  </si>
  <si>
    <t>Business lines</t>
  </si>
  <si>
    <t>Japan IT</t>
  </si>
  <si>
    <t>US IT</t>
  </si>
  <si>
    <t>EU IT</t>
  </si>
  <si>
    <t>APAC IT</t>
  </si>
  <si>
    <t>Digital Media</t>
  </si>
  <si>
    <t>Profit Before Tax</t>
  </si>
  <si>
    <t>12M23</t>
  </si>
  <si>
    <r>
      <rPr>
        <i/>
        <sz val="10"/>
        <rFont val="Arial"/>
        <family val="2"/>
      </rPr>
      <t>Administration /Net sales</t>
    </r>
    <r>
      <rPr>
        <i/>
        <sz val="10"/>
        <rFont val="Arial Unicode MS"/>
        <family val="2"/>
      </rPr>
      <t xml:space="preserve"> (%)</t>
    </r>
  </si>
  <si>
    <t>YoY Growth</t>
  </si>
  <si>
    <t>No. of Global IT specialists</t>
  </si>
  <si>
    <t>FPT VN Equity</t>
  </si>
  <si>
    <t>#N/A Requesting Data...</t>
  </si>
  <si>
    <t>Dates</t>
  </si>
  <si>
    <t>PE_RATIO</t>
  </si>
  <si>
    <t>PX_TO_BOOK_RATIO</t>
  </si>
  <si>
    <t>PAT YoY growth</t>
  </si>
  <si>
    <t>6M24</t>
  </si>
  <si>
    <t>Q2/2024</t>
  </si>
  <si>
    <t>6M2024</t>
  </si>
  <si>
    <t>Sector</t>
  </si>
  <si>
    <t>YoY change</t>
  </si>
  <si>
    <t>Total</t>
  </si>
  <si>
    <t>FX</t>
  </si>
  <si>
    <t>Software</t>
  </si>
  <si>
    <t>RETURN_COM_EQY</t>
  </si>
  <si>
    <t>Market Cap</t>
  </si>
  <si>
    <t>US$ Market Cap</t>
  </si>
  <si>
    <t>USD/VND</t>
  </si>
  <si>
    <t>Infosys IN</t>
  </si>
  <si>
    <t>USD/Rupee</t>
  </si>
  <si>
    <t>FPT VN</t>
  </si>
  <si>
    <t>USD/CNY</t>
  </si>
  <si>
    <t>IBM US</t>
  </si>
  <si>
    <t>Accenture US</t>
  </si>
  <si>
    <t>TCS IN Equity</t>
  </si>
  <si>
    <t>HCLT IN  Equity</t>
  </si>
  <si>
    <t>COFORGE IN Equity</t>
  </si>
  <si>
    <t>CMG VN  Equity</t>
  </si>
  <si>
    <t>IBM US Equity</t>
  </si>
  <si>
    <t>CUR_MKT_CAP</t>
  </si>
  <si>
    <t>Cognizant US Equity</t>
  </si>
  <si>
    <t>Accenture US Equity</t>
  </si>
  <si>
    <t>Wipro IN Equity</t>
  </si>
  <si>
    <t>Infosys IN  Equity</t>
  </si>
  <si>
    <t>2Q24</t>
  </si>
  <si>
    <t>Semi-mega deals (US$500k)</t>
  </si>
  <si>
    <t>Large deals (US$5mn)</t>
  </si>
  <si>
    <t>Mega deals (US$1mn)</t>
  </si>
  <si>
    <t>6M23</t>
  </si>
  <si>
    <t>6M22</t>
  </si>
  <si>
    <t>Doanh thu ký mới</t>
  </si>
  <si>
    <t>6M21</t>
  </si>
  <si>
    <t>Achieved revenue</t>
  </si>
  <si>
    <t>%A/T Revenue</t>
  </si>
  <si>
    <t>%A/T PBT</t>
  </si>
  <si>
    <t>8M23</t>
  </si>
  <si>
    <t>8M24</t>
  </si>
  <si>
    <t>FPT’s Profit-After-Tax</t>
  </si>
  <si>
    <t>Change</t>
  </si>
  <si>
    <t>Horizontal 1</t>
  </si>
  <si>
    <t>Horizontal 2</t>
  </si>
  <si>
    <t>Vertical 1</t>
  </si>
  <si>
    <t>Vertical 2</t>
  </si>
  <si>
    <t>Other projects</t>
  </si>
  <si>
    <t>FPT University in Da Nang</t>
  </si>
  <si>
    <t>F-Ville 3</t>
  </si>
  <si>
    <t>FPT Education Complex in Thanh Hoa</t>
  </si>
  <si>
    <t>FPT Complex 3</t>
  </si>
  <si>
    <t>F-Town 3</t>
  </si>
  <si>
    <t>District 9 Data Center</t>
  </si>
  <si>
    <t>Projects</t>
  </si>
  <si>
    <t>Construction in progress (Amount spent)</t>
  </si>
  <si>
    <t>FY23</t>
  </si>
  <si>
    <t>Vietnamese Dong (VND)</t>
  </si>
  <si>
    <t>Japanese Yen (JPY)</t>
  </si>
  <si>
    <t>US Dollars (USD)</t>
  </si>
  <si>
    <t>Euro (EUR)</t>
  </si>
  <si>
    <t>VND Equivalent</t>
  </si>
  <si>
    <t>Institution</t>
  </si>
  <si>
    <t>FPT High School</t>
  </si>
  <si>
    <t>FPT Global Technology Innovation Co., Ltd.</t>
  </si>
  <si>
    <t>FPT Primary and Secondary School</t>
  </si>
  <si>
    <t>FPT High School (Da Nang)</t>
  </si>
  <si>
    <t>FPT High School (Can Tho)</t>
  </si>
  <si>
    <t>FPT University</t>
  </si>
  <si>
    <t>Thanh Sang Investment Co., Ltd.</t>
  </si>
  <si>
    <t>FPT Polytechnic College</t>
  </si>
  <si>
    <t>FPT Cau Giay Primary and Secondary School</t>
  </si>
  <si>
    <t>Central Loi Trading and Services Co., Ltd.</t>
  </si>
  <si>
    <t>FPT High School (Binh Dinh)</t>
  </si>
  <si>
    <t>FPT Primary, Secondary, and High School in Bac Ninh</t>
  </si>
  <si>
    <t>FPT Secondary and High School in Hai Phong</t>
  </si>
  <si>
    <t>FPT Primary, Secondary, and High School in Bac Giang</t>
  </si>
  <si>
    <t>FPT Primary, Secondary, and High School in Ha Nam</t>
  </si>
  <si>
    <t>TVB Education and Training JSC</t>
  </si>
  <si>
    <t>Thang Long College of Medicine and Pharmacy</t>
  </si>
  <si>
    <t>West Hanoi High School</t>
  </si>
  <si>
    <t>FPT Education Company Limited in Nghe An</t>
  </si>
  <si>
    <t>FPT Primary, Secondary, and High School in Thanh Hoa</t>
  </si>
  <si>
    <t>No</t>
  </si>
  <si>
    <t>Location</t>
  </si>
  <si>
    <t>No.</t>
  </si>
  <si>
    <t>Principal activities</t>
  </si>
  <si>
    <t>Place of incorporation and operation</t>
  </si>
  <si>
    <t>% of ownership as at 30/6/2024</t>
  </si>
  <si>
    <t>% of voting rights as at 30/6/2024</t>
  </si>
  <si>
    <t>FPT Fund Management Joint Stock Company</t>
  </si>
  <si>
    <t>Portfolio and fund management and other services</t>
  </si>
  <si>
    <t>SBI FPT Co., Ltd.</t>
  </si>
  <si>
    <t>Software development</t>
  </si>
  <si>
    <t>MJS FPT Co., Ltd.</t>
  </si>
  <si>
    <t>FPT Smart Technologies Co., Ltd.</t>
  </si>
  <si>
    <t>Artificial Intelligence Quy Nhon Co., Ltd.</t>
  </si>
  <si>
    <t>Real estate</t>
  </si>
  <si>
    <t>Namitech Joint Stock Company</t>
  </si>
  <si>
    <t>Next Robotics Joint Stock Company</t>
  </si>
  <si>
    <t>Producing self-propelled equipment, automation</t>
  </si>
  <si>
    <t>Ackerton Technology Services</t>
  </si>
  <si>
    <t>Korea</t>
  </si>
  <si>
    <t>KONICA MINOLTA FPT Solution Labs, Inc</t>
  </si>
  <si>
    <t>% net revenue contribution to global IT</t>
  </si>
  <si>
    <t>%Japan to global IT</t>
  </si>
  <si>
    <t>%US</t>
  </si>
  <si>
    <t>%EU</t>
  </si>
  <si>
    <t>%Asia Pacific</t>
  </si>
  <si>
    <t>F(T)</t>
  </si>
  <si>
    <t>T=7/12, S(T)</t>
  </si>
  <si>
    <t>CB-CC</t>
  </si>
  <si>
    <t>;''</t>
  </si>
  <si>
    <t>3Q24</t>
  </si>
  <si>
    <t>9M24</t>
  </si>
  <si>
    <t>Q3/2024</t>
  </si>
  <si>
    <t>4Q24</t>
  </si>
  <si>
    <t>1Q25</t>
  </si>
  <si>
    <t>2Q25</t>
  </si>
  <si>
    <t>3Q25</t>
  </si>
  <si>
    <t>DX Total net revenue (US$mn)</t>
  </si>
  <si>
    <t>DX Total net revenue (VNDbn)</t>
  </si>
  <si>
    <t>WIPRO IN</t>
  </si>
  <si>
    <t>x</t>
  </si>
  <si>
    <t>Nvidia US</t>
  </si>
  <si>
    <t>SK Hynix KR</t>
  </si>
  <si>
    <t>CMG VN</t>
  </si>
  <si>
    <t>Q4/2024</t>
  </si>
  <si>
    <t>(3-year CF)</t>
  </si>
  <si>
    <t>terminal g</t>
  </si>
  <si>
    <t>Present value of first stage (2025-2028 FCFF)</t>
  </si>
  <si>
    <t>HCLT IN</t>
  </si>
  <si>
    <t>Category</t>
  </si>
  <si>
    <t>2024 Growth (%)</t>
  </si>
  <si>
    <t>2025 Growth (%)</t>
  </si>
  <si>
    <t>Data Center Systems</t>
  </si>
  <si>
    <t>Devices</t>
  </si>
  <si>
    <t>IT Services</t>
  </si>
  <si>
    <t>Communications Services</t>
  </si>
  <si>
    <t xml:space="preserve">Hệ thống trung tâm dữ liệu	</t>
  </si>
  <si>
    <t xml:space="preserve">Thiết bị	</t>
  </si>
  <si>
    <t xml:space="preserve">Phần mềm	</t>
  </si>
  <si>
    <t xml:space="preserve">Dịch vụ CNTT	</t>
  </si>
  <si>
    <t xml:space="preserve">Dịch vụ viễn thông	</t>
  </si>
  <si>
    <t xml:space="preserve">Tổng cộng	</t>
  </si>
  <si>
    <t xml:space="preserve">Hạng mục	</t>
  </si>
  <si>
    <t xml:space="preserve">Chi tiêu 2024 (tỷ USD)	</t>
  </si>
  <si>
    <t xml:space="preserve">Tăng trưởng 2024 (%)	</t>
  </si>
  <si>
    <t xml:space="preserve">Chi tiêu 2025 (tỷ USD)	</t>
  </si>
  <si>
    <t>Tăng trưởng 2025 (%)</t>
  </si>
  <si>
    <t xml:space="preserve">Garner </t>
  </si>
  <si>
    <t>Digital Transformation Spending (US$bn)</t>
  </si>
  <si>
    <t>ICT Spending (US$bn)</t>
  </si>
  <si>
    <t>2024 Spending (US$bn)</t>
  </si>
  <si>
    <t>2025 Spending (US$bn)</t>
  </si>
  <si>
    <t>2024 target (billion VND)</t>
  </si>
  <si>
    <t>2024 disbursement (billion VND)</t>
  </si>
  <si>
    <t>Percentage (%)</t>
  </si>
  <si>
    <t>SCENARIO SWITCH</t>
  </si>
  <si>
    <t>Average growth rate</t>
  </si>
  <si>
    <t>Domestic IT Revenue Growth</t>
  </si>
  <si>
    <t>Education Revenue Growth</t>
  </si>
  <si>
    <t xml:space="preserve"> Global IT Revenue Growth</t>
  </si>
  <si>
    <t>Telecom Revenue Growth</t>
  </si>
  <si>
    <t>Telecom &amp; Education Revenue Growth</t>
  </si>
  <si>
    <t>IT Revenue Growth</t>
  </si>
  <si>
    <t>Revenue growth, margins, income</t>
  </si>
  <si>
    <t>JVs income/ Revenue</t>
  </si>
  <si>
    <t>Dự phóng : Kịch bản cơ sở</t>
  </si>
  <si>
    <t>Doanh thu CNTT nước ngoài</t>
  </si>
  <si>
    <t>Doanh thu CNTT trong nước</t>
  </si>
  <si>
    <t>Doanh thu viễn thông</t>
  </si>
  <si>
    <t>Doanh thu giáo dục</t>
  </si>
  <si>
    <t>Tổng doanh thu</t>
  </si>
  <si>
    <t>LN gộp</t>
  </si>
  <si>
    <t>LNHĐKD</t>
  </si>
  <si>
    <t>Biên LNHĐ</t>
  </si>
  <si>
    <t>(%)</t>
  </si>
  <si>
    <t>LNTT</t>
  </si>
  <si>
    <t>LNST</t>
  </si>
  <si>
    <t>(VND)</t>
  </si>
  <si>
    <t>(x)</t>
  </si>
  <si>
    <t>Tài sản</t>
  </si>
  <si>
    <t>VCSH</t>
  </si>
  <si>
    <t>Summary values: Kịch bản</t>
  </si>
  <si>
    <t>Doanh thu: Kịch bản</t>
  </si>
  <si>
    <t>Kịch bản</t>
  </si>
  <si>
    <t>Giả định vĩ mô &amp; doanh nghiệp</t>
  </si>
  <si>
    <t>Doanh thu CAGR (2025–2028F)</t>
  </si>
  <si>
    <t>Biên LNST TB</t>
  </si>
  <si>
    <t>LNST CAGR</t>
  </si>
  <si>
    <t>Rủi ro / Yếu tố hỗ trợ</t>
  </si>
  <si>
    <t>🔻 Tiêu cực</t>
  </si>
  <si>
    <t>Chi tiêu CNTT toàn cầu chững lại
Lạm phát lương, tỷ giá bất lợi
GDP VN ~5.5%</t>
  </si>
  <si>
    <t>~15.6%</t>
  </si>
  <si>
    <t>~14.9%</t>
  </si>
  <si>
    <t>~14.5%</t>
  </si>
  <si>
    <t>Biên lợi nhuận thu hẹp, biến động tỷ giá</t>
  </si>
  <si>
    <t>🟢 Cơ sở</t>
  </si>
  <si>
    <t>Vĩ mô ổn định, tỷ giá trung lập
Khách hàng tiếp tục mở rộng
GDP VN ~6.2%</t>
  </si>
  <si>
    <t>~17.8%</t>
  </si>
  <si>
    <t>~15.9%</t>
  </si>
  <si>
    <t>~17.6%</t>
  </si>
  <si>
    <t>Phù hợp xu hướng lịch sử &amp; kế hoạch công ty</t>
  </si>
  <si>
    <t>🔼 Tích cực</t>
  </si>
  <si>
    <t>Chu kỳ công nghệ phục hồi
Tăng giá bán, tỷ giá thuận lợi
GDP VN ~7%</t>
  </si>
  <si>
    <t>~20.1%</t>
  </si>
  <si>
    <t>~16.5%</t>
  </si>
  <si>
    <t>Hợp đồng lớn, hiệu suất cải thiện</t>
  </si>
  <si>
    <t>Lịch sử</t>
  </si>
  <si>
    <t>%YoY</t>
  </si>
  <si>
    <t>Start Date</t>
  </si>
  <si>
    <t>End Date</t>
  </si>
  <si>
    <t>6702 JT Equity</t>
  </si>
  <si>
    <t>6954 JT Equity</t>
  </si>
  <si>
    <t>6701 JT Equity</t>
  </si>
  <si>
    <t>MM IN Equity</t>
  </si>
  <si>
    <t>#N/A Invalid Security</t>
  </si>
  <si>
    <t>#N/A N/A</t>
  </si>
  <si>
    <t>FY24</t>
  </si>
  <si>
    <t>Cognizant US</t>
  </si>
  <si>
    <t>Samsung Electronics</t>
  </si>
  <si>
    <t>USD/Yen</t>
  </si>
  <si>
    <t>Bảng 2: KQKD 2T2025</t>
  </si>
  <si>
    <t>Biên LNTT</t>
  </si>
  <si>
    <t>2T25</t>
  </si>
  <si>
    <t>2T24</t>
  </si>
  <si>
    <t>svck</t>
  </si>
  <si>
    <t>FPT Corp</t>
  </si>
  <si>
    <t xml:space="preserve"> Công nghệ </t>
  </si>
  <si>
    <r>
      <t>Ø</t>
    </r>
    <r>
      <rPr>
        <sz val="7"/>
        <rFont val="Times New Roman"/>
        <family val="1"/>
      </rPr>
      <t xml:space="preserve">   </t>
    </r>
    <r>
      <rPr>
        <b/>
        <sz val="7"/>
        <color rgb="FF000000"/>
        <rFont val="Noto Sans"/>
        <family val="2"/>
      </rPr>
      <t xml:space="preserve">CNTT toàn cầu </t>
    </r>
  </si>
  <si>
    <r>
      <t>Ø</t>
    </r>
    <r>
      <rPr>
        <sz val="7"/>
        <rFont val="Times New Roman"/>
        <family val="1"/>
      </rPr>
      <t xml:space="preserve">   </t>
    </r>
    <r>
      <rPr>
        <b/>
        <sz val="7"/>
        <rFont val="Noto Sans"/>
        <family val="2"/>
      </rPr>
      <t xml:space="preserve">CNTT trong nước </t>
    </r>
  </si>
  <si>
    <t xml:space="preserve"> Viễn thông </t>
  </si>
  <si>
    <t xml:space="preserve"> Giáo dục</t>
  </si>
  <si>
    <t>Semimega deals ($500k+)</t>
  </si>
  <si>
    <t>Mega deals ($1M+)</t>
  </si>
  <si>
    <t>Large deals ($5M+)</t>
  </si>
  <si>
    <t>12M21</t>
  </si>
  <si>
    <t>12M22</t>
  </si>
  <si>
    <t>12M24</t>
  </si>
  <si>
    <t>KH với doanh thu &gt;US$500k</t>
  </si>
  <si>
    <t>KH với doanh thu &gt; US$1MN</t>
  </si>
  <si>
    <t>Segment</t>
  </si>
  <si>
    <t>Net Profit (VND bn)</t>
  </si>
  <si>
    <t>P/E Multiple</t>
  </si>
  <si>
    <t>Calculated Value (VND bn)</t>
  </si>
  <si>
    <t>Ownership Stake</t>
  </si>
  <si>
    <t>Adjusted Value (VND bn)</t>
  </si>
  <si>
    <t>Notes on assigned P/E</t>
  </si>
  <si>
    <t>Global IT Services</t>
  </si>
  <si>
    <r>
      <t>·</t>
    </r>
    <r>
      <rPr>
        <sz val="7"/>
        <color rgb="FF000000"/>
        <rFont val="Times New Roman"/>
        <family val="1"/>
      </rPr>
      <t xml:space="preserve">          </t>
    </r>
    <r>
      <rPr>
        <sz val="7"/>
        <color rgb="FF000000"/>
        <rFont val="Noto Sans"/>
        <family val="2"/>
      </rPr>
      <t>Reflects consistent double-digit growth, stable margins, and strong Japanese client base. Benchmarking Indian IT services.</t>
    </r>
  </si>
  <si>
    <t>Domestic IT Services</t>
  </si>
  <si>
    <r>
      <t>·</t>
    </r>
    <r>
      <rPr>
        <sz val="7"/>
        <color rgb="FF000000"/>
        <rFont val="Times New Roman"/>
        <family val="1"/>
      </rPr>
      <t xml:space="preserve">          </t>
    </r>
    <r>
      <rPr>
        <sz val="7"/>
        <color rgb="FF000000"/>
        <rFont val="Noto Sans"/>
        <family val="2"/>
      </rPr>
      <t>Lower than global due to lower domestic margin. Higher than peers due to public sector synergy.</t>
    </r>
  </si>
  <si>
    <r>
      <t>·</t>
    </r>
    <r>
      <rPr>
        <sz val="7"/>
        <color rgb="FF000000"/>
        <rFont val="Times New Roman"/>
        <family val="1"/>
      </rPr>
      <t xml:space="preserve">          </t>
    </r>
    <r>
      <rPr>
        <sz val="7"/>
        <color rgb="FF000000"/>
        <rFont val="Noto Sans"/>
        <family val="2"/>
      </rPr>
      <t>Broadband is cash-generative, modest growth. Valuation is conservative due to capex intensity and local competition.</t>
    </r>
  </si>
  <si>
    <r>
      <t>·</t>
    </r>
    <r>
      <rPr>
        <sz val="7"/>
        <color rgb="FF000000"/>
        <rFont val="Times New Roman"/>
        <family val="1"/>
      </rPr>
      <t xml:space="preserve">          </t>
    </r>
    <r>
      <rPr>
        <sz val="7"/>
        <color rgb="FF000000"/>
        <rFont val="Noto Sans"/>
        <family val="2"/>
      </rPr>
      <t>High P/E reflects strong demand for tech-focused education and scalability. Unique growth profile vs listed peers.</t>
    </r>
  </si>
  <si>
    <r>
      <t>·</t>
    </r>
    <r>
      <rPr>
        <sz val="7"/>
        <color rgb="FF000000"/>
        <rFont val="Times New Roman"/>
        <family val="1"/>
      </rPr>
      <t xml:space="preserve">          </t>
    </r>
    <r>
      <rPr>
        <sz val="7"/>
        <color rgb="FF000000"/>
        <rFont val="Noto Sans"/>
        <family val="2"/>
      </rPr>
      <t>High P/E due to low base profit and expectations of recovery. Still experimental in nature—valuation optimistic.</t>
    </r>
  </si>
  <si>
    <r>
      <t>·</t>
    </r>
    <r>
      <rPr>
        <sz val="7"/>
        <color rgb="FF000000"/>
        <rFont val="Times New Roman"/>
        <family val="1"/>
      </rPr>
      <t xml:space="preserve">          </t>
    </r>
    <r>
      <rPr>
        <sz val="7"/>
        <color rgb="FF000000"/>
        <rFont val="Noto Sans"/>
        <family val="2"/>
      </rPr>
      <t>Mature and low-margin business. Valuation reflects limited growth and commoditized nature of hardware trading.</t>
    </r>
  </si>
  <si>
    <t>Online Advertising</t>
  </si>
  <si>
    <r>
      <t>·</t>
    </r>
    <r>
      <rPr>
        <sz val="7"/>
        <color rgb="FF000000"/>
        <rFont val="Times New Roman"/>
        <family val="1"/>
      </rPr>
      <t xml:space="preserve">          </t>
    </r>
    <r>
      <rPr>
        <sz val="7"/>
        <color rgb="FF000000"/>
        <rFont val="Noto Sans"/>
        <family val="2"/>
      </rPr>
      <t>Early-stage digital play; valuation kept low due to scalability risk and unclear profitability path.</t>
    </r>
  </si>
  <si>
    <t>Segment valuations</t>
  </si>
  <si>
    <t>Additional Adjustments</t>
  </si>
  <si>
    <t>Adjustments</t>
  </si>
  <si>
    <t>Value</t>
  </si>
  <si>
    <t>TPBank Stake</t>
  </si>
  <si>
    <t>Net Cash at Parent Level</t>
  </si>
  <si>
    <t>Total Before Conglomerate Discount</t>
  </si>
  <si>
    <t>Final Adjusted Valuation</t>
  </si>
  <si>
    <t>No. of shares</t>
  </si>
  <si>
    <t>PBT (VND bn)</t>
  </si>
  <si>
    <t>FPT Retail (FRT)</t>
  </si>
  <si>
    <t>FPT Brokerage (FTS)</t>
  </si>
  <si>
    <t>Price per share</t>
  </si>
  <si>
    <t>Conglomerate Discount (5%)</t>
  </si>
  <si>
    <t>Main Outputs</t>
  </si>
  <si>
    <t>Equity value</t>
  </si>
  <si>
    <t>Equity per share</t>
  </si>
  <si>
    <t>Best case</t>
  </si>
  <si>
    <t>Base case</t>
  </si>
  <si>
    <t>Worst case</t>
  </si>
  <si>
    <t>Inputs</t>
  </si>
  <si>
    <t>Terminal Growth Rate</t>
  </si>
  <si>
    <t>Net Debt</t>
  </si>
  <si>
    <t>Shares Outstanding</t>
  </si>
  <si>
    <t>Current Stock Price</t>
  </si>
  <si>
    <t>Terminal growth rate</t>
  </si>
  <si>
    <t>Equity value per share</t>
  </si>
  <si>
    <t>Premium to Stock Price</t>
  </si>
  <si>
    <t>Current stock price</t>
  </si>
  <si>
    <t>Premium</t>
  </si>
  <si>
    <t>Terminal value (2028 onwards)</t>
  </si>
  <si>
    <t>EVPS</t>
  </si>
  <si>
    <t>PBT margin</t>
  </si>
  <si>
    <t>3M25</t>
  </si>
  <si>
    <t>3M24</t>
  </si>
  <si>
    <t>+/-YoY</t>
  </si>
  <si>
    <t>Table 1: Financials 3M2025</t>
  </si>
  <si>
    <r>
      <t xml:space="preserve">·          </t>
    </r>
    <r>
      <rPr>
        <b/>
        <sz val="7"/>
        <color rgb="FF000000"/>
        <rFont val="Noto Sans"/>
        <family val="2"/>
      </rPr>
      <t xml:space="preserve">Global IT </t>
    </r>
  </si>
  <si>
    <r>
      <t xml:space="preserve">·          </t>
    </r>
    <r>
      <rPr>
        <b/>
        <sz val="7"/>
        <rFont val="Noto Sans"/>
        <family val="2"/>
      </rPr>
      <t>Domestic IT</t>
    </r>
  </si>
  <si>
    <r>
      <t xml:space="preserve">·          </t>
    </r>
    <r>
      <rPr>
        <b/>
        <sz val="7"/>
        <rFont val="Noto Sans"/>
        <family val="2"/>
      </rPr>
      <t xml:space="preserve">Broadband </t>
    </r>
  </si>
  <si>
    <r>
      <t xml:space="preserve">·          </t>
    </r>
    <r>
      <rPr>
        <b/>
        <sz val="7"/>
        <color rgb="FF000000"/>
        <rFont val="Noto Sans"/>
        <family val="2"/>
      </rPr>
      <t>Online advertising</t>
    </r>
  </si>
  <si>
    <t>Q1/2025</t>
  </si>
  <si>
    <t>Doanh thu ngành IT</t>
  </si>
  <si>
    <t>Ngành IT</t>
  </si>
  <si>
    <t>IT sector revenue</t>
  </si>
  <si>
    <t>Tăng trưởng svck</t>
  </si>
  <si>
    <t>TCS</t>
  </si>
  <si>
    <t>HCLT</t>
  </si>
  <si>
    <t>Infosys</t>
  </si>
  <si>
    <t>Revenue Mix (%)</t>
  </si>
  <si>
    <t>Giáo dục</t>
  </si>
  <si>
    <t>per MW</t>
  </si>
  <si>
    <t>Taiwan</t>
  </si>
  <si>
    <t>China</t>
  </si>
  <si>
    <t>Thailand</t>
  </si>
  <si>
    <t>Indonesia</t>
  </si>
  <si>
    <t>Malaysia</t>
  </si>
  <si>
    <t>Cost of building data centers (source: https://cushwake.cld.bz/asiapacificdatacentreconstructioncostguide-01-2025-apac-regional-en-content-datacentres/11/)</t>
  </si>
  <si>
    <t>Regional Cost Per Megawatt Comparison (US$mn)</t>
  </si>
  <si>
    <t>So sánh Chi phí mỗi Megawatt giữa các khu vực - Ước tính Trung bình</t>
  </si>
  <si>
    <t>INFO IN Equity</t>
  </si>
  <si>
    <t>TECHM IN Equity</t>
  </si>
  <si>
    <t>WPRO IN Equity</t>
  </si>
  <si>
    <t>CMG VN Equity</t>
  </si>
  <si>
    <t>HCLT IN Equity</t>
  </si>
  <si>
    <t>CTSH US Equity</t>
  </si>
  <si>
    <t>EPS_GROWTH</t>
  </si>
  <si>
    <t>P/E/G</t>
  </si>
  <si>
    <t>PEG_RATIO (FY24)</t>
  </si>
  <si>
    <t>Q2/2025</t>
  </si>
  <si>
    <t>margin (%)</t>
  </si>
  <si>
    <t>Other activities</t>
  </si>
  <si>
    <t>Income from subsidiaries</t>
  </si>
  <si>
    <t>6M25</t>
  </si>
  <si>
    <t>6M2025</t>
  </si>
  <si>
    <t>4M25</t>
  </si>
  <si>
    <t>Gross margins</t>
  </si>
  <si>
    <t>EBIT margins</t>
  </si>
  <si>
    <t>Net revenue growth</t>
  </si>
  <si>
    <t>Our forecast</t>
  </si>
  <si>
    <t>Market consensus</t>
  </si>
  <si>
    <t>Company's guidance</t>
  </si>
  <si>
    <t>Fujitsu Ltd JP</t>
  </si>
  <si>
    <t>Gross margin (%)</t>
  </si>
  <si>
    <t>Selling expenses/ Sales (%)</t>
  </si>
  <si>
    <t>Administration /Net sales (%)</t>
  </si>
  <si>
    <t>EBIT/PBT</t>
  </si>
  <si>
    <t>Net revenue growth (%)</t>
  </si>
  <si>
    <t>COGS growth (%)</t>
  </si>
  <si>
    <t>EBIT growth (%)</t>
  </si>
  <si>
    <t>Net FX gain</t>
  </si>
  <si>
    <t>Tổng</t>
  </si>
  <si>
    <t>CNTT</t>
  </si>
  <si>
    <t>CNTT nước ngoài</t>
  </si>
  <si>
    <t>CNTT trong nước</t>
  </si>
  <si>
    <t>Quảng cáo online</t>
  </si>
  <si>
    <t>LN từ thu nhập tài chính</t>
  </si>
  <si>
    <t>LN từ công ty con</t>
  </si>
  <si>
    <t>7M25</t>
  </si>
  <si>
    <t>total</t>
  </si>
  <si>
    <t>PBT Mix(%)</t>
  </si>
  <si>
    <t>8M25</t>
  </si>
  <si>
    <t>Revenue growth</t>
  </si>
  <si>
    <t>Tech</t>
  </si>
  <si>
    <t>Foreign</t>
  </si>
  <si>
    <t>M8/25</t>
  </si>
  <si>
    <t>M7/25</t>
  </si>
  <si>
    <t>M6/25</t>
  </si>
  <si>
    <t>M5/25</t>
  </si>
  <si>
    <t>M4/25</t>
  </si>
  <si>
    <t>M3/25</t>
  </si>
  <si>
    <t>M2/25</t>
  </si>
  <si>
    <t>Global IT revenue growth</t>
  </si>
  <si>
    <t xml:space="preserve">Signed revenue </t>
  </si>
  <si>
    <t>Global IT Revenue YoY% growth</t>
  </si>
  <si>
    <t>Signed revenue cummulative</t>
  </si>
  <si>
    <t>YoY revenue growth</t>
  </si>
  <si>
    <t>Global IT TTM Revenue</t>
  </si>
  <si>
    <t>Global IT TTM %growth</t>
  </si>
  <si>
    <t>Signed revenue YoY% growth</t>
  </si>
  <si>
    <t>Full-time students</t>
  </si>
  <si>
    <t>Full-time students growth YoY%</t>
  </si>
  <si>
    <t>NPATMI growth rate</t>
  </si>
  <si>
    <t>Education &amp; others segment revenue YoY% growth</t>
  </si>
  <si>
    <t>9M25</t>
  </si>
  <si>
    <t>0M25</t>
  </si>
  <si>
    <t>Revenue 9M25(%)</t>
  </si>
  <si>
    <t>PBT 9M25 (%)</t>
  </si>
  <si>
    <t>7M24</t>
  </si>
  <si>
    <t>Mảng</t>
  </si>
  <si>
    <t>Doanh thu (tỷ đồng)</t>
  </si>
  <si>
    <t>LNTT (tỷ đồng)</t>
  </si>
  <si>
    <t>Dịch vụ CNTT nước ngoài</t>
  </si>
  <si>
    <t>Dịch vụ CNTT trong nước</t>
  </si>
  <si>
    <t>Dịch vụ Viễn thông</t>
  </si>
  <si>
    <t>Quảng cáo trực tuyến</t>
  </si>
  <si>
    <t>Giáo dục, đầu tư &amp; khác</t>
  </si>
  <si>
    <t>% non-broadband revenue growth</t>
  </si>
  <si>
    <t>% Broadband revenue growth</t>
  </si>
  <si>
    <t>Pre-tax profit (comp)</t>
  </si>
  <si>
    <t>Q3/2025</t>
  </si>
  <si>
    <t>Q4/2025</t>
  </si>
  <si>
    <t/>
  </si>
  <si>
    <t>4Q25</t>
  </si>
  <si>
    <t>2025</t>
  </si>
  <si>
    <t>12M25</t>
  </si>
  <si>
    <t>Profit from JV &amp; Affiliates</t>
  </si>
  <si>
    <t>SG&amp;A</t>
  </si>
  <si>
    <t>Previous Forecast</t>
  </si>
  <si>
    <t>Variance</t>
  </si>
  <si>
    <t>Education &amp; Investments</t>
  </si>
  <si>
    <t>SG&amp;A/Net Sales (%)</t>
  </si>
  <si>
    <t>Table 1. 12M25 P&amp;L</t>
  </si>
  <si>
    <t>Q1/2026</t>
  </si>
  <si>
    <t>Total net revenue (post-deconsolidation)</t>
  </si>
  <si>
    <t>1Q26</t>
  </si>
  <si>
    <t>4M26</t>
  </si>
  <si>
    <t>FPT CORPORATION - INTEGRATED FINANCIAL MODEL</t>
  </si>
  <si>
    <t>Cleaned &amp; consolidated build - navigation index</t>
  </si>
  <si>
    <t>Last structural update: 2026-07-20  |  15 sheets (12 visible)</t>
  </si>
  <si>
    <t>BASIS CHANGE (FY2026):</t>
  </si>
  <si>
    <t>FPT Telecom now equity-method (deconsolidated); 2025 restated. 1Q26/2Q26/6M26 = NEW basis, history = OLD basis - see YoY sheet.</t>
  </si>
  <si>
    <t>MERGES:</t>
  </si>
  <si>
    <t>Data feeds -&gt; Data. FI&amp;FE folded into PL (rows 371+). Capex_WC folded into BS (rows 211+).</t>
  </si>
  <si>
    <t>GROUP</t>
  </si>
  <si>
    <t>SHEET</t>
  </si>
  <si>
    <t>DESCRIPTION</t>
  </si>
  <si>
    <t>Control</t>
  </si>
  <si>
    <t>Scenarios</t>
  </si>
  <si>
    <t>Scenario switch + macro assumptions</t>
  </si>
  <si>
    <t>Analysis</t>
  </si>
  <si>
    <t>YoY dashboard - annual + quarterly + 2026 new-basis</t>
  </si>
  <si>
    <t>Model</t>
  </si>
  <si>
    <t>Revenue &amp; PBT build by segment</t>
  </si>
  <si>
    <t>Output</t>
  </si>
  <si>
    <t>DCF / FCFF valuation</t>
  </si>
  <si>
    <t>PL</t>
  </si>
  <si>
    <t>Income statement (now incl. FI&amp;FE schedule, rows 371+)</t>
  </si>
  <si>
    <t>BS</t>
  </si>
  <si>
    <t>Balance sheet (now incl. Capex/WC schedule, rows 211+)</t>
  </si>
  <si>
    <t>CF</t>
  </si>
  <si>
    <t>Cash flow / FCFF</t>
  </si>
  <si>
    <t>Forecast drivers: growth rates, margins</t>
  </si>
  <si>
    <t>Data</t>
  </si>
  <si>
    <t>Merged FiinPro actuals (Fi_BS+Fi_PL+Fi_CF+Data_Quarterly, extract 03/2023 - STALE)</t>
  </si>
  <si>
    <t>Report</t>
  </si>
  <si>
    <t>Formatted statements for publication</t>
  </si>
  <si>
    <t>Ratios</t>
  </si>
  <si>
    <t>Financial ratios</t>
  </si>
  <si>
    <t>FX Data  (hidden)</t>
  </si>
  <si>
    <t>FX time series</t>
  </si>
  <si>
    <t>Charts  (hidden)</t>
  </si>
  <si>
    <t>Chart staging tables</t>
  </si>
  <si>
    <t>Beta  (hidden)</t>
  </si>
  <si>
    <t>Beta regression vs VN-Index</t>
  </si>
  <si>
    <t>FPT  —  YoY COMPARISON DASHBOARD</t>
  </si>
  <si>
    <t>A &amp; B = consolidated (old) basis incl. Telecom.  C = 2026 actuals on NEW (post-deconsolidation) basis; YoY vs restated 2025 — not comparable to A/B.</t>
  </si>
  <si>
    <t>Live formulas link to the Revenue sheet. Growth auto-coloured: green = up, red = down.</t>
  </si>
  <si>
    <t>A.  ANNUAL  (VND bn; % = YoY)</t>
  </si>
  <si>
    <t>Metric</t>
  </si>
  <si>
    <t>2024</t>
  </si>
  <si>
    <t xml:space="preserve">   % YoY</t>
  </si>
  <si>
    <t>Technology (Total IT services)</t>
  </si>
  <si>
    <t xml:space="preserve">  Global IT (foreign)</t>
  </si>
  <si>
    <t xml:space="preserve">  Domestic IT</t>
  </si>
  <si>
    <t>Education, Investment &amp; others</t>
  </si>
  <si>
    <t>Profit before tax (PBT)</t>
  </si>
  <si>
    <t>Gross margin (level)</t>
  </si>
  <si>
    <t>PBT margin (level)</t>
  </si>
  <si>
    <t>B.  QUARTERLY  (VND bn; % = YoY vs same quarter prior year)</t>
  </si>
  <si>
    <t>C.  2026 ACTUALS  —  NEW basis (Telecom equity-method); 6M26 %YoY as reported vs restated 2025</t>
  </si>
  <si>
    <t>2Q26</t>
  </si>
  <si>
    <t>6M26</t>
  </si>
  <si>
    <t>6M26 %YoY (reported)</t>
  </si>
  <si>
    <t xml:space="preserve">  Technology PBT</t>
  </si>
  <si>
    <t xml:space="preserve">  Domestic IT PBT</t>
  </si>
  <si>
    <t>Investment, education &amp; others PBT</t>
  </si>
  <si>
    <t>Worst case: +5.0%</t>
  </si>
  <si>
    <t>Best case: -5.0%</t>
  </si>
  <si>
    <t>FI&amp;FE - Financial income &amp; expense schedule</t>
  </si>
  <si>
    <t>Capex_WC - Capex &amp; working-capital schedule</t>
  </si>
  <si>
    <t>Fi_PL - Income statement actuals (FiinPro, extract 03/2023)</t>
  </si>
  <si>
    <t>Fi_CF - Cash-flow actuals (FiinPro, extract 03/2023)</t>
  </si>
  <si>
    <t>Data_Quarterly - Quarterly P&amp;L actuals (was Q_PL)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</si>
</sst>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4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#,##0;[Red]\(#,##0\)"/>
    <numFmt numFmtId="167" formatCode="mmmm\ d&quot;, &quot;yyyy"/>
    <numFmt numFmtId="168" formatCode="_(* #,##0.00_);_(* \(#,##0.00\);_(* \-??_);_(@_)"/>
    <numFmt numFmtId="169" formatCode="_(* #,##0_);_(* \(#,##0\);_(* \-??_);_(@_)"/>
    <numFmt numFmtId="170" formatCode="\$#,##0.0_);&quot;($&quot;#,##0.0\)"/>
    <numFmt numFmtId="171" formatCode="0.0%"/>
    <numFmt numFmtId="172" formatCode="#,##0.0_);\(#,##0.0\)"/>
    <numFmt numFmtId="173" formatCode="#,##0.0"/>
    <numFmt numFmtId="174" formatCode="\$#,##0.00"/>
    <numFmt numFmtId="175" formatCode="_(* #,##0.0_);_(* \(#,##0.0\);_(* \-??_);_(@_)"/>
    <numFmt numFmtId="176" formatCode="\$#,##0.00_);&quot;($&quot;#,##0.00\)"/>
    <numFmt numFmtId="177" formatCode="#,##0.0_);[Red]\(#,##0.0\)"/>
    <numFmt numFmtId="178" formatCode="0.0"/>
    <numFmt numFmtId="179" formatCode="0.000"/>
    <numFmt numFmtId="180" formatCode="\$#,##0.00_);[Red]&quot;($&quot;#,##0.00\)"/>
    <numFmt numFmtId="181" formatCode="#,##0.000_);\(#,##0.000\)"/>
    <numFmt numFmtId="182" formatCode="_(\$* #,##0.00_);_(\$* \(#,##0.00\);_(\$* \-??_);_(@_)"/>
    <numFmt numFmtId="183" formatCode="_(* #,##0_);[Red]_(* \(#,##0\);_(* \-??_);_(@_)"/>
    <numFmt numFmtId="184" formatCode="_(* #,##0_);_(* \(#,##0\);_(* &quot;-&quot;??_);_(@_)"/>
    <numFmt numFmtId="185" formatCode="_(* #,##0.00_);[Red]_(* \(#,##0.00\);_(* \-??_);_(@_)"/>
    <numFmt numFmtId="186" formatCode="_(* #,##0.000_);_(* \(#,##0.000\);_(* &quot;-&quot;??_);_(@_)"/>
    <numFmt numFmtId="187" formatCode="_(* #,##0.0000_);_(* \(#,##0.0000\);_(* &quot;-&quot;??_);_(@_)"/>
    <numFmt numFmtId="188" formatCode="&quot;\&quot;#,##0.00;[Red]&quot;\&quot;&quot;\&quot;&quot;\&quot;&quot;\&quot;&quot;\&quot;&quot;\&quot;\-#,##0.00"/>
    <numFmt numFmtId="189" formatCode="&quot;\&quot;#,##0;[Red]&quot;\&quot;&quot;\&quot;\-#,##0"/>
    <numFmt numFmtId="190" formatCode="_ &quot;\&quot;* #,##0_ ;_ &quot;\&quot;* \-#,##0_ ;_ &quot;\&quot;* &quot;-&quot;_ ;_ @_ "/>
    <numFmt numFmtId="191" formatCode="_ &quot;\&quot;* #,##0.00_ ;_ &quot;\&quot;* \-#,##0.00_ ;_ &quot;\&quot;* &quot;-&quot;??_ ;_ @_ "/>
    <numFmt numFmtId="192" formatCode="_ * #,##0_ ;_ * \-#,##0_ ;_ * &quot;-&quot;_ ;_ @_ "/>
    <numFmt numFmtId="193" formatCode="_ * #,##0.00_ ;_ * \-#,##0.00_ ;_ * &quot;-&quot;??_ ;_ @_ "/>
    <numFmt numFmtId="194" formatCode="0.0%;[Red]\(0.0%\)"/>
    <numFmt numFmtId="195" formatCode="_ * #,##0.00_)&quot;£&quot;_ ;_ * \(#,##0.00\)&quot;£&quot;_ ;_ * &quot;-&quot;??_)&quot;£&quot;_ ;_ @_ "/>
    <numFmt numFmtId="196" formatCode="_-&quot;$&quot;* #,##0.00_-;\-&quot;$&quot;* #,##0.00_-;_-&quot;$&quot;* &quot;-&quot;??_-;_-@_-"/>
    <numFmt numFmtId="197" formatCode="0.0%;\(0.0%\)"/>
    <numFmt numFmtId="198" formatCode="#,##0;\(#,##0\)"/>
    <numFmt numFmtId="199" formatCode="\$#,##0\ ;\(\$#,##0\)"/>
    <numFmt numFmtId="200" formatCode="\t0.00%"/>
    <numFmt numFmtId="201" formatCode="\U\S\$#,##0.00;\(\U\S\$#,##0.00\)"/>
    <numFmt numFmtId="202" formatCode="_-* #,##0\ _D_M_-;\-* #,##0\ _D_M_-;_-* &quot;-&quot;\ _D_M_-;_-@_-"/>
    <numFmt numFmtId="203" formatCode="_-* #,##0.00\ _D_M_-;\-* #,##0.00\ _D_M_-;_-* &quot;-&quot;??\ _D_M_-;_-@_-"/>
    <numFmt numFmtId="204" formatCode="\t#\ ??/??"/>
    <numFmt numFmtId="205" formatCode="_([$€-2]* #,##0.00_);_([$€-2]* \(#,##0.00\);_([$€-2]* &quot;-&quot;??_)"/>
    <numFmt numFmtId="206" formatCode="_(* #,##0.000000_);_(* \(#,##0.000000\);_(* &quot;-&quot;??_);_(@_)"/>
    <numFmt numFmtId="207" formatCode="_(* #,##0.000000_);_(* \(#,##0.000000\);_(* \-??_);_(@_)"/>
    <numFmt numFmtId="208" formatCode="#,##0.00\ &quot;F&quot;;[Red]\-#,##0.00\ &quot;F&quot;"/>
    <numFmt numFmtId="209" formatCode="#,##0.00&quot; F&quot;;[Red]\-#,##0.00&quot; F&quot;"/>
    <numFmt numFmtId="210" formatCode="&quot;\&quot;#,##0;[Red]\-&quot;\&quot;#,##0"/>
    <numFmt numFmtId="211" formatCode="#,##0\ &quot;F&quot;;\-#,##0\ &quot;F&quot;"/>
    <numFmt numFmtId="212" formatCode="#,##0\ &quot;F&quot;;[Red]\-#,##0\ &quot;F&quot;"/>
    <numFmt numFmtId="213" formatCode="_-* #,##0\ &quot;F&quot;_-;\-* #,##0\ &quot;F&quot;_-;_-* &quot;-&quot;\ &quot;F&quot;_-;_-@_-"/>
    <numFmt numFmtId="214" formatCode="#,##0.00\ &quot;F&quot;;\-#,##0.00\ &quot;F&quot;"/>
    <numFmt numFmtId="215" formatCode="_-* #,##0\ &quot;DM&quot;_-;\-* #,##0\ &quot;DM&quot;_-;_-* &quot;-&quot;\ &quot;DM&quot;_-;_-@_-"/>
    <numFmt numFmtId="216" formatCode="_-* #,##0.00\ &quot;DM&quot;_-;\-* #,##0.00\ &quot;DM&quot;_-;_-* &quot;-&quot;??\ &quot;DM&quot;_-;_-@_-"/>
    <numFmt numFmtId="217" formatCode="&quot;\&quot;#,##0.00;[Red]&quot;\&quot;\-#,##0.00"/>
    <numFmt numFmtId="218" formatCode="&quot;\&quot;#,##0;[Red]&quot;\&quot;\-#,##0"/>
    <numFmt numFmtId="219" formatCode="_-&quot;$&quot;* #,##0_-;\-&quot;$&quot;* #,##0_-;_-&quot;$&quot;* &quot;-&quot;_-;_-@_-"/>
    <numFmt numFmtId="220" formatCode="#,##0\ &quot;€&quot;_);[Red]\(#,##0\ &quot;€&quot;\)"/>
    <numFmt numFmtId="221" formatCode="_ * #,##0.00_)\ &quot;€&quot;_ ;_ * \(#,##0.00\)\ &quot;€&quot;_ ;_ * &quot;-&quot;??_)\ &quot;€&quot;_ ;_ @_ "/>
    <numFmt numFmtId="222" formatCode="0.00000"/>
    <numFmt numFmtId="223" formatCode="\t#,##0"/>
    <numFmt numFmtId="224" formatCode="mm/dd/yyyy"/>
    <numFmt numFmtId="225" formatCode="#,###"/>
    <numFmt numFmtId="226" formatCode="_(* #,##0.000_);_(* \(#,##0.000\);_(* \-??_);_(@_)"/>
    <numFmt numFmtId="227" formatCode="0.000000"/>
    <numFmt numFmtId="228" formatCode="_(* #,##0.000_);[Red]_(* \(#,##0.000\);_(* \-??_);_(@_)"/>
    <numFmt numFmtId="229" formatCode="_(* #,##0_);_(* \(#,##0\);_(* &quot;0&quot;_);_(@_)"/>
    <numFmt numFmtId="230" formatCode="_(* #,##0.00_);_(* \(#,##0.00\);_(* &quot;0&quot;_);_(@_)"/>
    <numFmt numFmtId="231" formatCode="_(* #,##0.0_);_(* \(#,##0.0\);_(* &quot;0&quot;_);_(@_)"/>
    <numFmt numFmtId="232" formatCode="0.0000"/>
    <numFmt numFmtId="233" formatCode="_-* #,##0\ _€_-;\-* #,##0\ _€_-;_-* &quot;-&quot;??\ _€_-;_-@_-"/>
    <numFmt numFmtId="234" formatCode="#,##0.000"/>
    <numFmt numFmtId="235" formatCode="0.0000%"/>
    <numFmt numFmtId="236" formatCode="_(* #,##0.0000_);_(* \(#,##0.0000\);_(* \-??_);_(@_)"/>
    <numFmt numFmtId="237" formatCode="0\F"/>
    <numFmt numFmtId="238" formatCode="0.0%;\-0.0%"/>
    <numFmt numFmtId="239" formatCode="0.000%"/>
    <numFmt numFmtId="240" formatCode="\$#,##0.00_);\(\$#,##0.00\)"/>
    <numFmt numFmtId="241" formatCode="\$#,##0.00_);[Red]\(\$#,##0.00\)"/>
    <numFmt numFmtId="242" formatCode="[$-409]mmm\-yy;@"/>
    <numFmt numFmtId="243" formatCode="#,##0\ &quot;kr.&quot;;#,##0\ &quot;kr.&quot;"/>
    <numFmt numFmtId="244" formatCode="#,##0.00000;[Red]\-#,##0.00000"/>
    <numFmt numFmtId="245" formatCode="#,##0.000_ "/>
    <numFmt numFmtId="246" formatCode="_ * #,##0.0_ ;_ * \-#,##0.0_ ;_ * &quot;-&quot;_ ;_ @_ "/>
    <numFmt numFmtId="247" formatCode="#.#"/>
    <numFmt numFmtId="248" formatCode="#,##0;\(#,##0\);&quot;~&quot;"/>
    <numFmt numFmtId="249" formatCode="0.000000_);[Red]\(0.000000\)"/>
    <numFmt numFmtId="250" formatCode="0.00_)"/>
    <numFmt numFmtId="251" formatCode="#,##0\ \ \ ;\(#,##0\)\ \ "/>
    <numFmt numFmtId="252" formatCode="#."/>
    <numFmt numFmtId="253" formatCode="&quot;₩&quot;#,##0.00;&quot;₩&quot;&quot;₩&quot;&quot;₩&quot;\-#,##0.00"/>
    <numFmt numFmtId="254" formatCode="#,##0.00000000000000000_);[Red]\(#,##0.00000000000000000\)"/>
    <numFmt numFmtId="255" formatCode="_$&quot;$&quot;#,##0.00_);[Red]_$\(&quot;$&quot;#,##0.00\);_$&quot;$&quot;0.00_);_$@_)"/>
    <numFmt numFmtId="256" formatCode="&quot;$&quot;#,##0\ ;\(&quot;$&quot;#,##0\)"/>
    <numFmt numFmtId="257" formatCode="_-[$€-2]* #,##0.00_-;\-[$€-2]* #,##0.00_-;_-[$€-2]* &quot;-&quot;??_-"/>
    <numFmt numFmtId="258" formatCode="0.00%;\(0.00%\)"/>
    <numFmt numFmtId="259" formatCode="_(#,##0.00_);[Red]\(#,##0.00\);_-* &quot;-&quot;??_-;_-@_-"/>
    <numFmt numFmtId="260" formatCode="ddmmmyy"/>
    <numFmt numFmtId="261" formatCode="#,##0.0&quot; x&quot;_);\(#,##0.0\)&quot; x&quot;"/>
    <numFmt numFmtId="262" formatCode="#,##0.000000000000000000_);[Red]\(#,##0.000000000000000000\)"/>
    <numFmt numFmtId="263" formatCode="0.0%_);\(0.0%\)"/>
    <numFmt numFmtId="264" formatCode="#,##0.0000000000000000_);[Red]\(#,##0.0000000000000000\)"/>
    <numFmt numFmtId="265" formatCode="#,##0_);\(#,##0\);\-\-\-\-"/>
    <numFmt numFmtId="266" formatCode="#,###;\(#,###\);\-\-\-\-"/>
    <numFmt numFmtId="267" formatCode="#,##0.0\x_);\(#,##0.0\)\x"/>
    <numFmt numFmtId="268" formatCode="0_%_);\(0\)_%;0_%_);@_%_)"/>
    <numFmt numFmtId="269" formatCode="#,##0.00_)\ \x;\(#,##0.00\)\ \x"/>
    <numFmt numFmtId="270" formatCode="#,##0.0000000000000000000_);[Red]\(#,##0.0000000000000000000\)"/>
    <numFmt numFmtId="271" formatCode="#,##0.0000"/>
    <numFmt numFmtId="272" formatCode="d&quot;-&quot;mmm&quot;-&quot;yy"/>
    <numFmt numFmtId="273" formatCode="0\ &quot;k wfr/m&quot;"/>
    <numFmt numFmtId="274" formatCode="#,##0.00_);\(0.####\)"/>
    <numFmt numFmtId="275" formatCode="#,##0.000_);\(0.#####\)"/>
    <numFmt numFmtId="276" formatCode="dd\-mmm_)"/>
    <numFmt numFmtId="277" formatCode="_(&quot;$&quot;* #,##0.0_);_(&quot;$&quot;* \(#,##0.0\);_(&quot;$&quot;* &quot;-&quot;??_);_(@_)"/>
    <numFmt numFmtId="278" formatCode="#,###,##0"/>
    <numFmt numFmtId="279" formatCode="_(* #,##0.0_);_(* \(#,##0.0\);_(* &quot;-&quot;??_);_(@_)"/>
    <numFmt numFmtId="280" formatCode="[Green]\+0.0%;[Red]\-0.0%;0.0%"/>
  </numFmts>
  <fonts count="47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imes New Roman"/>
      <family val="1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VNtimes new roman"/>
      <family val="2"/>
    </font>
    <font>
      <sz val="12"/>
      <name val="VNtimes new roman"/>
      <family val="2"/>
    </font>
    <font>
      <sz val="14"/>
      <name val="??"/>
      <family val="3"/>
      <charset val="129"/>
    </font>
    <font>
      <sz val="12"/>
      <name val="????"/>
      <family val="1"/>
      <charset val="136"/>
    </font>
    <font>
      <sz val="11"/>
      <name val="??"/>
      <family val="3"/>
      <charset val="129"/>
    </font>
    <font>
      <sz val="10"/>
      <name val="???"/>
      <family val="3"/>
      <charset val="129"/>
    </font>
    <font>
      <b/>
      <u/>
      <sz val="14"/>
      <color indexed="8"/>
      <name val=".VnBook-AntiquaH"/>
      <family val="2"/>
    </font>
    <font>
      <sz val="10"/>
      <name val="VnTimes"/>
      <family val="2"/>
    </font>
    <font>
      <i/>
      <sz val="12"/>
      <color indexed="8"/>
      <name val=".VnBook-AntiquaH"/>
      <family val="2"/>
    </font>
    <font>
      <b/>
      <sz val="12"/>
      <color indexed="8"/>
      <name val=".VnBook-Antiqua"/>
      <family val="2"/>
    </font>
    <font>
      <i/>
      <sz val="12"/>
      <color indexed="8"/>
      <name val=".VnBook-Antiqua"/>
      <family val="2"/>
    </font>
    <font>
      <sz val="12"/>
      <name val="±¼¸²Ã¼"/>
      <family val="3"/>
      <charset val="129"/>
    </font>
    <font>
      <sz val="12"/>
      <name val="¹UAAA¼"/>
      <family val="3"/>
      <charset val="129"/>
    </font>
    <font>
      <sz val="12"/>
      <name val="µ¸¿òÃ¼"/>
      <family val="3"/>
      <charset val="129"/>
    </font>
    <font>
      <sz val="10"/>
      <name val="Helv"/>
    </font>
    <font>
      <b/>
      <sz val="10"/>
      <name val="Helv"/>
    </font>
    <font>
      <sz val="10"/>
      <name val="VNI-Aptima"/>
    </font>
    <font>
      <sz val="10"/>
      <name val="Times New Roman"/>
      <family val="1"/>
    </font>
    <font>
      <sz val="11"/>
      <name val="Times New Roman"/>
      <family val="1"/>
    </font>
    <font>
      <sz val="10"/>
      <color indexed="8"/>
      <name val="ARIAL"/>
      <family val="2"/>
    </font>
    <font>
      <sz val="8"/>
      <name val="Verdana"/>
      <family val="2"/>
    </font>
    <font>
      <sz val="18"/>
      <color indexed="24"/>
      <name val="Times New Roman"/>
      <family val="1"/>
    </font>
    <font>
      <sz val="8"/>
      <color indexed="24"/>
      <name val="Times New Roman"/>
      <family val="1"/>
    </font>
    <font>
      <i/>
      <sz val="12"/>
      <color indexed="24"/>
      <name val="Times New Roman"/>
      <family val="1"/>
    </font>
    <font>
      <sz val="12"/>
      <color indexed="24"/>
      <name val="Arial"/>
      <family val="2"/>
    </font>
    <font>
      <sz val="12"/>
      <color indexed="24"/>
      <name val="Times New Roman"/>
      <family val="1"/>
    </font>
    <font>
      <sz val="8"/>
      <color indexed="24"/>
      <name val="Arial"/>
      <family val="2"/>
    </font>
    <font>
      <i/>
      <sz val="12"/>
      <color indexed="24"/>
      <name val="Arial"/>
      <family val="2"/>
    </font>
    <font>
      <b/>
      <sz val="12"/>
      <name val=".VnBook-AntiquaH"/>
      <family val="2"/>
    </font>
    <font>
      <b/>
      <sz val="12"/>
      <name val="Helv"/>
    </font>
    <font>
      <b/>
      <sz val="12"/>
      <name val="Arial"/>
      <family val="2"/>
    </font>
    <font>
      <sz val="12"/>
      <name val="VNI-Times"/>
    </font>
    <font>
      <b/>
      <sz val="10"/>
      <name val=".VnTime"/>
      <family val="2"/>
    </font>
    <font>
      <b/>
      <sz val="14"/>
      <name val=".VnTimeH"/>
      <family val="2"/>
    </font>
    <font>
      <u/>
      <sz val="10"/>
      <color indexed="12"/>
      <name val="Arial"/>
      <family val="2"/>
    </font>
    <font>
      <sz val="10"/>
      <name val="MS Sans Serif"/>
      <family val="2"/>
    </font>
    <font>
      <sz val="11"/>
      <name val="VNI-Times"/>
    </font>
    <font>
      <b/>
      <sz val="11"/>
      <name val="Helv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sz val="12"/>
      <name val="바탕체"/>
      <family val="1"/>
      <charset val="129"/>
    </font>
    <font>
      <b/>
      <sz val="11"/>
      <name val="Arial"/>
      <family val="2"/>
    </font>
    <font>
      <sz val="12"/>
      <color indexed="8"/>
      <name val="Times New Roman"/>
      <family val="1"/>
    </font>
    <font>
      <sz val="12"/>
      <name val="Helv"/>
      <family val="2"/>
    </font>
    <font>
      <b/>
      <sz val="10"/>
      <name val="MS Sans Serif"/>
      <family val="2"/>
    </font>
    <font>
      <sz val="10"/>
      <name val="VNI-Times"/>
    </font>
    <font>
      <b/>
      <sz val="18"/>
      <color indexed="62"/>
      <name val="Cambria"/>
      <family val="2"/>
    </font>
    <font>
      <sz val="10"/>
      <name val=".VnTime"/>
      <family val="2"/>
    </font>
    <font>
      <sz val="13"/>
      <name val=".VnTime"/>
      <family val="2"/>
    </font>
    <font>
      <sz val="12"/>
      <name val=".VnTime"/>
      <family val="2"/>
    </font>
    <font>
      <sz val="13"/>
      <name val=".VnTime"/>
      <family val="2"/>
    </font>
    <font>
      <sz val="12"/>
      <name val="VNTime"/>
      <family val="2"/>
    </font>
    <font>
      <sz val="12"/>
      <name val="VNTime"/>
    </font>
    <font>
      <sz val="10"/>
      <name val="VNtimes new roman"/>
      <family val="2"/>
    </font>
    <font>
      <b/>
      <sz val="8"/>
      <name val="VN Helvetica"/>
    </font>
    <font>
      <b/>
      <sz val="12"/>
      <name val=".VnTime"/>
      <family val="2"/>
    </font>
    <font>
      <b/>
      <sz val="10"/>
      <name val="VN AvantGBook"/>
    </font>
    <font>
      <b/>
      <sz val="16"/>
      <name val=".VnTime"/>
      <family val="2"/>
    </font>
    <font>
      <sz val="9"/>
      <name val=".VnTime"/>
      <family val="2"/>
    </font>
    <font>
      <sz val="14"/>
      <name val=".VnArial"/>
      <family val="2"/>
    </font>
    <font>
      <sz val="16"/>
      <name val="AngsanaUPC"/>
      <family val="3"/>
      <charset val="1"/>
    </font>
    <font>
      <sz val="12"/>
      <name val="바탕체"/>
      <family val="3"/>
    </font>
    <font>
      <sz val="12"/>
      <name val="뼻뮝"/>
      <family val="1"/>
      <charset val="129"/>
    </font>
    <font>
      <sz val="10"/>
      <name val="Helv"/>
      <family val="2"/>
    </font>
    <font>
      <sz val="10"/>
      <name val="굴림체"/>
      <family val="3"/>
      <charset val="129"/>
    </font>
    <font>
      <sz val="12"/>
      <name val="Courier"/>
      <family val="3"/>
    </font>
    <font>
      <sz val="10"/>
      <name val=" "/>
      <family val="1"/>
      <charset val="136"/>
    </font>
    <font>
      <sz val="12"/>
      <name val="Times New Roman"/>
      <family val="1"/>
    </font>
    <font>
      <b/>
      <sz val="10"/>
      <color indexed="12"/>
      <name val="Arial"/>
      <family val="2"/>
    </font>
    <font>
      <i/>
      <u/>
      <sz val="10"/>
      <color indexed="12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indexed="63"/>
      <name val="Arial"/>
      <family val="2"/>
    </font>
    <font>
      <sz val="9"/>
      <name val="Arial MT"/>
    </font>
    <font>
      <sz val="8"/>
      <name val="VNI-Helve"/>
    </font>
    <font>
      <i/>
      <sz val="10"/>
      <name val="Arial"/>
      <family val="2"/>
    </font>
    <font>
      <b/>
      <i/>
      <sz val="10"/>
      <name val="Arial"/>
      <family val="2"/>
    </font>
    <font>
      <sz val="10"/>
      <color indexed="9"/>
      <name val="Arial"/>
      <family val="2"/>
    </font>
    <font>
      <sz val="10"/>
      <color indexed="48"/>
      <name val="Arial"/>
      <family val="2"/>
    </font>
    <font>
      <i/>
      <sz val="10"/>
      <color indexed="48"/>
      <name val="Arial"/>
      <family val="2"/>
    </font>
    <font>
      <b/>
      <sz val="10"/>
      <color indexed="48"/>
      <name val="Arial"/>
      <family val="2"/>
    </font>
    <font>
      <b/>
      <i/>
      <sz val="10"/>
      <color indexed="48"/>
      <name val="Arial"/>
      <family val="2"/>
    </font>
    <font>
      <i/>
      <sz val="10"/>
      <name val="Arial Unicode MS"/>
      <family val="2"/>
    </font>
    <font>
      <b/>
      <i/>
      <sz val="10"/>
      <name val="Arial Unicode MS"/>
      <family val="2"/>
    </font>
    <font>
      <b/>
      <sz val="10"/>
      <color indexed="61"/>
      <name val="Arial"/>
      <family val="2"/>
    </font>
    <font>
      <sz val="10"/>
      <color indexed="12"/>
      <name val="Arial"/>
      <family val="2"/>
    </font>
    <font>
      <sz val="10"/>
      <name val="Arial Unicode MS"/>
      <family val="2"/>
    </font>
    <font>
      <sz val="10"/>
      <color indexed="10"/>
      <name val="Arial"/>
      <family val="2"/>
    </font>
    <font>
      <b/>
      <sz val="10"/>
      <color indexed="20"/>
      <name val="Arial"/>
      <family val="2"/>
    </font>
    <font>
      <b/>
      <sz val="10"/>
      <color indexed="61"/>
      <name val="Arial Unicode MS"/>
      <family val="2"/>
    </font>
    <font>
      <sz val="7.5"/>
      <name val="Noto Sans"/>
      <family val="2"/>
      <charset val="1"/>
    </font>
    <font>
      <b/>
      <sz val="9"/>
      <name val="Noto Sans"/>
      <family val="2"/>
      <charset val="1"/>
    </font>
    <font>
      <b/>
      <sz val="7.5"/>
      <name val="Noto Sans"/>
      <family val="2"/>
      <charset val="1"/>
    </font>
    <font>
      <b/>
      <sz val="10"/>
      <name val="Noto Sans"/>
      <family val="2"/>
      <charset val="1"/>
    </font>
    <font>
      <b/>
      <sz val="10"/>
      <name val="Noto Sans"/>
      <family val="2"/>
      <charset val="1"/>
    </font>
    <font>
      <b/>
      <sz val="7.5"/>
      <name val="Noto Sans"/>
      <family val="2"/>
      <charset val="1"/>
    </font>
    <font>
      <sz val="7.5"/>
      <name val="Noto Sans"/>
      <family val="2"/>
      <charset val="1"/>
    </font>
    <font>
      <sz val="10"/>
      <name val="Noto Sans"/>
      <family val="2"/>
      <charset val="1"/>
    </font>
    <font>
      <b/>
      <sz val="10"/>
      <color indexed="10"/>
      <name val="Noto Sans"/>
      <family val="2"/>
      <charset val="1"/>
    </font>
    <font>
      <b/>
      <sz val="10"/>
      <color indexed="12"/>
      <name val="Noto Sans"/>
      <family val="2"/>
      <charset val="1"/>
    </font>
    <font>
      <i/>
      <sz val="10"/>
      <name val="Noto Sans"/>
      <family val="2"/>
      <charset val="1"/>
    </font>
    <font>
      <i/>
      <sz val="10"/>
      <color indexed="57"/>
      <name val="Noto Sans"/>
      <family val="2"/>
      <charset val="1"/>
    </font>
    <font>
      <sz val="10"/>
      <color indexed="12"/>
      <name val="Noto Sans"/>
      <family val="2"/>
      <charset val="1"/>
    </font>
    <font>
      <u/>
      <sz val="10"/>
      <name val="Noto Sans"/>
      <family val="2"/>
      <charset val="1"/>
    </font>
    <font>
      <b/>
      <sz val="10"/>
      <color indexed="9"/>
      <name val="Noto Sans"/>
      <family val="2"/>
      <charset val="1"/>
    </font>
    <font>
      <sz val="10"/>
      <color indexed="48"/>
      <name val="Noto Sans"/>
      <family val="2"/>
      <charset val="1"/>
    </font>
    <font>
      <sz val="8.5"/>
      <name val="Noto Sans"/>
      <family val="2"/>
      <charset val="1"/>
    </font>
    <font>
      <i/>
      <sz val="8.5"/>
      <name val="Noto Sans"/>
      <family val="2"/>
      <charset val="1"/>
    </font>
    <font>
      <sz val="8.5"/>
      <name val="Noto Sans"/>
      <family val="2"/>
      <charset val="1"/>
    </font>
    <font>
      <i/>
      <sz val="8.5"/>
      <name val="Noto Sans"/>
      <family val="2"/>
      <charset val="1"/>
    </font>
    <font>
      <sz val="10"/>
      <name val="Noto Sans"/>
      <family val="2"/>
      <charset val="1"/>
    </font>
    <font>
      <sz val="7.5"/>
      <name val="Noto Sans"/>
      <family val="2"/>
      <charset val="1"/>
    </font>
    <font>
      <b/>
      <sz val="7.5"/>
      <name val="Noto Sans"/>
      <family val="2"/>
      <charset val="1"/>
    </font>
    <font>
      <sz val="10"/>
      <name val="Noto Sans"/>
      <family val="2"/>
      <charset val="1"/>
    </font>
    <font>
      <b/>
      <sz val="10"/>
      <name val="Arial Unicode MS"/>
      <family val="2"/>
    </font>
    <font>
      <b/>
      <sz val="10"/>
      <name val="Noto Sans"/>
      <family val="2"/>
      <charset val="1"/>
    </font>
    <font>
      <b/>
      <sz val="11"/>
      <name val="Calibri"/>
      <family val="2"/>
    </font>
    <font>
      <sz val="7.5"/>
      <name val="Noto Sans"/>
      <family val="2"/>
    </font>
    <font>
      <sz val="8.5"/>
      <name val="Noto Sans"/>
      <family val="2"/>
      <charset val="1"/>
    </font>
    <font>
      <sz val="7.5"/>
      <name val="Noto Sans"/>
      <family val="2"/>
      <charset val="1"/>
    </font>
    <font>
      <sz val="8.5"/>
      <name val="Noto Sans"/>
      <family val="2"/>
      <charset val="1"/>
    </font>
    <font>
      <i/>
      <sz val="8.5"/>
      <name val="Noto Sans"/>
      <family val="2"/>
      <charset val="1"/>
    </font>
    <font>
      <i/>
      <sz val="8.5"/>
      <name val="Arial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i/>
      <sz val="8.5"/>
      <name val="Noto Sans"/>
      <family val="2"/>
      <charset val="1"/>
    </font>
    <font>
      <sz val="10"/>
      <name val="Calibri"/>
      <family val="2"/>
    </font>
    <font>
      <b/>
      <sz val="10"/>
      <color indexed="8"/>
      <name val="Tahoma"/>
      <family val="2"/>
    </font>
    <font>
      <sz val="10"/>
      <color indexed="8"/>
      <name val="Tahoma"/>
      <family val="2"/>
    </font>
    <font>
      <i/>
      <sz val="8.5"/>
      <name val="Noto Sans"/>
      <family val="2"/>
      <charset val="1"/>
    </font>
    <font>
      <b/>
      <sz val="10"/>
      <name val="Noto Sans"/>
      <family val="2"/>
      <charset val="1"/>
    </font>
    <font>
      <sz val="10"/>
      <name val="Noto Sans"/>
      <family val="2"/>
      <charset val="1"/>
    </font>
    <font>
      <sz val="10"/>
      <name val="Noto Sans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0"/>
      <name val="Arial"/>
      <family val="2"/>
    </font>
    <font>
      <b/>
      <sz val="10"/>
      <color rgb="FFC00000"/>
      <name val="Arial"/>
      <family val="2"/>
    </font>
    <font>
      <sz val="10"/>
      <color theme="4"/>
      <name val="Arial"/>
      <family val="2"/>
    </font>
    <font>
      <b/>
      <sz val="10"/>
      <color theme="4"/>
      <name val="Arial"/>
      <family val="2"/>
    </font>
    <font>
      <i/>
      <sz val="10"/>
      <color theme="4"/>
      <name val="Arial"/>
      <family val="2"/>
    </font>
    <font>
      <i/>
      <sz val="10"/>
      <color rgb="FF0070C0"/>
      <name val="Arial"/>
      <family val="2"/>
    </font>
    <font>
      <sz val="8"/>
      <color rgb="FF000000"/>
      <name val="Trebuchet MS"/>
      <family val="2"/>
    </font>
    <font>
      <b/>
      <sz val="10"/>
      <color theme="1"/>
      <name val="Arial"/>
      <family val="2"/>
    </font>
    <font>
      <sz val="7.5"/>
      <color rgb="FF000000"/>
      <name val="Noto Sans"/>
      <family val="2"/>
      <charset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0"/>
      <color theme="1"/>
      <name val="Arial"/>
      <family val="2"/>
    </font>
    <font>
      <b/>
      <sz val="7.5"/>
      <color rgb="FF000000"/>
      <name val="Noto Sans"/>
      <family val="2"/>
      <charset val="1"/>
    </font>
    <font>
      <b/>
      <sz val="10"/>
      <color theme="1"/>
      <name val="Noto Sans"/>
      <family val="2"/>
      <charset val="1"/>
    </font>
    <font>
      <sz val="10"/>
      <color rgb="FF000000"/>
      <name val="Calibri"/>
      <family val="2"/>
    </font>
    <font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rgb="FFFF0000"/>
      <name val="Arial"/>
      <family val="2"/>
    </font>
    <font>
      <i/>
      <sz val="10"/>
      <color theme="2" tint="-0.499984740745262"/>
      <name val="Arial"/>
      <family val="2"/>
    </font>
    <font>
      <b/>
      <sz val="10"/>
      <color theme="2" tint="-0.499984740745262"/>
      <name val="Arial"/>
      <family val="2"/>
    </font>
    <font>
      <sz val="10"/>
      <color theme="2" tint="-0.499984740745262"/>
      <name val="Arial"/>
      <family val="2"/>
    </font>
    <font>
      <sz val="8"/>
      <color theme="1"/>
      <name val="Noto Sans"/>
      <family val="2"/>
      <charset val="1"/>
    </font>
    <font>
      <b/>
      <sz val="8.5"/>
      <color theme="1"/>
      <name val="Noto Sans"/>
      <family val="2"/>
      <charset val="1"/>
    </font>
    <font>
      <sz val="7.5"/>
      <color theme="1"/>
      <name val="Noto Sans"/>
      <family val="2"/>
      <charset val="1"/>
    </font>
    <font>
      <sz val="10"/>
      <color rgb="FFC00000"/>
      <name val="Arial"/>
      <family val="2"/>
    </font>
    <font>
      <b/>
      <sz val="10"/>
      <color theme="2" tint="-0.249977111117893"/>
      <name val="Arial"/>
      <family val="2"/>
    </font>
    <font>
      <sz val="10"/>
      <color theme="2" tint="-0.249977111117893"/>
      <name val="Arial"/>
      <family val="2"/>
    </font>
    <font>
      <b/>
      <sz val="11"/>
      <color rgb="FFFFFFFF"/>
      <name val="Calibri"/>
      <family val="2"/>
    </font>
    <font>
      <sz val="8"/>
      <color rgb="FF808080"/>
      <name val="Trebuchet MS"/>
      <family val="2"/>
    </font>
    <font>
      <b/>
      <sz val="12"/>
      <color rgb="FF1F497D"/>
      <name val="Times New Roman"/>
      <family val="1"/>
    </font>
    <font>
      <sz val="12"/>
      <color rgb="FF1F497D"/>
      <name val="Times New Roman"/>
      <family val="1"/>
    </font>
    <font>
      <u/>
      <sz val="11"/>
      <color rgb="FF0000FF"/>
      <name val="Calibri"/>
      <family val="2"/>
    </font>
    <font>
      <b/>
      <sz val="8"/>
      <color rgb="FF000000"/>
      <name val="Trebuchet MS"/>
      <family val="2"/>
    </font>
    <font>
      <sz val="10"/>
      <color rgb="FF000000"/>
      <name val="Arial"/>
      <family val="2"/>
    </font>
    <font>
      <b/>
      <i/>
      <sz val="10"/>
      <color theme="2" tint="-0.499984740745262"/>
      <name val="Arial"/>
      <family val="2"/>
    </font>
    <font>
      <sz val="10"/>
      <color rgb="FF0000FF"/>
      <name val="Arial"/>
      <family val="2"/>
    </font>
    <font>
      <sz val="10"/>
      <color theme="0" tint="-0.499984740745262"/>
      <name val="Arial"/>
      <family val="2"/>
    </font>
    <font>
      <b/>
      <sz val="10"/>
      <color rgb="FF0000FF"/>
      <name val="Arial"/>
      <family val="2"/>
    </font>
    <font>
      <b/>
      <i/>
      <sz val="10"/>
      <color rgb="FF0000FF"/>
      <name val="Arial"/>
      <family val="2"/>
    </font>
    <font>
      <sz val="10"/>
      <color rgb="FF0070C0"/>
      <name val="Arial"/>
      <family val="2"/>
    </font>
    <font>
      <sz val="10"/>
      <color rgb="FF0070C0"/>
      <name val="Arial Unicode MS"/>
      <family val="2"/>
    </font>
    <font>
      <b/>
      <sz val="10"/>
      <color rgb="FF000000"/>
      <name val="Arial"/>
      <family val="2"/>
    </font>
    <font>
      <b/>
      <sz val="10"/>
      <color rgb="FF0070C0"/>
      <name val="Arial"/>
      <family val="2"/>
    </font>
    <font>
      <sz val="10"/>
      <color rgb="FFFF0000"/>
      <name val="Arial"/>
      <family val="2"/>
    </font>
    <font>
      <sz val="11"/>
      <color rgb="FF000000"/>
      <name val="Arial"/>
      <family val="2"/>
    </font>
    <font>
      <i/>
      <sz val="10"/>
      <color theme="9" tint="-0.249977111117893"/>
      <name val="Arial"/>
      <family val="2"/>
    </font>
    <font>
      <sz val="10"/>
      <color theme="8" tint="-0.249977111117893"/>
      <name val="Arial"/>
      <family val="2"/>
    </font>
    <font>
      <i/>
      <sz val="10"/>
      <color theme="0" tint="-0.499984740745262"/>
      <name val="Arial"/>
      <family val="2"/>
    </font>
    <font>
      <i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b/>
      <sz val="12"/>
      <color theme="1"/>
      <name val="Noto Sans"/>
      <family val="2"/>
      <charset val="1"/>
    </font>
    <font>
      <sz val="8"/>
      <name val="Arial"/>
      <family val="2"/>
    </font>
    <font>
      <b/>
      <sz val="10"/>
      <color theme="0"/>
      <name val="Arial"/>
      <family val="2"/>
    </font>
    <font>
      <i/>
      <sz val="10"/>
      <color theme="3"/>
      <name val="Arial"/>
      <family val="2"/>
    </font>
    <font>
      <sz val="10"/>
      <color theme="3" tint="-0.249977111117893"/>
      <name val="Arial"/>
      <family val="2"/>
    </font>
    <font>
      <sz val="10"/>
      <color theme="0" tint="-0.34998626667073579"/>
      <name val="Arial"/>
      <family val="2"/>
    </font>
    <font>
      <i/>
      <sz val="10"/>
      <color theme="3" tint="-0.249977111117893"/>
      <name val="Arial"/>
      <family val="2"/>
    </font>
    <font>
      <i/>
      <sz val="10"/>
      <color theme="3" tint="0.39997558519241921"/>
      <name val="Arial"/>
      <family val="2"/>
    </font>
    <font>
      <i/>
      <sz val="10"/>
      <name val="Arial Unicode MS"/>
      <family val="2"/>
    </font>
    <font>
      <sz val="10"/>
      <color theme="3" tint="0.39997558519241921"/>
      <name val="Arial"/>
      <family val="2"/>
    </font>
    <font>
      <b/>
      <sz val="10"/>
      <color theme="3" tint="0.39997558519241921"/>
      <name val="Arial"/>
      <family val="2"/>
    </font>
    <font>
      <b/>
      <sz val="10"/>
      <color theme="3" tint="-0.249977111117893"/>
      <name val="Arial"/>
      <family val="2"/>
    </font>
    <font>
      <b/>
      <sz val="10"/>
      <color theme="0" tint="-0.499984740745262"/>
      <name val="Arial"/>
      <family val="2"/>
    </font>
    <font>
      <sz val="10"/>
      <color theme="5"/>
      <name val="Arial"/>
      <family val="2"/>
    </font>
    <font>
      <b/>
      <sz val="10"/>
      <color theme="5"/>
      <name val="Arial"/>
      <family val="2"/>
    </font>
    <font>
      <sz val="10"/>
      <color theme="1" tint="0.34998626667073579"/>
      <name val="Arial"/>
      <family val="2"/>
    </font>
    <font>
      <b/>
      <sz val="10"/>
      <color theme="0" tint="-0.34998626667073579"/>
      <name val="Arial"/>
      <family val="2"/>
    </font>
    <font>
      <i/>
      <sz val="10"/>
      <color theme="4" tint="-0.249977111117893"/>
      <name val="Arial"/>
      <family val="2"/>
    </font>
    <font>
      <i/>
      <sz val="10"/>
      <color theme="5"/>
      <name val="Arial"/>
      <family val="2"/>
    </font>
    <font>
      <b/>
      <sz val="10"/>
      <color rgb="FFB2B2B2"/>
      <name val="Arial"/>
      <family val="2"/>
    </font>
    <font>
      <sz val="8.5"/>
      <name val="Noto Sans"/>
      <family val="2"/>
    </font>
    <font>
      <b/>
      <sz val="8.5"/>
      <name val="Noto Sans"/>
      <family val="2"/>
    </font>
    <font>
      <sz val="9"/>
      <color rgb="FF000000"/>
      <name val="Trebuchet MS"/>
      <family val="2"/>
    </font>
    <font>
      <sz val="9"/>
      <color rgb="FF000000"/>
      <name val="Calibri"/>
      <family val="2"/>
      <scheme val="minor"/>
    </font>
    <font>
      <b/>
      <sz val="10"/>
      <name val="Noto Sans"/>
      <family val="2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b/>
      <sz val="10"/>
      <color rgb="FFFFFFFF"/>
      <name val="Arial"/>
      <family val="2"/>
    </font>
    <font>
      <u/>
      <sz val="11"/>
      <color rgb="FF0000FF"/>
      <name val="Arial"/>
      <family val="2"/>
    </font>
    <font>
      <sz val="11"/>
      <color rgb="FF808080"/>
      <name val="Arial"/>
      <family val="2"/>
    </font>
    <font>
      <sz val="11"/>
      <name val="Arial"/>
      <family val="2"/>
    </font>
    <font>
      <b/>
      <sz val="11"/>
      <color rgb="FF1F497D"/>
      <name val="Arial"/>
      <family val="2"/>
    </font>
    <font>
      <sz val="11"/>
      <color rgb="FF1F497D"/>
      <name val="Arial"/>
      <family val="2"/>
    </font>
    <font>
      <sz val="10"/>
      <color theme="8"/>
      <name val="Arial"/>
      <family val="2"/>
    </font>
    <font>
      <i/>
      <sz val="10"/>
      <color theme="0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0" tint="-0.499984740745262"/>
      <name val="Arial"/>
      <family val="2"/>
    </font>
    <font>
      <b/>
      <sz val="8.5"/>
      <color rgb="FF000000"/>
      <name val="Noto Sans"/>
      <family val="2"/>
    </font>
    <font>
      <sz val="8.5"/>
      <color rgb="FF000000"/>
      <name val="Noto Sans"/>
      <family val="2"/>
    </font>
    <font>
      <i/>
      <sz val="8.5"/>
      <name val="Noto Sans"/>
      <family val="2"/>
    </font>
    <font>
      <i/>
      <sz val="8.5"/>
      <color rgb="FF000000"/>
      <name val="Noto Sans"/>
      <family val="2"/>
    </font>
    <font>
      <i/>
      <sz val="8.5"/>
      <color rgb="FFBF8F00"/>
      <name val="Noto Sans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7.5"/>
      <color rgb="FF000000"/>
      <name val="Noto Sans"/>
      <family val="2"/>
    </font>
    <font>
      <b/>
      <sz val="7.5"/>
      <color rgb="FF000000"/>
      <name val="Noto Sans"/>
      <family val="2"/>
    </font>
    <font>
      <sz val="8"/>
      <name val="Arial"/>
      <family val="2"/>
    </font>
    <font>
      <b/>
      <sz val="12"/>
      <color rgb="FF1F497D"/>
      <name val="Arial"/>
      <family val="2"/>
    </font>
    <font>
      <sz val="8"/>
      <color rgb="FF000000"/>
      <name val="Arial"/>
      <family val="2"/>
    </font>
    <font>
      <sz val="12"/>
      <color rgb="FF1F497D"/>
      <name val="Arial"/>
      <family val="2"/>
    </font>
    <font>
      <i/>
      <sz val="10"/>
      <color rgb="FFFF0000"/>
      <name val="Arial"/>
      <family val="2"/>
    </font>
    <font>
      <sz val="11"/>
      <color rgb="FF9C0006"/>
      <name val="Calibri"/>
      <family val="2"/>
      <scheme val="minor"/>
    </font>
    <font>
      <sz val="10"/>
      <color theme="4" tint="-0.249977111117893"/>
      <name val="Arial"/>
      <family val="2"/>
    </font>
    <font>
      <sz val="12"/>
      <color theme="1"/>
      <name val="Calibri"/>
      <family val="2"/>
      <scheme val="minor"/>
    </font>
    <font>
      <sz val="10"/>
      <color rgb="FFFFFFFF"/>
      <name val="Arial"/>
      <family val="2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sz val="12"/>
      <name val="Aptos"/>
      <family val="2"/>
    </font>
    <font>
      <b/>
      <sz val="12"/>
      <color rgb="FF1F497D"/>
      <name val="Calibri"/>
      <family val="2"/>
      <scheme val="minor"/>
    </font>
    <font>
      <sz val="7"/>
      <color rgb="FF000000"/>
      <name val="Noto Sans"/>
      <family val="2"/>
    </font>
    <font>
      <b/>
      <sz val="10"/>
      <color theme="3"/>
      <name val="Arial"/>
      <family val="2"/>
    </font>
    <font>
      <b/>
      <sz val="11"/>
      <color theme="0"/>
      <name val="Calibri"/>
      <family val="2"/>
    </font>
    <font>
      <sz val="10"/>
      <color rgb="FF558ED5"/>
      <name val="Arial"/>
      <family val="2"/>
    </font>
    <font>
      <sz val="8"/>
      <color theme="1"/>
      <name val="Noto Sans"/>
      <family val="2"/>
    </font>
    <font>
      <b/>
      <sz val="18"/>
      <color theme="1"/>
      <name val="Noto Sans"/>
      <family val="2"/>
    </font>
    <font>
      <b/>
      <sz val="14"/>
      <color theme="1"/>
      <name val="Noto Sans"/>
      <family val="2"/>
    </font>
    <font>
      <b/>
      <sz val="8"/>
      <color theme="1"/>
      <name val="Noto Sans"/>
      <family val="2"/>
    </font>
    <font>
      <b/>
      <sz val="8"/>
      <color rgb="FF0066FF"/>
      <name val="Noto Sans"/>
      <family val="2"/>
    </font>
    <font>
      <sz val="10"/>
      <color theme="1"/>
      <name val="Noto Sans"/>
      <family val="2"/>
    </font>
    <font>
      <b/>
      <sz val="10"/>
      <color theme="1"/>
      <name val="Noto Sans"/>
      <family val="2"/>
    </font>
    <font>
      <sz val="8"/>
      <color rgb="FF0066FF"/>
      <name val="Noto Sans"/>
      <family val="2"/>
    </font>
    <font>
      <b/>
      <sz val="8"/>
      <name val="Noto Sans"/>
      <family val="2"/>
    </font>
    <font>
      <sz val="11"/>
      <name val="Calibri"/>
      <family val="2"/>
    </font>
    <font>
      <b/>
      <sz val="8"/>
      <color rgb="FF000000"/>
      <name val="Noto Sans"/>
      <family val="2"/>
    </font>
    <font>
      <sz val="8"/>
      <color rgb="FF000000"/>
      <name val="Noto Sans"/>
      <family val="2"/>
    </font>
    <font>
      <sz val="8"/>
      <name val="Noto Sans"/>
      <family val="2"/>
    </font>
    <font>
      <u/>
      <sz val="11"/>
      <color theme="10"/>
      <name val="Calibri"/>
      <family val="2"/>
    </font>
    <font>
      <sz val="11"/>
      <color rgb="FFC45911"/>
      <name val="Calibri"/>
      <family val="2"/>
    </font>
    <font>
      <b/>
      <sz val="7"/>
      <name val="Noto Sans"/>
      <family val="2"/>
    </font>
    <font>
      <sz val="7"/>
      <name val="Noto Sans"/>
      <family val="2"/>
    </font>
    <font>
      <b/>
      <sz val="7"/>
      <color rgb="FF000000"/>
      <name val="Noto Sans"/>
      <family val="2"/>
    </font>
    <font>
      <sz val="5"/>
      <name val="Wingdings"/>
      <charset val="2"/>
    </font>
    <font>
      <sz val="7"/>
      <name val="Times New Roman"/>
      <family val="1"/>
    </font>
    <font>
      <sz val="11"/>
      <color rgb="FF006100"/>
      <name val="Calibri"/>
      <family val="2"/>
      <scheme val="minor"/>
    </font>
    <font>
      <sz val="10"/>
      <color rgb="FF000000"/>
      <name val="Noto Sans"/>
      <family val="2"/>
    </font>
    <font>
      <b/>
      <sz val="10"/>
      <color rgb="FF000000"/>
      <name val="Noto Sans"/>
      <family val="2"/>
    </font>
    <font>
      <sz val="7"/>
      <color rgb="FF000000"/>
      <name val="Symbol"/>
      <family val="1"/>
      <charset val="2"/>
    </font>
    <font>
      <sz val="7"/>
      <color rgb="FF000000"/>
      <name val="Times New Roman"/>
      <family val="1"/>
    </font>
    <font>
      <sz val="10"/>
      <color rgb="FF000000"/>
      <name val="Symbol"/>
      <family val="1"/>
      <charset val="2"/>
    </font>
    <font>
      <sz val="9"/>
      <color theme="1"/>
      <name val="Noto Sans"/>
      <family val="2"/>
    </font>
    <font>
      <sz val="9"/>
      <name val="Noto Sans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9"/>
      <name val="Arial"/>
      <family val="2"/>
    </font>
    <font>
      <sz val="9"/>
      <color indexed="9"/>
      <name val="Arial"/>
      <family val="2"/>
    </font>
    <font>
      <sz val="11"/>
      <color indexed="17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8"/>
      <name val="맑은 고딕"/>
      <family val="3"/>
      <charset val="129"/>
    </font>
    <font>
      <b/>
      <sz val="10"/>
      <name val="Helv"/>
      <family val="2"/>
    </font>
    <font>
      <sz val="11"/>
      <name val="돋움"/>
      <family val="3"/>
      <charset val="129"/>
    </font>
    <font>
      <b/>
      <sz val="12"/>
      <name val="Helv"/>
      <family val="2"/>
    </font>
    <font>
      <b/>
      <sz val="11"/>
      <name val="Helv"/>
      <family val="2"/>
    </font>
    <font>
      <sz val="11"/>
      <name val="바탕"/>
      <family val="1"/>
      <charset val="129"/>
    </font>
    <font>
      <b/>
      <sz val="8"/>
      <color indexed="12"/>
      <name val="Times New Roman"/>
      <family val="1"/>
    </font>
    <font>
      <b/>
      <sz val="8"/>
      <name val="Arial"/>
      <family val="2"/>
    </font>
    <font>
      <sz val="7"/>
      <name val="Arial"/>
      <family val="2"/>
    </font>
    <font>
      <b/>
      <sz val="10"/>
      <name val="Helvetica"/>
      <family val="2"/>
    </font>
    <font>
      <i/>
      <sz val="7"/>
      <name val="Arial"/>
      <family val="2"/>
    </font>
    <font>
      <sz val="7"/>
      <color indexed="8"/>
      <name val="Arial"/>
      <family val="2"/>
    </font>
    <font>
      <b/>
      <sz val="7"/>
      <name val="Arial"/>
      <family val="2"/>
    </font>
    <font>
      <b/>
      <sz val="24"/>
      <name val="Arial"/>
      <family val="2"/>
    </font>
    <font>
      <sz val="10"/>
      <name val="Arial Black"/>
      <family val="2"/>
    </font>
    <font>
      <b/>
      <sz val="14"/>
      <name val="Arial Black"/>
      <family val="2"/>
    </font>
    <font>
      <b/>
      <sz val="14"/>
      <name val="Arial"/>
      <family val="2"/>
    </font>
    <font>
      <sz val="9"/>
      <name val="Arial Black"/>
      <family val="2"/>
    </font>
    <font>
      <sz val="9"/>
      <color indexed="63"/>
      <name val="Arial Black"/>
      <family val="2"/>
    </font>
    <font>
      <sz val="10"/>
      <name val="Book Antiqua"/>
      <family val="1"/>
    </font>
    <font>
      <sz val="12"/>
      <color indexed="8"/>
      <name val="굴림"/>
      <family val="3"/>
      <charset val="129"/>
    </font>
    <font>
      <sz val="11"/>
      <name val="돋?o"/>
      <family val="3"/>
      <charset val="129"/>
    </font>
    <font>
      <sz val="14"/>
      <name val="明朝"/>
      <family val="3"/>
      <charset val="129"/>
    </font>
    <font>
      <sz val="11"/>
      <name val="ＭＳ Ｐゴシック"/>
      <family val="2"/>
      <charset val="129"/>
    </font>
    <font>
      <sz val="12"/>
      <name val="Osaka"/>
      <family val="1"/>
    </font>
    <font>
      <sz val="12"/>
      <name val="細明朝体"/>
      <family val="3"/>
      <charset val="129"/>
    </font>
    <font>
      <sz val="11"/>
      <name val="ＭＳ 明朝"/>
      <family val="3"/>
      <charset val="129"/>
    </font>
    <font>
      <sz val="11"/>
      <name val="ＭＳ ゴシック"/>
      <family val="3"/>
      <charset val="129"/>
    </font>
    <font>
      <sz val="14"/>
      <name val="Terminal"/>
      <family val="3"/>
      <charset val="255"/>
    </font>
    <font>
      <sz val="10"/>
      <name val="標準ゴシック"/>
      <family val="3"/>
      <charset val="129"/>
    </font>
    <font>
      <sz val="11"/>
      <name val="明朝"/>
      <family val="3"/>
      <charset val="129"/>
    </font>
    <font>
      <i/>
      <sz val="10"/>
      <color indexed="13"/>
      <name val="Arial"/>
      <family val="2"/>
    </font>
    <font>
      <sz val="10"/>
      <color indexed="13"/>
      <name val="Arial"/>
      <family val="2"/>
    </font>
    <font>
      <b/>
      <i/>
      <sz val="9"/>
      <name val="Arial"/>
      <family val="2"/>
    </font>
    <font>
      <sz val="12"/>
      <name val="ⓒoUAAA¨u"/>
      <family val="1"/>
      <charset val="129"/>
    </font>
    <font>
      <sz val="8"/>
      <color indexed="12"/>
      <name val="Tms Rmn"/>
      <family val="1"/>
    </font>
    <font>
      <sz val="12"/>
      <name val="System"/>
      <family val="2"/>
    </font>
    <font>
      <sz val="11"/>
      <name val="Century"/>
      <family val="1"/>
    </font>
    <font>
      <b/>
      <sz val="8"/>
      <name val="Book Antiqua"/>
      <family val="1"/>
    </font>
    <font>
      <sz val="11"/>
      <color indexed="12"/>
      <name val="Book Antiqua"/>
      <family val="1"/>
    </font>
    <font>
      <sz val="9"/>
      <name val="Times New Roman"/>
      <family val="1"/>
    </font>
    <font>
      <sz val="11"/>
      <name val="굴림체"/>
      <family val="3"/>
      <charset val="129"/>
    </font>
    <font>
      <b/>
      <sz val="8"/>
      <name val="Palatino"/>
      <family val="1"/>
    </font>
    <font>
      <b/>
      <sz val="12"/>
      <color indexed="9"/>
      <name val="Geneva"/>
      <family val="2"/>
    </font>
    <font>
      <sz val="8"/>
      <color indexed="10"/>
      <name val="Book Antiqua"/>
      <family val="1"/>
    </font>
    <font>
      <sz val="10"/>
      <color indexed="12"/>
      <name val="Times New Roman"/>
      <family val="1"/>
    </font>
    <font>
      <b/>
      <sz val="10"/>
      <color indexed="9"/>
      <name val="Times New Roman"/>
      <family val="1"/>
    </font>
    <font>
      <b/>
      <sz val="10"/>
      <name val="Palatino"/>
      <family val="1"/>
    </font>
    <font>
      <sz val="12"/>
      <name val="굴림체"/>
      <family val="3"/>
      <charset val="129"/>
    </font>
    <font>
      <i/>
      <sz val="10"/>
      <name val="Helv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3"/>
      <name val="Book Antiqua"/>
      <family val="1"/>
    </font>
    <font>
      <b/>
      <u/>
      <sz val="9"/>
      <name val="Arial"/>
      <family val="2"/>
    </font>
    <font>
      <b/>
      <sz val="14"/>
      <name val="Palatino"/>
      <family val="1"/>
    </font>
    <font>
      <sz val="8"/>
      <name val="Book Antiqua"/>
      <family val="1"/>
    </font>
    <font>
      <b/>
      <sz val="11"/>
      <color indexed="52"/>
      <name val="맑은 고딕"/>
      <family val="3"/>
      <charset val="129"/>
    </font>
    <font>
      <u/>
      <sz val="11"/>
      <color indexed="36"/>
      <name val="돋움"/>
      <family val="3"/>
      <charset val="129"/>
    </font>
    <font>
      <sz val="11"/>
      <color indexed="5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0"/>
      <name val="PragmaticaCTT"/>
      <family val="1"/>
    </font>
    <font>
      <u/>
      <sz val="8"/>
      <color indexed="12"/>
      <name val="Arial"/>
      <family val="2"/>
    </font>
    <font>
      <sz val="11"/>
      <color indexed="60"/>
      <name val="Calibri"/>
      <family val="2"/>
    </font>
    <font>
      <sz val="10"/>
      <name val="Helvetica"/>
      <family val="2"/>
    </font>
    <font>
      <sz val="10"/>
      <name val="Courier"/>
      <family val="3"/>
    </font>
    <font>
      <sz val="10"/>
      <name val="Univers Condensed"/>
      <family val="2"/>
    </font>
    <font>
      <sz val="8"/>
      <name val="Helv"/>
      <family val="2"/>
    </font>
    <font>
      <sz val="9"/>
      <name val="ＭＳ Ｐゴシック"/>
      <family val="2"/>
      <charset val="129"/>
    </font>
    <font>
      <sz val="12"/>
      <name val="¹ÙÅÁÃ¼"/>
      <family val="2"/>
    </font>
    <font>
      <b/>
      <sz val="8"/>
      <color indexed="12"/>
      <name val="Arial"/>
      <family val="2"/>
    </font>
    <font>
      <sz val="9"/>
      <name val="Helvetica"/>
      <family val="2"/>
    </font>
    <font>
      <sz val="8"/>
      <color indexed="9"/>
      <name val="Arial"/>
      <family val="2"/>
    </font>
    <font>
      <sz val="8"/>
      <color indexed="8"/>
      <name val="Times New Roman"/>
      <family val="1"/>
    </font>
    <font>
      <sz val="8"/>
      <color indexed="12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18"/>
      <name val="Arial"/>
      <family val="2"/>
    </font>
    <font>
      <b/>
      <sz val="9"/>
      <name val="Helv"/>
      <family val="2"/>
    </font>
    <font>
      <sz val="8"/>
      <color indexed="12"/>
      <name val="Helv"/>
      <family val="2"/>
    </font>
    <font>
      <sz val="8"/>
      <color indexed="12"/>
      <name val="Arial"/>
      <family val="2"/>
    </font>
    <font>
      <b/>
      <sz val="12"/>
      <color indexed="17"/>
      <name val="Wingdings"/>
      <charset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b/>
      <sz val="10"/>
      <color indexed="9"/>
      <name val="Arial"/>
      <family val="2"/>
    </font>
    <font>
      <b/>
      <sz val="16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0"/>
      <color indexed="8"/>
      <name val="Arial"/>
      <family val="2"/>
    </font>
    <font>
      <sz val="8"/>
      <color indexed="39"/>
      <name val="Arial"/>
      <family val="2"/>
    </font>
    <font>
      <b/>
      <u/>
      <sz val="10"/>
      <color indexed="8"/>
      <name val="Arial"/>
      <family val="2"/>
    </font>
    <font>
      <b/>
      <sz val="9"/>
      <name val="Palatino"/>
      <family val="1"/>
    </font>
    <font>
      <sz val="7"/>
      <name val="Palatino"/>
      <family val="1"/>
    </font>
    <font>
      <b/>
      <sz val="8"/>
      <color indexed="8"/>
      <name val="Times New Roman"/>
      <family val="1"/>
    </font>
    <font>
      <b/>
      <sz val="16"/>
      <color indexed="62"/>
      <name val="Arial"/>
      <family val="2"/>
    </font>
    <font>
      <u val="double"/>
      <sz val="8"/>
      <color indexed="8"/>
      <name val="Arial"/>
      <family val="2"/>
    </font>
    <font>
      <sz val="11"/>
      <name val="標準ゴシック"/>
      <family val="3"/>
      <charset val="129"/>
    </font>
    <font>
      <sz val="12"/>
      <name val="Arial MT"/>
      <family val="2"/>
    </font>
    <font>
      <b/>
      <sz val="10"/>
      <color indexed="8"/>
      <name val="Times New Roman"/>
      <family val="1"/>
    </font>
    <font>
      <sz val="10"/>
      <color indexed="16"/>
      <name val="MS Serif"/>
      <family val="1"/>
    </font>
    <font>
      <sz val="10"/>
      <color indexed="8"/>
      <name val="Times New Roman"/>
      <family val="1"/>
    </font>
    <font>
      <i/>
      <sz val="8"/>
      <name val="Times New Roman"/>
      <family val="1"/>
    </font>
    <font>
      <sz val="11"/>
      <color rgb="FF9C6500"/>
      <name val="Calibri"/>
      <family val="2"/>
      <scheme val="minor"/>
    </font>
    <font>
      <sz val="7"/>
      <color rgb="FFC45911"/>
      <name val="Noto Sans"/>
      <family val="2"/>
    </font>
    <font>
      <sz val="8"/>
      <color rgb="FF0DB34C"/>
      <name val="Noto Sans"/>
      <family val="2"/>
    </font>
    <font>
      <sz val="7.5"/>
      <name val="Arial"/>
      <family val="2"/>
    </font>
    <font>
      <b/>
      <sz val="7.5"/>
      <name val="Noto Sans"/>
      <family val="2"/>
    </font>
    <font>
      <sz val="8"/>
      <name val="Trebuchet MS"/>
      <family val="2"/>
    </font>
    <font>
      <sz val="11"/>
      <name val="Calibri"/>
      <family val="2"/>
      <scheme val="minor"/>
    </font>
    <font>
      <i/>
      <sz val="8"/>
      <color rgb="FFFFFFFF"/>
      <name val="Noto Sans"/>
      <family val="2"/>
    </font>
    <font>
      <i/>
      <sz val="8"/>
      <color rgb="FF000000"/>
      <name val="Noto Sans"/>
      <family val="2"/>
    </font>
    <font>
      <b/>
      <sz val="10"/>
      <name val="Arial"/>
      <family val="2"/>
    </font>
    <font>
      <sz val="9"/>
      <color rgb="FF000000"/>
      <name val="Arial"/>
      <family val="2"/>
    </font>
    <font>
      <b/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b/>
      <sz val="9"/>
      <color theme="3"/>
      <name val="Arial"/>
      <family val="2"/>
    </font>
    <font>
      <sz val="10"/>
      <color theme="3"/>
      <name val="Arial"/>
      <family val="2"/>
    </font>
    <font>
      <b/>
      <sz val="8"/>
      <color theme="0"/>
      <name val="Noto Sans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</fonts>
  <fills count="17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22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10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57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53"/>
      </patternFill>
    </fill>
    <fill>
      <patternFill patternType="solid">
        <fgColor indexed="47"/>
        <bgColor indexed="47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6"/>
      </patternFill>
    </fill>
    <fill>
      <patternFill patternType="solid">
        <fgColor indexed="58"/>
        <bgColor indexed="64"/>
      </patternFill>
    </fill>
    <fill>
      <patternFill patternType="solid">
        <fgColor indexed="35"/>
        <bgColor indexed="64"/>
      </patternFill>
    </fill>
    <fill>
      <patternFill patternType="gray125">
        <fgColor indexed="35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10"/>
      </patternFill>
    </fill>
    <fill>
      <patternFill patternType="solid">
        <fgColor indexed="9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43"/>
        <bgColor indexed="26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2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indexed="2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26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70C0"/>
        <bgColor rgb="FF0070C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26"/>
      </patternFill>
    </fill>
    <fill>
      <patternFill patternType="solid">
        <fgColor rgb="FFD9D9D9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27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249977111117893"/>
        <bgColor indexed="26"/>
      </patternFill>
    </fill>
    <fill>
      <patternFill patternType="solid">
        <fgColor theme="3"/>
        <bgColor indexed="64"/>
      </patternFill>
    </fill>
    <fill>
      <patternFill patternType="solid">
        <fgColor theme="5" tint="0.79998168889431442"/>
        <bgColor indexed="26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3" tint="0.79998168889431442"/>
        <bgColor indexed="26"/>
      </patternFill>
    </fill>
    <fill>
      <patternFill patternType="solid">
        <fgColor theme="0"/>
        <bgColor rgb="FF000000"/>
      </patternFill>
    </fill>
    <fill>
      <patternFill patternType="solid">
        <fgColor theme="3" tint="-0.499984740745262"/>
        <bgColor indexed="26"/>
      </patternFill>
    </fill>
    <fill>
      <patternFill patternType="solid">
        <fgColor theme="0" tint="-0.249977111117893"/>
        <bgColor indexed="26"/>
      </patternFill>
    </fill>
    <fill>
      <patternFill patternType="solid">
        <fgColor theme="0" tint="-0.249977111117893"/>
        <bgColor indexed="27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26"/>
      </patternFill>
    </fill>
    <fill>
      <patternFill patternType="solid">
        <fgColor theme="9" tint="0.79998168889431442"/>
        <bgColor indexed="26"/>
      </patternFill>
    </fill>
    <fill>
      <patternFill patternType="solid">
        <fgColor rgb="FF0070C0"/>
      </patternFill>
    </fill>
    <fill>
      <patternFill patternType="solid">
        <fgColor rgb="FFF37021"/>
        <bgColor indexed="64"/>
      </patternFill>
    </fill>
    <fill>
      <patternFill patternType="solid">
        <fgColor rgb="FFFAC2A0"/>
        <bgColor indexed="27"/>
      </patternFill>
    </fill>
    <fill>
      <patternFill patternType="solid">
        <fgColor rgb="FFFAC2A0"/>
        <bgColor indexed="26"/>
      </patternFill>
    </fill>
    <fill>
      <patternFill patternType="solid">
        <fgColor rgb="FFFAC2A0"/>
        <bgColor indexed="64"/>
      </patternFill>
    </fill>
    <fill>
      <patternFill patternType="solid">
        <fgColor rgb="FF0066B3"/>
        <bgColor indexed="26"/>
      </patternFill>
    </fill>
    <fill>
      <patternFill patternType="solid">
        <fgColor rgb="FF0066B3"/>
        <bgColor indexed="27"/>
      </patternFill>
    </fill>
    <fill>
      <patternFill patternType="solid">
        <fgColor rgb="FF82F6AE"/>
        <bgColor indexed="26"/>
      </patternFill>
    </fill>
    <fill>
      <patternFill patternType="solid">
        <fgColor rgb="FF82F6A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27"/>
      </patternFill>
    </fill>
    <fill>
      <patternFill patternType="solid">
        <fgColor theme="6"/>
        <bgColor rgb="FF000000"/>
      </patternFill>
    </fill>
    <fill>
      <patternFill patternType="solid">
        <fgColor rgb="FFFFC7CE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58ED5"/>
        <bgColor rgb="FF0070C0"/>
      </patternFill>
    </fill>
    <fill>
      <patternFill patternType="solid">
        <fgColor rgb="FF558ED5"/>
      </patternFill>
    </fill>
    <fill>
      <patternFill patternType="solid">
        <fgColor rgb="FF558ED5"/>
        <bgColor indexed="64"/>
      </patternFill>
    </fill>
    <fill>
      <patternFill patternType="solid">
        <fgColor theme="0" tint="-4.9989318521683403E-2"/>
        <b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27"/>
      </patternFill>
    </fill>
    <fill>
      <patternFill patternType="solid">
        <fgColor theme="5" tint="0.79998168889431442"/>
        <bgColor indexed="27"/>
      </patternFill>
    </fill>
    <fill>
      <patternFill patternType="solid">
        <fgColor theme="9" tint="0.79998168889431442"/>
        <bgColor indexed="27"/>
      </patternFill>
    </fill>
    <fill>
      <patternFill patternType="solid">
        <fgColor rgb="FFFBE4D5"/>
        <bgColor indexed="64"/>
      </patternFill>
    </fill>
    <fill>
      <patternFill patternType="solid">
        <fgColor rgb="FFC6EFCE"/>
      </patternFill>
    </fill>
    <fill>
      <patternFill patternType="solid">
        <fgColor rgb="FFE7E6E6"/>
        <bgColor indexed="64"/>
      </patternFill>
    </fill>
    <fill>
      <patternFill patternType="solid">
        <fgColor theme="9"/>
        <bgColor indexed="26"/>
      </patternFill>
    </fill>
    <fill>
      <patternFill patternType="solid">
        <fgColor theme="0" tint="-4.9989318521683403E-2"/>
        <bgColor indexed="27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5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</patternFill>
    </fill>
    <fill>
      <patternFill patternType="solid">
        <fgColor indexed="61"/>
        <bgColor indexed="64"/>
      </patternFill>
    </fill>
    <fill>
      <patternFill patternType="solid">
        <fgColor indexed="24"/>
        <bgColor indexed="64"/>
      </patternFill>
    </fill>
    <fill>
      <patternFill patternType="gray0625">
        <fgColor indexed="9"/>
      </patternFill>
    </fill>
    <fill>
      <patternFill patternType="lightGray">
        <fgColor indexed="13"/>
      </patternFill>
    </fill>
    <fill>
      <patternFill patternType="solid">
        <fgColor rgb="FF4F81B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84888B"/>
        <bgColor indexed="64"/>
      </patternFill>
    </fill>
    <fill>
      <patternFill patternType="solid">
        <fgColor rgb="FF808080"/>
        <bgColor indexed="64"/>
      </patternFill>
    </fill>
  </fills>
  <borders count="1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64"/>
      </right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8"/>
      </right>
      <top/>
      <bottom/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808080"/>
      </bottom>
      <diagonal/>
    </border>
    <border>
      <left/>
      <right/>
      <top/>
      <bottom style="medium">
        <color rgb="FF7F7F7F"/>
      </bottom>
      <diagonal/>
    </border>
    <border>
      <left/>
      <right/>
      <top style="medium">
        <color rgb="FF808080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indexed="64"/>
      </left>
      <right/>
      <top style="thin">
        <color indexed="64"/>
      </top>
      <bottom style="medium">
        <color rgb="FFFFFFFF"/>
      </bottom>
      <diagonal/>
    </border>
    <border>
      <left/>
      <right/>
      <top style="thin">
        <color indexed="64"/>
      </top>
      <bottom style="medium">
        <color rgb="FFFFFFFF"/>
      </bottom>
      <diagonal/>
    </border>
    <border>
      <left/>
      <right style="thin">
        <color indexed="64"/>
      </right>
      <top style="thin">
        <color indexed="64"/>
      </top>
      <bottom style="medium">
        <color rgb="FFFFFFFF"/>
      </bottom>
      <diagonal/>
    </border>
    <border>
      <left style="thin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thin">
        <color indexed="64"/>
      </right>
      <top style="medium">
        <color rgb="FFFFFFFF"/>
      </top>
      <bottom style="medium">
        <color rgb="FFFFFFFF"/>
      </bottom>
      <diagonal/>
    </border>
    <border>
      <left style="thin">
        <color indexed="64"/>
      </left>
      <right style="medium">
        <color rgb="FFFFFFFF"/>
      </right>
      <top style="medium">
        <color rgb="FFFFFFFF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n">
        <color indexed="64"/>
      </bottom>
      <diagonal/>
    </border>
    <border>
      <left style="medium">
        <color rgb="FFFFFFFF"/>
      </left>
      <right style="thin">
        <color indexed="64"/>
      </right>
      <top style="medium">
        <color rgb="FFFFFFFF"/>
      </top>
      <bottom style="thin">
        <color indexed="64"/>
      </bottom>
      <diagonal/>
    </border>
    <border>
      <left style="medium">
        <color rgb="FFC9C9C9"/>
      </left>
      <right style="medium">
        <color rgb="FFC9C9C9"/>
      </right>
      <top style="medium">
        <color rgb="FFC9C9C9"/>
      </top>
      <bottom style="medium">
        <color rgb="FFC9C9C9"/>
      </bottom>
      <diagonal/>
    </border>
    <border>
      <left style="medium">
        <color rgb="FFC9C9C9"/>
      </left>
      <right style="medium">
        <color rgb="FFC9C9C9"/>
      </right>
      <top/>
      <bottom style="medium">
        <color rgb="FFC9C9C9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D0CECE"/>
      </left>
      <right style="medium">
        <color rgb="FFD0CECE"/>
      </right>
      <top style="medium">
        <color rgb="FFD0CECE"/>
      </top>
      <bottom style="medium">
        <color rgb="FFD0CECE"/>
      </bottom>
      <diagonal/>
    </border>
    <border>
      <left/>
      <right style="medium">
        <color rgb="FFD0CECE"/>
      </right>
      <top style="medium">
        <color rgb="FFD0CECE"/>
      </top>
      <bottom style="medium">
        <color rgb="FFD0CECE"/>
      </bottom>
      <diagonal/>
    </border>
    <border>
      <left/>
      <right/>
      <top style="medium">
        <color rgb="FFD0CECE"/>
      </top>
      <bottom style="medium">
        <color rgb="FFD0CECE"/>
      </bottom>
      <diagonal/>
    </border>
    <border>
      <left style="medium">
        <color rgb="FFD0CECE"/>
      </left>
      <right style="medium">
        <color rgb="FFD0CECE"/>
      </right>
      <top/>
      <bottom style="medium">
        <color rgb="FFD0CECE"/>
      </bottom>
      <diagonal/>
    </border>
    <border>
      <left/>
      <right style="medium">
        <color rgb="FFD0CECE"/>
      </right>
      <top/>
      <bottom style="medium">
        <color rgb="FFD0CECE"/>
      </bottom>
      <diagonal/>
    </border>
    <border>
      <left style="medium">
        <color rgb="FFD0CECE"/>
      </left>
      <right/>
      <top style="medium">
        <color rgb="FFD0CECE"/>
      </top>
      <bottom style="medium">
        <color rgb="FFD0CECE"/>
      </bottom>
      <diagonal/>
    </border>
    <border>
      <left style="medium">
        <color rgb="FFF4B083"/>
      </left>
      <right style="medium">
        <color rgb="FFF4B083"/>
      </right>
      <top style="medium">
        <color rgb="FFF4B083"/>
      </top>
      <bottom style="thick">
        <color rgb="FFF4B083"/>
      </bottom>
      <diagonal/>
    </border>
    <border>
      <left/>
      <right style="medium">
        <color rgb="FFF4B083"/>
      </right>
      <top style="medium">
        <color rgb="FFF4B083"/>
      </top>
      <bottom style="thick">
        <color rgb="FFF4B083"/>
      </bottom>
      <diagonal/>
    </border>
    <border>
      <left/>
      <right/>
      <top style="medium">
        <color rgb="FFF4B083"/>
      </top>
      <bottom style="thick">
        <color rgb="FFF4B083"/>
      </bottom>
      <diagonal/>
    </border>
    <border>
      <left style="medium">
        <color rgb="FFF4B083"/>
      </left>
      <right style="medium">
        <color rgb="FFF4B083"/>
      </right>
      <top/>
      <bottom style="medium">
        <color rgb="FFF4B083"/>
      </bottom>
      <diagonal/>
    </border>
    <border>
      <left/>
      <right style="medium">
        <color rgb="FFF4B083"/>
      </right>
      <top/>
      <bottom style="medium">
        <color rgb="FFF4B083"/>
      </bottom>
      <diagonal/>
    </border>
    <border>
      <left style="medium">
        <color rgb="FFF4B083"/>
      </left>
      <right style="medium">
        <color rgb="FFF4B083"/>
      </right>
      <top/>
      <bottom style="double">
        <color rgb="FFF4B083"/>
      </bottom>
      <diagonal/>
    </border>
    <border>
      <left/>
      <right style="medium">
        <color rgb="FFF4B083"/>
      </right>
      <top/>
      <bottom style="double">
        <color rgb="FFF4B083"/>
      </bottom>
      <diagonal/>
    </border>
    <border>
      <left style="medium">
        <color rgb="FFF4B083"/>
      </left>
      <right/>
      <top style="medium">
        <color rgb="FFF4B083"/>
      </top>
      <bottom style="thick">
        <color rgb="FFF4B083"/>
      </bottom>
      <diagonal/>
    </border>
    <border>
      <left style="medium">
        <color rgb="FFF4B083"/>
      </left>
      <right/>
      <top style="thick">
        <color rgb="FFF4B083"/>
      </top>
      <bottom style="medium">
        <color rgb="FFF4B083"/>
      </bottom>
      <diagonal/>
    </border>
    <border>
      <left/>
      <right/>
      <top style="thick">
        <color rgb="FFF4B083"/>
      </top>
      <bottom style="medium">
        <color rgb="FFF4B083"/>
      </bottom>
      <diagonal/>
    </border>
    <border>
      <left/>
      <right style="medium">
        <color rgb="FFF4B083"/>
      </right>
      <top style="thick">
        <color rgb="FFF4B083"/>
      </top>
      <bottom style="medium">
        <color rgb="FFF4B083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32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56"/>
      </top>
      <bottom style="medium">
        <color indexed="56"/>
      </bottom>
      <diagonal/>
    </border>
    <border>
      <left/>
      <right/>
      <top style="double">
        <color indexed="63"/>
      </top>
      <bottom/>
      <diagonal/>
    </border>
    <border>
      <left/>
      <right/>
      <top style="dotted">
        <color indexed="56"/>
      </top>
      <bottom/>
      <diagonal/>
    </border>
    <border>
      <left/>
      <right/>
      <top style="thin">
        <color indexed="56"/>
      </top>
      <bottom/>
      <diagonal/>
    </border>
    <border>
      <left/>
      <right/>
      <top style="thin">
        <color indexed="62"/>
      </top>
      <bottom/>
      <diagonal/>
    </border>
    <border>
      <left/>
      <right/>
      <top style="dotted">
        <color indexed="63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0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rgb="FF84888B"/>
      </top>
      <bottom style="medium">
        <color rgb="FF84888B"/>
      </bottom>
      <diagonal/>
    </border>
    <border>
      <left style="medium">
        <color indexed="64"/>
      </left>
      <right/>
      <top/>
      <bottom style="medium">
        <color rgb="FF84888B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8"/>
      </bottom>
      <diagonal/>
    </border>
  </borders>
  <cellStyleXfs count="3858">
    <xf numFmtId="0" fontId="0" fillId="0" borderId="0"/>
    <xf numFmtId="184" fontId="44" fillId="0" borderId="1" applyFont="0" applyBorder="0"/>
    <xf numFmtId="169" fontId="26" fillId="0" borderId="0" applyBorder="0"/>
    <xf numFmtId="169" fontId="26" fillId="0" borderId="0" applyBorder="0"/>
    <xf numFmtId="169" fontId="26" fillId="0" borderId="0" applyBorder="0"/>
    <xf numFmtId="184" fontId="44" fillId="0" borderId="1" applyFont="0" applyBorder="0"/>
    <xf numFmtId="184" fontId="45" fillId="0" borderId="1" applyFont="0" applyBorder="0"/>
    <xf numFmtId="184" fontId="44" fillId="0" borderId="1" applyFont="0" applyBorder="0"/>
    <xf numFmtId="169" fontId="26" fillId="0" borderId="0" applyBorder="0"/>
    <xf numFmtId="184" fontId="44" fillId="0" borderId="1" applyFont="0" applyBorder="0"/>
    <xf numFmtId="184" fontId="45" fillId="0" borderId="1" applyFont="0" applyBorder="0"/>
    <xf numFmtId="184" fontId="45" fillId="0" borderId="1" applyFont="0" applyBorder="0"/>
    <xf numFmtId="184" fontId="45" fillId="0" borderId="1" applyFont="0" applyBorder="0"/>
    <xf numFmtId="184" fontId="45" fillId="0" borderId="1" applyFont="0" applyBorder="0"/>
    <xf numFmtId="169" fontId="26" fillId="0" borderId="0" applyBorder="0"/>
    <xf numFmtId="184" fontId="45" fillId="0" borderId="1" applyFont="0" applyBorder="0"/>
    <xf numFmtId="169" fontId="26" fillId="0" borderId="0" applyBorder="0"/>
    <xf numFmtId="188" fontId="26" fillId="0" borderId="0" applyFont="0" applyFill="0" applyBorder="0" applyAlignment="0" applyProtection="0"/>
    <xf numFmtId="0" fontId="46" fillId="0" borderId="0" applyFont="0" applyFill="0" applyBorder="0" applyAlignment="0" applyProtection="0"/>
    <xf numFmtId="189" fontId="26" fillId="0" borderId="0" applyFont="0" applyFill="0" applyBorder="0" applyAlignment="0" applyProtection="0"/>
    <xf numFmtId="40" fontId="46" fillId="0" borderId="0" applyFont="0" applyFill="0" applyBorder="0" applyAlignment="0" applyProtection="0"/>
    <xf numFmtId="38" fontId="46" fillId="0" borderId="0" applyFont="0" applyFill="0" applyBorder="0" applyAlignment="0" applyProtection="0"/>
    <xf numFmtId="164" fontId="47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49" fillId="0" borderId="0"/>
    <xf numFmtId="0" fontId="25" fillId="0" borderId="0"/>
    <xf numFmtId="0" fontId="79" fillId="0" borderId="0"/>
    <xf numFmtId="0" fontId="26" fillId="0" borderId="0"/>
    <xf numFmtId="0" fontId="50" fillId="2" borderId="0"/>
    <xf numFmtId="0" fontId="50" fillId="3" borderId="0"/>
    <xf numFmtId="0" fontId="50" fillId="3" borderId="0"/>
    <xf numFmtId="0" fontId="50" fillId="3" borderId="0"/>
    <xf numFmtId="0" fontId="50" fillId="2" borderId="0"/>
    <xf numFmtId="0" fontId="50" fillId="2" borderId="0"/>
    <xf numFmtId="0" fontId="50" fillId="4" borderId="0"/>
    <xf numFmtId="0" fontId="50" fillId="4" borderId="0"/>
    <xf numFmtId="0" fontId="50" fillId="2" borderId="0"/>
    <xf numFmtId="0" fontId="50" fillId="4" borderId="0"/>
    <xf numFmtId="0" fontId="50" fillId="2" borderId="0"/>
    <xf numFmtId="0" fontId="50" fillId="2" borderId="0"/>
    <xf numFmtId="0" fontId="50" fillId="3" borderId="0"/>
    <xf numFmtId="0" fontId="50" fillId="2" borderId="0"/>
    <xf numFmtId="0" fontId="50" fillId="4" borderId="0"/>
    <xf numFmtId="0" fontId="50" fillId="2" borderId="0"/>
    <xf numFmtId="0" fontId="50" fillId="2" borderId="0"/>
    <xf numFmtId="0" fontId="50" fillId="2" borderId="0"/>
    <xf numFmtId="0" fontId="50" fillId="2" borderId="0"/>
    <xf numFmtId="0" fontId="50" fillId="2" borderId="0"/>
    <xf numFmtId="0" fontId="50" fillId="3" borderId="0"/>
    <xf numFmtId="0" fontId="50" fillId="2" borderId="0"/>
    <xf numFmtId="0" fontId="50" fillId="4" borderId="0"/>
    <xf numFmtId="0" fontId="50" fillId="2" borderId="0"/>
    <xf numFmtId="0" fontId="50" fillId="3" borderId="0"/>
    <xf numFmtId="0" fontId="51" fillId="0" borderId="0"/>
    <xf numFmtId="0" fontId="52" fillId="2" borderId="0"/>
    <xf numFmtId="0" fontId="52" fillId="3" borderId="0"/>
    <xf numFmtId="0" fontId="52" fillId="3" borderId="0"/>
    <xf numFmtId="0" fontId="52" fillId="3" borderId="0"/>
    <xf numFmtId="0" fontId="52" fillId="2" borderId="0"/>
    <xf numFmtId="0" fontId="52" fillId="2" borderId="0"/>
    <xf numFmtId="0" fontId="52" fillId="4" borderId="0"/>
    <xf numFmtId="0" fontId="52" fillId="4" borderId="0"/>
    <xf numFmtId="0" fontId="52" fillId="2" borderId="0"/>
    <xf numFmtId="0" fontId="52" fillId="4" borderId="0"/>
    <xf numFmtId="0" fontId="52" fillId="2" borderId="0"/>
    <xf numFmtId="0" fontId="52" fillId="2" borderId="0"/>
    <xf numFmtId="0" fontId="52" fillId="3" borderId="0"/>
    <xf numFmtId="0" fontId="52" fillId="2" borderId="0"/>
    <xf numFmtId="0" fontId="52" fillId="4" borderId="0"/>
    <xf numFmtId="0" fontId="52" fillId="2" borderId="0"/>
    <xf numFmtId="0" fontId="52" fillId="2" borderId="0"/>
    <xf numFmtId="0" fontId="52" fillId="2" borderId="0"/>
    <xf numFmtId="0" fontId="52" fillId="2" borderId="0"/>
    <xf numFmtId="0" fontId="52" fillId="2" borderId="0"/>
    <xf numFmtId="0" fontId="52" fillId="3" borderId="0"/>
    <xf numFmtId="0" fontId="52" fillId="2" borderId="0"/>
    <xf numFmtId="0" fontId="52" fillId="4" borderId="0"/>
    <xf numFmtId="0" fontId="52" fillId="2" borderId="0"/>
    <xf numFmtId="0" fontId="52" fillId="3" borderId="0"/>
    <xf numFmtId="0" fontId="179" fillId="48" borderId="0" applyNumberFormat="0" applyBorder="0" applyAlignment="0" applyProtection="0"/>
    <xf numFmtId="0" fontId="179" fillId="49" borderId="0" applyNumberFormat="0" applyBorder="0" applyAlignment="0" applyProtection="0"/>
    <xf numFmtId="0" fontId="179" fillId="50" borderId="0" applyNumberFormat="0" applyBorder="0" applyAlignment="0" applyProtection="0"/>
    <xf numFmtId="0" fontId="179" fillId="51" borderId="0" applyNumberFormat="0" applyBorder="0" applyAlignment="0" applyProtection="0"/>
    <xf numFmtId="0" fontId="28" fillId="5" borderId="0" applyNumberFormat="0" applyBorder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53" fillId="2" borderId="0"/>
    <xf numFmtId="0" fontId="53" fillId="3" borderId="0"/>
    <xf numFmtId="0" fontId="53" fillId="3" borderId="0"/>
    <xf numFmtId="0" fontId="53" fillId="3" borderId="0"/>
    <xf numFmtId="0" fontId="53" fillId="2" borderId="0"/>
    <xf numFmtId="0" fontId="53" fillId="2" borderId="0"/>
    <xf numFmtId="0" fontId="53" fillId="4" borderId="0"/>
    <xf numFmtId="0" fontId="53" fillId="4" borderId="0"/>
    <xf numFmtId="0" fontId="53" fillId="2" borderId="0"/>
    <xf numFmtId="0" fontId="53" fillId="4" borderId="0"/>
    <xf numFmtId="0" fontId="53" fillId="2" borderId="0"/>
    <xf numFmtId="0" fontId="53" fillId="2" borderId="0"/>
    <xf numFmtId="0" fontId="53" fillId="3" borderId="0"/>
    <xf numFmtId="0" fontId="53" fillId="2" borderId="0"/>
    <xf numFmtId="0" fontId="53" fillId="4" borderId="0"/>
    <xf numFmtId="0" fontId="53" fillId="2" borderId="0"/>
    <xf numFmtId="0" fontId="53" fillId="2" borderId="0"/>
    <xf numFmtId="0" fontId="53" fillId="2" borderId="0"/>
    <xf numFmtId="0" fontId="53" fillId="2" borderId="0"/>
    <xf numFmtId="0" fontId="53" fillId="2" borderId="0"/>
    <xf numFmtId="0" fontId="53" fillId="3" borderId="0"/>
    <xf numFmtId="0" fontId="53" fillId="2" borderId="0"/>
    <xf numFmtId="0" fontId="53" fillId="4" borderId="0"/>
    <xf numFmtId="0" fontId="53" fillId="2" borderId="0"/>
    <xf numFmtId="0" fontId="53" fillId="3" borderId="0"/>
    <xf numFmtId="0" fontId="54" fillId="0" borderId="0">
      <alignment wrapText="1"/>
    </xf>
    <xf numFmtId="0" fontId="179" fillId="52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8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180" fillId="53" borderId="0" applyNumberFormat="0" applyBorder="0" applyAlignment="0" applyProtection="0"/>
    <xf numFmtId="0" fontId="180" fillId="54" borderId="0" applyNumberFormat="0" applyBorder="0" applyAlignment="0" applyProtection="0"/>
    <xf numFmtId="0" fontId="180" fillId="55" borderId="0" applyNumberFormat="0" applyBorder="0" applyAlignment="0" applyProtection="0"/>
    <xf numFmtId="0" fontId="29" fillId="15" borderId="0" applyNumberFormat="0" applyBorder="0" applyAlignment="0" applyProtection="0"/>
    <xf numFmtId="0" fontId="29" fillId="12" borderId="0" applyNumberFormat="0" applyBorder="0" applyAlignment="0" applyProtection="0"/>
    <xf numFmtId="0" fontId="29" fillId="13" borderId="0" applyNumberFormat="0" applyBorder="0" applyAlignment="0" applyProtection="0"/>
    <xf numFmtId="0" fontId="29" fillId="16" borderId="0" applyNumberFormat="0" applyBorder="0" applyAlignment="0" applyProtection="0"/>
    <xf numFmtId="0" fontId="29" fillId="17" borderId="0" applyNumberFormat="0" applyBorder="0" applyAlignment="0" applyProtection="0"/>
    <xf numFmtId="0" fontId="29" fillId="18" borderId="0" applyNumberFormat="0" applyBorder="0" applyAlignment="0" applyProtection="0"/>
    <xf numFmtId="0" fontId="28" fillId="20" borderId="0" applyNumberFormat="0" applyBorder="0" applyAlignment="0" applyProtection="0"/>
    <xf numFmtId="0" fontId="28" fillId="20" borderId="0" applyNumberFormat="0" applyBorder="0" applyAlignment="0" applyProtection="0"/>
    <xf numFmtId="0" fontId="29" fillId="21" borderId="0" applyNumberFormat="0" applyBorder="0" applyAlignment="0" applyProtection="0"/>
    <xf numFmtId="0" fontId="28" fillId="23" borderId="0" applyNumberFormat="0" applyBorder="0" applyAlignment="0" applyProtection="0"/>
    <xf numFmtId="0" fontId="28" fillId="24" borderId="0" applyNumberFormat="0" applyBorder="0" applyAlignment="0" applyProtection="0"/>
    <xf numFmtId="0" fontId="29" fillId="25" borderId="0" applyNumberFormat="0" applyBorder="0" applyAlignment="0" applyProtection="0"/>
    <xf numFmtId="0" fontId="28" fillId="23" borderId="0" applyNumberFormat="0" applyBorder="0" applyAlignment="0" applyProtection="0"/>
    <xf numFmtId="0" fontId="28" fillId="27" borderId="0" applyNumberFormat="0" applyBorder="0" applyAlignment="0" applyProtection="0"/>
    <xf numFmtId="0" fontId="29" fillId="24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9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20" borderId="0" applyNumberFormat="0" applyBorder="0" applyAlignment="0" applyProtection="0"/>
    <xf numFmtId="0" fontId="29" fillId="21" borderId="0" applyNumberFormat="0" applyBorder="0" applyAlignment="0" applyProtection="0"/>
    <xf numFmtId="0" fontId="28" fillId="23" borderId="0" applyNumberFormat="0" applyBorder="0" applyAlignment="0" applyProtection="0"/>
    <xf numFmtId="0" fontId="28" fillId="30" borderId="0" applyNumberFormat="0" applyBorder="0" applyAlignment="0" applyProtection="0"/>
    <xf numFmtId="0" fontId="29" fillId="30" borderId="0" applyNumberFormat="0" applyBorder="0" applyAlignment="0" applyProtection="0"/>
    <xf numFmtId="190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191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29" fillId="19" borderId="0" applyNumberFormat="0" applyBorder="0" applyAlignment="0" applyProtection="0"/>
    <xf numFmtId="0" fontId="29" fillId="22" borderId="0" applyNumberFormat="0" applyBorder="0" applyAlignment="0" applyProtection="0"/>
    <xf numFmtId="0" fontId="29" fillId="26" borderId="0" applyNumberFormat="0" applyBorder="0" applyAlignment="0" applyProtection="0"/>
    <xf numFmtId="0" fontId="29" fillId="16" borderId="0" applyNumberFormat="0" applyBorder="0" applyAlignment="0" applyProtection="0"/>
    <xf numFmtId="0" fontId="29" fillId="17" borderId="0" applyNumberFormat="0" applyBorder="0" applyAlignment="0" applyProtection="0"/>
    <xf numFmtId="0" fontId="29" fillId="29" borderId="0" applyNumberFormat="0" applyBorder="0" applyAlignment="0" applyProtection="0"/>
    <xf numFmtId="192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193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40" fillId="4" borderId="2" applyNumberFormat="0" applyAlignment="0" applyProtection="0"/>
    <xf numFmtId="0" fontId="119" fillId="0" borderId="0"/>
    <xf numFmtId="0" fontId="31" fillId="4" borderId="3" applyNumberFormat="0" applyAlignment="0" applyProtection="0"/>
    <xf numFmtId="0" fontId="56" fillId="0" borderId="0"/>
    <xf numFmtId="0" fontId="57" fillId="0" borderId="0"/>
    <xf numFmtId="0" fontId="56" fillId="0" borderId="0"/>
    <xf numFmtId="0" fontId="20" fillId="0" borderId="0" applyFill="0" applyBorder="0" applyAlignment="0"/>
    <xf numFmtId="172" fontId="58" fillId="0" borderId="0" applyFill="0" applyBorder="0" applyAlignment="0"/>
    <xf numFmtId="187" fontId="58" fillId="0" borderId="0" applyFill="0" applyBorder="0" applyAlignment="0"/>
    <xf numFmtId="194" fontId="58" fillId="0" borderId="0" applyFill="0" applyBorder="0" applyAlignment="0"/>
    <xf numFmtId="195" fontId="20" fillId="0" borderId="0" applyFill="0" applyBorder="0" applyAlignment="0"/>
    <xf numFmtId="196" fontId="58" fillId="0" borderId="0" applyFill="0" applyBorder="0" applyAlignment="0"/>
    <xf numFmtId="197" fontId="58" fillId="0" borderId="0" applyFill="0" applyBorder="0" applyAlignment="0"/>
    <xf numFmtId="172" fontId="58" fillId="0" borderId="0" applyFill="0" applyBorder="0" applyAlignment="0"/>
    <xf numFmtId="0" fontId="59" fillId="0" borderId="0"/>
    <xf numFmtId="1" fontId="60" fillId="0" borderId="5" applyBorder="0"/>
    <xf numFmtId="168" fontId="25" fillId="0" borderId="0" applyFill="0" applyBorder="0" applyAlignment="0" applyProtection="0"/>
    <xf numFmtId="196" fontId="58" fillId="0" borderId="0" applyFont="0" applyFill="0" applyBorder="0" applyAlignment="0" applyProtection="0"/>
    <xf numFmtId="43" fontId="179" fillId="0" borderId="0" applyNumberFormat="0" applyFill="0" applyAlignment="0" applyProtection="0"/>
    <xf numFmtId="43" fontId="179" fillId="0" borderId="0" applyNumberFormat="0" applyFill="0" applyAlignment="0" applyProtection="0"/>
    <xf numFmtId="43" fontId="179" fillId="0" borderId="0" applyNumberFormat="0" applyFill="0" applyAlignment="0" applyProtection="0"/>
    <xf numFmtId="43" fontId="179" fillId="0" borderId="0" applyNumberFormat="0" applyFill="0" applyAlignment="0" applyProtection="0"/>
    <xf numFmtId="168" fontId="25" fillId="0" borderId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7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5" fontId="179" fillId="0" borderId="0" applyFont="0" applyFill="0" applyBorder="0" applyAlignment="0" applyProtection="0"/>
    <xf numFmtId="43" fontId="179" fillId="0" borderId="0" applyNumberFormat="0" applyFill="0" applyAlignment="0" applyProtection="0"/>
    <xf numFmtId="43" fontId="179" fillId="0" borderId="0" applyNumberFormat="0" applyFill="0" applyAlignment="0" applyProtection="0"/>
    <xf numFmtId="43" fontId="179" fillId="0" borderId="0" applyNumberFormat="0" applyFill="0" applyAlignment="0" applyProtection="0"/>
    <xf numFmtId="43" fontId="179" fillId="0" borderId="0" applyNumberFormat="0" applyFill="0" applyAlignment="0" applyProtection="0"/>
    <xf numFmtId="43" fontId="179" fillId="0" borderId="0" applyNumberFormat="0" applyFill="0" applyAlignment="0" applyProtection="0"/>
    <xf numFmtId="198" fontId="61" fillId="0" borderId="0"/>
    <xf numFmtId="43" fontId="62" fillId="0" borderId="0" applyFont="0" applyFill="0" applyBorder="0" applyAlignment="0" applyProtection="0"/>
    <xf numFmtId="3" fontId="26" fillId="0" borderId="0" applyFont="0" applyFill="0" applyBorder="0" applyAlignment="0" applyProtection="0"/>
    <xf numFmtId="182" fontId="25" fillId="0" borderId="0" applyFill="0" applyBorder="0" applyAlignment="0" applyProtection="0"/>
    <xf numFmtId="172" fontId="58" fillId="0" borderId="0" applyFont="0" applyFill="0" applyBorder="0" applyAlignment="0" applyProtection="0"/>
    <xf numFmtId="182" fontId="25" fillId="0" borderId="0" applyFill="0" applyBorder="0" applyAlignment="0" applyProtection="0"/>
    <xf numFmtId="199" fontId="26" fillId="0" borderId="0" applyFont="0" applyFill="0" applyBorder="0" applyAlignment="0" applyProtection="0"/>
    <xf numFmtId="200" fontId="26" fillId="0" borderId="0"/>
    <xf numFmtId="0" fontId="26" fillId="0" borderId="0" applyFont="0" applyFill="0" applyBorder="0" applyAlignment="0" applyProtection="0"/>
    <xf numFmtId="14" fontId="63" fillId="0" borderId="0" applyFill="0" applyBorder="0" applyAlignment="0"/>
    <xf numFmtId="0" fontId="26" fillId="0" borderId="0" applyFill="0" applyBorder="0" applyAlignment="0" applyProtection="0"/>
    <xf numFmtId="201" fontId="26" fillId="0" borderId="6">
      <alignment vertical="center"/>
    </xf>
    <xf numFmtId="202" fontId="26" fillId="0" borderId="0" applyFont="0" applyFill="0" applyBorder="0" applyAlignment="0" applyProtection="0"/>
    <xf numFmtId="203" fontId="26" fillId="0" borderId="0" applyFont="0" applyFill="0" applyBorder="0" applyAlignment="0" applyProtection="0"/>
    <xf numFmtId="204" fontId="26" fillId="0" borderId="0"/>
    <xf numFmtId="0" fontId="38" fillId="10" borderId="3" applyNumberFormat="0" applyAlignment="0" applyProtection="0"/>
    <xf numFmtId="0" fontId="42" fillId="32" borderId="0" applyNumberFormat="0" applyBorder="0" applyAlignment="0" applyProtection="0"/>
    <xf numFmtId="0" fontId="42" fillId="33" borderId="0" applyNumberFormat="0" applyBorder="0" applyAlignment="0" applyProtection="0"/>
    <xf numFmtId="0" fontId="42" fillId="34" borderId="0" applyNumberFormat="0" applyBorder="0" applyAlignment="0" applyProtection="0"/>
    <xf numFmtId="196" fontId="58" fillId="0" borderId="0" applyFill="0" applyBorder="0" applyAlignment="0"/>
    <xf numFmtId="172" fontId="58" fillId="0" borderId="0" applyFill="0" applyBorder="0" applyAlignment="0"/>
    <xf numFmtId="196" fontId="58" fillId="0" borderId="0" applyFill="0" applyBorder="0" applyAlignment="0"/>
    <xf numFmtId="197" fontId="58" fillId="0" borderId="0" applyFill="0" applyBorder="0" applyAlignment="0"/>
    <xf numFmtId="172" fontId="58" fillId="0" borderId="0" applyFill="0" applyBorder="0" applyAlignment="0"/>
    <xf numFmtId="0" fontId="42" fillId="0" borderId="7" applyNumberFormat="0" applyFill="0" applyAlignment="0" applyProtection="0"/>
    <xf numFmtId="0" fontId="33" fillId="0" borderId="0" applyNumberFormat="0" applyFill="0" applyBorder="0" applyAlignment="0" applyProtection="0"/>
    <xf numFmtId="205" fontId="64" fillId="0" borderId="0" applyFont="0" applyFill="0" applyBorder="0" applyAlignment="0" applyProtection="0"/>
    <xf numFmtId="0" fontId="65" fillId="0" borderId="0" applyProtection="0"/>
    <xf numFmtId="0" fontId="66" fillId="0" borderId="0" applyProtection="0"/>
    <xf numFmtId="0" fontId="67" fillId="0" borderId="0" applyProtection="0"/>
    <xf numFmtId="0" fontId="68" fillId="0" borderId="0" applyProtection="0"/>
    <xf numFmtId="0" fontId="69" fillId="0" borderId="0" applyNumberFormat="0" applyFont="0" applyFill="0" applyBorder="0" applyAlignment="0" applyProtection="0"/>
    <xf numFmtId="0" fontId="70" fillId="0" borderId="0" applyProtection="0"/>
    <xf numFmtId="0" fontId="71" fillId="0" borderId="0" applyProtection="0"/>
    <xf numFmtId="2" fontId="26" fillId="0" borderId="0" applyFont="0" applyFill="0" applyBorder="0" applyAlignment="0" applyProtection="0"/>
    <xf numFmtId="38" fontId="24" fillId="35" borderId="0" applyNumberFormat="0" applyBorder="0" applyAlignment="0" applyProtection="0"/>
    <xf numFmtId="0" fontId="34" fillId="7" borderId="0" applyNumberFormat="0" applyBorder="0" applyAlignment="0" applyProtection="0"/>
    <xf numFmtId="0" fontId="72" fillId="0" borderId="0" applyNumberFormat="0" applyFont="0" applyBorder="0" applyAlignment="0">
      <alignment horizontal="left" vertical="center"/>
    </xf>
    <xf numFmtId="0" fontId="73" fillId="0" borderId="0">
      <alignment horizontal="left"/>
    </xf>
    <xf numFmtId="0" fontId="74" fillId="0" borderId="8" applyNumberFormat="0" applyAlignment="0" applyProtection="0">
      <alignment horizontal="left" vertical="center"/>
    </xf>
    <xf numFmtId="0" fontId="74" fillId="0" borderId="9">
      <alignment horizontal="left" vertical="center"/>
    </xf>
    <xf numFmtId="206" fontId="75" fillId="0" borderId="0">
      <protection locked="0"/>
    </xf>
    <xf numFmtId="207" fontId="75" fillId="0" borderId="0">
      <protection locked="0"/>
    </xf>
    <xf numFmtId="206" fontId="75" fillId="0" borderId="0">
      <protection locked="0"/>
    </xf>
    <xf numFmtId="206" fontId="75" fillId="0" borderId="0">
      <protection locked="0"/>
    </xf>
    <xf numFmtId="5" fontId="76" fillId="36" borderId="13" applyNumberFormat="0" applyAlignment="0">
      <alignment horizontal="left" vertical="top"/>
    </xf>
    <xf numFmtId="49" fontId="77" fillId="0" borderId="13">
      <alignment vertical="center"/>
    </xf>
    <xf numFmtId="0" fontId="23" fillId="0" borderId="0" applyNumberFormat="0" applyFill="0" applyBorder="0" applyAlignment="0" applyProtection="0"/>
    <xf numFmtId="0" fontId="181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top"/>
      <protection locked="0"/>
    </xf>
    <xf numFmtId="10" fontId="24" fillId="35" borderId="13" applyNumberFormat="0" applyBorder="0" applyAlignment="0" applyProtection="0"/>
    <xf numFmtId="0" fontId="79" fillId="0" borderId="0"/>
    <xf numFmtId="0" fontId="79" fillId="0" borderId="0"/>
    <xf numFmtId="3" fontId="80" fillId="0" borderId="9">
      <alignment horizontal="centerContinuous"/>
    </xf>
    <xf numFmtId="196" fontId="58" fillId="0" borderId="0" applyFill="0" applyBorder="0" applyAlignment="0"/>
    <xf numFmtId="172" fontId="58" fillId="0" borderId="0" applyFill="0" applyBorder="0" applyAlignment="0"/>
    <xf numFmtId="196" fontId="58" fillId="0" borderId="0" applyFill="0" applyBorder="0" applyAlignment="0"/>
    <xf numFmtId="197" fontId="58" fillId="0" borderId="0" applyFill="0" applyBorder="0" applyAlignment="0"/>
    <xf numFmtId="172" fontId="58" fillId="0" borderId="0" applyFill="0" applyBorder="0" applyAlignment="0"/>
    <xf numFmtId="38" fontId="79" fillId="0" borderId="0" applyFont="0" applyFill="0" applyBorder="0" applyAlignment="0" applyProtection="0"/>
    <xf numFmtId="40" fontId="79" fillId="0" borderId="0" applyFont="0" applyFill="0" applyBorder="0" applyAlignment="0" applyProtection="0"/>
    <xf numFmtId="38" fontId="79" fillId="0" borderId="0" applyFont="0" applyFill="0" applyBorder="0" applyAlignment="0" applyProtection="0"/>
    <xf numFmtId="40" fontId="79" fillId="0" borderId="0" applyFont="0" applyFill="0" applyBorder="0" applyAlignment="0" applyProtection="0"/>
    <xf numFmtId="0" fontId="81" fillId="0" borderId="15"/>
    <xf numFmtId="220" fontId="79" fillId="0" borderId="0" applyFont="0" applyFill="0" applyBorder="0" applyAlignment="0" applyProtection="0"/>
    <xf numFmtId="221" fontId="90" fillId="0" borderId="0" applyFont="0" applyFill="0" applyBorder="0" applyAlignment="0" applyProtection="0"/>
    <xf numFmtId="222" fontId="103" fillId="0" borderId="0" applyFont="0" applyFill="0" applyBorder="0" applyAlignment="0" applyProtection="0"/>
    <xf numFmtId="223" fontId="80" fillId="0" borderId="0" applyFont="0" applyFill="0" applyBorder="0" applyAlignment="0" applyProtection="0"/>
    <xf numFmtId="0" fontId="82" fillId="0" borderId="0" applyNumberFormat="0" applyFont="0" applyFill="0" applyAlignment="0"/>
    <xf numFmtId="0" fontId="26" fillId="0" borderId="0" applyNumberFormat="0" applyFill="0" applyAlignment="0"/>
    <xf numFmtId="0" fontId="26" fillId="0" borderId="0" applyNumberFormat="0" applyFill="0" applyAlignment="0"/>
    <xf numFmtId="0" fontId="26" fillId="0" borderId="0" applyNumberFormat="0" applyFill="0" applyAlignment="0"/>
    <xf numFmtId="0" fontId="82" fillId="0" borderId="0" applyNumberFormat="0" applyFont="0" applyFill="0" applyAlignment="0"/>
    <xf numFmtId="0" fontId="82" fillId="0" borderId="0" applyNumberFormat="0" applyFont="0" applyFill="0" applyAlignment="0"/>
    <xf numFmtId="0" fontId="82" fillId="0" borderId="0" applyNumberFormat="0" applyFont="0" applyFill="0" applyAlignment="0"/>
    <xf numFmtId="0" fontId="26" fillId="0" borderId="0" applyNumberFormat="0" applyFill="0" applyAlignment="0"/>
    <xf numFmtId="0" fontId="82" fillId="0" borderId="0" applyNumberFormat="0" applyFont="0" applyFill="0" applyAlignment="0"/>
    <xf numFmtId="0" fontId="82" fillId="0" borderId="0" applyNumberFormat="0" applyFont="0" applyFill="0" applyAlignment="0"/>
    <xf numFmtId="0" fontId="82" fillId="0" borderId="0" applyNumberFormat="0" applyFont="0" applyFill="0" applyAlignment="0"/>
    <xf numFmtId="0" fontId="82" fillId="0" borderId="0" applyNumberFormat="0" applyFont="0" applyFill="0" applyAlignment="0"/>
    <xf numFmtId="0" fontId="82" fillId="0" borderId="0" applyNumberFormat="0" applyFont="0" applyFill="0" applyAlignment="0"/>
    <xf numFmtId="0" fontId="26" fillId="0" borderId="0" applyNumberFormat="0" applyFill="0" applyAlignment="0"/>
    <xf numFmtId="0" fontId="82" fillId="0" borderId="0" applyNumberFormat="0" applyFont="0" applyFill="0" applyAlignment="0"/>
    <xf numFmtId="0" fontId="26" fillId="0" borderId="0" applyNumberFormat="0" applyFill="0" applyAlignment="0"/>
    <xf numFmtId="0" fontId="61" fillId="0" borderId="0"/>
    <xf numFmtId="37" fontId="83" fillId="0" borderId="0"/>
    <xf numFmtId="0" fontId="84" fillId="0" borderId="13" applyNumberFormat="0" applyFont="0" applyFill="0" applyBorder="0" applyAlignment="0">
      <alignment horizontal="center"/>
    </xf>
    <xf numFmtId="0" fontId="20" fillId="0" borderId="0"/>
    <xf numFmtId="0" fontId="85" fillId="0" borderId="0"/>
    <xf numFmtId="0" fontId="179" fillId="0" borderId="0" applyNumberFormat="0" applyFill="0" applyAlignment="0" applyProtection="0"/>
    <xf numFmtId="0" fontId="182" fillId="0" borderId="0"/>
    <xf numFmtId="0" fontId="179" fillId="0" borderId="0" applyNumberFormat="0" applyFill="0" applyAlignment="0" applyProtection="0"/>
    <xf numFmtId="0" fontId="179" fillId="0" borderId="0" applyNumberFormat="0" applyFill="0" applyAlignment="0" applyProtection="0"/>
    <xf numFmtId="0" fontId="179" fillId="0" borderId="0" applyNumberFormat="0" applyFill="0" applyAlignment="0" applyProtection="0"/>
    <xf numFmtId="0" fontId="25" fillId="0" borderId="0"/>
    <xf numFmtId="0" fontId="179" fillId="0" borderId="0"/>
    <xf numFmtId="0" fontId="179" fillId="0" borderId="0" applyNumberFormat="0" applyFill="0" applyAlignment="0" applyProtection="0"/>
    <xf numFmtId="0" fontId="179" fillId="0" borderId="0"/>
    <xf numFmtId="0" fontId="179" fillId="0" borderId="0" applyNumberFormat="0" applyFill="0" applyAlignment="0" applyProtection="0"/>
    <xf numFmtId="0" fontId="179" fillId="0" borderId="0" applyNumberFormat="0" applyFill="0" applyAlignment="0" applyProtection="0"/>
    <xf numFmtId="0" fontId="179" fillId="0" borderId="0" applyNumberFormat="0" applyFill="0" applyAlignment="0" applyProtection="0"/>
    <xf numFmtId="0" fontId="179" fillId="0" borderId="0" applyNumberFormat="0" applyFill="0" applyAlignment="0" applyProtection="0"/>
    <xf numFmtId="0" fontId="179" fillId="0" borderId="0" applyNumberFormat="0" applyFill="0" applyAlignment="0" applyProtection="0"/>
    <xf numFmtId="166" fontId="21" fillId="0" borderId="0"/>
    <xf numFmtId="0" fontId="26" fillId="0" borderId="0"/>
    <xf numFmtId="0" fontId="25" fillId="56" borderId="74" applyNumberFormat="0" applyFont="0" applyAlignment="0" applyProtection="0"/>
    <xf numFmtId="0" fontId="179" fillId="56" borderId="74" applyNumberFormat="0" applyFont="0" applyAlignment="0" applyProtection="0"/>
    <xf numFmtId="0" fontId="28" fillId="37" borderId="16" applyNumberFormat="0" applyFont="0" applyAlignment="0" applyProtection="0"/>
    <xf numFmtId="0" fontId="86" fillId="0" borderId="0" applyNumberFormat="0" applyFill="0" applyBorder="0" applyAlignment="0" applyProtection="0"/>
    <xf numFmtId="0" fontId="26" fillId="0" borderId="0" applyFill="0" applyBorder="0" applyAlignment="0" applyProtection="0"/>
    <xf numFmtId="0" fontId="61" fillId="0" borderId="0"/>
    <xf numFmtId="0" fontId="87" fillId="35" borderId="0"/>
    <xf numFmtId="0" fontId="80" fillId="0" borderId="0"/>
    <xf numFmtId="9" fontId="25" fillId="0" borderId="0" applyFill="0" applyBorder="0" applyAlignment="0" applyProtection="0"/>
    <xf numFmtId="195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0" fontId="20" fillId="0" borderId="0" applyFont="0" applyFill="0" applyBorder="0" applyAlignment="0" applyProtection="0"/>
    <xf numFmtId="9" fontId="25" fillId="0" borderId="0" applyFill="0" applyBorder="0" applyAlignment="0" applyProtection="0"/>
    <xf numFmtId="9" fontId="11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79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79" fillId="0" borderId="17" applyNumberFormat="0" applyBorder="0"/>
    <xf numFmtId="0" fontId="120" fillId="0" borderId="18" applyNumberFormat="0" applyAlignment="0"/>
    <xf numFmtId="196" fontId="58" fillId="0" borderId="0" applyFill="0" applyBorder="0" applyAlignment="0"/>
    <xf numFmtId="172" fontId="58" fillId="0" borderId="0" applyFill="0" applyBorder="0" applyAlignment="0"/>
    <xf numFmtId="196" fontId="58" fillId="0" borderId="0" applyFill="0" applyBorder="0" applyAlignment="0"/>
    <xf numFmtId="197" fontId="58" fillId="0" borderId="0" applyFill="0" applyBorder="0" applyAlignment="0"/>
    <xf numFmtId="172" fontId="58" fillId="0" borderId="0" applyFill="0" applyBorder="0" applyAlignment="0"/>
    <xf numFmtId="0" fontId="88" fillId="0" borderId="0"/>
    <xf numFmtId="0" fontId="79" fillId="0" borderId="0" applyNumberFormat="0" applyFont="0" applyFill="0" applyBorder="0" applyAlignment="0" applyProtection="0">
      <alignment horizontal="left"/>
    </xf>
    <xf numFmtId="0" fontId="89" fillId="0" borderId="15">
      <alignment horizontal="center"/>
    </xf>
    <xf numFmtId="3" fontId="90" fillId="0" borderId="19">
      <alignment horizontal="right" wrapText="1"/>
    </xf>
    <xf numFmtId="0" fontId="30" fillId="6" borderId="0" applyNumberFormat="0" applyBorder="0" applyAlignment="0" applyProtection="0"/>
    <xf numFmtId="0" fontId="91" fillId="0" borderId="0" applyNumberFormat="0" applyFill="0" applyBorder="0" applyAlignment="0" applyProtection="0"/>
    <xf numFmtId="0" fontId="26" fillId="38" borderId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81" fillId="0" borderId="0"/>
    <xf numFmtId="208" fontId="93" fillId="0" borderId="20">
      <alignment horizontal="right" vertical="center"/>
    </xf>
    <xf numFmtId="209" fontId="93" fillId="0" borderId="21">
      <alignment horizontal="right" vertical="center"/>
    </xf>
    <xf numFmtId="209" fontId="93" fillId="0" borderId="21">
      <alignment horizontal="right" vertical="center"/>
    </xf>
    <xf numFmtId="210" fontId="94" fillId="0" borderId="20">
      <alignment horizontal="right" vertical="center"/>
    </xf>
    <xf numFmtId="210" fontId="94" fillId="0" borderId="20">
      <alignment horizontal="right" vertical="center"/>
    </xf>
    <xf numFmtId="209" fontId="93" fillId="0" borderId="21">
      <alignment horizontal="right" vertical="center"/>
    </xf>
    <xf numFmtId="208" fontId="93" fillId="0" borderId="20">
      <alignment horizontal="right" vertical="center"/>
    </xf>
    <xf numFmtId="210" fontId="94" fillId="0" borderId="20">
      <alignment horizontal="right" vertical="center"/>
    </xf>
    <xf numFmtId="208" fontId="95" fillId="0" borderId="20">
      <alignment horizontal="right" vertical="center"/>
    </xf>
    <xf numFmtId="208" fontId="95" fillId="0" borderId="20">
      <alignment horizontal="right" vertical="center"/>
    </xf>
    <xf numFmtId="210" fontId="94" fillId="0" borderId="20">
      <alignment horizontal="right" vertical="center"/>
    </xf>
    <xf numFmtId="210" fontId="94" fillId="0" borderId="20">
      <alignment horizontal="right" vertical="center"/>
    </xf>
    <xf numFmtId="208" fontId="95" fillId="0" borderId="20">
      <alignment horizontal="right" vertical="center"/>
    </xf>
    <xf numFmtId="208" fontId="93" fillId="0" borderId="20">
      <alignment horizontal="right" vertical="center"/>
    </xf>
    <xf numFmtId="209" fontId="93" fillId="0" borderId="21">
      <alignment horizontal="right" vertical="center"/>
    </xf>
    <xf numFmtId="208" fontId="95" fillId="0" borderId="20">
      <alignment horizontal="right" vertical="center"/>
    </xf>
    <xf numFmtId="208" fontId="95" fillId="0" borderId="20">
      <alignment horizontal="right" vertical="center"/>
    </xf>
    <xf numFmtId="208" fontId="95" fillId="0" borderId="20">
      <alignment horizontal="right" vertical="center"/>
    </xf>
    <xf numFmtId="208" fontId="93" fillId="0" borderId="20">
      <alignment horizontal="right" vertical="center"/>
    </xf>
    <xf numFmtId="210" fontId="94" fillId="0" borderId="20">
      <alignment horizontal="right" vertical="center"/>
    </xf>
    <xf numFmtId="208" fontId="95" fillId="0" borderId="20">
      <alignment horizontal="right" vertical="center"/>
    </xf>
    <xf numFmtId="210" fontId="94" fillId="0" borderId="20">
      <alignment horizontal="right" vertical="center"/>
    </xf>
    <xf numFmtId="210" fontId="94" fillId="0" borderId="20">
      <alignment horizontal="right" vertical="center"/>
    </xf>
    <xf numFmtId="210" fontId="94" fillId="0" borderId="20">
      <alignment horizontal="right" vertical="center"/>
    </xf>
    <xf numFmtId="210" fontId="94" fillId="0" borderId="20">
      <alignment horizontal="right" vertical="center"/>
    </xf>
    <xf numFmtId="210" fontId="94" fillId="0" borderId="20">
      <alignment horizontal="right" vertical="center"/>
    </xf>
    <xf numFmtId="210" fontId="94" fillId="0" borderId="20">
      <alignment horizontal="right" vertical="center"/>
    </xf>
    <xf numFmtId="209" fontId="93" fillId="0" borderId="21">
      <alignment horizontal="right" vertical="center"/>
    </xf>
    <xf numFmtId="208" fontId="95" fillId="0" borderId="20">
      <alignment horizontal="right" vertical="center"/>
    </xf>
    <xf numFmtId="210" fontId="94" fillId="0" borderId="20">
      <alignment horizontal="right" vertical="center"/>
    </xf>
    <xf numFmtId="208" fontId="95" fillId="0" borderId="20">
      <alignment horizontal="right" vertical="center"/>
    </xf>
    <xf numFmtId="210" fontId="94" fillId="0" borderId="20">
      <alignment horizontal="right" vertical="center"/>
    </xf>
    <xf numFmtId="210" fontId="94" fillId="0" borderId="20">
      <alignment horizontal="right" vertical="center"/>
    </xf>
    <xf numFmtId="209" fontId="93" fillId="0" borderId="21">
      <alignment horizontal="right" vertical="center"/>
    </xf>
    <xf numFmtId="210" fontId="94" fillId="0" borderId="20">
      <alignment horizontal="right" vertical="center"/>
    </xf>
    <xf numFmtId="208" fontId="93" fillId="0" borderId="20">
      <alignment horizontal="right" vertical="center"/>
    </xf>
    <xf numFmtId="208" fontId="93" fillId="0" borderId="20">
      <alignment horizontal="right" vertical="center"/>
    </xf>
    <xf numFmtId="49" fontId="63" fillId="0" borderId="0" applyFill="0" applyBorder="0" applyAlignment="0"/>
    <xf numFmtId="211" fontId="20" fillId="0" borderId="0" applyFill="0" applyBorder="0" applyAlignment="0"/>
    <xf numFmtId="212" fontId="20" fillId="0" borderId="0" applyFill="0" applyBorder="0" applyAlignment="0"/>
    <xf numFmtId="213" fontId="93" fillId="0" borderId="20">
      <alignment horizontal="center"/>
    </xf>
    <xf numFmtId="0" fontId="96" fillId="0" borderId="22"/>
    <xf numFmtId="0" fontId="97" fillId="0" borderId="22"/>
    <xf numFmtId="0" fontId="86" fillId="0" borderId="0" applyNumberFormat="0" applyFill="0" applyBorder="0" applyAlignment="0" applyProtection="0"/>
    <xf numFmtId="0" fontId="20" fillId="0" borderId="0"/>
    <xf numFmtId="0" fontId="41" fillId="0" borderId="0" applyNumberFormat="0" applyFill="0" applyBorder="0" applyAlignment="0" applyProtection="0"/>
    <xf numFmtId="0" fontId="35" fillId="0" borderId="10" applyNumberFormat="0" applyFill="0" applyAlignment="0" applyProtection="0"/>
    <xf numFmtId="0" fontId="36" fillId="0" borderId="11" applyNumberFormat="0" applyFill="0" applyAlignment="0" applyProtection="0"/>
    <xf numFmtId="0" fontId="37" fillId="0" borderId="12" applyNumberFormat="0" applyFill="0" applyAlignment="0" applyProtection="0"/>
    <xf numFmtId="0" fontId="37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39" fillId="0" borderId="14" applyNumberFormat="0" applyFill="0" applyAlignment="0" applyProtection="0"/>
    <xf numFmtId="212" fontId="93" fillId="0" borderId="0"/>
    <xf numFmtId="214" fontId="93" fillId="0" borderId="13"/>
    <xf numFmtId="0" fontId="98" fillId="0" borderId="0"/>
    <xf numFmtId="0" fontId="98" fillId="0" borderId="0"/>
    <xf numFmtId="5" fontId="99" fillId="39" borderId="23">
      <alignment vertical="top"/>
    </xf>
    <xf numFmtId="0" fontId="100" fillId="40" borderId="13">
      <alignment horizontal="left" vertical="center"/>
    </xf>
    <xf numFmtId="6" fontId="101" fillId="41" borderId="23"/>
    <xf numFmtId="5" fontId="76" fillId="0" borderId="23">
      <alignment horizontal="left" vertical="top"/>
    </xf>
    <xf numFmtId="0" fontId="102" fillId="42" borderId="0">
      <alignment horizontal="left" vertical="center"/>
    </xf>
    <xf numFmtId="5" fontId="92" fillId="0" borderId="24">
      <alignment horizontal="left" vertical="top"/>
    </xf>
    <xf numFmtId="0" fontId="103" fillId="0" borderId="24">
      <alignment horizontal="left" vertical="center"/>
    </xf>
    <xf numFmtId="215" fontId="26" fillId="0" borderId="0" applyFont="0" applyFill="0" applyBorder="0" applyAlignment="0" applyProtection="0"/>
    <xf numFmtId="216" fontId="26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32" fillId="31" borderId="4" applyNumberFormat="0" applyAlignment="0" applyProtection="0"/>
    <xf numFmtId="42" fontId="105" fillId="0" borderId="0" applyFont="0" applyFill="0" applyBorder="0" applyAlignment="0" applyProtection="0"/>
    <xf numFmtId="44" fontId="105" fillId="0" borderId="0" applyFont="0" applyFill="0" applyBorder="0" applyAlignment="0" applyProtection="0"/>
    <xf numFmtId="0" fontId="105" fillId="0" borderId="0"/>
    <xf numFmtId="0" fontId="111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2" fillId="0" borderId="0">
      <alignment vertical="center"/>
    </xf>
    <xf numFmtId="9" fontId="106" fillId="0" borderId="0" applyFont="0" applyFill="0" applyBorder="0" applyAlignment="0" applyProtection="0"/>
    <xf numFmtId="0" fontId="107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217" fontId="85" fillId="0" borderId="0" applyFont="0" applyFill="0" applyBorder="0" applyAlignment="0" applyProtection="0"/>
    <xf numFmtId="218" fontId="85" fillId="0" borderId="0" applyFont="0" applyFill="0" applyBorder="0" applyAlignment="0" applyProtection="0"/>
    <xf numFmtId="0" fontId="109" fillId="0" borderId="0"/>
    <xf numFmtId="0" fontId="82" fillId="0" borderId="0"/>
    <xf numFmtId="164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219" fontId="27" fillId="0" borderId="0" applyFont="0" applyFill="0" applyBorder="0" applyAlignment="0" applyProtection="0"/>
    <xf numFmtId="6" fontId="110" fillId="0" borderId="0" applyFont="0" applyFill="0" applyBorder="0" applyAlignment="0" applyProtection="0"/>
    <xf numFmtId="196" fontId="27" fillId="0" borderId="0" applyFont="0" applyFill="0" applyBorder="0" applyAlignment="0" applyProtection="0"/>
    <xf numFmtId="0" fontId="19" fillId="0" borderId="0" applyNumberFormat="0" applyFill="0" applyAlignment="0" applyProtection="0"/>
    <xf numFmtId="43" fontId="19" fillId="0" borderId="0" applyNumberFormat="0" applyFill="0" applyAlignment="0" applyProtection="0"/>
    <xf numFmtId="9" fontId="19" fillId="0" borderId="0" applyFont="0" applyFill="0" applyBorder="0" applyAlignment="0" applyProtection="0"/>
    <xf numFmtId="0" fontId="18" fillId="0" borderId="0"/>
    <xf numFmtId="43" fontId="18" fillId="0" borderId="0"/>
    <xf numFmtId="43" fontId="18" fillId="0" borderId="0"/>
    <xf numFmtId="0" fontId="181" fillId="0" borderId="0"/>
    <xf numFmtId="0" fontId="17" fillId="0" borderId="0"/>
    <xf numFmtId="43" fontId="17" fillId="0" borderId="0"/>
    <xf numFmtId="43" fontId="17" fillId="0" borderId="0"/>
    <xf numFmtId="0" fontId="17" fillId="0" borderId="0"/>
    <xf numFmtId="43" fontId="17" fillId="0" borderId="0"/>
    <xf numFmtId="0" fontId="289" fillId="116" borderId="0" applyNumberFormat="0" applyBorder="0" applyAlignment="0" applyProtection="0"/>
    <xf numFmtId="0" fontId="16" fillId="0" borderId="0"/>
    <xf numFmtId="43" fontId="16" fillId="0" borderId="0"/>
    <xf numFmtId="43" fontId="16" fillId="0" borderId="0"/>
    <xf numFmtId="0" fontId="16" fillId="0" borderId="0"/>
    <xf numFmtId="43" fontId="16" fillId="0" borderId="0"/>
    <xf numFmtId="0" fontId="20" fillId="0" borderId="0"/>
    <xf numFmtId="169" fontId="20" fillId="0" borderId="0" applyBorder="0"/>
    <xf numFmtId="169" fontId="20" fillId="0" borderId="0" applyBorder="0"/>
    <xf numFmtId="169" fontId="20" fillId="0" borderId="0" applyBorder="0"/>
    <xf numFmtId="184" fontId="44" fillId="0" borderId="1" applyFont="0" applyBorder="0"/>
    <xf numFmtId="169" fontId="20" fillId="0" borderId="0" applyBorder="0"/>
    <xf numFmtId="184" fontId="44" fillId="0" borderId="1" applyFont="0" applyBorder="0"/>
    <xf numFmtId="184" fontId="44" fillId="0" borderId="1" applyFont="0" applyBorder="0"/>
    <xf numFmtId="184" fontId="44" fillId="0" borderId="1" applyFont="0" applyBorder="0"/>
    <xf numFmtId="184" fontId="44" fillId="0" borderId="1" applyFont="0" applyBorder="0"/>
    <xf numFmtId="169" fontId="20" fillId="0" borderId="0" applyBorder="0"/>
    <xf numFmtId="184" fontId="44" fillId="0" borderId="1" applyFont="0" applyBorder="0"/>
    <xf numFmtId="169" fontId="20" fillId="0" borderId="0" applyBorder="0"/>
    <xf numFmtId="188" fontId="20" fillId="0" borderId="0" applyFont="0" applyFill="0" applyBorder="0" applyAlignment="0" applyProtection="0"/>
    <xf numFmtId="189" fontId="20" fillId="0" borderId="0" applyFont="0" applyFill="0" applyBorder="0" applyAlignment="0" applyProtection="0"/>
    <xf numFmtId="0" fontId="20" fillId="0" borderId="0"/>
    <xf numFmtId="9" fontId="20" fillId="0" borderId="0" applyFill="0" applyBorder="0" applyAlignment="0" applyProtection="0"/>
    <xf numFmtId="0" fontId="15" fillId="48" borderId="0" applyNumberFormat="0" applyBorder="0" applyAlignment="0" applyProtection="0"/>
    <xf numFmtId="0" fontId="15" fillId="49" borderId="0" applyNumberFormat="0" applyBorder="0" applyAlignment="0" applyProtection="0"/>
    <xf numFmtId="0" fontId="15" fillId="50" borderId="0" applyNumberFormat="0" applyBorder="0" applyAlignment="0" applyProtection="0"/>
    <xf numFmtId="0" fontId="15" fillId="51" borderId="0" applyNumberFormat="0" applyBorder="0" applyAlignment="0" applyProtection="0"/>
    <xf numFmtId="0" fontId="15" fillId="52" borderId="0" applyNumberFormat="0" applyBorder="0" applyAlignment="0" applyProtection="0"/>
    <xf numFmtId="182" fontId="20" fillId="0" borderId="0" applyFill="0" applyBorder="0" applyAlignment="0" applyProtection="0"/>
    <xf numFmtId="168" fontId="20" fillId="0" borderId="0" applyFill="0" applyBorder="0" applyAlignment="0" applyProtection="0"/>
    <xf numFmtId="43" fontId="15" fillId="0" borderId="0" applyNumberFormat="0" applyFill="0" applyAlignment="0" applyProtection="0"/>
    <xf numFmtId="43" fontId="15" fillId="0" borderId="0" applyNumberFormat="0" applyFill="0" applyAlignment="0" applyProtection="0"/>
    <xf numFmtId="43" fontId="15" fillId="0" borderId="0" applyNumberFormat="0" applyFill="0" applyAlignment="0" applyProtection="0"/>
    <xf numFmtId="43" fontId="15" fillId="0" borderId="0" applyNumberFormat="0" applyFill="0" applyAlignment="0" applyProtection="0"/>
    <xf numFmtId="168" fontId="20" fillId="0" borderId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5" fontId="15" fillId="0" borderId="0" applyFont="0" applyFill="0" applyBorder="0" applyAlignment="0" applyProtection="0"/>
    <xf numFmtId="43" fontId="15" fillId="0" borderId="0" applyNumberFormat="0" applyFill="0" applyAlignment="0" applyProtection="0"/>
    <xf numFmtId="43" fontId="15" fillId="0" borderId="0" applyNumberFormat="0" applyFill="0" applyAlignment="0" applyProtection="0"/>
    <xf numFmtId="43" fontId="15" fillId="0" borderId="0" applyNumberFormat="0" applyFill="0" applyAlignment="0" applyProtection="0"/>
    <xf numFmtId="43" fontId="15" fillId="0" borderId="0" applyNumberFormat="0" applyFill="0" applyAlignment="0" applyProtection="0"/>
    <xf numFmtId="43" fontId="15" fillId="0" borderId="0" applyNumberFormat="0" applyFill="0" applyAlignment="0" applyProtection="0"/>
    <xf numFmtId="3" fontId="20" fillId="0" borderId="0" applyFont="0" applyFill="0" applyBorder="0" applyAlignment="0" applyProtection="0"/>
    <xf numFmtId="182" fontId="20" fillId="0" borderId="0" applyFill="0" applyBorder="0" applyAlignment="0" applyProtection="0"/>
    <xf numFmtId="182" fontId="20" fillId="0" borderId="0" applyFill="0" applyBorder="0" applyAlignment="0" applyProtection="0"/>
    <xf numFmtId="199" fontId="20" fillId="0" borderId="0" applyFont="0" applyFill="0" applyBorder="0" applyAlignment="0" applyProtection="0"/>
    <xf numFmtId="200" fontId="20" fillId="0" borderId="0"/>
    <xf numFmtId="0" fontId="20" fillId="0" borderId="0" applyFont="0" applyFill="0" applyBorder="0" applyAlignment="0" applyProtection="0"/>
    <xf numFmtId="201" fontId="20" fillId="0" borderId="6">
      <alignment vertical="center"/>
    </xf>
    <xf numFmtId="204" fontId="20" fillId="0" borderId="0"/>
    <xf numFmtId="168" fontId="20" fillId="0" borderId="0" applyFill="0" applyBorder="0" applyAlignment="0" applyProtection="0"/>
    <xf numFmtId="2" fontId="20" fillId="0" borderId="0" applyFont="0" applyFill="0" applyBorder="0" applyAlignment="0" applyProtection="0"/>
    <xf numFmtId="0" fontId="20" fillId="0" borderId="0" applyNumberFormat="0" applyFill="0" applyAlignment="0"/>
    <xf numFmtId="0" fontId="20" fillId="0" borderId="0" applyNumberFormat="0" applyFill="0" applyAlignment="0"/>
    <xf numFmtId="0" fontId="20" fillId="0" borderId="0" applyNumberFormat="0" applyFill="0" applyAlignment="0"/>
    <xf numFmtId="0" fontId="20" fillId="0" borderId="0" applyNumberFormat="0" applyFill="0" applyAlignment="0"/>
    <xf numFmtId="0" fontId="20" fillId="0" borderId="0" applyNumberFormat="0" applyFill="0" applyAlignment="0"/>
    <xf numFmtId="0" fontId="20" fillId="0" borderId="0" applyNumberFormat="0" applyFill="0" applyAlignment="0"/>
    <xf numFmtId="0" fontId="15" fillId="0" borderId="0" applyNumberFormat="0" applyFill="0" applyAlignment="0" applyProtection="0"/>
    <xf numFmtId="0" fontId="15" fillId="0" borderId="0" applyNumberFormat="0" applyFill="0" applyAlignment="0" applyProtection="0"/>
    <xf numFmtId="0" fontId="15" fillId="0" borderId="0" applyNumberFormat="0" applyFill="0" applyAlignment="0" applyProtection="0"/>
    <xf numFmtId="0" fontId="15" fillId="0" borderId="0" applyNumberFormat="0" applyFill="0" applyAlignment="0" applyProtection="0"/>
    <xf numFmtId="0" fontId="20" fillId="0" borderId="0"/>
    <xf numFmtId="0" fontId="15" fillId="0" borderId="0"/>
    <xf numFmtId="0" fontId="15" fillId="0" borderId="0" applyNumberFormat="0" applyFill="0" applyAlignment="0" applyProtection="0"/>
    <xf numFmtId="0" fontId="15" fillId="0" borderId="0"/>
    <xf numFmtId="0" fontId="15" fillId="0" borderId="0" applyNumberFormat="0" applyFill="0" applyAlignment="0" applyProtection="0"/>
    <xf numFmtId="0" fontId="15" fillId="0" borderId="0" applyNumberFormat="0" applyFill="0" applyAlignment="0" applyProtection="0"/>
    <xf numFmtId="0" fontId="15" fillId="0" borderId="0" applyNumberFormat="0" applyFill="0" applyAlignment="0" applyProtection="0"/>
    <xf numFmtId="0" fontId="15" fillId="0" borderId="0" applyNumberFormat="0" applyFill="0" applyAlignment="0" applyProtection="0"/>
    <xf numFmtId="0" fontId="15" fillId="0" borderId="0" applyNumberFormat="0" applyFill="0" applyAlignment="0" applyProtection="0"/>
    <xf numFmtId="0" fontId="20" fillId="56" borderId="74" applyNumberFormat="0" applyFont="0" applyAlignment="0" applyProtection="0"/>
    <xf numFmtId="0" fontId="15" fillId="56" borderId="74" applyNumberFormat="0" applyFont="0" applyAlignment="0" applyProtection="0"/>
    <xf numFmtId="9" fontId="20" fillId="0" borderId="0" applyFill="0" applyBorder="0" applyAlignment="0" applyProtection="0"/>
    <xf numFmtId="9" fontId="20" fillId="0" borderId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0" fillId="0" borderId="0" applyFont="0" applyFill="0" applyBorder="0" applyAlignment="0" applyProtection="0"/>
    <xf numFmtId="208" fontId="93" fillId="0" borderId="20">
      <alignment horizontal="right" vertical="center"/>
    </xf>
    <xf numFmtId="208" fontId="93" fillId="0" borderId="20">
      <alignment horizontal="right" vertical="center"/>
    </xf>
    <xf numFmtId="208" fontId="93" fillId="0" borderId="20">
      <alignment horizontal="right" vertical="center"/>
    </xf>
    <xf numFmtId="208" fontId="93" fillId="0" borderId="20">
      <alignment horizontal="right" vertical="center"/>
    </xf>
    <xf numFmtId="208" fontId="93" fillId="0" borderId="20">
      <alignment horizontal="right" vertical="center"/>
    </xf>
    <xf numFmtId="208" fontId="93" fillId="0" borderId="20">
      <alignment horizontal="right" vertical="center"/>
    </xf>
    <xf numFmtId="208" fontId="93" fillId="0" borderId="20">
      <alignment horizontal="right" vertical="center"/>
    </xf>
    <xf numFmtId="208" fontId="93" fillId="0" borderId="20">
      <alignment horizontal="right" vertical="center"/>
    </xf>
    <xf numFmtId="208" fontId="93" fillId="0" borderId="20">
      <alignment horizontal="right" vertical="center"/>
    </xf>
    <xf numFmtId="188" fontId="20" fillId="0" borderId="0" applyFont="0" applyFill="0" applyBorder="0" applyAlignment="0" applyProtection="0"/>
    <xf numFmtId="0" fontId="20" fillId="0" borderId="0"/>
    <xf numFmtId="0" fontId="15" fillId="0" borderId="0" applyNumberFormat="0" applyFill="0" applyAlignment="0" applyProtection="0"/>
    <xf numFmtId="43" fontId="15" fillId="0" borderId="0" applyNumberFormat="0" applyFill="0" applyAlignment="0" applyProtection="0"/>
    <xf numFmtId="9" fontId="15" fillId="0" borderId="0" applyFont="0" applyFill="0" applyBorder="0" applyAlignment="0" applyProtection="0"/>
    <xf numFmtId="0" fontId="15" fillId="0" borderId="0"/>
    <xf numFmtId="43" fontId="15" fillId="0" borderId="0"/>
    <xf numFmtId="43" fontId="15" fillId="0" borderId="0"/>
    <xf numFmtId="0" fontId="15" fillId="0" borderId="0"/>
    <xf numFmtId="43" fontId="15" fillId="0" borderId="0"/>
    <xf numFmtId="43" fontId="15" fillId="0" borderId="0"/>
    <xf numFmtId="0" fontId="15" fillId="0" borderId="0"/>
    <xf numFmtId="43" fontId="15" fillId="0" borderId="0"/>
    <xf numFmtId="0" fontId="14" fillId="0" borderId="0"/>
    <xf numFmtId="0" fontId="14" fillId="0" borderId="0"/>
    <xf numFmtId="188" fontId="20" fillId="0" borderId="0" applyFont="0" applyFill="0" applyBorder="0" applyAlignment="0" applyProtection="0"/>
    <xf numFmtId="0" fontId="13" fillId="48" borderId="0" applyNumberFormat="0" applyBorder="0" applyAlignment="0" applyProtection="0"/>
    <xf numFmtId="0" fontId="13" fillId="49" borderId="0" applyNumberFormat="0" applyBorder="0" applyAlignment="0" applyProtection="0"/>
    <xf numFmtId="0" fontId="13" fillId="50" borderId="0" applyNumberFormat="0" applyBorder="0" applyAlignment="0" applyProtection="0"/>
    <xf numFmtId="0" fontId="13" fillId="51" borderId="0" applyNumberFormat="0" applyBorder="0" applyAlignment="0" applyProtection="0"/>
    <xf numFmtId="0" fontId="13" fillId="52" borderId="0" applyNumberFormat="0" applyBorder="0" applyAlignment="0" applyProtection="0"/>
    <xf numFmtId="168" fontId="20" fillId="0" borderId="0" applyFill="0" applyBorder="0" applyAlignment="0" applyProtection="0"/>
    <xf numFmtId="43" fontId="13" fillId="0" borderId="0" applyNumberFormat="0" applyFill="0" applyAlignment="0" applyProtection="0"/>
    <xf numFmtId="43" fontId="13" fillId="0" borderId="0" applyNumberFormat="0" applyFill="0" applyAlignment="0" applyProtection="0"/>
    <xf numFmtId="43" fontId="13" fillId="0" borderId="0" applyNumberFormat="0" applyFill="0" applyAlignment="0" applyProtection="0"/>
    <xf numFmtId="43" fontId="13" fillId="0" borderId="0" applyNumberFormat="0" applyFill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NumberFormat="0" applyFill="0" applyAlignment="0" applyProtection="0"/>
    <xf numFmtId="43" fontId="13" fillId="0" borderId="0" applyNumberFormat="0" applyFill="0" applyAlignment="0" applyProtection="0"/>
    <xf numFmtId="43" fontId="13" fillId="0" borderId="0" applyNumberFormat="0" applyFill="0" applyAlignment="0" applyProtection="0"/>
    <xf numFmtId="43" fontId="13" fillId="0" borderId="0" applyNumberFormat="0" applyFill="0" applyAlignment="0" applyProtection="0"/>
    <xf numFmtId="43" fontId="13" fillId="0" borderId="0" applyNumberFormat="0" applyFill="0" applyAlignment="0" applyProtection="0"/>
    <xf numFmtId="182" fontId="20" fillId="0" borderId="0" applyFill="0" applyBorder="0" applyAlignment="0" applyProtection="0"/>
    <xf numFmtId="0" fontId="13" fillId="0" borderId="0" applyNumberFormat="0" applyFill="0" applyAlignment="0" applyProtection="0"/>
    <xf numFmtId="0" fontId="13" fillId="0" borderId="0" applyNumberFormat="0" applyFill="0" applyAlignment="0" applyProtection="0"/>
    <xf numFmtId="0" fontId="13" fillId="0" borderId="0" applyNumberFormat="0" applyFill="0" applyAlignment="0" applyProtection="0"/>
    <xf numFmtId="0" fontId="13" fillId="0" borderId="0" applyNumberFormat="0" applyFill="0" applyAlignment="0" applyProtection="0"/>
    <xf numFmtId="0" fontId="13" fillId="0" borderId="0"/>
    <xf numFmtId="0" fontId="13" fillId="0" borderId="0" applyNumberFormat="0" applyFill="0" applyAlignment="0" applyProtection="0"/>
    <xf numFmtId="0" fontId="13" fillId="0" borderId="0"/>
    <xf numFmtId="0" fontId="13" fillId="0" borderId="0" applyNumberFormat="0" applyFill="0" applyAlignment="0" applyProtection="0"/>
    <xf numFmtId="0" fontId="13" fillId="0" borderId="0" applyNumberFormat="0" applyFill="0" applyAlignment="0" applyProtection="0"/>
    <xf numFmtId="0" fontId="13" fillId="0" borderId="0" applyNumberFormat="0" applyFill="0" applyAlignment="0" applyProtection="0"/>
    <xf numFmtId="0" fontId="13" fillId="0" borderId="0" applyNumberFormat="0" applyFill="0" applyAlignment="0" applyProtection="0"/>
    <xf numFmtId="0" fontId="13" fillId="0" borderId="0" applyNumberFormat="0" applyFill="0" applyAlignment="0" applyProtection="0"/>
    <xf numFmtId="0" fontId="13" fillId="56" borderId="74" applyNumberFormat="0" applyFont="0" applyAlignment="0" applyProtection="0"/>
    <xf numFmtId="9" fontId="20" fillId="0" borderId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 applyNumberFormat="0" applyFill="0" applyAlignment="0" applyProtection="0"/>
    <xf numFmtId="43" fontId="13" fillId="0" borderId="0" applyNumberFormat="0" applyFill="0" applyAlignment="0" applyProtection="0"/>
    <xf numFmtId="9" fontId="13" fillId="0" borderId="0" applyFont="0" applyFill="0" applyBorder="0" applyAlignment="0" applyProtection="0"/>
    <xf numFmtId="0" fontId="13" fillId="0" borderId="0"/>
    <xf numFmtId="43" fontId="13" fillId="0" borderId="0"/>
    <xf numFmtId="43" fontId="13" fillId="0" borderId="0"/>
    <xf numFmtId="0" fontId="13" fillId="0" borderId="0"/>
    <xf numFmtId="43" fontId="13" fillId="0" borderId="0"/>
    <xf numFmtId="43" fontId="13" fillId="0" borderId="0"/>
    <xf numFmtId="0" fontId="13" fillId="0" borderId="0"/>
    <xf numFmtId="43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30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314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321" fillId="12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" fillId="0" borderId="0">
      <alignment vertical="center"/>
    </xf>
    <xf numFmtId="9" fontId="434" fillId="0" borderId="0">
      <alignment horizontal="right"/>
    </xf>
    <xf numFmtId="249" fontId="20" fillId="0" borderId="0"/>
    <xf numFmtId="0" fontId="20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20" fillId="0" borderId="0"/>
    <xf numFmtId="37" fontId="418" fillId="0" borderId="0"/>
    <xf numFmtId="165" fontId="20" fillId="0" borderId="0"/>
    <xf numFmtId="0" fontId="372" fillId="0" borderId="0"/>
    <xf numFmtId="0" fontId="85" fillId="0" borderId="0"/>
    <xf numFmtId="0" fontId="20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73" fillId="0" borderId="0"/>
    <xf numFmtId="0" fontId="20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Font="0" applyFill="0" applyBorder="0" applyAlignment="0" applyProtection="0"/>
    <xf numFmtId="0" fontId="374" fillId="0" borderId="0"/>
    <xf numFmtId="0" fontId="375" fillId="0" borderId="0"/>
    <xf numFmtId="0" fontId="374" fillId="0" borderId="0"/>
    <xf numFmtId="0" fontId="374" fillId="0" borderId="0"/>
    <xf numFmtId="0" fontId="374" fillId="0" borderId="0"/>
    <xf numFmtId="0" fontId="375" fillId="0" borderId="0"/>
    <xf numFmtId="0" fontId="375" fillId="0" borderId="0"/>
    <xf numFmtId="0" fontId="375" fillId="0" borderId="0"/>
    <xf numFmtId="0" fontId="375" fillId="0" borderId="0"/>
    <xf numFmtId="0" fontId="375" fillId="0" borderId="0"/>
    <xf numFmtId="0" fontId="374" fillId="0" borderId="0"/>
    <xf numFmtId="0" fontId="374" fillId="0" borderId="0"/>
    <xf numFmtId="0" fontId="374" fillId="0" borderId="0"/>
    <xf numFmtId="0" fontId="374" fillId="0" borderId="0"/>
    <xf numFmtId="0" fontId="374" fillId="0" borderId="0"/>
    <xf numFmtId="0" fontId="374" fillId="0" borderId="0"/>
    <xf numFmtId="0" fontId="20" fillId="0" borderId="0"/>
    <xf numFmtId="0" fontId="376" fillId="0" borderId="0"/>
    <xf numFmtId="0" fontId="376" fillId="0" borderId="0"/>
    <xf numFmtId="0" fontId="376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76" fillId="0" borderId="0"/>
    <xf numFmtId="0" fontId="376" fillId="0" borderId="0"/>
    <xf numFmtId="0" fontId="376" fillId="0" borderId="0"/>
    <xf numFmtId="0" fontId="376" fillId="0" borderId="0"/>
    <xf numFmtId="0" fontId="376" fillId="0" borderId="0"/>
    <xf numFmtId="0" fontId="376" fillId="0" borderId="0"/>
    <xf numFmtId="0" fontId="377" fillId="0" borderId="0"/>
    <xf numFmtId="0" fontId="377" fillId="0" borderId="0"/>
    <xf numFmtId="0" fontId="377" fillId="0" borderId="0"/>
    <xf numFmtId="0" fontId="378" fillId="0" borderId="0"/>
    <xf numFmtId="0" fontId="375" fillId="0" borderId="0"/>
    <xf numFmtId="0" fontId="375" fillId="0" borderId="0"/>
    <xf numFmtId="0" fontId="375" fillId="0" borderId="0"/>
    <xf numFmtId="0" fontId="378" fillId="0" borderId="0"/>
    <xf numFmtId="0" fontId="378" fillId="0" borderId="0"/>
    <xf numFmtId="0" fontId="378" fillId="0" borderId="0"/>
    <xf numFmtId="0" fontId="378" fillId="0" borderId="0"/>
    <xf numFmtId="0" fontId="378" fillId="0" borderId="0"/>
    <xf numFmtId="0" fontId="375" fillId="0" borderId="0"/>
    <xf numFmtId="0" fontId="375" fillId="0" borderId="0"/>
    <xf numFmtId="0" fontId="375" fillId="0" borderId="0"/>
    <xf numFmtId="0" fontId="375" fillId="0" borderId="0"/>
    <xf numFmtId="0" fontId="375" fillId="0" borderId="0"/>
    <xf numFmtId="0" fontId="375" fillId="0" borderId="0"/>
    <xf numFmtId="0" fontId="379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79" fillId="0" borderId="0"/>
    <xf numFmtId="0" fontId="379" fillId="0" borderId="0"/>
    <xf numFmtId="0" fontId="379" fillId="0" borderId="0"/>
    <xf numFmtId="0" fontId="379" fillId="0" borderId="0"/>
    <xf numFmtId="0" fontId="379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1" fillId="0" borderId="0" applyNumberForma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82" fillId="0" borderId="0"/>
    <xf numFmtId="0" fontId="378" fillId="0" borderId="0"/>
    <xf numFmtId="0" fontId="378" fillId="0" borderId="0"/>
    <xf numFmtId="0" fontId="378" fillId="0" borderId="0"/>
    <xf numFmtId="0" fontId="382" fillId="0" borderId="0"/>
    <xf numFmtId="0" fontId="382" fillId="0" borderId="0"/>
    <xf numFmtId="0" fontId="382" fillId="0" borderId="0"/>
    <xf numFmtId="0" fontId="382" fillId="0" borderId="0"/>
    <xf numFmtId="0" fontId="382" fillId="0" borderId="0"/>
    <xf numFmtId="0" fontId="378" fillId="0" borderId="0"/>
    <xf numFmtId="0" fontId="378" fillId="0" borderId="0"/>
    <xf numFmtId="0" fontId="378" fillId="0" borderId="0"/>
    <xf numFmtId="0" fontId="378" fillId="0" borderId="0"/>
    <xf numFmtId="0" fontId="378" fillId="0" borderId="0"/>
    <xf numFmtId="0" fontId="378" fillId="0" borderId="0"/>
    <xf numFmtId="0" fontId="380" fillId="0" borderId="0"/>
    <xf numFmtId="0" fontId="379" fillId="0" borderId="0"/>
    <xf numFmtId="0" fontId="379" fillId="0" borderId="0"/>
    <xf numFmtId="0" fontId="379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79" fillId="0" borderId="0"/>
    <xf numFmtId="0" fontId="379" fillId="0" borderId="0"/>
    <xf numFmtId="0" fontId="379" fillId="0" borderId="0"/>
    <xf numFmtId="0" fontId="379" fillId="0" borderId="0"/>
    <xf numFmtId="0" fontId="379" fillId="0" borderId="0"/>
    <xf numFmtId="0" fontId="379" fillId="0" borderId="0"/>
    <xf numFmtId="0" fontId="376" fillId="0" borderId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76" fillId="0" borderId="0"/>
    <xf numFmtId="0" fontId="376" fillId="0" borderId="0"/>
    <xf numFmtId="0" fontId="376" fillId="0" borderId="0"/>
    <xf numFmtId="0" fontId="376" fillId="0" borderId="0"/>
    <xf numFmtId="0" fontId="376" fillId="0" borderId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77" fillId="0" borderId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77" fillId="0" borderId="0"/>
    <xf numFmtId="0" fontId="377" fillId="0" borderId="0"/>
    <xf numFmtId="0" fontId="377" fillId="0" borderId="0"/>
    <xf numFmtId="0" fontId="377" fillId="0" borderId="0"/>
    <xf numFmtId="0" fontId="377" fillId="0" borderId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74" fillId="0" borderId="0"/>
    <xf numFmtId="0" fontId="374" fillId="0" borderId="0"/>
    <xf numFmtId="0" fontId="374" fillId="0" borderId="0"/>
    <xf numFmtId="0" fontId="374" fillId="0" borderId="0"/>
    <xf numFmtId="0" fontId="374" fillId="0" borderId="0"/>
    <xf numFmtId="0" fontId="377" fillId="0" borderId="0"/>
    <xf numFmtId="0" fontId="377" fillId="0" borderId="0"/>
    <xf numFmtId="0" fontId="377" fillId="0" borderId="0"/>
    <xf numFmtId="0" fontId="377" fillId="0" borderId="0"/>
    <xf numFmtId="0" fontId="377" fillId="0" borderId="0"/>
    <xf numFmtId="0" fontId="377" fillId="0" borderId="0"/>
    <xf numFmtId="0" fontId="374" fillId="0" borderId="0"/>
    <xf numFmtId="0" fontId="375" fillId="0" borderId="0"/>
    <xf numFmtId="0" fontId="375" fillId="0" borderId="0"/>
    <xf numFmtId="0" fontId="37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78" fillId="0" borderId="0"/>
    <xf numFmtId="0" fontId="378" fillId="0" borderId="0"/>
    <xf numFmtId="0" fontId="378" fillId="0" borderId="0"/>
    <xf numFmtId="0" fontId="379" fillId="0" borderId="0"/>
    <xf numFmtId="0" fontId="379" fillId="0" borderId="0"/>
    <xf numFmtId="0" fontId="379" fillId="0" borderId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82" fillId="0" borderId="0"/>
    <xf numFmtId="0" fontId="382" fillId="0" borderId="0"/>
    <xf numFmtId="0" fontId="382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76" fillId="0" borderId="0"/>
    <xf numFmtId="0" fontId="376" fillId="0" borderId="0"/>
    <xf numFmtId="0" fontId="376" fillId="0" borderId="0"/>
    <xf numFmtId="0" fontId="377" fillId="0" borderId="0"/>
    <xf numFmtId="0" fontId="377" fillId="0" borderId="0"/>
    <xf numFmtId="0" fontId="377" fillId="0" borderId="0"/>
    <xf numFmtId="0" fontId="374" fillId="0" borderId="0"/>
    <xf numFmtId="0" fontId="374" fillId="0" borderId="0"/>
    <xf numFmtId="0" fontId="377" fillId="0" borderId="0"/>
    <xf numFmtId="0" fontId="374" fillId="0" borderId="0"/>
    <xf numFmtId="0" fontId="374" fillId="0" borderId="0"/>
    <xf numFmtId="0" fontId="374" fillId="0" borderId="0"/>
    <xf numFmtId="0" fontId="376" fillId="0" borderId="0"/>
    <xf numFmtId="0" fontId="376" fillId="0" borderId="0"/>
    <xf numFmtId="0" fontId="376" fillId="0" borderId="0"/>
    <xf numFmtId="0" fontId="375" fillId="0" borderId="0"/>
    <xf numFmtId="0" fontId="375" fillId="0" borderId="0"/>
    <xf numFmtId="0" fontId="375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82" fillId="0" borderId="0"/>
    <xf numFmtId="0" fontId="382" fillId="0" borderId="0"/>
    <xf numFmtId="0" fontId="382" fillId="0" borderId="0"/>
    <xf numFmtId="0" fontId="378" fillId="0" borderId="0"/>
    <xf numFmtId="0" fontId="378" fillId="0" borderId="0"/>
    <xf numFmtId="0" fontId="378" fillId="0" borderId="0"/>
    <xf numFmtId="0" fontId="379" fillId="0" borderId="0"/>
    <xf numFmtId="0" fontId="379" fillId="0" borderId="0"/>
    <xf numFmtId="0" fontId="379" fillId="0" borderId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77" fillId="0" borderId="0"/>
    <xf numFmtId="0" fontId="377" fillId="0" borderId="0"/>
    <xf numFmtId="0" fontId="378" fillId="0" borderId="0"/>
    <xf numFmtId="0" fontId="382" fillId="0" borderId="0"/>
    <xf numFmtId="0" fontId="382" fillId="0" borderId="0"/>
    <xf numFmtId="0" fontId="382" fillId="0" borderId="0"/>
    <xf numFmtId="0" fontId="377" fillId="0" borderId="0"/>
    <xf numFmtId="0" fontId="377" fillId="0" borderId="0"/>
    <xf numFmtId="0" fontId="37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74" fillId="0" borderId="0"/>
    <xf numFmtId="0" fontId="374" fillId="0" borderId="0"/>
    <xf numFmtId="0" fontId="374" fillId="0" borderId="0"/>
    <xf numFmtId="0" fontId="379" fillId="0" borderId="0"/>
    <xf numFmtId="0" fontId="379" fillId="0" borderId="0"/>
    <xf numFmtId="0" fontId="379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76" fillId="0" borderId="0"/>
    <xf numFmtId="0" fontId="376" fillId="0" borderId="0"/>
    <xf numFmtId="0" fontId="376" fillId="0" borderId="0"/>
    <xf numFmtId="0" fontId="375" fillId="0" borderId="0"/>
    <xf numFmtId="0" fontId="375" fillId="0" borderId="0"/>
    <xf numFmtId="0" fontId="375" fillId="0" borderId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78" fillId="0" borderId="0"/>
    <xf numFmtId="0" fontId="378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0" fontId="20" fillId="0" borderId="0" applyFont="0" applyFill="0" applyBorder="0" applyAlignment="0" applyProtection="0"/>
    <xf numFmtId="0" fontId="20" fillId="0" borderId="0">
      <alignment horizontal="left" wrapText="1"/>
    </xf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419" fillId="0" borderId="0">
      <alignment vertical="center"/>
    </xf>
    <xf numFmtId="0" fontId="89" fillId="0" borderId="0" applyNumberFormat="0" applyFill="0" applyBorder="0" applyAlignment="0" applyProtection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123" fillId="153" borderId="0"/>
    <xf numFmtId="0" fontId="383" fillId="154" borderId="0"/>
    <xf numFmtId="0" fontId="384" fillId="155" borderId="0"/>
    <xf numFmtId="0" fontId="385" fillId="0" borderId="0"/>
    <xf numFmtId="0" fontId="340" fillId="0" borderId="0"/>
    <xf numFmtId="0" fontId="340" fillId="0" borderId="0"/>
    <xf numFmtId="0" fontId="340" fillId="0" borderId="0"/>
    <xf numFmtId="0" fontId="24" fillId="0" borderId="0"/>
    <xf numFmtId="0" fontId="20" fillId="0" borderId="0" applyNumberFormat="0" applyFill="0" applyBorder="0" applyAlignment="0" applyProtection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4" fontId="20" fillId="156" borderId="0"/>
    <xf numFmtId="0" fontId="20" fillId="0" borderId="0"/>
    <xf numFmtId="0" fontId="419" fillId="0" borderId="0">
      <alignment vertical="center"/>
    </xf>
    <xf numFmtId="0" fontId="20" fillId="0" borderId="0" applyNumberFormat="0" applyFill="0" applyBorder="0" applyAlignment="0" applyProtection="0"/>
    <xf numFmtId="0" fontId="420" fillId="0" borderId="0">
      <alignment vertical="top"/>
    </xf>
    <xf numFmtId="0" fontId="420" fillId="0" borderId="0">
      <alignment vertical="top"/>
    </xf>
    <xf numFmtId="0" fontId="420" fillId="0" borderId="0">
      <alignment vertical="top"/>
    </xf>
    <xf numFmtId="0" fontId="420" fillId="0" borderId="0">
      <alignment vertical="top"/>
    </xf>
    <xf numFmtId="0" fontId="420" fillId="0" borderId="0">
      <alignment vertical="top"/>
    </xf>
    <xf numFmtId="0" fontId="420" fillId="0" borderId="0">
      <alignment vertical="top"/>
    </xf>
    <xf numFmtId="0" fontId="420" fillId="0" borderId="0">
      <alignment vertical="top"/>
    </xf>
    <xf numFmtId="0" fontId="420" fillId="0" borderId="0">
      <alignment vertical="top"/>
    </xf>
    <xf numFmtId="0" fontId="420" fillId="0" borderId="0">
      <alignment vertical="top"/>
    </xf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380" fillId="0" borderId="0"/>
    <xf numFmtId="0" fontId="379" fillId="0" borderId="0"/>
    <xf numFmtId="0" fontId="379" fillId="0" borderId="0"/>
    <xf numFmtId="0" fontId="379" fillId="0" borderId="0"/>
    <xf numFmtId="0" fontId="378" fillId="0" borderId="0"/>
    <xf numFmtId="0" fontId="378" fillId="0" borderId="0"/>
    <xf numFmtId="0" fontId="378" fillId="0" borderId="0"/>
    <xf numFmtId="0" fontId="376" fillId="0" borderId="0"/>
    <xf numFmtId="0" fontId="376" fillId="0" borderId="0"/>
    <xf numFmtId="0" fontId="376" fillId="0" borderId="0"/>
    <xf numFmtId="0" fontId="374" fillId="0" borderId="0"/>
    <xf numFmtId="0" fontId="374" fillId="0" borderId="0"/>
    <xf numFmtId="0" fontId="374" fillId="0" borderId="0"/>
    <xf numFmtId="0" fontId="382" fillId="0" borderId="0"/>
    <xf numFmtId="0" fontId="382" fillId="0" borderId="0"/>
    <xf numFmtId="0" fontId="382" fillId="0" borderId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77" fillId="0" borderId="0"/>
    <xf numFmtId="0" fontId="377" fillId="0" borderId="0"/>
    <xf numFmtId="0" fontId="377" fillId="0" borderId="0"/>
    <xf numFmtId="0" fontId="375" fillId="0" borderId="0"/>
    <xf numFmtId="0" fontId="375" fillId="0" borderId="0"/>
    <xf numFmtId="0" fontId="375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249" fontId="20" fillId="0" borderId="0"/>
    <xf numFmtId="249" fontId="20" fillId="0" borderId="0"/>
    <xf numFmtId="249" fontId="20" fillId="0" borderId="0"/>
    <xf numFmtId="249" fontId="20" fillId="0" borderId="0"/>
    <xf numFmtId="249" fontId="20" fillId="0" borderId="0"/>
    <xf numFmtId="249" fontId="20" fillId="0" borderId="0"/>
    <xf numFmtId="0" fontId="20" fillId="0" borderId="0" applyFont="0" applyFill="0" applyBorder="0" applyAlignment="0" applyProtection="0"/>
    <xf numFmtId="0" fontId="379" fillId="0" borderId="0"/>
    <xf numFmtId="0" fontId="376" fillId="0" borderId="0"/>
    <xf numFmtId="0" fontId="376" fillId="0" borderId="0"/>
    <xf numFmtId="0" fontId="376" fillId="0" borderId="0"/>
    <xf numFmtId="0" fontId="382" fillId="0" borderId="0"/>
    <xf numFmtId="0" fontId="382" fillId="0" borderId="0"/>
    <xf numFmtId="0" fontId="38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75" fillId="0" borderId="0"/>
    <xf numFmtId="0" fontId="375" fillId="0" borderId="0"/>
    <xf numFmtId="0" fontId="375" fillId="0" borderId="0"/>
    <xf numFmtId="0" fontId="377" fillId="0" borderId="0"/>
    <xf numFmtId="0" fontId="377" fillId="0" borderId="0"/>
    <xf numFmtId="0" fontId="377" fillId="0" borderId="0"/>
    <xf numFmtId="0" fontId="374" fillId="0" borderId="0"/>
    <xf numFmtId="0" fontId="374" fillId="0" borderId="0"/>
    <xf numFmtId="0" fontId="374" fillId="0" borderId="0"/>
    <xf numFmtId="0" fontId="378" fillId="0" borderId="0"/>
    <xf numFmtId="0" fontId="378" fillId="0" borderId="0"/>
    <xf numFmtId="0" fontId="378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79" fillId="0" borderId="0"/>
    <xf numFmtId="0" fontId="379" fillId="0" borderId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20" fillId="0" borderId="0" applyFont="0" applyFill="0" applyBorder="0" applyAlignment="0" applyProtection="0"/>
    <xf numFmtId="0" fontId="89" fillId="0" borderId="0" applyNumberForma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121" fillId="157" borderId="0"/>
    <xf numFmtId="0" fontId="20" fillId="0" borderId="0" applyFont="0" applyFill="0" applyBorder="0" applyAlignment="0" applyProtection="0"/>
    <xf numFmtId="0" fontId="20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19" fillId="0" borderId="0">
      <alignment vertical="center"/>
    </xf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/>
    <xf numFmtId="0" fontId="20" fillId="0" borderId="0" applyFont="0" applyFill="0" applyBorder="0" applyAlignment="0" applyProtection="0"/>
    <xf numFmtId="0" fontId="20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Font="0" applyFill="0" applyBorder="0" applyAlignment="0" applyProtection="0"/>
    <xf numFmtId="0" fontId="378" fillId="0" borderId="0"/>
    <xf numFmtId="0" fontId="378" fillId="0" borderId="0"/>
    <xf numFmtId="0" fontId="20" fillId="0" borderId="0" applyFont="0" applyFill="0" applyBorder="0" applyAlignment="0" applyProtection="0"/>
    <xf numFmtId="0" fontId="20" fillId="0" borderId="0"/>
    <xf numFmtId="0" fontId="419" fillId="0" borderId="0">
      <alignment vertical="center"/>
    </xf>
    <xf numFmtId="0" fontId="420" fillId="0" borderId="0">
      <alignment vertical="top"/>
    </xf>
    <xf numFmtId="0" fontId="20" fillId="0" borderId="0" applyNumberFormat="0" applyFill="0" applyBorder="0" applyAlignment="0" applyProtection="0"/>
    <xf numFmtId="0" fontId="420" fillId="0" borderId="0">
      <alignment vertical="top"/>
    </xf>
    <xf numFmtId="0" fontId="420" fillId="0" borderId="0">
      <alignment vertical="top"/>
    </xf>
    <xf numFmtId="0" fontId="420" fillId="0" borderId="0">
      <alignment vertical="top"/>
    </xf>
    <xf numFmtId="0" fontId="420" fillId="0" borderId="0">
      <alignment vertical="top"/>
    </xf>
    <xf numFmtId="0" fontId="420" fillId="0" borderId="0">
      <alignment vertical="top"/>
    </xf>
    <xf numFmtId="0" fontId="420" fillId="0" borderId="0">
      <alignment vertical="top"/>
    </xf>
    <xf numFmtId="0" fontId="420" fillId="0" borderId="0">
      <alignment vertical="top"/>
    </xf>
    <xf numFmtId="0" fontId="420" fillId="0" borderId="0">
      <alignment vertical="top"/>
    </xf>
    <xf numFmtId="0" fontId="378" fillId="0" borderId="0"/>
    <xf numFmtId="0" fontId="378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19" fillId="0" borderId="0">
      <alignment vertical="center"/>
    </xf>
    <xf numFmtId="0" fontId="20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378" fillId="0" borderId="0"/>
    <xf numFmtId="0" fontId="378" fillId="0" borderId="0"/>
    <xf numFmtId="0" fontId="420" fillId="0" borderId="0">
      <alignment vertical="top"/>
    </xf>
    <xf numFmtId="0" fontId="420" fillId="0" borderId="0">
      <alignment vertical="top"/>
    </xf>
    <xf numFmtId="0" fontId="420" fillId="0" borderId="0">
      <alignment vertical="top"/>
    </xf>
    <xf numFmtId="0" fontId="420" fillId="0" borderId="0">
      <alignment vertical="top"/>
    </xf>
    <xf numFmtId="0" fontId="420" fillId="0" borderId="0">
      <alignment vertical="top"/>
    </xf>
    <xf numFmtId="0" fontId="420" fillId="0" borderId="0">
      <alignment vertical="top"/>
    </xf>
    <xf numFmtId="0" fontId="420" fillId="0" borderId="0">
      <alignment vertical="top"/>
    </xf>
    <xf numFmtId="0" fontId="420" fillId="0" borderId="0">
      <alignment vertical="top"/>
    </xf>
    <xf numFmtId="0" fontId="420" fillId="0" borderId="0">
      <alignment vertical="top"/>
    </xf>
    <xf numFmtId="3" fontId="27" fillId="0" borderId="0"/>
    <xf numFmtId="0" fontId="20" fillId="0" borderId="0" applyNumberFormat="0" applyFill="0" applyBorder="0" applyAlignment="0" applyProtection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123" fillId="153" borderId="0"/>
    <xf numFmtId="0" fontId="383" fillId="154" borderId="0"/>
    <xf numFmtId="0" fontId="384" fillId="155" borderId="0"/>
    <xf numFmtId="0" fontId="385" fillId="0" borderId="0"/>
    <xf numFmtId="0" fontId="340" fillId="0" borderId="0"/>
    <xf numFmtId="0" fontId="340" fillId="0" borderId="0"/>
    <xf numFmtId="0" fontId="340" fillId="0" borderId="0"/>
    <xf numFmtId="0" fontId="24" fillId="0" borderId="0"/>
    <xf numFmtId="0" fontId="20" fillId="0" borderId="0" applyFont="0" applyFill="0" applyBorder="0" applyAlignment="0" applyProtection="0"/>
    <xf numFmtId="0" fontId="20" fillId="0" borderId="0"/>
    <xf numFmtId="0" fontId="20" fillId="0" borderId="0" applyNumberFormat="0" applyFill="0" applyBorder="0" applyAlignment="0" applyProtection="0"/>
    <xf numFmtId="0" fontId="378" fillId="0" borderId="0"/>
    <xf numFmtId="0" fontId="378" fillId="0" borderId="0"/>
    <xf numFmtId="0" fontId="378" fillId="0" borderId="0"/>
    <xf numFmtId="0" fontId="378" fillId="0" borderId="0"/>
    <xf numFmtId="0" fontId="378" fillId="0" borderId="0"/>
    <xf numFmtId="0" fontId="20" fillId="0" borderId="0" applyNumberFormat="0" applyFill="0" applyBorder="0" applyAlignment="0" applyProtection="0"/>
    <xf numFmtId="0" fontId="20" fillId="0" borderId="0" applyFont="0" applyFill="0" applyBorder="0" applyAlignment="0" applyProtection="0"/>
    <xf numFmtId="0" fontId="378" fillId="0" borderId="0"/>
    <xf numFmtId="0" fontId="378" fillId="0" borderId="0"/>
    <xf numFmtId="0" fontId="20" fillId="0" borderId="0" applyFont="0" applyFill="0" applyBorder="0" applyAlignment="0" applyProtection="0"/>
    <xf numFmtId="0" fontId="378" fillId="0" borderId="0"/>
    <xf numFmtId="0" fontId="378" fillId="0" borderId="0"/>
    <xf numFmtId="0" fontId="20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378" fillId="0" borderId="0"/>
    <xf numFmtId="0" fontId="378" fillId="0" borderId="0"/>
    <xf numFmtId="0" fontId="20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Font="0" applyFill="0" applyBorder="0" applyAlignment="0" applyProtection="0"/>
    <xf numFmtId="0" fontId="378" fillId="0" borderId="0"/>
    <xf numFmtId="0" fontId="20" fillId="0" borderId="0"/>
    <xf numFmtId="0" fontId="378" fillId="0" borderId="0"/>
    <xf numFmtId="0" fontId="378" fillId="0" borderId="0"/>
    <xf numFmtId="0" fontId="378" fillId="0" borderId="0"/>
    <xf numFmtId="0" fontId="378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0" fontId="20" fillId="0" borderId="0" applyFont="0" applyFill="0" applyBorder="0" applyAlignment="0" applyProtection="0"/>
    <xf numFmtId="0" fontId="20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3" fontId="27" fillId="0" borderId="0"/>
    <xf numFmtId="0" fontId="20" fillId="0" borderId="0" applyNumberFormat="0" applyFill="0" applyBorder="0" applyAlignment="0" applyProtection="0"/>
    <xf numFmtId="249" fontId="20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382" fillId="0" borderId="0"/>
    <xf numFmtId="0" fontId="377" fillId="0" borderId="0"/>
    <xf numFmtId="0" fontId="377" fillId="0" borderId="0"/>
    <xf numFmtId="0" fontId="37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74" fillId="0" borderId="0"/>
    <xf numFmtId="0" fontId="374" fillId="0" borderId="0"/>
    <xf numFmtId="0" fontId="374" fillId="0" borderId="0"/>
    <xf numFmtId="0" fontId="379" fillId="0" borderId="0"/>
    <xf numFmtId="0" fontId="379" fillId="0" borderId="0"/>
    <xf numFmtId="0" fontId="379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76" fillId="0" borderId="0"/>
    <xf numFmtId="0" fontId="376" fillId="0" borderId="0"/>
    <xf numFmtId="0" fontId="376" fillId="0" borderId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75" fillId="0" borderId="0"/>
    <xf numFmtId="0" fontId="375" fillId="0" borderId="0"/>
    <xf numFmtId="0" fontId="375" fillId="0" borderId="0"/>
    <xf numFmtId="0" fontId="382" fillId="0" borderId="0"/>
    <xf numFmtId="0" fontId="382" fillId="0" borderId="0"/>
    <xf numFmtId="0" fontId="378" fillId="0" borderId="0"/>
    <xf numFmtId="0" fontId="378" fillId="0" borderId="0"/>
    <xf numFmtId="0" fontId="378" fillId="0" borderId="0"/>
    <xf numFmtId="0" fontId="380" fillId="0" borderId="0"/>
    <xf numFmtId="0" fontId="379" fillId="0" borderId="0"/>
    <xf numFmtId="0" fontId="379" fillId="0" borderId="0"/>
    <xf numFmtId="0" fontId="379" fillId="0" borderId="0"/>
    <xf numFmtId="0" fontId="376" fillId="0" borderId="0"/>
    <xf numFmtId="0" fontId="376" fillId="0" borderId="0"/>
    <xf numFmtId="0" fontId="376" fillId="0" borderId="0"/>
    <xf numFmtId="0" fontId="374" fillId="0" borderId="0"/>
    <xf numFmtId="0" fontId="374" fillId="0" borderId="0"/>
    <xf numFmtId="0" fontId="374" fillId="0" borderId="0"/>
    <xf numFmtId="0" fontId="382" fillId="0" borderId="0"/>
    <xf numFmtId="0" fontId="382" fillId="0" borderId="0"/>
    <xf numFmtId="0" fontId="382" fillId="0" borderId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77" fillId="0" borderId="0"/>
    <xf numFmtId="0" fontId="377" fillId="0" borderId="0"/>
    <xf numFmtId="0" fontId="377" fillId="0" borderId="0"/>
    <xf numFmtId="0" fontId="375" fillId="0" borderId="0"/>
    <xf numFmtId="0" fontId="375" fillId="0" borderId="0"/>
    <xf numFmtId="0" fontId="375" fillId="0" borderId="0"/>
    <xf numFmtId="0" fontId="379" fillId="0" borderId="0"/>
    <xf numFmtId="0" fontId="379" fillId="0" borderId="0"/>
    <xf numFmtId="0" fontId="379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78" fillId="0" borderId="0"/>
    <xf numFmtId="0" fontId="20" fillId="0" borderId="0" applyNumberFormat="0" applyFill="0" applyBorder="0" applyAlignment="0" applyProtection="0"/>
    <xf numFmtId="0" fontId="20" fillId="0" borderId="0">
      <alignment horizontal="left" wrapText="1"/>
    </xf>
    <xf numFmtId="0" fontId="382" fillId="0" borderId="0"/>
    <xf numFmtId="0" fontId="374" fillId="0" borderId="0"/>
    <xf numFmtId="0" fontId="374" fillId="0" borderId="0"/>
    <xf numFmtId="0" fontId="374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75" fillId="0" borderId="0"/>
    <xf numFmtId="0" fontId="375" fillId="0" borderId="0"/>
    <xf numFmtId="0" fontId="375" fillId="0" borderId="0"/>
    <xf numFmtId="0" fontId="376" fillId="0" borderId="0"/>
    <xf numFmtId="0" fontId="376" fillId="0" borderId="0"/>
    <xf numFmtId="0" fontId="376" fillId="0" borderId="0"/>
    <xf numFmtId="0" fontId="379" fillId="0" borderId="0"/>
    <xf numFmtId="0" fontId="379" fillId="0" borderId="0"/>
    <xf numFmtId="0" fontId="37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77" fillId="0" borderId="0"/>
    <xf numFmtId="0" fontId="377" fillId="0" borderId="0"/>
    <xf numFmtId="0" fontId="377" fillId="0" borderId="0"/>
    <xf numFmtId="0" fontId="382" fillId="0" borderId="0"/>
    <xf numFmtId="0" fontId="38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376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82" fillId="0" borderId="0"/>
    <xf numFmtId="0" fontId="382" fillId="0" borderId="0"/>
    <xf numFmtId="0" fontId="382" fillId="0" borderId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74" fillId="0" borderId="0"/>
    <xf numFmtId="0" fontId="374" fillId="0" borderId="0"/>
    <xf numFmtId="0" fontId="374" fillId="0" borderId="0"/>
    <xf numFmtId="0" fontId="377" fillId="0" borderId="0"/>
    <xf numFmtId="0" fontId="377" fillId="0" borderId="0"/>
    <xf numFmtId="0" fontId="377" fillId="0" borderId="0"/>
    <xf numFmtId="0" fontId="375" fillId="0" borderId="0"/>
    <xf numFmtId="0" fontId="375" fillId="0" borderId="0"/>
    <xf numFmtId="0" fontId="375" fillId="0" borderId="0"/>
    <xf numFmtId="0" fontId="379" fillId="0" borderId="0"/>
    <xf numFmtId="0" fontId="379" fillId="0" borderId="0"/>
    <xf numFmtId="0" fontId="379" fillId="0" borderId="0"/>
    <xf numFmtId="0" fontId="378" fillId="0" borderId="0"/>
    <xf numFmtId="0" fontId="378" fillId="0" borderId="0"/>
    <xf numFmtId="0" fontId="378" fillId="0" borderId="0"/>
    <xf numFmtId="0" fontId="376" fillId="0" borderId="0"/>
    <xf numFmtId="0" fontId="376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374" fillId="0" borderId="0"/>
    <xf numFmtId="0" fontId="374" fillId="0" borderId="0"/>
    <xf numFmtId="0" fontId="374" fillId="0" borderId="0"/>
    <xf numFmtId="0" fontId="37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78" fillId="0" borderId="0"/>
    <xf numFmtId="0" fontId="378" fillId="0" borderId="0"/>
    <xf numFmtId="0" fontId="378" fillId="0" borderId="0"/>
    <xf numFmtId="0" fontId="379" fillId="0" borderId="0"/>
    <xf numFmtId="0" fontId="379" fillId="0" borderId="0"/>
    <xf numFmtId="0" fontId="379" fillId="0" borderId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82" fillId="0" borderId="0"/>
    <xf numFmtId="0" fontId="382" fillId="0" borderId="0"/>
    <xf numFmtId="0" fontId="382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76" fillId="0" borderId="0"/>
    <xf numFmtId="0" fontId="376" fillId="0" borderId="0"/>
    <xf numFmtId="0" fontId="376" fillId="0" borderId="0"/>
    <xf numFmtId="0" fontId="377" fillId="0" borderId="0"/>
    <xf numFmtId="0" fontId="377" fillId="0" borderId="0"/>
    <xf numFmtId="0" fontId="377" fillId="0" borderId="0"/>
    <xf numFmtId="0" fontId="375" fillId="0" borderId="0"/>
    <xf numFmtId="0" fontId="375" fillId="0" borderId="0"/>
    <xf numFmtId="0" fontId="382" fillId="0" borderId="0"/>
    <xf numFmtId="0" fontId="377" fillId="0" borderId="0"/>
    <xf numFmtId="0" fontId="377" fillId="0" borderId="0"/>
    <xf numFmtId="0" fontId="37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74" fillId="0" borderId="0"/>
    <xf numFmtId="0" fontId="374" fillId="0" borderId="0"/>
    <xf numFmtId="0" fontId="374" fillId="0" borderId="0"/>
    <xf numFmtId="0" fontId="379" fillId="0" borderId="0"/>
    <xf numFmtId="0" fontId="379" fillId="0" borderId="0"/>
    <xf numFmtId="0" fontId="379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76" fillId="0" borderId="0"/>
    <xf numFmtId="0" fontId="376" fillId="0" borderId="0"/>
    <xf numFmtId="0" fontId="376" fillId="0" borderId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75" fillId="0" borderId="0"/>
    <xf numFmtId="0" fontId="375" fillId="0" borderId="0"/>
    <xf numFmtId="0" fontId="375" fillId="0" borderId="0"/>
    <xf numFmtId="0" fontId="382" fillId="0" borderId="0"/>
    <xf numFmtId="0" fontId="382" fillId="0" borderId="0"/>
    <xf numFmtId="0" fontId="376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82" fillId="0" borderId="0"/>
    <xf numFmtId="0" fontId="382" fillId="0" borderId="0"/>
    <xf numFmtId="0" fontId="382" fillId="0" borderId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81" fillId="0" borderId="0" applyNumberFormat="0" applyFill="0" applyBorder="0" applyAlignment="0" applyProtection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80" fillId="0" borderId="0"/>
    <xf numFmtId="0" fontId="374" fillId="0" borderId="0"/>
    <xf numFmtId="0" fontId="374" fillId="0" borderId="0"/>
    <xf numFmtId="0" fontId="374" fillId="0" borderId="0"/>
    <xf numFmtId="0" fontId="377" fillId="0" borderId="0"/>
    <xf numFmtId="0" fontId="377" fillId="0" borderId="0"/>
    <xf numFmtId="0" fontId="377" fillId="0" borderId="0"/>
    <xf numFmtId="0" fontId="375" fillId="0" borderId="0"/>
    <xf numFmtId="0" fontId="375" fillId="0" borderId="0"/>
    <xf numFmtId="0" fontId="375" fillId="0" borderId="0"/>
    <xf numFmtId="0" fontId="379" fillId="0" borderId="0"/>
    <xf numFmtId="0" fontId="379" fillId="0" borderId="0"/>
    <xf numFmtId="0" fontId="379" fillId="0" borderId="0"/>
    <xf numFmtId="0" fontId="376" fillId="0" borderId="0"/>
    <xf numFmtId="0" fontId="376" fillId="0" borderId="0"/>
    <xf numFmtId="0" fontId="20" fillId="0" borderId="0"/>
    <xf numFmtId="0" fontId="20" fillId="0" borderId="0"/>
    <xf numFmtId="0" fontId="112" fillId="0" borderId="0"/>
    <xf numFmtId="0" fontId="20" fillId="0" borderId="0"/>
    <xf numFmtId="9" fontId="421" fillId="0" borderId="0" applyFont="0" applyFill="0" applyBorder="0" applyAlignment="0" applyProtection="0"/>
    <xf numFmtId="171" fontId="421" fillId="0" borderId="0" applyFont="0" applyFill="0" applyBorder="0" applyAlignment="0" applyProtection="0"/>
    <xf numFmtId="10" fontId="421" fillId="0" borderId="0" applyFont="0" applyFill="0" applyBorder="0" applyAlignment="0" applyProtection="0"/>
    <xf numFmtId="0" fontId="79" fillId="0" borderId="0"/>
    <xf numFmtId="0" fontId="79" fillId="0" borderId="0"/>
    <xf numFmtId="177" fontId="421" fillId="0" borderId="0" applyFont="0" applyFill="0" applyBorder="0" applyAlignment="0" applyProtection="0"/>
    <xf numFmtId="3" fontId="418" fillId="0" borderId="0"/>
    <xf numFmtId="272" fontId="20" fillId="0" borderId="0" applyBorder="0"/>
    <xf numFmtId="38" fontId="85" fillId="0" borderId="135">
      <alignment vertical="center"/>
    </xf>
    <xf numFmtId="39" fontId="419" fillId="0" borderId="0" applyFont="0" applyFill="0" applyBorder="0" applyAlignment="0" applyProtection="0"/>
    <xf numFmtId="0" fontId="28" fillId="5" borderId="0" applyNumberFormat="0" applyBorder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352" fillId="5" borderId="0" applyNumberFormat="0" applyBorder="0" applyAlignment="0" applyProtection="0">
      <alignment vertical="center"/>
    </xf>
    <xf numFmtId="0" fontId="352" fillId="6" borderId="0" applyNumberFormat="0" applyBorder="0" applyAlignment="0" applyProtection="0">
      <alignment vertical="center"/>
    </xf>
    <xf numFmtId="0" fontId="352" fillId="7" borderId="0" applyNumberFormat="0" applyBorder="0" applyAlignment="0" applyProtection="0">
      <alignment vertical="center"/>
    </xf>
    <xf numFmtId="0" fontId="352" fillId="8" borderId="0" applyNumberFormat="0" applyBorder="0" applyAlignment="0" applyProtection="0">
      <alignment vertical="center"/>
    </xf>
    <xf numFmtId="0" fontId="352" fillId="9" borderId="0" applyNumberFormat="0" applyBorder="0" applyAlignment="0" applyProtection="0">
      <alignment vertical="center"/>
    </xf>
    <xf numFmtId="0" fontId="352" fillId="10" borderId="0" applyNumberFormat="0" applyBorder="0" applyAlignment="0" applyProtection="0">
      <alignment vertical="center"/>
    </xf>
    <xf numFmtId="197" fontId="419" fillId="0" borderId="0" applyFont="0" applyFill="0" applyBorder="0" applyAlignment="0" applyProtection="0"/>
    <xf numFmtId="0" fontId="20" fillId="158" borderId="136" applyNumberFormat="0" applyFont="0" applyBorder="0" applyAlignment="0" applyProtection="0">
      <alignment horizontal="left"/>
      <protection locked="0"/>
    </xf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8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3" borderId="0" applyNumberFormat="0" applyBorder="0" applyAlignment="0" applyProtection="0">
      <alignment vertical="center"/>
    </xf>
    <xf numFmtId="0" fontId="352" fillId="8" borderId="0" applyNumberFormat="0" applyBorder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/>
    <xf numFmtId="0" fontId="29" fillId="12" borderId="0" applyNumberFormat="0" applyBorder="0" applyAlignment="0" applyProtection="0"/>
    <xf numFmtId="0" fontId="29" fillId="13" borderId="0" applyNumberFormat="0" applyBorder="0" applyAlignment="0" applyProtection="0"/>
    <xf numFmtId="0" fontId="29" fillId="16" borderId="0" applyNumberFormat="0" applyBorder="0" applyAlignment="0" applyProtection="0"/>
    <xf numFmtId="0" fontId="29" fillId="17" borderId="0" applyNumberFormat="0" applyBorder="0" applyAlignment="0" applyProtection="0"/>
    <xf numFmtId="0" fontId="29" fillId="18" borderId="0" applyNumberFormat="0" applyBorder="0" applyAlignment="0" applyProtection="0"/>
    <xf numFmtId="0" fontId="351" fillId="15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3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7" borderId="0" applyNumberFormat="0" applyBorder="0" applyAlignment="0" applyProtection="0">
      <alignment vertical="center"/>
    </xf>
    <xf numFmtId="0" fontId="351" fillId="18" borderId="0" applyNumberFormat="0" applyBorder="0" applyAlignment="0" applyProtection="0">
      <alignment vertical="center"/>
    </xf>
    <xf numFmtId="37" fontId="453" fillId="0" borderId="0">
      <alignment horizontal="center"/>
    </xf>
    <xf numFmtId="173" fontId="24" fillId="0" borderId="91" applyBorder="0">
      <alignment horizontal="right"/>
    </xf>
    <xf numFmtId="173" fontId="340" fillId="159" borderId="108" applyBorder="0">
      <alignment horizontal="right"/>
    </xf>
    <xf numFmtId="0" fontId="386" fillId="0" borderId="0" applyFont="0" applyFill="0" applyBorder="0" applyAlignment="0" applyProtection="0"/>
    <xf numFmtId="0" fontId="386" fillId="0" borderId="0" applyFont="0" applyFill="0" applyBorder="0" applyAlignment="0" applyProtection="0"/>
    <xf numFmtId="0" fontId="29" fillId="19" borderId="0" applyNumberFormat="0" applyBorder="0" applyAlignment="0" applyProtection="0"/>
    <xf numFmtId="0" fontId="29" fillId="22" borderId="0" applyNumberFormat="0" applyBorder="0" applyAlignment="0" applyProtection="0"/>
    <xf numFmtId="0" fontId="29" fillId="26" borderId="0" applyNumberFormat="0" applyBorder="0" applyAlignment="0" applyProtection="0"/>
    <xf numFmtId="0" fontId="29" fillId="16" borderId="0" applyNumberFormat="0" applyBorder="0" applyAlignment="0" applyProtection="0"/>
    <xf numFmtId="0" fontId="29" fillId="17" borderId="0" applyNumberFormat="0" applyBorder="0" applyAlignment="0" applyProtection="0"/>
    <xf numFmtId="0" fontId="29" fillId="29" borderId="0" applyNumberFormat="0" applyBorder="0" applyAlignment="0" applyProtection="0"/>
    <xf numFmtId="253" fontId="419" fillId="0" borderId="0" applyFont="0" applyFill="0" applyBorder="0" applyAlignment="0" applyProtection="0">
      <protection hidden="1"/>
    </xf>
    <xf numFmtId="173" fontId="422" fillId="39" borderId="0" applyFont="0" applyFill="0" applyBorder="0" applyAlignment="0" applyProtection="0">
      <protection hidden="1"/>
    </xf>
    <xf numFmtId="173" fontId="422" fillId="39" borderId="0" applyFont="0" applyFill="0" applyBorder="0" applyAlignment="0" applyProtection="0">
      <protection hidden="1"/>
    </xf>
    <xf numFmtId="240" fontId="422" fillId="0" borderId="0" applyFont="0" applyFill="0" applyBorder="0" applyAlignment="0" applyProtection="0">
      <protection hidden="1"/>
    </xf>
    <xf numFmtId="240" fontId="422" fillId="0" borderId="0" applyFont="0" applyFill="0" applyBorder="0" applyAlignment="0" applyProtection="0">
      <protection hidden="1"/>
    </xf>
    <xf numFmtId="254" fontId="419" fillId="2" borderId="0" applyFont="0" applyFill="0" applyBorder="0" applyAlignment="0" applyProtection="0">
      <protection locked="0"/>
    </xf>
    <xf numFmtId="0" fontId="386" fillId="0" borderId="0" applyFont="0" applyFill="0" applyBorder="0" applyAlignment="0" applyProtection="0"/>
    <xf numFmtId="0" fontId="386" fillId="0" borderId="0" applyFont="0" applyFill="0" applyBorder="0" applyAlignment="0" applyProtection="0"/>
    <xf numFmtId="39" fontId="363" fillId="0" borderId="0">
      <alignment horizontal="right" vertical="center"/>
    </xf>
    <xf numFmtId="0" fontId="361" fillId="0" borderId="0">
      <alignment horizontal="right"/>
    </xf>
    <xf numFmtId="172" fontId="131" fillId="0" borderId="0" applyNumberFormat="0" applyFill="0" applyBorder="0" applyAlignment="0" applyProtection="0"/>
    <xf numFmtId="0" fontId="30" fillId="6" borderId="0" applyNumberFormat="0" applyBorder="0" applyAlignment="0" applyProtection="0"/>
    <xf numFmtId="222" fontId="422" fillId="0" borderId="0" applyFont="0" applyFill="0" applyBorder="0" applyAlignment="0" applyProtection="0">
      <protection hidden="1"/>
    </xf>
    <xf numFmtId="222" fontId="422" fillId="0" borderId="0" applyFont="0" applyFill="0" applyBorder="0" applyAlignment="0" applyProtection="0">
      <protection hidden="1"/>
    </xf>
    <xf numFmtId="172" fontId="20" fillId="0" borderId="0" applyNumberFormat="0" applyFont="0" applyAlignment="0" applyProtection="0"/>
    <xf numFmtId="0" fontId="387" fillId="0" borderId="0" applyNumberFormat="0" applyFill="0" applyBorder="0" applyAlignment="0" applyProtection="0"/>
    <xf numFmtId="255" fontId="61" fillId="0" borderId="0"/>
    <xf numFmtId="0" fontId="454" fillId="0" borderId="0"/>
    <xf numFmtId="0" fontId="388" fillId="0" borderId="0"/>
    <xf numFmtId="0" fontId="423" fillId="0" borderId="0"/>
    <xf numFmtId="243" fontId="389" fillId="0" borderId="0" applyFill="0" applyBorder="0" applyAlignment="0"/>
    <xf numFmtId="0" fontId="31" fillId="4" borderId="137" applyNumberFormat="0" applyAlignment="0" applyProtection="0"/>
    <xf numFmtId="0" fontId="353" fillId="0" borderId="0"/>
    <xf numFmtId="1" fontId="20" fillId="0" borderId="0"/>
    <xf numFmtId="0" fontId="364" fillId="35" borderId="0" applyNumberFormat="0" applyFont="0" applyAlignment="0">
      <alignment vertical="center"/>
      <protection locked="0"/>
    </xf>
    <xf numFmtId="0" fontId="32" fillId="31" borderId="4" applyNumberFormat="0" applyAlignment="0" applyProtection="0"/>
    <xf numFmtId="0" fontId="24" fillId="0" borderId="0" applyNumberFormat="0" applyFill="0" applyBorder="0" applyAlignment="0" applyProtection="0"/>
    <xf numFmtId="0" fontId="424" fillId="160" borderId="0" applyNumberFormat="0" applyBorder="0" applyAlignment="0" applyProtection="0">
      <alignment horizontal="left"/>
      <protection locked="0"/>
    </xf>
    <xf numFmtId="0" fontId="390" fillId="0" borderId="27" applyNumberFormat="0" applyFill="0" applyBorder="0" applyAlignment="0" applyProtection="0">
      <alignment horizontal="center"/>
    </xf>
    <xf numFmtId="40" fontId="425" fillId="0" borderId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" fontId="365" fillId="0" borderId="0">
      <alignment vertical="center"/>
    </xf>
    <xf numFmtId="8" fontId="391" fillId="0" borderId="138">
      <protection locked="0"/>
    </xf>
    <xf numFmtId="256" fontId="20" fillId="0" borderId="0" applyFont="0" applyFill="0" applyBorder="0" applyAlignment="0" applyProtection="0"/>
    <xf numFmtId="244" fontId="20" fillId="0" borderId="0"/>
    <xf numFmtId="15" fontId="20" fillId="0" borderId="0" applyFont="0" applyFill="0" applyBorder="0" applyAlignment="0" applyProtection="0"/>
    <xf numFmtId="0" fontId="426" fillId="161" borderId="0" applyAlignment="0">
      <protection locked="0"/>
    </xf>
    <xf numFmtId="0" fontId="371" fillId="0" borderId="0" applyNumberFormat="0">
      <alignment horizontal="right"/>
    </xf>
    <xf numFmtId="14" fontId="361" fillId="0" borderId="0">
      <alignment horizontal="left"/>
    </xf>
    <xf numFmtId="15" fontId="427" fillId="0" borderId="18" applyFont="0" applyFill="0" applyBorder="0" applyAlignment="0" applyProtection="0">
      <alignment horizontal="center"/>
      <protection hidden="1"/>
    </xf>
    <xf numFmtId="184" fontId="20" fillId="0" borderId="0" applyFill="0" applyBorder="0" applyAlignment="0" applyProtection="0"/>
    <xf numFmtId="184" fontId="20" fillId="0" borderId="0" applyFill="0" applyBorder="0" applyAlignment="0" applyProtection="0"/>
    <xf numFmtId="279" fontId="20" fillId="0" borderId="0" applyFill="0" applyBorder="0" applyAlignment="0" applyProtection="0"/>
    <xf numFmtId="279" fontId="20" fillId="0" borderId="0" applyFill="0" applyBorder="0" applyAlignment="0" applyProtection="0"/>
    <xf numFmtId="165" fontId="20" fillId="0" borderId="0" applyFill="0" applyBorder="0" applyAlignment="0" applyProtection="0"/>
    <xf numFmtId="165" fontId="20" fillId="0" borderId="0" applyFill="0" applyBorder="0" applyAlignment="0" applyProtection="0"/>
    <xf numFmtId="184" fontId="22" fillId="0" borderId="0" applyFill="0" applyBorder="0" applyAlignment="0" applyProtection="0"/>
    <xf numFmtId="165" fontId="22" fillId="0" borderId="0" applyFill="0" applyBorder="0" applyAlignment="0" applyProtection="0"/>
    <xf numFmtId="242" fontId="20" fillId="0" borderId="0" applyFill="0" applyBorder="0" applyAlignment="0" applyProtection="0"/>
    <xf numFmtId="242" fontId="22" fillId="0" borderId="0" applyFill="0" applyBorder="0" applyAlignment="0" applyProtection="0"/>
    <xf numFmtId="15" fontId="20" fillId="0" borderId="0" applyFont="0" applyFill="0" applyBorder="0" applyProtection="0"/>
    <xf numFmtId="0" fontId="20" fillId="0" borderId="0" applyFill="0" applyBorder="0" applyProtection="0"/>
    <xf numFmtId="0" fontId="20" fillId="0" borderId="0" applyFill="0" applyBorder="0" applyProtection="0"/>
    <xf numFmtId="9" fontId="20" fillId="0" borderId="0" applyFill="0" applyBorder="0" applyAlignment="0" applyProtection="0"/>
    <xf numFmtId="171" fontId="20" fillId="0" borderId="0" applyFill="0" applyBorder="0" applyAlignment="0" applyProtection="0"/>
    <xf numFmtId="171" fontId="20" fillId="0" borderId="0" applyFill="0" applyBorder="0" applyAlignment="0" applyProtection="0"/>
    <xf numFmtId="10" fontId="20" fillId="0" borderId="0" applyFill="0" applyBorder="0" applyAlignment="0" applyProtection="0"/>
    <xf numFmtId="0" fontId="20" fillId="0" borderId="0" applyNumberFormat="0" applyFill="0" applyBorder="0" applyProtection="0">
      <alignment horizontal="right"/>
    </xf>
    <xf numFmtId="0" fontId="455" fillId="0" borderId="0" applyNumberFormat="0" applyAlignment="0">
      <alignment horizontal="left"/>
    </xf>
    <xf numFmtId="0" fontId="428" fillId="0" borderId="0" applyFont="0" applyFill="0" applyBorder="0" applyProtection="0">
      <alignment horizontal="left"/>
      <protection locked="0"/>
    </xf>
    <xf numFmtId="0" fontId="392" fillId="0" borderId="0">
      <alignment horizontal="left"/>
    </xf>
    <xf numFmtId="186" fontId="422" fillId="0" borderId="0" applyFont="0" applyFill="0" applyBorder="0" applyAlignment="0" applyProtection="0">
      <alignment horizontal="center"/>
      <protection hidden="1"/>
    </xf>
    <xf numFmtId="186" fontId="422" fillId="0" borderId="0" applyFont="0" applyFill="0" applyBorder="0" applyAlignment="0" applyProtection="0">
      <alignment horizontal="center"/>
      <protection hidden="1"/>
    </xf>
    <xf numFmtId="257" fontId="85" fillId="0" borderId="0" applyFont="0" applyFill="0" applyBorder="0" applyAlignment="0" applyProtection="0"/>
    <xf numFmtId="165" fontId="39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252" fontId="20" fillId="0" borderId="0">
      <protection locked="0"/>
    </xf>
    <xf numFmtId="252" fontId="20" fillId="0" borderId="0">
      <protection locked="0"/>
    </xf>
    <xf numFmtId="252" fontId="20" fillId="0" borderId="0">
      <protection locked="0"/>
    </xf>
    <xf numFmtId="252" fontId="20" fillId="0" borderId="0">
      <protection locked="0"/>
    </xf>
    <xf numFmtId="252" fontId="20" fillId="0" borderId="0">
      <protection locked="0"/>
    </xf>
    <xf numFmtId="252" fontId="20" fillId="0" borderId="0">
      <protection locked="0"/>
    </xf>
    <xf numFmtId="252" fontId="20" fillId="0" borderId="0">
      <protection locked="0"/>
    </xf>
    <xf numFmtId="241" fontId="422" fillId="0" borderId="18" applyFont="0" applyFill="0" applyBorder="0" applyAlignment="0" applyProtection="0">
      <alignment horizontal="right"/>
      <protection hidden="1"/>
    </xf>
    <xf numFmtId="241" fontId="422" fillId="0" borderId="18" applyFont="0" applyFill="0" applyBorder="0" applyAlignment="0" applyProtection="0">
      <alignment horizontal="right"/>
      <protection hidden="1"/>
    </xf>
    <xf numFmtId="252" fontId="20" fillId="0" borderId="0">
      <protection locked="0"/>
    </xf>
    <xf numFmtId="0" fontId="360" fillId="0" borderId="0" applyNumberFormat="0" applyFill="0" applyBorder="0" applyAlignment="0" applyProtection="0"/>
    <xf numFmtId="0" fontId="61" fillId="0" borderId="0">
      <alignment horizontal="left" indent="2"/>
    </xf>
    <xf numFmtId="0" fontId="429" fillId="0" borderId="0"/>
    <xf numFmtId="0" fontId="430" fillId="0" borderId="0"/>
    <xf numFmtId="0" fontId="430" fillId="0" borderId="0">
      <alignment horizontal="left" indent="2"/>
    </xf>
    <xf numFmtId="273" fontId="422" fillId="0" borderId="0">
      <protection hidden="1"/>
    </xf>
    <xf numFmtId="273" fontId="422" fillId="0" borderId="0">
      <protection hidden="1"/>
    </xf>
    <xf numFmtId="0" fontId="430" fillId="0" borderId="0">
      <alignment horizontal="left"/>
      <protection hidden="1"/>
    </xf>
    <xf numFmtId="273" fontId="422" fillId="0" borderId="0" applyFont="0" applyFill="0" applyBorder="0" applyAlignment="0" applyProtection="0">
      <protection hidden="1"/>
    </xf>
    <xf numFmtId="273" fontId="422" fillId="0" borderId="0" applyFont="0" applyFill="0" applyBorder="0" applyAlignment="0" applyProtection="0">
      <protection hidden="1"/>
    </xf>
    <xf numFmtId="0" fontId="34" fillId="7" borderId="0" applyNumberFormat="0" applyBorder="0" applyAlignment="0" applyProtection="0"/>
    <xf numFmtId="258" fontId="359" fillId="156" borderId="13" applyNumberFormat="0" applyFont="0" applyAlignment="0"/>
    <xf numFmtId="0" fontId="355" fillId="0" borderId="0">
      <alignment horizontal="left"/>
    </xf>
    <xf numFmtId="0" fontId="74" fillId="0" borderId="109">
      <alignment horizontal="left" vertical="center"/>
    </xf>
    <xf numFmtId="0" fontId="394" fillId="0" borderId="0">
      <alignment horizontal="center"/>
    </xf>
    <xf numFmtId="0" fontId="394" fillId="0" borderId="0">
      <alignment horizontal="center"/>
    </xf>
    <xf numFmtId="0" fontId="35" fillId="0" borderId="10" applyNumberFormat="0" applyFill="0" applyAlignment="0" applyProtection="0"/>
    <xf numFmtId="0" fontId="431" fillId="0" borderId="0" applyNumberFormat="0" applyFont="0" applyFill="0" applyAlignment="0" applyProtection="0"/>
    <xf numFmtId="0" fontId="431" fillId="0" borderId="0" applyNumberFormat="0" applyFont="0" applyFill="0" applyAlignment="0" applyProtection="0"/>
    <xf numFmtId="0" fontId="431" fillId="0" borderId="0" applyNumberFormat="0" applyFont="0" applyFill="0" applyAlignment="0" applyProtection="0"/>
    <xf numFmtId="0" fontId="431" fillId="0" borderId="0" applyNumberFormat="0" applyFont="0" applyFill="0" applyAlignment="0" applyProtection="0"/>
    <xf numFmtId="0" fontId="431" fillId="0" borderId="0" applyNumberFormat="0" applyFont="0" applyFill="0" applyAlignment="0" applyProtection="0"/>
    <xf numFmtId="0" fontId="431" fillId="0" borderId="0" applyNumberFormat="0" applyFont="0" applyFill="0" applyAlignment="0" applyProtection="0"/>
    <xf numFmtId="0" fontId="74" fillId="0" borderId="0"/>
    <xf numFmtId="0" fontId="74" fillId="0" borderId="0" applyNumberFormat="0" applyFont="0" applyFill="0" applyAlignment="0" applyProtection="0"/>
    <xf numFmtId="0" fontId="74" fillId="0" borderId="0" applyNumberFormat="0" applyFont="0" applyFill="0" applyAlignment="0" applyProtection="0"/>
    <xf numFmtId="0" fontId="74" fillId="0" borderId="0" applyNumberFormat="0" applyFont="0" applyFill="0" applyAlignment="0" applyProtection="0"/>
    <xf numFmtId="0" fontId="74" fillId="0" borderId="0" applyNumberFormat="0" applyFont="0" applyFill="0" applyAlignment="0" applyProtection="0"/>
    <xf numFmtId="0" fontId="74" fillId="0" borderId="0" applyNumberFormat="0" applyFont="0" applyFill="0" applyAlignment="0" applyProtection="0"/>
    <xf numFmtId="0" fontId="74" fillId="0" borderId="0" applyNumberFormat="0" applyFont="0" applyFill="0" applyAlignment="0" applyProtection="0"/>
    <xf numFmtId="0" fontId="22" fillId="0" borderId="0"/>
    <xf numFmtId="0" fontId="37" fillId="0" borderId="0" applyNumberFormat="0" applyFill="0" applyBorder="0" applyAlignment="0" applyProtection="0"/>
    <xf numFmtId="252" fontId="20" fillId="0" borderId="0">
      <protection locked="0"/>
    </xf>
    <xf numFmtId="252" fontId="20" fillId="0" borderId="0">
      <protection locked="0"/>
    </xf>
    <xf numFmtId="0" fontId="395" fillId="162" borderId="0" applyFont="0" applyAlignment="0">
      <alignment horizontal="left"/>
    </xf>
    <xf numFmtId="173" fontId="432" fillId="0" borderId="0" applyNumberFormat="0" applyFont="0" applyFill="0" applyBorder="0" applyAlignment="0">
      <alignment horizontal="left"/>
    </xf>
    <xf numFmtId="0" fontId="20" fillId="0" borderId="0">
      <alignment horizontal="left" indent="2"/>
    </xf>
    <xf numFmtId="0" fontId="396" fillId="0" borderId="0" applyNumberFormat="0" applyFill="0" applyBorder="0" applyAlignment="0" applyProtection="0"/>
    <xf numFmtId="0" fontId="397" fillId="0" borderId="0" applyNumberFormat="0" applyFill="0" applyBorder="0" applyAlignment="0" applyProtection="0"/>
    <xf numFmtId="251" fontId="433" fillId="0" borderId="0"/>
    <xf numFmtId="259" fontId="24" fillId="47" borderId="0" applyBorder="0">
      <protection locked="0"/>
    </xf>
    <xf numFmtId="260" fontId="434" fillId="47" borderId="0">
      <alignment horizontal="left"/>
      <protection locked="0"/>
    </xf>
    <xf numFmtId="0" fontId="434" fillId="47" borderId="0" applyBorder="0">
      <alignment horizontal="left"/>
      <protection locked="0"/>
    </xf>
    <xf numFmtId="10" fontId="434" fillId="47" borderId="0">
      <alignment horizontal="left"/>
      <protection locked="0"/>
    </xf>
    <xf numFmtId="171" fontId="433" fillId="0" borderId="0"/>
    <xf numFmtId="3" fontId="20" fillId="0" borderId="44" applyBorder="0">
      <alignment textRotation="90"/>
    </xf>
    <xf numFmtId="274" fontId="422" fillId="0" borderId="0" applyFont="0" applyFill="0" applyBorder="0" applyAlignment="0" applyProtection="0">
      <protection hidden="1"/>
    </xf>
    <xf numFmtId="37" fontId="398" fillId="163" borderId="0" applyFont="0" applyFill="0" applyBorder="0" applyAlignment="0">
      <alignment horizontal="center" vertical="center"/>
    </xf>
    <xf numFmtId="0" fontId="399" fillId="0" borderId="0"/>
    <xf numFmtId="10" fontId="123" fillId="164" borderId="139" applyNumberFormat="0"/>
    <xf numFmtId="0" fontId="39" fillId="0" borderId="14" applyNumberFormat="0" applyFill="0" applyAlignment="0" applyProtection="0"/>
    <xf numFmtId="172" fontId="435" fillId="0" borderId="0" applyNumberFormat="0" applyFont="0" applyFill="0" applyBorder="0" applyAlignment="0">
      <protection hidden="1"/>
    </xf>
    <xf numFmtId="261" fontId="20" fillId="0" borderId="0" applyFont="0" applyFill="0" applyBorder="0" applyAlignment="0" applyProtection="0"/>
    <xf numFmtId="0" fontId="400" fillId="0" borderId="0" applyFont="0" applyFill="0" applyBorder="0" applyAlignment="0" applyProtection="0"/>
    <xf numFmtId="262" fontId="419" fillId="0" borderId="0" applyFont="0" applyFill="0" applyBorder="0" applyAlignment="0" applyProtection="0">
      <alignment horizontal="center"/>
      <protection hidden="1"/>
    </xf>
    <xf numFmtId="275" fontId="422" fillId="0" borderId="0" applyFont="0" applyFill="0" applyBorder="0" applyAlignment="0" applyProtection="0">
      <alignment horizontal="center"/>
      <protection hidden="1"/>
    </xf>
    <xf numFmtId="275" fontId="422" fillId="0" borderId="0" applyFont="0" applyFill="0" applyBorder="0" applyAlignment="0" applyProtection="0">
      <alignment horizontal="center"/>
      <protection hidden="1"/>
    </xf>
    <xf numFmtId="0" fontId="356" fillId="0" borderId="107"/>
    <xf numFmtId="171" fontId="422" fillId="0" borderId="140" applyFont="0" applyFill="0" applyBorder="0" applyAlignment="0" applyProtection="0">
      <alignment horizontal="center"/>
      <protection hidden="1"/>
    </xf>
    <xf numFmtId="171" fontId="422" fillId="0" borderId="140" applyFont="0" applyFill="0" applyBorder="0" applyAlignment="0" applyProtection="0">
      <alignment horizontal="center"/>
      <protection hidden="1"/>
    </xf>
    <xf numFmtId="0" fontId="417" fillId="165" borderId="0" applyNumberFormat="0" applyBorder="0" applyAlignment="0" applyProtection="0"/>
    <xf numFmtId="196" fontId="419" fillId="0" borderId="0" applyFont="0" applyFill="0" applyBorder="0" applyAlignment="0" applyProtection="0"/>
    <xf numFmtId="5" fontId="35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245" fontId="354" fillId="0" borderId="31" applyFont="0" applyFill="0" applyBorder="0" applyAlignment="0" applyProtection="0">
      <alignment horizontal="right"/>
    </xf>
    <xf numFmtId="0" fontId="61" fillId="0" borderId="31" applyFont="0" applyFill="0" applyBorder="0" applyAlignment="0" applyProtection="0">
      <alignment horizontal="right"/>
    </xf>
    <xf numFmtId="0" fontId="61" fillId="0" borderId="31" applyFont="0" applyFill="0" applyBorder="0" applyAlignment="0" applyProtection="0">
      <alignment horizontal="right"/>
    </xf>
    <xf numFmtId="0" fontId="61" fillId="0" borderId="31" applyFont="0" applyFill="0" applyBorder="0" applyAlignment="0" applyProtection="0">
      <alignment horizontal="right"/>
    </xf>
    <xf numFmtId="248" fontId="22" fillId="0" borderId="0" applyBorder="0"/>
    <xf numFmtId="0" fontId="20" fillId="37" borderId="141" applyNumberFormat="0" applyFont="0" applyAlignment="0" applyProtection="0"/>
    <xf numFmtId="0" fontId="401" fillId="0" borderId="24"/>
    <xf numFmtId="3" fontId="27" fillId="0" borderId="108" applyBorder="0"/>
    <xf numFmtId="0" fontId="24" fillId="0" borderId="0" applyNumberFormat="0" applyFill="0" applyBorder="0" applyAlignment="0" applyProtection="0"/>
    <xf numFmtId="0" fontId="359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43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0" fontId="40" fillId="4" borderId="142" applyNumberFormat="0" applyAlignment="0" applyProtection="0"/>
    <xf numFmtId="40" fontId="436" fillId="35" borderId="0">
      <alignment horizontal="right"/>
    </xf>
    <xf numFmtId="0" fontId="437" fillId="35" borderId="0">
      <alignment horizontal="right"/>
    </xf>
    <xf numFmtId="0" fontId="438" fillId="35" borderId="31"/>
    <xf numFmtId="0" fontId="438" fillId="0" borderId="0" applyBorder="0">
      <alignment horizontal="centerContinuous"/>
    </xf>
    <xf numFmtId="0" fontId="439" fillId="0" borderId="0" applyBorder="0">
      <alignment horizontal="centerContinuous"/>
    </xf>
    <xf numFmtId="171" fontId="131" fillId="0" borderId="0" applyFont="0" applyFill="0" applyBorder="0" applyAlignment="0" applyProtection="0"/>
    <xf numFmtId="0" fontId="392" fillId="0" borderId="0">
      <alignment vertical="center"/>
    </xf>
    <xf numFmtId="263" fontId="20" fillId="0" borderId="0" applyFont="0" applyFill="0" applyBorder="0" applyAlignment="0" applyProtection="0"/>
    <xf numFmtId="271" fontId="422" fillId="0" borderId="0" applyFont="0" applyFill="0" applyBorder="0" applyAlignment="0" applyProtection="0">
      <alignment horizontal="center"/>
    </xf>
    <xf numFmtId="271" fontId="422" fillId="0" borderId="0" applyFont="0" applyFill="0" applyBorder="0" applyAlignment="0" applyProtection="0">
      <alignment horizontal="center"/>
    </xf>
    <xf numFmtId="164" fontId="79" fillId="0" borderId="0" applyFont="0" applyFill="0" applyBorder="0" applyAlignment="0" applyProtection="0">
      <protection hidden="1"/>
    </xf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171" fontId="421" fillId="0" borderId="0"/>
    <xf numFmtId="0" fontId="371" fillId="0" borderId="0"/>
    <xf numFmtId="264" fontId="419" fillId="0" borderId="0" applyFont="0" applyFill="0" applyBorder="0" applyProtection="0">
      <alignment horizontal="left"/>
      <protection locked="0"/>
    </xf>
    <xf numFmtId="0" fontId="366" fillId="0" borderId="0">
      <alignment horizontal="right"/>
    </xf>
    <xf numFmtId="0" fontId="440" fillId="163" borderId="0" applyNumberFormat="0" applyBorder="0" applyAlignment="0" applyProtection="0"/>
    <xf numFmtId="0" fontId="61" fillId="0" borderId="0">
      <alignment vertical="top"/>
    </xf>
    <xf numFmtId="178" fontId="20" fillId="0" borderId="0">
      <alignment horizontal="right" vertical="center"/>
    </xf>
    <xf numFmtId="276" fontId="422" fillId="0" borderId="18" applyFont="0" applyFill="0" applyBorder="0" applyAlignment="0" applyProtection="0">
      <alignment horizontal="right"/>
      <protection locked="0"/>
    </xf>
    <xf numFmtId="276" fontId="422" fillId="0" borderId="18" applyFont="0" applyFill="0" applyBorder="0" applyAlignment="0" applyProtection="0">
      <alignment horizontal="right"/>
      <protection locked="0"/>
    </xf>
    <xf numFmtId="178" fontId="363" fillId="0" borderId="0">
      <alignment horizontal="right" vertical="center"/>
    </xf>
    <xf numFmtId="0" fontId="367" fillId="0" borderId="108">
      <alignment horizontal="right" vertical="center"/>
    </xf>
    <xf numFmtId="49" fontId="27" fillId="0" borderId="0">
      <alignment horizontal="right"/>
    </xf>
    <xf numFmtId="0" fontId="27" fillId="0" borderId="0">
      <alignment horizontal="right"/>
    </xf>
    <xf numFmtId="4" fontId="402" fillId="0" borderId="0">
      <alignment horizontal="right"/>
    </xf>
    <xf numFmtId="0" fontId="456" fillId="0" borderId="0"/>
    <xf numFmtId="0" fontId="456" fillId="0" borderId="48">
      <alignment horizontal="centerContinuous"/>
    </xf>
    <xf numFmtId="0" fontId="403" fillId="0" borderId="0">
      <alignment horizontal="left"/>
    </xf>
    <xf numFmtId="3" fontId="24" fillId="0" borderId="0"/>
    <xf numFmtId="0" fontId="362" fillId="0" borderId="0" applyNumberFormat="0" applyFill="0" applyBorder="0" applyProtection="0">
      <protection locked="0"/>
    </xf>
    <xf numFmtId="0" fontId="457" fillId="0" borderId="48"/>
    <xf numFmtId="0" fontId="24" fillId="0" borderId="27">
      <alignment horizontal="right" vertical="center" wrapText="1"/>
    </xf>
    <xf numFmtId="0" fontId="20" fillId="0" borderId="0"/>
    <xf numFmtId="0" fontId="441" fillId="0" borderId="0" applyNumberFormat="0" applyFill="0" applyBorder="0" applyProtection="0">
      <alignment horizontal="center"/>
    </xf>
    <xf numFmtId="0" fontId="442" fillId="0" borderId="0" applyNumberFormat="0" applyFill="0" applyBorder="0" applyAlignment="0" applyProtection="0"/>
    <xf numFmtId="0" fontId="443" fillId="0" borderId="0" applyNumberFormat="0" applyFill="0" applyBorder="0" applyProtection="0">
      <alignment horizontal="center"/>
    </xf>
    <xf numFmtId="0" fontId="442" fillId="0" borderId="0" applyNumberFormat="0" applyFill="0" applyBorder="0" applyProtection="0">
      <alignment horizontal="center"/>
    </xf>
    <xf numFmtId="265" fontId="444" fillId="0" borderId="143" applyFill="0" applyProtection="0">
      <alignment horizontal="right" vertical="top"/>
    </xf>
    <xf numFmtId="4" fontId="443" fillId="0" borderId="0" applyFill="0" applyBorder="0" applyAlignment="0" applyProtection="0"/>
    <xf numFmtId="4" fontId="445" fillId="0" borderId="0" applyFill="0" applyBorder="0" applyAlignment="0" applyProtection="0"/>
    <xf numFmtId="0" fontId="444" fillId="0" borderId="107" applyNumberFormat="0" applyFill="0" applyProtection="0">
      <alignment horizontal="right"/>
    </xf>
    <xf numFmtId="0" fontId="444" fillId="0" borderId="0" applyNumberFormat="0" applyFill="0" applyBorder="0" applyProtection="0">
      <alignment horizontal="center"/>
    </xf>
    <xf numFmtId="0" fontId="63" fillId="0" borderId="0" applyNumberFormat="0" applyFill="0" applyBorder="0" applyProtection="0">
      <alignment horizontal="left" vertical="top"/>
    </xf>
    <xf numFmtId="0" fontId="63" fillId="0" borderId="0" applyNumberFormat="0" applyFill="0" applyBorder="0" applyProtection="0">
      <alignment horizontal="center" vertical="top"/>
    </xf>
    <xf numFmtId="265" fontId="63" fillId="0" borderId="17" applyFill="0" applyProtection="0">
      <alignment horizontal="right" vertical="top"/>
    </xf>
    <xf numFmtId="10" fontId="63" fillId="0" borderId="0" applyFill="0" applyBorder="0" applyProtection="0">
      <alignment horizontal="right"/>
    </xf>
    <xf numFmtId="10" fontId="446" fillId="0" borderId="0" applyFill="0" applyBorder="0" applyProtection="0">
      <alignment horizontal="left"/>
    </xf>
    <xf numFmtId="0" fontId="20" fillId="35" borderId="0" applyNumberFormat="0" applyProtection="0">
      <alignment horizontal="center" vertical="top"/>
    </xf>
    <xf numFmtId="0" fontId="20" fillId="35" borderId="144" applyNumberFormat="0" applyProtection="0">
      <alignment horizontal="left" vertical="center"/>
    </xf>
    <xf numFmtId="0" fontId="20" fillId="35" borderId="144" applyNumberFormat="0" applyProtection="0">
      <alignment horizontal="right" vertical="center"/>
    </xf>
    <xf numFmtId="0" fontId="20" fillId="35" borderId="0" applyNumberFormat="0" applyProtection="0">
      <alignment horizontal="right" vertical="center" wrapText="1"/>
    </xf>
    <xf numFmtId="0" fontId="20" fillId="35" borderId="0" applyNumberFormat="0" applyProtection="0">
      <alignment horizontal="left" vertical="center"/>
    </xf>
    <xf numFmtId="0" fontId="20" fillId="35" borderId="0" applyNumberFormat="0" applyProtection="0">
      <alignment horizontal="left" vertical="center"/>
    </xf>
    <xf numFmtId="266" fontId="20" fillId="35" borderId="0" applyProtection="0">
      <alignment horizontal="right" vertical="center"/>
    </xf>
    <xf numFmtId="0" fontId="20" fillId="35" borderId="0" applyNumberFormat="0" applyProtection="0">
      <alignment horizontal="left" vertical="center"/>
    </xf>
    <xf numFmtId="0" fontId="20" fillId="166" borderId="0" applyNumberFormat="0" applyProtection="0">
      <alignment horizontal="center" vertical="center"/>
    </xf>
    <xf numFmtId="0" fontId="20" fillId="35" borderId="0" applyNumberFormat="0" applyProtection="0">
      <alignment horizontal="left" vertical="center"/>
    </xf>
    <xf numFmtId="266" fontId="20" fillId="35" borderId="145" applyProtection="0">
      <alignment horizontal="right" vertical="center"/>
    </xf>
    <xf numFmtId="0" fontId="20" fillId="35" borderId="0" applyNumberFormat="0" applyProtection="0">
      <alignment horizontal="left" vertical="center"/>
    </xf>
    <xf numFmtId="266" fontId="20" fillId="35" borderId="0" applyProtection="0">
      <alignment horizontal="right" vertical="center"/>
    </xf>
    <xf numFmtId="0" fontId="20" fillId="166" borderId="0" applyNumberFormat="0" applyProtection="0">
      <alignment horizontal="center" vertical="center"/>
    </xf>
    <xf numFmtId="0" fontId="20" fillId="35" borderId="0" applyNumberFormat="0" applyProtection="0">
      <alignment horizontal="left" vertical="center"/>
    </xf>
    <xf numFmtId="266" fontId="20" fillId="35" borderId="0" applyProtection="0">
      <alignment horizontal="right" vertical="center"/>
    </xf>
    <xf numFmtId="0" fontId="20" fillId="35" borderId="0" applyNumberFormat="0" applyProtection="0">
      <alignment horizontal="left" vertical="center"/>
    </xf>
    <xf numFmtId="266" fontId="20" fillId="35" borderId="0" applyProtection="0">
      <alignment horizontal="right" vertical="center"/>
    </xf>
    <xf numFmtId="0" fontId="20" fillId="35" borderId="0" applyNumberFormat="0" applyProtection="0">
      <alignment horizontal="left" vertical="center"/>
    </xf>
    <xf numFmtId="0" fontId="20" fillId="35" borderId="0" applyNumberFormat="0" applyProtection="0">
      <alignment horizontal="left" vertical="center"/>
    </xf>
    <xf numFmtId="266" fontId="20" fillId="35" borderId="0" applyProtection="0">
      <alignment horizontal="right" vertical="center"/>
    </xf>
    <xf numFmtId="266" fontId="20" fillId="35" borderId="146" applyProtection="0">
      <alignment horizontal="left" vertical="center"/>
    </xf>
    <xf numFmtId="0" fontId="20" fillId="35" borderId="0" applyNumberFormat="0" applyProtection="0">
      <alignment horizontal="left" vertical="center"/>
    </xf>
    <xf numFmtId="266" fontId="20" fillId="35" borderId="147" applyProtection="0">
      <alignment horizontal="right" vertical="center"/>
    </xf>
    <xf numFmtId="0" fontId="20" fillId="35" borderId="0" applyNumberFormat="0" applyProtection="0">
      <alignment horizontal="left" vertical="center"/>
    </xf>
    <xf numFmtId="0" fontId="20" fillId="35" borderId="0" applyNumberFormat="0" applyProtection="0">
      <alignment horizontal="left" vertical="center"/>
    </xf>
    <xf numFmtId="266" fontId="20" fillId="35" borderId="148" applyProtection="0">
      <alignment horizontal="right" vertical="center"/>
    </xf>
    <xf numFmtId="0" fontId="20" fillId="35" borderId="0" applyNumberFormat="0" applyProtection="0">
      <alignment horizontal="left" vertical="center"/>
    </xf>
    <xf numFmtId="266" fontId="20" fillId="35" borderId="149" applyProtection="0">
      <alignment horizontal="right" vertical="center"/>
    </xf>
    <xf numFmtId="4" fontId="341" fillId="162" borderId="0" applyProtection="0">
      <alignment horizontal="center" vertical="center"/>
    </xf>
    <xf numFmtId="0" fontId="356" fillId="0" borderId="0"/>
    <xf numFmtId="0" fontId="368" fillId="0" borderId="109">
      <alignment vertical="center"/>
    </xf>
    <xf numFmtId="259" fontId="24" fillId="0" borderId="0" applyFill="0" applyBorder="0" applyProtection="0">
      <protection locked="0"/>
    </xf>
    <xf numFmtId="267" fontId="20" fillId="0" borderId="0" applyFont="0" applyFill="0" applyBorder="0" applyAlignment="0" applyProtection="0"/>
    <xf numFmtId="0" fontId="447" fillId="0" borderId="0" applyBorder="0" applyProtection="0">
      <alignment vertical="center"/>
    </xf>
    <xf numFmtId="268" fontId="447" fillId="0" borderId="27" applyBorder="0" applyProtection="0">
      <alignment horizontal="right" vertical="center"/>
    </xf>
    <xf numFmtId="0" fontId="360" fillId="0" borderId="27" applyNumberFormat="0" applyFill="0" applyProtection="0">
      <alignment horizontal="right"/>
      <protection locked="0"/>
    </xf>
    <xf numFmtId="3" fontId="340" fillId="0" borderId="0" applyNumberFormat="0"/>
    <xf numFmtId="0" fontId="360" fillId="0" borderId="0" applyNumberFormat="0" applyFill="0" applyBorder="0" applyAlignment="0" applyProtection="0">
      <protection locked="0"/>
    </xf>
    <xf numFmtId="0" fontId="359" fillId="0" borderId="17" applyNumberFormat="0" applyFill="0" applyBorder="0" applyAlignment="0" applyProtection="0">
      <protection locked="0"/>
    </xf>
    <xf numFmtId="0" fontId="448" fillId="0" borderId="25" applyFill="0" applyBorder="0" applyProtection="0">
      <alignment horizontal="left" vertical="top"/>
    </xf>
    <xf numFmtId="0" fontId="430" fillId="0" borderId="0">
      <alignment horizontal="centerContinuous"/>
    </xf>
    <xf numFmtId="166" fontId="20" fillId="0" borderId="0" applyFont="0" applyFill="0" applyBorder="0" applyAlignment="0" applyProtection="0">
      <protection hidden="1"/>
    </xf>
    <xf numFmtId="49" fontId="449" fillId="0" borderId="0" applyFont="0" applyFill="0" applyBorder="0" applyAlignment="0" applyProtection="0">
      <protection hidden="1"/>
    </xf>
    <xf numFmtId="277" fontId="20" fillId="0" borderId="0" applyFont="0" applyFill="0" applyBorder="0" applyAlignment="0" applyProtection="0">
      <protection hidden="1"/>
    </xf>
    <xf numFmtId="269" fontId="20" fillId="0" borderId="0"/>
    <xf numFmtId="40" fontId="20" fillId="0" borderId="0"/>
    <xf numFmtId="165" fontId="354" fillId="0" borderId="0" applyFont="0" applyFill="0" applyBorder="0" applyAlignment="0" applyProtection="0"/>
    <xf numFmtId="0" fontId="404" fillId="0" borderId="0" applyNumberFormat="0" applyFill="0" applyBorder="0" applyAlignment="0" applyProtection="0">
      <alignment horizontal="centerContinuous"/>
    </xf>
    <xf numFmtId="0" fontId="405" fillId="0" borderId="0" applyNumberFormat="0" applyFill="0" applyBorder="0" applyAlignment="0" applyProtection="0"/>
    <xf numFmtId="0" fontId="369" fillId="0" borderId="27">
      <alignment horizontal="left"/>
    </xf>
    <xf numFmtId="0" fontId="370" fillId="167" borderId="0" applyFont="0">
      <alignment vertical="center"/>
    </xf>
    <xf numFmtId="3" fontId="450" fillId="0" borderId="0"/>
    <xf numFmtId="0" fontId="369" fillId="0" borderId="109"/>
    <xf numFmtId="0" fontId="371" fillId="0" borderId="0">
      <alignment horizontal="center"/>
    </xf>
    <xf numFmtId="0" fontId="406" fillId="0" borderId="0">
      <alignment horizontal="center"/>
    </xf>
    <xf numFmtId="0" fontId="340" fillId="0" borderId="0" applyNumberFormat="0" applyFill="0" applyBorder="0" applyAlignment="0" applyProtection="0"/>
    <xf numFmtId="0" fontId="340" fillId="0" borderId="109">
      <alignment horizontal="center" wrapText="1"/>
    </xf>
    <xf numFmtId="172" fontId="20" fillId="0" borderId="108" applyNumberFormat="0" applyFont="0" applyFill="0" applyAlignment="0"/>
    <xf numFmtId="0" fontId="42" fillId="0" borderId="150" applyNumberFormat="0" applyFill="0" applyAlignment="0" applyProtection="0"/>
    <xf numFmtId="0" fontId="20" fillId="0" borderId="151" applyNumberFormat="0" applyFont="0" applyBorder="0" applyAlignment="0" applyProtection="0"/>
    <xf numFmtId="0" fontId="20" fillId="0" borderId="151" applyNumberFormat="0" applyFont="0" applyBorder="0" applyAlignment="0" applyProtection="0"/>
    <xf numFmtId="0" fontId="20" fillId="0" borderId="151" applyNumberFormat="0" applyFont="0" applyBorder="0" applyAlignment="0" applyProtection="0"/>
    <xf numFmtId="0" fontId="20" fillId="0" borderId="151" applyNumberFormat="0" applyFont="0" applyBorder="0" applyAlignment="0" applyProtection="0"/>
    <xf numFmtId="0" fontId="20" fillId="0" borderId="151" applyNumberFormat="0" applyFont="0" applyBorder="0" applyAlignment="0" applyProtection="0"/>
    <xf numFmtId="0" fontId="20" fillId="0" borderId="151" applyNumberFormat="0" applyFont="0" applyBorder="0" applyAlignment="0" applyProtection="0"/>
    <xf numFmtId="278" fontId="444" fillId="168" borderId="0" applyNumberFormat="0" applyBorder="0">
      <protection locked="0"/>
    </xf>
    <xf numFmtId="3" fontId="340" fillId="0" borderId="27" applyNumberFormat="0"/>
    <xf numFmtId="0" fontId="451" fillId="0" borderId="0">
      <alignment horizontal="fill"/>
    </xf>
    <xf numFmtId="0" fontId="43" fillId="0" borderId="0" applyNumberFormat="0" applyFill="0" applyBorder="0" applyAlignment="0" applyProtection="0"/>
    <xf numFmtId="250" fontId="422" fillId="0" borderId="140" applyFont="0" applyFill="0" applyBorder="0" applyAlignment="0" applyProtection="0">
      <alignment horizontal="center"/>
      <protection hidden="1"/>
    </xf>
    <xf numFmtId="250" fontId="422" fillId="0" borderId="140" applyFont="0" applyFill="0" applyBorder="0" applyAlignment="0" applyProtection="0">
      <alignment horizontal="center"/>
      <protection hidden="1"/>
    </xf>
    <xf numFmtId="260" fontId="24" fillId="47" borderId="0" applyBorder="0" applyAlignment="0" applyProtection="0"/>
    <xf numFmtId="0" fontId="407" fillId="169" borderId="152" applyNumberFormat="0" applyFont="0" applyBorder="0" applyAlignment="0" applyProtection="0">
      <alignment horizontal="right"/>
    </xf>
    <xf numFmtId="270" fontId="419" fillId="0" borderId="0" applyFont="0" applyFill="0" applyBorder="0" applyAlignment="0" applyProtection="0">
      <alignment horizontal="left"/>
    </xf>
    <xf numFmtId="0" fontId="358" fillId="156" borderId="13" applyFont="0" applyFill="0" applyBorder="0" applyAlignment="0" applyProtection="0">
      <alignment horizontal="center"/>
      <protection locked="0"/>
    </xf>
    <xf numFmtId="171" fontId="376" fillId="0" borderId="0" applyFont="0" applyFill="0" applyBorder="0" applyAlignment="0" applyProtection="0"/>
    <xf numFmtId="0" fontId="452" fillId="0" borderId="0" applyNumberFormat="0" applyFill="0" applyBorder="0" applyAlignment="0" applyProtection="0"/>
    <xf numFmtId="0" fontId="452" fillId="0" borderId="0" applyNumberFormat="0" applyFill="0" applyBorder="0" applyAlignment="0" applyProtection="0"/>
    <xf numFmtId="0" fontId="351" fillId="19" borderId="0" applyNumberFormat="0" applyBorder="0" applyAlignment="0" applyProtection="0">
      <alignment vertical="center"/>
    </xf>
    <xf numFmtId="0" fontId="351" fillId="22" borderId="0" applyNumberFormat="0" applyBorder="0" applyAlignment="0" applyProtection="0">
      <alignment vertical="center"/>
    </xf>
    <xf numFmtId="0" fontId="351" fillId="26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7" borderId="0" applyNumberFormat="0" applyBorder="0" applyAlignment="0" applyProtection="0">
      <alignment vertical="center"/>
    </xf>
    <xf numFmtId="0" fontId="351" fillId="29" borderId="0" applyNumberFormat="0" applyBorder="0" applyAlignment="0" applyProtection="0">
      <alignment vertical="center"/>
    </xf>
    <xf numFmtId="0" fontId="348" fillId="0" borderId="0" applyNumberFormat="0" applyFill="0" applyBorder="0" applyAlignment="0" applyProtection="0">
      <alignment vertical="center"/>
    </xf>
    <xf numFmtId="0" fontId="408" fillId="4" borderId="137" applyNumberFormat="0" applyAlignment="0" applyProtection="0">
      <alignment vertical="center"/>
    </xf>
    <xf numFmtId="0" fontId="415" fillId="0" borderId="0"/>
    <xf numFmtId="193" fontId="20" fillId="0" borderId="13">
      <alignment horizontal="right" vertical="center" shrinkToFit="1"/>
    </xf>
    <xf numFmtId="0" fontId="343" fillId="6" borderId="0" applyNumberFormat="0" applyBorder="0" applyAlignment="0" applyProtection="0">
      <alignment vertical="center"/>
    </xf>
    <xf numFmtId="0" fontId="409" fillId="0" borderId="0" applyNumberFormat="0" applyFill="0" applyBorder="0" applyAlignment="0" applyProtection="0">
      <alignment vertical="top"/>
      <protection locked="0"/>
    </xf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7" fillId="37" borderId="141" applyNumberFormat="0" applyFont="0" applyAlignment="0" applyProtection="0">
      <alignment vertical="center"/>
    </xf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344" fillId="165" borderId="0" applyNumberFormat="0" applyBorder="0" applyAlignment="0" applyProtection="0">
      <alignment vertical="center"/>
    </xf>
    <xf numFmtId="0" fontId="354" fillId="0" borderId="0" applyFont="0" applyFill="0" applyBorder="0" applyAlignment="0" applyProtection="0"/>
    <xf numFmtId="0" fontId="354" fillId="0" borderId="0" applyFont="0" applyFill="0" applyBorder="0" applyAlignment="0" applyProtection="0"/>
    <xf numFmtId="0" fontId="349" fillId="0" borderId="0" applyNumberFormat="0" applyFill="0" applyBorder="0" applyAlignment="0" applyProtection="0">
      <alignment vertical="center"/>
    </xf>
    <xf numFmtId="0" fontId="347" fillId="31" borderId="4" applyNumberFormat="0" applyAlignment="0" applyProtection="0">
      <alignment vertical="center"/>
    </xf>
    <xf numFmtId="164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>
      <alignment vertical="top"/>
    </xf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410" fillId="0" borderId="14" applyNumberFormat="0" applyFill="0" applyAlignment="0" applyProtection="0">
      <alignment vertical="center"/>
    </xf>
    <xf numFmtId="0" fontId="350" fillId="0" borderId="150" applyNumberFormat="0" applyFill="0" applyAlignment="0" applyProtection="0">
      <alignment vertical="center"/>
    </xf>
    <xf numFmtId="0" fontId="345" fillId="10" borderId="137" applyNumberFormat="0" applyAlignment="0" applyProtection="0">
      <alignment vertical="center"/>
    </xf>
    <xf numFmtId="0" fontId="412" fillId="0" borderId="10" applyNumberFormat="0" applyFill="0" applyAlignment="0" applyProtection="0">
      <alignment vertical="center"/>
    </xf>
    <xf numFmtId="0" fontId="413" fillId="0" borderId="11" applyNumberFormat="0" applyFill="0" applyAlignment="0" applyProtection="0">
      <alignment vertical="center"/>
    </xf>
    <xf numFmtId="0" fontId="414" fillId="0" borderId="12" applyNumberFormat="0" applyFill="0" applyAlignment="0" applyProtection="0">
      <alignment vertical="center"/>
    </xf>
    <xf numFmtId="0" fontId="414" fillId="0" borderId="0" applyNumberFormat="0" applyFill="0" applyBorder="0" applyAlignment="0" applyProtection="0">
      <alignment vertical="center"/>
    </xf>
    <xf numFmtId="0" fontId="411" fillId="0" borderId="0" applyNumberFormat="0" applyFill="0" applyBorder="0" applyAlignment="0" applyProtection="0">
      <alignment vertical="center"/>
    </xf>
    <xf numFmtId="0" fontId="342" fillId="7" borderId="0" applyNumberFormat="0" applyBorder="0" applyAlignment="0" applyProtection="0">
      <alignment vertical="center"/>
    </xf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246" fontId="85" fillId="0" borderId="0" applyFont="0" applyFill="0" applyBorder="0" applyAlignment="0" applyProtection="0"/>
    <xf numFmtId="0" fontId="85" fillId="0" borderId="0"/>
    <xf numFmtId="0" fontId="20" fillId="0" borderId="0" applyNumberFormat="0" applyFill="0" applyBorder="0" applyAlignment="0" applyProtection="0"/>
    <xf numFmtId="0" fontId="346" fillId="4" borderId="142" applyNumberFormat="0" applyAlignment="0" applyProtection="0">
      <alignment vertical="center"/>
    </xf>
    <xf numFmtId="247" fontId="354" fillId="0" borderId="0" applyFont="0" applyFill="0" applyBorder="0" applyAlignment="0" applyProtection="0"/>
    <xf numFmtId="0" fontId="85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375" fillId="0" borderId="0"/>
    <xf numFmtId="0" fontId="416" fillId="0" borderId="0" applyNumberFormat="0" applyFill="0" applyBorder="0" applyAlignment="0" applyProtection="0">
      <alignment vertical="top"/>
      <protection locked="0"/>
    </xf>
    <xf numFmtId="40" fontId="79" fillId="0" borderId="0" applyFont="0" applyFill="0" applyBorder="0" applyAlignment="0" applyProtection="0"/>
    <xf numFmtId="41" fontId="24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32" fillId="170" borderId="0"/>
    <xf numFmtId="0" fontId="20" fillId="0" borderId="0"/>
    <xf numFmtId="0" fontId="329" fillId="0" borderId="0" applyNumberFormat="0" applyFill="0" applyBorder="0" applyAlignment="0" applyProtection="0"/>
    <xf numFmtId="0" fontId="330" fillId="0" borderId="127" applyNumberFormat="0" applyFill="0" applyAlignment="0" applyProtection="0"/>
    <xf numFmtId="0" fontId="331" fillId="0" borderId="128" applyNumberFormat="0" applyFill="0" applyAlignment="0" applyProtection="0"/>
    <xf numFmtId="0" fontId="332" fillId="0" borderId="129" applyNumberFormat="0" applyFill="0" applyAlignment="0" applyProtection="0"/>
    <xf numFmtId="0" fontId="332" fillId="0" borderId="0" applyNumberFormat="0" applyFill="0" applyBorder="0" applyAlignment="0" applyProtection="0"/>
    <xf numFmtId="0" fontId="321" fillId="129" borderId="0" applyNumberFormat="0" applyBorder="0" applyAlignment="0" applyProtection="0"/>
    <xf numFmtId="0" fontId="289" fillId="116" borderId="0" applyNumberFormat="0" applyBorder="0" applyAlignment="0" applyProtection="0"/>
    <xf numFmtId="0" fontId="458" fillId="133" borderId="0" applyNumberFormat="0" applyBorder="0" applyAlignment="0" applyProtection="0"/>
    <xf numFmtId="0" fontId="333" fillId="134" borderId="130" applyNumberFormat="0" applyAlignment="0" applyProtection="0"/>
    <xf numFmtId="0" fontId="334" fillId="135" borderId="131" applyNumberFormat="0" applyAlignment="0" applyProtection="0"/>
    <xf numFmtId="0" fontId="335" fillId="135" borderId="130" applyNumberFormat="0" applyAlignment="0" applyProtection="0"/>
    <xf numFmtId="0" fontId="336" fillId="0" borderId="132" applyNumberFormat="0" applyFill="0" applyAlignment="0" applyProtection="0"/>
    <xf numFmtId="0" fontId="337" fillId="136" borderId="133" applyNumberFormat="0" applyAlignment="0" applyProtection="0"/>
    <xf numFmtId="0" fontId="338" fillId="0" borderId="0" applyNumberFormat="0" applyFill="0" applyBorder="0" applyAlignment="0" applyProtection="0"/>
    <xf numFmtId="0" fontId="6" fillId="56" borderId="74" applyNumberFormat="0" applyFont="0" applyAlignment="0" applyProtection="0"/>
    <xf numFmtId="0" fontId="339" fillId="0" borderId="0" applyNumberFormat="0" applyFill="0" applyBorder="0" applyAlignment="0" applyProtection="0"/>
    <xf numFmtId="0" fontId="276" fillId="0" borderId="134" applyNumberFormat="0" applyFill="0" applyAlignment="0" applyProtection="0"/>
    <xf numFmtId="0" fontId="180" fillId="137" borderId="0" applyNumberFormat="0" applyBorder="0" applyAlignment="0" applyProtection="0"/>
    <xf numFmtId="0" fontId="6" fillId="48" borderId="0" applyNumberFormat="0" applyBorder="0" applyAlignment="0" applyProtection="0"/>
    <xf numFmtId="0" fontId="6" fillId="138" borderId="0" applyNumberFormat="0" applyBorder="0" applyAlignment="0" applyProtection="0"/>
    <xf numFmtId="0" fontId="180" fillId="139" borderId="0" applyNumberFormat="0" applyBorder="0" applyAlignment="0" applyProtection="0"/>
    <xf numFmtId="0" fontId="180" fillId="140" borderId="0" applyNumberFormat="0" applyBorder="0" applyAlignment="0" applyProtection="0"/>
    <xf numFmtId="0" fontId="6" fillId="49" borderId="0" applyNumberFormat="0" applyBorder="0" applyAlignment="0" applyProtection="0"/>
    <xf numFmtId="0" fontId="6" fillId="141" borderId="0" applyNumberFormat="0" applyBorder="0" applyAlignment="0" applyProtection="0"/>
    <xf numFmtId="0" fontId="180" fillId="142" borderId="0" applyNumberFormat="0" applyBorder="0" applyAlignment="0" applyProtection="0"/>
    <xf numFmtId="0" fontId="180" fillId="143" borderId="0" applyNumberFormat="0" applyBorder="0" applyAlignment="0" applyProtection="0"/>
    <xf numFmtId="0" fontId="6" fillId="50" borderId="0" applyNumberFormat="0" applyBorder="0" applyAlignment="0" applyProtection="0"/>
    <xf numFmtId="0" fontId="6" fillId="52" borderId="0" applyNumberFormat="0" applyBorder="0" applyAlignment="0" applyProtection="0"/>
    <xf numFmtId="0" fontId="180" fillId="144" borderId="0" applyNumberFormat="0" applyBorder="0" applyAlignment="0" applyProtection="0"/>
    <xf numFmtId="0" fontId="6" fillId="51" borderId="0" applyNumberFormat="0" applyBorder="0" applyAlignment="0" applyProtection="0"/>
    <xf numFmtId="0" fontId="6" fillId="145" borderId="0" applyNumberFormat="0" applyBorder="0" applyAlignment="0" applyProtection="0"/>
    <xf numFmtId="0" fontId="180" fillId="146" borderId="0" applyNumberFormat="0" applyBorder="0" applyAlignment="0" applyProtection="0"/>
    <xf numFmtId="0" fontId="6" fillId="147" borderId="0" applyNumberFormat="0" applyBorder="0" applyAlignment="0" applyProtection="0"/>
    <xf numFmtId="0" fontId="6" fillId="148" borderId="0" applyNumberFormat="0" applyBorder="0" applyAlignment="0" applyProtection="0"/>
    <xf numFmtId="0" fontId="180" fillId="149" borderId="0" applyNumberFormat="0" applyBorder="0" applyAlignment="0" applyProtection="0"/>
    <xf numFmtId="0" fontId="180" fillId="150" borderId="0" applyNumberFormat="0" applyBorder="0" applyAlignment="0" applyProtection="0"/>
    <xf numFmtId="0" fontId="6" fillId="151" borderId="0" applyNumberFormat="0" applyBorder="0" applyAlignment="0" applyProtection="0"/>
    <xf numFmtId="0" fontId="6" fillId="15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" fontId="63" fillId="119" borderId="24">
      <alignment horizontal="right"/>
    </xf>
    <xf numFmtId="43" fontId="27" fillId="0" borderId="0" applyFont="0" applyFill="0" applyBorder="0" applyAlignment="0" applyProtection="0"/>
    <xf numFmtId="0" fontId="5" fillId="0" borderId="0"/>
    <xf numFmtId="43" fontId="5" fillId="0" borderId="0"/>
    <xf numFmtId="43" fontId="5" fillId="0" borderId="0"/>
    <xf numFmtId="0" fontId="5" fillId="0" borderId="0"/>
    <xf numFmtId="43" fontId="5" fillId="0" borderId="0"/>
    <xf numFmtId="43" fontId="5" fillId="0" borderId="0"/>
    <xf numFmtId="0" fontId="5" fillId="0" borderId="0"/>
    <xf numFmtId="0" fontId="5" fillId="0" borderId="0"/>
    <xf numFmtId="43" fontId="5" fillId="0" borderId="0"/>
    <xf numFmtId="188" fontId="20" fillId="0" borderId="0" applyFont="0" applyFill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0" fillId="4" borderId="142" applyNumberFormat="0" applyAlignment="0" applyProtection="0"/>
    <xf numFmtId="0" fontId="31" fillId="4" borderId="137" applyNumberFormat="0" applyAlignment="0" applyProtection="0"/>
    <xf numFmtId="168" fontId="20" fillId="0" borderId="0" applyFill="0" applyBorder="0" applyAlignment="0" applyProtection="0"/>
    <xf numFmtId="43" fontId="4" fillId="0" borderId="0" applyNumberFormat="0" applyFill="0" applyAlignment="0" applyProtection="0"/>
    <xf numFmtId="43" fontId="4" fillId="0" borderId="0" applyNumberFormat="0" applyFill="0" applyAlignment="0" applyProtection="0"/>
    <xf numFmtId="43" fontId="4" fillId="0" borderId="0" applyNumberFormat="0" applyFill="0" applyAlignment="0" applyProtection="0"/>
    <xf numFmtId="43" fontId="4" fillId="0" borderId="0" applyNumberFormat="0" applyFill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NumberFormat="0" applyFill="0" applyAlignment="0" applyProtection="0"/>
    <xf numFmtId="43" fontId="4" fillId="0" borderId="0" applyNumberFormat="0" applyFill="0" applyAlignment="0" applyProtection="0"/>
    <xf numFmtId="43" fontId="4" fillId="0" borderId="0" applyNumberFormat="0" applyFill="0" applyAlignment="0" applyProtection="0"/>
    <xf numFmtId="43" fontId="4" fillId="0" borderId="0" applyNumberFormat="0" applyFill="0" applyAlignment="0" applyProtection="0"/>
    <xf numFmtId="43" fontId="4" fillId="0" borderId="0" applyNumberFormat="0" applyFill="0" applyAlignment="0" applyProtection="0"/>
    <xf numFmtId="182" fontId="20" fillId="0" borderId="0" applyFill="0" applyBorder="0" applyAlignment="0" applyProtection="0"/>
    <xf numFmtId="0" fontId="38" fillId="10" borderId="137" applyNumberFormat="0" applyAlignment="0" applyProtection="0"/>
    <xf numFmtId="0" fontId="42" fillId="0" borderId="150" applyNumberFormat="0" applyFill="0" applyAlignment="0" applyProtection="0"/>
    <xf numFmtId="0" fontId="74" fillId="0" borderId="157">
      <alignment horizontal="left" vertical="center"/>
    </xf>
    <xf numFmtId="3" fontId="80" fillId="0" borderId="157">
      <alignment horizontal="centerContinuous"/>
    </xf>
    <xf numFmtId="0" fontId="4" fillId="0" borderId="0" applyNumberFormat="0" applyFill="0" applyAlignment="0" applyProtection="0"/>
    <xf numFmtId="0" fontId="4" fillId="0" borderId="0" applyNumberFormat="0" applyFill="0" applyAlignment="0" applyProtection="0"/>
    <xf numFmtId="0" fontId="4" fillId="0" borderId="0" applyNumberFormat="0" applyFill="0" applyAlignment="0" applyProtection="0"/>
    <xf numFmtId="0" fontId="4" fillId="0" borderId="0" applyNumberFormat="0" applyFill="0" applyAlignment="0" applyProtection="0"/>
    <xf numFmtId="0" fontId="4" fillId="0" borderId="0"/>
    <xf numFmtId="0" fontId="4" fillId="0" borderId="0" applyNumberFormat="0" applyFill="0" applyAlignment="0" applyProtection="0"/>
    <xf numFmtId="0" fontId="4" fillId="0" borderId="0"/>
    <xf numFmtId="0" fontId="4" fillId="0" borderId="0" applyNumberFormat="0" applyFill="0" applyAlignment="0" applyProtection="0"/>
    <xf numFmtId="0" fontId="4" fillId="0" borderId="0" applyNumberFormat="0" applyFill="0" applyAlignment="0" applyProtection="0"/>
    <xf numFmtId="0" fontId="4" fillId="0" borderId="0" applyNumberFormat="0" applyFill="0" applyAlignment="0" applyProtection="0"/>
    <xf numFmtId="0" fontId="4" fillId="0" borderId="0" applyNumberFormat="0" applyFill="0" applyAlignment="0" applyProtection="0"/>
    <xf numFmtId="0" fontId="4" fillId="0" borderId="0" applyNumberFormat="0" applyFill="0" applyAlignment="0" applyProtection="0"/>
    <xf numFmtId="0" fontId="4" fillId="56" borderId="74" applyNumberFormat="0" applyFont="0" applyAlignment="0" applyProtection="0"/>
    <xf numFmtId="0" fontId="28" fillId="37" borderId="141" applyNumberFormat="0" applyFont="0" applyAlignment="0" applyProtection="0"/>
    <xf numFmtId="9" fontId="20" fillId="0" borderId="0" applyFill="0" applyBorder="0" applyAlignment="0" applyProtection="0"/>
    <xf numFmtId="9" fontId="4" fillId="0" borderId="0" applyFont="0" applyFill="0" applyBorder="0" applyAlignment="0" applyProtection="0"/>
    <xf numFmtId="209" fontId="93" fillId="0" borderId="158">
      <alignment horizontal="right" vertical="center"/>
    </xf>
    <xf numFmtId="209" fontId="93" fillId="0" borderId="158">
      <alignment horizontal="right" vertical="center"/>
    </xf>
    <xf numFmtId="209" fontId="93" fillId="0" borderId="158">
      <alignment horizontal="right" vertical="center"/>
    </xf>
    <xf numFmtId="209" fontId="93" fillId="0" borderId="158">
      <alignment horizontal="right" vertical="center"/>
    </xf>
    <xf numFmtId="209" fontId="93" fillId="0" borderId="158">
      <alignment horizontal="right" vertical="center"/>
    </xf>
    <xf numFmtId="209" fontId="93" fillId="0" borderId="158">
      <alignment horizontal="right" vertical="center"/>
    </xf>
    <xf numFmtId="5" fontId="99" fillId="39" borderId="156">
      <alignment vertical="top"/>
    </xf>
    <xf numFmtId="6" fontId="101" fillId="41" borderId="156"/>
    <xf numFmtId="5" fontId="76" fillId="0" borderId="156">
      <alignment horizontal="left" vertical="top"/>
    </xf>
    <xf numFmtId="0" fontId="4" fillId="0" borderId="0" applyNumberFormat="0" applyFill="0" applyAlignment="0" applyProtection="0"/>
    <xf numFmtId="43" fontId="4" fillId="0" borderId="0" applyNumberFormat="0" applyFill="0" applyAlignment="0" applyProtection="0"/>
    <xf numFmtId="9" fontId="4" fillId="0" borderId="0" applyFont="0" applyFill="0" applyBorder="0" applyAlignment="0" applyProtection="0"/>
    <xf numFmtId="0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43" fontId="4" fillId="0" borderId="0" applyNumberFormat="0" applyFill="0" applyAlignment="0" applyProtection="0"/>
    <xf numFmtId="43" fontId="4" fillId="0" borderId="0" applyNumberFormat="0" applyFill="0" applyAlignment="0" applyProtection="0"/>
    <xf numFmtId="43" fontId="4" fillId="0" borderId="0" applyNumberFormat="0" applyFill="0" applyAlignment="0" applyProtection="0"/>
    <xf numFmtId="43" fontId="4" fillId="0" borderId="0" applyNumberFormat="0" applyFill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NumberFormat="0" applyFill="0" applyAlignment="0" applyProtection="0"/>
    <xf numFmtId="43" fontId="4" fillId="0" borderId="0" applyNumberFormat="0" applyFill="0" applyAlignment="0" applyProtection="0"/>
    <xf numFmtId="43" fontId="4" fillId="0" borderId="0" applyNumberFormat="0" applyFill="0" applyAlignment="0" applyProtection="0"/>
    <xf numFmtId="43" fontId="4" fillId="0" borderId="0" applyNumberFormat="0" applyFill="0" applyAlignment="0" applyProtection="0"/>
    <xf numFmtId="43" fontId="4" fillId="0" borderId="0" applyNumberFormat="0" applyFill="0" applyAlignment="0" applyProtection="0"/>
    <xf numFmtId="0" fontId="4" fillId="0" borderId="0" applyNumberFormat="0" applyFill="0" applyAlignment="0" applyProtection="0"/>
    <xf numFmtId="0" fontId="4" fillId="0" borderId="0" applyNumberFormat="0" applyFill="0" applyAlignment="0" applyProtection="0"/>
    <xf numFmtId="0" fontId="4" fillId="0" borderId="0" applyNumberFormat="0" applyFill="0" applyAlignment="0" applyProtection="0"/>
    <xf numFmtId="0" fontId="4" fillId="0" borderId="0" applyNumberFormat="0" applyFill="0" applyAlignment="0" applyProtection="0"/>
    <xf numFmtId="0" fontId="4" fillId="0" borderId="0"/>
    <xf numFmtId="0" fontId="4" fillId="0" borderId="0" applyNumberFormat="0" applyFill="0" applyAlignment="0" applyProtection="0"/>
    <xf numFmtId="0" fontId="4" fillId="0" borderId="0"/>
    <xf numFmtId="0" fontId="4" fillId="0" borderId="0" applyNumberFormat="0" applyFill="0" applyAlignment="0" applyProtection="0"/>
    <xf numFmtId="0" fontId="4" fillId="0" borderId="0" applyNumberFormat="0" applyFill="0" applyAlignment="0" applyProtection="0"/>
    <xf numFmtId="0" fontId="4" fillId="0" borderId="0" applyNumberFormat="0" applyFill="0" applyAlignment="0" applyProtection="0"/>
    <xf numFmtId="0" fontId="4" fillId="0" borderId="0" applyNumberFormat="0" applyFill="0" applyAlignment="0" applyProtection="0"/>
    <xf numFmtId="0" fontId="4" fillId="0" borderId="0" applyNumberFormat="0" applyFill="0" applyAlignment="0" applyProtection="0"/>
    <xf numFmtId="0" fontId="4" fillId="56" borderId="74" applyNumberFormat="0" applyFont="0" applyAlignment="0" applyProtection="0"/>
    <xf numFmtId="9" fontId="4" fillId="0" borderId="0" applyFont="0" applyFill="0" applyBorder="0" applyAlignment="0" applyProtection="0"/>
    <xf numFmtId="0" fontId="4" fillId="0" borderId="0" applyNumberFormat="0" applyFill="0" applyAlignment="0" applyProtection="0"/>
    <xf numFmtId="43" fontId="4" fillId="0" borderId="0" applyNumberFormat="0" applyFill="0" applyAlignment="0" applyProtection="0"/>
    <xf numFmtId="9" fontId="4" fillId="0" borderId="0" applyFont="0" applyFill="0" applyBorder="0" applyAlignment="0" applyProtection="0"/>
    <xf numFmtId="0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43" fontId="4" fillId="0" borderId="0" applyNumberFormat="0" applyFill="0" applyAlignment="0" applyProtection="0"/>
    <xf numFmtId="43" fontId="4" fillId="0" borderId="0" applyNumberFormat="0" applyFill="0" applyAlignment="0" applyProtection="0"/>
    <xf numFmtId="43" fontId="4" fillId="0" borderId="0" applyNumberFormat="0" applyFill="0" applyAlignment="0" applyProtection="0"/>
    <xf numFmtId="43" fontId="4" fillId="0" borderId="0" applyNumberFormat="0" applyFill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NumberFormat="0" applyFill="0" applyAlignment="0" applyProtection="0"/>
    <xf numFmtId="43" fontId="4" fillId="0" borderId="0" applyNumberFormat="0" applyFill="0" applyAlignment="0" applyProtection="0"/>
    <xf numFmtId="43" fontId="4" fillId="0" borderId="0" applyNumberFormat="0" applyFill="0" applyAlignment="0" applyProtection="0"/>
    <xf numFmtId="43" fontId="4" fillId="0" borderId="0" applyNumberFormat="0" applyFill="0" applyAlignment="0" applyProtection="0"/>
    <xf numFmtId="43" fontId="4" fillId="0" borderId="0" applyNumberFormat="0" applyFill="0" applyAlignment="0" applyProtection="0"/>
    <xf numFmtId="0" fontId="4" fillId="0" borderId="0" applyNumberFormat="0" applyFill="0" applyAlignment="0" applyProtection="0"/>
    <xf numFmtId="0" fontId="4" fillId="0" borderId="0" applyNumberFormat="0" applyFill="0" applyAlignment="0" applyProtection="0"/>
    <xf numFmtId="0" fontId="4" fillId="0" borderId="0" applyNumberFormat="0" applyFill="0" applyAlignment="0" applyProtection="0"/>
    <xf numFmtId="0" fontId="4" fillId="0" borderId="0" applyNumberFormat="0" applyFill="0" applyAlignment="0" applyProtection="0"/>
    <xf numFmtId="0" fontId="4" fillId="0" borderId="0"/>
    <xf numFmtId="0" fontId="4" fillId="0" borderId="0" applyNumberFormat="0" applyFill="0" applyAlignment="0" applyProtection="0"/>
    <xf numFmtId="0" fontId="4" fillId="0" borderId="0"/>
    <xf numFmtId="0" fontId="4" fillId="0" borderId="0" applyNumberFormat="0" applyFill="0" applyAlignment="0" applyProtection="0"/>
    <xf numFmtId="0" fontId="4" fillId="0" borderId="0" applyNumberFormat="0" applyFill="0" applyAlignment="0" applyProtection="0"/>
    <xf numFmtId="0" fontId="4" fillId="0" borderId="0" applyNumberFormat="0" applyFill="0" applyAlignment="0" applyProtection="0"/>
    <xf numFmtId="0" fontId="4" fillId="0" borderId="0" applyNumberFormat="0" applyFill="0" applyAlignment="0" applyProtection="0"/>
    <xf numFmtId="0" fontId="4" fillId="0" borderId="0" applyNumberFormat="0" applyFill="0" applyAlignment="0" applyProtection="0"/>
    <xf numFmtId="0" fontId="4" fillId="56" borderId="74" applyNumberFormat="0" applyFont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 applyNumberFormat="0" applyFill="0" applyAlignment="0" applyProtection="0"/>
    <xf numFmtId="43" fontId="4" fillId="0" borderId="0" applyNumberFormat="0" applyFill="0" applyAlignment="0" applyProtection="0"/>
    <xf numFmtId="9" fontId="4" fillId="0" borderId="0" applyFont="0" applyFill="0" applyBorder="0" applyAlignment="0" applyProtection="0"/>
    <xf numFmtId="0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4" fillId="0" borderId="157">
      <alignment horizontal="left" vertical="center"/>
    </xf>
    <xf numFmtId="0" fontId="368" fillId="0" borderId="157">
      <alignment vertical="center"/>
    </xf>
    <xf numFmtId="0" fontId="369" fillId="0" borderId="157"/>
    <xf numFmtId="0" fontId="340" fillId="0" borderId="157">
      <alignment horizontal="center" wrapText="1"/>
    </xf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56" borderId="74" applyNumberFormat="0" applyFont="0" applyAlignment="0" applyProtection="0"/>
    <xf numFmtId="0" fontId="4" fillId="48" borderId="0" applyNumberFormat="0" applyBorder="0" applyAlignment="0" applyProtection="0"/>
    <xf numFmtId="0" fontId="4" fillId="138" borderId="0" applyNumberFormat="0" applyBorder="0" applyAlignment="0" applyProtection="0"/>
    <xf numFmtId="0" fontId="4" fillId="49" borderId="0" applyNumberFormat="0" applyBorder="0" applyAlignment="0" applyProtection="0"/>
    <xf numFmtId="0" fontId="4" fillId="141" borderId="0" applyNumberFormat="0" applyBorder="0" applyAlignment="0" applyProtection="0"/>
    <xf numFmtId="0" fontId="4" fillId="50" borderId="0" applyNumberFormat="0" applyBorder="0" applyAlignment="0" applyProtection="0"/>
    <xf numFmtId="0" fontId="4" fillId="52" borderId="0" applyNumberFormat="0" applyBorder="0" applyAlignment="0" applyProtection="0"/>
    <xf numFmtId="0" fontId="4" fillId="51" borderId="0" applyNumberFormat="0" applyBorder="0" applyAlignment="0" applyProtection="0"/>
    <xf numFmtId="0" fontId="4" fillId="145" borderId="0" applyNumberFormat="0" applyBorder="0" applyAlignment="0" applyProtection="0"/>
    <xf numFmtId="0" fontId="4" fillId="147" borderId="0" applyNumberFormat="0" applyBorder="0" applyAlignment="0" applyProtection="0"/>
    <xf numFmtId="0" fontId="4" fillId="148" borderId="0" applyNumberFormat="0" applyBorder="0" applyAlignment="0" applyProtection="0"/>
    <xf numFmtId="0" fontId="4" fillId="151" borderId="0" applyNumberFormat="0" applyBorder="0" applyAlignment="0" applyProtection="0"/>
    <xf numFmtId="0" fontId="4" fillId="152" borderId="0" applyNumberFormat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188" fontId="20" fillId="0" borderId="0" applyFont="0" applyFill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1" borderId="0" applyNumberFormat="0" applyBorder="0" applyAlignment="0" applyProtection="0"/>
    <xf numFmtId="0" fontId="3" fillId="52" borderId="0" applyNumberFormat="0" applyBorder="0" applyAlignment="0" applyProtection="0"/>
    <xf numFmtId="168" fontId="20" fillId="0" borderId="0" applyFill="0" applyBorder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182" fontId="20" fillId="0" borderId="0" applyFill="0" applyBorder="0" applyAlignment="0" applyProtection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/>
    <xf numFmtId="0" fontId="3" fillId="0" borderId="0" applyNumberFormat="0" applyFill="0" applyAlignment="0" applyProtection="0"/>
    <xf numFmtId="0" fontId="3" fillId="0" borderId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56" borderId="74" applyNumberFormat="0" applyFont="0" applyAlignment="0" applyProtection="0"/>
    <xf numFmtId="9" fontId="20" fillId="0" borderId="0" applyFill="0" applyBorder="0" applyAlignment="0" applyProtection="0"/>
    <xf numFmtId="9" fontId="3" fillId="0" borderId="0" applyFont="0" applyFill="0" applyBorder="0" applyAlignment="0" applyProtection="0"/>
    <xf numFmtId="0" fontId="3" fillId="0" borderId="0" applyNumberFormat="0" applyFill="0" applyAlignment="0" applyProtection="0"/>
    <xf numFmtId="43" fontId="3" fillId="0" borderId="0" applyNumberFormat="0" applyFill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/>
    <xf numFmtId="43" fontId="3" fillId="0" borderId="0"/>
    <xf numFmtId="0" fontId="3" fillId="0" borderId="0"/>
    <xf numFmtId="43" fontId="3" fillId="0" borderId="0"/>
    <xf numFmtId="43" fontId="3" fillId="0" borderId="0"/>
    <xf numFmtId="0" fontId="3" fillId="0" borderId="0"/>
    <xf numFmtId="43" fontId="3" fillId="0" borderId="0"/>
    <xf numFmtId="0" fontId="3" fillId="0" borderId="0"/>
    <xf numFmtId="43" fontId="3" fillId="0" borderId="0"/>
    <xf numFmtId="43" fontId="3" fillId="0" borderId="0"/>
    <xf numFmtId="0" fontId="3" fillId="0" borderId="0"/>
    <xf numFmtId="43" fontId="3" fillId="0" borderId="0"/>
    <xf numFmtId="169" fontId="20" fillId="0" borderId="0" applyBorder="0"/>
    <xf numFmtId="169" fontId="20" fillId="0" borderId="0" applyBorder="0"/>
    <xf numFmtId="169" fontId="20" fillId="0" borderId="0" applyBorder="0"/>
    <xf numFmtId="184" fontId="44" fillId="0" borderId="1" applyFont="0" applyBorder="0"/>
    <xf numFmtId="169" fontId="20" fillId="0" borderId="0" applyBorder="0"/>
    <xf numFmtId="184" fontId="44" fillId="0" borderId="1" applyFont="0" applyBorder="0"/>
    <xf numFmtId="184" fontId="44" fillId="0" borderId="1" applyFont="0" applyBorder="0"/>
    <xf numFmtId="184" fontId="44" fillId="0" borderId="1" applyFont="0" applyBorder="0"/>
    <xf numFmtId="184" fontId="44" fillId="0" borderId="1" applyFont="0" applyBorder="0"/>
    <xf numFmtId="169" fontId="20" fillId="0" borderId="0" applyBorder="0"/>
    <xf numFmtId="184" fontId="44" fillId="0" borderId="1" applyFont="0" applyBorder="0"/>
    <xf numFmtId="169" fontId="20" fillId="0" borderId="0" applyBorder="0"/>
    <xf numFmtId="189" fontId="20" fillId="0" borderId="0" applyFont="0" applyFill="0" applyBorder="0" applyAlignment="0" applyProtection="0"/>
    <xf numFmtId="0" fontId="20" fillId="0" borderId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1" borderId="0" applyNumberFormat="0" applyBorder="0" applyAlignment="0" applyProtection="0"/>
    <xf numFmtId="0" fontId="3" fillId="52" borderId="0" applyNumberFormat="0" applyBorder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168" fontId="20" fillId="0" borderId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3" fontId="20" fillId="0" borderId="0" applyFont="0" applyFill="0" applyBorder="0" applyAlignment="0" applyProtection="0"/>
    <xf numFmtId="182" fontId="20" fillId="0" borderId="0" applyFill="0" applyBorder="0" applyAlignment="0" applyProtection="0"/>
    <xf numFmtId="199" fontId="20" fillId="0" borderId="0" applyFont="0" applyFill="0" applyBorder="0" applyAlignment="0" applyProtection="0"/>
    <xf numFmtId="200" fontId="20" fillId="0" borderId="0"/>
    <xf numFmtId="0" fontId="20" fillId="0" borderId="0" applyFont="0" applyFill="0" applyBorder="0" applyAlignment="0" applyProtection="0"/>
    <xf numFmtId="201" fontId="20" fillId="0" borderId="6">
      <alignment vertical="center"/>
    </xf>
    <xf numFmtId="204" fontId="20" fillId="0" borderId="0"/>
    <xf numFmtId="2" fontId="20" fillId="0" borderId="0" applyFont="0" applyFill="0" applyBorder="0" applyAlignment="0" applyProtection="0"/>
    <xf numFmtId="0" fontId="20" fillId="0" borderId="0" applyNumberFormat="0" applyFill="0" applyAlignment="0"/>
    <xf numFmtId="0" fontId="20" fillId="0" borderId="0" applyNumberFormat="0" applyFill="0" applyAlignment="0"/>
    <xf numFmtId="0" fontId="20" fillId="0" borderId="0" applyNumberFormat="0" applyFill="0" applyAlignment="0"/>
    <xf numFmtId="0" fontId="20" fillId="0" borderId="0" applyNumberFormat="0" applyFill="0" applyAlignment="0"/>
    <xf numFmtId="0" fontId="20" fillId="0" borderId="0" applyNumberFormat="0" applyFill="0" applyAlignment="0"/>
    <xf numFmtId="0" fontId="20" fillId="0" borderId="0" applyNumberFormat="0" applyFill="0" applyAlignment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20" fillId="0" borderId="0"/>
    <xf numFmtId="0" fontId="3" fillId="0" borderId="0"/>
    <xf numFmtId="0" fontId="3" fillId="0" borderId="0" applyNumberFormat="0" applyFill="0" applyAlignment="0" applyProtection="0"/>
    <xf numFmtId="0" fontId="3" fillId="0" borderId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20" fillId="56" borderId="74" applyNumberFormat="0" applyFont="0" applyAlignment="0" applyProtection="0"/>
    <xf numFmtId="0" fontId="3" fillId="56" borderId="74" applyNumberFormat="0" applyFont="0" applyAlignment="0" applyProtection="0"/>
    <xf numFmtId="9" fontId="20" fillId="0" borderId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0" fillId="0" borderId="0" applyFont="0" applyFill="0" applyBorder="0" applyAlignment="0" applyProtection="0"/>
    <xf numFmtId="208" fontId="93" fillId="0" borderId="20">
      <alignment horizontal="right" vertical="center"/>
    </xf>
    <xf numFmtId="208" fontId="93" fillId="0" borderId="20">
      <alignment horizontal="right" vertical="center"/>
    </xf>
    <xf numFmtId="208" fontId="93" fillId="0" borderId="20">
      <alignment horizontal="right" vertical="center"/>
    </xf>
    <xf numFmtId="208" fontId="93" fillId="0" borderId="20">
      <alignment horizontal="right" vertical="center"/>
    </xf>
    <xf numFmtId="208" fontId="93" fillId="0" borderId="20">
      <alignment horizontal="right" vertical="center"/>
    </xf>
    <xf numFmtId="208" fontId="93" fillId="0" borderId="20">
      <alignment horizontal="right" vertical="center"/>
    </xf>
    <xf numFmtId="208" fontId="93" fillId="0" borderId="20">
      <alignment horizontal="right" vertical="center"/>
    </xf>
    <xf numFmtId="208" fontId="93" fillId="0" borderId="20">
      <alignment horizontal="right" vertical="center"/>
    </xf>
    <xf numFmtId="208" fontId="93" fillId="0" borderId="20">
      <alignment horizontal="right" vertical="center"/>
    </xf>
    <xf numFmtId="0" fontId="3" fillId="0" borderId="0" applyNumberFormat="0" applyFill="0" applyAlignment="0" applyProtection="0"/>
    <xf numFmtId="43" fontId="3" fillId="0" borderId="0" applyNumberFormat="0" applyFill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/>
    <xf numFmtId="43" fontId="3" fillId="0" borderId="0"/>
    <xf numFmtId="0" fontId="3" fillId="0" borderId="0"/>
    <xf numFmtId="43" fontId="3" fillId="0" borderId="0"/>
    <xf numFmtId="43" fontId="3" fillId="0" borderId="0"/>
    <xf numFmtId="0" fontId="3" fillId="0" borderId="0"/>
    <xf numFmtId="43" fontId="3" fillId="0" borderId="0"/>
    <xf numFmtId="0" fontId="3" fillId="0" borderId="0"/>
    <xf numFmtId="43" fontId="3" fillId="0" borderId="0"/>
    <xf numFmtId="43" fontId="3" fillId="0" borderId="0"/>
    <xf numFmtId="0" fontId="3" fillId="0" borderId="0"/>
    <xf numFmtId="43" fontId="3" fillId="0" borderId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1" borderId="0" applyNumberFormat="0" applyBorder="0" applyAlignment="0" applyProtection="0"/>
    <xf numFmtId="0" fontId="3" fillId="52" borderId="0" applyNumberFormat="0" applyBorder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/>
    <xf numFmtId="0" fontId="3" fillId="0" borderId="0" applyNumberFormat="0" applyFill="0" applyAlignment="0" applyProtection="0"/>
    <xf numFmtId="0" fontId="3" fillId="0" borderId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56" borderId="74" applyNumberFormat="0" applyFont="0" applyAlignment="0" applyProtection="0"/>
    <xf numFmtId="9" fontId="3" fillId="0" borderId="0" applyFont="0" applyFill="0" applyBorder="0" applyAlignment="0" applyProtection="0"/>
    <xf numFmtId="0" fontId="3" fillId="0" borderId="0" applyNumberFormat="0" applyFill="0" applyAlignment="0" applyProtection="0"/>
    <xf numFmtId="43" fontId="3" fillId="0" borderId="0" applyNumberFormat="0" applyFill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/>
    <xf numFmtId="43" fontId="3" fillId="0" borderId="0"/>
    <xf numFmtId="0" fontId="3" fillId="0" borderId="0"/>
    <xf numFmtId="43" fontId="3" fillId="0" borderId="0"/>
    <xf numFmtId="43" fontId="3" fillId="0" borderId="0"/>
    <xf numFmtId="0" fontId="3" fillId="0" borderId="0"/>
    <xf numFmtId="43" fontId="3" fillId="0" borderId="0"/>
    <xf numFmtId="188" fontId="20" fillId="0" borderId="0" applyFont="0" applyFill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1" borderId="0" applyNumberFormat="0" applyBorder="0" applyAlignment="0" applyProtection="0"/>
    <xf numFmtId="0" fontId="3" fillId="52" borderId="0" applyNumberFormat="0" applyBorder="0" applyAlignment="0" applyProtection="0"/>
    <xf numFmtId="168" fontId="20" fillId="0" borderId="0" applyFill="0" applyBorder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/>
    <xf numFmtId="0" fontId="3" fillId="0" borderId="0" applyNumberFormat="0" applyFill="0" applyAlignment="0" applyProtection="0"/>
    <xf numFmtId="0" fontId="3" fillId="0" borderId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56" borderId="74" applyNumberFormat="0" applyFont="0" applyAlignment="0" applyProtection="0"/>
    <xf numFmtId="9" fontId="3" fillId="0" borderId="0" applyFont="0" applyFill="0" applyBorder="0" applyAlignment="0" applyProtection="0"/>
    <xf numFmtId="0" fontId="3" fillId="0" borderId="0" applyNumberFormat="0" applyFill="0" applyAlignment="0" applyProtection="0"/>
    <xf numFmtId="43" fontId="3" fillId="0" borderId="0" applyNumberFormat="0" applyFill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/>
    <xf numFmtId="43" fontId="3" fillId="0" borderId="0"/>
    <xf numFmtId="0" fontId="3" fillId="0" borderId="0"/>
    <xf numFmtId="43" fontId="3" fillId="0" borderId="0"/>
    <xf numFmtId="43" fontId="3" fillId="0" borderId="0"/>
    <xf numFmtId="0" fontId="3" fillId="0" borderId="0"/>
    <xf numFmtId="43" fontId="3" fillId="0" borderId="0"/>
    <xf numFmtId="0" fontId="3" fillId="0" borderId="0"/>
    <xf numFmtId="43" fontId="3" fillId="0" borderId="0"/>
    <xf numFmtId="43" fontId="3" fillId="0" borderId="0"/>
    <xf numFmtId="0" fontId="3" fillId="0" borderId="0"/>
    <xf numFmtId="43" fontId="3" fillId="0" borderId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1" borderId="0" applyNumberFormat="0" applyBorder="0" applyAlignment="0" applyProtection="0"/>
    <xf numFmtId="0" fontId="3" fillId="52" borderId="0" applyNumberFormat="0" applyBorder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43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/>
    <xf numFmtId="0" fontId="3" fillId="0" borderId="0" applyNumberFormat="0" applyFill="0" applyAlignment="0" applyProtection="0"/>
    <xf numFmtId="0" fontId="3" fillId="0" borderId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0" borderId="0" applyNumberFormat="0" applyFill="0" applyAlignment="0" applyProtection="0"/>
    <xf numFmtId="0" fontId="3" fillId="56" borderId="74" applyNumberFormat="0" applyFont="0" applyAlignment="0" applyProtection="0"/>
    <xf numFmtId="9" fontId="3" fillId="0" borderId="0" applyFont="0" applyFill="0" applyBorder="0" applyAlignment="0" applyProtection="0"/>
    <xf numFmtId="0" fontId="3" fillId="0" borderId="0" applyNumberFormat="0" applyFill="0" applyAlignment="0" applyProtection="0"/>
    <xf numFmtId="43" fontId="3" fillId="0" borderId="0" applyNumberFormat="0" applyFill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/>
    <xf numFmtId="43" fontId="3" fillId="0" borderId="0"/>
    <xf numFmtId="0" fontId="3" fillId="0" borderId="0"/>
    <xf numFmtId="43" fontId="3" fillId="0" borderId="0"/>
    <xf numFmtId="43" fontId="3" fillId="0" borderId="0"/>
    <xf numFmtId="0" fontId="3" fillId="0" borderId="0"/>
    <xf numFmtId="43" fontId="3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</cellStyleXfs>
  <cellXfs count="3670">
    <xf numFmtId="0" fontId="0" fillId="0" borderId="0" xfId="0"/>
    <xf numFmtId="0" fontId="22" fillId="0" borderId="0" xfId="0" applyFont="1"/>
    <xf numFmtId="171" fontId="25" fillId="0" borderId="0" xfId="310" applyNumberFormat="1"/>
    <xf numFmtId="0" fontId="22" fillId="0" borderId="0" xfId="301" applyFont="1" applyAlignment="1">
      <alignment horizontal="center"/>
    </xf>
    <xf numFmtId="0" fontId="113" fillId="0" borderId="0" xfId="301" applyFont="1" applyAlignment="1">
      <alignment horizontal="center"/>
    </xf>
    <xf numFmtId="0" fontId="114" fillId="0" borderId="0" xfId="246" applyFont="1" applyAlignment="1" applyProtection="1"/>
    <xf numFmtId="0" fontId="25" fillId="0" borderId="0" xfId="0" applyFont="1"/>
    <xf numFmtId="0" fontId="25" fillId="0" borderId="0" xfId="0" applyFont="1" applyAlignment="1">
      <alignment horizontal="right"/>
    </xf>
    <xf numFmtId="171" fontId="25" fillId="0" borderId="0" xfId="310" applyNumberFormat="1" applyFill="1" applyBorder="1" applyAlignment="1">
      <alignment horizontal="right"/>
    </xf>
    <xf numFmtId="169" fontId="25" fillId="0" borderId="0" xfId="179" applyNumberFormat="1"/>
    <xf numFmtId="0" fontId="25" fillId="0" borderId="0" xfId="0" applyFont="1" applyAlignment="1">
      <alignment vertical="center"/>
    </xf>
    <xf numFmtId="183" fontId="25" fillId="0" borderId="0" xfId="310" applyNumberFormat="1" applyBorder="1" applyAlignment="1">
      <alignment vertical="center"/>
    </xf>
    <xf numFmtId="175" fontId="25" fillId="0" borderId="0" xfId="179" applyNumberFormat="1" applyBorder="1" applyAlignment="1">
      <alignment vertical="center"/>
    </xf>
    <xf numFmtId="184" fontId="22" fillId="0" borderId="0" xfId="0" applyNumberFormat="1" applyFont="1" applyAlignment="1">
      <alignment vertical="center"/>
    </xf>
    <xf numFmtId="9" fontId="25" fillId="0" borderId="0" xfId="310" applyBorder="1" applyAlignment="1">
      <alignment vertical="center"/>
    </xf>
    <xf numFmtId="169" fontId="25" fillId="0" borderId="0" xfId="179" applyNumberFormat="1" applyAlignment="1">
      <alignment vertical="center"/>
    </xf>
    <xf numFmtId="0" fontId="22" fillId="0" borderId="0" xfId="0" applyFont="1" applyAlignment="1">
      <alignment vertical="center"/>
    </xf>
    <xf numFmtId="0" fontId="118" fillId="35" borderId="0" xfId="0" applyFont="1" applyFill="1" applyAlignment="1">
      <alignment horizontal="left" vertical="center"/>
    </xf>
    <xf numFmtId="0" fontId="118" fillId="35" borderId="0" xfId="0" applyFont="1" applyFill="1" applyAlignment="1">
      <alignment horizontal="center" vertical="center"/>
    </xf>
    <xf numFmtId="171" fontId="22" fillId="0" borderId="0" xfId="310" applyNumberFormat="1" applyFont="1" applyBorder="1" applyAlignment="1">
      <alignment vertical="center"/>
    </xf>
    <xf numFmtId="169" fontId="22" fillId="0" borderId="0" xfId="310" applyNumberFormat="1" applyFont="1" applyBorder="1" applyAlignment="1">
      <alignment vertical="center"/>
    </xf>
    <xf numFmtId="171" fontId="25" fillId="0" borderId="0" xfId="0" applyNumberFormat="1" applyFont="1" applyAlignment="1">
      <alignment vertical="center"/>
    </xf>
    <xf numFmtId="0" fontId="25" fillId="0" borderId="0" xfId="301" applyFont="1"/>
    <xf numFmtId="169" fontId="22" fillId="0" borderId="0" xfId="179" applyNumberFormat="1" applyFont="1" applyFill="1" applyBorder="1" applyAlignment="1">
      <alignment vertical="center"/>
    </xf>
    <xf numFmtId="171" fontId="22" fillId="0" borderId="0" xfId="310" applyNumberFormat="1" applyFont="1" applyFill="1" applyBorder="1" applyAlignment="1">
      <alignment vertical="center"/>
    </xf>
    <xf numFmtId="169" fontId="22" fillId="0" borderId="0" xfId="310" applyNumberFormat="1" applyFont="1" applyFill="1" applyBorder="1" applyAlignment="1">
      <alignment vertical="center"/>
    </xf>
    <xf numFmtId="0" fontId="121" fillId="57" borderId="0" xfId="0" applyFont="1" applyFill="1" applyAlignment="1">
      <alignment vertical="center"/>
    </xf>
    <xf numFmtId="169" fontId="121" fillId="0" borderId="0" xfId="179" applyNumberFormat="1" applyFont="1" applyAlignment="1">
      <alignment vertical="center"/>
    </xf>
    <xf numFmtId="0" fontId="121" fillId="0" borderId="0" xfId="0" applyFont="1" applyAlignment="1">
      <alignment vertical="center"/>
    </xf>
    <xf numFmtId="43" fontId="121" fillId="0" borderId="0" xfId="0" applyNumberFormat="1" applyFont="1" applyAlignment="1">
      <alignment vertical="center"/>
    </xf>
    <xf numFmtId="183" fontId="121" fillId="0" borderId="0" xfId="0" applyNumberFormat="1" applyFont="1" applyAlignment="1">
      <alignment vertical="center"/>
    </xf>
    <xf numFmtId="9" fontId="121" fillId="43" borderId="0" xfId="310" applyFont="1" applyFill="1" applyBorder="1" applyAlignment="1">
      <alignment horizontal="right" vertical="center"/>
    </xf>
    <xf numFmtId="10" fontId="25" fillId="0" borderId="0" xfId="0" applyNumberFormat="1" applyFont="1"/>
    <xf numFmtId="0" fontId="25" fillId="0" borderId="25" xfId="0" applyFont="1" applyBorder="1"/>
    <xf numFmtId="0" fontId="22" fillId="59" borderId="0" xfId="0" applyFont="1" applyFill="1"/>
    <xf numFmtId="0" fontId="22" fillId="60" borderId="0" xfId="0" applyFont="1" applyFill="1" applyAlignment="1">
      <alignment horizontal="right"/>
    </xf>
    <xf numFmtId="1" fontId="25" fillId="0" borderId="0" xfId="0" applyNumberFormat="1" applyFont="1"/>
    <xf numFmtId="173" fontId="25" fillId="0" borderId="0" xfId="0" applyNumberFormat="1" applyFont="1"/>
    <xf numFmtId="0" fontId="183" fillId="61" borderId="0" xfId="0" applyFont="1" applyFill="1"/>
    <xf numFmtId="0" fontId="25" fillId="0" borderId="0" xfId="0" applyFont="1" applyAlignment="1">
      <alignment horizontal="left" indent="1"/>
    </xf>
    <xf numFmtId="0" fontId="25" fillId="0" borderId="27" xfId="0" applyFont="1" applyBorder="1"/>
    <xf numFmtId="171" fontId="25" fillId="0" borderId="0" xfId="310" applyNumberFormat="1" applyFill="1" applyAlignment="1">
      <alignment horizontal="right" vertical="center"/>
    </xf>
    <xf numFmtId="0" fontId="185" fillId="0" borderId="0" xfId="0" applyFont="1" applyAlignment="1">
      <alignment vertical="center"/>
    </xf>
    <xf numFmtId="9" fontId="25" fillId="0" borderId="0" xfId="310" applyAlignment="1">
      <alignment horizontal="right" vertical="center"/>
    </xf>
    <xf numFmtId="9" fontId="25" fillId="0" borderId="0" xfId="310" applyAlignment="1">
      <alignment vertical="center"/>
    </xf>
    <xf numFmtId="0" fontId="25" fillId="0" borderId="0" xfId="0" applyFont="1" applyAlignment="1">
      <alignment horizontal="right" vertical="center"/>
    </xf>
    <xf numFmtId="171" fontId="25" fillId="0" borderId="0" xfId="310" applyNumberFormat="1" applyAlignment="1">
      <alignment vertical="center"/>
    </xf>
    <xf numFmtId="9" fontId="185" fillId="0" borderId="0" xfId="310" applyFont="1" applyAlignment="1">
      <alignment vertical="center"/>
    </xf>
    <xf numFmtId="0" fontId="25" fillId="0" borderId="0" xfId="0" applyFont="1" applyAlignment="1">
      <alignment horizontal="center" vertical="center"/>
    </xf>
    <xf numFmtId="10" fontId="186" fillId="62" borderId="23" xfId="310" applyNumberFormat="1" applyFont="1" applyFill="1" applyBorder="1" applyAlignment="1" applyProtection="1">
      <alignment horizontal="right" vertical="center"/>
    </xf>
    <xf numFmtId="0" fontId="25" fillId="0" borderId="20" xfId="0" applyFont="1" applyBorder="1" applyAlignment="1">
      <alignment horizontal="right"/>
    </xf>
    <xf numFmtId="0" fontId="25" fillId="0" borderId="9" xfId="0" applyFont="1" applyBorder="1" applyAlignment="1">
      <alignment horizontal="right"/>
    </xf>
    <xf numFmtId="0" fontId="25" fillId="0" borderId="30" xfId="0" applyFont="1" applyBorder="1" applyAlignment="1">
      <alignment horizontal="right"/>
    </xf>
    <xf numFmtId="0" fontId="25" fillId="0" borderId="25" xfId="0" applyFont="1" applyBorder="1" applyAlignment="1">
      <alignment horizontal="right"/>
    </xf>
    <xf numFmtId="0" fontId="25" fillId="0" borderId="31" xfId="0" applyFont="1" applyBorder="1" applyAlignment="1">
      <alignment horizontal="right"/>
    </xf>
    <xf numFmtId="0" fontId="25" fillId="0" borderId="0" xfId="310" applyNumberFormat="1" applyFill="1" applyAlignment="1"/>
    <xf numFmtId="9" fontId="185" fillId="0" borderId="24" xfId="310" applyFont="1" applyBorder="1" applyAlignment="1"/>
    <xf numFmtId="9" fontId="25" fillId="0" borderId="0" xfId="310" applyAlignment="1">
      <alignment horizontal="right"/>
    </xf>
    <xf numFmtId="10" fontId="124" fillId="0" borderId="28" xfId="310" applyNumberFormat="1" applyFont="1" applyFill="1" applyBorder="1" applyAlignment="1" applyProtection="1">
      <alignment horizontal="right" vertical="center"/>
    </xf>
    <xf numFmtId="9" fontId="121" fillId="43" borderId="28" xfId="310" applyFont="1" applyFill="1" applyBorder="1" applyAlignment="1">
      <alignment horizontal="right" vertical="center"/>
    </xf>
    <xf numFmtId="0" fontId="25" fillId="0" borderId="25" xfId="0" applyFont="1" applyBorder="1" applyAlignment="1">
      <alignment vertical="center"/>
    </xf>
    <xf numFmtId="169" fontId="25" fillId="0" borderId="0" xfId="179" applyNumberFormat="1" applyBorder="1" applyAlignment="1">
      <alignment vertical="center"/>
    </xf>
    <xf numFmtId="0" fontId="25" fillId="0" borderId="31" xfId="0" applyFont="1" applyBorder="1" applyAlignment="1">
      <alignment vertical="center"/>
    </xf>
    <xf numFmtId="0" fontId="25" fillId="0" borderId="26" xfId="0" applyFont="1" applyBorder="1" applyAlignment="1">
      <alignment vertical="center"/>
    </xf>
    <xf numFmtId="0" fontId="25" fillId="0" borderId="28" xfId="0" applyFont="1" applyBorder="1" applyAlignment="1">
      <alignment vertical="center"/>
    </xf>
    <xf numFmtId="0" fontId="25" fillId="0" borderId="29" xfId="0" applyFont="1" applyBorder="1" applyAlignment="1">
      <alignment vertical="center"/>
    </xf>
    <xf numFmtId="0" fontId="185" fillId="0" borderId="24" xfId="0" applyFont="1" applyBorder="1" applyAlignment="1">
      <alignment vertical="center"/>
    </xf>
    <xf numFmtId="0" fontId="25" fillId="0" borderId="24" xfId="0" applyFont="1" applyBorder="1" applyAlignment="1">
      <alignment vertical="center"/>
    </xf>
    <xf numFmtId="184" fontId="22" fillId="0" borderId="25" xfId="0" applyNumberFormat="1" applyFont="1" applyBorder="1" applyAlignment="1">
      <alignment vertical="center"/>
    </xf>
    <xf numFmtId="184" fontId="22" fillId="0" borderId="31" xfId="0" applyNumberFormat="1" applyFont="1" applyBorder="1" applyAlignment="1">
      <alignment vertical="center"/>
    </xf>
    <xf numFmtId="169" fontId="25" fillId="0" borderId="31" xfId="179" applyNumberFormat="1" applyBorder="1" applyAlignment="1">
      <alignment vertical="center"/>
    </xf>
    <xf numFmtId="169" fontId="25" fillId="0" borderId="25" xfId="179" applyNumberFormat="1" applyBorder="1" applyAlignment="1">
      <alignment vertical="center"/>
    </xf>
    <xf numFmtId="169" fontId="25" fillId="0" borderId="0" xfId="179" applyNumberFormat="1" applyFill="1" applyBorder="1" applyAlignment="1">
      <alignment vertical="center"/>
    </xf>
    <xf numFmtId="3" fontId="25" fillId="0" borderId="0" xfId="0" applyNumberFormat="1" applyFont="1" applyAlignment="1">
      <alignment vertical="center"/>
    </xf>
    <xf numFmtId="183" fontId="25" fillId="0" borderId="0" xfId="0" applyNumberFormat="1" applyFont="1" applyAlignment="1">
      <alignment vertical="center"/>
    </xf>
    <xf numFmtId="184" fontId="121" fillId="0" borderId="25" xfId="0" applyNumberFormat="1" applyFont="1" applyBorder="1" applyAlignment="1">
      <alignment vertical="center"/>
    </xf>
    <xf numFmtId="184" fontId="121" fillId="0" borderId="0" xfId="0" applyNumberFormat="1" applyFont="1" applyAlignment="1">
      <alignment vertical="center"/>
    </xf>
    <xf numFmtId="3" fontId="121" fillId="0" borderId="31" xfId="0" applyNumberFormat="1" applyFont="1" applyBorder="1" applyAlignment="1">
      <alignment vertical="center"/>
    </xf>
    <xf numFmtId="3" fontId="121" fillId="0" borderId="25" xfId="0" applyNumberFormat="1" applyFont="1" applyBorder="1" applyAlignment="1">
      <alignment vertical="center"/>
    </xf>
    <xf numFmtId="3" fontId="121" fillId="0" borderId="0" xfId="0" applyNumberFormat="1" applyFont="1" applyAlignment="1">
      <alignment vertical="center"/>
    </xf>
    <xf numFmtId="169" fontId="121" fillId="0" borderId="0" xfId="179" applyNumberFormat="1" applyFont="1" applyBorder="1" applyAlignment="1">
      <alignment vertical="center"/>
    </xf>
    <xf numFmtId="169" fontId="121" fillId="0" borderId="31" xfId="179" applyNumberFormat="1" applyFont="1" applyBorder="1" applyAlignment="1">
      <alignment vertical="center"/>
    </xf>
    <xf numFmtId="169" fontId="121" fillId="0" borderId="25" xfId="179" applyNumberFormat="1" applyFont="1" applyBorder="1" applyAlignment="1">
      <alignment vertical="center"/>
    </xf>
    <xf numFmtId="9" fontId="121" fillId="0" borderId="0" xfId="310" applyFont="1" applyAlignment="1">
      <alignment horizontal="right" vertical="center"/>
    </xf>
    <xf numFmtId="9" fontId="121" fillId="0" borderId="0" xfId="310" applyFont="1" applyAlignment="1">
      <alignment vertical="center"/>
    </xf>
    <xf numFmtId="171" fontId="121" fillId="0" borderId="0" xfId="310" applyNumberFormat="1" applyFont="1" applyAlignment="1">
      <alignment horizontal="right" vertical="center"/>
    </xf>
    <xf numFmtId="171" fontId="121" fillId="43" borderId="0" xfId="310" applyNumberFormat="1" applyFont="1" applyFill="1" applyBorder="1" applyAlignment="1">
      <alignment vertical="center"/>
    </xf>
    <xf numFmtId="10" fontId="125" fillId="43" borderId="25" xfId="310" applyNumberFormat="1" applyFont="1" applyFill="1" applyBorder="1" applyAlignment="1" applyProtection="1">
      <alignment vertical="center"/>
    </xf>
    <xf numFmtId="10" fontId="125" fillId="43" borderId="0" xfId="310" applyNumberFormat="1" applyFont="1" applyFill="1" applyBorder="1" applyAlignment="1" applyProtection="1">
      <alignment vertical="center"/>
    </xf>
    <xf numFmtId="10" fontId="125" fillId="43" borderId="31" xfId="310" applyNumberFormat="1" applyFont="1" applyFill="1" applyBorder="1" applyAlignment="1" applyProtection="1">
      <alignment vertical="center"/>
    </xf>
    <xf numFmtId="10" fontId="125" fillId="0" borderId="25" xfId="310" applyNumberFormat="1" applyFont="1" applyFill="1" applyBorder="1" applyAlignment="1" applyProtection="1">
      <alignment vertical="center"/>
    </xf>
    <xf numFmtId="10" fontId="125" fillId="0" borderId="0" xfId="310" applyNumberFormat="1" applyFont="1" applyFill="1" applyBorder="1" applyAlignment="1" applyProtection="1">
      <alignment vertical="center"/>
    </xf>
    <xf numFmtId="9" fontId="121" fillId="43" borderId="0" xfId="310" applyFont="1" applyFill="1" applyBorder="1" applyAlignment="1" applyProtection="1">
      <alignment horizontal="right" vertical="center"/>
    </xf>
    <xf numFmtId="9" fontId="121" fillId="43" borderId="0" xfId="310" applyFont="1" applyFill="1" applyBorder="1" applyAlignment="1" applyProtection="1">
      <alignment vertical="center"/>
    </xf>
    <xf numFmtId="169" fontId="22" fillId="0" borderId="0" xfId="179" applyNumberFormat="1" applyFont="1" applyBorder="1" applyAlignment="1">
      <alignment vertical="center"/>
    </xf>
    <xf numFmtId="169" fontId="22" fillId="0" borderId="31" xfId="179" applyNumberFormat="1" applyFont="1" applyBorder="1" applyAlignment="1">
      <alignment vertical="center"/>
    </xf>
    <xf numFmtId="169" fontId="22" fillId="0" borderId="25" xfId="179" applyNumberFormat="1" applyFont="1" applyBorder="1" applyAlignment="1">
      <alignment vertical="center"/>
    </xf>
    <xf numFmtId="169" fontId="22" fillId="0" borderId="25" xfId="179" applyNumberFormat="1" applyFont="1" applyFill="1" applyBorder="1" applyAlignment="1">
      <alignment vertical="center"/>
    </xf>
    <xf numFmtId="171" fontId="25" fillId="0" borderId="0" xfId="310" applyNumberFormat="1" applyAlignment="1">
      <alignment horizontal="right" vertical="center"/>
    </xf>
    <xf numFmtId="10" fontId="121" fillId="0" borderId="0" xfId="0" applyNumberFormat="1" applyFont="1" applyAlignment="1">
      <alignment horizontal="right" vertical="center"/>
    </xf>
    <xf numFmtId="10" fontId="25" fillId="0" borderId="0" xfId="0" applyNumberFormat="1" applyFont="1" applyAlignment="1">
      <alignment horizontal="right" vertical="center"/>
    </xf>
    <xf numFmtId="184" fontId="25" fillId="0" borderId="25" xfId="0" applyNumberFormat="1" applyFont="1" applyBorder="1" applyAlignment="1">
      <alignment vertical="center"/>
    </xf>
    <xf numFmtId="184" fontId="25" fillId="0" borderId="0" xfId="0" applyNumberFormat="1" applyFont="1" applyAlignment="1">
      <alignment vertical="center"/>
    </xf>
    <xf numFmtId="184" fontId="25" fillId="0" borderId="31" xfId="0" applyNumberFormat="1" applyFont="1" applyBorder="1" applyAlignment="1">
      <alignment vertical="center"/>
    </xf>
    <xf numFmtId="3" fontId="25" fillId="0" borderId="31" xfId="0" applyNumberFormat="1" applyFont="1" applyBorder="1" applyAlignment="1">
      <alignment vertical="center"/>
    </xf>
    <xf numFmtId="183" fontId="22" fillId="0" borderId="0" xfId="179" applyNumberFormat="1" applyFont="1" applyFill="1" applyBorder="1" applyAlignment="1" applyProtection="1">
      <alignment horizontal="right" vertical="center"/>
    </xf>
    <xf numFmtId="9" fontId="25" fillId="0" borderId="0" xfId="310" applyFill="1" applyAlignment="1">
      <alignment horizontal="right" vertical="center"/>
    </xf>
    <xf numFmtId="3" fontId="22" fillId="0" borderId="25" xfId="0" applyNumberFormat="1" applyFont="1" applyBorder="1" applyAlignment="1">
      <alignment vertical="center"/>
    </xf>
    <xf numFmtId="3" fontId="22" fillId="0" borderId="0" xfId="0" applyNumberFormat="1" applyFont="1" applyAlignment="1">
      <alignment vertical="center"/>
    </xf>
    <xf numFmtId="183" fontId="25" fillId="0" borderId="0" xfId="310" applyNumberFormat="1" applyFill="1" applyBorder="1" applyAlignment="1" applyProtection="1">
      <alignment horizontal="right" vertical="center"/>
    </xf>
    <xf numFmtId="183" fontId="25" fillId="0" borderId="0" xfId="0" applyNumberFormat="1" applyFont="1" applyAlignment="1">
      <alignment horizontal="right" vertical="center"/>
    </xf>
    <xf numFmtId="10" fontId="124" fillId="43" borderId="0" xfId="310" applyNumberFormat="1" applyFont="1" applyFill="1" applyBorder="1" applyAlignment="1" applyProtection="1">
      <alignment vertical="center"/>
    </xf>
    <xf numFmtId="43" fontId="25" fillId="0" borderId="25" xfId="0" applyNumberFormat="1" applyFont="1" applyBorder="1" applyAlignment="1">
      <alignment vertical="center"/>
    </xf>
    <xf numFmtId="183" fontId="25" fillId="0" borderId="31" xfId="0" applyNumberFormat="1" applyFont="1" applyBorder="1" applyAlignment="1">
      <alignment vertical="center"/>
    </xf>
    <xf numFmtId="3" fontId="25" fillId="0" borderId="25" xfId="0" applyNumberFormat="1" applyFont="1" applyBorder="1" applyAlignment="1">
      <alignment vertical="center"/>
    </xf>
    <xf numFmtId="169" fontId="25" fillId="0" borderId="0" xfId="310" applyNumberFormat="1" applyAlignment="1">
      <alignment vertical="center"/>
    </xf>
    <xf numFmtId="184" fontId="121" fillId="0" borderId="31" xfId="0" applyNumberFormat="1" applyFont="1" applyBorder="1" applyAlignment="1">
      <alignment vertical="center"/>
    </xf>
    <xf numFmtId="10" fontId="121" fillId="0" borderId="0" xfId="179" applyNumberFormat="1" applyFont="1" applyBorder="1" applyAlignment="1">
      <alignment vertical="center"/>
    </xf>
    <xf numFmtId="0" fontId="121" fillId="0" borderId="25" xfId="0" applyFont="1" applyBorder="1" applyAlignment="1">
      <alignment vertical="center"/>
    </xf>
    <xf numFmtId="183" fontId="25" fillId="0" borderId="25" xfId="0" applyNumberFormat="1" applyFont="1" applyBorder="1" applyAlignment="1">
      <alignment horizontal="right" vertical="center"/>
    </xf>
    <xf numFmtId="175" fontId="25" fillId="0" borderId="31" xfId="179" applyNumberFormat="1" applyBorder="1" applyAlignment="1">
      <alignment vertical="center"/>
    </xf>
    <xf numFmtId="10" fontId="124" fillId="43" borderId="25" xfId="310" applyNumberFormat="1" applyFont="1" applyFill="1" applyBorder="1" applyAlignment="1" applyProtection="1">
      <alignment vertical="center"/>
    </xf>
    <xf numFmtId="10" fontId="25" fillId="0" borderId="0" xfId="310" applyNumberFormat="1" applyFill="1" applyBorder="1" applyAlignment="1" applyProtection="1">
      <alignment horizontal="right" vertical="center"/>
    </xf>
    <xf numFmtId="10" fontId="25" fillId="0" borderId="0" xfId="179" applyNumberFormat="1" applyBorder="1" applyAlignment="1">
      <alignment vertical="center"/>
    </xf>
    <xf numFmtId="10" fontId="25" fillId="0" borderId="0" xfId="0" applyNumberFormat="1" applyFont="1" applyAlignment="1">
      <alignment vertical="center"/>
    </xf>
    <xf numFmtId="10" fontId="124" fillId="0" borderId="0" xfId="310" applyNumberFormat="1" applyFont="1" applyFill="1" applyBorder="1" applyAlignment="1" applyProtection="1">
      <alignment vertical="center"/>
    </xf>
    <xf numFmtId="10" fontId="124" fillId="43" borderId="31" xfId="310" applyNumberFormat="1" applyFont="1" applyFill="1" applyBorder="1" applyAlignment="1" applyProtection="1">
      <alignment vertical="center"/>
    </xf>
    <xf numFmtId="10" fontId="25" fillId="0" borderId="0" xfId="310" applyNumberFormat="1" applyBorder="1" applyAlignment="1">
      <alignment vertical="center"/>
    </xf>
    <xf numFmtId="175" fontId="25" fillId="0" borderId="33" xfId="179" applyNumberFormat="1" applyBorder="1" applyAlignment="1">
      <alignment vertical="center"/>
    </xf>
    <xf numFmtId="183" fontId="22" fillId="0" borderId="0" xfId="0" applyNumberFormat="1" applyFont="1" applyAlignment="1">
      <alignment horizontal="right" vertical="center"/>
    </xf>
    <xf numFmtId="183" fontId="22" fillId="0" borderId="31" xfId="0" applyNumberFormat="1" applyFont="1" applyBorder="1" applyAlignment="1">
      <alignment horizontal="right" vertical="center"/>
    </xf>
    <xf numFmtId="184" fontId="22" fillId="43" borderId="25" xfId="0" applyNumberFormat="1" applyFont="1" applyFill="1" applyBorder="1" applyAlignment="1">
      <alignment horizontal="right" vertical="center"/>
    </xf>
    <xf numFmtId="184" fontId="22" fillId="43" borderId="0" xfId="0" applyNumberFormat="1" applyFont="1" applyFill="1" applyAlignment="1">
      <alignment horizontal="right" vertical="center"/>
    </xf>
    <xf numFmtId="184" fontId="22" fillId="43" borderId="31" xfId="0" applyNumberFormat="1" applyFont="1" applyFill="1" applyBorder="1" applyAlignment="1">
      <alignment horizontal="right" vertical="center"/>
    </xf>
    <xf numFmtId="184" fontId="22" fillId="0" borderId="25" xfId="0" applyNumberFormat="1" applyFont="1" applyBorder="1" applyAlignment="1">
      <alignment horizontal="right" vertical="center"/>
    </xf>
    <xf numFmtId="184" fontId="22" fillId="0" borderId="0" xfId="0" applyNumberFormat="1" applyFont="1" applyAlignment="1">
      <alignment horizontal="right" vertical="center"/>
    </xf>
    <xf numFmtId="184" fontId="22" fillId="0" borderId="31" xfId="0" applyNumberFormat="1" applyFont="1" applyBorder="1" applyAlignment="1">
      <alignment horizontal="right" vertical="center"/>
    </xf>
    <xf numFmtId="184" fontId="122" fillId="43" borderId="25" xfId="0" applyNumberFormat="1" applyFont="1" applyFill="1" applyBorder="1" applyAlignment="1">
      <alignment horizontal="right" vertical="center"/>
    </xf>
    <xf numFmtId="184" fontId="122" fillId="43" borderId="0" xfId="0" applyNumberFormat="1" applyFont="1" applyFill="1" applyAlignment="1">
      <alignment horizontal="right" vertical="center"/>
    </xf>
    <xf numFmtId="184" fontId="122" fillId="43" borderId="31" xfId="0" applyNumberFormat="1" applyFont="1" applyFill="1" applyBorder="1" applyAlignment="1">
      <alignment horizontal="right" vertical="center"/>
    </xf>
    <xf numFmtId="171" fontId="121" fillId="0" borderId="0" xfId="310" applyNumberFormat="1" applyFont="1" applyFill="1" applyBorder="1" applyAlignment="1">
      <alignment horizontal="right" vertical="center"/>
    </xf>
    <xf numFmtId="10" fontId="125" fillId="0" borderId="31" xfId="310" applyNumberFormat="1" applyFont="1" applyFill="1" applyBorder="1" applyAlignment="1" applyProtection="1">
      <alignment vertical="center"/>
    </xf>
    <xf numFmtId="9" fontId="25" fillId="43" borderId="0" xfId="310" applyFill="1" applyBorder="1" applyAlignment="1" applyProtection="1">
      <alignment vertical="center"/>
    </xf>
    <xf numFmtId="3" fontId="25" fillId="0" borderId="0" xfId="310" applyNumberFormat="1" applyAlignment="1">
      <alignment vertical="center"/>
    </xf>
    <xf numFmtId="170" fontId="22" fillId="0" borderId="0" xfId="0" applyNumberFormat="1" applyFont="1" applyAlignment="1">
      <alignment horizontal="right" vertical="center"/>
    </xf>
    <xf numFmtId="9" fontId="25" fillId="0" borderId="25" xfId="310" applyBorder="1" applyAlignment="1">
      <alignment vertical="center"/>
    </xf>
    <xf numFmtId="43" fontId="25" fillId="0" borderId="0" xfId="0" applyNumberFormat="1" applyFont="1" applyAlignment="1">
      <alignment vertical="center"/>
    </xf>
    <xf numFmtId="0" fontId="121" fillId="0" borderId="31" xfId="0" applyFont="1" applyBorder="1" applyAlignment="1">
      <alignment vertical="center"/>
    </xf>
    <xf numFmtId="0" fontId="121" fillId="0" borderId="24" xfId="0" applyFont="1" applyBorder="1" applyAlignment="1">
      <alignment vertical="center"/>
    </xf>
    <xf numFmtId="183" fontId="121" fillId="0" borderId="0" xfId="0" applyNumberFormat="1" applyFont="1" applyAlignment="1">
      <alignment horizontal="right" vertical="center"/>
    </xf>
    <xf numFmtId="43" fontId="121" fillId="0" borderId="25" xfId="0" applyNumberFormat="1" applyFont="1" applyBorder="1" applyAlignment="1">
      <alignment vertical="center"/>
    </xf>
    <xf numFmtId="9" fontId="121" fillId="0" borderId="0" xfId="0" applyNumberFormat="1" applyFont="1" applyAlignment="1">
      <alignment horizontal="right" vertical="center"/>
    </xf>
    <xf numFmtId="171" fontId="121" fillId="0" borderId="0" xfId="0" applyNumberFormat="1" applyFont="1" applyAlignment="1">
      <alignment horizontal="right" vertical="center"/>
    </xf>
    <xf numFmtId="171" fontId="121" fillId="0" borderId="25" xfId="0" applyNumberFormat="1" applyFont="1" applyBorder="1" applyAlignment="1">
      <alignment vertical="center"/>
    </xf>
    <xf numFmtId="171" fontId="121" fillId="0" borderId="0" xfId="0" applyNumberFormat="1" applyFont="1" applyAlignment="1">
      <alignment vertical="center"/>
    </xf>
    <xf numFmtId="171" fontId="121" fillId="0" borderId="31" xfId="0" applyNumberFormat="1" applyFont="1" applyBorder="1" applyAlignment="1">
      <alignment vertical="center"/>
    </xf>
    <xf numFmtId="171" fontId="121" fillId="0" borderId="25" xfId="310" applyNumberFormat="1" applyFont="1" applyBorder="1" applyAlignment="1">
      <alignment vertical="center"/>
    </xf>
    <xf numFmtId="171" fontId="121" fillId="0" borderId="0" xfId="310" applyNumberFormat="1" applyFont="1" applyBorder="1" applyAlignment="1">
      <alignment vertical="center"/>
    </xf>
    <xf numFmtId="1" fontId="25" fillId="0" borderId="31" xfId="0" applyNumberFormat="1" applyFont="1" applyBorder="1" applyAlignment="1">
      <alignment vertical="center"/>
    </xf>
    <xf numFmtId="1" fontId="25" fillId="0" borderId="25" xfId="0" applyNumberFormat="1" applyFont="1" applyBorder="1" applyAlignment="1">
      <alignment vertical="center"/>
    </xf>
    <xf numFmtId="183" fontId="22" fillId="43" borderId="0" xfId="0" applyNumberFormat="1" applyFont="1" applyFill="1" applyAlignment="1">
      <alignment horizontal="right" vertical="center"/>
    </xf>
    <xf numFmtId="9" fontId="121" fillId="0" borderId="0" xfId="310" applyFont="1" applyFill="1" applyAlignment="1">
      <alignment horizontal="right" vertical="center"/>
    </xf>
    <xf numFmtId="184" fontId="121" fillId="43" borderId="25" xfId="0" applyNumberFormat="1" applyFont="1" applyFill="1" applyBorder="1" applyAlignment="1">
      <alignment horizontal="right" vertical="center"/>
    </xf>
    <xf numFmtId="184" fontId="121" fillId="43" borderId="0" xfId="0" applyNumberFormat="1" applyFont="1" applyFill="1" applyAlignment="1">
      <alignment horizontal="right" vertical="center"/>
    </xf>
    <xf numFmtId="184" fontId="121" fillId="43" borderId="31" xfId="0" applyNumberFormat="1" applyFont="1" applyFill="1" applyBorder="1" applyAlignment="1">
      <alignment horizontal="right" vertical="center"/>
    </xf>
    <xf numFmtId="9" fontId="121" fillId="0" borderId="0" xfId="310" applyFont="1" applyBorder="1" applyAlignment="1">
      <alignment horizontal="right" vertical="center"/>
    </xf>
    <xf numFmtId="9" fontId="121" fillId="0" borderId="0" xfId="310" applyFont="1" applyBorder="1" applyAlignment="1">
      <alignment vertical="center"/>
    </xf>
    <xf numFmtId="169" fontId="25" fillId="0" borderId="0" xfId="0" applyNumberFormat="1" applyFont="1" applyAlignment="1">
      <alignment horizontal="right" vertical="center"/>
    </xf>
    <xf numFmtId="4" fontId="25" fillId="0" borderId="31" xfId="0" applyNumberFormat="1" applyFont="1" applyBorder="1" applyAlignment="1">
      <alignment vertical="center"/>
    </xf>
    <xf numFmtId="4" fontId="25" fillId="0" borderId="0" xfId="0" applyNumberFormat="1" applyFont="1" applyAlignment="1">
      <alignment vertical="center"/>
    </xf>
    <xf numFmtId="9" fontId="25" fillId="43" borderId="0" xfId="310" applyFill="1" applyBorder="1" applyAlignment="1">
      <alignment horizontal="right" vertical="center"/>
    </xf>
    <xf numFmtId="171" fontId="25" fillId="0" borderId="25" xfId="310" applyNumberFormat="1" applyBorder="1" applyAlignment="1">
      <alignment vertical="center"/>
    </xf>
    <xf numFmtId="171" fontId="25" fillId="0" borderId="0" xfId="310" applyNumberFormat="1" applyBorder="1" applyAlignment="1">
      <alignment vertical="center"/>
    </xf>
    <xf numFmtId="171" fontId="25" fillId="0" borderId="31" xfId="310" applyNumberFormat="1" applyBorder="1" applyAlignment="1">
      <alignment vertical="center"/>
    </xf>
    <xf numFmtId="171" fontId="25" fillId="0" borderId="0" xfId="310" applyNumberFormat="1" applyFill="1" applyBorder="1" applyAlignment="1">
      <alignment vertical="center"/>
    </xf>
    <xf numFmtId="183" fontId="22" fillId="0" borderId="0" xfId="310" applyNumberFormat="1" applyFont="1" applyFill="1" applyBorder="1" applyAlignment="1" applyProtection="1">
      <alignment horizontal="right" vertical="center"/>
    </xf>
    <xf numFmtId="169" fontId="22" fillId="0" borderId="31" xfId="179" applyNumberFormat="1" applyFont="1" applyFill="1" applyBorder="1" applyAlignment="1">
      <alignment vertical="center"/>
    </xf>
    <xf numFmtId="37" fontId="22" fillId="43" borderId="27" xfId="0" applyNumberFormat="1" applyFont="1" applyFill="1" applyBorder="1" applyAlignment="1">
      <alignment horizontal="right" vertical="center"/>
    </xf>
    <xf numFmtId="0" fontId="187" fillId="0" borderId="0" xfId="0" applyFont="1" applyAlignment="1">
      <alignment vertical="center"/>
    </xf>
    <xf numFmtId="184" fontId="25" fillId="0" borderId="0" xfId="0" applyNumberFormat="1" applyFont="1" applyAlignment="1">
      <alignment horizontal="right" vertical="center"/>
    </xf>
    <xf numFmtId="171" fontId="25" fillId="0" borderId="0" xfId="0" applyNumberFormat="1" applyFont="1" applyAlignment="1">
      <alignment horizontal="right" vertical="center"/>
    </xf>
    <xf numFmtId="171" fontId="121" fillId="43" borderId="0" xfId="310" applyNumberFormat="1" applyFont="1" applyFill="1" applyBorder="1" applyAlignment="1">
      <alignment horizontal="right" vertical="center"/>
    </xf>
    <xf numFmtId="171" fontId="121" fillId="43" borderId="25" xfId="310" applyNumberFormat="1" applyFont="1" applyFill="1" applyBorder="1" applyAlignment="1">
      <alignment horizontal="right" vertical="center"/>
    </xf>
    <xf numFmtId="171" fontId="121" fillId="43" borderId="31" xfId="310" applyNumberFormat="1" applyFont="1" applyFill="1" applyBorder="1" applyAlignment="1">
      <alignment horizontal="right" vertical="center"/>
    </xf>
    <xf numFmtId="171" fontId="121" fillId="43" borderId="0" xfId="310" applyNumberFormat="1" applyFont="1" applyFill="1" applyBorder="1" applyAlignment="1" applyProtection="1">
      <alignment horizontal="right" vertical="center"/>
    </xf>
    <xf numFmtId="0" fontId="121" fillId="0" borderId="32" xfId="0" applyFont="1" applyBorder="1" applyAlignment="1">
      <alignment vertical="center"/>
    </xf>
    <xf numFmtId="169" fontId="121" fillId="0" borderId="27" xfId="179" applyNumberFormat="1" applyFont="1" applyBorder="1" applyAlignment="1">
      <alignment vertical="center"/>
    </xf>
    <xf numFmtId="0" fontId="121" fillId="0" borderId="27" xfId="0" applyFont="1" applyBorder="1" applyAlignment="1">
      <alignment vertical="center"/>
    </xf>
    <xf numFmtId="0" fontId="121" fillId="0" borderId="33" xfId="0" applyFont="1" applyBorder="1" applyAlignment="1">
      <alignment vertical="center"/>
    </xf>
    <xf numFmtId="3" fontId="25" fillId="43" borderId="0" xfId="0" applyNumberFormat="1" applyFont="1" applyFill="1" applyAlignment="1">
      <alignment vertical="center"/>
    </xf>
    <xf numFmtId="169" fontId="25" fillId="0" borderId="0" xfId="179" applyNumberFormat="1" applyFill="1" applyAlignment="1">
      <alignment horizontal="right" vertical="center"/>
    </xf>
    <xf numFmtId="169" fontId="25" fillId="43" borderId="0" xfId="179" applyNumberFormat="1" applyFill="1" applyBorder="1" applyAlignment="1"/>
    <xf numFmtId="9" fontId="25" fillId="43" borderId="0" xfId="310" applyFill="1" applyBorder="1" applyAlignment="1"/>
    <xf numFmtId="168" fontId="25" fillId="43" borderId="0" xfId="179" applyFill="1" applyBorder="1" applyAlignment="1"/>
    <xf numFmtId="43" fontId="25" fillId="0" borderId="0" xfId="0" applyNumberFormat="1" applyFont="1" applyAlignment="1">
      <alignment horizontal="right" vertical="center"/>
    </xf>
    <xf numFmtId="0" fontId="22" fillId="0" borderId="0" xfId="0" applyFont="1" applyAlignment="1">
      <alignment horizontal="right" vertical="center"/>
    </xf>
    <xf numFmtId="0" fontId="121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9" fontId="25" fillId="0" borderId="0" xfId="0" applyNumberFormat="1" applyFont="1" applyAlignment="1">
      <alignment horizontal="right" vertical="center"/>
    </xf>
    <xf numFmtId="169" fontId="22" fillId="0" borderId="0" xfId="179" applyNumberFormat="1" applyFont="1" applyAlignment="1">
      <alignment horizontal="right" vertical="center"/>
    </xf>
    <xf numFmtId="169" fontId="22" fillId="0" borderId="0" xfId="179" applyNumberFormat="1" applyFont="1" applyAlignment="1">
      <alignment vertical="center"/>
    </xf>
    <xf numFmtId="169" fontId="22" fillId="0" borderId="0" xfId="0" applyNumberFormat="1" applyFont="1" applyAlignment="1">
      <alignment vertical="center"/>
    </xf>
    <xf numFmtId="0" fontId="186" fillId="0" borderId="0" xfId="0" applyFont="1" applyAlignment="1">
      <alignment vertical="center"/>
    </xf>
    <xf numFmtId="169" fontId="25" fillId="0" borderId="0" xfId="179" applyNumberFormat="1" applyAlignment="1">
      <alignment horizontal="right" vertical="center"/>
    </xf>
    <xf numFmtId="169" fontId="25" fillId="0" borderId="0" xfId="0" applyNumberFormat="1" applyFont="1" applyAlignment="1">
      <alignment vertical="center"/>
    </xf>
    <xf numFmtId="9" fontId="25" fillId="0" borderId="0" xfId="310" applyFill="1" applyAlignment="1">
      <alignment vertical="center"/>
    </xf>
    <xf numFmtId="169" fontId="22" fillId="0" borderId="0" xfId="0" applyNumberFormat="1" applyFont="1" applyAlignment="1">
      <alignment horizontal="right" vertical="center"/>
    </xf>
    <xf numFmtId="184" fontId="186" fillId="0" borderId="0" xfId="0" applyNumberFormat="1" applyFont="1" applyAlignment="1">
      <alignment vertical="center"/>
    </xf>
    <xf numFmtId="169" fontId="25" fillId="0" borderId="0" xfId="310" applyNumberFormat="1" applyFill="1" applyBorder="1" applyAlignment="1">
      <alignment vertical="center"/>
    </xf>
    <xf numFmtId="169" fontId="25" fillId="0" borderId="0" xfId="310" applyNumberFormat="1" applyBorder="1" applyAlignment="1">
      <alignment vertical="center"/>
    </xf>
    <xf numFmtId="169" fontId="185" fillId="0" borderId="0" xfId="310" applyNumberFormat="1" applyFont="1" applyFill="1" applyAlignment="1">
      <alignment vertical="center"/>
    </xf>
    <xf numFmtId="169" fontId="185" fillId="0" borderId="0" xfId="310" applyNumberFormat="1" applyFont="1" applyAlignment="1">
      <alignment vertical="center"/>
    </xf>
    <xf numFmtId="169" fontId="185" fillId="0" borderId="0" xfId="0" applyNumberFormat="1" applyFont="1" applyAlignment="1">
      <alignment vertical="center"/>
    </xf>
    <xf numFmtId="171" fontId="22" fillId="0" borderId="0" xfId="310" applyNumberFormat="1" applyFont="1" applyAlignment="1">
      <alignment horizontal="right" vertical="center"/>
    </xf>
    <xf numFmtId="171" fontId="25" fillId="0" borderId="0" xfId="310" applyNumberFormat="1" applyFill="1" applyBorder="1" applyAlignment="1">
      <alignment horizontal="right" vertical="center"/>
    </xf>
    <xf numFmtId="171" fontId="25" fillId="0" borderId="0" xfId="310" applyNumberFormat="1" applyBorder="1" applyAlignment="1">
      <alignment horizontal="right" vertical="center"/>
    </xf>
    <xf numFmtId="10" fontId="22" fillId="0" borderId="0" xfId="310" applyNumberFormat="1" applyFont="1" applyAlignment="1">
      <alignment horizontal="right" vertical="center"/>
    </xf>
    <xf numFmtId="168" fontId="25" fillId="0" borderId="0" xfId="179" applyAlignment="1">
      <alignment vertical="center"/>
    </xf>
    <xf numFmtId="9" fontId="25" fillId="0" borderId="0" xfId="0" applyNumberFormat="1" applyFont="1" applyAlignment="1">
      <alignment vertical="center"/>
    </xf>
    <xf numFmtId="9" fontId="22" fillId="0" borderId="0" xfId="0" applyNumberFormat="1" applyFont="1" applyAlignment="1">
      <alignment horizontal="right" vertical="center"/>
    </xf>
    <xf numFmtId="0" fontId="22" fillId="0" borderId="0" xfId="0" applyFont="1" applyAlignment="1">
      <alignment horizontal="left" vertical="center"/>
    </xf>
    <xf numFmtId="0" fontId="25" fillId="0" borderId="0" xfId="0" quotePrefix="1" applyFont="1" applyAlignment="1">
      <alignment horizontal="left" vertical="center"/>
    </xf>
    <xf numFmtId="10" fontId="25" fillId="0" borderId="0" xfId="310" applyNumberFormat="1" applyFill="1" applyAlignment="1">
      <alignment horizontal="right" vertical="center"/>
    </xf>
    <xf numFmtId="0" fontId="25" fillId="0" borderId="31" xfId="0" applyFont="1" applyBorder="1"/>
    <xf numFmtId="3" fontId="25" fillId="0" borderId="0" xfId="0" applyNumberFormat="1" applyFont="1" applyAlignment="1">
      <alignment horizontal="right"/>
    </xf>
    <xf numFmtId="3" fontId="25" fillId="0" borderId="0" xfId="0" applyNumberFormat="1" applyFont="1"/>
    <xf numFmtId="3" fontId="25" fillId="0" borderId="31" xfId="0" applyNumberFormat="1" applyFont="1" applyBorder="1"/>
    <xf numFmtId="3" fontId="25" fillId="0" borderId="31" xfId="0" applyNumberFormat="1" applyFont="1" applyBorder="1" applyAlignment="1">
      <alignment horizontal="right"/>
    </xf>
    <xf numFmtId="3" fontId="22" fillId="0" borderId="0" xfId="0" applyNumberFormat="1" applyFont="1"/>
    <xf numFmtId="3" fontId="22" fillId="0" borderId="31" xfId="0" applyNumberFormat="1" applyFont="1" applyBorder="1"/>
    <xf numFmtId="3" fontId="25" fillId="63" borderId="0" xfId="0" applyNumberFormat="1" applyFont="1" applyFill="1" applyAlignment="1">
      <alignment horizontal="right"/>
    </xf>
    <xf numFmtId="3" fontId="22" fillId="0" borderId="31" xfId="0" applyNumberFormat="1" applyFont="1" applyBorder="1" applyAlignment="1">
      <alignment horizontal="right"/>
    </xf>
    <xf numFmtId="3" fontId="22" fillId="0" borderId="0" xfId="0" applyNumberFormat="1" applyFont="1" applyAlignment="1">
      <alignment horizontal="right"/>
    </xf>
    <xf numFmtId="3" fontId="121" fillId="0" borderId="0" xfId="0" applyNumberFormat="1" applyFont="1"/>
    <xf numFmtId="169" fontId="25" fillId="0" borderId="0" xfId="179" applyNumberFormat="1" applyFill="1" applyBorder="1" applyAlignment="1" applyProtection="1">
      <alignment horizontal="center"/>
    </xf>
    <xf numFmtId="0" fontId="132" fillId="0" borderId="25" xfId="0" applyFont="1" applyBorder="1"/>
    <xf numFmtId="169" fontId="133" fillId="0" borderId="0" xfId="179" applyNumberFormat="1" applyFont="1" applyFill="1" applyBorder="1" applyAlignment="1" applyProtection="1">
      <alignment horizontal="center"/>
    </xf>
    <xf numFmtId="43" fontId="25" fillId="0" borderId="0" xfId="0" applyNumberFormat="1" applyFont="1"/>
    <xf numFmtId="169" fontId="126" fillId="0" borderId="0" xfId="179" applyNumberFormat="1" applyFont="1" applyFill="1" applyBorder="1" applyAlignment="1" applyProtection="1">
      <alignment horizontal="center"/>
    </xf>
    <xf numFmtId="171" fontId="25" fillId="0" borderId="0" xfId="310" applyNumberFormat="1" applyFill="1" applyBorder="1" applyAlignment="1" applyProtection="1"/>
    <xf numFmtId="171" fontId="25" fillId="0" borderId="25" xfId="310" applyNumberFormat="1" applyFill="1" applyBorder="1" applyAlignment="1" applyProtection="1"/>
    <xf numFmtId="171" fontId="25" fillId="0" borderId="31" xfId="310" applyNumberFormat="1" applyFill="1" applyBorder="1" applyAlignment="1" applyProtection="1"/>
    <xf numFmtId="168" fontId="25" fillId="0" borderId="0" xfId="179" applyFill="1" applyBorder="1" applyAlignment="1" applyProtection="1"/>
    <xf numFmtId="168" fontId="25" fillId="0" borderId="0" xfId="179" applyFill="1" applyBorder="1" applyAlignment="1" applyProtection="1">
      <alignment horizontal="center"/>
    </xf>
    <xf numFmtId="171" fontId="25" fillId="0" borderId="0" xfId="179" applyNumberFormat="1" applyFill="1" applyBorder="1" applyAlignment="1" applyProtection="1"/>
    <xf numFmtId="171" fontId="25" fillId="0" borderId="0" xfId="179" applyNumberFormat="1" applyFill="1" applyBorder="1" applyAlignment="1" applyProtection="1">
      <alignment horizontal="right"/>
    </xf>
    <xf numFmtId="0" fontId="131" fillId="0" borderId="0" xfId="0" applyFont="1"/>
    <xf numFmtId="8" fontId="25" fillId="0" borderId="0" xfId="0" applyNumberFormat="1" applyFont="1"/>
    <xf numFmtId="169" fontId="22" fillId="0" borderId="0" xfId="0" applyNumberFormat="1" applyFont="1"/>
    <xf numFmtId="184" fontId="25" fillId="0" borderId="0" xfId="0" applyNumberFormat="1" applyFont="1"/>
    <xf numFmtId="169" fontId="25" fillId="0" borderId="0" xfId="0" applyNumberFormat="1" applyFont="1"/>
    <xf numFmtId="14" fontId="25" fillId="0" borderId="0" xfId="0" applyNumberFormat="1" applyFont="1"/>
    <xf numFmtId="167" fontId="25" fillId="43" borderId="0" xfId="0" applyNumberFormat="1" applyFont="1" applyFill="1"/>
    <xf numFmtId="169" fontId="22" fillId="43" borderId="0" xfId="179" applyNumberFormat="1" applyFont="1" applyFill="1" applyBorder="1" applyAlignment="1" applyProtection="1"/>
    <xf numFmtId="169" fontId="25" fillId="43" borderId="0" xfId="179" applyNumberFormat="1" applyFill="1" applyBorder="1" applyAlignment="1" applyProtection="1"/>
    <xf numFmtId="169" fontId="25" fillId="43" borderId="0" xfId="0" applyNumberFormat="1" applyFont="1" applyFill="1"/>
    <xf numFmtId="169" fontId="126" fillId="43" borderId="0" xfId="0" applyNumberFormat="1" applyFont="1" applyFill="1"/>
    <xf numFmtId="169" fontId="22" fillId="43" borderId="0" xfId="0" applyNumberFormat="1" applyFont="1" applyFill="1"/>
    <xf numFmtId="172" fontId="22" fillId="43" borderId="0" xfId="0" applyNumberFormat="1" applyFont="1" applyFill="1"/>
    <xf numFmtId="172" fontId="25" fillId="43" borderId="0" xfId="0" applyNumberFormat="1" applyFont="1" applyFill="1"/>
    <xf numFmtId="172" fontId="22" fillId="43" borderId="27" xfId="0" applyNumberFormat="1" applyFont="1" applyFill="1" applyBorder="1"/>
    <xf numFmtId="168" fontId="25" fillId="64" borderId="0" xfId="0" applyNumberFormat="1" applyFont="1" applyFill="1"/>
    <xf numFmtId="2" fontId="25" fillId="0" borderId="0" xfId="0" applyNumberFormat="1" applyFont="1"/>
    <xf numFmtId="0" fontId="25" fillId="58" borderId="0" xfId="0" applyFont="1" applyFill="1"/>
    <xf numFmtId="0" fontId="22" fillId="58" borderId="0" xfId="0" applyFont="1" applyFill="1"/>
    <xf numFmtId="10" fontId="22" fillId="65" borderId="0" xfId="0" applyNumberFormat="1" applyFont="1" applyFill="1"/>
    <xf numFmtId="0" fontId="25" fillId="65" borderId="0" xfId="0" applyFont="1" applyFill="1"/>
    <xf numFmtId="175" fontId="25" fillId="0" borderId="0" xfId="179" applyNumberFormat="1" applyFill="1" applyBorder="1" applyAlignment="1" applyProtection="1"/>
    <xf numFmtId="10" fontId="25" fillId="0" borderId="0" xfId="310" applyNumberFormat="1"/>
    <xf numFmtId="9" fontId="25" fillId="0" borderId="0" xfId="310" applyFill="1" applyBorder="1"/>
    <xf numFmtId="173" fontId="25" fillId="0" borderId="0" xfId="310" applyNumberFormat="1" applyFill="1" applyBorder="1" applyAlignment="1" applyProtection="1">
      <alignment horizontal="center"/>
    </xf>
    <xf numFmtId="171" fontId="25" fillId="0" borderId="0" xfId="310" applyNumberFormat="1" applyFill="1" applyBorder="1" applyAlignment="1" applyProtection="1">
      <alignment horizontal="center"/>
    </xf>
    <xf numFmtId="9" fontId="25" fillId="0" borderId="0" xfId="310" applyFill="1" applyBorder="1" applyAlignment="1" applyProtection="1"/>
    <xf numFmtId="171" fontId="22" fillId="0" borderId="0" xfId="0" applyNumberFormat="1" applyFont="1"/>
    <xf numFmtId="10" fontId="25" fillId="0" borderId="34" xfId="324" applyNumberFormat="1" applyFont="1" applyBorder="1"/>
    <xf numFmtId="10" fontId="25" fillId="0" borderId="35" xfId="324" applyNumberFormat="1" applyFont="1" applyBorder="1"/>
    <xf numFmtId="0" fontId="25" fillId="0" borderId="0" xfId="301" applyFont="1" applyAlignment="1">
      <alignment vertical="top" wrapText="1"/>
    </xf>
    <xf numFmtId="10" fontId="25" fillId="0" borderId="36" xfId="324" applyNumberFormat="1" applyFont="1" applyBorder="1"/>
    <xf numFmtId="0" fontId="25" fillId="0" borderId="36" xfId="301" applyFont="1" applyBorder="1" applyAlignment="1">
      <alignment horizontal="center"/>
    </xf>
    <xf numFmtId="0" fontId="25" fillId="0" borderId="37" xfId="301" applyFont="1" applyBorder="1" applyAlignment="1">
      <alignment horizontal="center"/>
    </xf>
    <xf numFmtId="186" fontId="25" fillId="0" borderId="38" xfId="198" applyNumberFormat="1" applyFont="1" applyBorder="1"/>
    <xf numFmtId="187" fontId="25" fillId="0" borderId="39" xfId="198" applyNumberFormat="1" applyFont="1" applyBorder="1"/>
    <xf numFmtId="186" fontId="25" fillId="0" borderId="39" xfId="198" applyNumberFormat="1" applyFont="1" applyBorder="1"/>
    <xf numFmtId="10" fontId="25" fillId="0" borderId="0" xfId="324" applyNumberFormat="1" applyFont="1"/>
    <xf numFmtId="0" fontId="25" fillId="46" borderId="0" xfId="301" applyFont="1" applyFill="1"/>
    <xf numFmtId="224" fontId="25" fillId="0" borderId="13" xfId="0" applyNumberFormat="1" applyFont="1" applyBorder="1" applyAlignment="1">
      <alignment horizontal="right"/>
    </xf>
    <xf numFmtId="0" fontId="25" fillId="63" borderId="0" xfId="0" applyFont="1" applyFill="1"/>
    <xf numFmtId="0" fontId="123" fillId="0" borderId="0" xfId="0" applyFont="1"/>
    <xf numFmtId="9" fontId="25" fillId="0" borderId="0" xfId="0" applyNumberFormat="1" applyFont="1"/>
    <xf numFmtId="0" fontId="123" fillId="0" borderId="0" xfId="0" applyFont="1" applyAlignment="1">
      <alignment horizontal="center" wrapText="1"/>
    </xf>
    <xf numFmtId="178" fontId="25" fillId="0" borderId="27" xfId="0" applyNumberFormat="1" applyFont="1" applyBorder="1"/>
    <xf numFmtId="172" fontId="22" fillId="44" borderId="28" xfId="0" applyNumberFormat="1" applyFont="1" applyFill="1" applyBorder="1" applyAlignment="1">
      <alignment horizontal="right"/>
    </xf>
    <xf numFmtId="0" fontId="25" fillId="3" borderId="0" xfId="0" applyFont="1" applyFill="1"/>
    <xf numFmtId="0" fontId="25" fillId="3" borderId="31" xfId="0" applyFont="1" applyFill="1" applyBorder="1"/>
    <xf numFmtId="4" fontId="25" fillId="0" borderId="0" xfId="310" applyNumberFormat="1" applyFill="1" applyBorder="1" applyAlignment="1" applyProtection="1">
      <alignment horizontal="center"/>
    </xf>
    <xf numFmtId="4" fontId="25" fillId="0" borderId="31" xfId="310" applyNumberFormat="1" applyFill="1" applyBorder="1" applyAlignment="1" applyProtection="1">
      <alignment horizontal="center"/>
    </xf>
    <xf numFmtId="173" fontId="25" fillId="0" borderId="31" xfId="310" applyNumberFormat="1" applyFill="1" applyBorder="1" applyAlignment="1" applyProtection="1">
      <alignment horizontal="center"/>
    </xf>
    <xf numFmtId="3" fontId="25" fillId="0" borderId="0" xfId="310" applyNumberFormat="1" applyFill="1" applyBorder="1" applyAlignment="1" applyProtection="1">
      <alignment horizontal="center"/>
    </xf>
    <xf numFmtId="3" fontId="25" fillId="0" borderId="31" xfId="310" applyNumberFormat="1" applyFill="1" applyBorder="1" applyAlignment="1" applyProtection="1">
      <alignment horizontal="center"/>
    </xf>
    <xf numFmtId="3" fontId="25" fillId="0" borderId="0" xfId="310" applyNumberFormat="1" applyFill="1" applyBorder="1" applyAlignment="1" applyProtection="1"/>
    <xf numFmtId="3" fontId="25" fillId="0" borderId="31" xfId="310" applyNumberFormat="1" applyFill="1" applyBorder="1" applyAlignment="1" applyProtection="1"/>
    <xf numFmtId="171" fontId="25" fillId="3" borderId="0" xfId="310" applyNumberFormat="1" applyFill="1" applyBorder="1" applyAlignment="1" applyProtection="1"/>
    <xf numFmtId="171" fontId="25" fillId="3" borderId="31" xfId="310" applyNumberFormat="1" applyFill="1" applyBorder="1" applyAlignment="1" applyProtection="1"/>
    <xf numFmtId="4" fontId="25" fillId="0" borderId="0" xfId="310" applyNumberFormat="1" applyFill="1" applyBorder="1" applyAlignment="1" applyProtection="1"/>
    <xf numFmtId="4" fontId="25" fillId="0" borderId="31" xfId="310" applyNumberFormat="1" applyFill="1" applyBorder="1" applyAlignment="1" applyProtection="1"/>
    <xf numFmtId="171" fontId="25" fillId="0" borderId="31" xfId="310" applyNumberFormat="1" applyFill="1" applyBorder="1" applyAlignment="1" applyProtection="1">
      <alignment horizontal="center"/>
    </xf>
    <xf numFmtId="0" fontId="25" fillId="0" borderId="25" xfId="0" applyFont="1" applyBorder="1" applyAlignment="1">
      <alignment horizontal="left" indent="1"/>
    </xf>
    <xf numFmtId="171" fontId="133" fillId="0" borderId="0" xfId="310" applyNumberFormat="1" applyFont="1" applyFill="1" applyBorder="1" applyAlignment="1" applyProtection="1"/>
    <xf numFmtId="171" fontId="133" fillId="0" borderId="31" xfId="310" applyNumberFormat="1" applyFont="1" applyFill="1" applyBorder="1" applyAlignment="1" applyProtection="1"/>
    <xf numFmtId="9" fontId="25" fillId="0" borderId="0" xfId="310" applyFill="1" applyBorder="1" applyAlignment="1" applyProtection="1">
      <alignment horizontal="center"/>
    </xf>
    <xf numFmtId="9" fontId="25" fillId="0" borderId="31" xfId="310" applyFill="1" applyBorder="1" applyAlignment="1" applyProtection="1">
      <alignment horizontal="center"/>
    </xf>
    <xf numFmtId="175" fontId="25" fillId="0" borderId="31" xfId="179" applyNumberFormat="1" applyFill="1" applyBorder="1" applyAlignment="1" applyProtection="1"/>
    <xf numFmtId="171" fontId="25" fillId="0" borderId="27" xfId="310" applyNumberFormat="1" applyFill="1" applyBorder="1" applyAlignment="1" applyProtection="1"/>
    <xf numFmtId="171" fontId="25" fillId="0" borderId="33" xfId="310" applyNumberFormat="1" applyFill="1" applyBorder="1" applyAlignment="1" applyProtection="1"/>
    <xf numFmtId="0" fontId="25" fillId="63" borderId="0" xfId="0" applyFont="1" applyFill="1" applyAlignment="1">
      <alignment vertical="center"/>
    </xf>
    <xf numFmtId="171" fontId="121" fillId="63" borderId="0" xfId="310" applyNumberFormat="1" applyFont="1" applyFill="1" applyBorder="1" applyAlignment="1">
      <alignment horizontal="right" vertical="center"/>
    </xf>
    <xf numFmtId="14" fontId="22" fillId="66" borderId="0" xfId="0" applyNumberFormat="1" applyFont="1" applyFill="1"/>
    <xf numFmtId="175" fontId="22" fillId="0" borderId="0" xfId="179" applyNumberFormat="1" applyFont="1" applyBorder="1" applyAlignment="1">
      <alignment vertical="center"/>
    </xf>
    <xf numFmtId="175" fontId="121" fillId="0" borderId="0" xfId="179" applyNumberFormat="1" applyFont="1" applyBorder="1" applyAlignment="1">
      <alignment vertical="center"/>
    </xf>
    <xf numFmtId="175" fontId="122" fillId="0" borderId="0" xfId="179" applyNumberFormat="1" applyFont="1" applyBorder="1" applyAlignment="1">
      <alignment vertical="center"/>
    </xf>
    <xf numFmtId="171" fontId="25" fillId="0" borderId="31" xfId="0" applyNumberFormat="1" applyFont="1" applyBorder="1" applyAlignment="1">
      <alignment vertical="center"/>
    </xf>
    <xf numFmtId="175" fontId="25" fillId="0" borderId="24" xfId="179" applyNumberFormat="1" applyFill="1" applyBorder="1" applyAlignment="1">
      <alignment vertical="center"/>
    </xf>
    <xf numFmtId="0" fontId="25" fillId="0" borderId="5" xfId="0" applyFont="1" applyBorder="1" applyAlignment="1">
      <alignment vertical="center"/>
    </xf>
    <xf numFmtId="0" fontId="121" fillId="0" borderId="0" xfId="0" applyFont="1"/>
    <xf numFmtId="171" fontId="188" fillId="0" borderId="0" xfId="0" applyNumberFormat="1" applyFont="1"/>
    <xf numFmtId="1" fontId="25" fillId="0" borderId="0" xfId="0" applyNumberFormat="1" applyFont="1" applyAlignment="1">
      <alignment horizontal="right" vertical="center"/>
    </xf>
    <xf numFmtId="0" fontId="22" fillId="67" borderId="0" xfId="0" applyFont="1" applyFill="1" applyAlignment="1">
      <alignment horizontal="right"/>
    </xf>
    <xf numFmtId="0" fontId="25" fillId="0" borderId="0" xfId="0" applyFont="1" applyAlignment="1">
      <alignment horizontal="left" vertical="center" indent="1"/>
    </xf>
    <xf numFmtId="169" fontId="25" fillId="0" borderId="0" xfId="179" applyNumberFormat="1" applyFill="1" applyAlignment="1">
      <alignment vertical="center"/>
    </xf>
    <xf numFmtId="14" fontId="189" fillId="0" borderId="0" xfId="179" applyNumberFormat="1" applyFont="1" applyFill="1" applyBorder="1"/>
    <xf numFmtId="0" fontId="136" fillId="0" borderId="0" xfId="0" applyFont="1" applyAlignment="1">
      <alignment horizontal="right" vertical="center" wrapText="1"/>
    </xf>
    <xf numFmtId="0" fontId="136" fillId="0" borderId="0" xfId="0" applyFont="1" applyAlignment="1">
      <alignment vertical="center" wrapText="1"/>
    </xf>
    <xf numFmtId="0" fontId="136" fillId="0" borderId="75" xfId="0" applyFont="1" applyBorder="1" applyAlignment="1">
      <alignment vertical="center" wrapText="1"/>
    </xf>
    <xf numFmtId="0" fontId="136" fillId="0" borderId="76" xfId="0" applyFont="1" applyBorder="1" applyAlignment="1">
      <alignment vertical="center" wrapText="1"/>
    </xf>
    <xf numFmtId="0" fontId="137" fillId="0" borderId="0" xfId="0" applyFont="1" applyAlignment="1">
      <alignment vertical="center" wrapText="1"/>
    </xf>
    <xf numFmtId="0" fontId="138" fillId="0" borderId="0" xfId="0" applyFont="1" applyAlignment="1">
      <alignment vertical="center" wrapText="1"/>
    </xf>
    <xf numFmtId="0" fontId="138" fillId="0" borderId="75" xfId="0" applyFont="1" applyBorder="1" applyAlignment="1">
      <alignment vertical="center" wrapText="1"/>
    </xf>
    <xf numFmtId="0" fontId="138" fillId="0" borderId="77" xfId="0" applyFont="1" applyBorder="1" applyAlignment="1">
      <alignment vertical="center" wrapText="1"/>
    </xf>
    <xf numFmtId="3" fontId="138" fillId="0" borderId="75" xfId="0" applyNumberFormat="1" applyFont="1" applyBorder="1" applyAlignment="1">
      <alignment horizontal="right" vertical="center" wrapText="1"/>
    </xf>
    <xf numFmtId="3" fontId="138" fillId="0" borderId="0" xfId="0" applyNumberFormat="1" applyFont="1" applyAlignment="1">
      <alignment horizontal="right" vertical="center" wrapText="1"/>
    </xf>
    <xf numFmtId="0" fontId="139" fillId="0" borderId="0" xfId="0" applyFont="1"/>
    <xf numFmtId="0" fontId="138" fillId="0" borderId="76" xfId="0" applyFont="1" applyBorder="1" applyAlignment="1">
      <alignment vertical="center" wrapText="1"/>
    </xf>
    <xf numFmtId="3" fontId="136" fillId="0" borderId="0" xfId="0" applyNumberFormat="1" applyFont="1" applyAlignment="1">
      <alignment horizontal="right" vertical="center" wrapText="1"/>
    </xf>
    <xf numFmtId="41" fontId="138" fillId="0" borderId="0" xfId="0" applyNumberFormat="1" applyFont="1" applyAlignment="1">
      <alignment horizontal="right" vertical="center" wrapText="1"/>
    </xf>
    <xf numFmtId="41" fontId="136" fillId="0" borderId="0" xfId="0" applyNumberFormat="1" applyFont="1" applyAlignment="1">
      <alignment horizontal="right" vertical="center" wrapText="1"/>
    </xf>
    <xf numFmtId="178" fontId="136" fillId="0" borderId="0" xfId="0" applyNumberFormat="1" applyFont="1" applyAlignment="1">
      <alignment horizontal="right" vertical="center" wrapText="1"/>
    </xf>
    <xf numFmtId="178" fontId="136" fillId="0" borderId="75" xfId="0" applyNumberFormat="1" applyFont="1" applyBorder="1" applyAlignment="1">
      <alignment horizontal="right" vertical="center" wrapText="1"/>
    </xf>
    <xf numFmtId="41" fontId="138" fillId="0" borderId="77" xfId="0" applyNumberFormat="1" applyFont="1" applyBorder="1" applyAlignment="1">
      <alignment horizontal="right" vertical="center" wrapText="1"/>
    </xf>
    <xf numFmtId="178" fontId="136" fillId="0" borderId="76" xfId="0" applyNumberFormat="1" applyFont="1" applyBorder="1" applyAlignment="1">
      <alignment horizontal="right" vertical="center" wrapText="1"/>
    </xf>
    <xf numFmtId="171" fontId="22" fillId="0" borderId="0" xfId="310" applyNumberFormat="1" applyFont="1" applyFill="1" applyBorder="1" applyAlignment="1" applyProtection="1">
      <alignment horizontal="center"/>
    </xf>
    <xf numFmtId="169" fontId="136" fillId="0" borderId="0" xfId="179" applyNumberFormat="1" applyFont="1" applyAlignment="1">
      <alignment horizontal="right" vertical="center" wrapText="1"/>
    </xf>
    <xf numFmtId="169" fontId="136" fillId="0" borderId="75" xfId="179" applyNumberFormat="1" applyFont="1" applyBorder="1" applyAlignment="1">
      <alignment horizontal="right" vertical="center" wrapText="1"/>
    </xf>
    <xf numFmtId="171" fontId="136" fillId="0" borderId="0" xfId="310" applyNumberFormat="1" applyFont="1" applyAlignment="1">
      <alignment horizontal="right" vertical="center" wrapText="1"/>
    </xf>
    <xf numFmtId="171" fontId="136" fillId="0" borderId="75" xfId="310" applyNumberFormat="1" applyFont="1" applyBorder="1" applyAlignment="1">
      <alignment horizontal="right" vertical="center" wrapText="1"/>
    </xf>
    <xf numFmtId="0" fontId="190" fillId="0" borderId="27" xfId="0" applyFont="1" applyBorder="1"/>
    <xf numFmtId="0" fontId="191" fillId="67" borderId="75" xfId="0" applyFont="1" applyFill="1" applyBorder="1" applyAlignment="1">
      <alignment vertical="center" wrapText="1"/>
    </xf>
    <xf numFmtId="0" fontId="191" fillId="67" borderId="75" xfId="0" applyFont="1" applyFill="1" applyBorder="1" applyAlignment="1">
      <alignment horizontal="right" vertical="center" wrapText="1"/>
    </xf>
    <xf numFmtId="0" fontId="138" fillId="67" borderId="75" xfId="0" applyFont="1" applyFill="1" applyBorder="1" applyAlignment="1">
      <alignment vertical="center" wrapText="1"/>
    </xf>
    <xf numFmtId="49" fontId="192" fillId="0" borderId="0" xfId="0" applyNumberFormat="1" applyFont="1"/>
    <xf numFmtId="4" fontId="192" fillId="0" borderId="0" xfId="0" applyNumberFormat="1" applyFont="1"/>
    <xf numFmtId="0" fontId="189" fillId="0" borderId="0" xfId="0" applyFont="1"/>
    <xf numFmtId="169" fontId="138" fillId="0" borderId="0" xfId="179" applyNumberFormat="1" applyFont="1" applyAlignment="1">
      <alignment horizontal="right" vertical="center" wrapText="1"/>
    </xf>
    <xf numFmtId="169" fontId="138" fillId="0" borderId="76" xfId="179" applyNumberFormat="1" applyFont="1" applyBorder="1" applyAlignment="1">
      <alignment horizontal="right" vertical="center" wrapText="1"/>
    </xf>
    <xf numFmtId="0" fontId="190" fillId="0" borderId="40" xfId="0" applyFont="1" applyBorder="1"/>
    <xf numFmtId="0" fontId="190" fillId="0" borderId="41" xfId="0" applyFont="1" applyBorder="1"/>
    <xf numFmtId="169" fontId="22" fillId="0" borderId="9" xfId="179" applyNumberFormat="1" applyFont="1" applyBorder="1"/>
    <xf numFmtId="169" fontId="22" fillId="0" borderId="17" xfId="179" applyNumberFormat="1" applyFont="1" applyBorder="1"/>
    <xf numFmtId="169" fontId="22" fillId="0" borderId="15" xfId="179" applyNumberFormat="1" applyFont="1" applyBorder="1"/>
    <xf numFmtId="169" fontId="22" fillId="0" borderId="20" xfId="179" applyNumberFormat="1" applyFont="1" applyBorder="1"/>
    <xf numFmtId="169" fontId="25" fillId="0" borderId="0" xfId="179" applyNumberFormat="1" applyBorder="1"/>
    <xf numFmtId="169" fontId="25" fillId="0" borderId="20" xfId="179" applyNumberFormat="1" applyBorder="1"/>
    <xf numFmtId="169" fontId="22" fillId="0" borderId="42" xfId="179" applyNumberFormat="1" applyFont="1" applyBorder="1"/>
    <xf numFmtId="169" fontId="22" fillId="0" borderId="43" xfId="179" applyNumberFormat="1" applyFont="1" applyBorder="1"/>
    <xf numFmtId="3" fontId="121" fillId="0" borderId="0" xfId="179" applyNumberFormat="1" applyFont="1" applyFill="1" applyBorder="1" applyAlignment="1" applyProtection="1">
      <alignment horizontal="right"/>
    </xf>
    <xf numFmtId="169" fontId="121" fillId="0" borderId="0" xfId="179" applyNumberFormat="1" applyFont="1" applyFill="1" applyBorder="1" applyAlignment="1">
      <alignment horizontal="right"/>
    </xf>
    <xf numFmtId="3" fontId="121" fillId="0" borderId="31" xfId="0" applyNumberFormat="1" applyFont="1" applyBorder="1" applyAlignment="1">
      <alignment horizontal="right"/>
    </xf>
    <xf numFmtId="3" fontId="121" fillId="0" borderId="0" xfId="0" applyNumberFormat="1" applyFont="1" applyAlignment="1">
      <alignment horizontal="right"/>
    </xf>
    <xf numFmtId="3" fontId="121" fillId="0" borderId="31" xfId="0" applyNumberFormat="1" applyFont="1" applyBorder="1"/>
    <xf numFmtId="0" fontId="25" fillId="0" borderId="28" xfId="0" applyFont="1" applyBorder="1"/>
    <xf numFmtId="169" fontId="121" fillId="0" borderId="31" xfId="179" applyNumberFormat="1" applyFont="1" applyFill="1" applyBorder="1" applyAlignment="1">
      <alignment horizontal="right"/>
    </xf>
    <xf numFmtId="3" fontId="25" fillId="43" borderId="25" xfId="0" applyNumberFormat="1" applyFont="1" applyFill="1" applyBorder="1" applyAlignment="1">
      <alignment vertical="center"/>
    </xf>
    <xf numFmtId="3" fontId="22" fillId="65" borderId="0" xfId="0" applyNumberFormat="1" applyFont="1" applyFill="1"/>
    <xf numFmtId="169" fontId="121" fillId="0" borderId="0" xfId="0" applyNumberFormat="1" applyFont="1" applyAlignment="1">
      <alignment horizontal="right" vertical="center"/>
    </xf>
    <xf numFmtId="9" fontId="121" fillId="0" borderId="0" xfId="310" applyFont="1" applyFill="1" applyAlignment="1">
      <alignment vertical="center"/>
    </xf>
    <xf numFmtId="0" fontId="22" fillId="0" borderId="25" xfId="0" applyFont="1" applyBorder="1" applyAlignment="1">
      <alignment vertical="center"/>
    </xf>
    <xf numFmtId="1" fontId="22" fillId="0" borderId="31" xfId="0" applyNumberFormat="1" applyFont="1" applyBorder="1" applyAlignment="1">
      <alignment vertical="center"/>
    </xf>
    <xf numFmtId="1" fontId="22" fillId="0" borderId="25" xfId="0" applyNumberFormat="1" applyFont="1" applyBorder="1" applyAlignment="1">
      <alignment vertical="center"/>
    </xf>
    <xf numFmtId="9" fontId="22" fillId="0" borderId="0" xfId="310" applyFont="1" applyAlignment="1">
      <alignment horizontal="right" vertical="center"/>
    </xf>
    <xf numFmtId="9" fontId="22" fillId="0" borderId="0" xfId="310" applyFont="1" applyAlignment="1">
      <alignment vertical="center"/>
    </xf>
    <xf numFmtId="0" fontId="190" fillId="0" borderId="26" xfId="0" applyFont="1" applyBorder="1"/>
    <xf numFmtId="0" fontId="190" fillId="0" borderId="20" xfId="0" applyFont="1" applyBorder="1"/>
    <xf numFmtId="0" fontId="25" fillId="0" borderId="24" xfId="0" applyFont="1" applyBorder="1"/>
    <xf numFmtId="0" fontId="22" fillId="0" borderId="31" xfId="0" applyFont="1" applyBorder="1" applyAlignment="1">
      <alignment vertical="center"/>
    </xf>
    <xf numFmtId="3" fontId="22" fillId="0" borderId="0" xfId="310" applyNumberFormat="1" applyFont="1" applyFill="1" applyAlignment="1">
      <alignment vertical="center"/>
    </xf>
    <xf numFmtId="9" fontId="22" fillId="0" borderId="0" xfId="310" applyFont="1" applyFill="1" applyAlignment="1">
      <alignment horizontal="right" vertical="center"/>
    </xf>
    <xf numFmtId="9" fontId="22" fillId="0" borderId="0" xfId="310" applyFont="1" applyFill="1" applyAlignment="1">
      <alignment vertical="center"/>
    </xf>
    <xf numFmtId="169" fontId="22" fillId="0" borderId="0" xfId="179" applyNumberFormat="1" applyFont="1" applyFill="1" applyAlignment="1">
      <alignment vertical="center"/>
    </xf>
    <xf numFmtId="9" fontId="25" fillId="0" borderId="0" xfId="310" applyFill="1" applyBorder="1" applyAlignment="1" applyProtection="1">
      <alignment vertical="center"/>
    </xf>
    <xf numFmtId="171" fontId="22" fillId="0" borderId="31" xfId="310" applyNumberFormat="1" applyFont="1" applyFill="1" applyBorder="1" applyAlignment="1" applyProtection="1">
      <alignment horizontal="center"/>
    </xf>
    <xf numFmtId="0" fontId="22" fillId="0" borderId="0" xfId="0" applyFont="1" applyAlignment="1">
      <alignment horizontal="right"/>
    </xf>
    <xf numFmtId="0" fontId="25" fillId="0" borderId="28" xfId="0" applyFont="1" applyBorder="1" applyAlignment="1">
      <alignment horizontal="right" vertical="center"/>
    </xf>
    <xf numFmtId="183" fontId="122" fillId="0" borderId="0" xfId="0" applyNumberFormat="1" applyFont="1" applyAlignment="1">
      <alignment horizontal="right" vertical="center"/>
    </xf>
    <xf numFmtId="43" fontId="122" fillId="0" borderId="25" xfId="0" applyNumberFormat="1" applyFont="1" applyBorder="1" applyAlignment="1">
      <alignment vertical="center"/>
    </xf>
    <xf numFmtId="43" fontId="122" fillId="0" borderId="0" xfId="0" applyNumberFormat="1" applyFont="1" applyAlignment="1">
      <alignment vertical="center"/>
    </xf>
    <xf numFmtId="3" fontId="122" fillId="0" borderId="31" xfId="0" applyNumberFormat="1" applyFont="1" applyBorder="1" applyAlignment="1">
      <alignment vertical="center"/>
    </xf>
    <xf numFmtId="3" fontId="122" fillId="0" borderId="25" xfId="0" applyNumberFormat="1" applyFont="1" applyBorder="1" applyAlignment="1">
      <alignment vertical="center"/>
    </xf>
    <xf numFmtId="3" fontId="122" fillId="0" borderId="0" xfId="0" applyNumberFormat="1" applyFont="1" applyAlignment="1">
      <alignment vertical="center"/>
    </xf>
    <xf numFmtId="169" fontId="122" fillId="0" borderId="0" xfId="179" applyNumberFormat="1" applyFont="1" applyBorder="1" applyAlignment="1">
      <alignment vertical="center"/>
    </xf>
    <xf numFmtId="169" fontId="122" fillId="0" borderId="31" xfId="179" applyNumberFormat="1" applyFont="1" applyBorder="1" applyAlignment="1">
      <alignment vertical="center"/>
    </xf>
    <xf numFmtId="169" fontId="122" fillId="0" borderId="25" xfId="179" applyNumberFormat="1" applyFont="1" applyBorder="1" applyAlignment="1">
      <alignment vertical="center"/>
    </xf>
    <xf numFmtId="169" fontId="122" fillId="0" borderId="0" xfId="310" applyNumberFormat="1" applyFont="1" applyAlignment="1">
      <alignment vertical="center"/>
    </xf>
    <xf numFmtId="9" fontId="122" fillId="0" borderId="0" xfId="310" applyFont="1" applyAlignment="1">
      <alignment horizontal="right" vertical="center"/>
    </xf>
    <xf numFmtId="9" fontId="122" fillId="0" borderId="0" xfId="310" applyFont="1" applyAlignment="1">
      <alignment vertical="center"/>
    </xf>
    <xf numFmtId="0" fontId="122" fillId="0" borderId="0" xfId="0" applyFont="1" applyAlignment="1">
      <alignment vertical="center"/>
    </xf>
    <xf numFmtId="0" fontId="22" fillId="0" borderId="24" xfId="0" applyFont="1" applyBorder="1"/>
    <xf numFmtId="0" fontId="130" fillId="0" borderId="24" xfId="0" applyFont="1" applyBorder="1"/>
    <xf numFmtId="174" fontId="122" fillId="0" borderId="24" xfId="0" applyNumberFormat="1" applyFont="1" applyBorder="1"/>
    <xf numFmtId="174" fontId="130" fillId="0" borderId="24" xfId="0" applyNumberFormat="1" applyFont="1" applyBorder="1"/>
    <xf numFmtId="0" fontId="121" fillId="0" borderId="24" xfId="0" applyFont="1" applyBorder="1"/>
    <xf numFmtId="174" fontId="130" fillId="0" borderId="5" xfId="0" applyNumberFormat="1" applyFont="1" applyBorder="1"/>
    <xf numFmtId="0" fontId="25" fillId="43" borderId="24" xfId="0" applyFont="1" applyFill="1" applyBorder="1"/>
    <xf numFmtId="0" fontId="22" fillId="43" borderId="24" xfId="0" applyFont="1" applyFill="1" applyBorder="1"/>
    <xf numFmtId="0" fontId="25" fillId="43" borderId="24" xfId="0" applyFont="1" applyFill="1" applyBorder="1" applyAlignment="1">
      <alignment horizontal="left" indent="1"/>
    </xf>
    <xf numFmtId="0" fontId="25" fillId="43" borderId="24" xfId="0" quotePrefix="1" applyFont="1" applyFill="1" applyBorder="1" applyAlignment="1">
      <alignment horizontal="left" indent="1"/>
    </xf>
    <xf numFmtId="0" fontId="126" fillId="43" borderId="24" xfId="0" applyFont="1" applyFill="1" applyBorder="1"/>
    <xf numFmtId="0" fontId="130" fillId="43" borderId="24" xfId="0" applyFont="1" applyFill="1" applyBorder="1"/>
    <xf numFmtId="0" fontId="22" fillId="43" borderId="5" xfId="0" applyFont="1" applyFill="1" applyBorder="1"/>
    <xf numFmtId="169" fontId="22" fillId="43" borderId="25" xfId="179" applyNumberFormat="1" applyFont="1" applyFill="1" applyBorder="1" applyAlignment="1" applyProtection="1"/>
    <xf numFmtId="169" fontId="25" fillId="43" borderId="25" xfId="179" applyNumberFormat="1" applyFill="1" applyBorder="1" applyAlignment="1" applyProtection="1"/>
    <xf numFmtId="169" fontId="25" fillId="43" borderId="25" xfId="0" applyNumberFormat="1" applyFont="1" applyFill="1" applyBorder="1"/>
    <xf numFmtId="169" fontId="126" fillId="43" borderId="25" xfId="0" applyNumberFormat="1" applyFont="1" applyFill="1" applyBorder="1"/>
    <xf numFmtId="169" fontId="22" fillId="43" borderId="25" xfId="0" applyNumberFormat="1" applyFont="1" applyFill="1" applyBorder="1"/>
    <xf numFmtId="172" fontId="22" fillId="43" borderId="25" xfId="0" applyNumberFormat="1" applyFont="1" applyFill="1" applyBorder="1"/>
    <xf numFmtId="172" fontId="25" fillId="43" borderId="25" xfId="0" applyNumberFormat="1" applyFont="1" applyFill="1" applyBorder="1"/>
    <xf numFmtId="172" fontId="22" fillId="43" borderId="32" xfId="0" applyNumberFormat="1" applyFont="1" applyFill="1" applyBorder="1"/>
    <xf numFmtId="0" fontId="25" fillId="3" borderId="24" xfId="0" applyFont="1" applyFill="1" applyBorder="1"/>
    <xf numFmtId="3" fontId="25" fillId="63" borderId="0" xfId="0" applyNumberFormat="1" applyFont="1" applyFill="1"/>
    <xf numFmtId="173" fontId="25" fillId="63" borderId="0" xfId="310" applyNumberFormat="1" applyFill="1"/>
    <xf numFmtId="173" fontId="25" fillId="63" borderId="0" xfId="0" applyNumberFormat="1" applyFont="1" applyFill="1"/>
    <xf numFmtId="175" fontId="25" fillId="0" borderId="31" xfId="179" applyNumberFormat="1" applyFill="1" applyBorder="1" applyAlignment="1">
      <alignment vertical="center"/>
    </xf>
    <xf numFmtId="0" fontId="190" fillId="67" borderId="23" xfId="0" applyFont="1" applyFill="1" applyBorder="1" applyAlignment="1">
      <alignment vertical="center" wrapText="1"/>
    </xf>
    <xf numFmtId="0" fontId="190" fillId="67" borderId="29" xfId="0" applyFont="1" applyFill="1" applyBorder="1" applyAlignment="1">
      <alignment horizontal="right" vertical="center" wrapText="1"/>
    </xf>
    <xf numFmtId="0" fontId="140" fillId="0" borderId="0" xfId="0" applyFont="1" applyAlignment="1">
      <alignment vertical="center" wrapText="1"/>
    </xf>
    <xf numFmtId="0" fontId="142" fillId="0" borderId="0" xfId="0" applyFont="1"/>
    <xf numFmtId="0" fontId="142" fillId="43" borderId="0" xfId="0" applyFont="1" applyFill="1" applyAlignment="1">
      <alignment vertical="center"/>
    </xf>
    <xf numFmtId="0" fontId="141" fillId="43" borderId="0" xfId="0" applyFont="1" applyFill="1" applyAlignment="1">
      <alignment vertical="center"/>
    </xf>
    <xf numFmtId="169" fontId="142" fillId="0" borderId="0" xfId="179" applyNumberFormat="1" applyFont="1"/>
    <xf numFmtId="169" fontId="141" fillId="0" borderId="0" xfId="179" applyNumberFormat="1" applyFont="1"/>
    <xf numFmtId="0" fontId="140" fillId="0" borderId="0" xfId="0" applyFont="1"/>
    <xf numFmtId="0" fontId="143" fillId="0" borderId="0" xfId="0" applyFont="1"/>
    <xf numFmtId="169" fontId="142" fillId="0" borderId="0" xfId="179" applyNumberFormat="1" applyFont="1" applyBorder="1" applyAlignment="1">
      <alignment vertical="center" wrapText="1"/>
    </xf>
    <xf numFmtId="0" fontId="141" fillId="0" borderId="27" xfId="0" applyFont="1" applyBorder="1" applyAlignment="1">
      <alignment vertical="center" wrapText="1"/>
    </xf>
    <xf numFmtId="169" fontId="142" fillId="0" borderId="27" xfId="179" applyNumberFormat="1" applyFont="1" applyBorder="1" applyAlignment="1">
      <alignment vertical="center" wrapText="1"/>
    </xf>
    <xf numFmtId="0" fontId="0" fillId="0" borderId="27" xfId="0" applyBorder="1"/>
    <xf numFmtId="169" fontId="141" fillId="0" borderId="27" xfId="179" applyNumberFormat="1" applyFont="1" applyBorder="1" applyAlignment="1">
      <alignment vertical="center" wrapText="1"/>
    </xf>
    <xf numFmtId="0" fontId="195" fillId="67" borderId="27" xfId="0" applyFont="1" applyFill="1" applyBorder="1" applyAlignment="1">
      <alignment horizontal="right" vertical="center" wrapText="1"/>
    </xf>
    <xf numFmtId="0" fontId="142" fillId="0" borderId="27" xfId="0" applyFont="1" applyBorder="1" applyAlignment="1">
      <alignment vertical="center" wrapText="1"/>
    </xf>
    <xf numFmtId="0" fontId="142" fillId="43" borderId="27" xfId="0" applyFont="1" applyFill="1" applyBorder="1" applyAlignment="1">
      <alignment vertical="center"/>
    </xf>
    <xf numFmtId="169" fontId="142" fillId="0" borderId="27" xfId="179" applyNumberFormat="1" applyFont="1" applyBorder="1"/>
    <xf numFmtId="0" fontId="22" fillId="0" borderId="27" xfId="0" applyFont="1" applyBorder="1"/>
    <xf numFmtId="0" fontId="144" fillId="0" borderId="0" xfId="0" applyFont="1"/>
    <xf numFmtId="171" fontId="143" fillId="43" borderId="0" xfId="310" applyNumberFormat="1" applyFont="1" applyFill="1" applyBorder="1" applyAlignment="1" applyProtection="1">
      <alignment horizontal="right"/>
    </xf>
    <xf numFmtId="0" fontId="143" fillId="43" borderId="0" xfId="0" applyFont="1" applyFill="1"/>
    <xf numFmtId="0" fontId="143" fillId="43" borderId="44" xfId="0" applyFont="1" applyFill="1" applyBorder="1" applyAlignment="1">
      <alignment horizontal="left"/>
    </xf>
    <xf numFmtId="10" fontId="145" fillId="43" borderId="45" xfId="0" applyNumberFormat="1" applyFont="1" applyFill="1" applyBorder="1"/>
    <xf numFmtId="166" fontId="143" fillId="43" borderId="44" xfId="300" applyFont="1" applyFill="1" applyBorder="1" applyAlignment="1">
      <alignment horizontal="left"/>
    </xf>
    <xf numFmtId="3" fontId="143" fillId="43" borderId="0" xfId="0" applyNumberFormat="1" applyFont="1" applyFill="1" applyAlignment="1">
      <alignment horizontal="right"/>
    </xf>
    <xf numFmtId="3" fontId="143" fillId="43" borderId="45" xfId="0" applyNumberFormat="1" applyFont="1" applyFill="1" applyBorder="1" applyAlignment="1">
      <alignment horizontal="right"/>
    </xf>
    <xf numFmtId="0" fontId="143" fillId="43" borderId="44" xfId="0" applyFont="1" applyFill="1" applyBorder="1"/>
    <xf numFmtId="171" fontId="143" fillId="43" borderId="45" xfId="310" applyNumberFormat="1" applyFont="1" applyFill="1" applyBorder="1" applyAlignment="1" applyProtection="1">
      <alignment horizontal="right"/>
    </xf>
    <xf numFmtId="0" fontId="143" fillId="43" borderId="46" xfId="0" applyFont="1" applyFill="1" applyBorder="1"/>
    <xf numFmtId="10" fontId="145" fillId="43" borderId="47" xfId="0" applyNumberFormat="1" applyFont="1" applyFill="1" applyBorder="1"/>
    <xf numFmtId="0" fontId="140" fillId="43" borderId="0" xfId="0" applyFont="1" applyFill="1"/>
    <xf numFmtId="166" fontId="146" fillId="43" borderId="46" xfId="300" applyFont="1" applyFill="1" applyBorder="1" applyAlignment="1">
      <alignment horizontal="left"/>
    </xf>
    <xf numFmtId="0" fontId="143" fillId="43" borderId="48" xfId="0" applyFont="1" applyFill="1" applyBorder="1"/>
    <xf numFmtId="171" fontId="146" fillId="43" borderId="48" xfId="310" applyNumberFormat="1" applyFont="1" applyFill="1" applyBorder="1" applyAlignment="1" applyProtection="1">
      <alignment horizontal="right"/>
    </xf>
    <xf numFmtId="171" fontId="146" fillId="43" borderId="47" xfId="310" applyNumberFormat="1" applyFont="1" applyFill="1" applyBorder="1" applyAlignment="1" applyProtection="1">
      <alignment horizontal="right"/>
    </xf>
    <xf numFmtId="166" fontId="140" fillId="43" borderId="25" xfId="300" applyFont="1" applyFill="1" applyBorder="1"/>
    <xf numFmtId="166" fontId="143" fillId="43" borderId="25" xfId="300" applyFont="1" applyFill="1" applyBorder="1"/>
    <xf numFmtId="166" fontId="140" fillId="43" borderId="44" xfId="300" applyFont="1" applyFill="1" applyBorder="1" applyAlignment="1">
      <alignment horizontal="left"/>
    </xf>
    <xf numFmtId="3" fontId="140" fillId="43" borderId="0" xfId="0" applyNumberFormat="1" applyFont="1" applyFill="1"/>
    <xf numFmtId="3" fontId="140" fillId="43" borderId="45" xfId="0" applyNumberFormat="1" applyFont="1" applyFill="1" applyBorder="1"/>
    <xf numFmtId="166" fontId="143" fillId="43" borderId="44" xfId="300" quotePrefix="1" applyFont="1" applyFill="1" applyBorder="1" applyAlignment="1">
      <alignment horizontal="left" indent="1"/>
    </xf>
    <xf numFmtId="3" fontId="143" fillId="43" borderId="0" xfId="0" applyNumberFormat="1" applyFont="1" applyFill="1"/>
    <xf numFmtId="3" fontId="143" fillId="43" borderId="45" xfId="0" applyNumberFormat="1" applyFont="1" applyFill="1" applyBorder="1"/>
    <xf numFmtId="171" fontId="143" fillId="43" borderId="0" xfId="310" applyNumberFormat="1" applyFont="1" applyFill="1" applyBorder="1" applyAlignment="1" applyProtection="1">
      <alignment horizontal="left"/>
    </xf>
    <xf numFmtId="166" fontId="140" fillId="43" borderId="44" xfId="300" applyFont="1" applyFill="1" applyBorder="1"/>
    <xf numFmtId="175" fontId="143" fillId="43" borderId="0" xfId="179" applyNumberFormat="1" applyFont="1" applyFill="1" applyBorder="1" applyAlignment="1" applyProtection="1">
      <alignment horizontal="right"/>
    </xf>
    <xf numFmtId="166" fontId="143" fillId="43" borderId="44" xfId="300" applyFont="1" applyFill="1" applyBorder="1"/>
    <xf numFmtId="3" fontId="140" fillId="43" borderId="0" xfId="179" applyNumberFormat="1" applyFont="1" applyFill="1" applyBorder="1" applyAlignment="1" applyProtection="1">
      <alignment horizontal="right"/>
    </xf>
    <xf numFmtId="166" fontId="140" fillId="43" borderId="46" xfId="300" applyFont="1" applyFill="1" applyBorder="1"/>
    <xf numFmtId="3" fontId="140" fillId="43" borderId="48" xfId="179" applyNumberFormat="1" applyFont="1" applyFill="1" applyBorder="1" applyAlignment="1" applyProtection="1">
      <alignment horizontal="right"/>
    </xf>
    <xf numFmtId="3" fontId="140" fillId="43" borderId="47" xfId="179" applyNumberFormat="1" applyFont="1" applyFill="1" applyBorder="1" applyAlignment="1" applyProtection="1">
      <alignment horizontal="right"/>
    </xf>
    <xf numFmtId="10" fontId="147" fillId="43" borderId="0" xfId="310" applyNumberFormat="1" applyFont="1" applyFill="1" applyBorder="1" applyAlignment="1" applyProtection="1">
      <alignment horizontal="left"/>
    </xf>
    <xf numFmtId="178" fontId="143" fillId="0" borderId="0" xfId="0" applyNumberFormat="1" applyFont="1"/>
    <xf numFmtId="0" fontId="143" fillId="43" borderId="49" xfId="0" applyFont="1" applyFill="1" applyBorder="1"/>
    <xf numFmtId="171" fontId="143" fillId="43" borderId="50" xfId="310" applyNumberFormat="1" applyFont="1" applyFill="1" applyBorder="1" applyAlignment="1" applyProtection="1">
      <alignment horizontal="right"/>
    </xf>
    <xf numFmtId="0" fontId="143" fillId="43" borderId="51" xfId="0" applyFont="1" applyFill="1" applyBorder="1"/>
    <xf numFmtId="171" fontId="143" fillId="43" borderId="52" xfId="310" applyNumberFormat="1" applyFont="1" applyFill="1" applyBorder="1" applyAlignment="1" applyProtection="1">
      <alignment horizontal="right"/>
    </xf>
    <xf numFmtId="171" fontId="143" fillId="43" borderId="49" xfId="310" applyNumberFormat="1" applyFont="1" applyFill="1" applyBorder="1" applyAlignment="1" applyProtection="1">
      <alignment horizontal="right"/>
    </xf>
    <xf numFmtId="0" fontId="140" fillId="43" borderId="0" xfId="0" applyFont="1" applyFill="1" applyAlignment="1">
      <alignment horizontal="left"/>
    </xf>
    <xf numFmtId="0" fontId="140" fillId="43" borderId="0" xfId="0" applyFont="1" applyFill="1" applyAlignment="1">
      <alignment horizontal="center"/>
    </xf>
    <xf numFmtId="171" fontId="140" fillId="43" borderId="0" xfId="310" applyNumberFormat="1" applyFont="1" applyFill="1" applyBorder="1" applyAlignment="1" applyProtection="1">
      <alignment horizontal="left"/>
    </xf>
    <xf numFmtId="171" fontId="140" fillId="43" borderId="48" xfId="310" applyNumberFormat="1" applyFont="1" applyFill="1" applyBorder="1" applyAlignment="1" applyProtection="1">
      <alignment horizontal="center"/>
    </xf>
    <xf numFmtId="171" fontId="140" fillId="43" borderId="53" xfId="310" applyNumberFormat="1" applyFont="1" applyFill="1" applyBorder="1" applyAlignment="1" applyProtection="1">
      <alignment horizontal="center"/>
    </xf>
    <xf numFmtId="171" fontId="143" fillId="43" borderId="51" xfId="310" applyNumberFormat="1" applyFont="1" applyFill="1" applyBorder="1" applyAlignment="1" applyProtection="1">
      <alignment horizontal="right"/>
    </xf>
    <xf numFmtId="171" fontId="140" fillId="43" borderId="54" xfId="310" applyNumberFormat="1" applyFont="1" applyFill="1" applyBorder="1" applyAlignment="1" applyProtection="1">
      <alignment horizontal="center"/>
    </xf>
    <xf numFmtId="0" fontId="140" fillId="43" borderId="47" xfId="0" applyFont="1" applyFill="1" applyBorder="1" applyAlignment="1">
      <alignment horizontal="center"/>
    </xf>
    <xf numFmtId="171" fontId="150" fillId="43" borderId="48" xfId="310" applyNumberFormat="1" applyFont="1" applyFill="1" applyBorder="1" applyAlignment="1" applyProtection="1">
      <alignment horizontal="left"/>
    </xf>
    <xf numFmtId="171" fontId="140" fillId="43" borderId="48" xfId="0" applyNumberFormat="1" applyFont="1" applyFill="1" applyBorder="1" applyAlignment="1">
      <alignment horizontal="center"/>
    </xf>
    <xf numFmtId="10" fontId="148" fillId="43" borderId="45" xfId="310" applyNumberFormat="1" applyFont="1" applyFill="1" applyBorder="1" applyAlignment="1" applyProtection="1">
      <alignment horizontal="center"/>
    </xf>
    <xf numFmtId="3" fontId="151" fillId="43" borderId="44" xfId="0" applyNumberFormat="1" applyFont="1" applyFill="1" applyBorder="1" applyAlignment="1">
      <alignment horizontal="center"/>
    </xf>
    <xf numFmtId="3" fontId="140" fillId="43" borderId="0" xfId="310" applyNumberFormat="1" applyFont="1" applyFill="1" applyBorder="1" applyAlignment="1" applyProtection="1">
      <alignment horizontal="left"/>
    </xf>
    <xf numFmtId="3" fontId="151" fillId="43" borderId="0" xfId="0" applyNumberFormat="1" applyFont="1" applyFill="1" applyAlignment="1">
      <alignment horizontal="center"/>
    </xf>
    <xf numFmtId="3" fontId="151" fillId="43" borderId="55" xfId="0" applyNumberFormat="1" applyFont="1" applyFill="1" applyBorder="1" applyAlignment="1">
      <alignment horizontal="center"/>
    </xf>
    <xf numFmtId="3" fontId="151" fillId="43" borderId="56" xfId="0" applyNumberFormat="1" applyFont="1" applyFill="1" applyBorder="1" applyAlignment="1">
      <alignment horizontal="center"/>
    </xf>
    <xf numFmtId="3" fontId="143" fillId="43" borderId="0" xfId="0" applyNumberFormat="1" applyFont="1" applyFill="1" applyAlignment="1">
      <alignment horizontal="left"/>
    </xf>
    <xf numFmtId="172" fontId="140" fillId="43" borderId="49" xfId="0" applyNumberFormat="1" applyFont="1" applyFill="1" applyBorder="1"/>
    <xf numFmtId="10" fontId="140" fillId="43" borderId="45" xfId="0" applyNumberFormat="1" applyFont="1" applyFill="1" applyBorder="1" applyAlignment="1">
      <alignment horizontal="center"/>
    </xf>
    <xf numFmtId="3" fontId="196" fillId="43" borderId="44" xfId="0" applyNumberFormat="1" applyFont="1" applyFill="1" applyBorder="1" applyAlignment="1">
      <alignment horizontal="center"/>
    </xf>
    <xf numFmtId="3" fontId="196" fillId="43" borderId="0" xfId="0" applyNumberFormat="1" applyFont="1" applyFill="1" applyAlignment="1">
      <alignment horizontal="center"/>
    </xf>
    <xf numFmtId="3" fontId="140" fillId="43" borderId="0" xfId="0" applyNumberFormat="1" applyFont="1" applyFill="1" applyAlignment="1">
      <alignment horizontal="center"/>
    </xf>
    <xf numFmtId="3" fontId="140" fillId="43" borderId="55" xfId="0" applyNumberFormat="1" applyFont="1" applyFill="1" applyBorder="1" applyAlignment="1">
      <alignment horizontal="center"/>
    </xf>
    <xf numFmtId="171" fontId="140" fillId="43" borderId="0" xfId="310" applyNumberFormat="1" applyFont="1" applyFill="1" applyBorder="1" applyAlignment="1" applyProtection="1">
      <alignment horizontal="right"/>
    </xf>
    <xf numFmtId="172" fontId="140" fillId="43" borderId="51" xfId="0" applyNumberFormat="1" applyFont="1" applyFill="1" applyBorder="1"/>
    <xf numFmtId="3" fontId="140" fillId="43" borderId="56" xfId="0" applyNumberFormat="1" applyFont="1" applyFill="1" applyBorder="1" applyAlignment="1">
      <alignment horizontal="center"/>
    </xf>
    <xf numFmtId="172" fontId="143" fillId="43" borderId="49" xfId="0" applyNumberFormat="1" applyFont="1" applyFill="1" applyBorder="1" applyAlignment="1">
      <alignment horizontal="right"/>
    </xf>
    <xf numFmtId="10" fontId="148" fillId="43" borderId="45" xfId="0" applyNumberFormat="1" applyFont="1" applyFill="1" applyBorder="1" applyAlignment="1">
      <alignment horizontal="center"/>
    </xf>
    <xf numFmtId="172" fontId="143" fillId="43" borderId="51" xfId="0" applyNumberFormat="1" applyFont="1" applyFill="1" applyBorder="1" applyAlignment="1">
      <alignment horizontal="right"/>
    </xf>
    <xf numFmtId="172" fontId="143" fillId="43" borderId="49" xfId="0" applyNumberFormat="1" applyFont="1" applyFill="1" applyBorder="1"/>
    <xf numFmtId="172" fontId="143" fillId="43" borderId="51" xfId="0" applyNumberFormat="1" applyFont="1" applyFill="1" applyBorder="1"/>
    <xf numFmtId="10" fontId="140" fillId="43" borderId="0" xfId="0" applyNumberFormat="1" applyFont="1" applyFill="1" applyAlignment="1">
      <alignment horizontal="center"/>
    </xf>
    <xf numFmtId="173" fontId="143" fillId="43" borderId="0" xfId="0" applyNumberFormat="1" applyFont="1" applyFill="1" applyAlignment="1">
      <alignment horizontal="left"/>
    </xf>
    <xf numFmtId="0" fontId="143" fillId="43" borderId="0" xfId="0" applyFont="1" applyFill="1" applyAlignment="1">
      <alignment horizontal="left"/>
    </xf>
    <xf numFmtId="173" fontId="143" fillId="43" borderId="55" xfId="0" applyNumberFormat="1" applyFont="1" applyFill="1" applyBorder="1" applyAlignment="1">
      <alignment horizontal="left"/>
    </xf>
    <xf numFmtId="173" fontId="143" fillId="43" borderId="56" xfId="0" applyNumberFormat="1" applyFont="1" applyFill="1" applyBorder="1" applyAlignment="1">
      <alignment horizontal="left"/>
    </xf>
    <xf numFmtId="0" fontId="143" fillId="43" borderId="0" xfId="0" applyFont="1" applyFill="1" applyAlignment="1">
      <alignment horizontal="center"/>
    </xf>
    <xf numFmtId="0" fontId="143" fillId="43" borderId="55" xfId="0" applyFont="1" applyFill="1" applyBorder="1" applyAlignment="1">
      <alignment horizontal="left"/>
    </xf>
    <xf numFmtId="0" fontId="143" fillId="43" borderId="56" xfId="0" applyFont="1" applyFill="1" applyBorder="1" applyAlignment="1">
      <alignment horizontal="left"/>
    </xf>
    <xf numFmtId="0" fontId="143" fillId="43" borderId="48" xfId="0" applyFont="1" applyFill="1" applyBorder="1" applyAlignment="1">
      <alignment horizontal="center"/>
    </xf>
    <xf numFmtId="10" fontId="151" fillId="43" borderId="45" xfId="0" applyNumberFormat="1" applyFont="1" applyFill="1" applyBorder="1" applyAlignment="1">
      <alignment horizontal="center"/>
    </xf>
    <xf numFmtId="0" fontId="143" fillId="43" borderId="41" xfId="0" applyFont="1" applyFill="1" applyBorder="1"/>
    <xf numFmtId="10" fontId="151" fillId="43" borderId="57" xfId="0" applyNumberFormat="1" applyFont="1" applyFill="1" applyBorder="1" applyAlignment="1">
      <alignment horizontal="center"/>
    </xf>
    <xf numFmtId="3" fontId="151" fillId="43" borderId="15" xfId="0" applyNumberFormat="1" applyFont="1" applyFill="1" applyBorder="1" applyAlignment="1">
      <alignment horizontal="center"/>
    </xf>
    <xf numFmtId="0" fontId="143" fillId="43" borderId="15" xfId="0" applyFont="1" applyFill="1" applyBorder="1" applyAlignment="1">
      <alignment horizontal="center"/>
    </xf>
    <xf numFmtId="0" fontId="143" fillId="43" borderId="15" xfId="0" applyFont="1" applyFill="1" applyBorder="1" applyAlignment="1">
      <alignment horizontal="left"/>
    </xf>
    <xf numFmtId="0" fontId="143" fillId="43" borderId="43" xfId="0" applyFont="1" applyFill="1" applyBorder="1" applyAlignment="1">
      <alignment horizontal="left"/>
    </xf>
    <xf numFmtId="0" fontId="143" fillId="43" borderId="58" xfId="0" applyFont="1" applyFill="1" applyBorder="1"/>
    <xf numFmtId="10" fontId="151" fillId="43" borderId="59" xfId="0" applyNumberFormat="1" applyFont="1" applyFill="1" applyBorder="1" applyAlignment="1">
      <alignment horizontal="center"/>
    </xf>
    <xf numFmtId="3" fontId="151" fillId="43" borderId="60" xfId="0" applyNumberFormat="1" applyFont="1" applyFill="1" applyBorder="1" applyAlignment="1">
      <alignment horizontal="center"/>
    </xf>
    <xf numFmtId="0" fontId="143" fillId="43" borderId="60" xfId="0" applyFont="1" applyFill="1" applyBorder="1" applyAlignment="1">
      <alignment horizontal="center"/>
    </xf>
    <xf numFmtId="0" fontId="143" fillId="43" borderId="60" xfId="0" applyFont="1" applyFill="1" applyBorder="1" applyAlignment="1">
      <alignment horizontal="left"/>
    </xf>
    <xf numFmtId="0" fontId="143" fillId="43" borderId="61" xfId="0" applyFont="1" applyFill="1" applyBorder="1" applyAlignment="1">
      <alignment horizontal="left"/>
    </xf>
    <xf numFmtId="10" fontId="143" fillId="43" borderId="0" xfId="0" applyNumberFormat="1" applyFont="1" applyFill="1" applyAlignment="1">
      <alignment horizontal="left"/>
    </xf>
    <xf numFmtId="174" fontId="143" fillId="43" borderId="0" xfId="0" applyNumberFormat="1" applyFont="1" applyFill="1" applyAlignment="1">
      <alignment horizontal="left"/>
    </xf>
    <xf numFmtId="3" fontId="140" fillId="43" borderId="31" xfId="0" applyNumberFormat="1" applyFont="1" applyFill="1" applyBorder="1"/>
    <xf numFmtId="3" fontId="143" fillId="43" borderId="31" xfId="0" applyNumberFormat="1" applyFont="1" applyFill="1" applyBorder="1"/>
    <xf numFmtId="0" fontId="143" fillId="43" borderId="25" xfId="0" applyFont="1" applyFill="1" applyBorder="1"/>
    <xf numFmtId="0" fontId="143" fillId="43" borderId="31" xfId="0" applyFont="1" applyFill="1" applyBorder="1"/>
    <xf numFmtId="166" fontId="140" fillId="43" borderId="32" xfId="300" applyFont="1" applyFill="1" applyBorder="1"/>
    <xf numFmtId="0" fontId="143" fillId="43" borderId="27" xfId="0" applyFont="1" applyFill="1" applyBorder="1"/>
    <xf numFmtId="3" fontId="140" fillId="43" borderId="33" xfId="179" applyNumberFormat="1" applyFont="1" applyFill="1" applyBorder="1" applyAlignment="1" applyProtection="1">
      <alignment horizontal="right"/>
    </xf>
    <xf numFmtId="166" fontId="146" fillId="43" borderId="0" xfId="300" applyFont="1" applyFill="1" applyAlignment="1">
      <alignment horizontal="left"/>
    </xf>
    <xf numFmtId="171" fontId="146" fillId="43" borderId="0" xfId="310" applyNumberFormat="1" applyFont="1" applyFill="1" applyBorder="1" applyAlignment="1" applyProtection="1">
      <alignment horizontal="right"/>
    </xf>
    <xf numFmtId="0" fontId="140" fillId="45" borderId="62" xfId="0" applyFont="1" applyFill="1" applyBorder="1" applyAlignment="1">
      <alignment horizontal="center"/>
    </xf>
    <xf numFmtId="0" fontId="140" fillId="43" borderId="47" xfId="0" applyFont="1" applyFill="1" applyBorder="1" applyAlignment="1">
      <alignment horizontal="left"/>
    </xf>
    <xf numFmtId="171" fontId="150" fillId="43" borderId="48" xfId="310" applyNumberFormat="1" applyFont="1" applyFill="1" applyBorder="1" applyAlignment="1" applyProtection="1">
      <alignment horizontal="center"/>
    </xf>
    <xf numFmtId="171" fontId="140" fillId="43" borderId="0" xfId="310" applyNumberFormat="1" applyFont="1" applyFill="1" applyBorder="1" applyAlignment="1" applyProtection="1">
      <alignment horizontal="center"/>
    </xf>
    <xf numFmtId="178" fontId="143" fillId="43" borderId="0" xfId="0" applyNumberFormat="1" applyFont="1" applyFill="1" applyAlignment="1">
      <alignment horizontal="center"/>
    </xf>
    <xf numFmtId="3" fontId="140" fillId="43" borderId="44" xfId="0" applyNumberFormat="1" applyFont="1" applyFill="1" applyBorder="1" applyAlignment="1">
      <alignment horizontal="center"/>
    </xf>
    <xf numFmtId="178" fontId="140" fillId="43" borderId="0" xfId="0" applyNumberFormat="1" applyFont="1" applyFill="1" applyAlignment="1">
      <alignment horizontal="center"/>
    </xf>
    <xf numFmtId="173" fontId="143" fillId="43" borderId="0" xfId="0" applyNumberFormat="1" applyFont="1" applyFill="1" applyAlignment="1">
      <alignment horizontal="center"/>
    </xf>
    <xf numFmtId="173" fontId="143" fillId="43" borderId="56" xfId="0" applyNumberFormat="1" applyFont="1" applyFill="1" applyBorder="1" applyAlignment="1">
      <alignment horizontal="center"/>
    </xf>
    <xf numFmtId="0" fontId="143" fillId="43" borderId="56" xfId="0" applyFont="1" applyFill="1" applyBorder="1" applyAlignment="1">
      <alignment horizontal="center"/>
    </xf>
    <xf numFmtId="171" fontId="140" fillId="43" borderId="0" xfId="0" applyNumberFormat="1" applyFont="1" applyFill="1" applyAlignment="1">
      <alignment horizontal="center"/>
    </xf>
    <xf numFmtId="174" fontId="140" fillId="43" borderId="0" xfId="0" applyNumberFormat="1" applyFont="1" applyFill="1" applyAlignment="1">
      <alignment horizontal="center"/>
    </xf>
    <xf numFmtId="174" fontId="143" fillId="43" borderId="0" xfId="0" applyNumberFormat="1" applyFont="1" applyFill="1" applyAlignment="1">
      <alignment horizontal="center"/>
    </xf>
    <xf numFmtId="174" fontId="143" fillId="43" borderId="60" xfId="0" applyNumberFormat="1" applyFont="1" applyFill="1" applyBorder="1" applyAlignment="1">
      <alignment horizontal="center"/>
    </xf>
    <xf numFmtId="0" fontId="143" fillId="43" borderId="61" xfId="0" applyFont="1" applyFill="1" applyBorder="1" applyAlignment="1">
      <alignment horizontal="center"/>
    </xf>
    <xf numFmtId="174" fontId="143" fillId="0" borderId="0" xfId="0" applyNumberFormat="1" applyFont="1" applyAlignment="1">
      <alignment horizontal="left"/>
    </xf>
    <xf numFmtId="9" fontId="143" fillId="0" borderId="0" xfId="0" applyNumberFormat="1" applyFont="1"/>
    <xf numFmtId="38" fontId="140" fillId="0" borderId="0" xfId="0" applyNumberFormat="1" applyFont="1" applyAlignment="1">
      <alignment horizontal="center"/>
    </xf>
    <xf numFmtId="38" fontId="140" fillId="43" borderId="0" xfId="0" applyNumberFormat="1" applyFont="1" applyFill="1" applyAlignment="1">
      <alignment horizontal="center"/>
    </xf>
    <xf numFmtId="0" fontId="140" fillId="0" borderId="0" xfId="0" applyFont="1" applyAlignment="1">
      <alignment horizontal="left"/>
    </xf>
    <xf numFmtId="177" fontId="140" fillId="0" borderId="0" xfId="0" applyNumberFormat="1" applyFont="1" applyAlignment="1">
      <alignment horizontal="center"/>
    </xf>
    <xf numFmtId="0" fontId="140" fillId="67" borderId="0" xfId="0" applyFont="1" applyFill="1"/>
    <xf numFmtId="0" fontId="25" fillId="0" borderId="26" xfId="0" applyFont="1" applyBorder="1"/>
    <xf numFmtId="0" fontId="25" fillId="0" borderId="29" xfId="0" applyFont="1" applyBorder="1"/>
    <xf numFmtId="3" fontId="22" fillId="63" borderId="0" xfId="0" applyNumberFormat="1" applyFont="1" applyFill="1"/>
    <xf numFmtId="0" fontId="195" fillId="67" borderId="27" xfId="0" applyFont="1" applyFill="1" applyBorder="1" applyAlignment="1">
      <alignment horizontal="left" vertical="center" wrapText="1"/>
    </xf>
    <xf numFmtId="0" fontId="122" fillId="0" borderId="0" xfId="0" applyFont="1" applyAlignment="1">
      <alignment horizontal="left" vertical="center" indent="1"/>
    </xf>
    <xf numFmtId="9" fontId="121" fillId="0" borderId="0" xfId="310" applyFont="1" applyFill="1" applyBorder="1"/>
    <xf numFmtId="1" fontId="190" fillId="0" borderId="0" xfId="0" applyNumberFormat="1" applyFont="1"/>
    <xf numFmtId="175" fontId="25" fillId="0" borderId="5" xfId="179" applyNumberFormat="1" applyBorder="1" applyAlignment="1">
      <alignment vertical="center"/>
    </xf>
    <xf numFmtId="175" fontId="122" fillId="0" borderId="0" xfId="179" applyNumberFormat="1" applyFont="1" applyFill="1" applyBorder="1" applyAlignment="1">
      <alignment vertical="center"/>
    </xf>
    <xf numFmtId="9" fontId="122" fillId="0" borderId="0" xfId="310" applyFont="1" applyFill="1" applyBorder="1" applyAlignment="1" applyProtection="1">
      <alignment vertical="center"/>
    </xf>
    <xf numFmtId="175" fontId="152" fillId="0" borderId="0" xfId="179" applyNumberFormat="1" applyFont="1" applyBorder="1" applyAlignment="1">
      <alignment vertical="center"/>
    </xf>
    <xf numFmtId="169" fontId="152" fillId="0" borderId="0" xfId="0" applyNumberFormat="1" applyFont="1" applyAlignment="1">
      <alignment vertical="center"/>
    </xf>
    <xf numFmtId="9" fontId="25" fillId="0" borderId="0" xfId="310"/>
    <xf numFmtId="169" fontId="154" fillId="0" borderId="0" xfId="0" applyNumberFormat="1" applyFont="1" applyAlignment="1">
      <alignment vertical="center"/>
    </xf>
    <xf numFmtId="171" fontId="155" fillId="0" borderId="0" xfId="0" applyNumberFormat="1" applyFont="1" applyAlignment="1">
      <alignment vertical="center"/>
    </xf>
    <xf numFmtId="175" fontId="154" fillId="0" borderId="0" xfId="179" applyNumberFormat="1" applyFont="1" applyBorder="1" applyAlignment="1">
      <alignment vertical="center"/>
    </xf>
    <xf numFmtId="171" fontId="155" fillId="0" borderId="0" xfId="310" applyNumberFormat="1" applyFont="1" applyBorder="1" applyAlignment="1">
      <alignment vertical="center"/>
    </xf>
    <xf numFmtId="183" fontId="154" fillId="0" borderId="0" xfId="310" applyNumberFormat="1" applyFont="1" applyBorder="1" applyAlignment="1">
      <alignment vertical="center"/>
    </xf>
    <xf numFmtId="175" fontId="153" fillId="0" borderId="0" xfId="179" applyNumberFormat="1" applyFont="1" applyBorder="1" applyAlignment="1">
      <alignment vertical="center"/>
    </xf>
    <xf numFmtId="175" fontId="153" fillId="0" borderId="0" xfId="179" applyNumberFormat="1" applyFont="1" applyFill="1" applyBorder="1" applyAlignment="1">
      <alignment vertical="center"/>
    </xf>
    <xf numFmtId="175" fontId="152" fillId="0" borderId="0" xfId="179" applyNumberFormat="1" applyFont="1" applyFill="1" applyBorder="1" applyAlignment="1">
      <alignment vertical="center"/>
    </xf>
    <xf numFmtId="10" fontId="121" fillId="0" borderId="0" xfId="0" applyNumberFormat="1" applyFont="1" applyAlignment="1">
      <alignment vertical="center"/>
    </xf>
    <xf numFmtId="0" fontId="22" fillId="0" borderId="26" xfId="0" applyFont="1" applyBorder="1" applyAlignment="1">
      <alignment horizontal="center"/>
    </xf>
    <xf numFmtId="0" fontId="22" fillId="0" borderId="28" xfId="0" applyFont="1" applyBorder="1" applyAlignment="1">
      <alignment horizontal="center"/>
    </xf>
    <xf numFmtId="0" fontId="22" fillId="0" borderId="29" xfId="0" applyFont="1" applyBorder="1" applyAlignment="1">
      <alignment horizontal="center"/>
    </xf>
    <xf numFmtId="169" fontId="198" fillId="0" borderId="25" xfId="179" applyNumberFormat="1" applyFont="1" applyFill="1" applyBorder="1" applyAlignment="1">
      <alignment vertical="center"/>
    </xf>
    <xf numFmtId="169" fontId="198" fillId="0" borderId="0" xfId="179" applyNumberFormat="1" applyFont="1" applyFill="1" applyBorder="1" applyAlignment="1">
      <alignment vertical="center"/>
    </xf>
    <xf numFmtId="10" fontId="194" fillId="0" borderId="25" xfId="310" applyNumberFormat="1" applyFont="1" applyFill="1" applyBorder="1" applyAlignment="1" applyProtection="1">
      <alignment vertical="center"/>
    </xf>
    <xf numFmtId="10" fontId="194" fillId="0" borderId="0" xfId="310" applyNumberFormat="1" applyFont="1" applyFill="1" applyBorder="1" applyAlignment="1" applyProtection="1">
      <alignment vertical="center"/>
    </xf>
    <xf numFmtId="169" fontId="190" fillId="0" borderId="25" xfId="179" applyNumberFormat="1" applyFont="1" applyFill="1" applyBorder="1" applyAlignment="1">
      <alignment vertical="center"/>
    </xf>
    <xf numFmtId="169" fontId="190" fillId="0" borderId="0" xfId="179" applyNumberFormat="1" applyFont="1" applyFill="1" applyBorder="1" applyAlignment="1">
      <alignment vertical="center"/>
    </xf>
    <xf numFmtId="184" fontId="198" fillId="0" borderId="25" xfId="0" applyNumberFormat="1" applyFont="1" applyBorder="1" applyAlignment="1">
      <alignment vertical="center"/>
    </xf>
    <xf numFmtId="184" fontId="198" fillId="0" borderId="0" xfId="0" applyNumberFormat="1" applyFont="1" applyAlignment="1">
      <alignment vertical="center"/>
    </xf>
    <xf numFmtId="184" fontId="190" fillId="0" borderId="25" xfId="0" applyNumberFormat="1" applyFont="1" applyBorder="1" applyAlignment="1">
      <alignment vertical="center"/>
    </xf>
    <xf numFmtId="184" fontId="190" fillId="0" borderId="0" xfId="0" applyNumberFormat="1" applyFont="1" applyAlignment="1">
      <alignment vertical="center"/>
    </xf>
    <xf numFmtId="0" fontId="198" fillId="0" borderId="25" xfId="0" applyFont="1" applyBorder="1" applyAlignment="1">
      <alignment vertical="center"/>
    </xf>
    <xf numFmtId="0" fontId="198" fillId="0" borderId="0" xfId="0" applyFont="1" applyAlignment="1">
      <alignment vertical="center"/>
    </xf>
    <xf numFmtId="3" fontId="198" fillId="0" borderId="25" xfId="0" applyNumberFormat="1" applyFont="1" applyBorder="1" applyAlignment="1">
      <alignment vertical="center"/>
    </xf>
    <xf numFmtId="3" fontId="198" fillId="0" borderId="0" xfId="0" applyNumberFormat="1" applyFont="1" applyAlignment="1">
      <alignment vertical="center"/>
    </xf>
    <xf numFmtId="10" fontId="194" fillId="0" borderId="25" xfId="0" applyNumberFormat="1" applyFont="1" applyBorder="1" applyAlignment="1">
      <alignment vertical="center"/>
    </xf>
    <xf numFmtId="10" fontId="194" fillId="0" borderId="0" xfId="0" applyNumberFormat="1" applyFont="1" applyAlignment="1">
      <alignment vertical="center"/>
    </xf>
    <xf numFmtId="10" fontId="198" fillId="0" borderId="25" xfId="0" applyNumberFormat="1" applyFont="1" applyBorder="1" applyAlignment="1">
      <alignment vertical="center"/>
    </xf>
    <xf numFmtId="10" fontId="198" fillId="0" borderId="0" xfId="0" applyNumberFormat="1" applyFont="1" applyAlignment="1">
      <alignment vertical="center"/>
    </xf>
    <xf numFmtId="10" fontId="198" fillId="0" borderId="25" xfId="310" applyNumberFormat="1" applyFont="1" applyFill="1" applyBorder="1" applyAlignment="1" applyProtection="1">
      <alignment vertical="center"/>
    </xf>
    <xf numFmtId="10" fontId="198" fillId="0" borderId="0" xfId="310" applyNumberFormat="1" applyFont="1" applyFill="1" applyBorder="1" applyAlignment="1" applyProtection="1">
      <alignment vertical="center"/>
    </xf>
    <xf numFmtId="184" fontId="190" fillId="0" borderId="25" xfId="0" applyNumberFormat="1" applyFont="1" applyBorder="1" applyAlignment="1">
      <alignment horizontal="right" vertical="center"/>
    </xf>
    <xf numFmtId="184" fontId="190" fillId="0" borderId="0" xfId="0" applyNumberFormat="1" applyFont="1" applyAlignment="1">
      <alignment horizontal="right" vertical="center"/>
    </xf>
    <xf numFmtId="184" fontId="199" fillId="0" borderId="25" xfId="0" applyNumberFormat="1" applyFont="1" applyBorder="1" applyAlignment="1">
      <alignment horizontal="right" vertical="center"/>
    </xf>
    <xf numFmtId="184" fontId="199" fillId="0" borderId="0" xfId="0" applyNumberFormat="1" applyFont="1" applyAlignment="1">
      <alignment horizontal="right" vertical="center"/>
    </xf>
    <xf numFmtId="0" fontId="194" fillId="0" borderId="25" xfId="0" applyFont="1" applyBorder="1" applyAlignment="1">
      <alignment vertical="center"/>
    </xf>
    <xf numFmtId="0" fontId="194" fillId="0" borderId="0" xfId="0" applyFont="1" applyAlignment="1">
      <alignment vertical="center"/>
    </xf>
    <xf numFmtId="169" fontId="199" fillId="0" borderId="25" xfId="179" applyNumberFormat="1" applyFont="1" applyFill="1" applyBorder="1" applyAlignment="1">
      <alignment vertical="center"/>
    </xf>
    <xf numFmtId="169" fontId="199" fillId="0" borderId="0" xfId="179" applyNumberFormat="1" applyFont="1" applyFill="1" applyBorder="1" applyAlignment="1">
      <alignment vertical="center"/>
    </xf>
    <xf numFmtId="171" fontId="194" fillId="0" borderId="25" xfId="310" applyNumberFormat="1" applyFont="1" applyFill="1" applyBorder="1" applyAlignment="1">
      <alignment vertical="center"/>
    </xf>
    <xf numFmtId="171" fontId="194" fillId="0" borderId="0" xfId="310" applyNumberFormat="1" applyFont="1" applyFill="1" applyBorder="1" applyAlignment="1">
      <alignment vertical="center"/>
    </xf>
    <xf numFmtId="184" fontId="194" fillId="0" borderId="25" xfId="0" applyNumberFormat="1" applyFont="1" applyBorder="1" applyAlignment="1">
      <alignment horizontal="right" vertical="center"/>
    </xf>
    <xf numFmtId="184" fontId="194" fillId="0" borderId="0" xfId="0" applyNumberFormat="1" applyFont="1" applyAlignment="1">
      <alignment horizontal="right" vertical="center"/>
    </xf>
    <xf numFmtId="171" fontId="198" fillId="0" borderId="25" xfId="310" applyNumberFormat="1" applyFont="1" applyFill="1" applyBorder="1" applyAlignment="1">
      <alignment vertical="center"/>
    </xf>
    <xf numFmtId="171" fontId="198" fillId="0" borderId="0" xfId="310" applyNumberFormat="1" applyFont="1" applyFill="1" applyBorder="1" applyAlignment="1">
      <alignment vertical="center"/>
    </xf>
    <xf numFmtId="0" fontId="157" fillId="0" borderId="0" xfId="0" applyFont="1" applyAlignment="1">
      <alignment vertical="center" wrapText="1"/>
    </xf>
    <xf numFmtId="0" fontId="157" fillId="0" borderId="75" xfId="0" applyFont="1" applyBorder="1" applyAlignment="1">
      <alignment vertical="center" wrapText="1"/>
    </xf>
    <xf numFmtId="171" fontId="157" fillId="0" borderId="0" xfId="310" applyNumberFormat="1" applyFont="1" applyAlignment="1">
      <alignment horizontal="right" vertical="center" wrapText="1"/>
    </xf>
    <xf numFmtId="171" fontId="157" fillId="0" borderId="75" xfId="310" applyNumberFormat="1" applyFont="1" applyBorder="1" applyAlignment="1">
      <alignment horizontal="right" vertical="center" wrapText="1"/>
    </xf>
    <xf numFmtId="169" fontId="157" fillId="0" borderId="0" xfId="179" applyNumberFormat="1" applyFont="1" applyAlignment="1">
      <alignment horizontal="right" vertical="center" wrapText="1"/>
    </xf>
    <xf numFmtId="0" fontId="158" fillId="0" borderId="0" xfId="0" applyFont="1" applyAlignment="1">
      <alignment vertical="center" wrapText="1"/>
    </xf>
    <xf numFmtId="169" fontId="158" fillId="0" borderId="0" xfId="179" applyNumberFormat="1" applyFont="1" applyAlignment="1">
      <alignment horizontal="right" vertical="center" wrapText="1"/>
    </xf>
    <xf numFmtId="169" fontId="157" fillId="0" borderId="75" xfId="179" applyNumberFormat="1" applyFont="1" applyBorder="1" applyAlignment="1">
      <alignment horizontal="right" vertical="center" wrapText="1"/>
    </xf>
    <xf numFmtId="183" fontId="121" fillId="0" borderId="24" xfId="0" applyNumberFormat="1" applyFont="1" applyBorder="1" applyAlignment="1">
      <alignment vertical="center"/>
    </xf>
    <xf numFmtId="169" fontId="121" fillId="0" borderId="24" xfId="0" applyNumberFormat="1" applyFont="1" applyBorder="1" applyAlignment="1">
      <alignment vertical="center"/>
    </xf>
    <xf numFmtId="0" fontId="190" fillId="67" borderId="23" xfId="0" applyFont="1" applyFill="1" applyBorder="1" applyAlignment="1">
      <alignment horizontal="right" vertical="center" wrapText="1"/>
    </xf>
    <xf numFmtId="9" fontId="25" fillId="0" borderId="24" xfId="310" applyBorder="1" applyAlignment="1">
      <alignment horizontal="right"/>
    </xf>
    <xf numFmtId="9" fontId="25" fillId="0" borderId="24" xfId="310" applyBorder="1" applyAlignment="1">
      <alignment horizontal="right" vertical="center"/>
    </xf>
    <xf numFmtId="9" fontId="121" fillId="0" borderId="24" xfId="310" applyFont="1" applyBorder="1" applyAlignment="1">
      <alignment horizontal="right" vertical="center"/>
    </xf>
    <xf numFmtId="9" fontId="121" fillId="43" borderId="24" xfId="310" applyFont="1" applyFill="1" applyBorder="1" applyAlignment="1" applyProtection="1">
      <alignment horizontal="right" vertical="center"/>
    </xf>
    <xf numFmtId="9" fontId="25" fillId="0" borderId="24" xfId="310" applyFill="1" applyBorder="1" applyAlignment="1" applyProtection="1">
      <alignment horizontal="right" vertical="center"/>
    </xf>
    <xf numFmtId="9" fontId="25" fillId="43" borderId="24" xfId="310" applyFill="1" applyBorder="1" applyAlignment="1" applyProtection="1">
      <alignment horizontal="right" vertical="center"/>
    </xf>
    <xf numFmtId="9" fontId="121" fillId="43" borderId="24" xfId="310" applyFont="1" applyFill="1" applyBorder="1" applyAlignment="1">
      <alignment horizontal="right" vertical="center"/>
    </xf>
    <xf numFmtId="9" fontId="22" fillId="0" borderId="24" xfId="310" applyFont="1" applyFill="1" applyBorder="1" applyAlignment="1">
      <alignment horizontal="right" vertical="center"/>
    </xf>
    <xf numFmtId="9" fontId="122" fillId="0" borderId="24" xfId="310" applyFont="1" applyBorder="1" applyAlignment="1">
      <alignment horizontal="right" vertical="center"/>
    </xf>
    <xf numFmtId="9" fontId="22" fillId="0" borderId="24" xfId="310" applyFont="1" applyBorder="1" applyAlignment="1">
      <alignment horizontal="right" vertical="center"/>
    </xf>
    <xf numFmtId="9" fontId="121" fillId="0" borderId="24" xfId="310" applyFont="1" applyFill="1" applyBorder="1" applyAlignment="1">
      <alignment horizontal="right" vertical="center"/>
    </xf>
    <xf numFmtId="1" fontId="25" fillId="0" borderId="24" xfId="310" applyNumberFormat="1" applyBorder="1" applyAlignment="1">
      <alignment horizontal="right" vertical="center"/>
    </xf>
    <xf numFmtId="1" fontId="22" fillId="0" borderId="0" xfId="0" applyNumberFormat="1" applyFont="1"/>
    <xf numFmtId="0" fontId="121" fillId="0" borderId="0" xfId="0" applyFont="1" applyAlignment="1">
      <alignment horizontal="right" vertical="center"/>
    </xf>
    <xf numFmtId="171" fontId="188" fillId="0" borderId="0" xfId="310" applyNumberFormat="1" applyFont="1"/>
    <xf numFmtId="171" fontId="188" fillId="63" borderId="0" xfId="310" applyNumberFormat="1" applyFont="1" applyFill="1"/>
    <xf numFmtId="173" fontId="22" fillId="0" borderId="0" xfId="0" applyNumberFormat="1" applyFont="1"/>
    <xf numFmtId="171" fontId="188" fillId="0" borderId="0" xfId="0" applyNumberFormat="1" applyFont="1" applyAlignment="1">
      <alignment horizontal="left" indent="1"/>
    </xf>
    <xf numFmtId="9" fontId="188" fillId="0" borderId="0" xfId="0" applyNumberFormat="1" applyFont="1"/>
    <xf numFmtId="169" fontId="22" fillId="58" borderId="0" xfId="179" applyNumberFormat="1" applyFont="1" applyFill="1"/>
    <xf numFmtId="0" fontId="136" fillId="0" borderId="75" xfId="0" applyFont="1" applyBorder="1" applyAlignment="1">
      <alignment horizontal="left" vertical="center" wrapText="1" indent="1"/>
    </xf>
    <xf numFmtId="10" fontId="140" fillId="0" borderId="0" xfId="0" applyNumberFormat="1" applyFont="1"/>
    <xf numFmtId="10" fontId="143" fillId="0" borderId="0" xfId="0" applyNumberFormat="1" applyFont="1"/>
    <xf numFmtId="168" fontId="143" fillId="0" borderId="0" xfId="179" applyFont="1" applyFill="1" applyBorder="1"/>
    <xf numFmtId="178" fontId="136" fillId="0" borderId="0" xfId="310" applyNumberFormat="1" applyFont="1" applyBorder="1" applyAlignment="1">
      <alignment horizontal="right" vertical="center" wrapText="1"/>
    </xf>
    <xf numFmtId="0" fontId="157" fillId="0" borderId="27" xfId="0" applyFont="1" applyBorder="1" applyAlignment="1">
      <alignment vertical="center" wrapText="1"/>
    </xf>
    <xf numFmtId="169" fontId="157" fillId="0" borderId="27" xfId="179" applyNumberFormat="1" applyFont="1" applyBorder="1" applyAlignment="1">
      <alignment horizontal="right" vertical="center" wrapText="1"/>
    </xf>
    <xf numFmtId="0" fontId="191" fillId="67" borderId="0" xfId="0" applyFont="1" applyFill="1" applyAlignment="1">
      <alignment vertical="center" wrapText="1"/>
    </xf>
    <xf numFmtId="0" fontId="191" fillId="67" borderId="0" xfId="0" applyFont="1" applyFill="1" applyAlignment="1">
      <alignment horizontal="right" vertical="center" wrapText="1"/>
    </xf>
    <xf numFmtId="169" fontId="157" fillId="0" borderId="0" xfId="179" applyNumberFormat="1" applyFont="1" applyBorder="1" applyAlignment="1">
      <alignment horizontal="right" vertical="center" wrapText="1"/>
    </xf>
    <xf numFmtId="3" fontId="22" fillId="43" borderId="0" xfId="0" applyNumberFormat="1" applyFont="1" applyFill="1" applyAlignment="1">
      <alignment vertical="center"/>
    </xf>
    <xf numFmtId="3" fontId="121" fillId="43" borderId="0" xfId="0" applyNumberFormat="1" applyFont="1" applyFill="1" applyAlignment="1">
      <alignment horizontal="left" vertical="center"/>
    </xf>
    <xf numFmtId="3" fontId="121" fillId="43" borderId="0" xfId="0" applyNumberFormat="1" applyFont="1" applyFill="1" applyAlignment="1">
      <alignment horizontal="left" vertical="center" indent="1"/>
    </xf>
    <xf numFmtId="3" fontId="128" fillId="43" borderId="0" xfId="0" applyNumberFormat="1" applyFont="1" applyFill="1" applyAlignment="1">
      <alignment horizontal="left" vertical="center"/>
    </xf>
    <xf numFmtId="3" fontId="128" fillId="43" borderId="0" xfId="0" applyNumberFormat="1" applyFont="1" applyFill="1" applyAlignment="1">
      <alignment horizontal="left" vertical="center" indent="2"/>
    </xf>
    <xf numFmtId="3" fontId="128" fillId="43" borderId="0" xfId="0" applyNumberFormat="1" applyFont="1" applyFill="1" applyAlignment="1">
      <alignment vertical="center"/>
    </xf>
    <xf numFmtId="3" fontId="129" fillId="43" borderId="0" xfId="0" applyNumberFormat="1" applyFont="1" applyFill="1" applyAlignment="1">
      <alignment horizontal="right" vertical="center"/>
    </xf>
    <xf numFmtId="174" fontId="122" fillId="0" borderId="0" xfId="0" applyNumberFormat="1" applyFont="1" applyAlignment="1">
      <alignment horizontal="right"/>
    </xf>
    <xf numFmtId="3" fontId="128" fillId="0" borderId="0" xfId="0" applyNumberFormat="1" applyFont="1" applyAlignment="1">
      <alignment horizontal="right"/>
    </xf>
    <xf numFmtId="3" fontId="121" fillId="0" borderId="0" xfId="0" applyNumberFormat="1" applyFont="1" applyAlignment="1">
      <alignment horizontal="left" indent="3"/>
    </xf>
    <xf numFmtId="169" fontId="25" fillId="0" borderId="0" xfId="179" applyNumberFormat="1" applyFill="1" applyBorder="1" applyAlignment="1">
      <alignment horizontal="right"/>
    </xf>
    <xf numFmtId="169" fontId="22" fillId="0" borderId="0" xfId="179" applyNumberFormat="1" applyFont="1" applyFill="1" applyBorder="1"/>
    <xf numFmtId="169" fontId="22" fillId="0" borderId="0" xfId="179" applyNumberFormat="1" applyFont="1" applyFill="1" applyBorder="1" applyAlignment="1">
      <alignment horizontal="right"/>
    </xf>
    <xf numFmtId="0" fontId="113" fillId="3" borderId="0" xfId="0" applyFont="1" applyFill="1"/>
    <xf numFmtId="0" fontId="135" fillId="0" borderId="0" xfId="0" applyFont="1"/>
    <xf numFmtId="0" fontId="132" fillId="0" borderId="27" xfId="0" applyFont="1" applyBorder="1"/>
    <xf numFmtId="167" fontId="25" fillId="43" borderId="28" xfId="0" applyNumberFormat="1" applyFont="1" applyFill="1" applyBorder="1" applyAlignment="1">
      <alignment horizontal="right"/>
    </xf>
    <xf numFmtId="0" fontId="25" fillId="43" borderId="25" xfId="0" applyFont="1" applyFill="1" applyBorder="1" applyAlignment="1">
      <alignment vertical="center"/>
    </xf>
    <xf numFmtId="0" fontId="121" fillId="43" borderId="25" xfId="0" applyFont="1" applyFill="1" applyBorder="1" applyAlignment="1">
      <alignment vertical="center"/>
    </xf>
    <xf numFmtId="0" fontId="121" fillId="0" borderId="25" xfId="0" applyFont="1" applyBorder="1" applyAlignment="1">
      <alignment horizontal="left" vertical="center" indent="1"/>
    </xf>
    <xf numFmtId="2" fontId="25" fillId="0" borderId="0" xfId="310" applyNumberFormat="1" applyFill="1" applyBorder="1" applyAlignment="1" applyProtection="1"/>
    <xf numFmtId="169" fontId="25" fillId="72" borderId="0" xfId="179" applyNumberFormat="1" applyFill="1" applyBorder="1" applyAlignment="1" applyProtection="1">
      <alignment horizontal="center"/>
    </xf>
    <xf numFmtId="169" fontId="121" fillId="0" borderId="25" xfId="179" applyNumberFormat="1" applyFont="1" applyFill="1" applyBorder="1" applyAlignment="1">
      <alignment horizontal="right"/>
    </xf>
    <xf numFmtId="171" fontId="121" fillId="0" borderId="0" xfId="310" applyNumberFormat="1" applyFont="1" applyFill="1" applyBorder="1" applyAlignment="1" applyProtection="1">
      <alignment horizontal="right" vertical="center"/>
    </xf>
    <xf numFmtId="171" fontId="121" fillId="43" borderId="0" xfId="310" applyNumberFormat="1" applyFont="1" applyFill="1" applyBorder="1" applyAlignment="1" applyProtection="1">
      <alignment vertical="center"/>
    </xf>
    <xf numFmtId="183" fontId="25" fillId="43" borderId="0" xfId="0" applyNumberFormat="1" applyFont="1" applyFill="1" applyAlignment="1">
      <alignment vertical="center"/>
    </xf>
    <xf numFmtId="10" fontId="25" fillId="43" borderId="0" xfId="0" applyNumberFormat="1" applyFont="1" applyFill="1" applyAlignment="1">
      <alignment vertical="center"/>
    </xf>
    <xf numFmtId="171" fontId="125" fillId="43" borderId="25" xfId="310" applyNumberFormat="1" applyFont="1" applyFill="1" applyBorder="1" applyAlignment="1" applyProtection="1">
      <alignment vertical="center"/>
    </xf>
    <xf numFmtId="171" fontId="125" fillId="43" borderId="0" xfId="310" applyNumberFormat="1" applyFont="1" applyFill="1" applyBorder="1" applyAlignment="1" applyProtection="1">
      <alignment vertical="center"/>
    </xf>
    <xf numFmtId="171" fontId="125" fillId="43" borderId="31" xfId="310" applyNumberFormat="1" applyFont="1" applyFill="1" applyBorder="1" applyAlignment="1" applyProtection="1">
      <alignment vertical="center"/>
    </xf>
    <xf numFmtId="171" fontId="194" fillId="0" borderId="25" xfId="310" applyNumberFormat="1" applyFont="1" applyFill="1" applyBorder="1" applyAlignment="1" applyProtection="1">
      <alignment vertical="center"/>
    </xf>
    <xf numFmtId="171" fontId="194" fillId="0" borderId="0" xfId="310" applyNumberFormat="1" applyFont="1" applyFill="1" applyBorder="1" applyAlignment="1" applyProtection="1">
      <alignment vertical="center"/>
    </xf>
    <xf numFmtId="171" fontId="125" fillId="0" borderId="0" xfId="310" applyNumberFormat="1" applyFont="1" applyFill="1" applyBorder="1" applyAlignment="1" applyProtection="1">
      <alignment vertical="center"/>
    </xf>
    <xf numFmtId="171" fontId="121" fillId="43" borderId="24" xfId="310" applyNumberFormat="1" applyFont="1" applyFill="1" applyBorder="1" applyAlignment="1" applyProtection="1">
      <alignment horizontal="right" vertical="center"/>
    </xf>
    <xf numFmtId="171" fontId="121" fillId="0" borderId="25" xfId="310" applyNumberFormat="1" applyFont="1" applyFill="1" applyBorder="1" applyAlignment="1" applyProtection="1">
      <alignment horizontal="right" vertical="center"/>
    </xf>
    <xf numFmtId="171" fontId="121" fillId="43" borderId="25" xfId="310" applyNumberFormat="1" applyFont="1" applyFill="1" applyBorder="1" applyAlignment="1" applyProtection="1">
      <alignment vertical="center"/>
    </xf>
    <xf numFmtId="171" fontId="121" fillId="43" borderId="31" xfId="310" applyNumberFormat="1" applyFont="1" applyFill="1" applyBorder="1" applyAlignment="1" applyProtection="1">
      <alignment vertical="center"/>
    </xf>
    <xf numFmtId="171" fontId="198" fillId="0" borderId="25" xfId="310" applyNumberFormat="1" applyFont="1" applyFill="1" applyBorder="1" applyAlignment="1" applyProtection="1">
      <alignment vertical="center"/>
    </xf>
    <xf numFmtId="171" fontId="198" fillId="0" borderId="0" xfId="310" applyNumberFormat="1" applyFont="1" applyFill="1" applyBorder="1" applyAlignment="1" applyProtection="1">
      <alignment vertical="center"/>
    </xf>
    <xf numFmtId="171" fontId="25" fillId="0" borderId="0" xfId="310" applyNumberFormat="1" applyFill="1" applyBorder="1"/>
    <xf numFmtId="1" fontId="25" fillId="0" borderId="0" xfId="0" applyNumberFormat="1" applyFont="1" applyAlignment="1">
      <alignment horizontal="right"/>
    </xf>
    <xf numFmtId="9" fontId="22" fillId="0" borderId="0" xfId="310" applyFont="1" applyFill="1" applyBorder="1"/>
    <xf numFmtId="0" fontId="190" fillId="0" borderId="0" xfId="0" applyFont="1"/>
    <xf numFmtId="171" fontId="121" fillId="0" borderId="0" xfId="310" applyNumberFormat="1" applyFont="1" applyFill="1" applyBorder="1"/>
    <xf numFmtId="0" fontId="22" fillId="71" borderId="26" xfId="0" applyFont="1" applyFill="1" applyBorder="1" applyAlignment="1">
      <alignment horizontal="right"/>
    </xf>
    <xf numFmtId="0" fontId="22" fillId="71" borderId="28" xfId="0" applyFont="1" applyFill="1" applyBorder="1" applyAlignment="1">
      <alignment horizontal="right"/>
    </xf>
    <xf numFmtId="0" fontId="22" fillId="71" borderId="29" xfId="0" applyFont="1" applyFill="1" applyBorder="1" applyAlignment="1">
      <alignment horizontal="right"/>
    </xf>
    <xf numFmtId="0" fontId="190" fillId="73" borderId="0" xfId="0" applyFont="1" applyFill="1"/>
    <xf numFmtId="0" fontId="198" fillId="0" borderId="0" xfId="0" applyFont="1"/>
    <xf numFmtId="0" fontId="25" fillId="0" borderId="0" xfId="0" applyFont="1" applyAlignment="1">
      <alignment horizontal="left"/>
    </xf>
    <xf numFmtId="10" fontId="25" fillId="0" borderId="0" xfId="310" applyNumberFormat="1" applyAlignment="1">
      <alignment horizontal="right" vertical="center"/>
    </xf>
    <xf numFmtId="169" fontId="25" fillId="0" borderId="0" xfId="179" applyNumberFormat="1" applyFill="1"/>
    <xf numFmtId="169" fontId="25" fillId="0" borderId="0" xfId="179" applyNumberFormat="1" applyFill="1" applyBorder="1"/>
    <xf numFmtId="169" fontId="25" fillId="0" borderId="0" xfId="179" applyNumberFormat="1" applyFill="1" applyAlignment="1">
      <alignment horizontal="right"/>
    </xf>
    <xf numFmtId="169" fontId="25" fillId="0" borderId="0" xfId="179" applyNumberFormat="1" applyFill="1" applyBorder="1" applyAlignment="1">
      <alignment horizontal="right" vertical="center"/>
    </xf>
    <xf numFmtId="169" fontId="121" fillId="0" borderId="0" xfId="179" applyNumberFormat="1" applyFont="1" applyFill="1" applyBorder="1"/>
    <xf numFmtId="43" fontId="22" fillId="0" borderId="0" xfId="0" applyNumberFormat="1" applyFont="1"/>
    <xf numFmtId="169" fontId="25" fillId="0" borderId="25" xfId="179" applyNumberFormat="1" applyFill="1" applyBorder="1" applyAlignment="1">
      <alignment horizontal="right"/>
    </xf>
    <xf numFmtId="169" fontId="25" fillId="0" borderId="25" xfId="179" applyNumberFormat="1" applyFill="1" applyBorder="1"/>
    <xf numFmtId="169" fontId="25" fillId="0" borderId="31" xfId="179" applyNumberFormat="1" applyFill="1" applyBorder="1" applyAlignment="1">
      <alignment horizontal="right"/>
    </xf>
    <xf numFmtId="169" fontId="25" fillId="0" borderId="31" xfId="179" applyNumberFormat="1" applyFill="1" applyBorder="1"/>
    <xf numFmtId="183" fontId="25" fillId="0" borderId="0" xfId="310" applyNumberFormat="1" applyAlignment="1">
      <alignment horizontal="right" vertical="center"/>
    </xf>
    <xf numFmtId="1" fontId="25" fillId="0" borderId="0" xfId="310" applyNumberFormat="1" applyAlignment="1">
      <alignment horizontal="right" vertical="center"/>
    </xf>
    <xf numFmtId="0" fontId="25" fillId="0" borderId="0" xfId="310" applyNumberFormat="1" applyAlignment="1">
      <alignment horizontal="right" vertical="center"/>
    </xf>
    <xf numFmtId="43" fontId="22" fillId="0" borderId="0" xfId="0" applyNumberFormat="1" applyFont="1" applyAlignment="1">
      <alignment horizontal="right"/>
    </xf>
    <xf numFmtId="171" fontId="25" fillId="0" borderId="0" xfId="0" applyNumberFormat="1" applyFont="1"/>
    <xf numFmtId="10" fontId="22" fillId="0" borderId="0" xfId="0" applyNumberFormat="1" applyFont="1"/>
    <xf numFmtId="0" fontId="25" fillId="0" borderId="0" xfId="310" applyNumberFormat="1" applyFill="1" applyBorder="1"/>
    <xf numFmtId="9" fontId="190" fillId="0" borderId="0" xfId="0" applyNumberFormat="1" applyFont="1"/>
    <xf numFmtId="0" fontId="22" fillId="0" borderId="0" xfId="310" applyNumberFormat="1" applyFont="1" applyFill="1" applyBorder="1"/>
    <xf numFmtId="0" fontId="25" fillId="0" borderId="25" xfId="179" applyNumberFormat="1" applyFill="1" applyBorder="1" applyAlignment="1">
      <alignment horizontal="right"/>
    </xf>
    <xf numFmtId="171" fontId="25" fillId="0" borderId="0" xfId="179" applyNumberFormat="1" applyAlignment="1">
      <alignment horizontal="right" vertical="center"/>
    </xf>
    <xf numFmtId="9" fontId="22" fillId="0" borderId="0" xfId="0" applyNumberFormat="1" applyFont="1" applyAlignment="1">
      <alignment vertical="center"/>
    </xf>
    <xf numFmtId="169" fontId="22" fillId="43" borderId="0" xfId="0" applyNumberFormat="1" applyFont="1" applyFill="1" applyAlignment="1">
      <alignment horizontal="right"/>
    </xf>
    <xf numFmtId="226" fontId="25" fillId="0" borderId="0" xfId="0" applyNumberFormat="1" applyFont="1" applyAlignment="1">
      <alignment vertical="center"/>
    </xf>
    <xf numFmtId="226" fontId="25" fillId="0" borderId="0" xfId="0" applyNumberFormat="1" applyFont="1" applyAlignment="1">
      <alignment horizontal="right" vertical="center"/>
    </xf>
    <xf numFmtId="9" fontId="122" fillId="0" borderId="0" xfId="0" applyNumberFormat="1" applyFont="1" applyAlignment="1">
      <alignment horizontal="right" vertical="center"/>
    </xf>
    <xf numFmtId="171" fontId="22" fillId="0" borderId="0" xfId="179" applyNumberFormat="1" applyFont="1" applyAlignment="1">
      <alignment horizontal="right" vertical="center"/>
    </xf>
    <xf numFmtId="9" fontId="25" fillId="0" borderId="0" xfId="179" applyNumberFormat="1" applyAlignment="1">
      <alignment horizontal="right" vertical="center"/>
    </xf>
    <xf numFmtId="169" fontId="25" fillId="0" borderId="0" xfId="310" applyNumberFormat="1" applyAlignment="1">
      <alignment horizontal="right" vertical="center"/>
    </xf>
    <xf numFmtId="171" fontId="22" fillId="0" borderId="0" xfId="0" applyNumberFormat="1" applyFont="1" applyAlignment="1">
      <alignment horizontal="right" vertical="center"/>
    </xf>
    <xf numFmtId="0" fontId="25" fillId="0" borderId="0" xfId="179" applyNumberFormat="1" applyAlignment="1">
      <alignment horizontal="right" vertical="center"/>
    </xf>
    <xf numFmtId="169" fontId="22" fillId="0" borderId="0" xfId="310" applyNumberFormat="1" applyFont="1" applyAlignment="1">
      <alignment horizontal="right" vertical="center"/>
    </xf>
    <xf numFmtId="0" fontId="22" fillId="0" borderId="0" xfId="310" applyNumberFormat="1" applyFont="1" applyAlignment="1">
      <alignment horizontal="right" vertical="center"/>
    </xf>
    <xf numFmtId="0" fontId="22" fillId="0" borderId="0" xfId="310" applyNumberFormat="1" applyFont="1" applyBorder="1" applyAlignment="1">
      <alignment horizontal="right" vertical="center"/>
    </xf>
    <xf numFmtId="169" fontId="22" fillId="0" borderId="0" xfId="310" applyNumberFormat="1" applyFont="1" applyBorder="1" applyAlignment="1">
      <alignment horizontal="right" vertical="center"/>
    </xf>
    <xf numFmtId="169" fontId="25" fillId="0" borderId="0" xfId="310" applyNumberFormat="1" applyBorder="1" applyAlignment="1">
      <alignment horizontal="right" vertical="center"/>
    </xf>
    <xf numFmtId="169" fontId="25" fillId="0" borderId="0" xfId="0" applyNumberFormat="1" applyFont="1" applyAlignment="1">
      <alignment horizontal="left" vertical="center" indent="1"/>
    </xf>
    <xf numFmtId="169" fontId="186" fillId="0" borderId="0" xfId="310" applyNumberFormat="1" applyFont="1" applyAlignment="1">
      <alignment horizontal="right" vertical="center"/>
    </xf>
    <xf numFmtId="171" fontId="185" fillId="0" borderId="0" xfId="0" applyNumberFormat="1" applyFont="1" applyAlignment="1">
      <alignment vertical="center"/>
    </xf>
    <xf numFmtId="10" fontId="22" fillId="62" borderId="29" xfId="310" applyNumberFormat="1" applyFont="1" applyFill="1" applyBorder="1" applyAlignment="1" applyProtection="1">
      <alignment horizontal="right" vertical="center"/>
    </xf>
    <xf numFmtId="9" fontId="25" fillId="0" borderId="31" xfId="310" applyBorder="1" applyAlignment="1"/>
    <xf numFmtId="169" fontId="121" fillId="0" borderId="25" xfId="179" applyNumberFormat="1" applyFont="1" applyFill="1" applyBorder="1"/>
    <xf numFmtId="169" fontId="22" fillId="43" borderId="0" xfId="179" applyNumberFormat="1" applyFont="1" applyFill="1" applyBorder="1" applyAlignment="1">
      <alignment horizontal="right" vertical="center"/>
    </xf>
    <xf numFmtId="169" fontId="22" fillId="0" borderId="25" xfId="179" applyNumberFormat="1" applyFont="1" applyFill="1" applyBorder="1" applyAlignment="1">
      <alignment horizontal="right"/>
    </xf>
    <xf numFmtId="171" fontId="25" fillId="0" borderId="25" xfId="310" applyNumberFormat="1" applyFill="1" applyBorder="1" applyAlignment="1">
      <alignment horizontal="right"/>
    </xf>
    <xf numFmtId="0" fontId="143" fillId="0" borderId="0" xfId="0" applyFont="1" applyAlignment="1">
      <alignment horizontal="left"/>
    </xf>
    <xf numFmtId="169" fontId="22" fillId="0" borderId="0" xfId="179" applyNumberFormat="1" applyFont="1" applyFill="1" applyBorder="1" applyAlignment="1" applyProtection="1">
      <alignment horizontal="center"/>
    </xf>
    <xf numFmtId="0" fontId="22" fillId="0" borderId="25" xfId="0" applyFont="1" applyBorder="1"/>
    <xf numFmtId="0" fontId="25" fillId="0" borderId="0" xfId="244" applyFont="1" applyBorder="1"/>
    <xf numFmtId="183" fontId="25" fillId="0" borderId="0" xfId="179" applyNumberFormat="1" applyFill="1" applyBorder="1" applyAlignment="1" applyProtection="1">
      <alignment horizontal="right" vertical="center"/>
    </xf>
    <xf numFmtId="3" fontId="25" fillId="0" borderId="0" xfId="179" applyNumberFormat="1" applyFill="1" applyBorder="1" applyAlignment="1" applyProtection="1">
      <alignment horizontal="right"/>
    </xf>
    <xf numFmtId="169" fontId="22" fillId="63" borderId="0" xfId="179" applyNumberFormat="1" applyFont="1" applyFill="1" applyBorder="1" applyAlignment="1">
      <alignment horizontal="right"/>
    </xf>
    <xf numFmtId="171" fontId="25" fillId="0" borderId="0" xfId="310" applyNumberFormat="1" applyFill="1"/>
    <xf numFmtId="0" fontId="198" fillId="0" borderId="0" xfId="0" applyFont="1" applyAlignment="1">
      <alignment horizontal="left" indent="1"/>
    </xf>
    <xf numFmtId="169" fontId="22" fillId="0" borderId="23" xfId="179" applyNumberFormat="1" applyFont="1" applyBorder="1"/>
    <xf numFmtId="169" fontId="25" fillId="0" borderId="24" xfId="179" applyNumberFormat="1" applyBorder="1"/>
    <xf numFmtId="169" fontId="25" fillId="0" borderId="5" xfId="179" applyNumberFormat="1" applyBorder="1"/>
    <xf numFmtId="169" fontId="22" fillId="0" borderId="5" xfId="179" applyNumberFormat="1" applyFont="1" applyBorder="1"/>
    <xf numFmtId="169" fontId="25" fillId="0" borderId="23" xfId="179" applyNumberFormat="1" applyBorder="1"/>
    <xf numFmtId="171" fontId="25" fillId="0" borderId="25" xfId="179" applyNumberFormat="1" applyFill="1" applyBorder="1" applyAlignment="1" applyProtection="1"/>
    <xf numFmtId="3" fontId="25" fillId="63" borderId="0" xfId="179" applyNumberFormat="1" applyFill="1" applyBorder="1" applyAlignment="1">
      <alignment horizontal="right"/>
    </xf>
    <xf numFmtId="3" fontId="121" fillId="63" borderId="0" xfId="0" applyNumberFormat="1" applyFont="1" applyFill="1" applyAlignment="1">
      <alignment horizontal="right"/>
    </xf>
    <xf numFmtId="0" fontId="22" fillId="57" borderId="24" xfId="0" applyFont="1" applyFill="1" applyBorder="1"/>
    <xf numFmtId="3" fontId="22" fillId="57" borderId="0" xfId="0" applyNumberFormat="1" applyFont="1" applyFill="1"/>
    <xf numFmtId="3" fontId="22" fillId="57" borderId="0" xfId="0" applyNumberFormat="1" applyFont="1" applyFill="1" applyAlignment="1">
      <alignment horizontal="right"/>
    </xf>
    <xf numFmtId="0" fontId="22" fillId="57" borderId="0" xfId="0" applyFont="1" applyFill="1"/>
    <xf numFmtId="183" fontId="25" fillId="74" borderId="0" xfId="179" applyNumberFormat="1" applyFill="1" applyBorder="1" applyAlignment="1" applyProtection="1">
      <alignment horizontal="right" vertical="center"/>
    </xf>
    <xf numFmtId="3" fontId="132" fillId="43" borderId="0" xfId="0" applyNumberFormat="1" applyFont="1" applyFill="1" applyAlignment="1">
      <alignment vertical="center"/>
    </xf>
    <xf numFmtId="184" fontId="22" fillId="0" borderId="0" xfId="179" applyNumberFormat="1" applyFont="1" applyBorder="1"/>
    <xf numFmtId="0" fontId="25" fillId="43" borderId="0" xfId="0" applyFont="1" applyFill="1"/>
    <xf numFmtId="0" fontId="198" fillId="0" borderId="0" xfId="0" applyFont="1" applyAlignment="1">
      <alignment horizontal="left"/>
    </xf>
    <xf numFmtId="183" fontId="121" fillId="0" borderId="31" xfId="0" applyNumberFormat="1" applyFont="1" applyBorder="1" applyAlignment="1">
      <alignment horizontal="right" vertical="center"/>
    </xf>
    <xf numFmtId="169" fontId="25" fillId="0" borderId="0" xfId="179" applyNumberFormat="1" applyAlignment="1">
      <alignment horizontal="center"/>
    </xf>
    <xf numFmtId="169" fontId="25" fillId="63" borderId="0" xfId="179" applyNumberFormat="1" applyFill="1" applyAlignment="1">
      <alignment horizontal="center"/>
    </xf>
    <xf numFmtId="0" fontId="22" fillId="0" borderId="0" xfId="0" applyFont="1" applyAlignment="1">
      <alignment horizontal="left"/>
    </xf>
    <xf numFmtId="10" fontId="143" fillId="43" borderId="0" xfId="310" applyNumberFormat="1" applyFont="1" applyFill="1" applyBorder="1" applyAlignment="1" applyProtection="1">
      <alignment horizontal="right"/>
    </xf>
    <xf numFmtId="184" fontId="25" fillId="0" borderId="0" xfId="0" applyNumberFormat="1" applyFont="1" applyAlignment="1">
      <alignment horizontal="left" vertical="center"/>
    </xf>
    <xf numFmtId="0" fontId="121" fillId="0" borderId="0" xfId="0" applyFont="1" applyAlignment="1">
      <alignment horizontal="left" vertical="center" indent="1"/>
    </xf>
    <xf numFmtId="3" fontId="22" fillId="75" borderId="0" xfId="0" applyNumberFormat="1" applyFont="1" applyFill="1" applyAlignment="1">
      <alignment vertical="center"/>
    </xf>
    <xf numFmtId="3" fontId="22" fillId="75" borderId="31" xfId="0" applyNumberFormat="1" applyFont="1" applyFill="1" applyBorder="1" applyAlignment="1">
      <alignment vertical="center"/>
    </xf>
    <xf numFmtId="10" fontId="25" fillId="0" borderId="0" xfId="310" applyNumberFormat="1" applyFill="1" applyBorder="1"/>
    <xf numFmtId="184" fontId="22" fillId="0" borderId="0" xfId="0" applyNumberFormat="1" applyFont="1" applyAlignment="1">
      <alignment horizontal="right"/>
    </xf>
    <xf numFmtId="0" fontId="201" fillId="0" borderId="0" xfId="0" applyFont="1" applyAlignment="1">
      <alignment horizontal="left" indent="1"/>
    </xf>
    <xf numFmtId="171" fontId="201" fillId="0" borderId="0" xfId="310" applyNumberFormat="1" applyFont="1" applyFill="1"/>
    <xf numFmtId="0" fontId="202" fillId="0" borderId="0" xfId="0" applyFont="1"/>
    <xf numFmtId="0" fontId="202" fillId="0" borderId="0" xfId="0" applyFont="1" applyAlignment="1">
      <alignment horizontal="right"/>
    </xf>
    <xf numFmtId="169" fontId="203" fillId="0" borderId="25" xfId="179" applyNumberFormat="1" applyFont="1" applyFill="1" applyBorder="1" applyAlignment="1">
      <alignment horizontal="right"/>
    </xf>
    <xf numFmtId="169" fontId="203" fillId="0" borderId="0" xfId="179" applyNumberFormat="1" applyFont="1" applyFill="1" applyBorder="1" applyAlignment="1">
      <alignment horizontal="right"/>
    </xf>
    <xf numFmtId="169" fontId="203" fillId="0" borderId="31" xfId="179" applyNumberFormat="1" applyFont="1" applyFill="1" applyBorder="1" applyAlignment="1">
      <alignment horizontal="right"/>
    </xf>
    <xf numFmtId="0" fontId="203" fillId="0" borderId="0" xfId="0" applyFont="1"/>
    <xf numFmtId="0" fontId="201" fillId="0" borderId="0" xfId="0" applyFont="1"/>
    <xf numFmtId="43" fontId="202" fillId="0" borderId="0" xfId="0" applyNumberFormat="1" applyFont="1"/>
    <xf numFmtId="169" fontId="203" fillId="0" borderId="0" xfId="179" applyNumberFormat="1" applyFont="1" applyFill="1" applyBorder="1"/>
    <xf numFmtId="171" fontId="201" fillId="0" borderId="0" xfId="310" applyNumberFormat="1" applyFont="1" applyFill="1" applyBorder="1"/>
    <xf numFmtId="171" fontId="203" fillId="0" borderId="0" xfId="310" applyNumberFormat="1" applyFont="1" applyFill="1" applyBorder="1"/>
    <xf numFmtId="171" fontId="203" fillId="0" borderId="0" xfId="310" applyNumberFormat="1" applyFont="1" applyFill="1" applyBorder="1" applyAlignment="1">
      <alignment horizontal="right"/>
    </xf>
    <xf numFmtId="169" fontId="201" fillId="0" borderId="0" xfId="179" applyNumberFormat="1" applyFont="1" applyFill="1" applyBorder="1" applyAlignment="1">
      <alignment horizontal="right"/>
    </xf>
    <xf numFmtId="171" fontId="201" fillId="0" borderId="0" xfId="310" applyNumberFormat="1" applyFont="1" applyFill="1" applyBorder="1" applyAlignment="1">
      <alignment horizontal="right"/>
    </xf>
    <xf numFmtId="169" fontId="202" fillId="0" borderId="0" xfId="179" applyNumberFormat="1" applyFont="1" applyFill="1" applyBorder="1"/>
    <xf numFmtId="10" fontId="202" fillId="0" borderId="0" xfId="0" applyNumberFormat="1" applyFont="1"/>
    <xf numFmtId="1" fontId="203" fillId="0" borderId="0" xfId="0" applyNumberFormat="1" applyFont="1"/>
    <xf numFmtId="169" fontId="203" fillId="0" borderId="25" xfId="179" applyNumberFormat="1" applyFont="1" applyFill="1" applyBorder="1"/>
    <xf numFmtId="169" fontId="203" fillId="0" borderId="31" xfId="179" applyNumberFormat="1" applyFont="1" applyFill="1" applyBorder="1"/>
    <xf numFmtId="169" fontId="201" fillId="0" borderId="0" xfId="179" applyNumberFormat="1" applyFont="1" applyFill="1" applyBorder="1"/>
    <xf numFmtId="1" fontId="202" fillId="0" borderId="0" xfId="0" applyNumberFormat="1" applyFont="1"/>
    <xf numFmtId="0" fontId="203" fillId="0" borderId="0" xfId="310" applyNumberFormat="1" applyFont="1" applyFill="1" applyBorder="1"/>
    <xf numFmtId="171" fontId="201" fillId="0" borderId="0" xfId="0" applyNumberFormat="1" applyFont="1"/>
    <xf numFmtId="171" fontId="203" fillId="0" borderId="0" xfId="0" applyNumberFormat="1" applyFont="1"/>
    <xf numFmtId="1" fontId="201" fillId="0" borderId="0" xfId="0" applyNumberFormat="1" applyFont="1"/>
    <xf numFmtId="227" fontId="203" fillId="0" borderId="0" xfId="0" applyNumberFormat="1" applyFont="1" applyAlignment="1">
      <alignment horizontal="right" vertical="center"/>
    </xf>
    <xf numFmtId="1" fontId="203" fillId="0" borderId="0" xfId="0" applyNumberFormat="1" applyFont="1" applyAlignment="1">
      <alignment horizontal="right" vertical="center"/>
    </xf>
    <xf numFmtId="169" fontId="203" fillId="0" borderId="0" xfId="179" applyNumberFormat="1" applyFont="1" applyFill="1" applyBorder="1" applyAlignment="1">
      <alignment horizontal="right" vertical="center"/>
    </xf>
    <xf numFmtId="9" fontId="25" fillId="0" borderId="0" xfId="310" applyFill="1" applyBorder="1" applyAlignment="1">
      <alignment vertical="center"/>
    </xf>
    <xf numFmtId="0" fontId="136" fillId="65" borderId="0" xfId="0" applyFont="1" applyFill="1" applyAlignment="1">
      <alignment vertical="center" wrapText="1"/>
    </xf>
    <xf numFmtId="178" fontId="136" fillId="65" borderId="0" xfId="0" applyNumberFormat="1" applyFont="1" applyFill="1" applyAlignment="1">
      <alignment horizontal="right" vertical="center" wrapText="1"/>
    </xf>
    <xf numFmtId="0" fontId="136" fillId="65" borderId="75" xfId="0" applyFont="1" applyFill="1" applyBorder="1" applyAlignment="1">
      <alignment vertical="center" wrapText="1"/>
    </xf>
    <xf numFmtId="178" fontId="136" fillId="65" borderId="75" xfId="0" applyNumberFormat="1" applyFont="1" applyFill="1" applyBorder="1" applyAlignment="1">
      <alignment horizontal="right" vertical="center" wrapText="1"/>
    </xf>
    <xf numFmtId="0" fontId="163" fillId="0" borderId="0" xfId="0" applyFont="1" applyAlignment="1">
      <alignment vertical="center" wrapText="1"/>
    </xf>
    <xf numFmtId="169" fontId="163" fillId="0" borderId="0" xfId="179" applyNumberFormat="1" applyFont="1"/>
    <xf numFmtId="14" fontId="204" fillId="71" borderId="27" xfId="0" applyNumberFormat="1" applyFont="1" applyFill="1" applyBorder="1" applyAlignment="1">
      <alignment vertical="center"/>
    </xf>
    <xf numFmtId="228" fontId="25" fillId="0" borderId="0" xfId="0" applyNumberFormat="1" applyFont="1" applyAlignment="1">
      <alignment horizontal="right" vertical="center"/>
    </xf>
    <xf numFmtId="0" fontId="25" fillId="0" borderId="5" xfId="0" applyFont="1" applyBorder="1"/>
    <xf numFmtId="171" fontId="136" fillId="65" borderId="0" xfId="310" applyNumberFormat="1" applyFont="1" applyFill="1" applyAlignment="1">
      <alignment horizontal="right" vertical="center" wrapText="1"/>
    </xf>
    <xf numFmtId="3" fontId="22" fillId="75" borderId="25" xfId="0" applyNumberFormat="1" applyFont="1" applyFill="1" applyBorder="1" applyAlignment="1">
      <alignment vertical="center"/>
    </xf>
    <xf numFmtId="169" fontId="25" fillId="0" borderId="24" xfId="179" applyNumberFormat="1" applyBorder="1" applyAlignment="1">
      <alignment horizontal="right" vertical="center"/>
    </xf>
    <xf numFmtId="0" fontId="205" fillId="67" borderId="0" xfId="0" applyFont="1" applyFill="1" applyAlignment="1">
      <alignment horizontal="right" vertical="center" wrapText="1"/>
    </xf>
    <xf numFmtId="171" fontId="152" fillId="0" borderId="0" xfId="310" applyNumberFormat="1" applyFont="1" applyBorder="1" applyAlignment="1">
      <alignment vertical="center"/>
    </xf>
    <xf numFmtId="171" fontId="155" fillId="0" borderId="0" xfId="310" applyNumberFormat="1" applyFont="1" applyFill="1" applyBorder="1" applyAlignment="1">
      <alignment vertical="center"/>
    </xf>
    <xf numFmtId="175" fontId="164" fillId="0" borderId="0" xfId="179" applyNumberFormat="1" applyFont="1" applyBorder="1" applyAlignment="1">
      <alignment vertical="center"/>
    </xf>
    <xf numFmtId="0" fontId="164" fillId="0" borderId="0" xfId="0" applyFont="1" applyAlignment="1">
      <alignment vertical="center"/>
    </xf>
    <xf numFmtId="169" fontId="164" fillId="0" borderId="0" xfId="0" applyNumberFormat="1" applyFont="1" applyAlignment="1">
      <alignment vertical="center"/>
    </xf>
    <xf numFmtId="37" fontId="164" fillId="0" borderId="0" xfId="0" applyNumberFormat="1" applyFont="1" applyAlignment="1">
      <alignment vertical="center"/>
    </xf>
    <xf numFmtId="3" fontId="165" fillId="0" borderId="0" xfId="0" applyNumberFormat="1" applyFont="1"/>
    <xf numFmtId="0" fontId="206" fillId="76" borderId="0" xfId="0" applyFont="1" applyFill="1" applyAlignment="1">
      <alignment vertical="center"/>
    </xf>
    <xf numFmtId="178" fontId="165" fillId="76" borderId="0" xfId="0" applyNumberFormat="1" applyFont="1" applyFill="1"/>
    <xf numFmtId="0" fontId="206" fillId="0" borderId="0" xfId="0" applyFont="1" applyAlignment="1">
      <alignment vertical="center"/>
    </xf>
    <xf numFmtId="37" fontId="165" fillId="0" borderId="0" xfId="0" applyNumberFormat="1" applyFont="1"/>
    <xf numFmtId="175" fontId="165" fillId="0" borderId="0" xfId="179" applyNumberFormat="1" applyFont="1"/>
    <xf numFmtId="0" fontId="206" fillId="65" borderId="0" xfId="0" applyFont="1" applyFill="1" applyAlignment="1">
      <alignment vertical="center"/>
    </xf>
    <xf numFmtId="175" fontId="165" fillId="65" borderId="0" xfId="179" applyNumberFormat="1" applyFont="1" applyFill="1"/>
    <xf numFmtId="169" fontId="165" fillId="0" borderId="0" xfId="179" applyNumberFormat="1" applyFont="1" applyFill="1"/>
    <xf numFmtId="226" fontId="25" fillId="0" borderId="0" xfId="310" applyNumberFormat="1" applyFill="1" applyAlignment="1">
      <alignment vertical="center"/>
    </xf>
    <xf numFmtId="169" fontId="22" fillId="0" borderId="0" xfId="179" applyNumberFormat="1" applyFont="1" applyFill="1"/>
    <xf numFmtId="3" fontId="124" fillId="0" borderId="0" xfId="310" applyNumberFormat="1" applyFont="1" applyFill="1" applyBorder="1" applyAlignment="1" applyProtection="1">
      <alignment vertical="center"/>
    </xf>
    <xf numFmtId="3" fontId="124" fillId="0" borderId="31" xfId="310" applyNumberFormat="1" applyFont="1" applyFill="1" applyBorder="1" applyAlignment="1" applyProtection="1">
      <alignment vertical="center"/>
    </xf>
    <xf numFmtId="169" fontId="22" fillId="0" borderId="0" xfId="310" applyNumberFormat="1" applyFont="1" applyFill="1" applyAlignment="1">
      <alignment horizontal="right" vertical="center"/>
    </xf>
    <xf numFmtId="169" fontId="198" fillId="0" borderId="31" xfId="179" applyNumberFormat="1" applyFont="1" applyFill="1" applyBorder="1" applyAlignment="1">
      <alignment vertical="center"/>
    </xf>
    <xf numFmtId="171" fontId="194" fillId="0" borderId="31" xfId="310" applyNumberFormat="1" applyFont="1" applyFill="1" applyBorder="1" applyAlignment="1" applyProtection="1">
      <alignment vertical="center"/>
    </xf>
    <xf numFmtId="169" fontId="190" fillId="0" borderId="31" xfId="179" applyNumberFormat="1" applyFont="1" applyFill="1" applyBorder="1" applyAlignment="1">
      <alignment vertical="center"/>
    </xf>
    <xf numFmtId="10" fontId="194" fillId="0" borderId="31" xfId="310" applyNumberFormat="1" applyFont="1" applyFill="1" applyBorder="1" applyAlignment="1" applyProtection="1">
      <alignment vertical="center"/>
    </xf>
    <xf numFmtId="184" fontId="198" fillId="0" borderId="31" xfId="0" applyNumberFormat="1" applyFont="1" applyBorder="1" applyAlignment="1">
      <alignment vertical="center"/>
    </xf>
    <xf numFmtId="184" fontId="190" fillId="0" borderId="31" xfId="0" applyNumberFormat="1" applyFont="1" applyBorder="1" applyAlignment="1">
      <alignment vertical="center"/>
    </xf>
    <xf numFmtId="0" fontId="198" fillId="0" borderId="31" xfId="0" applyFont="1" applyBorder="1" applyAlignment="1">
      <alignment vertical="center"/>
    </xf>
    <xf numFmtId="3" fontId="198" fillId="0" borderId="31" xfId="0" applyNumberFormat="1" applyFont="1" applyBorder="1" applyAlignment="1">
      <alignment vertical="center"/>
    </xf>
    <xf numFmtId="184" fontId="190" fillId="0" borderId="31" xfId="0" applyNumberFormat="1" applyFont="1" applyBorder="1" applyAlignment="1">
      <alignment horizontal="right" vertical="center"/>
    </xf>
    <xf numFmtId="0" fontId="194" fillId="0" borderId="31" xfId="0" applyFont="1" applyBorder="1" applyAlignment="1">
      <alignment vertical="center"/>
    </xf>
    <xf numFmtId="169" fontId="199" fillId="0" borderId="31" xfId="179" applyNumberFormat="1" applyFont="1" applyFill="1" applyBorder="1" applyAlignment="1">
      <alignment vertical="center"/>
    </xf>
    <xf numFmtId="171" fontId="194" fillId="0" borderId="31" xfId="310" applyNumberFormat="1" applyFont="1" applyFill="1" applyBorder="1" applyAlignment="1">
      <alignment vertical="center"/>
    </xf>
    <xf numFmtId="184" fontId="194" fillId="0" borderId="31" xfId="0" applyNumberFormat="1" applyFont="1" applyBorder="1" applyAlignment="1">
      <alignment horizontal="right" vertical="center"/>
    </xf>
    <xf numFmtId="171" fontId="198" fillId="0" borderId="31" xfId="310" applyNumberFormat="1" applyFont="1" applyFill="1" applyBorder="1" applyAlignment="1">
      <alignment vertical="center"/>
    </xf>
    <xf numFmtId="38" fontId="22" fillId="43" borderId="0" xfId="0" applyNumberFormat="1" applyFont="1" applyFill="1"/>
    <xf numFmtId="3" fontId="25" fillId="0" borderId="25" xfId="0" applyNumberFormat="1" applyFont="1" applyBorder="1" applyAlignment="1">
      <alignment horizontal="right"/>
    </xf>
    <xf numFmtId="3" fontId="25" fillId="63" borderId="25" xfId="0" applyNumberFormat="1" applyFont="1" applyFill="1" applyBorder="1" applyAlignment="1">
      <alignment horizontal="right"/>
    </xf>
    <xf numFmtId="3" fontId="25" fillId="0" borderId="25" xfId="179" applyNumberFormat="1" applyFill="1" applyBorder="1" applyAlignment="1" applyProtection="1">
      <alignment horizontal="right"/>
    </xf>
    <xf numFmtId="3" fontId="25" fillId="0" borderId="25" xfId="0" applyNumberFormat="1" applyFont="1" applyBorder="1"/>
    <xf numFmtId="3" fontId="121" fillId="0" borderId="25" xfId="179" applyNumberFormat="1" applyFont="1" applyFill="1" applyBorder="1" applyAlignment="1" applyProtection="1">
      <alignment horizontal="right"/>
    </xf>
    <xf numFmtId="3" fontId="22" fillId="0" borderId="25" xfId="0" applyNumberFormat="1" applyFont="1" applyBorder="1"/>
    <xf numFmtId="3" fontId="121" fillId="0" borderId="25" xfId="0" applyNumberFormat="1" applyFont="1" applyBorder="1"/>
    <xf numFmtId="3" fontId="22" fillId="0" borderId="25" xfId="0" applyNumberFormat="1" applyFont="1" applyBorder="1" applyAlignment="1">
      <alignment horizontal="right"/>
    </xf>
    <xf numFmtId="3" fontId="121" fillId="0" borderId="25" xfId="0" applyNumberFormat="1" applyFont="1" applyBorder="1" applyAlignment="1">
      <alignment horizontal="right"/>
    </xf>
    <xf numFmtId="3" fontId="22" fillId="57" borderId="25" xfId="0" applyNumberFormat="1" applyFont="1" applyFill="1" applyBorder="1" applyAlignment="1">
      <alignment horizontal="right"/>
    </xf>
    <xf numFmtId="3" fontId="25" fillId="63" borderId="25" xfId="179" applyNumberFormat="1" applyFill="1" applyBorder="1" applyAlignment="1">
      <alignment horizontal="right"/>
    </xf>
    <xf numFmtId="171" fontId="121" fillId="43" borderId="25" xfId="310" applyNumberFormat="1" applyFont="1" applyFill="1" applyBorder="1" applyAlignment="1">
      <alignment vertical="center"/>
    </xf>
    <xf numFmtId="10" fontId="124" fillId="0" borderId="26" xfId="310" applyNumberFormat="1" applyFont="1" applyFill="1" applyBorder="1" applyAlignment="1" applyProtection="1">
      <alignment horizontal="right" vertical="center"/>
    </xf>
    <xf numFmtId="3" fontId="22" fillId="43" borderId="25" xfId="0" applyNumberFormat="1" applyFont="1" applyFill="1" applyBorder="1" applyAlignment="1">
      <alignment vertical="center"/>
    </xf>
    <xf numFmtId="3" fontId="121" fillId="43" borderId="25" xfId="0" applyNumberFormat="1" applyFont="1" applyFill="1" applyBorder="1" applyAlignment="1">
      <alignment horizontal="left" vertical="center"/>
    </xf>
    <xf numFmtId="3" fontId="121" fillId="43" borderId="25" xfId="0" applyNumberFormat="1" applyFont="1" applyFill="1" applyBorder="1" applyAlignment="1">
      <alignment horizontal="left" vertical="center" indent="1"/>
    </xf>
    <xf numFmtId="3" fontId="128" fillId="43" borderId="25" xfId="0" applyNumberFormat="1" applyFont="1" applyFill="1" applyBorder="1" applyAlignment="1">
      <alignment horizontal="left" vertical="center"/>
    </xf>
    <xf numFmtId="3" fontId="129" fillId="43" borderId="25" xfId="0" applyNumberFormat="1" applyFont="1" applyFill="1" applyBorder="1" applyAlignment="1">
      <alignment horizontal="right" vertical="center"/>
    </xf>
    <xf numFmtId="3" fontId="128" fillId="43" borderId="25" xfId="0" applyNumberFormat="1" applyFont="1" applyFill="1" applyBorder="1" applyAlignment="1">
      <alignment horizontal="left" vertical="center" indent="2"/>
    </xf>
    <xf numFmtId="3" fontId="128" fillId="43" borderId="25" xfId="0" applyNumberFormat="1" applyFont="1" applyFill="1" applyBorder="1" applyAlignment="1">
      <alignment vertical="center"/>
    </xf>
    <xf numFmtId="3" fontId="132" fillId="43" borderId="25" xfId="0" applyNumberFormat="1" applyFont="1" applyFill="1" applyBorder="1" applyAlignment="1">
      <alignment vertical="center"/>
    </xf>
    <xf numFmtId="167" fontId="25" fillId="43" borderId="25" xfId="0" applyNumberFormat="1" applyFont="1" applyFill="1" applyBorder="1"/>
    <xf numFmtId="169" fontId="22" fillId="0" borderId="24" xfId="179" applyNumberFormat="1" applyFont="1" applyBorder="1"/>
    <xf numFmtId="171" fontId="25" fillId="0" borderId="31" xfId="179" applyNumberFormat="1" applyFill="1" applyBorder="1" applyAlignment="1" applyProtection="1"/>
    <xf numFmtId="172" fontId="22" fillId="44" borderId="26" xfId="0" applyNumberFormat="1" applyFont="1" applyFill="1" applyBorder="1" applyAlignment="1">
      <alignment horizontal="right"/>
    </xf>
    <xf numFmtId="172" fontId="22" fillId="44" borderId="29" xfId="0" applyNumberFormat="1" applyFont="1" applyFill="1" applyBorder="1" applyAlignment="1">
      <alignment horizontal="right"/>
    </xf>
    <xf numFmtId="167" fontId="25" fillId="43" borderId="26" xfId="0" applyNumberFormat="1" applyFont="1" applyFill="1" applyBorder="1" applyAlignment="1">
      <alignment horizontal="right"/>
    </xf>
    <xf numFmtId="0" fontId="25" fillId="3" borderId="25" xfId="0" applyFont="1" applyFill="1" applyBorder="1"/>
    <xf numFmtId="4" fontId="25" fillId="0" borderId="25" xfId="310" applyNumberFormat="1" applyFill="1" applyBorder="1" applyAlignment="1" applyProtection="1">
      <alignment horizontal="center"/>
    </xf>
    <xf numFmtId="173" fontId="25" fillId="0" borderId="25" xfId="310" applyNumberFormat="1" applyFill="1" applyBorder="1" applyAlignment="1" applyProtection="1">
      <alignment horizontal="center"/>
    </xf>
    <xf numFmtId="3" fontId="25" fillId="0" borderId="25" xfId="310" applyNumberFormat="1" applyFill="1" applyBorder="1" applyAlignment="1" applyProtection="1">
      <alignment horizontal="center"/>
    </xf>
    <xf numFmtId="3" fontId="25" fillId="0" borderId="25" xfId="310" applyNumberFormat="1" applyFill="1" applyBorder="1" applyAlignment="1" applyProtection="1"/>
    <xf numFmtId="171" fontId="25" fillId="3" borderId="25" xfId="310" applyNumberFormat="1" applyFill="1" applyBorder="1" applyAlignment="1" applyProtection="1"/>
    <xf numFmtId="4" fontId="25" fillId="0" borderId="25" xfId="310" applyNumberFormat="1" applyFill="1" applyBorder="1" applyAlignment="1" applyProtection="1"/>
    <xf numFmtId="171" fontId="25" fillId="0" borderId="25" xfId="310" applyNumberFormat="1" applyFill="1" applyBorder="1" applyAlignment="1" applyProtection="1">
      <alignment horizontal="center"/>
    </xf>
    <xf numFmtId="171" fontId="22" fillId="0" borderId="25" xfId="310" applyNumberFormat="1" applyFont="1" applyFill="1" applyBorder="1" applyAlignment="1" applyProtection="1">
      <alignment horizontal="center"/>
    </xf>
    <xf numFmtId="171" fontId="133" fillId="0" borderId="25" xfId="310" applyNumberFormat="1" applyFont="1" applyFill="1" applyBorder="1" applyAlignment="1" applyProtection="1"/>
    <xf numFmtId="9" fontId="25" fillId="0" borderId="25" xfId="310" applyFill="1" applyBorder="1" applyAlignment="1" applyProtection="1">
      <alignment horizontal="center"/>
    </xf>
    <xf numFmtId="175" fontId="25" fillId="0" borderId="25" xfId="179" applyNumberFormat="1" applyFill="1" applyBorder="1" applyAlignment="1" applyProtection="1"/>
    <xf numFmtId="171" fontId="25" fillId="0" borderId="32" xfId="310" applyNumberFormat="1" applyFill="1" applyBorder="1" applyAlignment="1" applyProtection="1"/>
    <xf numFmtId="3" fontId="25" fillId="43" borderId="31" xfId="0" applyNumberFormat="1" applyFont="1" applyFill="1" applyBorder="1" applyAlignment="1">
      <alignment vertical="center"/>
    </xf>
    <xf numFmtId="0" fontId="22" fillId="43" borderId="25" xfId="0" applyFont="1" applyFill="1" applyBorder="1" applyAlignment="1">
      <alignment vertical="center"/>
    </xf>
    <xf numFmtId="0" fontId="121" fillId="43" borderId="25" xfId="0" applyFont="1" applyFill="1" applyBorder="1" applyAlignment="1">
      <alignment horizontal="left" vertical="center" indent="1"/>
    </xf>
    <xf numFmtId="0" fontId="128" fillId="43" borderId="25" xfId="0" applyFont="1" applyFill="1" applyBorder="1" applyAlignment="1">
      <alignment horizontal="left" vertical="center" indent="1"/>
    </xf>
    <xf numFmtId="0" fontId="128" fillId="0" borderId="25" xfId="0" applyFont="1" applyBorder="1" applyAlignment="1">
      <alignment vertical="center"/>
    </xf>
    <xf numFmtId="0" fontId="130" fillId="43" borderId="25" xfId="0" applyFont="1" applyFill="1" applyBorder="1" applyAlignment="1">
      <alignment vertical="center"/>
    </xf>
    <xf numFmtId="0" fontId="128" fillId="43" borderId="25" xfId="0" applyFont="1" applyFill="1" applyBorder="1" applyAlignment="1">
      <alignment horizontal="left" vertical="center"/>
    </xf>
    <xf numFmtId="0" fontId="128" fillId="43" borderId="25" xfId="0" applyFont="1" applyFill="1" applyBorder="1" applyAlignment="1">
      <alignment horizontal="left" vertical="center" indent="2"/>
    </xf>
    <xf numFmtId="0" fontId="121" fillId="43" borderId="25" xfId="0" applyFont="1" applyFill="1" applyBorder="1" applyAlignment="1">
      <alignment horizontal="left" vertical="center" indent="2"/>
    </xf>
    <xf numFmtId="0" fontId="113" fillId="43" borderId="25" xfId="0" applyFont="1" applyFill="1" applyBorder="1" applyAlignment="1">
      <alignment vertical="center"/>
    </xf>
    <xf numFmtId="0" fontId="128" fillId="43" borderId="25" xfId="0" applyFont="1" applyFill="1" applyBorder="1" applyAlignment="1">
      <alignment vertical="center"/>
    </xf>
    <xf numFmtId="0" fontId="132" fillId="43" borderId="25" xfId="0" applyFont="1" applyFill="1" applyBorder="1" applyAlignment="1">
      <alignment vertical="center"/>
    </xf>
    <xf numFmtId="0" fontId="113" fillId="43" borderId="32" xfId="0" applyFont="1" applyFill="1" applyBorder="1" applyAlignment="1">
      <alignment horizontal="left" vertical="center"/>
    </xf>
    <xf numFmtId="3" fontId="121" fillId="43" borderId="25" xfId="0" applyNumberFormat="1" applyFont="1" applyFill="1" applyBorder="1" applyAlignment="1">
      <alignment horizontal="left" vertical="center" indent="2"/>
    </xf>
    <xf numFmtId="0" fontId="121" fillId="0" borderId="32" xfId="0" applyFont="1" applyBorder="1" applyAlignment="1">
      <alignment horizontal="left" vertical="center" indent="1"/>
    </xf>
    <xf numFmtId="0" fontId="22" fillId="0" borderId="31" xfId="0" applyFont="1" applyBorder="1" applyAlignment="1">
      <alignment horizontal="right"/>
    </xf>
    <xf numFmtId="0" fontId="121" fillId="43" borderId="26" xfId="0" applyFont="1" applyFill="1" applyBorder="1" applyAlignment="1">
      <alignment vertical="center"/>
    </xf>
    <xf numFmtId="0" fontId="121" fillId="43" borderId="28" xfId="0" applyFont="1" applyFill="1" applyBorder="1" applyAlignment="1">
      <alignment vertical="center"/>
    </xf>
    <xf numFmtId="169" fontId="25" fillId="0" borderId="31" xfId="179" applyNumberFormat="1" applyFill="1" applyBorder="1" applyAlignment="1">
      <alignment horizontal="right" vertical="center"/>
    </xf>
    <xf numFmtId="0" fontId="22" fillId="0" borderId="26" xfId="0" applyFont="1" applyBorder="1"/>
    <xf numFmtId="0" fontId="134" fillId="0" borderId="25" xfId="0" applyFont="1" applyBorder="1"/>
    <xf numFmtId="0" fontId="22" fillId="43" borderId="26" xfId="0" applyFont="1" applyFill="1" applyBorder="1"/>
    <xf numFmtId="0" fontId="25" fillId="0" borderId="25" xfId="244" applyNumberFormat="1" applyFont="1" applyFill="1" applyBorder="1" applyAlignment="1" applyProtection="1"/>
    <xf numFmtId="0" fontId="25" fillId="0" borderId="32" xfId="244" applyNumberFormat="1" applyFont="1" applyFill="1" applyBorder="1" applyAlignment="1" applyProtection="1"/>
    <xf numFmtId="0" fontId="121" fillId="43" borderId="25" xfId="0" applyFont="1" applyFill="1" applyBorder="1"/>
    <xf numFmtId="0" fontId="113" fillId="3" borderId="25" xfId="0" applyFont="1" applyFill="1" applyBorder="1"/>
    <xf numFmtId="0" fontId="135" fillId="0" borderId="25" xfId="0" applyFont="1" applyBorder="1"/>
    <xf numFmtId="0" fontId="132" fillId="0" borderId="25" xfId="0" applyFont="1" applyBorder="1" applyAlignment="1">
      <alignment horizontal="left" indent="1"/>
    </xf>
    <xf numFmtId="0" fontId="132" fillId="0" borderId="25" xfId="0" applyFont="1" applyBorder="1" applyAlignment="1">
      <alignment horizontal="left"/>
    </xf>
    <xf numFmtId="0" fontId="22" fillId="0" borderId="25" xfId="0" applyFont="1" applyBorder="1" applyAlignment="1">
      <alignment horizontal="left" indent="1"/>
    </xf>
    <xf numFmtId="0" fontId="132" fillId="0" borderId="32" xfId="0" applyFont="1" applyBorder="1"/>
    <xf numFmtId="0" fontId="121" fillId="43" borderId="0" xfId="0" applyFont="1" applyFill="1"/>
    <xf numFmtId="167" fontId="25" fillId="43" borderId="31" xfId="0" applyNumberFormat="1" applyFont="1" applyFill="1" applyBorder="1" applyAlignment="1">
      <alignment horizontal="right"/>
    </xf>
    <xf numFmtId="171" fontId="201" fillId="0" borderId="31" xfId="310" applyNumberFormat="1" applyFont="1" applyFill="1" applyBorder="1"/>
    <xf numFmtId="0" fontId="22" fillId="77" borderId="0" xfId="0" applyFont="1" applyFill="1" applyAlignment="1">
      <alignment horizontal="right"/>
    </xf>
    <xf numFmtId="0" fontId="25" fillId="0" borderId="33" xfId="0" applyFont="1" applyBorder="1"/>
    <xf numFmtId="171" fontId="201" fillId="0" borderId="25" xfId="310" applyNumberFormat="1" applyFont="1" applyFill="1" applyBorder="1" applyAlignment="1">
      <alignment horizontal="right"/>
    </xf>
    <xf numFmtId="0" fontId="22" fillId="71" borderId="0" xfId="0" applyFont="1" applyFill="1" applyAlignment="1">
      <alignment horizontal="right"/>
    </xf>
    <xf numFmtId="169" fontId="22" fillId="43" borderId="31" xfId="179" applyNumberFormat="1" applyFont="1" applyFill="1" applyBorder="1" applyAlignment="1" applyProtection="1"/>
    <xf numFmtId="169" fontId="25" fillId="43" borderId="31" xfId="179" applyNumberFormat="1" applyFill="1" applyBorder="1" applyAlignment="1" applyProtection="1"/>
    <xf numFmtId="169" fontId="25" fillId="43" borderId="31" xfId="0" applyNumberFormat="1" applyFont="1" applyFill="1" applyBorder="1"/>
    <xf numFmtId="169" fontId="126" fillId="43" borderId="31" xfId="0" applyNumberFormat="1" applyFont="1" applyFill="1" applyBorder="1"/>
    <xf numFmtId="169" fontId="22" fillId="43" borderId="31" xfId="0" applyNumberFormat="1" applyFont="1" applyFill="1" applyBorder="1"/>
    <xf numFmtId="171" fontId="201" fillId="0" borderId="31" xfId="310" applyNumberFormat="1" applyFont="1" applyFill="1" applyBorder="1" applyAlignment="1">
      <alignment horizontal="right"/>
    </xf>
    <xf numFmtId="171" fontId="22" fillId="0" borderId="0" xfId="310" applyNumberFormat="1" applyFont="1" applyFill="1" applyAlignment="1">
      <alignment horizontal="right" vertical="center"/>
    </xf>
    <xf numFmtId="169" fontId="154" fillId="0" borderId="0" xfId="179" applyNumberFormat="1" applyFont="1" applyBorder="1" applyAlignment="1">
      <alignment vertical="center"/>
    </xf>
    <xf numFmtId="175" fontId="25" fillId="0" borderId="0" xfId="179" applyNumberFormat="1" applyFill="1" applyBorder="1" applyAlignment="1">
      <alignment vertical="center"/>
    </xf>
    <xf numFmtId="171" fontId="167" fillId="0" borderId="0" xfId="310" applyNumberFormat="1" applyFont="1" applyBorder="1" applyAlignment="1">
      <alignment vertical="center"/>
    </xf>
    <xf numFmtId="171" fontId="167" fillId="0" borderId="0" xfId="310" applyNumberFormat="1" applyFont="1" applyFill="1" applyBorder="1" applyAlignment="1">
      <alignment vertical="center"/>
    </xf>
    <xf numFmtId="169" fontId="166" fillId="0" borderId="0" xfId="179" applyNumberFormat="1" applyFont="1" applyBorder="1" applyAlignment="1">
      <alignment vertical="center"/>
    </xf>
    <xf numFmtId="171" fontId="22" fillId="0" borderId="0" xfId="0" applyNumberFormat="1" applyFont="1" applyAlignment="1">
      <alignment vertical="center"/>
    </xf>
    <xf numFmtId="171" fontId="194" fillId="43" borderId="0" xfId="310" applyNumberFormat="1" applyFont="1" applyFill="1" applyBorder="1" applyAlignment="1" applyProtection="1">
      <alignment vertical="center"/>
    </xf>
    <xf numFmtId="171" fontId="188" fillId="0" borderId="0" xfId="310" applyNumberFormat="1" applyFont="1" applyFill="1"/>
    <xf numFmtId="168" fontId="25" fillId="63" borderId="25" xfId="179" applyFill="1" applyBorder="1" applyAlignment="1">
      <alignment horizontal="right"/>
    </xf>
    <xf numFmtId="168" fontId="25" fillId="63" borderId="0" xfId="179" applyFill="1" applyBorder="1" applyAlignment="1">
      <alignment horizontal="right"/>
    </xf>
    <xf numFmtId="168" fontId="25" fillId="0" borderId="0" xfId="179" applyFill="1" applyBorder="1" applyAlignment="1">
      <alignment horizontal="right"/>
    </xf>
    <xf numFmtId="168" fontId="25" fillId="0" borderId="31" xfId="179" applyFill="1" applyBorder="1" applyAlignment="1">
      <alignment horizontal="right"/>
    </xf>
    <xf numFmtId="169" fontId="25" fillId="63" borderId="0" xfId="179" applyNumberFormat="1" applyFill="1" applyBorder="1" applyAlignment="1">
      <alignment horizontal="right"/>
    </xf>
    <xf numFmtId="3" fontId="22" fillId="43" borderId="0" xfId="0" applyNumberFormat="1" applyFont="1" applyFill="1"/>
    <xf numFmtId="3" fontId="22" fillId="43" borderId="31" xfId="0" applyNumberFormat="1" applyFont="1" applyFill="1" applyBorder="1"/>
    <xf numFmtId="3" fontId="22" fillId="43" borderId="32" xfId="0" applyNumberFormat="1" applyFont="1" applyFill="1" applyBorder="1"/>
    <xf numFmtId="3" fontId="22" fillId="43" borderId="27" xfId="0" applyNumberFormat="1" applyFont="1" applyFill="1" applyBorder="1"/>
    <xf numFmtId="3" fontId="22" fillId="43" borderId="33" xfId="0" applyNumberFormat="1" applyFont="1" applyFill="1" applyBorder="1"/>
    <xf numFmtId="184" fontId="22" fillId="0" borderId="0" xfId="179" applyNumberFormat="1" applyFont="1" applyFill="1" applyBorder="1" applyAlignment="1" applyProtection="1">
      <alignment horizontal="center"/>
    </xf>
    <xf numFmtId="9" fontId="22" fillId="0" borderId="0" xfId="310" applyFont="1"/>
    <xf numFmtId="9" fontId="25" fillId="0" borderId="0" xfId="310" applyFill="1"/>
    <xf numFmtId="9" fontId="184" fillId="0" borderId="0" xfId="310" applyFont="1"/>
    <xf numFmtId="171" fontId="168" fillId="0" borderId="0" xfId="310" applyNumberFormat="1" applyFont="1" applyBorder="1" applyAlignment="1">
      <alignment vertical="center"/>
    </xf>
    <xf numFmtId="169" fontId="198" fillId="0" borderId="24" xfId="310" applyNumberFormat="1" applyFont="1" applyBorder="1" applyAlignment="1">
      <alignment vertical="center"/>
    </xf>
    <xf numFmtId="169" fontId="198" fillId="0" borderId="31" xfId="310" applyNumberFormat="1" applyFont="1" applyBorder="1" applyAlignment="1">
      <alignment vertical="center"/>
    </xf>
    <xf numFmtId="169" fontId="198" fillId="0" borderId="24" xfId="179" applyNumberFormat="1" applyFont="1" applyBorder="1" applyAlignment="1">
      <alignment vertical="center"/>
    </xf>
    <xf numFmtId="169" fontId="198" fillId="0" borderId="31" xfId="179" applyNumberFormat="1" applyFont="1" applyBorder="1" applyAlignment="1">
      <alignment vertical="center"/>
    </xf>
    <xf numFmtId="171" fontId="194" fillId="43" borderId="24" xfId="310" applyNumberFormat="1" applyFont="1" applyFill="1" applyBorder="1" applyAlignment="1" applyProtection="1">
      <alignment vertical="center"/>
    </xf>
    <xf numFmtId="171" fontId="194" fillId="43" borderId="31" xfId="310" applyNumberFormat="1" applyFont="1" applyFill="1" applyBorder="1" applyAlignment="1" applyProtection="1">
      <alignment vertical="center"/>
    </xf>
    <xf numFmtId="10" fontId="194" fillId="43" borderId="24" xfId="310" applyNumberFormat="1" applyFont="1" applyFill="1" applyBorder="1" applyAlignment="1" applyProtection="1">
      <alignment vertical="center"/>
    </xf>
    <xf numFmtId="10" fontId="194" fillId="43" borderId="31" xfId="310" applyNumberFormat="1" applyFont="1" applyFill="1" applyBorder="1" applyAlignment="1" applyProtection="1">
      <alignment vertical="center"/>
    </xf>
    <xf numFmtId="184" fontId="198" fillId="0" borderId="24" xfId="0" applyNumberFormat="1" applyFont="1" applyBorder="1" applyAlignment="1">
      <alignment vertical="center"/>
    </xf>
    <xf numFmtId="0" fontId="198" fillId="0" borderId="24" xfId="0" applyFont="1" applyBorder="1" applyAlignment="1">
      <alignment vertical="center"/>
    </xf>
    <xf numFmtId="10" fontId="194" fillId="0" borderId="24" xfId="0" applyNumberFormat="1" applyFont="1" applyBorder="1" applyAlignment="1">
      <alignment vertical="center"/>
    </xf>
    <xf numFmtId="10" fontId="194" fillId="0" borderId="31" xfId="0" applyNumberFormat="1" applyFont="1" applyBorder="1" applyAlignment="1">
      <alignment vertical="center"/>
    </xf>
    <xf numFmtId="169" fontId="198" fillId="0" borderId="0" xfId="310" applyNumberFormat="1" applyFont="1" applyBorder="1" applyAlignment="1">
      <alignment vertical="center"/>
    </xf>
    <xf numFmtId="10" fontId="198" fillId="0" borderId="24" xfId="0" applyNumberFormat="1" applyFont="1" applyBorder="1" applyAlignment="1">
      <alignment vertical="center"/>
    </xf>
    <xf numFmtId="171" fontId="198" fillId="0" borderId="24" xfId="310" applyNumberFormat="1" applyFont="1" applyFill="1" applyBorder="1" applyAlignment="1" applyProtection="1">
      <alignment vertical="center"/>
    </xf>
    <xf numFmtId="10" fontId="198" fillId="43" borderId="24" xfId="310" applyNumberFormat="1" applyFont="1" applyFill="1" applyBorder="1" applyAlignment="1" applyProtection="1">
      <alignment vertical="center"/>
    </xf>
    <xf numFmtId="10" fontId="198" fillId="43" borderId="0" xfId="310" applyNumberFormat="1" applyFont="1" applyFill="1" applyBorder="1" applyAlignment="1" applyProtection="1">
      <alignment vertical="center"/>
    </xf>
    <xf numFmtId="184" fontId="199" fillId="43" borderId="24" xfId="0" applyNumberFormat="1" applyFont="1" applyFill="1" applyBorder="1" applyAlignment="1">
      <alignment horizontal="right" vertical="center"/>
    </xf>
    <xf numFmtId="184" fontId="199" fillId="43" borderId="0" xfId="0" applyNumberFormat="1" applyFont="1" applyFill="1" applyAlignment="1">
      <alignment horizontal="right" vertical="center"/>
    </xf>
    <xf numFmtId="169" fontId="190" fillId="0" borderId="24" xfId="310" applyNumberFormat="1" applyFont="1" applyFill="1" applyBorder="1" applyAlignment="1">
      <alignment vertical="center"/>
    </xf>
    <xf numFmtId="169" fontId="190" fillId="0" borderId="31" xfId="310" applyNumberFormat="1" applyFont="1" applyFill="1" applyBorder="1" applyAlignment="1">
      <alignment vertical="center"/>
    </xf>
    <xf numFmtId="0" fontId="194" fillId="0" borderId="24" xfId="0" applyFont="1" applyBorder="1" applyAlignment="1">
      <alignment vertical="center"/>
    </xf>
    <xf numFmtId="171" fontId="194" fillId="0" borderId="24" xfId="310" applyNumberFormat="1" applyFont="1" applyBorder="1" applyAlignment="1">
      <alignment vertical="center"/>
    </xf>
    <xf numFmtId="171" fontId="194" fillId="0" borderId="31" xfId="310" applyNumberFormat="1" applyFont="1" applyBorder="1" applyAlignment="1">
      <alignment vertical="center"/>
    </xf>
    <xf numFmtId="169" fontId="190" fillId="0" borderId="24" xfId="179" applyNumberFormat="1" applyFont="1" applyBorder="1" applyAlignment="1">
      <alignment vertical="center"/>
    </xf>
    <xf numFmtId="169" fontId="190" fillId="0" borderId="31" xfId="179" applyNumberFormat="1" applyFont="1" applyBorder="1" applyAlignment="1">
      <alignment vertical="center"/>
    </xf>
    <xf numFmtId="169" fontId="194" fillId="0" borderId="24" xfId="310" applyNumberFormat="1" applyFont="1" applyBorder="1" applyAlignment="1">
      <alignment vertical="center"/>
    </xf>
    <xf numFmtId="169" fontId="194" fillId="0" borderId="31" xfId="310" applyNumberFormat="1" applyFont="1" applyBorder="1" applyAlignment="1">
      <alignment vertical="center"/>
    </xf>
    <xf numFmtId="171" fontId="194" fillId="0" borderId="24" xfId="310" applyNumberFormat="1" applyFont="1" applyFill="1" applyBorder="1" applyAlignment="1" applyProtection="1">
      <alignment vertical="center"/>
    </xf>
    <xf numFmtId="171" fontId="198" fillId="0" borderId="24" xfId="310" applyNumberFormat="1" applyFont="1" applyBorder="1" applyAlignment="1">
      <alignment vertical="center"/>
    </xf>
    <xf numFmtId="171" fontId="198" fillId="0" borderId="31" xfId="310" applyNumberFormat="1" applyFont="1" applyBorder="1" applyAlignment="1">
      <alignment vertical="center"/>
    </xf>
    <xf numFmtId="169" fontId="199" fillId="0" borderId="24" xfId="310" applyNumberFormat="1" applyFont="1" applyBorder="1" applyAlignment="1">
      <alignment vertical="center"/>
    </xf>
    <xf numFmtId="169" fontId="199" fillId="0" borderId="31" xfId="310" applyNumberFormat="1" applyFont="1" applyBorder="1" applyAlignment="1">
      <alignment vertical="center"/>
    </xf>
    <xf numFmtId="169" fontId="207" fillId="0" borderId="24" xfId="179" applyNumberFormat="1" applyFont="1" applyBorder="1"/>
    <xf numFmtId="0" fontId="207" fillId="0" borderId="25" xfId="0" applyFont="1" applyBorder="1" applyAlignment="1">
      <alignment horizontal="left" indent="1"/>
    </xf>
    <xf numFmtId="171" fontId="171" fillId="0" borderId="0" xfId="310" applyNumberFormat="1" applyFont="1" applyBorder="1" applyAlignment="1">
      <alignment vertical="center"/>
    </xf>
    <xf numFmtId="171" fontId="171" fillId="0" borderId="0" xfId="310" applyNumberFormat="1" applyFont="1" applyFill="1" applyBorder="1" applyAlignment="1">
      <alignment vertical="center"/>
    </xf>
    <xf numFmtId="171" fontId="171" fillId="0" borderId="0" xfId="0" applyNumberFormat="1" applyFont="1" applyAlignment="1">
      <alignment vertical="center"/>
    </xf>
    <xf numFmtId="171" fontId="22" fillId="0" borderId="0" xfId="310" applyNumberFormat="1" applyFont="1"/>
    <xf numFmtId="224" fontId="192" fillId="0" borderId="13" xfId="0" applyNumberFormat="1" applyFont="1" applyBorder="1" applyAlignment="1">
      <alignment horizontal="right"/>
    </xf>
    <xf numFmtId="4" fontId="192" fillId="0" borderId="13" xfId="0" applyNumberFormat="1" applyFont="1" applyBorder="1"/>
    <xf numFmtId="225" fontId="192" fillId="0" borderId="13" xfId="0" applyNumberFormat="1" applyFont="1" applyBorder="1"/>
    <xf numFmtId="0" fontId="207" fillId="0" borderId="25" xfId="0" applyFont="1" applyBorder="1"/>
    <xf numFmtId="37" fontId="22" fillId="43" borderId="32" xfId="0" applyNumberFormat="1" applyFont="1" applyFill="1" applyBorder="1" applyAlignment="1">
      <alignment horizontal="right" vertical="center"/>
    </xf>
    <xf numFmtId="175" fontId="165" fillId="65" borderId="0" xfId="179" applyNumberFormat="1" applyFont="1" applyFill="1" applyBorder="1"/>
    <xf numFmtId="0" fontId="206" fillId="0" borderId="27" xfId="0" applyFont="1" applyBorder="1" applyAlignment="1">
      <alignment vertical="center"/>
    </xf>
    <xf numFmtId="37" fontId="165" fillId="0" borderId="27" xfId="0" applyNumberFormat="1" applyFont="1" applyBorder="1"/>
    <xf numFmtId="3" fontId="22" fillId="59" borderId="25" xfId="179" applyNumberFormat="1" applyFont="1" applyFill="1" applyBorder="1" applyAlignment="1" applyProtection="1">
      <alignment horizontal="right"/>
    </xf>
    <xf numFmtId="3" fontId="22" fillId="59" borderId="0" xfId="179" applyNumberFormat="1" applyFont="1" applyFill="1" applyBorder="1" applyAlignment="1" applyProtection="1">
      <alignment horizontal="right"/>
    </xf>
    <xf numFmtId="3" fontId="22" fillId="59" borderId="31" xfId="179" applyNumberFormat="1" applyFont="1" applyFill="1" applyBorder="1" applyAlignment="1" applyProtection="1">
      <alignment horizontal="right"/>
    </xf>
    <xf numFmtId="3" fontId="22" fillId="59" borderId="25" xfId="0" applyNumberFormat="1" applyFont="1" applyFill="1" applyBorder="1"/>
    <xf numFmtId="3" fontId="22" fillId="59" borderId="0" xfId="0" applyNumberFormat="1" applyFont="1" applyFill="1"/>
    <xf numFmtId="3" fontId="22" fillId="59" borderId="25" xfId="0" applyNumberFormat="1" applyFont="1" applyFill="1" applyBorder="1" applyAlignment="1">
      <alignment horizontal="right"/>
    </xf>
    <xf numFmtId="3" fontId="22" fillId="59" borderId="0" xfId="0" applyNumberFormat="1" applyFont="1" applyFill="1" applyAlignment="1">
      <alignment horizontal="right"/>
    </xf>
    <xf numFmtId="3" fontId="22" fillId="59" borderId="31" xfId="0" applyNumberFormat="1" applyFont="1" applyFill="1" applyBorder="1" applyAlignment="1">
      <alignment horizontal="right"/>
    </xf>
    <xf numFmtId="0" fontId="25" fillId="59" borderId="0" xfId="0" applyFont="1" applyFill="1"/>
    <xf numFmtId="0" fontId="210" fillId="79" borderId="0" xfId="0" applyFont="1" applyFill="1" applyAlignment="1">
      <alignment vertical="center" wrapText="1"/>
    </xf>
    <xf numFmtId="0" fontId="211" fillId="0" borderId="0" xfId="0" applyFont="1" applyAlignment="1">
      <alignment horizontal="left"/>
    </xf>
    <xf numFmtId="0" fontId="192" fillId="0" borderId="0" xfId="0" applyFont="1"/>
    <xf numFmtId="0" fontId="212" fillId="0" borderId="0" xfId="0" applyFont="1"/>
    <xf numFmtId="0" fontId="213" fillId="0" borderId="0" xfId="0" applyFont="1"/>
    <xf numFmtId="0" fontId="214" fillId="0" borderId="0" xfId="0" applyFont="1"/>
    <xf numFmtId="0" fontId="215" fillId="0" borderId="0" xfId="0" applyFont="1"/>
    <xf numFmtId="171" fontId="121" fillId="0" borderId="25" xfId="310" applyNumberFormat="1" applyFont="1" applyFill="1" applyBorder="1" applyAlignment="1" applyProtection="1">
      <alignment vertical="center"/>
    </xf>
    <xf numFmtId="3" fontId="22" fillId="0" borderId="25" xfId="0" applyNumberFormat="1" applyFont="1" applyBorder="1" applyAlignment="1">
      <alignment horizontal="right" vertical="center"/>
    </xf>
    <xf numFmtId="183" fontId="22" fillId="0" borderId="25" xfId="0" applyNumberFormat="1" applyFont="1" applyBorder="1" applyAlignment="1">
      <alignment vertical="center"/>
    </xf>
    <xf numFmtId="171" fontId="121" fillId="43" borderId="25" xfId="0" applyNumberFormat="1" applyFont="1" applyFill="1" applyBorder="1" applyAlignment="1">
      <alignment vertical="center"/>
    </xf>
    <xf numFmtId="3" fontId="22" fillId="0" borderId="25" xfId="310" applyNumberFormat="1" applyFont="1" applyFill="1" applyBorder="1" applyAlignment="1" applyProtection="1">
      <alignment horizontal="right" vertical="center"/>
    </xf>
    <xf numFmtId="171" fontId="121" fillId="0" borderId="0" xfId="310" applyNumberFormat="1" applyFont="1" applyFill="1" applyBorder="1" applyAlignment="1" applyProtection="1">
      <alignment vertical="center"/>
    </xf>
    <xf numFmtId="3" fontId="22" fillId="0" borderId="0" xfId="0" applyNumberFormat="1" applyFont="1" applyAlignment="1">
      <alignment horizontal="right" vertical="center"/>
    </xf>
    <xf numFmtId="183" fontId="22" fillId="0" borderId="0" xfId="0" applyNumberFormat="1" applyFont="1" applyAlignment="1">
      <alignment vertical="center"/>
    </xf>
    <xf numFmtId="171" fontId="121" fillId="43" borderId="0" xfId="0" applyNumberFormat="1" applyFont="1" applyFill="1" applyAlignment="1">
      <alignment vertical="center"/>
    </xf>
    <xf numFmtId="3" fontId="22" fillId="0" borderId="0" xfId="310" applyNumberFormat="1" applyFont="1" applyFill="1" applyBorder="1" applyAlignment="1" applyProtection="1">
      <alignment horizontal="right" vertical="center"/>
    </xf>
    <xf numFmtId="3" fontId="22" fillId="43" borderId="31" xfId="0" applyNumberFormat="1" applyFont="1" applyFill="1" applyBorder="1" applyAlignment="1">
      <alignment vertical="center"/>
    </xf>
    <xf numFmtId="171" fontId="121" fillId="0" borderId="31" xfId="310" applyNumberFormat="1" applyFont="1" applyFill="1" applyBorder="1" applyAlignment="1" applyProtection="1">
      <alignment vertical="center"/>
    </xf>
    <xf numFmtId="183" fontId="22" fillId="0" borderId="31" xfId="0" applyNumberFormat="1" applyFont="1" applyBorder="1" applyAlignment="1">
      <alignment vertical="center"/>
    </xf>
    <xf numFmtId="171" fontId="121" fillId="43" borderId="31" xfId="0" applyNumberFormat="1" applyFont="1" applyFill="1" applyBorder="1" applyAlignment="1">
      <alignment vertical="center"/>
    </xf>
    <xf numFmtId="3" fontId="129" fillId="43" borderId="31" xfId="0" applyNumberFormat="1" applyFont="1" applyFill="1" applyBorder="1" applyAlignment="1">
      <alignment horizontal="right" vertical="center"/>
    </xf>
    <xf numFmtId="3" fontId="128" fillId="43" borderId="31" xfId="0" applyNumberFormat="1" applyFont="1" applyFill="1" applyBorder="1" applyAlignment="1">
      <alignment horizontal="left" vertical="center" indent="2"/>
    </xf>
    <xf numFmtId="3" fontId="128" fillId="43" borderId="31" xfId="0" applyNumberFormat="1" applyFont="1" applyFill="1" applyBorder="1" applyAlignment="1">
      <alignment vertical="center"/>
    </xf>
    <xf numFmtId="3" fontId="22" fillId="0" borderId="31" xfId="310" applyNumberFormat="1" applyFont="1" applyFill="1" applyBorder="1" applyAlignment="1" applyProtection="1">
      <alignment horizontal="right" vertical="center"/>
    </xf>
    <xf numFmtId="0" fontId="215" fillId="65" borderId="0" xfId="0" applyFont="1" applyFill="1"/>
    <xf numFmtId="169" fontId="25" fillId="0" borderId="0" xfId="179" applyNumberFormat="1" applyFill="1" applyBorder="1" applyAlignment="1"/>
    <xf numFmtId="168" fontId="25" fillId="0" borderId="0" xfId="179" applyFill="1" applyBorder="1" applyAlignment="1">
      <alignment horizontal="right" indent="1"/>
    </xf>
    <xf numFmtId="0" fontId="121" fillId="0" borderId="31" xfId="0" applyFont="1" applyBorder="1"/>
    <xf numFmtId="0" fontId="22" fillId="0" borderId="31" xfId="0" applyFont="1" applyBorder="1"/>
    <xf numFmtId="168" fontId="25" fillId="0" borderId="31" xfId="179" applyFill="1" applyBorder="1" applyAlignment="1">
      <alignment horizontal="right" indent="1"/>
    </xf>
    <xf numFmtId="169" fontId="25" fillId="0" borderId="31" xfId="179" applyNumberFormat="1" applyFill="1" applyBorder="1" applyAlignment="1"/>
    <xf numFmtId="169" fontId="22" fillId="59" borderId="25" xfId="179" applyNumberFormat="1" applyFont="1" applyFill="1" applyBorder="1"/>
    <xf numFmtId="169" fontId="22" fillId="59" borderId="0" xfId="179" applyNumberFormat="1" applyFont="1" applyFill="1" applyBorder="1"/>
    <xf numFmtId="168" fontId="25" fillId="0" borderId="0" xfId="179" applyFill="1" applyBorder="1"/>
    <xf numFmtId="168" fontId="25" fillId="0" borderId="31" xfId="179" applyFill="1" applyBorder="1"/>
    <xf numFmtId="168" fontId="25" fillId="0" borderId="25" xfId="179" applyFill="1" applyBorder="1"/>
    <xf numFmtId="168" fontId="25" fillId="59" borderId="0" xfId="179" applyFill="1" applyBorder="1" applyAlignment="1">
      <alignment horizontal="right"/>
    </xf>
    <xf numFmtId="38" fontId="22" fillId="43" borderId="31" xfId="0" applyNumberFormat="1" applyFont="1" applyFill="1" applyBorder="1"/>
    <xf numFmtId="169" fontId="22" fillId="0" borderId="31" xfId="179" applyNumberFormat="1" applyFont="1" applyFill="1" applyBorder="1" applyAlignment="1">
      <alignment horizontal="right"/>
    </xf>
    <xf numFmtId="3" fontId="128" fillId="0" borderId="31" xfId="0" applyNumberFormat="1" applyFont="1" applyBorder="1" applyAlignment="1">
      <alignment horizontal="right"/>
    </xf>
    <xf numFmtId="168" fontId="25" fillId="59" borderId="31" xfId="179" applyFill="1" applyBorder="1" applyAlignment="1">
      <alignment horizontal="right"/>
    </xf>
    <xf numFmtId="174" fontId="122" fillId="0" borderId="31" xfId="0" applyNumberFormat="1" applyFont="1" applyBorder="1" applyAlignment="1">
      <alignment horizontal="right"/>
    </xf>
    <xf numFmtId="3" fontId="22" fillId="57" borderId="31" xfId="0" applyNumberFormat="1" applyFont="1" applyFill="1" applyBorder="1"/>
    <xf numFmtId="171" fontId="25" fillId="0" borderId="25" xfId="310" applyNumberFormat="1" applyFill="1" applyBorder="1"/>
    <xf numFmtId="1" fontId="190" fillId="0" borderId="0" xfId="0" applyNumberFormat="1" applyFont="1" applyAlignment="1">
      <alignment horizontal="right"/>
    </xf>
    <xf numFmtId="0" fontId="22" fillId="73" borderId="0" xfId="0" applyFont="1" applyFill="1" applyAlignment="1">
      <alignment horizontal="left"/>
    </xf>
    <xf numFmtId="169" fontId="22" fillId="73" borderId="0" xfId="179" applyNumberFormat="1" applyFont="1" applyFill="1" applyBorder="1" applyAlignment="1">
      <alignment horizontal="right"/>
    </xf>
    <xf numFmtId="171" fontId="22" fillId="0" borderId="0" xfId="310" applyNumberFormat="1" applyFont="1" applyFill="1" applyBorder="1" applyAlignment="1">
      <alignment horizontal="right"/>
    </xf>
    <xf numFmtId="0" fontId="201" fillId="0" borderId="0" xfId="0" applyFont="1" applyAlignment="1">
      <alignment horizontal="left" indent="2"/>
    </xf>
    <xf numFmtId="169" fontId="22" fillId="73" borderId="0" xfId="179" applyNumberFormat="1" applyFont="1" applyFill="1" applyBorder="1"/>
    <xf numFmtId="169" fontId="25" fillId="73" borderId="0" xfId="179" applyNumberFormat="1" applyFill="1" applyBorder="1" applyAlignment="1">
      <alignment horizontal="right"/>
    </xf>
    <xf numFmtId="171" fontId="25" fillId="0" borderId="31" xfId="310" applyNumberFormat="1" applyFill="1" applyBorder="1" applyAlignment="1">
      <alignment horizontal="right"/>
    </xf>
    <xf numFmtId="0" fontId="22" fillId="66" borderId="0" xfId="0" applyFont="1" applyFill="1" applyAlignment="1">
      <alignment horizontal="right"/>
    </xf>
    <xf numFmtId="0" fontId="216" fillId="0" borderId="0" xfId="0" applyFont="1"/>
    <xf numFmtId="169" fontId="216" fillId="0" borderId="0" xfId="0" applyNumberFormat="1" applyFont="1"/>
    <xf numFmtId="169" fontId="216" fillId="0" borderId="31" xfId="0" applyNumberFormat="1" applyFont="1" applyBorder="1"/>
    <xf numFmtId="169" fontId="201" fillId="0" borderId="0" xfId="0" applyNumberFormat="1" applyFont="1"/>
    <xf numFmtId="0" fontId="217" fillId="0" borderId="0" xfId="0" applyFont="1" applyAlignment="1">
      <alignment horizontal="right"/>
    </xf>
    <xf numFmtId="168" fontId="201" fillId="0" borderId="0" xfId="179" applyFont="1" applyFill="1" applyBorder="1"/>
    <xf numFmtId="169" fontId="201" fillId="0" borderId="25" xfId="179" applyNumberFormat="1" applyFont="1" applyFill="1" applyBorder="1" applyAlignment="1">
      <alignment horizontal="right"/>
    </xf>
    <xf numFmtId="169" fontId="201" fillId="0" borderId="31" xfId="179" applyNumberFormat="1" applyFont="1" applyFill="1" applyBorder="1" applyAlignment="1">
      <alignment horizontal="right"/>
    </xf>
    <xf numFmtId="171" fontId="22" fillId="73" borderId="0" xfId="310" applyNumberFormat="1" applyFont="1" applyFill="1"/>
    <xf numFmtId="171" fontId="22" fillId="73" borderId="31" xfId="310" applyNumberFormat="1" applyFont="1" applyFill="1" applyBorder="1"/>
    <xf numFmtId="171" fontId="25" fillId="0" borderId="31" xfId="310" applyNumberFormat="1" applyFill="1" applyBorder="1"/>
    <xf numFmtId="9" fontId="25" fillId="0" borderId="0" xfId="310" applyFill="1" applyBorder="1" applyAlignment="1">
      <alignment horizontal="right"/>
    </xf>
    <xf numFmtId="0" fontId="203" fillId="0" borderId="0" xfId="0" applyFont="1" applyAlignment="1">
      <alignment horizontal="left" indent="1"/>
    </xf>
    <xf numFmtId="169" fontId="203" fillId="0" borderId="0" xfId="0" applyNumberFormat="1" applyFont="1"/>
    <xf numFmtId="171" fontId="201" fillId="0" borderId="0" xfId="310" applyNumberFormat="1" applyFont="1"/>
    <xf numFmtId="168" fontId="203" fillId="0" borderId="0" xfId="0" applyNumberFormat="1" applyFont="1"/>
    <xf numFmtId="169" fontId="22" fillId="0" borderId="0" xfId="179" applyNumberFormat="1" applyFont="1" applyFill="1" applyAlignment="1">
      <alignment horizontal="right"/>
    </xf>
    <xf numFmtId="171" fontId="25" fillId="0" borderId="0" xfId="310" applyNumberFormat="1" applyFill="1" applyAlignment="1">
      <alignment horizontal="right"/>
    </xf>
    <xf numFmtId="2" fontId="22" fillId="0" borderId="0" xfId="0" applyNumberFormat="1" applyFont="1" applyAlignment="1">
      <alignment horizontal="right"/>
    </xf>
    <xf numFmtId="171" fontId="22" fillId="73" borderId="0" xfId="310" applyNumberFormat="1" applyFont="1" applyFill="1" applyBorder="1"/>
    <xf numFmtId="171" fontId="25" fillId="63" borderId="0" xfId="310" applyNumberFormat="1" applyFill="1" applyBorder="1" applyAlignment="1">
      <alignment horizontal="right"/>
    </xf>
    <xf numFmtId="171" fontId="22" fillId="0" borderId="0" xfId="310" applyNumberFormat="1" applyFont="1" applyFill="1" applyAlignment="1">
      <alignment horizontal="right"/>
    </xf>
    <xf numFmtId="0" fontId="22" fillId="71" borderId="0" xfId="0" applyFont="1" applyFill="1"/>
    <xf numFmtId="169" fontId="25" fillId="0" borderId="0" xfId="179" applyNumberFormat="1" applyBorder="1" applyAlignment="1">
      <alignment horizontal="right" vertical="center"/>
    </xf>
    <xf numFmtId="169" fontId="25" fillId="0" borderId="31" xfId="179" applyNumberFormat="1" applyBorder="1" applyAlignment="1">
      <alignment horizontal="right" vertical="center"/>
    </xf>
    <xf numFmtId="9" fontId="121" fillId="0" borderId="27" xfId="0" applyNumberFormat="1" applyFont="1" applyBorder="1" applyAlignment="1">
      <alignment horizontal="right" vertical="center"/>
    </xf>
    <xf numFmtId="0" fontId="121" fillId="0" borderId="0" xfId="179" applyNumberFormat="1" applyFont="1" applyAlignment="1">
      <alignment vertical="center"/>
    </xf>
    <xf numFmtId="171" fontId="121" fillId="0" borderId="31" xfId="0" applyNumberFormat="1" applyFont="1" applyBorder="1" applyAlignment="1">
      <alignment horizontal="right" vertical="center"/>
    </xf>
    <xf numFmtId="171" fontId="121" fillId="0" borderId="0" xfId="179" applyNumberFormat="1" applyFont="1" applyFill="1" applyBorder="1" applyAlignment="1">
      <alignment horizontal="right" vertical="center"/>
    </xf>
    <xf numFmtId="171" fontId="121" fillId="0" borderId="27" xfId="0" applyNumberFormat="1" applyFont="1" applyBorder="1" applyAlignment="1">
      <alignment horizontal="right" vertical="center"/>
    </xf>
    <xf numFmtId="171" fontId="121" fillId="0" borderId="0" xfId="310" applyNumberFormat="1" applyFont="1" applyFill="1" applyAlignment="1">
      <alignment horizontal="right" vertical="center"/>
    </xf>
    <xf numFmtId="171" fontId="22" fillId="0" borderId="0" xfId="310" applyNumberFormat="1" applyFont="1" applyFill="1" applyBorder="1"/>
    <xf numFmtId="184" fontId="22" fillId="0" borderId="0" xfId="179" applyNumberFormat="1" applyFont="1" applyFill="1" applyBorder="1"/>
    <xf numFmtId="171" fontId="218" fillId="0" borderId="0" xfId="310" applyNumberFormat="1" applyFont="1" applyFill="1" applyBorder="1"/>
    <xf numFmtId="171" fontId="25" fillId="73" borderId="0" xfId="310" applyNumberFormat="1" applyFill="1" applyBorder="1" applyAlignment="1">
      <alignment horizontal="right"/>
    </xf>
    <xf numFmtId="171" fontId="22" fillId="73" borderId="0" xfId="310" applyNumberFormat="1" applyFont="1" applyFill="1" applyBorder="1" applyAlignment="1">
      <alignment horizontal="right"/>
    </xf>
    <xf numFmtId="169" fontId="25" fillId="73" borderId="0" xfId="179" applyNumberFormat="1" applyFill="1" applyBorder="1"/>
    <xf numFmtId="171" fontId="25" fillId="73" borderId="0" xfId="310" applyNumberFormat="1" applyFill="1" applyBorder="1"/>
    <xf numFmtId="0" fontId="25" fillId="0" borderId="0" xfId="179" applyNumberFormat="1" applyFill="1" applyBorder="1" applyAlignment="1">
      <alignment horizontal="right"/>
    </xf>
    <xf numFmtId="0" fontId="25" fillId="0" borderId="31" xfId="179" applyNumberFormat="1" applyFill="1" applyBorder="1" applyAlignment="1">
      <alignment horizontal="right"/>
    </xf>
    <xf numFmtId="0" fontId="25" fillId="0" borderId="25" xfId="179" applyNumberFormat="1" applyFill="1" applyBorder="1"/>
    <xf numFmtId="0" fontId="25" fillId="0" borderId="0" xfId="179" applyNumberFormat="1" applyFill="1" applyBorder="1"/>
    <xf numFmtId="0" fontId="25" fillId="0" borderId="31" xfId="179" applyNumberFormat="1" applyFill="1" applyBorder="1"/>
    <xf numFmtId="0" fontId="25" fillId="0" borderId="0" xfId="310" applyNumberFormat="1" applyFill="1" applyBorder="1" applyAlignment="1">
      <alignment horizontal="right"/>
    </xf>
    <xf numFmtId="0" fontId="25" fillId="0" borderId="31" xfId="310" applyNumberFormat="1" applyFill="1" applyBorder="1" applyAlignment="1">
      <alignment horizontal="right"/>
    </xf>
    <xf numFmtId="171" fontId="201" fillId="0" borderId="25" xfId="310" applyNumberFormat="1" applyFont="1" applyFill="1" applyBorder="1"/>
    <xf numFmtId="171" fontId="201" fillId="0" borderId="0" xfId="179" applyNumberFormat="1" applyFont="1" applyFill="1" applyBorder="1" applyAlignment="1">
      <alignment horizontal="right"/>
    </xf>
    <xf numFmtId="169" fontId="198" fillId="0" borderId="0" xfId="179" applyNumberFormat="1" applyFont="1" applyFill="1" applyBorder="1" applyAlignment="1">
      <alignment horizontal="right"/>
    </xf>
    <xf numFmtId="171" fontId="218" fillId="0" borderId="0" xfId="302" applyNumberFormat="1" applyFont="1" applyFill="1" applyBorder="1"/>
    <xf numFmtId="229" fontId="22" fillId="0" borderId="0" xfId="310" applyNumberFormat="1" applyFont="1" applyFill="1" applyBorder="1"/>
    <xf numFmtId="229" fontId="218" fillId="0" borderId="0" xfId="310" applyNumberFormat="1" applyFont="1" applyFill="1" applyBorder="1"/>
    <xf numFmtId="229" fontId="25" fillId="0" borderId="0" xfId="310" applyNumberFormat="1" applyFill="1" applyBorder="1"/>
    <xf numFmtId="9" fontId="220" fillId="0" borderId="0" xfId="310" applyFont="1" applyFill="1" applyBorder="1"/>
    <xf numFmtId="171" fontId="216" fillId="0" borderId="0" xfId="310" applyNumberFormat="1" applyFont="1" applyFill="1" applyBorder="1"/>
    <xf numFmtId="1" fontId="217" fillId="0" borderId="0" xfId="0" applyNumberFormat="1" applyFont="1"/>
    <xf numFmtId="1" fontId="201" fillId="0" borderId="0" xfId="0" applyNumberFormat="1" applyFont="1" applyAlignment="1">
      <alignment horizontal="right"/>
    </xf>
    <xf numFmtId="171" fontId="201" fillId="0" borderId="0" xfId="302" applyNumberFormat="1" applyFont="1" applyFill="1" applyBorder="1"/>
    <xf numFmtId="9" fontId="201" fillId="0" borderId="0" xfId="0" applyNumberFormat="1" applyFont="1"/>
    <xf numFmtId="1" fontId="201" fillId="0" borderId="0" xfId="0" applyNumberFormat="1" applyFont="1" applyAlignment="1">
      <alignment horizontal="right" vertical="center"/>
    </xf>
    <xf numFmtId="169" fontId="201" fillId="0" borderId="0" xfId="0" applyNumberFormat="1" applyFont="1" applyAlignment="1">
      <alignment horizontal="right" vertical="center"/>
    </xf>
    <xf numFmtId="169" fontId="217" fillId="0" borderId="0" xfId="0" applyNumberFormat="1" applyFont="1"/>
    <xf numFmtId="169" fontId="217" fillId="0" borderId="0" xfId="310" applyNumberFormat="1" applyFont="1" applyFill="1" applyBorder="1"/>
    <xf numFmtId="9" fontId="217" fillId="0" borderId="0" xfId="310" applyFont="1" applyFill="1" applyBorder="1"/>
    <xf numFmtId="171" fontId="203" fillId="0" borderId="0" xfId="302" applyNumberFormat="1" applyFont="1" applyFill="1" applyBorder="1"/>
    <xf numFmtId="231" fontId="22" fillId="0" borderId="0" xfId="310" applyNumberFormat="1" applyFont="1" applyFill="1" applyBorder="1"/>
    <xf numFmtId="9" fontId="221" fillId="0" borderId="0" xfId="310" applyFont="1" applyFill="1" applyBorder="1"/>
    <xf numFmtId="184" fontId="122" fillId="0" borderId="0" xfId="179" applyNumberFormat="1" applyFont="1" applyFill="1" applyBorder="1"/>
    <xf numFmtId="171" fontId="122" fillId="0" borderId="0" xfId="310" applyNumberFormat="1" applyFont="1" applyFill="1" applyBorder="1"/>
    <xf numFmtId="184" fontId="198" fillId="0" borderId="0" xfId="179" applyNumberFormat="1" applyFont="1" applyFill="1" applyBorder="1"/>
    <xf numFmtId="229" fontId="198" fillId="0" borderId="0" xfId="0" applyNumberFormat="1" applyFont="1"/>
    <xf numFmtId="231" fontId="25" fillId="0" borderId="0" xfId="0" applyNumberFormat="1" applyFont="1"/>
    <xf numFmtId="178" fontId="25" fillId="0" borderId="0" xfId="0" applyNumberFormat="1" applyFont="1"/>
    <xf numFmtId="184" fontId="22" fillId="0" borderId="0" xfId="0" applyNumberFormat="1" applyFont="1"/>
    <xf numFmtId="229" fontId="25" fillId="0" borderId="0" xfId="0" applyNumberFormat="1" applyFont="1"/>
    <xf numFmtId="232" fontId="25" fillId="0" borderId="0" xfId="0" applyNumberFormat="1" applyFont="1"/>
    <xf numFmtId="229" fontId="22" fillId="0" borderId="0" xfId="0" applyNumberFormat="1" applyFont="1"/>
    <xf numFmtId="168" fontId="203" fillId="0" borderId="0" xfId="179" applyFont="1" applyFill="1" applyBorder="1" applyAlignment="1">
      <alignment horizontal="right"/>
    </xf>
    <xf numFmtId="168" fontId="25" fillId="73" borderId="0" xfId="179" applyFill="1" applyBorder="1" applyAlignment="1">
      <alignment horizontal="right"/>
    </xf>
    <xf numFmtId="171" fontId="217" fillId="73" borderId="0" xfId="310" applyNumberFormat="1" applyFont="1" applyFill="1" applyBorder="1" applyAlignment="1">
      <alignment horizontal="right"/>
    </xf>
    <xf numFmtId="186" fontId="22" fillId="0" borderId="0" xfId="0" applyNumberFormat="1" applyFont="1"/>
    <xf numFmtId="171" fontId="198" fillId="0" borderId="0" xfId="0" applyNumberFormat="1" applyFont="1"/>
    <xf numFmtId="169" fontId="203" fillId="0" borderId="0" xfId="179" applyNumberFormat="1" applyFont="1" applyFill="1" applyAlignment="1">
      <alignment horizontal="right"/>
    </xf>
    <xf numFmtId="171" fontId="22" fillId="0" borderId="25" xfId="310" applyNumberFormat="1" applyFont="1" applyFill="1" applyBorder="1"/>
    <xf numFmtId="183" fontId="22" fillId="43" borderId="0" xfId="0" applyNumberFormat="1" applyFont="1" applyFill="1" applyAlignment="1">
      <alignment vertical="center"/>
    </xf>
    <xf numFmtId="184" fontId="190" fillId="0" borderId="24" xfId="0" applyNumberFormat="1" applyFont="1" applyBorder="1" applyAlignment="1">
      <alignment vertical="center"/>
    </xf>
    <xf numFmtId="171" fontId="121" fillId="0" borderId="25" xfId="310" applyNumberFormat="1" applyFont="1" applyFill="1" applyBorder="1" applyAlignment="1">
      <alignment vertical="center"/>
    </xf>
    <xf numFmtId="171" fontId="121" fillId="0" borderId="0" xfId="310" applyNumberFormat="1" applyFont="1" applyFill="1" applyBorder="1" applyAlignment="1">
      <alignment vertical="center"/>
    </xf>
    <xf numFmtId="171" fontId="175" fillId="0" borderId="0" xfId="310" applyNumberFormat="1" applyFont="1" applyBorder="1" applyAlignment="1">
      <alignment vertical="center"/>
    </xf>
    <xf numFmtId="175" fontId="175" fillId="0" borderId="0" xfId="179" applyNumberFormat="1" applyFont="1" applyBorder="1" applyAlignment="1">
      <alignment vertical="center"/>
    </xf>
    <xf numFmtId="9" fontId="188" fillId="0" borderId="0" xfId="0" applyNumberFormat="1" applyFont="1" applyAlignment="1">
      <alignment horizontal="left" indent="1"/>
    </xf>
    <xf numFmtId="0" fontId="222" fillId="0" borderId="0" xfId="0" applyFont="1"/>
    <xf numFmtId="0" fontId="223" fillId="0" borderId="25" xfId="0" applyFont="1" applyBorder="1"/>
    <xf numFmtId="3" fontId="222" fillId="0" borderId="25" xfId="310" applyNumberFormat="1" applyFont="1" applyFill="1" applyBorder="1" applyAlignment="1" applyProtection="1">
      <alignment horizontal="center"/>
    </xf>
    <xf numFmtId="3" fontId="222" fillId="0" borderId="0" xfId="310" applyNumberFormat="1" applyFont="1" applyFill="1" applyBorder="1" applyAlignment="1" applyProtection="1">
      <alignment horizontal="center"/>
    </xf>
    <xf numFmtId="3" fontId="222" fillId="0" borderId="31" xfId="310" applyNumberFormat="1" applyFont="1" applyFill="1" applyBorder="1" applyAlignment="1" applyProtection="1">
      <alignment horizontal="center"/>
    </xf>
    <xf numFmtId="171" fontId="25" fillId="3" borderId="24" xfId="310" applyNumberFormat="1" applyFill="1" applyBorder="1" applyAlignment="1" applyProtection="1"/>
    <xf numFmtId="4" fontId="25" fillId="0" borderId="24" xfId="310" applyNumberFormat="1" applyFill="1" applyBorder="1" applyAlignment="1" applyProtection="1"/>
    <xf numFmtId="173" fontId="25" fillId="0" borderId="24" xfId="310" applyNumberFormat="1" applyFill="1" applyBorder="1" applyAlignment="1" applyProtection="1">
      <alignment horizontal="center"/>
    </xf>
    <xf numFmtId="3" fontId="25" fillId="0" borderId="24" xfId="310" applyNumberFormat="1" applyFill="1" applyBorder="1" applyAlignment="1" applyProtection="1">
      <alignment horizontal="center"/>
    </xf>
    <xf numFmtId="171" fontId="25" fillId="0" borderId="24" xfId="310" applyNumberFormat="1" applyFill="1" applyBorder="1" applyAlignment="1" applyProtection="1">
      <alignment horizontal="center"/>
    </xf>
    <xf numFmtId="3" fontId="222" fillId="0" borderId="24" xfId="310" applyNumberFormat="1" applyFont="1" applyFill="1" applyBorder="1" applyAlignment="1" applyProtection="1">
      <alignment horizontal="center"/>
    </xf>
    <xf numFmtId="3" fontId="25" fillId="0" borderId="24" xfId="310" applyNumberFormat="1" applyFill="1" applyBorder="1" applyAlignment="1" applyProtection="1"/>
    <xf numFmtId="171" fontId="25" fillId="0" borderId="24" xfId="310" applyNumberFormat="1" applyFill="1" applyBorder="1" applyAlignment="1" applyProtection="1"/>
    <xf numFmtId="4" fontId="25" fillId="0" borderId="24" xfId="310" applyNumberFormat="1" applyFill="1" applyBorder="1" applyAlignment="1" applyProtection="1">
      <alignment horizontal="center"/>
    </xf>
    <xf numFmtId="171" fontId="22" fillId="0" borderId="24" xfId="310" applyNumberFormat="1" applyFont="1" applyFill="1" applyBorder="1" applyAlignment="1" applyProtection="1">
      <alignment horizontal="center"/>
    </xf>
    <xf numFmtId="171" fontId="133" fillId="0" borderId="24" xfId="310" applyNumberFormat="1" applyFont="1" applyFill="1" applyBorder="1" applyAlignment="1" applyProtection="1"/>
    <xf numFmtId="9" fontId="25" fillId="0" borderId="24" xfId="310" applyFill="1" applyBorder="1" applyAlignment="1" applyProtection="1">
      <alignment horizontal="center"/>
    </xf>
    <xf numFmtId="169" fontId="25" fillId="0" borderId="0" xfId="310" applyNumberFormat="1" applyFill="1" applyBorder="1"/>
    <xf numFmtId="0" fontId="25" fillId="0" borderId="32" xfId="0" applyFont="1" applyBorder="1"/>
    <xf numFmtId="0" fontId="22" fillId="0" borderId="32" xfId="0" applyFont="1" applyBorder="1"/>
    <xf numFmtId="169" fontId="25" fillId="0" borderId="27" xfId="0" applyNumberFormat="1" applyFont="1" applyBorder="1"/>
    <xf numFmtId="0" fontId="22" fillId="81" borderId="25" xfId="0" applyFont="1" applyFill="1" applyBorder="1" applyAlignment="1">
      <alignment horizontal="left"/>
    </xf>
    <xf numFmtId="0" fontId="22" fillId="81" borderId="0" xfId="0" applyFont="1" applyFill="1" applyAlignment="1">
      <alignment horizontal="left"/>
    </xf>
    <xf numFmtId="0" fontId="22" fillId="81" borderId="0" xfId="0" applyFont="1" applyFill="1" applyAlignment="1">
      <alignment horizontal="center"/>
    </xf>
    <xf numFmtId="0" fontId="22" fillId="60" borderId="0" xfId="0" applyFont="1" applyFill="1" applyAlignment="1">
      <alignment horizontal="center"/>
    </xf>
    <xf numFmtId="0" fontId="22" fillId="60" borderId="26" xfId="0" applyFont="1" applyFill="1" applyBorder="1" applyAlignment="1">
      <alignment horizontal="center"/>
    </xf>
    <xf numFmtId="0" fontId="22" fillId="60" borderId="28" xfId="0" applyFont="1" applyFill="1" applyBorder="1" applyAlignment="1">
      <alignment horizontal="center"/>
    </xf>
    <xf numFmtId="0" fontId="22" fillId="60" borderId="29" xfId="0" applyFont="1" applyFill="1" applyBorder="1" applyAlignment="1">
      <alignment horizontal="center"/>
    </xf>
    <xf numFmtId="0" fontId="25" fillId="0" borderId="24" xfId="244" applyNumberFormat="1" applyFont="1" applyFill="1" applyBorder="1" applyAlignment="1" applyProtection="1"/>
    <xf numFmtId="0" fontId="25" fillId="63" borderId="24" xfId="244" applyNumberFormat="1" applyFont="1" applyFill="1" applyBorder="1" applyAlignment="1" applyProtection="1"/>
    <xf numFmtId="0" fontId="25" fillId="0" borderId="24" xfId="244" applyNumberFormat="1" applyFont="1" applyFill="1" applyBorder="1" applyAlignment="1" applyProtection="1">
      <alignment horizontal="left"/>
    </xf>
    <xf numFmtId="0" fontId="22" fillId="60" borderId="25" xfId="0" applyFont="1" applyFill="1" applyBorder="1" applyAlignment="1">
      <alignment horizontal="center"/>
    </xf>
    <xf numFmtId="9" fontId="22" fillId="0" borderId="0" xfId="310" applyFont="1" applyFill="1"/>
    <xf numFmtId="0" fontId="200" fillId="82" borderId="0" xfId="0" applyFont="1" applyFill="1" applyAlignment="1">
      <alignment horizontal="left" vertical="center"/>
    </xf>
    <xf numFmtId="0" fontId="22" fillId="78" borderId="0" xfId="0" applyFont="1" applyFill="1" applyAlignment="1">
      <alignment horizontal="left" vertical="center"/>
    </xf>
    <xf numFmtId="0" fontId="25" fillId="78" borderId="0" xfId="0" applyFont="1" applyFill="1" applyAlignment="1">
      <alignment horizontal="left" vertical="center"/>
    </xf>
    <xf numFmtId="0" fontId="224" fillId="78" borderId="0" xfId="0" applyFont="1" applyFill="1" applyAlignment="1">
      <alignment horizontal="left" vertical="center"/>
    </xf>
    <xf numFmtId="0" fontId="22" fillId="82" borderId="0" xfId="0" applyFont="1" applyFill="1" applyAlignment="1">
      <alignment horizontal="right" vertical="center"/>
    </xf>
    <xf numFmtId="184" fontId="22" fillId="78" borderId="0" xfId="0" applyNumberFormat="1" applyFont="1" applyFill="1" applyAlignment="1">
      <alignment horizontal="right" vertical="center"/>
    </xf>
    <xf numFmtId="169" fontId="198" fillId="0" borderId="0" xfId="179" applyNumberFormat="1" applyFont="1" applyBorder="1"/>
    <xf numFmtId="1" fontId="198" fillId="0" borderId="0" xfId="0" applyNumberFormat="1" applyFont="1"/>
    <xf numFmtId="9" fontId="25" fillId="83" borderId="25" xfId="310" applyFill="1" applyBorder="1" applyAlignment="1" applyProtection="1"/>
    <xf numFmtId="9" fontId="25" fillId="83" borderId="0" xfId="310" applyFill="1" applyBorder="1" applyAlignment="1" applyProtection="1"/>
    <xf numFmtId="9" fontId="25" fillId="83" borderId="31" xfId="310" applyFill="1" applyBorder="1" applyAlignment="1" applyProtection="1"/>
    <xf numFmtId="178" fontId="25" fillId="83" borderId="32" xfId="0" applyNumberFormat="1" applyFont="1" applyFill="1" applyBorder="1"/>
    <xf numFmtId="178" fontId="25" fillId="83" borderId="27" xfId="0" applyNumberFormat="1" applyFont="1" applyFill="1" applyBorder="1"/>
    <xf numFmtId="178" fontId="25" fillId="83" borderId="33" xfId="0" applyNumberFormat="1" applyFont="1" applyFill="1" applyBorder="1"/>
    <xf numFmtId="0" fontId="190" fillId="82" borderId="0" xfId="0" applyFont="1" applyFill="1" applyAlignment="1">
      <alignment horizontal="right" vertical="center"/>
    </xf>
    <xf numFmtId="171" fontId="25" fillId="78" borderId="0" xfId="310" applyNumberFormat="1" applyFill="1" applyBorder="1" applyAlignment="1">
      <alignment horizontal="right" vertical="center"/>
    </xf>
    <xf numFmtId="171" fontId="201" fillId="78" borderId="0" xfId="310" applyNumberFormat="1" applyFont="1" applyFill="1" applyBorder="1" applyAlignment="1">
      <alignment horizontal="right" vertical="center"/>
    </xf>
    <xf numFmtId="184" fontId="22" fillId="75" borderId="0" xfId="0" applyNumberFormat="1" applyFont="1" applyFill="1" applyAlignment="1">
      <alignment horizontal="right" vertical="center"/>
    </xf>
    <xf numFmtId="184" fontId="198" fillId="75" borderId="0" xfId="0" applyNumberFormat="1" applyFont="1" applyFill="1"/>
    <xf numFmtId="0" fontId="198" fillId="75" borderId="0" xfId="0" applyFont="1" applyFill="1"/>
    <xf numFmtId="169" fontId="190" fillId="75" borderId="0" xfId="179" applyNumberFormat="1" applyFont="1" applyFill="1"/>
    <xf numFmtId="184" fontId="190" fillId="75" borderId="0" xfId="0" applyNumberFormat="1" applyFont="1" applyFill="1" applyAlignment="1">
      <alignment horizontal="center"/>
    </xf>
    <xf numFmtId="171" fontId="201" fillId="75" borderId="0" xfId="0" applyNumberFormat="1" applyFont="1" applyFill="1"/>
    <xf numFmtId="171" fontId="201" fillId="84" borderId="0" xfId="310" applyNumberFormat="1" applyFont="1" applyFill="1" applyBorder="1" applyAlignment="1">
      <alignment horizontal="right" vertical="center"/>
    </xf>
    <xf numFmtId="0" fontId="201" fillId="78" borderId="0" xfId="0" applyFont="1" applyFill="1" applyAlignment="1">
      <alignment horizontal="left" vertical="center" indent="1"/>
    </xf>
    <xf numFmtId="186" fontId="225" fillId="0" borderId="0" xfId="0" applyNumberFormat="1" applyFont="1" applyAlignment="1">
      <alignment vertical="center"/>
    </xf>
    <xf numFmtId="186" fontId="22" fillId="0" borderId="0" xfId="179" applyNumberFormat="1" applyFont="1" applyFill="1" applyBorder="1" applyAlignment="1" applyProtection="1">
      <alignment horizontal="center"/>
    </xf>
    <xf numFmtId="171" fontId="25" fillId="83" borderId="25" xfId="310" applyNumberFormat="1" applyFill="1" applyBorder="1" applyAlignment="1" applyProtection="1"/>
    <xf numFmtId="171" fontId="25" fillId="83" borderId="0" xfId="310" applyNumberFormat="1" applyFill="1" applyBorder="1" applyAlignment="1" applyProtection="1"/>
    <xf numFmtId="171" fontId="25" fillId="83" borderId="31" xfId="310" applyNumberFormat="1" applyFill="1" applyBorder="1" applyAlignment="1" applyProtection="1"/>
    <xf numFmtId="171" fontId="25" fillId="63" borderId="25" xfId="310" applyNumberFormat="1" applyFill="1" applyBorder="1" applyAlignment="1" applyProtection="1"/>
    <xf numFmtId="171" fontId="25" fillId="63" borderId="0" xfId="310" applyNumberFormat="1" applyFill="1" applyBorder="1" applyAlignment="1" applyProtection="1"/>
    <xf numFmtId="171" fontId="25" fillId="63" borderId="31" xfId="310" applyNumberFormat="1" applyFill="1" applyBorder="1" applyAlignment="1" applyProtection="1"/>
    <xf numFmtId="171" fontId="25" fillId="0" borderId="25" xfId="310" applyNumberFormat="1" applyFill="1" applyBorder="1" applyAlignment="1" applyProtection="1">
      <alignment horizontal="right"/>
    </xf>
    <xf numFmtId="171" fontId="25" fillId="0" borderId="0" xfId="310" applyNumberFormat="1" applyFill="1" applyBorder="1" applyAlignment="1" applyProtection="1">
      <alignment horizontal="right"/>
    </xf>
    <xf numFmtId="171" fontId="25" fillId="0" borderId="31" xfId="310" applyNumberFormat="1" applyFill="1" applyBorder="1" applyAlignment="1" applyProtection="1">
      <alignment horizontal="right"/>
    </xf>
    <xf numFmtId="171" fontId="25" fillId="83" borderId="25" xfId="0" applyNumberFormat="1" applyFont="1" applyFill="1" applyBorder="1"/>
    <xf numFmtId="171" fontId="25" fillId="83" borderId="0" xfId="0" applyNumberFormat="1" applyFont="1" applyFill="1"/>
    <xf numFmtId="171" fontId="25" fillId="83" borderId="31" xfId="0" applyNumberFormat="1" applyFont="1" applyFill="1" applyBorder="1"/>
    <xf numFmtId="171" fontId="25" fillId="0" borderId="25" xfId="244" applyNumberFormat="1" applyFont="1" applyFill="1" applyBorder="1" applyAlignment="1" applyProtection="1">
      <alignment horizontal="left" indent="1"/>
    </xf>
    <xf numFmtId="171" fontId="25" fillId="0" borderId="0" xfId="244" applyNumberFormat="1" applyFont="1" applyFill="1" applyBorder="1" applyAlignment="1" applyProtection="1">
      <alignment horizontal="left" indent="1"/>
    </xf>
    <xf numFmtId="171" fontId="25" fillId="0" borderId="31" xfId="244" applyNumberFormat="1" applyFont="1" applyFill="1" applyBorder="1" applyAlignment="1" applyProtection="1">
      <alignment horizontal="left" indent="1"/>
    </xf>
    <xf numFmtId="171" fontId="25" fillId="0" borderId="25" xfId="0" applyNumberFormat="1" applyFont="1" applyBorder="1"/>
    <xf numFmtId="171" fontId="25" fillId="83" borderId="25" xfId="179" applyNumberFormat="1" applyFill="1" applyBorder="1" applyAlignment="1" applyProtection="1"/>
    <xf numFmtId="171" fontId="25" fillId="83" borderId="0" xfId="179" applyNumberFormat="1" applyFill="1" applyBorder="1" applyAlignment="1" applyProtection="1"/>
    <xf numFmtId="171" fontId="25" fillId="83" borderId="31" xfId="179" applyNumberFormat="1" applyFill="1" applyBorder="1" applyAlignment="1" applyProtection="1"/>
    <xf numFmtId="171" fontId="25" fillId="83" borderId="0" xfId="310" applyNumberFormat="1" applyFill="1"/>
    <xf numFmtId="171" fontId="201" fillId="75" borderId="0" xfId="310" applyNumberFormat="1" applyFont="1" applyFill="1" applyBorder="1" applyAlignment="1">
      <alignment horizontal="right" vertical="center"/>
    </xf>
    <xf numFmtId="169" fontId="22" fillId="78" borderId="0" xfId="179" applyNumberFormat="1" applyFont="1" applyFill="1" applyBorder="1" applyAlignment="1">
      <alignment horizontal="right" vertical="center"/>
    </xf>
    <xf numFmtId="169" fontId="22" fillId="84" borderId="0" xfId="179" applyNumberFormat="1" applyFont="1" applyFill="1" applyBorder="1" applyAlignment="1">
      <alignment horizontal="right" vertical="center"/>
    </xf>
    <xf numFmtId="169" fontId="190" fillId="0" borderId="0" xfId="179" applyNumberFormat="1" applyFont="1" applyFill="1" applyBorder="1" applyAlignment="1" applyProtection="1">
      <alignment horizontal="center"/>
    </xf>
    <xf numFmtId="184" fontId="190" fillId="0" borderId="0" xfId="179" applyNumberFormat="1" applyFont="1" applyFill="1" applyBorder="1" applyAlignment="1" applyProtection="1">
      <alignment horizontal="center"/>
    </xf>
    <xf numFmtId="37" fontId="25" fillId="0" borderId="0" xfId="0" applyNumberFormat="1" applyFont="1"/>
    <xf numFmtId="2" fontId="194" fillId="0" borderId="0" xfId="0" applyNumberFormat="1" applyFont="1" applyAlignment="1">
      <alignment vertical="center"/>
    </xf>
    <xf numFmtId="171" fontId="25" fillId="0" borderId="25" xfId="310" applyNumberFormat="1" applyFill="1" applyBorder="1" applyAlignment="1">
      <alignment vertical="center"/>
    </xf>
    <xf numFmtId="0" fontId="198" fillId="0" borderId="0" xfId="0" applyFont="1" applyAlignment="1">
      <alignment horizontal="right"/>
    </xf>
    <xf numFmtId="0" fontId="198" fillId="0" borderId="25" xfId="0" applyFont="1" applyBorder="1"/>
    <xf numFmtId="0" fontId="198" fillId="0" borderId="0" xfId="310" applyNumberFormat="1" applyFont="1" applyFill="1"/>
    <xf numFmtId="0" fontId="190" fillId="0" borderId="0" xfId="179" applyNumberFormat="1" applyFont="1" applyFill="1"/>
    <xf numFmtId="169" fontId="190" fillId="0" borderId="0" xfId="310" applyNumberFormat="1" applyFont="1" applyFill="1"/>
    <xf numFmtId="0" fontId="190" fillId="0" borderId="0" xfId="310" applyNumberFormat="1" applyFont="1" applyFill="1"/>
    <xf numFmtId="169" fontId="190" fillId="0" borderId="0" xfId="179" applyNumberFormat="1" applyFont="1" applyFill="1"/>
    <xf numFmtId="169" fontId="198" fillId="0" borderId="0" xfId="179" applyNumberFormat="1" applyFont="1" applyFill="1"/>
    <xf numFmtId="0" fontId="190" fillId="80" borderId="0" xfId="0" applyFont="1" applyFill="1"/>
    <xf numFmtId="0" fontId="190" fillId="85" borderId="0" xfId="0" applyFont="1" applyFill="1" applyAlignment="1">
      <alignment horizontal="right"/>
    </xf>
    <xf numFmtId="168" fontId="25" fillId="0" borderId="25" xfId="179" applyFill="1" applyBorder="1" applyAlignment="1">
      <alignment horizontal="right" indent="1"/>
    </xf>
    <xf numFmtId="3" fontId="121" fillId="63" borderId="25" xfId="0" applyNumberFormat="1" applyFont="1" applyFill="1" applyBorder="1" applyAlignment="1">
      <alignment horizontal="right"/>
    </xf>
    <xf numFmtId="169" fontId="25" fillId="63" borderId="25" xfId="179" applyNumberFormat="1" applyFill="1" applyBorder="1" applyAlignment="1">
      <alignment horizontal="right"/>
    </xf>
    <xf numFmtId="3" fontId="22" fillId="63" borderId="25" xfId="0" applyNumberFormat="1" applyFont="1" applyFill="1" applyBorder="1"/>
    <xf numFmtId="168" fontId="25" fillId="0" borderId="25" xfId="179" applyFill="1" applyBorder="1" applyAlignment="1">
      <alignment horizontal="right"/>
    </xf>
    <xf numFmtId="3" fontId="22" fillId="43" borderId="25" xfId="0" applyNumberFormat="1" applyFont="1" applyFill="1" applyBorder="1"/>
    <xf numFmtId="169" fontId="22" fillId="0" borderId="0" xfId="179" applyNumberFormat="1" applyFont="1" applyFill="1" applyAlignment="1">
      <alignment horizontal="right" vertical="center"/>
    </xf>
    <xf numFmtId="183" fontId="25" fillId="0" borderId="0" xfId="179" applyNumberFormat="1" applyFill="1" applyAlignment="1">
      <alignment horizontal="right" vertical="center"/>
    </xf>
    <xf numFmtId="183" fontId="22" fillId="0" borderId="0" xfId="179" applyNumberFormat="1" applyFont="1" applyFill="1" applyAlignment="1">
      <alignment horizontal="right" vertical="center"/>
    </xf>
    <xf numFmtId="171" fontId="25" fillId="0" borderId="0" xfId="179" applyNumberFormat="1" applyFill="1" applyAlignment="1">
      <alignment horizontal="right" vertical="center"/>
    </xf>
    <xf numFmtId="9" fontId="25" fillId="0" borderId="0" xfId="179" applyNumberFormat="1" applyFill="1" applyAlignment="1">
      <alignment horizontal="right" vertical="center"/>
    </xf>
    <xf numFmtId="169" fontId="22" fillId="0" borderId="0" xfId="310" applyNumberFormat="1" applyFont="1" applyFill="1" applyBorder="1" applyAlignment="1">
      <alignment horizontal="right" vertical="center"/>
    </xf>
    <xf numFmtId="10" fontId="121" fillId="0" borderId="0" xfId="310" applyNumberFormat="1" applyFont="1" applyAlignment="1">
      <alignment vertical="center"/>
    </xf>
    <xf numFmtId="0" fontId="226" fillId="0" borderId="0" xfId="0" applyFont="1"/>
    <xf numFmtId="171" fontId="121" fillId="43" borderId="0" xfId="310" applyNumberFormat="1" applyFont="1" applyFill="1" applyBorder="1" applyAlignment="1"/>
    <xf numFmtId="184" fontId="176" fillId="43" borderId="0" xfId="0" applyNumberFormat="1" applyFont="1" applyFill="1"/>
    <xf numFmtId="0" fontId="177" fillId="43" borderId="0" xfId="0" applyFont="1" applyFill="1"/>
    <xf numFmtId="169" fontId="177" fillId="43" borderId="0" xfId="179" applyNumberFormat="1" applyFont="1" applyFill="1"/>
    <xf numFmtId="9" fontId="25" fillId="0" borderId="31" xfId="310" applyFill="1" applyBorder="1" applyAlignment="1" applyProtection="1"/>
    <xf numFmtId="178" fontId="25" fillId="0" borderId="33" xfId="0" applyNumberFormat="1" applyFont="1" applyBorder="1"/>
    <xf numFmtId="2" fontId="22" fillId="0" borderId="0" xfId="310" applyNumberFormat="1" applyFont="1" applyFill="1"/>
    <xf numFmtId="0" fontId="25" fillId="0" borderId="5" xfId="244" applyNumberFormat="1" applyFont="1" applyFill="1" applyBorder="1" applyAlignment="1" applyProtection="1"/>
    <xf numFmtId="0" fontId="178" fillId="43" borderId="0" xfId="0" applyFont="1" applyFill="1"/>
    <xf numFmtId="177" fontId="178" fillId="0" borderId="0" xfId="0" applyNumberFormat="1" applyFont="1" applyAlignment="1">
      <alignment horizontal="center"/>
    </xf>
    <xf numFmtId="38" fontId="178" fillId="0" borderId="0" xfId="0" applyNumberFormat="1" applyFont="1" applyAlignment="1">
      <alignment horizontal="center"/>
    </xf>
    <xf numFmtId="9" fontId="25" fillId="0" borderId="0" xfId="310" applyFill="1" applyBorder="1" applyAlignment="1">
      <alignment horizontal="center"/>
    </xf>
    <xf numFmtId="184" fontId="198" fillId="0" borderId="0" xfId="0" applyNumberFormat="1" applyFont="1" applyAlignment="1">
      <alignment horizontal="right"/>
    </xf>
    <xf numFmtId="0" fontId="229" fillId="0" borderId="0" xfId="0" applyFont="1"/>
    <xf numFmtId="171" fontId="121" fillId="78" borderId="0" xfId="310" applyNumberFormat="1" applyFont="1" applyFill="1" applyAlignment="1">
      <alignment horizontal="right" vertical="center"/>
    </xf>
    <xf numFmtId="171" fontId="25" fillId="0" borderId="0" xfId="310" applyNumberFormat="1" applyBorder="1"/>
    <xf numFmtId="0" fontId="230" fillId="0" borderId="0" xfId="0" applyFont="1"/>
    <xf numFmtId="1" fontId="230" fillId="0" borderId="0" xfId="0" applyNumberFormat="1" applyFont="1"/>
    <xf numFmtId="1" fontId="219" fillId="0" borderId="0" xfId="0" applyNumberFormat="1" applyFont="1"/>
    <xf numFmtId="0" fontId="198" fillId="75" borderId="0" xfId="0" applyFont="1" applyFill="1" applyAlignment="1">
      <alignment horizontal="right"/>
    </xf>
    <xf numFmtId="3" fontId="198" fillId="75" borderId="0" xfId="0" applyNumberFormat="1" applyFont="1" applyFill="1" applyAlignment="1">
      <alignment horizontal="right"/>
    </xf>
    <xf numFmtId="168" fontId="25" fillId="75" borderId="0" xfId="179" applyFill="1" applyBorder="1" applyAlignment="1">
      <alignment horizontal="right"/>
    </xf>
    <xf numFmtId="1" fontId="198" fillId="75" borderId="0" xfId="0" applyNumberFormat="1" applyFont="1" applyFill="1"/>
    <xf numFmtId="168" fontId="25" fillId="75" borderId="0" xfId="179" applyFill="1"/>
    <xf numFmtId="0" fontId="22" fillId="73" borderId="0" xfId="310" applyNumberFormat="1" applyFont="1" applyFill="1" applyBorder="1" applyAlignment="1">
      <alignment horizontal="right"/>
    </xf>
    <xf numFmtId="43" fontId="22" fillId="73" borderId="0" xfId="310" applyNumberFormat="1" applyFont="1" applyFill="1" applyBorder="1" applyAlignment="1">
      <alignment horizontal="right"/>
    </xf>
    <xf numFmtId="9" fontId="205" fillId="67" borderId="0" xfId="0" quotePrefix="1" applyNumberFormat="1" applyFont="1" applyFill="1" applyAlignment="1">
      <alignment horizontal="right" vertical="center" wrapText="1"/>
    </xf>
    <xf numFmtId="0" fontId="205" fillId="67" borderId="0" xfId="0" quotePrefix="1" applyFont="1" applyFill="1" applyAlignment="1">
      <alignment horizontal="right" vertical="center" wrapText="1"/>
    </xf>
    <xf numFmtId="169" fontId="136" fillId="65" borderId="0" xfId="179" applyNumberFormat="1" applyFont="1" applyFill="1" applyAlignment="1">
      <alignment horizontal="right" vertical="center" wrapText="1"/>
    </xf>
    <xf numFmtId="169" fontId="136" fillId="65" borderId="75" xfId="179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right"/>
    </xf>
    <xf numFmtId="3" fontId="0" fillId="0" borderId="0" xfId="0" applyNumberFormat="1"/>
    <xf numFmtId="3" fontId="165" fillId="76" borderId="0" xfId="0" applyNumberFormat="1" applyFont="1" applyFill="1"/>
    <xf numFmtId="171" fontId="165" fillId="76" borderId="0" xfId="310" applyNumberFormat="1" applyFont="1" applyFill="1"/>
    <xf numFmtId="171" fontId="194" fillId="0" borderId="25" xfId="0" applyNumberFormat="1" applyFont="1" applyBorder="1" applyAlignment="1">
      <alignment vertical="center"/>
    </xf>
    <xf numFmtId="171" fontId="194" fillId="0" borderId="0" xfId="0" applyNumberFormat="1" applyFont="1" applyAlignment="1">
      <alignment vertical="center"/>
    </xf>
    <xf numFmtId="234" fontId="25" fillId="0" borderId="0" xfId="0" applyNumberFormat="1" applyFont="1"/>
    <xf numFmtId="0" fontId="132" fillId="60" borderId="25" xfId="0" applyFont="1" applyFill="1" applyBorder="1"/>
    <xf numFmtId="169" fontId="25" fillId="60" borderId="0" xfId="179" applyNumberFormat="1" applyFill="1" applyBorder="1" applyAlignment="1" applyProtection="1"/>
    <xf numFmtId="169" fontId="25" fillId="60" borderId="0" xfId="179" applyNumberFormat="1" applyFill="1" applyBorder="1" applyAlignment="1" applyProtection="1">
      <alignment horizontal="center"/>
    </xf>
    <xf numFmtId="169" fontId="121" fillId="0" borderId="0" xfId="179" applyNumberFormat="1" applyFont="1" applyFill="1" applyAlignment="1">
      <alignment vertical="center"/>
    </xf>
    <xf numFmtId="43" fontId="225" fillId="0" borderId="0" xfId="0" applyNumberFormat="1" applyFont="1" applyAlignment="1">
      <alignment vertical="center"/>
    </xf>
    <xf numFmtId="186" fontId="25" fillId="0" borderId="0" xfId="0" applyNumberFormat="1" applyFont="1"/>
    <xf numFmtId="0" fontId="190" fillId="0" borderId="0" xfId="0" applyFont="1" applyAlignment="1">
      <alignment horizontal="right"/>
    </xf>
    <xf numFmtId="171" fontId="229" fillId="0" borderId="0" xfId="310" applyNumberFormat="1" applyFont="1" applyFill="1"/>
    <xf numFmtId="0" fontId="25" fillId="0" borderId="24" xfId="0" applyFont="1" applyBorder="1" applyAlignment="1">
      <alignment horizontal="left"/>
    </xf>
    <xf numFmtId="0" fontId="121" fillId="0" borderId="24" xfId="0" applyFont="1" applyBorder="1" applyAlignment="1">
      <alignment horizontal="left" indent="1"/>
    </xf>
    <xf numFmtId="171" fontId="122" fillId="0" borderId="25" xfId="310" applyNumberFormat="1" applyFont="1" applyFill="1" applyBorder="1" applyAlignment="1">
      <alignment horizontal="right" vertical="center"/>
    </xf>
    <xf numFmtId="171" fontId="122" fillId="0" borderId="0" xfId="310" applyNumberFormat="1" applyFont="1" applyFill="1" applyBorder="1" applyAlignment="1">
      <alignment horizontal="right" vertical="center"/>
    </xf>
    <xf numFmtId="171" fontId="122" fillId="0" borderId="31" xfId="310" applyNumberFormat="1" applyFont="1" applyFill="1" applyBorder="1" applyAlignment="1">
      <alignment horizontal="right" vertical="center"/>
    </xf>
    <xf numFmtId="171" fontId="122" fillId="0" borderId="28" xfId="310" applyNumberFormat="1" applyFont="1" applyFill="1" applyBorder="1" applyAlignment="1">
      <alignment horizontal="right" vertical="center"/>
    </xf>
    <xf numFmtId="171" fontId="194" fillId="0" borderId="5" xfId="310" applyNumberFormat="1" applyFont="1" applyFill="1" applyBorder="1" applyAlignment="1" applyProtection="1">
      <alignment vertical="center"/>
    </xf>
    <xf numFmtId="171" fontId="194" fillId="0" borderId="33" xfId="310" applyNumberFormat="1" applyFont="1" applyFill="1" applyBorder="1" applyAlignment="1" applyProtection="1">
      <alignment vertical="center"/>
    </xf>
    <xf numFmtId="9" fontId="121" fillId="0" borderId="0" xfId="310" applyFont="1" applyFill="1" applyBorder="1" applyAlignment="1">
      <alignment horizontal="right" vertical="center"/>
    </xf>
    <xf numFmtId="9" fontId="121" fillId="0" borderId="5" xfId="310" applyFont="1" applyFill="1" applyBorder="1" applyAlignment="1">
      <alignment horizontal="right" vertical="center"/>
    </xf>
    <xf numFmtId="0" fontId="122" fillId="0" borderId="0" xfId="0" applyFont="1" applyAlignment="1">
      <alignment horizontal="left" vertical="center"/>
    </xf>
    <xf numFmtId="0" fontId="197" fillId="0" borderId="0" xfId="0" applyFont="1"/>
    <xf numFmtId="0" fontId="172" fillId="0" borderId="0" xfId="0" applyFont="1"/>
    <xf numFmtId="0" fontId="224" fillId="0" borderId="0" xfId="0" applyFont="1"/>
    <xf numFmtId="229" fontId="190" fillId="0" borderId="0" xfId="0" applyNumberFormat="1" applyFont="1"/>
    <xf numFmtId="184" fontId="216" fillId="0" borderId="0" xfId="0" applyNumberFormat="1" applyFont="1"/>
    <xf numFmtId="0" fontId="216" fillId="0" borderId="0" xfId="0" applyFont="1" applyAlignment="1">
      <alignment horizontal="left" indent="1"/>
    </xf>
    <xf numFmtId="229" fontId="218" fillId="0" borderId="0" xfId="0" applyNumberFormat="1" applyFont="1"/>
    <xf numFmtId="230" fontId="25" fillId="0" borderId="0" xfId="0" applyNumberFormat="1" applyFont="1"/>
    <xf numFmtId="229" fontId="201" fillId="0" borderId="0" xfId="0" applyNumberFormat="1" applyFont="1"/>
    <xf numFmtId="0" fontId="231" fillId="0" borderId="0" xfId="0" applyFont="1" applyAlignment="1">
      <alignment horizontal="left" indent="1"/>
    </xf>
    <xf numFmtId="0" fontId="216" fillId="0" borderId="0" xfId="0" applyFont="1" applyAlignment="1">
      <alignment horizontal="left"/>
    </xf>
    <xf numFmtId="231" fontId="216" fillId="0" borderId="0" xfId="0" applyNumberFormat="1" applyFont="1"/>
    <xf numFmtId="229" fontId="216" fillId="0" borderId="0" xfId="0" applyNumberFormat="1" applyFont="1"/>
    <xf numFmtId="0" fontId="232" fillId="0" borderId="0" xfId="0" applyFont="1"/>
    <xf numFmtId="229" fontId="122" fillId="0" borderId="0" xfId="0" applyNumberFormat="1" applyFont="1"/>
    <xf numFmtId="229" fontId="232" fillId="0" borderId="0" xfId="0" applyNumberFormat="1" applyFont="1"/>
    <xf numFmtId="171" fontId="216" fillId="0" borderId="0" xfId="0" applyNumberFormat="1" applyFont="1"/>
    <xf numFmtId="231" fontId="201" fillId="0" borderId="0" xfId="0" applyNumberFormat="1" applyFont="1"/>
    <xf numFmtId="171" fontId="201" fillId="0" borderId="0" xfId="0" applyNumberFormat="1" applyFont="1" applyAlignment="1">
      <alignment horizontal="right"/>
    </xf>
    <xf numFmtId="178" fontId="216" fillId="0" borderId="0" xfId="0" applyNumberFormat="1" applyFont="1"/>
    <xf numFmtId="0" fontId="224" fillId="0" borderId="0" xfId="0" applyFont="1" applyAlignment="1">
      <alignment horizontal="left"/>
    </xf>
    <xf numFmtId="229" fontId="224" fillId="0" borderId="0" xfId="0" applyNumberFormat="1" applyFont="1"/>
    <xf numFmtId="3" fontId="233" fillId="43" borderId="0" xfId="0" applyNumberFormat="1" applyFont="1" applyFill="1" applyAlignment="1">
      <alignment horizontal="center"/>
    </xf>
    <xf numFmtId="171" fontId="203" fillId="63" borderId="0" xfId="310" applyNumberFormat="1" applyFont="1" applyFill="1" applyBorder="1" applyAlignment="1">
      <alignment horizontal="right"/>
    </xf>
    <xf numFmtId="0" fontId="22" fillId="0" borderId="0" xfId="310" applyNumberFormat="1" applyFont="1" applyFill="1" applyBorder="1" applyAlignment="1">
      <alignment horizontal="right"/>
    </xf>
    <xf numFmtId="0" fontId="22" fillId="73" borderId="0" xfId="0" applyFont="1" applyFill="1" applyAlignment="1">
      <alignment horizontal="left" indent="1"/>
    </xf>
    <xf numFmtId="0" fontId="22" fillId="89" borderId="0" xfId="0" applyFont="1" applyFill="1" applyAlignment="1">
      <alignment horizontal="left" vertical="center"/>
    </xf>
    <xf numFmtId="0" fontId="22" fillId="89" borderId="0" xfId="0" applyFont="1" applyFill="1" applyAlignment="1">
      <alignment horizontal="left"/>
    </xf>
    <xf numFmtId="169" fontId="22" fillId="0" borderId="13" xfId="179" applyNumberFormat="1" applyFont="1" applyFill="1" applyBorder="1" applyAlignment="1">
      <alignment horizontal="right"/>
    </xf>
    <xf numFmtId="169" fontId="25" fillId="0" borderId="13" xfId="179" applyNumberFormat="1" applyFill="1" applyBorder="1" applyAlignment="1">
      <alignment horizontal="right"/>
    </xf>
    <xf numFmtId="0" fontId="190" fillId="73" borderId="78" xfId="0" applyFont="1" applyFill="1" applyBorder="1"/>
    <xf numFmtId="169" fontId="22" fillId="73" borderId="79" xfId="179" applyNumberFormat="1" applyFont="1" applyFill="1" applyBorder="1"/>
    <xf numFmtId="169" fontId="22" fillId="73" borderId="79" xfId="179" applyNumberFormat="1" applyFont="1" applyFill="1" applyBorder="1" applyAlignment="1">
      <alignment horizontal="right"/>
    </xf>
    <xf numFmtId="0" fontId="198" fillId="0" borderId="81" xfId="0" applyFont="1" applyBorder="1"/>
    <xf numFmtId="169" fontId="198" fillId="0" borderId="82" xfId="179" applyNumberFormat="1" applyFont="1" applyFill="1" applyBorder="1" applyAlignment="1">
      <alignment horizontal="right"/>
    </xf>
    <xf numFmtId="0" fontId="25" fillId="0" borderId="81" xfId="0" applyFont="1" applyBorder="1" applyAlignment="1">
      <alignment horizontal="left" indent="1"/>
    </xf>
    <xf numFmtId="169" fontId="25" fillId="0" borderId="82" xfId="179" applyNumberFormat="1" applyFill="1" applyBorder="1" applyAlignment="1">
      <alignment horizontal="right"/>
    </xf>
    <xf numFmtId="0" fontId="25" fillId="0" borderId="81" xfId="0" applyFont="1" applyBorder="1" applyAlignment="1">
      <alignment horizontal="left"/>
    </xf>
    <xf numFmtId="171" fontId="25" fillId="0" borderId="82" xfId="310" applyNumberFormat="1" applyFill="1" applyBorder="1" applyAlignment="1">
      <alignment horizontal="right"/>
    </xf>
    <xf numFmtId="171" fontId="25" fillId="0" borderId="82" xfId="310" applyNumberFormat="1" applyFill="1" applyBorder="1"/>
    <xf numFmtId="0" fontId="25" fillId="0" borderId="83" xfId="0" applyFont="1" applyBorder="1" applyAlignment="1">
      <alignment horizontal="left"/>
    </xf>
    <xf numFmtId="171" fontId="25" fillId="0" borderId="84" xfId="310" applyNumberFormat="1" applyFill="1" applyBorder="1"/>
    <xf numFmtId="171" fontId="25" fillId="0" borderId="85" xfId="310" applyNumberFormat="1" applyFill="1" applyBorder="1" applyAlignment="1">
      <alignment horizontal="right"/>
    </xf>
    <xf numFmtId="0" fontId="22" fillId="43" borderId="25" xfId="0" applyFont="1" applyFill="1" applyBorder="1" applyAlignment="1">
      <alignment horizontal="left" vertical="center"/>
    </xf>
    <xf numFmtId="0" fontId="122" fillId="64" borderId="0" xfId="0" applyFont="1" applyFill="1" applyAlignment="1">
      <alignment vertical="center"/>
    </xf>
    <xf numFmtId="0" fontId="122" fillId="90" borderId="25" xfId="0" applyFont="1" applyFill="1" applyBorder="1" applyAlignment="1">
      <alignment horizontal="left" vertical="center" indent="1"/>
    </xf>
    <xf numFmtId="171" fontId="122" fillId="90" borderId="25" xfId="310" applyNumberFormat="1" applyFont="1" applyFill="1" applyBorder="1" applyAlignment="1" applyProtection="1">
      <alignment vertical="center"/>
    </xf>
    <xf numFmtId="171" fontId="122" fillId="90" borderId="0" xfId="310" applyNumberFormat="1" applyFont="1" applyFill="1" applyBorder="1" applyAlignment="1" applyProtection="1">
      <alignment vertical="center"/>
    </xf>
    <xf numFmtId="171" fontId="122" fillId="64" borderId="0" xfId="310" applyNumberFormat="1" applyFont="1" applyFill="1" applyBorder="1" applyAlignment="1" applyProtection="1">
      <alignment horizontal="right" vertical="center"/>
    </xf>
    <xf numFmtId="171" fontId="122" fillId="64" borderId="0" xfId="0" applyNumberFormat="1" applyFont="1" applyFill="1" applyAlignment="1">
      <alignment horizontal="right" vertical="center"/>
    </xf>
    <xf numFmtId="171" fontId="127" fillId="90" borderId="25" xfId="310" applyNumberFormat="1" applyFont="1" applyFill="1" applyBorder="1" applyAlignment="1" applyProtection="1">
      <alignment vertical="center"/>
    </xf>
    <xf numFmtId="171" fontId="127" fillId="90" borderId="0" xfId="310" applyNumberFormat="1" applyFont="1" applyFill="1" applyBorder="1" applyAlignment="1" applyProtection="1">
      <alignment vertical="center"/>
    </xf>
    <xf numFmtId="171" fontId="127" fillId="90" borderId="31" xfId="310" applyNumberFormat="1" applyFont="1" applyFill="1" applyBorder="1" applyAlignment="1" applyProtection="1">
      <alignment vertical="center"/>
    </xf>
    <xf numFmtId="171" fontId="199" fillId="64" borderId="25" xfId="310" applyNumberFormat="1" applyFont="1" applyFill="1" applyBorder="1" applyAlignment="1" applyProtection="1">
      <alignment vertical="center"/>
    </xf>
    <xf numFmtId="171" fontId="199" fillId="64" borderId="0" xfId="310" applyNumberFormat="1" applyFont="1" applyFill="1" applyBorder="1" applyAlignment="1" applyProtection="1">
      <alignment vertical="center"/>
    </xf>
    <xf numFmtId="171" fontId="199" fillId="64" borderId="31" xfId="310" applyNumberFormat="1" applyFont="1" applyFill="1" applyBorder="1" applyAlignment="1" applyProtection="1">
      <alignment vertical="center"/>
    </xf>
    <xf numFmtId="171" fontId="199" fillId="90" borderId="24" xfId="310" applyNumberFormat="1" applyFont="1" applyFill="1" applyBorder="1" applyAlignment="1" applyProtection="1">
      <alignment vertical="center"/>
    </xf>
    <xf numFmtId="171" fontId="199" fillId="90" borderId="31" xfId="310" applyNumberFormat="1" applyFont="1" applyFill="1" applyBorder="1" applyAlignment="1" applyProtection="1">
      <alignment vertical="center"/>
    </xf>
    <xf numFmtId="171" fontId="122" fillId="90" borderId="0" xfId="310" applyNumberFormat="1" applyFont="1" applyFill="1" applyBorder="1" applyAlignment="1" applyProtection="1">
      <alignment horizontal="right" vertical="center"/>
    </xf>
    <xf numFmtId="171" fontId="122" fillId="90" borderId="24" xfId="310" applyNumberFormat="1" applyFont="1" applyFill="1" applyBorder="1" applyAlignment="1" applyProtection="1">
      <alignment horizontal="right" vertical="center"/>
    </xf>
    <xf numFmtId="9" fontId="122" fillId="64" borderId="0" xfId="310" applyFont="1" applyFill="1" applyBorder="1" applyAlignment="1" applyProtection="1">
      <alignment vertical="center"/>
    </xf>
    <xf numFmtId="175" fontId="153" fillId="64" borderId="0" xfId="179" applyNumberFormat="1" applyFont="1" applyFill="1" applyBorder="1" applyAlignment="1">
      <alignment vertical="center"/>
    </xf>
    <xf numFmtId="171" fontId="155" fillId="64" borderId="0" xfId="0" applyNumberFormat="1" applyFont="1" applyFill="1" applyAlignment="1">
      <alignment vertical="center"/>
    </xf>
    <xf numFmtId="171" fontId="171" fillId="64" borderId="0" xfId="310" applyNumberFormat="1" applyFont="1" applyFill="1" applyBorder="1" applyAlignment="1">
      <alignment vertical="center"/>
    </xf>
    <xf numFmtId="171" fontId="155" fillId="64" borderId="0" xfId="310" applyNumberFormat="1" applyFont="1" applyFill="1" applyBorder="1" applyAlignment="1">
      <alignment vertical="center"/>
    </xf>
    <xf numFmtId="171" fontId="167" fillId="64" borderId="0" xfId="310" applyNumberFormat="1" applyFont="1" applyFill="1" applyBorder="1" applyAlignment="1">
      <alignment vertical="center"/>
    </xf>
    <xf numFmtId="175" fontId="122" fillId="64" borderId="0" xfId="179" applyNumberFormat="1" applyFont="1" applyFill="1" applyBorder="1" applyAlignment="1">
      <alignment vertical="center"/>
    </xf>
    <xf numFmtId="0" fontId="122" fillId="64" borderId="25" xfId="0" applyFont="1" applyFill="1" applyBorder="1" applyAlignment="1">
      <alignment vertical="center"/>
    </xf>
    <xf numFmtId="183" fontId="122" fillId="64" borderId="31" xfId="0" applyNumberFormat="1" applyFont="1" applyFill="1" applyBorder="1" applyAlignment="1">
      <alignment vertical="center"/>
    </xf>
    <xf numFmtId="0" fontId="25" fillId="43" borderId="25" xfId="0" applyFont="1" applyFill="1" applyBorder="1" applyAlignment="1">
      <alignment horizontal="left" vertical="center" indent="1"/>
    </xf>
    <xf numFmtId="0" fontId="20" fillId="43" borderId="25" xfId="0" applyFont="1" applyFill="1" applyBorder="1" applyAlignment="1">
      <alignment vertical="center"/>
    </xf>
    <xf numFmtId="0" fontId="235" fillId="91" borderId="26" xfId="0" applyFont="1" applyFill="1" applyBorder="1"/>
    <xf numFmtId="0" fontId="235" fillId="92" borderId="23" xfId="0" applyFont="1" applyFill="1" applyBorder="1"/>
    <xf numFmtId="0" fontId="20" fillId="0" borderId="0" xfId="0" applyFont="1"/>
    <xf numFmtId="169" fontId="121" fillId="0" borderId="0" xfId="0" applyNumberFormat="1" applyFont="1" applyAlignment="1">
      <alignment vertical="center"/>
    </xf>
    <xf numFmtId="169" fontId="20" fillId="0" borderId="0" xfId="179" applyNumberFormat="1" applyFont="1" applyFill="1" applyBorder="1" applyAlignment="1">
      <alignment horizontal="right"/>
    </xf>
    <xf numFmtId="0" fontId="0" fillId="0" borderId="0" xfId="0" applyAlignment="1">
      <alignment horizontal="left" indent="1"/>
    </xf>
    <xf numFmtId="0" fontId="183" fillId="93" borderId="0" xfId="0" applyFont="1" applyFill="1"/>
    <xf numFmtId="169" fontId="0" fillId="0" borderId="0" xfId="0" applyNumberFormat="1"/>
    <xf numFmtId="0" fontId="20" fillId="77" borderId="0" xfId="0" applyFont="1" applyFill="1"/>
    <xf numFmtId="0" fontId="0" fillId="77" borderId="0" xfId="0" applyFill="1"/>
    <xf numFmtId="0" fontId="20" fillId="77" borderId="0" xfId="0" applyFont="1" applyFill="1" applyAlignment="1">
      <alignment horizontal="left"/>
    </xf>
    <xf numFmtId="0" fontId="0" fillId="77" borderId="0" xfId="0" applyFill="1" applyAlignment="1">
      <alignment horizontal="left"/>
    </xf>
    <xf numFmtId="0" fontId="190" fillId="73" borderId="0" xfId="0" applyFont="1" applyFill="1" applyAlignment="1">
      <alignment horizontal="left"/>
    </xf>
    <xf numFmtId="169" fontId="22" fillId="73" borderId="0" xfId="179" applyNumberFormat="1" applyFont="1" applyFill="1" applyBorder="1" applyAlignment="1">
      <alignment horizontal="left"/>
    </xf>
    <xf numFmtId="169" fontId="22" fillId="73" borderId="0" xfId="0" applyNumberFormat="1" applyFont="1" applyFill="1" applyAlignment="1">
      <alignment horizontal="left"/>
    </xf>
    <xf numFmtId="169" fontId="25" fillId="0" borderId="0" xfId="179" applyNumberFormat="1" applyFill="1" applyBorder="1" applyAlignment="1">
      <alignment horizontal="left"/>
    </xf>
    <xf numFmtId="169" fontId="0" fillId="0" borderId="0" xfId="0" applyNumberFormat="1" applyAlignment="1">
      <alignment horizontal="left"/>
    </xf>
    <xf numFmtId="0" fontId="190" fillId="77" borderId="81" xfId="0" applyFont="1" applyFill="1" applyBorder="1"/>
    <xf numFmtId="9" fontId="22" fillId="73" borderId="0" xfId="310" applyFont="1" applyFill="1" applyBorder="1" applyAlignment="1">
      <alignment horizontal="right"/>
    </xf>
    <xf numFmtId="169" fontId="22" fillId="73" borderId="0" xfId="0" applyNumberFormat="1" applyFont="1" applyFill="1"/>
    <xf numFmtId="169" fontId="25" fillId="85" borderId="0" xfId="179" applyNumberFormat="1" applyFill="1" applyBorder="1" applyAlignment="1">
      <alignment horizontal="right"/>
    </xf>
    <xf numFmtId="0" fontId="20" fillId="0" borderId="0" xfId="0" applyFont="1" applyAlignment="1">
      <alignment horizontal="left"/>
    </xf>
    <xf numFmtId="0" fontId="25" fillId="0" borderId="0" xfId="0" applyFont="1" applyAlignment="1">
      <alignment horizontal="left" indent="2"/>
    </xf>
    <xf numFmtId="169" fontId="25" fillId="64" borderId="0" xfId="179" applyNumberFormat="1" applyFill="1" applyBorder="1" applyAlignment="1">
      <alignment horizontal="right"/>
    </xf>
    <xf numFmtId="169" fontId="25" fillId="64" borderId="31" xfId="179" applyNumberFormat="1" applyFill="1" applyBorder="1" applyAlignment="1">
      <alignment horizontal="right"/>
    </xf>
    <xf numFmtId="0" fontId="22" fillId="64" borderId="0" xfId="0" applyFont="1" applyFill="1" applyAlignment="1">
      <alignment horizontal="right"/>
    </xf>
    <xf numFmtId="0" fontId="22" fillId="64" borderId="0" xfId="0" applyFont="1" applyFill="1"/>
    <xf numFmtId="1" fontId="22" fillId="64" borderId="0" xfId="0" applyNumberFormat="1" applyFont="1" applyFill="1"/>
    <xf numFmtId="169" fontId="25" fillId="64" borderId="25" xfId="179" applyNumberFormat="1" applyFill="1" applyBorder="1" applyAlignment="1">
      <alignment horizontal="right"/>
    </xf>
    <xf numFmtId="0" fontId="25" fillId="64" borderId="0" xfId="0" applyFont="1" applyFill="1"/>
    <xf numFmtId="0" fontId="20" fillId="64" borderId="0" xfId="0" applyFont="1" applyFill="1" applyAlignment="1">
      <alignment horizontal="left"/>
    </xf>
    <xf numFmtId="0" fontId="20" fillId="64" borderId="0" xfId="0" applyFont="1" applyFill="1" applyAlignment="1">
      <alignment horizontal="left" indent="1"/>
    </xf>
    <xf numFmtId="169" fontId="22" fillId="64" borderId="0" xfId="179" applyNumberFormat="1" applyFont="1" applyFill="1" applyBorder="1"/>
    <xf numFmtId="9" fontId="25" fillId="64" borderId="0" xfId="310" applyFill="1" applyBorder="1" applyAlignment="1">
      <alignment horizontal="right"/>
    </xf>
    <xf numFmtId="0" fontId="190" fillId="59" borderId="0" xfId="0" applyFont="1" applyFill="1"/>
    <xf numFmtId="171" fontId="25" fillId="59" borderId="0" xfId="310" applyNumberFormat="1" applyFill="1" applyBorder="1" applyAlignment="1">
      <alignment horizontal="right"/>
    </xf>
    <xf numFmtId="169" fontId="25" fillId="59" borderId="0" xfId="179" applyNumberFormat="1" applyFill="1" applyBorder="1" applyAlignment="1">
      <alignment horizontal="right"/>
    </xf>
    <xf numFmtId="171" fontId="236" fillId="63" borderId="0" xfId="310" applyNumberFormat="1" applyFont="1" applyFill="1" applyBorder="1" applyAlignment="1">
      <alignment horizontal="right"/>
    </xf>
    <xf numFmtId="171" fontId="236" fillId="0" borderId="0" xfId="310" applyNumberFormat="1" applyFont="1" applyFill="1" applyBorder="1" applyAlignment="1">
      <alignment horizontal="right"/>
    </xf>
    <xf numFmtId="171" fontId="237" fillId="63" borderId="0" xfId="310" applyNumberFormat="1" applyFont="1" applyFill="1" applyBorder="1" applyAlignment="1">
      <alignment horizontal="right"/>
    </xf>
    <xf numFmtId="171" fontId="22" fillId="0" borderId="0" xfId="0" applyNumberFormat="1" applyFont="1" applyAlignment="1">
      <alignment horizontal="right"/>
    </xf>
    <xf numFmtId="169" fontId="238" fillId="64" borderId="0" xfId="179" applyNumberFormat="1" applyFont="1" applyFill="1" applyBorder="1" applyAlignment="1">
      <alignment horizontal="right"/>
    </xf>
    <xf numFmtId="169" fontId="238" fillId="64" borderId="0" xfId="179" applyNumberFormat="1" applyFont="1" applyFill="1" applyBorder="1"/>
    <xf numFmtId="169" fontId="238" fillId="0" borderId="0" xfId="179" applyNumberFormat="1" applyFont="1" applyFill="1" applyBorder="1" applyAlignment="1">
      <alignment horizontal="right"/>
    </xf>
    <xf numFmtId="0" fontId="22" fillId="64" borderId="31" xfId="0" applyFont="1" applyFill="1" applyBorder="1" applyAlignment="1">
      <alignment horizontal="right"/>
    </xf>
    <xf numFmtId="0" fontId="190" fillId="73" borderId="81" xfId="0" applyFont="1" applyFill="1" applyBorder="1" applyAlignment="1">
      <alignment horizontal="left" indent="1"/>
    </xf>
    <xf numFmtId="0" fontId="198" fillId="0" borderId="81" xfId="0" applyFont="1" applyBorder="1" applyAlignment="1">
      <alignment horizontal="left" indent="1"/>
    </xf>
    <xf numFmtId="0" fontId="25" fillId="0" borderId="81" xfId="0" applyFont="1" applyBorder="1" applyAlignment="1">
      <alignment horizontal="left" indent="2"/>
    </xf>
    <xf numFmtId="0" fontId="25" fillId="0" borderId="83" xfId="0" applyFont="1" applyBorder="1" applyAlignment="1">
      <alignment horizontal="left" indent="1"/>
    </xf>
    <xf numFmtId="169" fontId="25" fillId="0" borderId="31" xfId="179" applyNumberFormat="1" applyBorder="1"/>
    <xf numFmtId="171" fontId="201" fillId="64" borderId="0" xfId="310" applyNumberFormat="1" applyFont="1" applyFill="1" applyBorder="1" applyAlignment="1">
      <alignment horizontal="right"/>
    </xf>
    <xf numFmtId="171" fontId="239" fillId="63" borderId="0" xfId="310" applyNumberFormat="1" applyFont="1" applyFill="1" applyBorder="1"/>
    <xf numFmtId="171" fontId="239" fillId="63" borderId="0" xfId="310" applyNumberFormat="1" applyFont="1" applyFill="1" applyBorder="1" applyAlignment="1">
      <alignment horizontal="right"/>
    </xf>
    <xf numFmtId="169" fontId="237" fillId="63" borderId="0" xfId="179" applyNumberFormat="1" applyFont="1" applyFill="1" applyBorder="1" applyAlignment="1">
      <alignment horizontal="right"/>
    </xf>
    <xf numFmtId="0" fontId="239" fillId="0" borderId="0" xfId="0" applyFont="1" applyAlignment="1">
      <alignment horizontal="left" indent="1"/>
    </xf>
    <xf numFmtId="1" fontId="239" fillId="0" borderId="0" xfId="0" applyNumberFormat="1" applyFont="1" applyAlignment="1">
      <alignment horizontal="left" indent="1"/>
    </xf>
    <xf numFmtId="171" fontId="237" fillId="63" borderId="0" xfId="310" applyNumberFormat="1" applyFont="1" applyFill="1" applyBorder="1"/>
    <xf numFmtId="171" fontId="122" fillId="0" borderId="25" xfId="310" applyNumberFormat="1" applyFont="1" applyFill="1" applyBorder="1" applyAlignment="1" applyProtection="1">
      <alignment vertical="center"/>
    </xf>
    <xf numFmtId="171" fontId="122" fillId="0" borderId="0" xfId="310" applyNumberFormat="1" applyFont="1" applyFill="1" applyBorder="1" applyAlignment="1" applyProtection="1">
      <alignment vertical="center"/>
    </xf>
    <xf numFmtId="171" fontId="122" fillId="0" borderId="0" xfId="310" applyNumberFormat="1" applyFont="1" applyFill="1" applyBorder="1" applyAlignment="1" applyProtection="1">
      <alignment horizontal="right" vertical="center"/>
    </xf>
    <xf numFmtId="171" fontId="122" fillId="0" borderId="0" xfId="0" applyNumberFormat="1" applyFont="1" applyAlignment="1">
      <alignment horizontal="right" vertical="center"/>
    </xf>
    <xf numFmtId="171" fontId="127" fillId="0" borderId="25" xfId="310" applyNumberFormat="1" applyFont="1" applyFill="1" applyBorder="1" applyAlignment="1" applyProtection="1">
      <alignment vertical="center"/>
    </xf>
    <xf numFmtId="171" fontId="127" fillId="0" borderId="0" xfId="310" applyNumberFormat="1" applyFont="1" applyFill="1" applyBorder="1" applyAlignment="1" applyProtection="1">
      <alignment vertical="center"/>
    </xf>
    <xf numFmtId="171" fontId="127" fillId="0" borderId="31" xfId="310" applyNumberFormat="1" applyFont="1" applyFill="1" applyBorder="1" applyAlignment="1" applyProtection="1">
      <alignment vertical="center"/>
    </xf>
    <xf numFmtId="171" fontId="199" fillId="0" borderId="25" xfId="310" applyNumberFormat="1" applyFont="1" applyFill="1" applyBorder="1" applyAlignment="1" applyProtection="1">
      <alignment vertical="center"/>
    </xf>
    <xf numFmtId="171" fontId="199" fillId="0" borderId="0" xfId="310" applyNumberFormat="1" applyFont="1" applyFill="1" applyBorder="1" applyAlignment="1" applyProtection="1">
      <alignment vertical="center"/>
    </xf>
    <xf numFmtId="171" fontId="199" fillId="0" borderId="31" xfId="310" applyNumberFormat="1" applyFont="1" applyFill="1" applyBorder="1" applyAlignment="1" applyProtection="1">
      <alignment vertical="center"/>
    </xf>
    <xf numFmtId="171" fontId="199" fillId="0" borderId="24" xfId="310" applyNumberFormat="1" applyFont="1" applyFill="1" applyBorder="1" applyAlignment="1" applyProtection="1">
      <alignment vertical="center"/>
    </xf>
    <xf numFmtId="171" fontId="122" fillId="0" borderId="24" xfId="310" applyNumberFormat="1" applyFont="1" applyFill="1" applyBorder="1" applyAlignment="1" applyProtection="1">
      <alignment horizontal="right" vertical="center"/>
    </xf>
    <xf numFmtId="0" fontId="122" fillId="0" borderId="26" xfId="0" applyFont="1" applyBorder="1" applyAlignment="1">
      <alignment vertical="center"/>
    </xf>
    <xf numFmtId="0" fontId="122" fillId="0" borderId="28" xfId="0" applyFont="1" applyBorder="1" applyAlignment="1">
      <alignment vertical="center"/>
    </xf>
    <xf numFmtId="0" fontId="122" fillId="0" borderId="28" xfId="0" applyFont="1" applyBorder="1" applyAlignment="1">
      <alignment horizontal="right" vertical="center"/>
    </xf>
    <xf numFmtId="183" fontId="122" fillId="0" borderId="29" xfId="0" applyNumberFormat="1" applyFont="1" applyBorder="1" applyAlignment="1">
      <alignment vertical="center"/>
    </xf>
    <xf numFmtId="183" fontId="25" fillId="60" borderId="0" xfId="179" applyNumberFormat="1" applyFill="1" applyBorder="1" applyAlignment="1" applyProtection="1">
      <alignment horizontal="right" vertical="center"/>
    </xf>
    <xf numFmtId="183" fontId="25" fillId="60" borderId="0" xfId="0" applyNumberFormat="1" applyFont="1" applyFill="1" applyAlignment="1">
      <alignment horizontal="right" vertical="center"/>
    </xf>
    <xf numFmtId="10" fontId="121" fillId="43" borderId="0" xfId="310" applyNumberFormat="1" applyFont="1" applyFill="1" applyBorder="1" applyAlignment="1">
      <alignment vertical="center"/>
    </xf>
    <xf numFmtId="0" fontId="241" fillId="43" borderId="25" xfId="0" applyFont="1" applyFill="1" applyBorder="1" applyAlignment="1">
      <alignment horizontal="left" vertical="center" indent="2"/>
    </xf>
    <xf numFmtId="0" fontId="22" fillId="0" borderId="20" xfId="0" applyFont="1" applyBorder="1" applyAlignment="1">
      <alignment vertical="center"/>
    </xf>
    <xf numFmtId="0" fontId="22" fillId="0" borderId="9" xfId="0" applyFont="1" applyBorder="1" applyAlignment="1">
      <alignment vertical="center"/>
    </xf>
    <xf numFmtId="0" fontId="22" fillId="0" borderId="9" xfId="179" applyNumberFormat="1" applyFont="1" applyBorder="1" applyAlignment="1">
      <alignment horizontal="right" vertical="center"/>
    </xf>
    <xf numFmtId="0" fontId="22" fillId="0" borderId="9" xfId="179" applyNumberFormat="1" applyFont="1" applyFill="1" applyBorder="1" applyAlignment="1">
      <alignment horizontal="right" vertical="center"/>
    </xf>
    <xf numFmtId="171" fontId="121" fillId="0" borderId="0" xfId="310" applyNumberFormat="1" applyFont="1" applyBorder="1" applyAlignment="1">
      <alignment horizontal="right" vertical="center"/>
    </xf>
    <xf numFmtId="0" fontId="20" fillId="0" borderId="24" xfId="0" applyFont="1" applyBorder="1" applyAlignment="1">
      <alignment horizontal="left" indent="1"/>
    </xf>
    <xf numFmtId="169" fontId="20" fillId="0" borderId="0" xfId="179" applyNumberFormat="1" applyFont="1" applyFill="1" applyBorder="1"/>
    <xf numFmtId="169" fontId="20" fillId="0" borderId="31" xfId="179" applyNumberFormat="1" applyFont="1" applyFill="1" applyBorder="1"/>
    <xf numFmtId="169" fontId="20" fillId="63" borderId="25" xfId="179" applyNumberFormat="1" applyFont="1" applyFill="1" applyBorder="1" applyAlignment="1" applyProtection="1">
      <alignment horizontal="right"/>
    </xf>
    <xf numFmtId="169" fontId="20" fillId="63" borderId="0" xfId="179" applyNumberFormat="1" applyFont="1" applyFill="1" applyBorder="1" applyAlignment="1" applyProtection="1">
      <alignment horizontal="right"/>
    </xf>
    <xf numFmtId="169" fontId="20" fillId="0" borderId="31" xfId="179" applyNumberFormat="1" applyFont="1" applyFill="1" applyBorder="1" applyAlignment="1">
      <alignment horizontal="right"/>
    </xf>
    <xf numFmtId="168" fontId="20" fillId="63" borderId="25" xfId="179" applyFont="1" applyFill="1" applyBorder="1" applyAlignment="1">
      <alignment horizontal="right"/>
    </xf>
    <xf numFmtId="168" fontId="20" fillId="63" borderId="0" xfId="179" applyFont="1" applyFill="1" applyBorder="1" applyAlignment="1">
      <alignment horizontal="right"/>
    </xf>
    <xf numFmtId="169" fontId="20" fillId="63" borderId="25" xfId="179" applyNumberFormat="1" applyFont="1" applyFill="1" applyBorder="1" applyAlignment="1">
      <alignment horizontal="right"/>
    </xf>
    <xf numFmtId="169" fontId="20" fillId="63" borderId="0" xfId="179" applyNumberFormat="1" applyFont="1" applyFill="1" applyBorder="1" applyAlignment="1">
      <alignment horizontal="right"/>
    </xf>
    <xf numFmtId="3" fontId="22" fillId="63" borderId="0" xfId="0" applyNumberFormat="1" applyFont="1" applyFill="1" applyAlignment="1">
      <alignment horizontal="right"/>
    </xf>
    <xf numFmtId="0" fontId="239" fillId="0" borderId="0" xfId="0" applyFont="1"/>
    <xf numFmtId="0" fontId="237" fillId="0" borderId="0" xfId="0" applyFont="1"/>
    <xf numFmtId="1" fontId="242" fillId="83" borderId="0" xfId="0" applyNumberFormat="1" applyFont="1" applyFill="1"/>
    <xf numFmtId="0" fontId="22" fillId="88" borderId="28" xfId="0" applyFont="1" applyFill="1" applyBorder="1" applyAlignment="1">
      <alignment vertical="center"/>
    </xf>
    <xf numFmtId="0" fontId="22" fillId="70" borderId="0" xfId="0" applyFont="1" applyFill="1" applyAlignment="1">
      <alignment horizontal="right"/>
    </xf>
    <xf numFmtId="0" fontId="22" fillId="77" borderId="27" xfId="0" applyFont="1" applyFill="1" applyBorder="1" applyAlignment="1">
      <alignment horizontal="right"/>
    </xf>
    <xf numFmtId="0" fontId="25" fillId="71" borderId="26" xfId="0" applyFont="1" applyFill="1" applyBorder="1"/>
    <xf numFmtId="0" fontId="22" fillId="94" borderId="26" xfId="0" applyFont="1" applyFill="1" applyBorder="1"/>
    <xf numFmtId="0" fontId="22" fillId="94" borderId="28" xfId="0" applyFont="1" applyFill="1" applyBorder="1"/>
    <xf numFmtId="0" fontId="22" fillId="94" borderId="29" xfId="0" applyFont="1" applyFill="1" applyBorder="1"/>
    <xf numFmtId="0" fontId="22" fillId="94" borderId="0" xfId="0" applyFont="1" applyFill="1" applyAlignment="1">
      <alignment horizontal="right"/>
    </xf>
    <xf numFmtId="0" fontId="22" fillId="94" borderId="31" xfId="0" applyFont="1" applyFill="1" applyBorder="1" applyAlignment="1">
      <alignment horizontal="right"/>
    </xf>
    <xf numFmtId="0" fontId="22" fillId="88" borderId="26" xfId="0" applyFont="1" applyFill="1" applyBorder="1" applyAlignment="1">
      <alignment horizontal="right"/>
    </xf>
    <xf numFmtId="0" fontId="22" fillId="88" borderId="28" xfId="0" applyFont="1" applyFill="1" applyBorder="1" applyAlignment="1">
      <alignment horizontal="right"/>
    </xf>
    <xf numFmtId="0" fontId="22" fillId="70" borderId="32" xfId="0" applyFont="1" applyFill="1" applyBorder="1" applyAlignment="1">
      <alignment horizontal="right"/>
    </xf>
    <xf numFmtId="0" fontId="22" fillId="70" borderId="27" xfId="0" applyFont="1" applyFill="1" applyBorder="1" applyAlignment="1">
      <alignment horizontal="right"/>
    </xf>
    <xf numFmtId="0" fontId="121" fillId="70" borderId="5" xfId="0" applyFont="1" applyFill="1" applyBorder="1" applyAlignment="1">
      <alignment horizontal="left"/>
    </xf>
    <xf numFmtId="0" fontId="22" fillId="94" borderId="27" xfId="0" applyFont="1" applyFill="1" applyBorder="1" applyAlignment="1">
      <alignment horizontal="right"/>
    </xf>
    <xf numFmtId="0" fontId="22" fillId="94" borderId="33" xfId="0" applyFont="1" applyFill="1" applyBorder="1" applyAlignment="1">
      <alignment horizontal="right"/>
    </xf>
    <xf numFmtId="0" fontId="194" fillId="71" borderId="25" xfId="0" applyFont="1" applyFill="1" applyBorder="1"/>
    <xf numFmtId="0" fontId="22" fillId="70" borderId="25" xfId="0" applyFont="1" applyFill="1" applyBorder="1"/>
    <xf numFmtId="0" fontId="22" fillId="70" borderId="33" xfId="0" applyFont="1" applyFill="1" applyBorder="1" applyAlignment="1">
      <alignment horizontal="center"/>
    </xf>
    <xf numFmtId="0" fontId="22" fillId="70" borderId="25" xfId="0" applyFont="1" applyFill="1" applyBorder="1" applyAlignment="1">
      <alignment horizontal="center"/>
    </xf>
    <xf numFmtId="0" fontId="22" fillId="70" borderId="0" xfId="0" applyFont="1" applyFill="1" applyAlignment="1">
      <alignment horizontal="center"/>
    </xf>
    <xf numFmtId="172" fontId="22" fillId="88" borderId="26" xfId="0" applyNumberFormat="1" applyFont="1" applyFill="1" applyBorder="1" applyAlignment="1">
      <alignment horizontal="right"/>
    </xf>
    <xf numFmtId="172" fontId="22" fillId="88" borderId="28" xfId="0" applyNumberFormat="1" applyFont="1" applyFill="1" applyBorder="1" applyAlignment="1">
      <alignment horizontal="right"/>
    </xf>
    <xf numFmtId="0" fontId="22" fillId="94" borderId="28" xfId="0" applyFont="1" applyFill="1" applyBorder="1" applyAlignment="1">
      <alignment horizontal="left"/>
    </xf>
    <xf numFmtId="0" fontId="22" fillId="94" borderId="29" xfId="0" applyFont="1" applyFill="1" applyBorder="1" applyAlignment="1">
      <alignment horizontal="left"/>
    </xf>
    <xf numFmtId="0" fontId="22" fillId="94" borderId="27" xfId="0" applyFont="1" applyFill="1" applyBorder="1" applyAlignment="1">
      <alignment horizontal="center"/>
    </xf>
    <xf numFmtId="0" fontId="22" fillId="94" borderId="33" xfId="0" applyFont="1" applyFill="1" applyBorder="1" applyAlignment="1">
      <alignment horizontal="center"/>
    </xf>
    <xf numFmtId="169" fontId="25" fillId="57" borderId="0" xfId="179" applyNumberFormat="1" applyFill="1" applyBorder="1" applyAlignment="1" applyProtection="1">
      <alignment horizontal="center"/>
    </xf>
    <xf numFmtId="184" fontId="242" fillId="75" borderId="0" xfId="0" applyNumberFormat="1" applyFont="1" applyFill="1" applyAlignment="1">
      <alignment horizontal="center"/>
    </xf>
    <xf numFmtId="0" fontId="25" fillId="0" borderId="24" xfId="0" applyFont="1" applyBorder="1" applyAlignment="1">
      <alignment horizontal="left" indent="1"/>
    </xf>
    <xf numFmtId="0" fontId="22" fillId="0" borderId="24" xfId="0" applyFont="1" applyBorder="1" applyAlignment="1">
      <alignment horizontal="left" indent="1"/>
    </xf>
    <xf numFmtId="0" fontId="20" fillId="0" borderId="24" xfId="0" applyFont="1" applyBorder="1" applyAlignment="1">
      <alignment horizontal="left" indent="2"/>
    </xf>
    <xf numFmtId="0" fontId="22" fillId="59" borderId="24" xfId="0" applyFont="1" applyFill="1" applyBorder="1" applyAlignment="1">
      <alignment horizontal="left" indent="1"/>
    </xf>
    <xf numFmtId="0" fontId="128" fillId="0" borderId="24" xfId="0" applyFont="1" applyBorder="1" applyAlignment="1">
      <alignment horizontal="left" indent="2"/>
    </xf>
    <xf numFmtId="0" fontId="160" fillId="59" borderId="24" xfId="0" applyFont="1" applyFill="1" applyBorder="1" applyAlignment="1">
      <alignment horizontal="left" indent="1"/>
    </xf>
    <xf numFmtId="4" fontId="189" fillId="0" borderId="0" xfId="0" applyNumberFormat="1" applyFont="1"/>
    <xf numFmtId="0" fontId="22" fillId="90" borderId="25" xfId="0" applyFont="1" applyFill="1" applyBorder="1" applyAlignment="1">
      <alignment horizontal="left"/>
    </xf>
    <xf numFmtId="0" fontId="22" fillId="90" borderId="0" xfId="0" applyFont="1" applyFill="1" applyAlignment="1">
      <alignment horizontal="left"/>
    </xf>
    <xf numFmtId="0" fontId="22" fillId="90" borderId="0" xfId="0" applyFont="1" applyFill="1" applyAlignment="1">
      <alignment horizontal="center"/>
    </xf>
    <xf numFmtId="0" fontId="22" fillId="64" borderId="25" xfId="0" applyFont="1" applyFill="1" applyBorder="1" applyAlignment="1">
      <alignment horizontal="center"/>
    </xf>
    <xf numFmtId="0" fontId="22" fillId="64" borderId="0" xfId="0" applyFont="1" applyFill="1" applyAlignment="1">
      <alignment horizontal="center"/>
    </xf>
    <xf numFmtId="0" fontId="22" fillId="64" borderId="31" xfId="0" applyFont="1" applyFill="1" applyBorder="1" applyAlignment="1">
      <alignment horizontal="center"/>
    </xf>
    <xf numFmtId="171" fontId="25" fillId="64" borderId="0" xfId="310" applyNumberFormat="1" applyFill="1" applyBorder="1" applyAlignment="1" applyProtection="1"/>
    <xf numFmtId="171" fontId="25" fillId="64" borderId="31" xfId="310" applyNumberFormat="1" applyFill="1" applyBorder="1" applyAlignment="1" applyProtection="1"/>
    <xf numFmtId="0" fontId="22" fillId="64" borderId="25" xfId="0" applyFont="1" applyFill="1" applyBorder="1" applyAlignment="1">
      <alignment horizontal="left"/>
    </xf>
    <xf numFmtId="3" fontId="20" fillId="90" borderId="0" xfId="0" applyNumberFormat="1" applyFont="1" applyFill="1" applyAlignment="1">
      <alignment horizontal="right"/>
    </xf>
    <xf numFmtId="10" fontId="25" fillId="64" borderId="25" xfId="310" applyNumberFormat="1" applyFill="1" applyBorder="1" applyAlignment="1" applyProtection="1"/>
    <xf numFmtId="10" fontId="25" fillId="64" borderId="0" xfId="310" applyNumberFormat="1" applyFill="1" applyBorder="1" applyAlignment="1" applyProtection="1"/>
    <xf numFmtId="10" fontId="25" fillId="64" borderId="31" xfId="310" applyNumberFormat="1" applyFill="1" applyBorder="1" applyAlignment="1" applyProtection="1"/>
    <xf numFmtId="171" fontId="245" fillId="75" borderId="0" xfId="310" applyNumberFormat="1" applyFont="1" applyFill="1" applyAlignment="1">
      <alignment horizontal="left" indent="1"/>
    </xf>
    <xf numFmtId="171" fontId="219" fillId="78" borderId="0" xfId="310" applyNumberFormat="1" applyFont="1" applyFill="1" applyBorder="1" applyAlignment="1">
      <alignment horizontal="left" vertical="center" indent="1"/>
    </xf>
    <xf numFmtId="171" fontId="219" fillId="75" borderId="0" xfId="310" applyNumberFormat="1" applyFont="1" applyFill="1" applyAlignment="1">
      <alignment horizontal="left" indent="1"/>
    </xf>
    <xf numFmtId="3" fontId="121" fillId="0" borderId="24" xfId="0" applyNumberFormat="1" applyFont="1" applyBorder="1" applyAlignment="1">
      <alignment horizontal="left" indent="1"/>
    </xf>
    <xf numFmtId="0" fontId="130" fillId="0" borderId="24" xfId="0" applyFont="1" applyBorder="1" applyAlignment="1">
      <alignment horizontal="left" indent="1"/>
    </xf>
    <xf numFmtId="0" fontId="130" fillId="0" borderId="13" xfId="0" applyFont="1" applyBorder="1"/>
    <xf numFmtId="3" fontId="22" fillId="0" borderId="9" xfId="0" applyNumberFormat="1" applyFont="1" applyBorder="1" applyAlignment="1">
      <alignment horizontal="right"/>
    </xf>
    <xf numFmtId="3" fontId="22" fillId="0" borderId="30" xfId="0" applyNumberFormat="1" applyFont="1" applyBorder="1" applyAlignment="1">
      <alignment horizontal="right"/>
    </xf>
    <xf numFmtId="3" fontId="22" fillId="0" borderId="20" xfId="0" applyNumberFormat="1" applyFont="1" applyBorder="1" applyAlignment="1">
      <alignment horizontal="right"/>
    </xf>
    <xf numFmtId="0" fontId="22" fillId="43" borderId="25" xfId="0" applyFont="1" applyFill="1" applyBorder="1" applyAlignment="1">
      <alignment horizontal="left" indent="1"/>
    </xf>
    <xf numFmtId="0" fontId="132" fillId="43" borderId="25" xfId="0" applyFont="1" applyFill="1" applyBorder="1" applyAlignment="1">
      <alignment horizontal="left" indent="1"/>
    </xf>
    <xf numFmtId="0" fontId="160" fillId="43" borderId="25" xfId="0" applyFont="1" applyFill="1" applyBorder="1" applyAlignment="1">
      <alignment horizontal="left" indent="1"/>
    </xf>
    <xf numFmtId="0" fontId="25" fillId="57" borderId="25" xfId="0" applyFont="1" applyFill="1" applyBorder="1" applyAlignment="1">
      <alignment horizontal="left" indent="1"/>
    </xf>
    <xf numFmtId="0" fontId="242" fillId="0" borderId="0" xfId="0" applyFont="1"/>
    <xf numFmtId="0" fontId="243" fillId="0" borderId="0" xfId="0" applyFont="1"/>
    <xf numFmtId="173" fontId="242" fillId="0" borderId="0" xfId="0" applyNumberFormat="1" applyFont="1"/>
    <xf numFmtId="3" fontId="243" fillId="0" borderId="0" xfId="0" applyNumberFormat="1" applyFont="1"/>
    <xf numFmtId="0" fontId="22" fillId="96" borderId="25" xfId="0" applyFont="1" applyFill="1" applyBorder="1" applyAlignment="1">
      <alignment vertical="center"/>
    </xf>
    <xf numFmtId="3" fontId="22" fillId="96" borderId="25" xfId="0" applyNumberFormat="1" applyFont="1" applyFill="1" applyBorder="1" applyAlignment="1">
      <alignment vertical="center"/>
    </xf>
    <xf numFmtId="3" fontId="22" fillId="96" borderId="0" xfId="0" applyNumberFormat="1" applyFont="1" applyFill="1" applyAlignment="1">
      <alignment vertical="center"/>
    </xf>
    <xf numFmtId="183" fontId="22" fillId="96" borderId="0" xfId="179" applyNumberFormat="1" applyFont="1" applyFill="1" applyBorder="1" applyAlignment="1" applyProtection="1">
      <alignment horizontal="right" vertical="center"/>
    </xf>
    <xf numFmtId="183" fontId="22" fillId="58" borderId="25" xfId="0" applyNumberFormat="1" applyFont="1" applyFill="1" applyBorder="1" applyAlignment="1">
      <alignment horizontal="right" vertical="center"/>
    </xf>
    <xf numFmtId="183" fontId="22" fillId="58" borderId="0" xfId="0" applyNumberFormat="1" applyFont="1" applyFill="1" applyAlignment="1">
      <alignment horizontal="right" vertical="center"/>
    </xf>
    <xf numFmtId="183" fontId="22" fillId="58" borderId="31" xfId="0" applyNumberFormat="1" applyFont="1" applyFill="1" applyBorder="1" applyAlignment="1">
      <alignment horizontal="right" vertical="center"/>
    </xf>
    <xf numFmtId="0" fontId="25" fillId="0" borderId="24" xfId="244" applyFont="1" applyBorder="1" applyAlignment="1">
      <alignment horizontal="left" indent="1"/>
    </xf>
    <xf numFmtId="169" fontId="25" fillId="64" borderId="0" xfId="0" applyNumberFormat="1" applyFont="1" applyFill="1"/>
    <xf numFmtId="0" fontId="224" fillId="78" borderId="25" xfId="0" applyFont="1" applyFill="1" applyBorder="1" applyAlignment="1">
      <alignment horizontal="left" vertical="center" indent="1"/>
    </xf>
    <xf numFmtId="184" fontId="190" fillId="78" borderId="0" xfId="181" applyNumberFormat="1" applyFont="1" applyFill="1" applyAlignment="1">
      <alignment horizontal="right" vertical="center"/>
    </xf>
    <xf numFmtId="0" fontId="216" fillId="78" borderId="25" xfId="0" applyFont="1" applyFill="1" applyBorder="1" applyAlignment="1">
      <alignment horizontal="left" vertical="center" indent="1"/>
    </xf>
    <xf numFmtId="184" fontId="198" fillId="78" borderId="0" xfId="181" applyNumberFormat="1" applyFont="1" applyFill="1" applyAlignment="1">
      <alignment horizontal="right" vertical="center"/>
    </xf>
    <xf numFmtId="169" fontId="198" fillId="0" borderId="0" xfId="0" applyNumberFormat="1" applyFont="1"/>
    <xf numFmtId="0" fontId="224" fillId="95" borderId="25" xfId="0" applyFont="1" applyFill="1" applyBorder="1" applyAlignment="1">
      <alignment horizontal="left" vertical="center" indent="1"/>
    </xf>
    <xf numFmtId="0" fontId="25" fillId="57" borderId="0" xfId="0" applyFont="1" applyFill="1"/>
    <xf numFmtId="184" fontId="190" fillId="95" borderId="0" xfId="181" applyNumberFormat="1" applyFont="1" applyFill="1" applyAlignment="1">
      <alignment horizontal="right" vertical="center"/>
    </xf>
    <xf numFmtId="184" fontId="190" fillId="57" borderId="0" xfId="0" applyNumberFormat="1" applyFont="1" applyFill="1"/>
    <xf numFmtId="0" fontId="225" fillId="78" borderId="25" xfId="0" applyFont="1" applyFill="1" applyBorder="1" applyAlignment="1">
      <alignment horizontal="left" vertical="center" indent="1"/>
    </xf>
    <xf numFmtId="184" fontId="225" fillId="78" borderId="0" xfId="0" applyNumberFormat="1" applyFont="1" applyFill="1" applyAlignment="1">
      <alignment vertical="center"/>
    </xf>
    <xf numFmtId="184" fontId="225" fillId="84" borderId="0" xfId="0" applyNumberFormat="1" applyFont="1" applyFill="1" applyAlignment="1">
      <alignment vertical="center"/>
    </xf>
    <xf numFmtId="0" fontId="201" fillId="78" borderId="25" xfId="0" applyFont="1" applyFill="1" applyBorder="1" applyAlignment="1">
      <alignment horizontal="left" vertical="center" indent="1"/>
    </xf>
    <xf numFmtId="0" fontId="216" fillId="78" borderId="25" xfId="0" applyFont="1" applyFill="1" applyBorder="1" applyAlignment="1">
      <alignment horizontal="left" vertical="center" indent="2"/>
    </xf>
    <xf numFmtId="184" fontId="198" fillId="72" borderId="0" xfId="0" applyNumberFormat="1" applyFont="1" applyFill="1"/>
    <xf numFmtId="0" fontId="201" fillId="78" borderId="25" xfId="0" applyFont="1" applyFill="1" applyBorder="1" applyAlignment="1">
      <alignment horizontal="left" vertical="center" indent="3"/>
    </xf>
    <xf numFmtId="0" fontId="201" fillId="78" borderId="32" xfId="0" applyFont="1" applyFill="1" applyBorder="1" applyAlignment="1">
      <alignment horizontal="left" vertical="center" indent="3"/>
    </xf>
    <xf numFmtId="171" fontId="201" fillId="78" borderId="27" xfId="310" applyNumberFormat="1" applyFont="1" applyFill="1" applyBorder="1" applyAlignment="1">
      <alignment horizontal="right" vertical="center"/>
    </xf>
    <xf numFmtId="171" fontId="201" fillId="75" borderId="27" xfId="310" applyNumberFormat="1" applyFont="1" applyFill="1" applyBorder="1" applyAlignment="1">
      <alignment horizontal="right" vertical="center"/>
    </xf>
    <xf numFmtId="171" fontId="201" fillId="78" borderId="0" xfId="0" applyNumberFormat="1" applyFont="1" applyFill="1" applyAlignment="1">
      <alignment horizontal="right" vertical="center"/>
    </xf>
    <xf numFmtId="0" fontId="230" fillId="78" borderId="25" xfId="0" applyFont="1" applyFill="1" applyBorder="1" applyAlignment="1">
      <alignment horizontal="left" vertical="center" indent="2"/>
    </xf>
    <xf numFmtId="171" fontId="230" fillId="78" borderId="0" xfId="310" applyNumberFormat="1" applyFont="1" applyFill="1" applyBorder="1" applyAlignment="1">
      <alignment horizontal="right" vertical="center"/>
    </xf>
    <xf numFmtId="171" fontId="201" fillId="84" borderId="0" xfId="0" applyNumberFormat="1" applyFont="1" applyFill="1" applyAlignment="1">
      <alignment horizontal="right" vertical="center"/>
    </xf>
    <xf numFmtId="171" fontId="201" fillId="78" borderId="27" xfId="0" applyNumberFormat="1" applyFont="1" applyFill="1" applyBorder="1" applyAlignment="1">
      <alignment horizontal="right" vertical="center"/>
    </xf>
    <xf numFmtId="171" fontId="201" fillId="84" borderId="27" xfId="0" applyNumberFormat="1" applyFont="1" applyFill="1" applyBorder="1" applyAlignment="1">
      <alignment horizontal="right" vertical="center"/>
    </xf>
    <xf numFmtId="0" fontId="225" fillId="78" borderId="32" xfId="0" applyFont="1" applyFill="1" applyBorder="1" applyAlignment="1">
      <alignment horizontal="left" vertical="center" indent="1"/>
    </xf>
    <xf numFmtId="184" fontId="225" fillId="84" borderId="27" xfId="0" applyNumberFormat="1" applyFont="1" applyFill="1" applyBorder="1" applyAlignment="1">
      <alignment vertical="center"/>
    </xf>
    <xf numFmtId="184" fontId="190" fillId="84" borderId="0" xfId="181" applyNumberFormat="1" applyFont="1" applyFill="1" applyAlignment="1">
      <alignment horizontal="right" vertical="center"/>
    </xf>
    <xf numFmtId="0" fontId="22" fillId="60" borderId="26" xfId="0" applyFont="1" applyFill="1" applyBorder="1"/>
    <xf numFmtId="169" fontId="22" fillId="60" borderId="28" xfId="179" applyNumberFormat="1" applyFont="1" applyFill="1" applyBorder="1" applyAlignment="1" applyProtection="1"/>
    <xf numFmtId="0" fontId="132" fillId="60" borderId="32" xfId="0" applyFont="1" applyFill="1" applyBorder="1"/>
    <xf numFmtId="169" fontId="25" fillId="60" borderId="27" xfId="179" applyNumberFormat="1" applyFill="1" applyBorder="1"/>
    <xf numFmtId="0" fontId="123" fillId="0" borderId="0" xfId="0" applyFont="1" applyAlignment="1">
      <alignment horizontal="left" indent="1"/>
    </xf>
    <xf numFmtId="171" fontId="25" fillId="0" borderId="0" xfId="310" applyNumberFormat="1" applyFill="1" applyBorder="1" applyAlignment="1" applyProtection="1">
      <alignment horizontal="left" indent="1"/>
    </xf>
    <xf numFmtId="171" fontId="25" fillId="0" borderId="31" xfId="310" applyNumberFormat="1" applyFill="1" applyBorder="1" applyAlignment="1" applyProtection="1">
      <alignment horizontal="left" indent="1"/>
    </xf>
    <xf numFmtId="171" fontId="25" fillId="83" borderId="0" xfId="310" applyNumberFormat="1" applyFill="1" applyBorder="1" applyAlignment="1" applyProtection="1">
      <alignment horizontal="right"/>
    </xf>
    <xf numFmtId="171" fontId="25" fillId="83" borderId="31" xfId="310" applyNumberFormat="1" applyFill="1" applyBorder="1" applyAlignment="1" applyProtection="1">
      <alignment horizontal="right"/>
    </xf>
    <xf numFmtId="0" fontId="20" fillId="0" borderId="25" xfId="0" applyFont="1" applyBorder="1" applyAlignment="1">
      <alignment horizontal="left" indent="1"/>
    </xf>
    <xf numFmtId="0" fontId="25" fillId="0" borderId="24" xfId="244" applyNumberFormat="1" applyFont="1" applyFill="1" applyBorder="1" applyAlignment="1" applyProtection="1">
      <alignment horizontal="left" indent="1"/>
    </xf>
    <xf numFmtId="171" fontId="240" fillId="84" borderId="0" xfId="310" applyNumberFormat="1" applyFont="1" applyFill="1" applyBorder="1" applyAlignment="1">
      <alignment horizontal="right" vertical="center"/>
    </xf>
    <xf numFmtId="186" fontId="22" fillId="0" borderId="0" xfId="179" applyNumberFormat="1" applyFont="1" applyFill="1" applyBorder="1" applyAlignment="1" applyProtection="1">
      <alignment horizontal="left"/>
    </xf>
    <xf numFmtId="0" fontId="240" fillId="0" borderId="0" xfId="0" applyFont="1" applyAlignment="1">
      <alignment horizontal="left"/>
    </xf>
    <xf numFmtId="0" fontId="244" fillId="0" borderId="0" xfId="0" applyFont="1" applyAlignment="1">
      <alignment horizontal="left"/>
    </xf>
    <xf numFmtId="0" fontId="20" fillId="64" borderId="24" xfId="0" applyFont="1" applyFill="1" applyBorder="1" applyAlignment="1">
      <alignment horizontal="left" indent="1"/>
    </xf>
    <xf numFmtId="0" fontId="22" fillId="64" borderId="24" xfId="0" applyFont="1" applyFill="1" applyBorder="1"/>
    <xf numFmtId="226" fontId="25" fillId="0" borderId="0" xfId="179" applyNumberFormat="1"/>
    <xf numFmtId="169" fontId="25" fillId="0" borderId="0" xfId="179" applyNumberFormat="1" applyFill="1" applyBorder="1" applyAlignment="1" applyProtection="1">
      <alignment horizontal="right"/>
    </xf>
    <xf numFmtId="169" fontId="25" fillId="0" borderId="31" xfId="179" applyNumberFormat="1" applyFill="1" applyBorder="1" applyAlignment="1" applyProtection="1">
      <alignment horizontal="right"/>
    </xf>
    <xf numFmtId="1" fontId="25" fillId="83" borderId="0" xfId="310" applyNumberFormat="1" applyFill="1" applyBorder="1" applyAlignment="1" applyProtection="1">
      <alignment horizontal="right"/>
    </xf>
    <xf numFmtId="1" fontId="25" fillId="83" borderId="31" xfId="310" applyNumberFormat="1" applyFill="1" applyBorder="1" applyAlignment="1" applyProtection="1">
      <alignment horizontal="right"/>
    </xf>
    <xf numFmtId="171" fontId="25" fillId="0" borderId="31" xfId="310" applyNumberFormat="1" applyBorder="1"/>
    <xf numFmtId="1" fontId="25" fillId="0" borderId="31" xfId="0" applyNumberFormat="1" applyFont="1" applyBorder="1"/>
    <xf numFmtId="1" fontId="242" fillId="83" borderId="31" xfId="0" applyNumberFormat="1" applyFont="1" applyFill="1" applyBorder="1"/>
    <xf numFmtId="171" fontId="25" fillId="83" borderId="31" xfId="310" applyNumberFormat="1" applyFill="1" applyBorder="1"/>
    <xf numFmtId="0" fontId="20" fillId="0" borderId="24" xfId="244" applyFont="1" applyBorder="1" applyAlignment="1">
      <alignment horizontal="left" indent="2"/>
    </xf>
    <xf numFmtId="0" fontId="123" fillId="0" borderId="31" xfId="0" applyFont="1" applyBorder="1" applyAlignment="1">
      <alignment horizontal="left" indent="1"/>
    </xf>
    <xf numFmtId="171" fontId="25" fillId="83" borderId="0" xfId="310" applyNumberFormat="1" applyFill="1" applyBorder="1"/>
    <xf numFmtId="0" fontId="235" fillId="98" borderId="26" xfId="0" applyFont="1" applyFill="1" applyBorder="1"/>
    <xf numFmtId="0" fontId="22" fillId="100" borderId="26" xfId="0" applyFont="1" applyFill="1" applyBorder="1"/>
    <xf numFmtId="0" fontId="22" fillId="100" borderId="28" xfId="0" applyFont="1" applyFill="1" applyBorder="1"/>
    <xf numFmtId="0" fontId="22" fillId="100" borderId="28" xfId="0" applyFont="1" applyFill="1" applyBorder="1" applyAlignment="1">
      <alignment horizontal="right"/>
    </xf>
    <xf numFmtId="0" fontId="22" fillId="99" borderId="32" xfId="0" applyFont="1" applyFill="1" applyBorder="1" applyAlignment="1">
      <alignment horizontal="right"/>
    </xf>
    <xf numFmtId="0" fontId="22" fillId="99" borderId="27" xfId="0" applyFont="1" applyFill="1" applyBorder="1" applyAlignment="1">
      <alignment horizontal="right"/>
    </xf>
    <xf numFmtId="0" fontId="22" fillId="101" borderId="27" xfId="0" applyFont="1" applyFill="1" applyBorder="1" applyAlignment="1">
      <alignment horizontal="right"/>
    </xf>
    <xf numFmtId="0" fontId="22" fillId="77" borderId="25" xfId="0" applyFont="1" applyFill="1" applyBorder="1" applyAlignment="1">
      <alignment horizontal="right"/>
    </xf>
    <xf numFmtId="0" fontId="22" fillId="98" borderId="32" xfId="0" applyFont="1" applyFill="1" applyBorder="1" applyAlignment="1">
      <alignment horizontal="left"/>
    </xf>
    <xf numFmtId="0" fontId="22" fillId="90" borderId="24" xfId="0" applyFont="1" applyFill="1" applyBorder="1" applyAlignment="1">
      <alignment horizontal="left"/>
    </xf>
    <xf numFmtId="171" fontId="20" fillId="64" borderId="0" xfId="0" applyNumberFormat="1" applyFont="1" applyFill="1" applyAlignment="1">
      <alignment horizontal="right"/>
    </xf>
    <xf numFmtId="171" fontId="20" fillId="64" borderId="31" xfId="0" applyNumberFormat="1" applyFont="1" applyFill="1" applyBorder="1" applyAlignment="1">
      <alignment horizontal="right"/>
    </xf>
    <xf numFmtId="0" fontId="25" fillId="0" borderId="24" xfId="0" applyFont="1" applyBorder="1" applyAlignment="1">
      <alignment horizontal="left" indent="2"/>
    </xf>
    <xf numFmtId="171" fontId="20" fillId="64" borderId="0" xfId="310" applyNumberFormat="1" applyFont="1" applyFill="1" applyBorder="1"/>
    <xf numFmtId="171" fontId="20" fillId="64" borderId="31" xfId="310" applyNumberFormat="1" applyFont="1" applyFill="1" applyBorder="1"/>
    <xf numFmtId="171" fontId="20" fillId="64" borderId="0" xfId="310" applyNumberFormat="1" applyFont="1" applyFill="1" applyBorder="1" applyAlignment="1">
      <alignment horizontal="right"/>
    </xf>
    <xf numFmtId="171" fontId="20" fillId="64" borderId="31" xfId="310" applyNumberFormat="1" applyFont="1" applyFill="1" applyBorder="1" applyAlignment="1">
      <alignment horizontal="right"/>
    </xf>
    <xf numFmtId="171" fontId="237" fillId="64" borderId="0" xfId="310" applyNumberFormat="1" applyFont="1" applyFill="1" applyBorder="1" applyAlignment="1">
      <alignment horizontal="right"/>
    </xf>
    <xf numFmtId="171" fontId="237" fillId="64" borderId="31" xfId="310" applyNumberFormat="1" applyFont="1" applyFill="1" applyBorder="1" applyAlignment="1">
      <alignment horizontal="right"/>
    </xf>
    <xf numFmtId="171" fontId="25" fillId="64" borderId="0" xfId="310" applyNumberFormat="1" applyFill="1" applyBorder="1"/>
    <xf numFmtId="171" fontId="25" fillId="64" borderId="31" xfId="310" applyNumberFormat="1" applyFill="1" applyBorder="1"/>
    <xf numFmtId="171" fontId="121" fillId="63" borderId="0" xfId="310" applyNumberFormat="1" applyFont="1" applyFill="1" applyBorder="1"/>
    <xf numFmtId="0" fontId="20" fillId="0" borderId="24" xfId="0" applyFont="1" applyBorder="1" applyAlignment="1">
      <alignment horizontal="left" indent="3"/>
    </xf>
    <xf numFmtId="0" fontId="22" fillId="0" borderId="24" xfId="0" quotePrefix="1" applyFont="1" applyBorder="1" applyAlignment="1">
      <alignment horizontal="left"/>
    </xf>
    <xf numFmtId="9" fontId="20" fillId="64" borderId="0" xfId="310" applyFont="1" applyFill="1" applyBorder="1" applyAlignment="1">
      <alignment horizontal="right"/>
    </xf>
    <xf numFmtId="0" fontId="25" fillId="64" borderId="31" xfId="0" applyFont="1" applyFill="1" applyBorder="1"/>
    <xf numFmtId="171" fontId="121" fillId="90" borderId="0" xfId="0" applyNumberFormat="1" applyFont="1" applyFill="1" applyAlignment="1">
      <alignment horizontal="right" vertical="center"/>
    </xf>
    <xf numFmtId="171" fontId="20" fillId="64" borderId="0" xfId="310" applyNumberFormat="1" applyFont="1" applyFill="1" applyBorder="1" applyAlignment="1" applyProtection="1"/>
    <xf numFmtId="171" fontId="20" fillId="64" borderId="31" xfId="310" applyNumberFormat="1" applyFont="1" applyFill="1" applyBorder="1" applyAlignment="1" applyProtection="1"/>
    <xf numFmtId="10" fontId="25" fillId="60" borderId="26" xfId="310" applyNumberFormat="1" applyFill="1" applyBorder="1" applyAlignment="1" applyProtection="1"/>
    <xf numFmtId="10" fontId="25" fillId="60" borderId="28" xfId="310" applyNumberFormat="1" applyFill="1" applyBorder="1" applyAlignment="1" applyProtection="1"/>
    <xf numFmtId="10" fontId="25" fillId="60" borderId="29" xfId="310" applyNumberFormat="1" applyFill="1" applyBorder="1" applyAlignment="1" applyProtection="1"/>
    <xf numFmtId="183" fontId="25" fillId="64" borderId="0" xfId="0" applyNumberFormat="1" applyFont="1" applyFill="1" applyAlignment="1">
      <alignment horizontal="right" vertical="center"/>
    </xf>
    <xf numFmtId="10" fontId="25" fillId="0" borderId="0" xfId="310" applyNumberFormat="1" applyFill="1" applyBorder="1" applyAlignment="1" applyProtection="1">
      <alignment horizontal="right"/>
    </xf>
    <xf numFmtId="0" fontId="123" fillId="0" borderId="31" xfId="0" applyFont="1" applyBorder="1"/>
    <xf numFmtId="0" fontId="22" fillId="64" borderId="31" xfId="0" applyFont="1" applyFill="1" applyBorder="1"/>
    <xf numFmtId="0" fontId="25" fillId="0" borderId="31" xfId="244" applyNumberFormat="1" applyFont="1" applyFill="1" applyBorder="1" applyAlignment="1" applyProtection="1">
      <alignment horizontal="left" indent="1"/>
    </xf>
    <xf numFmtId="0" fontId="20" fillId="0" borderId="31" xfId="0" applyFont="1" applyBorder="1" applyAlignment="1">
      <alignment horizontal="left" indent="1"/>
    </xf>
    <xf numFmtId="0" fontId="25" fillId="0" borderId="31" xfId="0" applyFont="1" applyBorder="1" applyAlignment="1">
      <alignment horizontal="left" indent="1"/>
    </xf>
    <xf numFmtId="0" fontId="20" fillId="0" borderId="31" xfId="244" applyFont="1" applyBorder="1" applyAlignment="1">
      <alignment horizontal="left" indent="2"/>
    </xf>
    <xf numFmtId="171" fontId="25" fillId="73" borderId="0" xfId="310" applyNumberFormat="1" applyFill="1" applyBorder="1" applyAlignment="1" applyProtection="1"/>
    <xf numFmtId="171" fontId="25" fillId="73" borderId="31" xfId="310" applyNumberFormat="1" applyFill="1" applyBorder="1" applyAlignment="1" applyProtection="1"/>
    <xf numFmtId="0" fontId="25" fillId="73" borderId="31" xfId="0" applyFont="1" applyFill="1" applyBorder="1" applyAlignment="1">
      <alignment horizontal="left" indent="1"/>
    </xf>
    <xf numFmtId="0" fontId="22" fillId="60" borderId="23" xfId="244" applyNumberFormat="1" applyFont="1" applyFill="1" applyBorder="1" applyAlignment="1" applyProtection="1"/>
    <xf numFmtId="0" fontId="22" fillId="60" borderId="26" xfId="244" applyNumberFormat="1" applyFont="1" applyFill="1" applyBorder="1" applyAlignment="1" applyProtection="1"/>
    <xf numFmtId="0" fontId="22" fillId="60" borderId="28" xfId="0" applyFont="1" applyFill="1" applyBorder="1"/>
    <xf numFmtId="0" fontId="22" fillId="60" borderId="29" xfId="0" applyFont="1" applyFill="1" applyBorder="1"/>
    <xf numFmtId="10" fontId="25" fillId="64" borderId="0" xfId="310" applyNumberFormat="1" applyFill="1"/>
    <xf numFmtId="10" fontId="25" fillId="64" borderId="0" xfId="0" applyNumberFormat="1" applyFont="1" applyFill="1"/>
    <xf numFmtId="1" fontId="25" fillId="64" borderId="0" xfId="0" applyNumberFormat="1" applyFont="1" applyFill="1"/>
    <xf numFmtId="183" fontId="25" fillId="0" borderId="15" xfId="0" applyNumberFormat="1" applyFont="1" applyBorder="1" applyAlignment="1">
      <alignment horizontal="right" vertical="center"/>
    </xf>
    <xf numFmtId="0" fontId="190" fillId="73" borderId="20" xfId="0" applyFont="1" applyFill="1" applyBorder="1"/>
    <xf numFmtId="169" fontId="22" fillId="73" borderId="20" xfId="179" applyNumberFormat="1" applyFont="1" applyFill="1" applyBorder="1"/>
    <xf numFmtId="169" fontId="22" fillId="73" borderId="9" xfId="179" applyNumberFormat="1" applyFont="1" applyFill="1" applyBorder="1"/>
    <xf numFmtId="0" fontId="20" fillId="0" borderId="25" xfId="0" applyFont="1" applyBorder="1"/>
    <xf numFmtId="171" fontId="20" fillId="64" borderId="25" xfId="0" applyNumberFormat="1" applyFont="1" applyFill="1" applyBorder="1" applyAlignment="1">
      <alignment horizontal="right"/>
    </xf>
    <xf numFmtId="0" fontId="246" fillId="0" borderId="24" xfId="0" applyFont="1" applyBorder="1" applyAlignment="1">
      <alignment horizontal="left" indent="2"/>
    </xf>
    <xf numFmtId="0" fontId="247" fillId="90" borderId="25" xfId="0" applyFont="1" applyFill="1" applyBorder="1" applyAlignment="1">
      <alignment horizontal="left"/>
    </xf>
    <xf numFmtId="0" fontId="247" fillId="90" borderId="0" xfId="0" applyFont="1" applyFill="1" applyAlignment="1">
      <alignment horizontal="left"/>
    </xf>
    <xf numFmtId="0" fontId="247" fillId="90" borderId="0" xfId="0" applyFont="1" applyFill="1" applyAlignment="1">
      <alignment horizontal="center"/>
    </xf>
    <xf numFmtId="0" fontId="247" fillId="64" borderId="25" xfId="0" applyFont="1" applyFill="1" applyBorder="1" applyAlignment="1">
      <alignment horizontal="center"/>
    </xf>
    <xf numFmtId="171" fontId="246" fillId="0" borderId="0" xfId="310" applyNumberFormat="1" applyFont="1" applyFill="1" applyBorder="1"/>
    <xf numFmtId="171" fontId="246" fillId="0" borderId="31" xfId="310" applyNumberFormat="1" applyFont="1" applyFill="1" applyBorder="1"/>
    <xf numFmtId="171" fontId="246" fillId="64" borderId="0" xfId="310" applyNumberFormat="1" applyFont="1" applyFill="1" applyBorder="1"/>
    <xf numFmtId="171" fontId="246" fillId="64" borderId="31" xfId="310" applyNumberFormat="1" applyFont="1" applyFill="1" applyBorder="1"/>
    <xf numFmtId="0" fontId="23" fillId="0" borderId="0" xfId="244"/>
    <xf numFmtId="0" fontId="20" fillId="0" borderId="0" xfId="0" applyFont="1" applyAlignment="1">
      <alignment horizontal="left" indent="1"/>
    </xf>
    <xf numFmtId="169" fontId="25" fillId="64" borderId="0" xfId="179" applyNumberFormat="1" applyFill="1" applyBorder="1" applyAlignment="1">
      <alignment horizontal="right" indent="2"/>
    </xf>
    <xf numFmtId="169" fontId="20" fillId="64" borderId="31" xfId="179" applyNumberFormat="1" applyFont="1" applyFill="1" applyBorder="1" applyAlignment="1">
      <alignment horizontal="right" indent="2"/>
    </xf>
    <xf numFmtId="171" fontId="246" fillId="0" borderId="25" xfId="310" applyNumberFormat="1" applyFont="1" applyFill="1" applyBorder="1" applyAlignment="1" applyProtection="1"/>
    <xf numFmtId="171" fontId="246" fillId="0" borderId="0" xfId="310" applyNumberFormat="1" applyFont="1" applyFill="1" applyBorder="1" applyAlignment="1" applyProtection="1"/>
    <xf numFmtId="171" fontId="246" fillId="0" borderId="31" xfId="310" applyNumberFormat="1" applyFont="1" applyFill="1" applyBorder="1" applyAlignment="1" applyProtection="1"/>
    <xf numFmtId="171" fontId="246" fillId="64" borderId="0" xfId="310" applyNumberFormat="1" applyFont="1" applyFill="1" applyBorder="1" applyAlignment="1" applyProtection="1"/>
    <xf numFmtId="171" fontId="246" fillId="64" borderId="31" xfId="310" applyNumberFormat="1" applyFont="1" applyFill="1" applyBorder="1" applyAlignment="1" applyProtection="1"/>
    <xf numFmtId="0" fontId="22" fillId="0" borderId="24" xfId="0" applyFont="1" applyBorder="1" applyAlignment="1">
      <alignment horizontal="left" indent="2"/>
    </xf>
    <xf numFmtId="0" fontId="22" fillId="90" borderId="25" xfId="0" applyFont="1" applyFill="1" applyBorder="1" applyAlignment="1">
      <alignment horizontal="left" indent="1"/>
    </xf>
    <xf numFmtId="0" fontId="22" fillId="90" borderId="0" xfId="0" applyFont="1" applyFill="1" applyAlignment="1">
      <alignment horizontal="left" indent="1"/>
    </xf>
    <xf numFmtId="0" fontId="20" fillId="0" borderId="24" xfId="0" applyFont="1" applyBorder="1" applyAlignment="1">
      <alignment horizontal="left" indent="5"/>
    </xf>
    <xf numFmtId="171" fontId="25" fillId="64" borderId="0" xfId="310" applyNumberFormat="1" applyFill="1" applyBorder="1" applyAlignment="1">
      <alignment horizontal="right"/>
    </xf>
    <xf numFmtId="171" fontId="25" fillId="64" borderId="31" xfId="310" applyNumberFormat="1" applyFill="1" applyBorder="1" applyAlignment="1">
      <alignment horizontal="right"/>
    </xf>
    <xf numFmtId="0" fontId="246" fillId="0" borderId="24" xfId="0" applyFont="1" applyBorder="1" applyAlignment="1">
      <alignment horizontal="left" indent="1"/>
    </xf>
    <xf numFmtId="226" fontId="22" fillId="0" borderId="0" xfId="0" applyNumberFormat="1" applyFont="1" applyAlignment="1">
      <alignment horizontal="left"/>
    </xf>
    <xf numFmtId="169" fontId="202" fillId="0" borderId="0" xfId="0" applyNumberFormat="1" applyFont="1" applyAlignment="1">
      <alignment horizontal="left"/>
    </xf>
    <xf numFmtId="0" fontId="202" fillId="0" borderId="0" xfId="0" applyFont="1" applyAlignment="1">
      <alignment horizontal="left"/>
    </xf>
    <xf numFmtId="0" fontId="201" fillId="0" borderId="0" xfId="0" applyFont="1" applyAlignment="1">
      <alignment horizontal="left"/>
    </xf>
    <xf numFmtId="1" fontId="22" fillId="0" borderId="0" xfId="0" applyNumberFormat="1" applyFont="1" applyAlignment="1">
      <alignment horizontal="left"/>
    </xf>
    <xf numFmtId="0" fontId="22" fillId="0" borderId="0" xfId="310" applyNumberFormat="1" applyFont="1" applyFill="1" applyBorder="1" applyAlignment="1">
      <alignment horizontal="left"/>
    </xf>
    <xf numFmtId="0" fontId="22" fillId="64" borderId="0" xfId="0" applyFont="1" applyFill="1" applyAlignment="1">
      <alignment horizontal="left"/>
    </xf>
    <xf numFmtId="235" fontId="22" fillId="0" borderId="0" xfId="0" applyNumberFormat="1" applyFont="1" applyAlignment="1">
      <alignment horizontal="left"/>
    </xf>
    <xf numFmtId="10" fontId="22" fillId="64" borderId="0" xfId="0" applyNumberFormat="1" applyFont="1" applyFill="1" applyAlignment="1">
      <alignment horizontal="left"/>
    </xf>
    <xf numFmtId="1" fontId="22" fillId="64" borderId="0" xfId="0" applyNumberFormat="1" applyFont="1" applyFill="1" applyAlignment="1">
      <alignment horizontal="left"/>
    </xf>
    <xf numFmtId="1" fontId="25" fillId="0" borderId="0" xfId="0" applyNumberFormat="1" applyFont="1" applyAlignment="1">
      <alignment horizontal="left"/>
    </xf>
    <xf numFmtId="1" fontId="22" fillId="0" borderId="0" xfId="310" applyNumberFormat="1" applyFont="1" applyFill="1" applyBorder="1" applyAlignment="1">
      <alignment horizontal="left"/>
    </xf>
    <xf numFmtId="1" fontId="203" fillId="0" borderId="0" xfId="310" applyNumberFormat="1" applyFont="1" applyFill="1" applyBorder="1" applyAlignment="1">
      <alignment horizontal="left"/>
    </xf>
    <xf numFmtId="171" fontId="202" fillId="0" borderId="0" xfId="0" applyNumberFormat="1" applyFont="1" applyAlignment="1">
      <alignment horizontal="left"/>
    </xf>
    <xf numFmtId="171" fontId="194" fillId="0" borderId="0" xfId="0" applyNumberFormat="1" applyFont="1" applyAlignment="1">
      <alignment horizontal="left"/>
    </xf>
    <xf numFmtId="171" fontId="25" fillId="0" borderId="0" xfId="310" applyNumberFormat="1" applyFill="1" applyBorder="1" applyAlignment="1">
      <alignment horizontal="left"/>
    </xf>
    <xf numFmtId="171" fontId="121" fillId="0" borderId="0" xfId="310" applyNumberFormat="1" applyFont="1" applyFill="1" applyBorder="1" applyAlignment="1">
      <alignment horizontal="left"/>
    </xf>
    <xf numFmtId="1" fontId="201" fillId="0" borderId="0" xfId="310" applyNumberFormat="1" applyFont="1" applyFill="1" applyBorder="1" applyAlignment="1">
      <alignment horizontal="left"/>
    </xf>
    <xf numFmtId="9" fontId="201" fillId="0" borderId="0" xfId="0" applyNumberFormat="1" applyFont="1" applyAlignment="1">
      <alignment horizontal="left"/>
    </xf>
    <xf numFmtId="1" fontId="201" fillId="0" borderId="0" xfId="0" applyNumberFormat="1" applyFont="1" applyAlignment="1">
      <alignment horizontal="left"/>
    </xf>
    <xf numFmtId="171" fontId="246" fillId="83" borderId="0" xfId="310" applyNumberFormat="1" applyFont="1" applyFill="1" applyBorder="1" applyAlignment="1" applyProtection="1"/>
    <xf numFmtId="171" fontId="246" fillId="83" borderId="31" xfId="310" applyNumberFormat="1" applyFont="1" applyFill="1" applyBorder="1" applyAlignment="1" applyProtection="1"/>
    <xf numFmtId="0" fontId="246" fillId="0" borderId="24" xfId="0" applyFont="1" applyBorder="1" applyAlignment="1">
      <alignment horizontal="left" indent="3"/>
    </xf>
    <xf numFmtId="0" fontId="22" fillId="0" borderId="23" xfId="0" applyFont="1" applyBorder="1"/>
    <xf numFmtId="0" fontId="20" fillId="64" borderId="24" xfId="0" applyFont="1" applyFill="1" applyBorder="1" applyAlignment="1">
      <alignment horizontal="left" indent="2"/>
    </xf>
    <xf numFmtId="171" fontId="20" fillId="90" borderId="0" xfId="0" applyNumberFormat="1" applyFont="1" applyFill="1" applyAlignment="1">
      <alignment horizontal="right" vertical="center"/>
    </xf>
    <xf numFmtId="171" fontId="20" fillId="90" borderId="31" xfId="0" applyNumberFormat="1" applyFont="1" applyFill="1" applyBorder="1" applyAlignment="1">
      <alignment horizontal="right" vertical="center"/>
    </xf>
    <xf numFmtId="171" fontId="25" fillId="64" borderId="25" xfId="310" applyNumberFormat="1" applyFill="1" applyBorder="1" applyAlignment="1" applyProtection="1"/>
    <xf numFmtId="171" fontId="20" fillId="64" borderId="25" xfId="310" applyNumberFormat="1" applyFont="1" applyFill="1" applyBorder="1" applyAlignment="1" applyProtection="1"/>
    <xf numFmtId="0" fontId="20" fillId="0" borderId="5" xfId="0" applyFont="1" applyBorder="1" applyAlignment="1">
      <alignment horizontal="left" indent="2"/>
    </xf>
    <xf numFmtId="0" fontId="22" fillId="90" borderId="27" xfId="0" applyFont="1" applyFill="1" applyBorder="1" applyAlignment="1">
      <alignment horizontal="left"/>
    </xf>
    <xf numFmtId="0" fontId="22" fillId="90" borderId="27" xfId="0" applyFont="1" applyFill="1" applyBorder="1" applyAlignment="1">
      <alignment horizontal="center"/>
    </xf>
    <xf numFmtId="9" fontId="20" fillId="64" borderId="27" xfId="310" applyFont="1" applyFill="1" applyBorder="1" applyAlignment="1">
      <alignment horizontal="right"/>
    </xf>
    <xf numFmtId="171" fontId="20" fillId="64" borderId="27" xfId="310" applyNumberFormat="1" applyFont="1" applyFill="1" applyBorder="1"/>
    <xf numFmtId="171" fontId="20" fillId="64" borderId="33" xfId="310" applyNumberFormat="1" applyFont="1" applyFill="1" applyBorder="1"/>
    <xf numFmtId="171" fontId="20" fillId="64" borderId="27" xfId="310" applyNumberFormat="1" applyFont="1" applyFill="1" applyBorder="1" applyAlignment="1">
      <alignment horizontal="right"/>
    </xf>
    <xf numFmtId="169" fontId="25" fillId="90" borderId="0" xfId="179" applyNumberFormat="1" applyFill="1" applyBorder="1" applyAlignment="1">
      <alignment horizontal="right" vertical="center"/>
    </xf>
    <xf numFmtId="10" fontId="240" fillId="90" borderId="0" xfId="179" applyNumberFormat="1" applyFont="1" applyFill="1" applyBorder="1" applyAlignment="1">
      <alignment horizontal="right" vertical="center"/>
    </xf>
    <xf numFmtId="0" fontId="183" fillId="61" borderId="25" xfId="0" applyFont="1" applyFill="1" applyBorder="1"/>
    <xf numFmtId="0" fontId="22" fillId="71" borderId="27" xfId="0" applyFont="1" applyFill="1" applyBorder="1"/>
    <xf numFmtId="0" fontId="22" fillId="71" borderId="27" xfId="0" applyFont="1" applyFill="1" applyBorder="1" applyAlignment="1">
      <alignment horizontal="right"/>
    </xf>
    <xf numFmtId="0" fontId="20" fillId="0" borderId="31" xfId="244" applyNumberFormat="1" applyFont="1" applyFill="1" applyBorder="1" applyAlignment="1" applyProtection="1">
      <alignment horizontal="left" indent="1"/>
    </xf>
    <xf numFmtId="169" fontId="25" fillId="63" borderId="0" xfId="179" applyNumberFormat="1" applyFill="1" applyBorder="1"/>
    <xf numFmtId="183" fontId="25" fillId="0" borderId="0" xfId="0" applyNumberFormat="1" applyFont="1"/>
    <xf numFmtId="171" fontId="228" fillId="0" borderId="0" xfId="0" applyNumberFormat="1" applyFont="1"/>
    <xf numFmtId="169" fontId="228" fillId="0" borderId="0" xfId="179" applyNumberFormat="1" applyFont="1" applyFill="1" applyBorder="1"/>
    <xf numFmtId="169" fontId="25" fillId="67" borderId="0" xfId="179" applyNumberFormat="1" applyFill="1" applyBorder="1"/>
    <xf numFmtId="169" fontId="25" fillId="0" borderId="0" xfId="179" applyNumberFormat="1" applyBorder="1" applyAlignment="1">
      <alignment horizontal="right"/>
    </xf>
    <xf numFmtId="3" fontId="22" fillId="67" borderId="0" xfId="0" applyNumberFormat="1" applyFont="1" applyFill="1"/>
    <xf numFmtId="169" fontId="22" fillId="67" borderId="0" xfId="179" applyNumberFormat="1" applyFont="1" applyFill="1" applyBorder="1"/>
    <xf numFmtId="169" fontId="22" fillId="0" borderId="0" xfId="179" applyNumberFormat="1" applyFont="1" applyBorder="1"/>
    <xf numFmtId="169" fontId="22" fillId="0" borderId="31" xfId="179" applyNumberFormat="1" applyFont="1" applyBorder="1"/>
    <xf numFmtId="171" fontId="121" fillId="0" borderId="0" xfId="310" applyNumberFormat="1" applyFont="1" applyBorder="1"/>
    <xf numFmtId="171" fontId="121" fillId="72" borderId="0" xfId="0" applyNumberFormat="1" applyFont="1" applyFill="1"/>
    <xf numFmtId="171" fontId="121" fillId="0" borderId="0" xfId="0" applyNumberFormat="1" applyFont="1"/>
    <xf numFmtId="171" fontId="22" fillId="72" borderId="0" xfId="0" applyNumberFormat="1" applyFont="1" applyFill="1"/>
    <xf numFmtId="169" fontId="22" fillId="67" borderId="0" xfId="0" applyNumberFormat="1" applyFont="1" applyFill="1"/>
    <xf numFmtId="169" fontId="22" fillId="0" borderId="31" xfId="0" applyNumberFormat="1" applyFont="1" applyBorder="1"/>
    <xf numFmtId="0" fontId="209" fillId="0" borderId="0" xfId="0" applyFont="1"/>
    <xf numFmtId="0" fontId="25" fillId="60" borderId="28" xfId="0" applyFont="1" applyFill="1" applyBorder="1"/>
    <xf numFmtId="3" fontId="25" fillId="60" borderId="28" xfId="0" applyNumberFormat="1" applyFont="1" applyFill="1" applyBorder="1"/>
    <xf numFmtId="0" fontId="190" fillId="0" borderId="25" xfId="0" applyFont="1" applyBorder="1"/>
    <xf numFmtId="0" fontId="198" fillId="0" borderId="25" xfId="0" applyFont="1" applyBorder="1" applyAlignment="1">
      <alignment horizontal="left" indent="1"/>
    </xf>
    <xf numFmtId="0" fontId="198" fillId="0" borderId="25" xfId="0" quotePrefix="1" applyFont="1" applyBorder="1" applyAlignment="1">
      <alignment horizontal="left" indent="1"/>
    </xf>
    <xf numFmtId="9" fontId="25" fillId="0" borderId="25" xfId="0" applyNumberFormat="1" applyFont="1" applyBorder="1"/>
    <xf numFmtId="0" fontId="25" fillId="0" borderId="25" xfId="0" applyFont="1" applyBorder="1" applyAlignment="1">
      <alignment horizontal="left"/>
    </xf>
    <xf numFmtId="0" fontId="25" fillId="0" borderId="25" xfId="0" quotePrefix="1" applyFont="1" applyBorder="1" applyAlignment="1">
      <alignment horizontal="left"/>
    </xf>
    <xf numFmtId="0" fontId="22" fillId="0" borderId="25" xfId="0" applyFont="1" applyBorder="1" applyAlignment="1">
      <alignment horizontal="left"/>
    </xf>
    <xf numFmtId="0" fontId="198" fillId="0" borderId="25" xfId="0" applyFont="1" applyBorder="1" applyAlignment="1">
      <alignment horizontal="left"/>
    </xf>
    <xf numFmtId="0" fontId="198" fillId="0" borderId="25" xfId="0" quotePrefix="1" applyFont="1" applyBorder="1" applyAlignment="1">
      <alignment horizontal="left"/>
    </xf>
    <xf numFmtId="0" fontId="190" fillId="0" borderId="25" xfId="0" applyFont="1" applyBorder="1" applyAlignment="1">
      <alignment horizontal="left"/>
    </xf>
    <xf numFmtId="0" fontId="194" fillId="0" borderId="25" xfId="0" applyFont="1" applyBorder="1" applyAlignment="1">
      <alignment horizontal="left"/>
    </xf>
    <xf numFmtId="0" fontId="194" fillId="0" borderId="25" xfId="0" applyFont="1" applyBorder="1" applyAlignment="1">
      <alignment horizontal="left" indent="1"/>
    </xf>
    <xf numFmtId="0" fontId="25" fillId="0" borderId="25" xfId="0" quotePrefix="1" applyFont="1" applyBorder="1"/>
    <xf numFmtId="0" fontId="208" fillId="0" borderId="25" xfId="0" applyFont="1" applyBorder="1"/>
    <xf numFmtId="0" fontId="209" fillId="0" borderId="25" xfId="0" applyFont="1" applyBorder="1"/>
    <xf numFmtId="3" fontId="22" fillId="0" borderId="9" xfId="0" applyNumberFormat="1" applyFont="1" applyBorder="1"/>
    <xf numFmtId="3" fontId="22" fillId="0" borderId="30" xfId="0" applyNumberFormat="1" applyFont="1" applyBorder="1"/>
    <xf numFmtId="3" fontId="22" fillId="0" borderId="20" xfId="0" applyNumberFormat="1" applyFont="1" applyBorder="1"/>
    <xf numFmtId="4" fontId="0" fillId="0" borderId="13" xfId="0" applyNumberFormat="1" applyBorder="1"/>
    <xf numFmtId="0" fontId="210" fillId="79" borderId="13" xfId="0" applyFont="1" applyFill="1" applyBorder="1" applyAlignment="1">
      <alignment vertical="center" wrapText="1"/>
    </xf>
    <xf numFmtId="49" fontId="20" fillId="0" borderId="13" xfId="0" applyNumberFormat="1" applyFont="1" applyBorder="1"/>
    <xf numFmtId="0" fontId="121" fillId="0" borderId="25" xfId="0" applyFont="1" applyBorder="1" applyAlignment="1">
      <alignment horizontal="left" vertical="center"/>
    </xf>
    <xf numFmtId="0" fontId="121" fillId="0" borderId="0" xfId="310" applyNumberFormat="1" applyFont="1" applyFill="1" applyBorder="1" applyAlignment="1">
      <alignment horizontal="right" vertical="center"/>
    </xf>
    <xf numFmtId="0" fontId="121" fillId="0" borderId="31" xfId="310" applyNumberFormat="1" applyFont="1" applyFill="1" applyBorder="1" applyAlignment="1">
      <alignment horizontal="right" vertical="center"/>
    </xf>
    <xf numFmtId="9" fontId="121" fillId="0" borderId="31" xfId="310" applyFont="1" applyFill="1" applyBorder="1" applyAlignment="1">
      <alignment horizontal="right" vertical="center"/>
    </xf>
    <xf numFmtId="9" fontId="25" fillId="0" borderId="0" xfId="310" applyFill="1" applyBorder="1" applyAlignment="1">
      <alignment horizontal="right" vertical="center"/>
    </xf>
    <xf numFmtId="9" fontId="25" fillId="0" borderId="31" xfId="310" applyFill="1" applyBorder="1" applyAlignment="1">
      <alignment horizontal="right" vertical="center"/>
    </xf>
    <xf numFmtId="0" fontId="25" fillId="73" borderId="27" xfId="244" applyNumberFormat="1" applyFont="1" applyFill="1" applyBorder="1" applyAlignment="1" applyProtection="1"/>
    <xf numFmtId="171" fontId="25" fillId="73" borderId="27" xfId="310" applyNumberFormat="1" applyFill="1" applyBorder="1" applyAlignment="1" applyProtection="1"/>
    <xf numFmtId="171" fontId="25" fillId="73" borderId="33" xfId="310" applyNumberFormat="1" applyFill="1" applyBorder="1" applyAlignment="1" applyProtection="1"/>
    <xf numFmtId="37" fontId="22" fillId="64" borderId="0" xfId="0" applyNumberFormat="1" applyFont="1" applyFill="1" applyAlignment="1">
      <alignment horizontal="right" vertical="center"/>
    </xf>
    <xf numFmtId="171" fontId="121" fillId="90" borderId="0" xfId="0" applyNumberFormat="1" applyFont="1" applyFill="1" applyAlignment="1">
      <alignment vertical="center"/>
    </xf>
    <xf numFmtId="183" fontId="122" fillId="64" borderId="0" xfId="0" applyNumberFormat="1" applyFont="1" applyFill="1" applyAlignment="1">
      <alignment horizontal="right" vertical="center"/>
    </xf>
    <xf numFmtId="0" fontId="190" fillId="64" borderId="81" xfId="0" applyFont="1" applyFill="1" applyBorder="1"/>
    <xf numFmtId="1" fontId="20" fillId="0" borderId="0" xfId="0" applyNumberFormat="1" applyFont="1"/>
    <xf numFmtId="0" fontId="248" fillId="0" borderId="25" xfId="0" applyFont="1" applyBorder="1" applyAlignment="1">
      <alignment horizontal="left" indent="1"/>
    </xf>
    <xf numFmtId="0" fontId="248" fillId="0" borderId="0" xfId="0" applyFont="1"/>
    <xf numFmtId="171" fontId="248" fillId="0" borderId="0" xfId="0" applyNumberFormat="1" applyFont="1"/>
    <xf numFmtId="171" fontId="248" fillId="63" borderId="0" xfId="310" applyNumberFormat="1" applyFont="1" applyFill="1" applyBorder="1"/>
    <xf numFmtId="171" fontId="248" fillId="0" borderId="0" xfId="310" applyNumberFormat="1" applyFont="1" applyFill="1" applyBorder="1"/>
    <xf numFmtId="0" fontId="184" fillId="0" borderId="9" xfId="0" applyFont="1" applyBorder="1"/>
    <xf numFmtId="3" fontId="184" fillId="0" borderId="9" xfId="0" applyNumberFormat="1" applyFont="1" applyBorder="1"/>
    <xf numFmtId="3" fontId="184" fillId="63" borderId="9" xfId="0" applyNumberFormat="1" applyFont="1" applyFill="1" applyBorder="1"/>
    <xf numFmtId="0" fontId="190" fillId="0" borderId="0" xfId="0" applyFont="1" applyAlignment="1">
      <alignment horizontal="left" indent="1"/>
    </xf>
    <xf numFmtId="0" fontId="198" fillId="75" borderId="0" xfId="0" applyFont="1" applyFill="1" applyAlignment="1">
      <alignment horizontal="left" indent="1"/>
    </xf>
    <xf numFmtId="49" fontId="0" fillId="0" borderId="0" xfId="0" applyNumberFormat="1"/>
    <xf numFmtId="10" fontId="192" fillId="0" borderId="0" xfId="0" applyNumberFormat="1" applyFont="1" applyAlignment="1">
      <alignment horizontal="left" indent="4"/>
    </xf>
    <xf numFmtId="169" fontId="198" fillId="0" borderId="24" xfId="179" applyNumberFormat="1" applyFont="1" applyFill="1" applyBorder="1" applyAlignment="1">
      <alignment vertical="center"/>
    </xf>
    <xf numFmtId="169" fontId="190" fillId="0" borderId="24" xfId="179" applyNumberFormat="1" applyFont="1" applyFill="1" applyBorder="1" applyAlignment="1">
      <alignment vertical="center"/>
    </xf>
    <xf numFmtId="171" fontId="199" fillId="64" borderId="24" xfId="310" applyNumberFormat="1" applyFont="1" applyFill="1" applyBorder="1" applyAlignment="1" applyProtection="1">
      <alignment vertical="center"/>
    </xf>
    <xf numFmtId="3" fontId="198" fillId="0" borderId="24" xfId="0" applyNumberFormat="1" applyFont="1" applyBorder="1" applyAlignment="1">
      <alignment vertical="center"/>
    </xf>
    <xf numFmtId="171" fontId="194" fillId="0" borderId="24" xfId="0" applyNumberFormat="1" applyFont="1" applyBorder="1" applyAlignment="1">
      <alignment vertical="center"/>
    </xf>
    <xf numFmtId="184" fontId="199" fillId="0" borderId="24" xfId="0" applyNumberFormat="1" applyFont="1" applyBorder="1" applyAlignment="1">
      <alignment horizontal="right" vertical="center"/>
    </xf>
    <xf numFmtId="3" fontId="124" fillId="0" borderId="24" xfId="310" applyNumberFormat="1" applyFont="1" applyFill="1" applyBorder="1" applyAlignment="1" applyProtection="1">
      <alignment vertical="center"/>
    </xf>
    <xf numFmtId="171" fontId="194" fillId="0" borderId="24" xfId="310" applyNumberFormat="1" applyFont="1" applyFill="1" applyBorder="1" applyAlignment="1">
      <alignment vertical="center"/>
    </xf>
    <xf numFmtId="184" fontId="194" fillId="0" borderId="24" xfId="0" applyNumberFormat="1" applyFont="1" applyBorder="1" applyAlignment="1">
      <alignment horizontal="right" vertical="center"/>
    </xf>
    <xf numFmtId="171" fontId="198" fillId="0" borderId="24" xfId="310" applyNumberFormat="1" applyFont="1" applyFill="1" applyBorder="1" applyAlignment="1">
      <alignment vertical="center"/>
    </xf>
    <xf numFmtId="10" fontId="194" fillId="0" borderId="24" xfId="310" applyNumberFormat="1" applyFont="1" applyFill="1" applyBorder="1" applyAlignment="1" applyProtection="1">
      <alignment vertical="center"/>
    </xf>
    <xf numFmtId="3" fontId="190" fillId="0" borderId="24" xfId="0" applyNumberFormat="1" applyFont="1" applyBorder="1" applyAlignment="1">
      <alignment vertical="center"/>
    </xf>
    <xf numFmtId="171" fontId="127" fillId="64" borderId="0" xfId="310" applyNumberFormat="1" applyFont="1" applyFill="1" applyBorder="1" applyAlignment="1" applyProtection="1">
      <alignment vertical="center"/>
    </xf>
    <xf numFmtId="171" fontId="25" fillId="0" borderId="24" xfId="310" applyNumberFormat="1" applyFill="1" applyBorder="1" applyAlignment="1">
      <alignment vertical="center"/>
    </xf>
    <xf numFmtId="171" fontId="154" fillId="0" borderId="0" xfId="0" applyNumberFormat="1" applyFont="1" applyAlignment="1">
      <alignment vertical="center"/>
    </xf>
    <xf numFmtId="169" fontId="22" fillId="83" borderId="0" xfId="179" applyNumberFormat="1" applyFont="1" applyFill="1" applyBorder="1" applyAlignment="1" applyProtection="1"/>
    <xf numFmtId="10" fontId="25" fillId="83" borderId="0" xfId="310" applyNumberFormat="1" applyFill="1" applyBorder="1" applyAlignment="1" applyProtection="1"/>
    <xf numFmtId="10" fontId="25" fillId="83" borderId="31" xfId="310" applyNumberFormat="1" applyFill="1" applyBorder="1" applyAlignment="1" applyProtection="1"/>
    <xf numFmtId="179" fontId="22" fillId="97" borderId="0" xfId="0" applyNumberFormat="1" applyFont="1" applyFill="1" applyAlignment="1">
      <alignment horizontal="right" vertical="center"/>
    </xf>
    <xf numFmtId="0" fontId="198" fillId="64" borderId="0" xfId="0" applyFont="1" applyFill="1"/>
    <xf numFmtId="10" fontId="190" fillId="64" borderId="0" xfId="179" applyNumberFormat="1" applyFont="1" applyFill="1"/>
    <xf numFmtId="169" fontId="20" fillId="0" borderId="0" xfId="0" applyNumberFormat="1" applyFont="1"/>
    <xf numFmtId="0" fontId="20" fillId="0" borderId="0" xfId="0" quotePrefix="1" applyFont="1"/>
    <xf numFmtId="0" fontId="224" fillId="78" borderId="0" xfId="0" applyFont="1" applyFill="1" applyAlignment="1">
      <alignment horizontal="left" vertical="center" indent="1"/>
    </xf>
    <xf numFmtId="0" fontId="201" fillId="78" borderId="0" xfId="0" applyFont="1" applyFill="1" applyAlignment="1">
      <alignment horizontal="left" vertical="center" indent="2"/>
    </xf>
    <xf numFmtId="0" fontId="216" fillId="78" borderId="0" xfId="0" applyFont="1" applyFill="1" applyAlignment="1">
      <alignment horizontal="left" vertical="center" indent="1"/>
    </xf>
    <xf numFmtId="0" fontId="22" fillId="0" borderId="0" xfId="0" applyFont="1" applyAlignment="1">
      <alignment horizontal="left" indent="1"/>
    </xf>
    <xf numFmtId="0" fontId="245" fillId="78" borderId="0" xfId="0" applyFont="1" applyFill="1" applyAlignment="1">
      <alignment horizontal="left" vertical="center" indent="2"/>
    </xf>
    <xf numFmtId="0" fontId="219" fillId="78" borderId="0" xfId="0" applyFont="1" applyFill="1" applyAlignment="1">
      <alignment horizontal="left" vertical="center" indent="2"/>
    </xf>
    <xf numFmtId="171" fontId="245" fillId="78" borderId="0" xfId="310" applyNumberFormat="1" applyFont="1" applyFill="1" applyBorder="1" applyAlignment="1">
      <alignment horizontal="right" vertical="center"/>
    </xf>
    <xf numFmtId="171" fontId="245" fillId="75" borderId="0" xfId="310" applyNumberFormat="1" applyFont="1" applyFill="1" applyAlignment="1">
      <alignment horizontal="right"/>
    </xf>
    <xf numFmtId="171" fontId="219" fillId="78" borderId="0" xfId="310" applyNumberFormat="1" applyFont="1" applyFill="1" applyBorder="1" applyAlignment="1">
      <alignment horizontal="right" vertical="center"/>
    </xf>
    <xf numFmtId="171" fontId="219" fillId="75" borderId="0" xfId="310" applyNumberFormat="1" applyFont="1" applyFill="1" applyAlignment="1">
      <alignment horizontal="right"/>
    </xf>
    <xf numFmtId="171" fontId="245" fillId="84" borderId="0" xfId="310" applyNumberFormat="1" applyFont="1" applyFill="1" applyBorder="1" applyAlignment="1">
      <alignment horizontal="right" vertical="center"/>
    </xf>
    <xf numFmtId="0" fontId="240" fillId="78" borderId="0" xfId="0" applyFont="1" applyFill="1" applyAlignment="1">
      <alignment horizontal="left" vertical="center" indent="2"/>
    </xf>
    <xf numFmtId="171" fontId="121" fillId="97" borderId="0" xfId="310" applyNumberFormat="1" applyFont="1" applyFill="1" applyBorder="1" applyAlignment="1">
      <alignment horizontal="right" vertical="center"/>
    </xf>
    <xf numFmtId="3" fontId="249" fillId="64" borderId="0" xfId="0" applyNumberFormat="1" applyFont="1" applyFill="1"/>
    <xf numFmtId="0" fontId="250" fillId="0" borderId="0" xfId="0" applyFont="1"/>
    <xf numFmtId="168" fontId="25" fillId="0" borderId="0" xfId="179"/>
    <xf numFmtId="169" fontId="22" fillId="0" borderId="0" xfId="179" applyNumberFormat="1" applyFont="1" applyAlignment="1">
      <alignment horizontal="right" indent="2"/>
    </xf>
    <xf numFmtId="169" fontId="22" fillId="63" borderId="0" xfId="179" applyNumberFormat="1" applyFont="1" applyFill="1" applyAlignment="1">
      <alignment horizontal="right" indent="2"/>
    </xf>
    <xf numFmtId="0" fontId="22" fillId="0" borderId="24" xfId="0" applyFont="1" applyBorder="1" applyAlignment="1">
      <alignment horizontal="left"/>
    </xf>
    <xf numFmtId="0" fontId="25" fillId="73" borderId="24" xfId="0" applyFont="1" applyFill="1" applyBorder="1" applyAlignment="1">
      <alignment horizontal="left" indent="1"/>
    </xf>
    <xf numFmtId="0" fontId="25" fillId="0" borderId="28" xfId="244" applyNumberFormat="1" applyFont="1" applyFill="1" applyBorder="1" applyAlignment="1" applyProtection="1">
      <alignment horizontal="left" indent="1"/>
    </xf>
    <xf numFmtId="0" fontId="123" fillId="83" borderId="0" xfId="0" applyFont="1" applyFill="1"/>
    <xf numFmtId="0" fontId="123" fillId="83" borderId="31" xfId="0" applyFont="1" applyFill="1" applyBorder="1"/>
    <xf numFmtId="169" fontId="22" fillId="64" borderId="0" xfId="179" applyNumberFormat="1" applyFont="1" applyFill="1" applyBorder="1" applyAlignment="1">
      <alignment horizontal="right"/>
    </xf>
    <xf numFmtId="169" fontId="22" fillId="0" borderId="0" xfId="0" applyNumberFormat="1" applyFont="1" applyAlignment="1">
      <alignment horizontal="right"/>
    </xf>
    <xf numFmtId="169" fontId="20" fillId="64" borderId="0" xfId="179" applyNumberFormat="1" applyFont="1" applyFill="1" applyBorder="1" applyAlignment="1">
      <alignment horizontal="right"/>
    </xf>
    <xf numFmtId="1" fontId="25" fillId="64" borderId="0" xfId="310" applyNumberFormat="1" applyFill="1" applyBorder="1" applyAlignment="1">
      <alignment horizontal="right"/>
    </xf>
    <xf numFmtId="171" fontId="22" fillId="64" borderId="0" xfId="310" applyNumberFormat="1" applyFont="1" applyFill="1" applyBorder="1" applyAlignment="1">
      <alignment horizontal="right"/>
    </xf>
    <xf numFmtId="169" fontId="22" fillId="64" borderId="0" xfId="0" applyNumberFormat="1" applyFont="1" applyFill="1"/>
    <xf numFmtId="171" fontId="20" fillId="83" borderId="0" xfId="179" applyNumberFormat="1" applyFont="1" applyFill="1" applyBorder="1" applyAlignment="1" applyProtection="1"/>
    <xf numFmtId="0" fontId="190" fillId="64" borderId="26" xfId="0" applyFont="1" applyFill="1" applyBorder="1"/>
    <xf numFmtId="0" fontId="22" fillId="64" borderId="28" xfId="0" applyFont="1" applyFill="1" applyBorder="1" applyAlignment="1">
      <alignment horizontal="center"/>
    </xf>
    <xf numFmtId="0" fontId="190" fillId="73" borderId="25" xfId="0" applyFont="1" applyFill="1" applyBorder="1"/>
    <xf numFmtId="0" fontId="198" fillId="0" borderId="32" xfId="0" applyFont="1" applyBorder="1" applyAlignment="1">
      <alignment horizontal="left" indent="1"/>
    </xf>
    <xf numFmtId="0" fontId="190" fillId="64" borderId="20" xfId="0" applyFont="1" applyFill="1" applyBorder="1"/>
    <xf numFmtId="0" fontId="22" fillId="64" borderId="30" xfId="0" applyFont="1" applyFill="1" applyBorder="1" applyAlignment="1">
      <alignment horizontal="left"/>
    </xf>
    <xf numFmtId="0" fontId="25" fillId="64" borderId="30" xfId="0" applyFont="1" applyFill="1" applyBorder="1"/>
    <xf numFmtId="0" fontId="25" fillId="73" borderId="31" xfId="0" applyFont="1" applyFill="1" applyBorder="1"/>
    <xf numFmtId="0" fontId="203" fillId="0" borderId="31" xfId="0" applyFont="1" applyBorder="1"/>
    <xf numFmtId="169" fontId="22" fillId="0" borderId="33" xfId="0" applyNumberFormat="1" applyFont="1" applyBorder="1"/>
    <xf numFmtId="0" fontId="22" fillId="64" borderId="13" xfId="0" applyFont="1" applyFill="1" applyBorder="1" applyAlignment="1">
      <alignment horizontal="center"/>
    </xf>
    <xf numFmtId="169" fontId="22" fillId="73" borderId="24" xfId="0" applyNumberFormat="1" applyFont="1" applyFill="1" applyBorder="1"/>
    <xf numFmtId="169" fontId="0" fillId="0" borderId="24" xfId="0" applyNumberFormat="1" applyBorder="1"/>
    <xf numFmtId="0" fontId="22" fillId="0" borderId="5" xfId="0" applyFont="1" applyBorder="1"/>
    <xf numFmtId="0" fontId="22" fillId="64" borderId="29" xfId="0" applyFont="1" applyFill="1" applyBorder="1" applyAlignment="1">
      <alignment horizontal="left"/>
    </xf>
    <xf numFmtId="0" fontId="20" fillId="0" borderId="32" xfId="0" applyFont="1" applyBorder="1" applyAlignment="1">
      <alignment horizontal="left" indent="1"/>
    </xf>
    <xf numFmtId="169" fontId="0" fillId="0" borderId="27" xfId="0" applyNumberFormat="1" applyBorder="1"/>
    <xf numFmtId="171" fontId="25" fillId="0" borderId="33" xfId="310" applyNumberFormat="1" applyFill="1" applyBorder="1"/>
    <xf numFmtId="1" fontId="20" fillId="0" borderId="0" xfId="0" applyNumberFormat="1" applyFont="1" applyAlignment="1">
      <alignment horizontal="left"/>
    </xf>
    <xf numFmtId="169" fontId="20" fillId="73" borderId="0" xfId="0" applyNumberFormat="1" applyFont="1" applyFill="1"/>
    <xf numFmtId="171" fontId="20" fillId="73" borderId="0" xfId="310" applyNumberFormat="1" applyFont="1" applyFill="1" applyBorder="1"/>
    <xf numFmtId="168" fontId="143" fillId="43" borderId="0" xfId="179" applyFont="1" applyFill="1" applyBorder="1" applyAlignment="1" applyProtection="1">
      <alignment horizontal="right"/>
    </xf>
    <xf numFmtId="171" fontId="251" fillId="43" borderId="25" xfId="310" applyNumberFormat="1" applyFont="1" applyFill="1" applyBorder="1" applyAlignment="1" applyProtection="1">
      <alignment vertical="center"/>
    </xf>
    <xf numFmtId="171" fontId="251" fillId="43" borderId="0" xfId="310" applyNumberFormat="1" applyFont="1" applyFill="1" applyBorder="1" applyAlignment="1" applyProtection="1">
      <alignment vertical="center"/>
    </xf>
    <xf numFmtId="171" fontId="251" fillId="43" borderId="31" xfId="310" applyNumberFormat="1" applyFont="1" applyFill="1" applyBorder="1" applyAlignment="1" applyProtection="1">
      <alignment vertical="center"/>
    </xf>
    <xf numFmtId="0" fontId="251" fillId="43" borderId="24" xfId="0" applyFont="1" applyFill="1" applyBorder="1" applyAlignment="1">
      <alignment horizontal="left" vertical="center" indent="1"/>
    </xf>
    <xf numFmtId="0" fontId="190" fillId="77" borderId="0" xfId="0" applyFont="1" applyFill="1"/>
    <xf numFmtId="0" fontId="25" fillId="0" borderId="84" xfId="0" applyFont="1" applyBorder="1" applyAlignment="1">
      <alignment horizontal="left"/>
    </xf>
    <xf numFmtId="169" fontId="20" fillId="0" borderId="0" xfId="179" applyNumberFormat="1" applyFont="1" applyBorder="1"/>
    <xf numFmtId="0" fontId="201" fillId="0" borderId="0" xfId="0" applyFont="1" applyAlignment="1">
      <alignment horizontal="left" indent="3"/>
    </xf>
    <xf numFmtId="169" fontId="201" fillId="0" borderId="0" xfId="179" applyNumberFormat="1" applyFont="1"/>
    <xf numFmtId="2" fontId="20" fillId="0" borderId="0" xfId="310" applyNumberFormat="1" applyFont="1" applyBorder="1"/>
    <xf numFmtId="0" fontId="190" fillId="64" borderId="0" xfId="0" applyFont="1" applyFill="1"/>
    <xf numFmtId="0" fontId="0" fillId="64" borderId="0" xfId="0" applyFill="1"/>
    <xf numFmtId="169" fontId="25" fillId="64" borderId="0" xfId="179" applyNumberFormat="1" applyFill="1" applyBorder="1"/>
    <xf numFmtId="169" fontId="25" fillId="64" borderId="31" xfId="179" applyNumberFormat="1" applyFill="1" applyBorder="1"/>
    <xf numFmtId="0" fontId="198" fillId="64" borderId="25" xfId="0" applyFont="1" applyFill="1" applyBorder="1" applyAlignment="1">
      <alignment horizontal="left" indent="1"/>
    </xf>
    <xf numFmtId="0" fontId="25" fillId="64" borderId="25" xfId="0" applyFont="1" applyFill="1" applyBorder="1" applyAlignment="1">
      <alignment horizontal="left" indent="1"/>
    </xf>
    <xf numFmtId="0" fontId="190" fillId="77" borderId="20" xfId="0" applyFont="1" applyFill="1" applyBorder="1"/>
    <xf numFmtId="0" fontId="22" fillId="77" borderId="9" xfId="0" applyFont="1" applyFill="1" applyBorder="1"/>
    <xf numFmtId="0" fontId="22" fillId="77" borderId="30" xfId="0" applyFont="1" applyFill="1" applyBorder="1" applyAlignment="1">
      <alignment horizontal="right"/>
    </xf>
    <xf numFmtId="169" fontId="22" fillId="64" borderId="28" xfId="179" applyNumberFormat="1" applyFont="1" applyFill="1" applyBorder="1"/>
    <xf numFmtId="169" fontId="22" fillId="64" borderId="29" xfId="179" applyNumberFormat="1" applyFont="1" applyFill="1" applyBorder="1"/>
    <xf numFmtId="0" fontId="25" fillId="64" borderId="32" xfId="0" applyFont="1" applyFill="1" applyBorder="1" applyAlignment="1">
      <alignment horizontal="left" indent="1"/>
    </xf>
    <xf numFmtId="169" fontId="25" fillId="64" borderId="27" xfId="179" applyNumberFormat="1" applyFill="1" applyBorder="1"/>
    <xf numFmtId="169" fontId="25" fillId="64" borderId="33" xfId="179" applyNumberFormat="1" applyFill="1" applyBorder="1"/>
    <xf numFmtId="0" fontId="224" fillId="64" borderId="25" xfId="0" applyFont="1" applyFill="1" applyBorder="1"/>
    <xf numFmtId="0" fontId="121" fillId="64" borderId="25" xfId="0" applyFont="1" applyFill="1" applyBorder="1" applyAlignment="1">
      <alignment horizontal="left" indent="3"/>
    </xf>
    <xf numFmtId="169" fontId="121" fillId="64" borderId="0" xfId="179" applyNumberFormat="1" applyFont="1" applyFill="1" applyBorder="1"/>
    <xf numFmtId="169" fontId="121" fillId="64" borderId="31" xfId="179" applyNumberFormat="1" applyFont="1" applyFill="1" applyBorder="1" applyAlignment="1">
      <alignment horizontal="left"/>
    </xf>
    <xf numFmtId="0" fontId="121" fillId="64" borderId="32" xfId="0" applyFont="1" applyFill="1" applyBorder="1" applyAlignment="1">
      <alignment horizontal="left" indent="3"/>
    </xf>
    <xf numFmtId="169" fontId="121" fillId="64" borderId="27" xfId="179" applyNumberFormat="1" applyFont="1" applyFill="1" applyBorder="1"/>
    <xf numFmtId="169" fontId="121" fillId="64" borderId="33" xfId="179" applyNumberFormat="1" applyFont="1" applyFill="1" applyBorder="1" applyAlignment="1">
      <alignment horizontal="left"/>
    </xf>
    <xf numFmtId="0" fontId="20" fillId="0" borderId="27" xfId="0" applyFont="1" applyBorder="1" applyAlignment="1">
      <alignment wrapText="1"/>
    </xf>
    <xf numFmtId="0" fontId="20" fillId="0" borderId="33" xfId="0" applyFont="1" applyBorder="1" applyAlignment="1">
      <alignment wrapText="1"/>
    </xf>
    <xf numFmtId="0" fontId="210" fillId="79" borderId="13" xfId="0" applyFont="1" applyFill="1" applyBorder="1" applyAlignment="1">
      <alignment horizontal="center" vertical="center" wrapText="1"/>
    </xf>
    <xf numFmtId="10" fontId="20" fillId="0" borderId="13" xfId="0" applyNumberFormat="1" applyFont="1" applyBorder="1"/>
    <xf numFmtId="4" fontId="0" fillId="0" borderId="0" xfId="0" applyNumberFormat="1"/>
    <xf numFmtId="0" fontId="22" fillId="63" borderId="26" xfId="0" applyFont="1" applyFill="1" applyBorder="1"/>
    <xf numFmtId="0" fontId="0" fillId="63" borderId="28" xfId="0" applyFill="1" applyBorder="1"/>
    <xf numFmtId="0" fontId="0" fillId="63" borderId="29" xfId="0" applyFill="1" applyBorder="1"/>
    <xf numFmtId="0" fontId="22" fillId="0" borderId="26" xfId="0" applyFont="1" applyBorder="1" applyAlignment="1">
      <alignment horizontal="left" indent="1"/>
    </xf>
    <xf numFmtId="169" fontId="25" fillId="0" borderId="28" xfId="179" applyNumberFormat="1" applyBorder="1"/>
    <xf numFmtId="9" fontId="0" fillId="0" borderId="28" xfId="0" applyNumberFormat="1" applyBorder="1"/>
    <xf numFmtId="0" fontId="0" fillId="0" borderId="28" xfId="0" applyBorder="1"/>
    <xf numFmtId="3" fontId="0" fillId="0" borderId="28" xfId="0" applyNumberFormat="1" applyBorder="1"/>
    <xf numFmtId="10" fontId="0" fillId="0" borderId="28" xfId="0" applyNumberFormat="1" applyBorder="1"/>
    <xf numFmtId="0" fontId="0" fillId="0" borderId="29" xfId="0" applyBorder="1"/>
    <xf numFmtId="10" fontId="0" fillId="0" borderId="0" xfId="0" applyNumberFormat="1"/>
    <xf numFmtId="171" fontId="0" fillId="0" borderId="0" xfId="0" applyNumberFormat="1" applyAlignment="1">
      <alignment horizontal="right"/>
    </xf>
    <xf numFmtId="0" fontId="0" fillId="0" borderId="31" xfId="0" applyBorder="1"/>
    <xf numFmtId="173" fontId="20" fillId="0" borderId="0" xfId="0" applyNumberFormat="1" applyFont="1"/>
    <xf numFmtId="171" fontId="0" fillId="0" borderId="0" xfId="0" applyNumberFormat="1"/>
    <xf numFmtId="173" fontId="0" fillId="0" borderId="0" xfId="0" applyNumberFormat="1" applyAlignment="1">
      <alignment horizontal="right"/>
    </xf>
    <xf numFmtId="178" fontId="0" fillId="0" borderId="31" xfId="0" applyNumberFormat="1" applyBorder="1"/>
    <xf numFmtId="0" fontId="22" fillId="0" borderId="32" xfId="0" applyFont="1" applyBorder="1" applyAlignment="1">
      <alignment horizontal="left" indent="1"/>
    </xf>
    <xf numFmtId="173" fontId="20" fillId="0" borderId="27" xfId="0" applyNumberFormat="1" applyFont="1" applyBorder="1"/>
    <xf numFmtId="171" fontId="0" fillId="0" borderId="27" xfId="0" applyNumberFormat="1" applyBorder="1"/>
    <xf numFmtId="173" fontId="0" fillId="0" borderId="27" xfId="0" applyNumberFormat="1" applyBorder="1" applyAlignment="1">
      <alignment horizontal="right"/>
    </xf>
    <xf numFmtId="171" fontId="25" fillId="0" borderId="27" xfId="310" applyNumberFormat="1" applyBorder="1"/>
    <xf numFmtId="10" fontId="0" fillId="0" borderId="27" xfId="0" applyNumberFormat="1" applyBorder="1"/>
    <xf numFmtId="0" fontId="0" fillId="0" borderId="33" xfId="0" applyBorder="1"/>
    <xf numFmtId="0" fontId="22" fillId="63" borderId="28" xfId="0" applyFont="1" applyFill="1" applyBorder="1"/>
    <xf numFmtId="0" fontId="0" fillId="63" borderId="26" xfId="0" applyFill="1" applyBorder="1"/>
    <xf numFmtId="0" fontId="20" fillId="0" borderId="32" xfId="0" applyFont="1" applyBorder="1" applyAlignment="1">
      <alignment wrapText="1"/>
    </xf>
    <xf numFmtId="226" fontId="25" fillId="0" borderId="0" xfId="179" applyNumberFormat="1" applyFill="1" applyBorder="1" applyAlignment="1">
      <alignment horizontal="right"/>
    </xf>
    <xf numFmtId="0" fontId="20" fillId="0" borderId="0" xfId="0" applyFont="1" applyAlignment="1">
      <alignment horizontal="left" indent="2"/>
    </xf>
    <xf numFmtId="171" fontId="25" fillId="0" borderId="0" xfId="179" applyNumberFormat="1"/>
    <xf numFmtId="0" fontId="128" fillId="0" borderId="0" xfId="0" applyFont="1" applyAlignment="1">
      <alignment horizontal="left" vertical="center" indent="1"/>
    </xf>
    <xf numFmtId="0" fontId="130" fillId="0" borderId="0" xfId="0" applyFont="1" applyAlignment="1">
      <alignment vertical="center"/>
    </xf>
    <xf numFmtId="0" fontId="113" fillId="0" borderId="0" xfId="0" applyFont="1" applyAlignment="1">
      <alignment vertical="center"/>
    </xf>
    <xf numFmtId="171" fontId="25" fillId="0" borderId="0" xfId="179" applyNumberFormat="1" applyFill="1"/>
    <xf numFmtId="169" fontId="25" fillId="0" borderId="0" xfId="179" applyNumberFormat="1" applyFill="1" applyAlignment="1">
      <alignment horizontal="left" indent="1"/>
    </xf>
    <xf numFmtId="1" fontId="0" fillId="0" borderId="0" xfId="0" applyNumberFormat="1" applyAlignment="1">
      <alignment horizontal="right"/>
    </xf>
    <xf numFmtId="0" fontId="0" fillId="63" borderId="0" xfId="0" applyFill="1"/>
    <xf numFmtId="0" fontId="22" fillId="63" borderId="0" xfId="0" applyFont="1" applyFill="1"/>
    <xf numFmtId="43" fontId="0" fillId="0" borderId="0" xfId="0" applyNumberFormat="1"/>
    <xf numFmtId="171" fontId="0" fillId="63" borderId="0" xfId="0" applyNumberFormat="1" applyFill="1"/>
    <xf numFmtId="169" fontId="25" fillId="63" borderId="25" xfId="179" applyNumberFormat="1" applyFill="1" applyBorder="1"/>
    <xf numFmtId="0" fontId="0" fillId="63" borderId="25" xfId="0" applyFill="1" applyBorder="1"/>
    <xf numFmtId="169" fontId="25" fillId="63" borderId="32" xfId="179" applyNumberFormat="1" applyFill="1" applyBorder="1"/>
    <xf numFmtId="176" fontId="148" fillId="0" borderId="0" xfId="200" quotePrefix="1" applyNumberFormat="1" applyFont="1" applyFill="1" applyBorder="1" applyAlignment="1" applyProtection="1"/>
    <xf numFmtId="0" fontId="143" fillId="0" borderId="0" xfId="0" quotePrefix="1" applyFont="1" applyAlignment="1">
      <alignment wrapText="1"/>
    </xf>
    <xf numFmtId="0" fontId="130" fillId="43" borderId="0" xfId="0" applyFont="1" applyFill="1"/>
    <xf numFmtId="2" fontId="143" fillId="0" borderId="0" xfId="0" applyNumberFormat="1" applyFont="1"/>
    <xf numFmtId="184" fontId="143" fillId="0" borderId="0" xfId="0" applyNumberFormat="1" applyFont="1"/>
    <xf numFmtId="171" fontId="122" fillId="73" borderId="17" xfId="310" applyNumberFormat="1" applyFont="1" applyFill="1" applyBorder="1" applyAlignment="1">
      <alignment horizontal="right" vertical="center"/>
    </xf>
    <xf numFmtId="171" fontId="25" fillId="64" borderId="0" xfId="310" applyNumberFormat="1" applyFill="1" applyBorder="1" applyAlignment="1" applyProtection="1">
      <alignment horizontal="right"/>
    </xf>
    <xf numFmtId="171" fontId="25" fillId="73" borderId="25" xfId="310" applyNumberFormat="1" applyFill="1" applyBorder="1" applyAlignment="1" applyProtection="1"/>
    <xf numFmtId="171" fontId="25" fillId="73" borderId="32" xfId="310" applyNumberFormat="1" applyFill="1" applyBorder="1" applyAlignment="1" applyProtection="1"/>
    <xf numFmtId="0" fontId="22" fillId="63" borderId="29" xfId="0" applyFont="1" applyFill="1" applyBorder="1"/>
    <xf numFmtId="184" fontId="0" fillId="63" borderId="31" xfId="0" applyNumberFormat="1" applyFill="1" applyBorder="1"/>
    <xf numFmtId="184" fontId="0" fillId="63" borderId="33" xfId="0" applyNumberFormat="1" applyFill="1" applyBorder="1"/>
    <xf numFmtId="0" fontId="22" fillId="57" borderId="25" xfId="0" applyFont="1" applyFill="1" applyBorder="1" applyAlignment="1">
      <alignment vertical="center"/>
    </xf>
    <xf numFmtId="183" fontId="22" fillId="57" borderId="25" xfId="0" applyNumberFormat="1" applyFont="1" applyFill="1" applyBorder="1" applyAlignment="1">
      <alignment vertical="center"/>
    </xf>
    <xf numFmtId="183" fontId="22" fillId="57" borderId="0" xfId="0" applyNumberFormat="1" applyFont="1" applyFill="1" applyAlignment="1">
      <alignment vertical="center"/>
    </xf>
    <xf numFmtId="183" fontId="22" fillId="57" borderId="0" xfId="0" applyNumberFormat="1" applyFont="1" applyFill="1" applyAlignment="1">
      <alignment horizontal="right" vertical="center"/>
    </xf>
    <xf numFmtId="171" fontId="246" fillId="0" borderId="0" xfId="310" applyNumberFormat="1" applyFont="1" applyFill="1"/>
    <xf numFmtId="171" fontId="246" fillId="64" borderId="0" xfId="310" applyNumberFormat="1" applyFont="1" applyFill="1" applyBorder="1" applyAlignment="1">
      <alignment horizontal="right"/>
    </xf>
    <xf numFmtId="171" fontId="246" fillId="64" borderId="31" xfId="310" applyNumberFormat="1" applyFont="1" applyFill="1" applyBorder="1" applyAlignment="1">
      <alignment horizontal="right"/>
    </xf>
    <xf numFmtId="171" fontId="242" fillId="63" borderId="0" xfId="310" applyNumberFormat="1" applyFont="1" applyFill="1" applyBorder="1"/>
    <xf numFmtId="0" fontId="22" fillId="81" borderId="24" xfId="0" applyFont="1" applyFill="1" applyBorder="1"/>
    <xf numFmtId="169" fontId="22" fillId="81" borderId="25" xfId="179" applyNumberFormat="1" applyFont="1" applyFill="1" applyBorder="1" applyAlignment="1" applyProtection="1"/>
    <xf numFmtId="169" fontId="22" fillId="81" borderId="0" xfId="179" applyNumberFormat="1" applyFont="1" applyFill="1" applyBorder="1" applyAlignment="1" applyProtection="1"/>
    <xf numFmtId="169" fontId="22" fillId="81" borderId="31" xfId="179" applyNumberFormat="1" applyFont="1" applyFill="1" applyBorder="1" applyAlignment="1" applyProtection="1"/>
    <xf numFmtId="0" fontId="25" fillId="81" borderId="24" xfId="0" applyFont="1" applyFill="1" applyBorder="1" applyAlignment="1">
      <alignment horizontal="left" indent="1"/>
    </xf>
    <xf numFmtId="169" fontId="25" fillId="81" borderId="25" xfId="179" applyNumberFormat="1" applyFill="1" applyBorder="1" applyAlignment="1" applyProtection="1"/>
    <xf numFmtId="169" fontId="25" fillId="81" borderId="0" xfId="179" applyNumberFormat="1" applyFill="1" applyBorder="1" applyAlignment="1" applyProtection="1"/>
    <xf numFmtId="169" fontId="25" fillId="81" borderId="31" xfId="179" applyNumberFormat="1" applyFill="1" applyBorder="1" applyAlignment="1" applyProtection="1"/>
    <xf numFmtId="171" fontId="25" fillId="0" borderId="31" xfId="179" applyNumberFormat="1" applyFill="1" applyBorder="1"/>
    <xf numFmtId="0" fontId="22" fillId="0" borderId="33" xfId="0" applyFont="1" applyBorder="1"/>
    <xf numFmtId="0" fontId="190" fillId="86" borderId="0" xfId="0" applyFont="1" applyFill="1"/>
    <xf numFmtId="169" fontId="22" fillId="86" borderId="0" xfId="179" applyNumberFormat="1" applyFont="1" applyFill="1" applyBorder="1" applyAlignment="1">
      <alignment horizontal="right"/>
    </xf>
    <xf numFmtId="171" fontId="20" fillId="0" borderId="0" xfId="0" applyNumberFormat="1" applyFont="1" applyAlignment="1">
      <alignment horizontal="right"/>
    </xf>
    <xf numFmtId="171" fontId="22" fillId="86" borderId="0" xfId="0" applyNumberFormat="1" applyFont="1" applyFill="1" applyAlignment="1">
      <alignment horizontal="right"/>
    </xf>
    <xf numFmtId="171" fontId="22" fillId="86" borderId="31" xfId="0" applyNumberFormat="1" applyFont="1" applyFill="1" applyBorder="1" applyAlignment="1">
      <alignment horizontal="right"/>
    </xf>
    <xf numFmtId="171" fontId="20" fillId="0" borderId="31" xfId="0" applyNumberFormat="1" applyFont="1" applyBorder="1" applyAlignment="1">
      <alignment horizontal="right"/>
    </xf>
    <xf numFmtId="171" fontId="20" fillId="0" borderId="33" xfId="0" applyNumberFormat="1" applyFont="1" applyBorder="1" applyAlignment="1">
      <alignment horizontal="right"/>
    </xf>
    <xf numFmtId="0" fontId="22" fillId="64" borderId="13" xfId="0" applyFont="1" applyFill="1" applyBorder="1" applyAlignment="1">
      <alignment horizontal="left"/>
    </xf>
    <xf numFmtId="169" fontId="22" fillId="86" borderId="24" xfId="179" applyNumberFormat="1" applyFont="1" applyFill="1" applyBorder="1" applyAlignment="1">
      <alignment horizontal="right"/>
    </xf>
    <xf numFmtId="169" fontId="25" fillId="0" borderId="24" xfId="179" applyNumberFormat="1" applyFill="1" applyBorder="1" applyAlignment="1">
      <alignment horizontal="right"/>
    </xf>
    <xf numFmtId="169" fontId="203" fillId="0" borderId="24" xfId="179" applyNumberFormat="1" applyFont="1" applyFill="1" applyBorder="1" applyAlignment="1">
      <alignment horizontal="right"/>
    </xf>
    <xf numFmtId="169" fontId="25" fillId="0" borderId="5" xfId="179" applyNumberFormat="1" applyFill="1" applyBorder="1" applyAlignment="1">
      <alignment horizontal="right"/>
    </xf>
    <xf numFmtId="2" fontId="0" fillId="0" borderId="0" xfId="0" applyNumberFormat="1"/>
    <xf numFmtId="0" fontId="190" fillId="64" borderId="25" xfId="0" applyFont="1" applyFill="1" applyBorder="1"/>
    <xf numFmtId="169" fontId="25" fillId="64" borderId="33" xfId="179" applyNumberFormat="1" applyFill="1" applyBorder="1" applyAlignment="1">
      <alignment horizontal="right"/>
    </xf>
    <xf numFmtId="0" fontId="20" fillId="64" borderId="25" xfId="0" applyFont="1" applyFill="1" applyBorder="1" applyAlignment="1">
      <alignment horizontal="left" indent="1"/>
    </xf>
    <xf numFmtId="0" fontId="20" fillId="64" borderId="32" xfId="0" applyFont="1" applyFill="1" applyBorder="1" applyAlignment="1">
      <alignment horizontal="left" indent="1"/>
    </xf>
    <xf numFmtId="169" fontId="121" fillId="64" borderId="28" xfId="179" applyNumberFormat="1" applyFont="1" applyFill="1" applyBorder="1"/>
    <xf numFmtId="169" fontId="121" fillId="64" borderId="29" xfId="179" applyNumberFormat="1" applyFont="1" applyFill="1" applyBorder="1"/>
    <xf numFmtId="169" fontId="22" fillId="0" borderId="5" xfId="179" applyNumberFormat="1" applyFont="1" applyFill="1" applyBorder="1"/>
    <xf numFmtId="169" fontId="20" fillId="65" borderId="25" xfId="179" applyNumberFormat="1" applyFont="1" applyFill="1" applyBorder="1" applyAlignment="1">
      <alignment horizontal="right"/>
    </xf>
    <xf numFmtId="3" fontId="22" fillId="65" borderId="25" xfId="0" applyNumberFormat="1" applyFont="1" applyFill="1" applyBorder="1" applyAlignment="1">
      <alignment horizontal="right"/>
    </xf>
    <xf numFmtId="171" fontId="239" fillId="65" borderId="0" xfId="310" applyNumberFormat="1" applyFont="1" applyFill="1" applyBorder="1" applyAlignment="1">
      <alignment horizontal="right" vertical="center"/>
    </xf>
    <xf numFmtId="175" fontId="152" fillId="0" borderId="28" xfId="179" applyNumberFormat="1" applyFont="1" applyBorder="1" applyAlignment="1">
      <alignment vertical="center"/>
    </xf>
    <xf numFmtId="171" fontId="171" fillId="0" borderId="28" xfId="310" applyNumberFormat="1" applyFont="1" applyBorder="1" applyAlignment="1">
      <alignment vertical="center"/>
    </xf>
    <xf numFmtId="171" fontId="168" fillId="0" borderId="29" xfId="310" applyNumberFormat="1" applyFont="1" applyBorder="1" applyAlignment="1">
      <alignment vertical="center"/>
    </xf>
    <xf numFmtId="171" fontId="171" fillId="0" borderId="27" xfId="310" applyNumberFormat="1" applyFont="1" applyBorder="1" applyAlignment="1">
      <alignment vertical="center"/>
    </xf>
    <xf numFmtId="171" fontId="168" fillId="0" borderId="33" xfId="310" applyNumberFormat="1" applyFont="1" applyBorder="1" applyAlignment="1">
      <alignment vertical="center"/>
    </xf>
    <xf numFmtId="183" fontId="154" fillId="0" borderId="28" xfId="310" applyNumberFormat="1" applyFont="1" applyBorder="1" applyAlignment="1">
      <alignment vertical="center"/>
    </xf>
    <xf numFmtId="171" fontId="168" fillId="0" borderId="31" xfId="310" applyNumberFormat="1" applyFont="1" applyBorder="1" applyAlignment="1">
      <alignment vertical="center"/>
    </xf>
    <xf numFmtId="0" fontId="164" fillId="0" borderId="27" xfId="0" applyFont="1" applyBorder="1" applyAlignment="1">
      <alignment vertical="center"/>
    </xf>
    <xf numFmtId="169" fontId="164" fillId="0" borderId="27" xfId="0" applyNumberFormat="1" applyFont="1" applyBorder="1" applyAlignment="1">
      <alignment vertical="center"/>
    </xf>
    <xf numFmtId="37" fontId="164" fillId="0" borderId="27" xfId="0" applyNumberFormat="1" applyFont="1" applyBorder="1" applyAlignment="1">
      <alignment vertical="center"/>
    </xf>
    <xf numFmtId="169" fontId="25" fillId="0" borderId="27" xfId="179" applyNumberFormat="1" applyBorder="1" applyAlignment="1">
      <alignment vertical="center"/>
    </xf>
    <xf numFmtId="169" fontId="253" fillId="0" borderId="0" xfId="179" applyNumberFormat="1" applyFont="1" applyBorder="1" applyAlignment="1">
      <alignment vertical="center"/>
    </xf>
    <xf numFmtId="169" fontId="253" fillId="0" borderId="28" xfId="179" applyNumberFormat="1" applyFont="1" applyBorder="1" applyAlignment="1">
      <alignment vertical="center"/>
    </xf>
    <xf numFmtId="169" fontId="253" fillId="0" borderId="0" xfId="179" applyNumberFormat="1" applyFont="1" applyFill="1" applyBorder="1" applyAlignment="1">
      <alignment vertical="center"/>
    </xf>
    <xf numFmtId="169" fontId="253" fillId="64" borderId="0" xfId="179" applyNumberFormat="1" applyFont="1" applyFill="1" applyBorder="1" applyAlignment="1">
      <alignment vertical="center"/>
    </xf>
    <xf numFmtId="169" fontId="254" fillId="67" borderId="0" xfId="179" applyNumberFormat="1" applyFont="1" applyFill="1" applyAlignment="1">
      <alignment horizontal="right" vertical="center" wrapText="1"/>
    </xf>
    <xf numFmtId="171" fontId="25" fillId="64" borderId="0" xfId="0" applyNumberFormat="1" applyFont="1" applyFill="1"/>
    <xf numFmtId="169" fontId="154" fillId="0" borderId="26" xfId="0" applyNumberFormat="1" applyFont="1" applyBorder="1" applyAlignment="1">
      <alignment vertical="center"/>
    </xf>
    <xf numFmtId="169" fontId="154" fillId="0" borderId="29" xfId="179" applyNumberFormat="1" applyFont="1" applyBorder="1" applyAlignment="1">
      <alignment vertical="center"/>
    </xf>
    <xf numFmtId="169" fontId="154" fillId="0" borderId="32" xfId="0" applyNumberFormat="1" applyFont="1" applyBorder="1" applyAlignment="1">
      <alignment vertical="center"/>
    </xf>
    <xf numFmtId="169" fontId="154" fillId="0" borderId="33" xfId="0" applyNumberFormat="1" applyFont="1" applyBorder="1" applyAlignment="1">
      <alignment vertical="center"/>
    </xf>
    <xf numFmtId="183" fontId="154" fillId="0" borderId="29" xfId="310" applyNumberFormat="1" applyFont="1" applyBorder="1" applyAlignment="1">
      <alignment vertical="center"/>
    </xf>
    <xf numFmtId="169" fontId="154" fillId="0" borderId="25" xfId="0" applyNumberFormat="1" applyFont="1" applyBorder="1" applyAlignment="1">
      <alignment vertical="center"/>
    </xf>
    <xf numFmtId="183" fontId="154" fillId="0" borderId="31" xfId="310" applyNumberFormat="1" applyFont="1" applyBorder="1" applyAlignment="1">
      <alignment vertical="center"/>
    </xf>
    <xf numFmtId="37" fontId="164" fillId="0" borderId="33" xfId="0" applyNumberFormat="1" applyFont="1" applyBorder="1" applyAlignment="1">
      <alignment vertical="center"/>
    </xf>
    <xf numFmtId="0" fontId="121" fillId="0" borderId="49" xfId="0" applyFont="1" applyBorder="1" applyAlignment="1">
      <alignment vertical="center"/>
    </xf>
    <xf numFmtId="183" fontId="25" fillId="63" borderId="0" xfId="0" applyNumberFormat="1" applyFont="1" applyFill="1" applyAlignment="1">
      <alignment horizontal="right" vertical="center"/>
    </xf>
    <xf numFmtId="171" fontId="230" fillId="43" borderId="0" xfId="310" applyNumberFormat="1" applyFont="1" applyFill="1" applyBorder="1" applyAlignment="1">
      <alignment horizontal="right" vertical="center"/>
    </xf>
    <xf numFmtId="171" fontId="230" fillId="43" borderId="28" xfId="310" applyNumberFormat="1" applyFont="1" applyFill="1" applyBorder="1" applyAlignment="1">
      <alignment horizontal="right" vertical="center"/>
    </xf>
    <xf numFmtId="9" fontId="25" fillId="0" borderId="0" xfId="310" applyBorder="1" applyAlignment="1">
      <alignment horizontal="right" vertical="center"/>
    </xf>
    <xf numFmtId="183" fontId="25" fillId="0" borderId="0" xfId="310" applyNumberFormat="1" applyBorder="1" applyAlignment="1">
      <alignment horizontal="right" vertical="center"/>
    </xf>
    <xf numFmtId="169" fontId="22" fillId="0" borderId="0" xfId="179" applyNumberFormat="1" applyFont="1" applyFill="1" applyBorder="1" applyAlignment="1">
      <alignment horizontal="right" vertical="center"/>
    </xf>
    <xf numFmtId="0" fontId="25" fillId="0" borderId="31" xfId="0" applyFont="1" applyBorder="1" applyAlignment="1">
      <alignment horizontal="right" vertical="center"/>
    </xf>
    <xf numFmtId="9" fontId="121" fillId="0" borderId="0" xfId="310" applyFont="1" applyFill="1" applyBorder="1" applyAlignment="1">
      <alignment vertical="center"/>
    </xf>
    <xf numFmtId="9" fontId="25" fillId="103" borderId="0" xfId="310" applyFill="1" applyBorder="1" applyAlignment="1"/>
    <xf numFmtId="174" fontId="22" fillId="0" borderId="49" xfId="0" applyNumberFormat="1" applyFont="1" applyBorder="1" applyAlignment="1">
      <alignment horizontal="left" vertical="center" indent="1"/>
    </xf>
    <xf numFmtId="171" fontId="122" fillId="0" borderId="86" xfId="310" applyNumberFormat="1" applyFont="1" applyFill="1" applyBorder="1" applyAlignment="1">
      <alignment horizontal="right" vertical="center"/>
    </xf>
    <xf numFmtId="171" fontId="122" fillId="0" borderId="17" xfId="310" applyNumberFormat="1" applyFont="1" applyFill="1" applyBorder="1" applyAlignment="1">
      <alignment horizontal="right" vertical="center"/>
    </xf>
    <xf numFmtId="169" fontId="25" fillId="0" borderId="17" xfId="179" applyNumberFormat="1" applyFill="1" applyBorder="1" applyAlignment="1">
      <alignment horizontal="right" vertical="center"/>
    </xf>
    <xf numFmtId="174" fontId="25" fillId="43" borderId="87" xfId="0" applyNumberFormat="1" applyFont="1" applyFill="1" applyBorder="1" applyAlignment="1">
      <alignment horizontal="left" vertical="center" indent="2"/>
    </xf>
    <xf numFmtId="0" fontId="22" fillId="43" borderId="87" xfId="0" applyFont="1" applyFill="1" applyBorder="1" applyAlignment="1">
      <alignment horizontal="left" vertical="center" indent="1"/>
    </xf>
    <xf numFmtId="0" fontId="230" fillId="43" borderId="87" xfId="0" applyFont="1" applyFill="1" applyBorder="1" applyAlignment="1">
      <alignment horizontal="left" vertical="center" indent="2"/>
    </xf>
    <xf numFmtId="0" fontId="22" fillId="0" borderId="88" xfId="0" applyFont="1" applyBorder="1" applyAlignment="1">
      <alignment vertical="center"/>
    </xf>
    <xf numFmtId="0" fontId="25" fillId="0" borderId="87" xfId="0" applyFont="1" applyBorder="1" applyAlignment="1">
      <alignment horizontal="left" vertical="center" indent="1"/>
    </xf>
    <xf numFmtId="0" fontId="25" fillId="0" borderId="87" xfId="0" applyFont="1" applyBorder="1" applyAlignment="1">
      <alignment horizontal="left" vertical="center" indent="2"/>
    </xf>
    <xf numFmtId="0" fontId="121" fillId="0" borderId="87" xfId="0" applyFont="1" applyBorder="1" applyAlignment="1">
      <alignment horizontal="left" vertical="center" indent="3"/>
    </xf>
    <xf numFmtId="0" fontId="25" fillId="0" borderId="87" xfId="0" applyFont="1" applyBorder="1" applyAlignment="1">
      <alignment horizontal="left" indent="1"/>
    </xf>
    <xf numFmtId="174" fontId="25" fillId="43" borderId="87" xfId="0" applyNumberFormat="1" applyFont="1" applyFill="1" applyBorder="1" applyAlignment="1">
      <alignment horizontal="left" vertical="center" indent="1"/>
    </xf>
    <xf numFmtId="174" fontId="20" fillId="0" borderId="87" xfId="0" applyNumberFormat="1" applyFont="1" applyBorder="1" applyAlignment="1">
      <alignment vertical="center"/>
    </xf>
    <xf numFmtId="0" fontId="25" fillId="0" borderId="87" xfId="0" applyFont="1" applyBorder="1" applyAlignment="1">
      <alignment vertical="center"/>
    </xf>
    <xf numFmtId="0" fontId="25" fillId="43" borderId="87" xfId="0" applyFont="1" applyFill="1" applyBorder="1" applyAlignment="1">
      <alignment vertical="center"/>
    </xf>
    <xf numFmtId="0" fontId="121" fillId="0" borderId="87" xfId="0" applyFont="1" applyBorder="1" applyAlignment="1">
      <alignment horizontal="left" vertical="center" indent="1"/>
    </xf>
    <xf numFmtId="0" fontId="25" fillId="0" borderId="87" xfId="0" applyFont="1" applyBorder="1"/>
    <xf numFmtId="0" fontId="25" fillId="0" borderId="89" xfId="0" applyFont="1" applyBorder="1" applyAlignment="1">
      <alignment vertical="center"/>
    </xf>
    <xf numFmtId="0" fontId="25" fillId="0" borderId="27" xfId="0" applyFont="1" applyBorder="1" applyAlignment="1">
      <alignment vertical="center"/>
    </xf>
    <xf numFmtId="0" fontId="25" fillId="0" borderId="27" xfId="0" applyFont="1" applyBorder="1" applyAlignment="1">
      <alignment horizontal="right" vertical="center"/>
    </xf>
    <xf numFmtId="0" fontId="121" fillId="0" borderId="87" xfId="0" applyFont="1" applyBorder="1" applyAlignment="1">
      <alignment horizontal="left" indent="1"/>
    </xf>
    <xf numFmtId="0" fontId="20" fillId="0" borderId="87" xfId="0" applyFont="1" applyBorder="1" applyAlignment="1">
      <alignment horizontal="left" vertical="center" wrapText="1" indent="1"/>
    </xf>
    <xf numFmtId="174" fontId="20" fillId="43" borderId="87" xfId="0" applyNumberFormat="1" applyFont="1" applyFill="1" applyBorder="1" applyAlignment="1">
      <alignment horizontal="left" vertical="center" indent="2"/>
    </xf>
    <xf numFmtId="174" fontId="121" fillId="43" borderId="87" xfId="0" applyNumberFormat="1" applyFont="1" applyFill="1" applyBorder="1" applyAlignment="1">
      <alignment horizontal="left" vertical="center" indent="3"/>
    </xf>
    <xf numFmtId="0" fontId="121" fillId="0" borderId="5" xfId="0" applyFont="1" applyBorder="1" applyAlignment="1">
      <alignment vertical="center"/>
    </xf>
    <xf numFmtId="0" fontId="20" fillId="64" borderId="25" xfId="0" applyFont="1" applyFill="1" applyBorder="1" applyAlignment="1">
      <alignment horizontal="left"/>
    </xf>
    <xf numFmtId="9" fontId="25" fillId="64" borderId="0" xfId="310" applyFill="1" applyBorder="1"/>
    <xf numFmtId="169" fontId="190" fillId="64" borderId="0" xfId="0" applyNumberFormat="1" applyFont="1" applyFill="1"/>
    <xf numFmtId="169" fontId="190" fillId="64" borderId="31" xfId="0" applyNumberFormat="1" applyFont="1" applyFill="1" applyBorder="1"/>
    <xf numFmtId="0" fontId="20" fillId="64" borderId="32" xfId="0" applyFont="1" applyFill="1" applyBorder="1" applyAlignment="1">
      <alignment horizontal="left"/>
    </xf>
    <xf numFmtId="9" fontId="25" fillId="64" borderId="27" xfId="310" applyFill="1" applyBorder="1"/>
    <xf numFmtId="171" fontId="25" fillId="64" borderId="27" xfId="310" applyNumberFormat="1" applyFill="1" applyBorder="1"/>
    <xf numFmtId="171" fontId="25" fillId="64" borderId="33" xfId="310" applyNumberFormat="1" applyFill="1" applyBorder="1"/>
    <xf numFmtId="0" fontId="22" fillId="58" borderId="0" xfId="0" applyFont="1" applyFill="1" applyAlignment="1">
      <alignment horizontal="left"/>
    </xf>
    <xf numFmtId="43" fontId="25" fillId="0" borderId="0" xfId="0" applyNumberFormat="1" applyFont="1" applyAlignment="1">
      <alignment horizontal="left"/>
    </xf>
    <xf numFmtId="2" fontId="203" fillId="0" borderId="0" xfId="179" applyNumberFormat="1" applyFont="1" applyFill="1" applyBorder="1" applyAlignment="1">
      <alignment horizontal="right"/>
    </xf>
    <xf numFmtId="0" fontId="190" fillId="85" borderId="0" xfId="0" applyFont="1" applyFill="1"/>
    <xf numFmtId="169" fontId="242" fillId="0" borderId="0" xfId="179" applyNumberFormat="1" applyFont="1" applyFill="1" applyBorder="1" applyAlignment="1">
      <alignment horizontal="right"/>
    </xf>
    <xf numFmtId="14" fontId="25" fillId="0" borderId="28" xfId="0" applyNumberFormat="1" applyFont="1" applyBorder="1" applyAlignment="1">
      <alignment vertical="center"/>
    </xf>
    <xf numFmtId="0" fontId="22" fillId="65" borderId="28" xfId="0" applyFont="1" applyFill="1" applyBorder="1" applyAlignment="1">
      <alignment vertical="center"/>
    </xf>
    <xf numFmtId="0" fontId="22" fillId="0" borderId="28" xfId="0" applyFont="1" applyBorder="1" applyAlignment="1">
      <alignment horizontal="right" vertical="center"/>
    </xf>
    <xf numFmtId="0" fontId="22" fillId="0" borderId="29" xfId="0" applyFont="1" applyBorder="1" applyAlignment="1">
      <alignment horizontal="right" vertical="center"/>
    </xf>
    <xf numFmtId="183" fontId="22" fillId="69" borderId="0" xfId="0" applyNumberFormat="1" applyFont="1" applyFill="1" applyAlignment="1">
      <alignment vertical="center"/>
    </xf>
    <xf numFmtId="226" fontId="25" fillId="0" borderId="0" xfId="179" applyNumberFormat="1" applyBorder="1" applyAlignment="1">
      <alignment horizontal="right" vertical="center"/>
    </xf>
    <xf numFmtId="226" fontId="25" fillId="0" borderId="31" xfId="179" applyNumberFormat="1" applyBorder="1" applyAlignment="1">
      <alignment horizontal="right" vertical="center"/>
    </xf>
    <xf numFmtId="0" fontId="121" fillId="0" borderId="31" xfId="0" applyFont="1" applyBorder="1" applyAlignment="1">
      <alignment horizontal="right" vertical="center"/>
    </xf>
    <xf numFmtId="2" fontId="121" fillId="0" borderId="0" xfId="310" applyNumberFormat="1" applyFont="1" applyBorder="1" applyAlignment="1">
      <alignment vertical="center"/>
    </xf>
    <xf numFmtId="2" fontId="22" fillId="0" borderId="0" xfId="310" applyNumberFormat="1" applyFont="1" applyBorder="1" applyAlignment="1">
      <alignment vertical="center"/>
    </xf>
    <xf numFmtId="2" fontId="25" fillId="0" borderId="0" xfId="310" applyNumberFormat="1" applyBorder="1" applyAlignment="1">
      <alignment vertical="center"/>
    </xf>
    <xf numFmtId="1" fontId="25" fillId="0" borderId="0" xfId="0" applyNumberFormat="1" applyFont="1" applyAlignment="1">
      <alignment vertical="center"/>
    </xf>
    <xf numFmtId="165" fontId="122" fillId="0" borderId="0" xfId="0" applyNumberFormat="1" applyFont="1" applyAlignment="1">
      <alignment vertical="center"/>
    </xf>
    <xf numFmtId="0" fontId="122" fillId="0" borderId="31" xfId="0" applyFont="1" applyBorder="1" applyAlignment="1">
      <alignment vertical="center"/>
    </xf>
    <xf numFmtId="183" fontId="122" fillId="64" borderId="0" xfId="0" applyNumberFormat="1" applyFont="1" applyFill="1" applyAlignment="1">
      <alignment vertical="center"/>
    </xf>
    <xf numFmtId="0" fontId="122" fillId="64" borderId="0" xfId="0" applyFont="1" applyFill="1" applyAlignment="1">
      <alignment horizontal="right" vertical="center"/>
    </xf>
    <xf numFmtId="165" fontId="122" fillId="64" borderId="0" xfId="0" applyNumberFormat="1" applyFont="1" applyFill="1" applyAlignment="1">
      <alignment vertical="center"/>
    </xf>
    <xf numFmtId="0" fontId="122" fillId="64" borderId="31" xfId="0" applyFont="1" applyFill="1" applyBorder="1" applyAlignment="1">
      <alignment vertical="center"/>
    </xf>
    <xf numFmtId="0" fontId="0" fillId="59" borderId="0" xfId="0" applyFill="1"/>
    <xf numFmtId="0" fontId="20" fillId="0" borderId="0" xfId="0" applyFont="1" applyAlignment="1">
      <alignment horizontal="left" indent="3"/>
    </xf>
    <xf numFmtId="0" fontId="22" fillId="0" borderId="0" xfId="0" applyFont="1" applyAlignment="1">
      <alignment horizontal="left" indent="3"/>
    </xf>
    <xf numFmtId="169" fontId="22" fillId="0" borderId="0" xfId="179" applyNumberFormat="1" applyFont="1"/>
    <xf numFmtId="0" fontId="22" fillId="0" borderId="0" xfId="0" applyFont="1" applyAlignment="1">
      <alignment horizontal="left" indent="2"/>
    </xf>
    <xf numFmtId="0" fontId="20" fillId="59" borderId="0" xfId="0" applyFont="1" applyFill="1" applyAlignment="1">
      <alignment horizontal="left" indent="1"/>
    </xf>
    <xf numFmtId="169" fontId="25" fillId="59" borderId="0" xfId="179" applyNumberFormat="1" applyFill="1"/>
    <xf numFmtId="171" fontId="25" fillId="59" borderId="0" xfId="310" applyNumberFormat="1" applyFill="1"/>
    <xf numFmtId="0" fontId="22" fillId="0" borderId="0" xfId="0" applyFont="1" applyAlignment="1">
      <alignment horizontal="center" vertical="center"/>
    </xf>
    <xf numFmtId="43" fontId="0" fillId="59" borderId="0" xfId="0" applyNumberFormat="1" applyFill="1"/>
    <xf numFmtId="0" fontId="22" fillId="86" borderId="13" xfId="0" applyFont="1" applyFill="1" applyBorder="1" applyAlignment="1">
      <alignment horizontal="center" vertical="center"/>
    </xf>
    <xf numFmtId="169" fontId="25" fillId="65" borderId="0" xfId="179" applyNumberFormat="1" applyFill="1"/>
    <xf numFmtId="0" fontId="20" fillId="0" borderId="27" xfId="0" applyFont="1" applyBorder="1"/>
    <xf numFmtId="236" fontId="0" fillId="0" borderId="0" xfId="0" applyNumberFormat="1"/>
    <xf numFmtId="171" fontId="121" fillId="0" borderId="31" xfId="310" applyNumberFormat="1" applyFont="1" applyFill="1" applyBorder="1" applyAlignment="1">
      <alignment vertical="center"/>
    </xf>
    <xf numFmtId="171" fontId="194" fillId="0" borderId="31" xfId="0" applyNumberFormat="1" applyFont="1" applyBorder="1" applyAlignment="1">
      <alignment vertical="center"/>
    </xf>
    <xf numFmtId="2" fontId="194" fillId="0" borderId="31" xfId="0" applyNumberFormat="1" applyFont="1" applyBorder="1" applyAlignment="1">
      <alignment vertical="center"/>
    </xf>
    <xf numFmtId="0" fontId="25" fillId="63" borderId="31" xfId="0" applyFont="1" applyFill="1" applyBorder="1" applyAlignment="1">
      <alignment vertical="center"/>
    </xf>
    <xf numFmtId="169" fontId="22" fillId="0" borderId="31" xfId="0" applyNumberFormat="1" applyFont="1" applyBorder="1" applyAlignment="1">
      <alignment vertical="center"/>
    </xf>
    <xf numFmtId="169" fontId="22" fillId="0" borderId="31" xfId="310" applyNumberFormat="1" applyFont="1" applyFill="1" applyBorder="1" applyAlignment="1">
      <alignment horizontal="right" vertical="center"/>
    </xf>
    <xf numFmtId="171" fontId="25" fillId="0" borderId="31" xfId="310" applyNumberFormat="1" applyFill="1" applyBorder="1" applyAlignment="1">
      <alignment horizontal="right" vertical="center"/>
    </xf>
    <xf numFmtId="9" fontId="25" fillId="0" borderId="24" xfId="310" applyBorder="1" applyAlignment="1">
      <alignment vertical="center"/>
    </xf>
    <xf numFmtId="171" fontId="25" fillId="0" borderId="24" xfId="0" applyNumberFormat="1" applyFont="1" applyBorder="1" applyAlignment="1">
      <alignment vertical="center"/>
    </xf>
    <xf numFmtId="0" fontId="22" fillId="0" borderId="24" xfId="0" applyFont="1" applyBorder="1" applyAlignment="1">
      <alignment vertical="center"/>
    </xf>
    <xf numFmtId="184" fontId="22" fillId="0" borderId="24" xfId="0" applyNumberFormat="1" applyFont="1" applyBorder="1" applyAlignment="1">
      <alignment vertical="center"/>
    </xf>
    <xf numFmtId="169" fontId="22" fillId="0" borderId="24" xfId="0" applyNumberFormat="1" applyFont="1" applyBorder="1" applyAlignment="1">
      <alignment vertical="center"/>
    </xf>
    <xf numFmtId="184" fontId="25" fillId="0" borderId="24" xfId="0" applyNumberFormat="1" applyFont="1" applyBorder="1" applyAlignment="1">
      <alignment vertical="center"/>
    </xf>
    <xf numFmtId="169" fontId="22" fillId="0" borderId="24" xfId="310" applyNumberFormat="1" applyFont="1" applyBorder="1" applyAlignment="1">
      <alignment horizontal="right" vertical="center"/>
    </xf>
    <xf numFmtId="171" fontId="25" fillId="0" borderId="24" xfId="310" applyNumberFormat="1" applyFill="1" applyBorder="1" applyAlignment="1">
      <alignment horizontal="right" vertical="center"/>
    </xf>
    <xf numFmtId="0" fontId="25" fillId="0" borderId="24" xfId="310" applyNumberFormat="1" applyFill="1" applyBorder="1" applyAlignment="1">
      <alignment vertical="center"/>
    </xf>
    <xf numFmtId="0" fontId="25" fillId="63" borderId="24" xfId="0" applyFont="1" applyFill="1" applyBorder="1" applyAlignment="1">
      <alignment vertical="center"/>
    </xf>
    <xf numFmtId="169" fontId="22" fillId="0" borderId="24" xfId="310" applyNumberFormat="1" applyFont="1" applyFill="1" applyBorder="1" applyAlignment="1">
      <alignment horizontal="right" vertical="center"/>
    </xf>
    <xf numFmtId="0" fontId="258" fillId="79" borderId="0" xfId="0" applyFont="1" applyFill="1" applyAlignment="1">
      <alignment vertical="center" wrapText="1"/>
    </xf>
    <xf numFmtId="49" fontId="227" fillId="0" borderId="0" xfId="0" applyNumberFormat="1" applyFont="1"/>
    <xf numFmtId="4" fontId="20" fillId="0" borderId="0" xfId="0" applyNumberFormat="1" applyFont="1"/>
    <xf numFmtId="4" fontId="259" fillId="0" borderId="0" xfId="0" applyNumberFormat="1" applyFont="1"/>
    <xf numFmtId="0" fontId="260" fillId="79" borderId="0" xfId="0" applyFont="1" applyFill="1" applyAlignment="1">
      <alignment horizontal="center" vertical="center" wrapText="1"/>
    </xf>
    <xf numFmtId="0" fontId="260" fillId="79" borderId="0" xfId="0" applyFont="1" applyFill="1" applyAlignment="1">
      <alignment vertical="center" wrapText="1"/>
    </xf>
    <xf numFmtId="4" fontId="216" fillId="0" borderId="0" xfId="0" applyNumberFormat="1" applyFont="1"/>
    <xf numFmtId="3" fontId="20" fillId="0" borderId="0" xfId="0" applyNumberFormat="1" applyFont="1"/>
    <xf numFmtId="49" fontId="216" fillId="0" borderId="26" xfId="0" applyNumberFormat="1" applyFont="1" applyBorder="1"/>
    <xf numFmtId="49" fontId="216" fillId="0" borderId="28" xfId="0" applyNumberFormat="1" applyFont="1" applyBorder="1"/>
    <xf numFmtId="0" fontId="20" fillId="0" borderId="29" xfId="0" applyFont="1" applyBorder="1"/>
    <xf numFmtId="49" fontId="216" fillId="0" borderId="25" xfId="0" applyNumberFormat="1" applyFont="1" applyBorder="1"/>
    <xf numFmtId="49" fontId="216" fillId="0" borderId="0" xfId="0" applyNumberFormat="1" applyFont="1"/>
    <xf numFmtId="10" fontId="216" fillId="0" borderId="25" xfId="0" applyNumberFormat="1" applyFont="1" applyBorder="1"/>
    <xf numFmtId="10" fontId="224" fillId="0" borderId="25" xfId="0" applyNumberFormat="1" applyFont="1" applyBorder="1"/>
    <xf numFmtId="4" fontId="224" fillId="0" borderId="0" xfId="0" applyNumberFormat="1" applyFont="1"/>
    <xf numFmtId="49" fontId="224" fillId="0" borderId="25" xfId="0" applyNumberFormat="1" applyFont="1" applyBorder="1"/>
    <xf numFmtId="10" fontId="216" fillId="0" borderId="32" xfId="0" applyNumberFormat="1" applyFont="1" applyBorder="1"/>
    <xf numFmtId="0" fontId="216" fillId="0" borderId="27" xfId="0" applyFont="1" applyBorder="1"/>
    <xf numFmtId="3" fontId="216" fillId="0" borderId="27" xfId="0" applyNumberFormat="1" applyFont="1" applyBorder="1"/>
    <xf numFmtId="0" fontId="261" fillId="0" borderId="0" xfId="0" applyFont="1"/>
    <xf numFmtId="0" fontId="227" fillId="0" borderId="0" xfId="0" applyFont="1"/>
    <xf numFmtId="4" fontId="190" fillId="0" borderId="0" xfId="0" applyNumberFormat="1" applyFont="1"/>
    <xf numFmtId="14" fontId="227" fillId="0" borderId="0" xfId="179" applyNumberFormat="1" applyFont="1" applyFill="1" applyBorder="1"/>
    <xf numFmtId="0" fontId="262" fillId="0" borderId="0" xfId="0" applyFont="1" applyAlignment="1">
      <alignment horizontal="left"/>
    </xf>
    <xf numFmtId="0" fontId="263" fillId="0" borderId="0" xfId="0" applyFont="1"/>
    <xf numFmtId="0" fontId="264" fillId="0" borderId="0" xfId="0" applyFont="1"/>
    <xf numFmtId="0" fontId="265" fillId="0" borderId="0" xfId="0" applyFont="1"/>
    <xf numFmtId="9" fontId="263" fillId="0" borderId="0" xfId="310" applyFont="1" applyBorder="1"/>
    <xf numFmtId="171" fontId="263" fillId="0" borderId="0" xfId="310" applyNumberFormat="1" applyFont="1" applyBorder="1"/>
    <xf numFmtId="49" fontId="20" fillId="0" borderId="0" xfId="0" applyNumberFormat="1" applyFont="1"/>
    <xf numFmtId="4" fontId="216" fillId="65" borderId="0" xfId="0" applyNumberFormat="1" applyFont="1" applyFill="1"/>
    <xf numFmtId="4" fontId="198" fillId="0" borderId="0" xfId="0" applyNumberFormat="1" applyFont="1"/>
    <xf numFmtId="10" fontId="216" fillId="0" borderId="0" xfId="0" applyNumberFormat="1" applyFont="1"/>
    <xf numFmtId="3" fontId="198" fillId="0" borderId="0" xfId="0" applyNumberFormat="1" applyFont="1"/>
    <xf numFmtId="4" fontId="22" fillId="0" borderId="0" xfId="0" applyNumberFormat="1" applyFont="1"/>
    <xf numFmtId="0" fontId="22" fillId="107" borderId="28" xfId="0" applyFont="1" applyFill="1" applyBorder="1"/>
    <xf numFmtId="0" fontId="22" fillId="107" borderId="29" xfId="0" applyFont="1" applyFill="1" applyBorder="1"/>
    <xf numFmtId="0" fontId="22" fillId="108" borderId="0" xfId="0" applyFont="1" applyFill="1" applyAlignment="1">
      <alignment horizontal="center"/>
    </xf>
    <xf numFmtId="0" fontId="22" fillId="108" borderId="31" xfId="0" applyFont="1" applyFill="1" applyBorder="1" applyAlignment="1">
      <alignment horizontal="center"/>
    </xf>
    <xf numFmtId="0" fontId="235" fillId="109" borderId="26" xfId="0" applyFont="1" applyFill="1" applyBorder="1" applyAlignment="1">
      <alignment vertical="center"/>
    </xf>
    <xf numFmtId="0" fontId="235" fillId="110" borderId="26" xfId="0" applyFont="1" applyFill="1" applyBorder="1" applyAlignment="1">
      <alignment vertical="center"/>
    </xf>
    <xf numFmtId="0" fontId="235" fillId="110" borderId="28" xfId="0" applyFont="1" applyFill="1" applyBorder="1" applyAlignment="1">
      <alignment vertical="center"/>
    </xf>
    <xf numFmtId="0" fontId="267" fillId="109" borderId="25" xfId="0" applyFont="1" applyFill="1" applyBorder="1" applyAlignment="1">
      <alignment horizontal="left"/>
    </xf>
    <xf numFmtId="0" fontId="235" fillId="109" borderId="25" xfId="0" applyFont="1" applyFill="1" applyBorder="1" applyAlignment="1">
      <alignment horizontal="right"/>
    </xf>
    <xf numFmtId="0" fontId="235" fillId="109" borderId="0" xfId="0" applyFont="1" applyFill="1" applyAlignment="1">
      <alignment horizontal="right"/>
    </xf>
    <xf numFmtId="0" fontId="22" fillId="106" borderId="26" xfId="0" applyFont="1" applyFill="1" applyBorder="1" applyAlignment="1">
      <alignment vertical="center"/>
    </xf>
    <xf numFmtId="0" fontId="22" fillId="106" borderId="28" xfId="0" applyFont="1" applyFill="1" applyBorder="1" applyAlignment="1">
      <alignment vertical="center"/>
    </xf>
    <xf numFmtId="0" fontId="22" fillId="107" borderId="25" xfId="0" applyFont="1" applyFill="1" applyBorder="1" applyAlignment="1">
      <alignment horizontal="right"/>
    </xf>
    <xf numFmtId="0" fontId="22" fillId="111" borderId="28" xfId="0" applyFont="1" applyFill="1" applyBorder="1" applyAlignment="1">
      <alignment vertical="center"/>
    </xf>
    <xf numFmtId="0" fontId="22" fillId="112" borderId="27" xfId="0" applyFont="1" applyFill="1" applyBorder="1" applyAlignment="1">
      <alignment horizontal="right"/>
    </xf>
    <xf numFmtId="0" fontId="0" fillId="0" borderId="25" xfId="0" applyBorder="1"/>
    <xf numFmtId="0" fontId="198" fillId="0" borderId="27" xfId="0" applyFont="1" applyBorder="1" applyAlignment="1">
      <alignment horizontal="left" indent="1"/>
    </xf>
    <xf numFmtId="171" fontId="25" fillId="0" borderId="33" xfId="310" applyNumberFormat="1" applyBorder="1"/>
    <xf numFmtId="0" fontId="22" fillId="108" borderId="26" xfId="0" applyFont="1" applyFill="1" applyBorder="1"/>
    <xf numFmtId="0" fontId="0" fillId="108" borderId="28" xfId="0" applyFill="1" applyBorder="1"/>
    <xf numFmtId="0" fontId="22" fillId="108" borderId="28" xfId="0" applyFont="1" applyFill="1" applyBorder="1"/>
    <xf numFmtId="0" fontId="22" fillId="108" borderId="29" xfId="0" applyFont="1" applyFill="1" applyBorder="1" applyAlignment="1">
      <alignment horizontal="right"/>
    </xf>
    <xf numFmtId="14" fontId="0" fillId="0" borderId="0" xfId="0" applyNumberFormat="1"/>
    <xf numFmtId="0" fontId="258" fillId="79" borderId="13" xfId="435" applyFont="1" applyFill="1" applyBorder="1" applyAlignment="1">
      <alignment vertical="center" wrapText="1"/>
    </xf>
    <xf numFmtId="49" fontId="268" fillId="0" borderId="13" xfId="435" applyNumberFormat="1" applyFont="1" applyBorder="1"/>
    <xf numFmtId="49" fontId="268" fillId="0" borderId="0" xfId="435" applyNumberFormat="1" applyFont="1"/>
    <xf numFmtId="224" fontId="268" fillId="0" borderId="13" xfId="435" applyNumberFormat="1" applyFont="1" applyBorder="1" applyAlignment="1">
      <alignment horizontal="right"/>
    </xf>
    <xf numFmtId="224" fontId="268" fillId="0" borderId="0" xfId="435" applyNumberFormat="1" applyFont="1" applyAlignment="1">
      <alignment horizontal="right"/>
    </xf>
    <xf numFmtId="0" fontId="268" fillId="0" borderId="0" xfId="435" applyFont="1"/>
    <xf numFmtId="4" fontId="268" fillId="0" borderId="13" xfId="435" applyNumberFormat="1" applyFont="1" applyBorder="1"/>
    <xf numFmtId="225" fontId="268" fillId="0" borderId="13" xfId="435" applyNumberFormat="1" applyFont="1" applyBorder="1"/>
    <xf numFmtId="178" fontId="263" fillId="0" borderId="0" xfId="0" applyNumberFormat="1" applyFont="1" applyAlignment="1">
      <alignment vertical="center" wrapText="1"/>
    </xf>
    <xf numFmtId="178" fontId="263" fillId="0" borderId="0" xfId="0" applyNumberFormat="1" applyFont="1"/>
    <xf numFmtId="10" fontId="268" fillId="0" borderId="13" xfId="435" applyNumberFormat="1" applyFont="1" applyBorder="1"/>
    <xf numFmtId="0" fontId="261" fillId="0" borderId="0" xfId="435" applyFont="1"/>
    <xf numFmtId="0" fontId="268" fillId="64" borderId="0" xfId="435" applyFont="1" applyFill="1"/>
    <xf numFmtId="14" fontId="268" fillId="64" borderId="0" xfId="435" applyNumberFormat="1" applyFont="1" applyFill="1"/>
    <xf numFmtId="0" fontId="270" fillId="0" borderId="0" xfId="435" applyFont="1" applyFill="1" applyAlignment="1">
      <alignment horizontal="left"/>
    </xf>
    <xf numFmtId="0" fontId="268" fillId="0" borderId="0" xfId="435" applyFont="1" applyFill="1"/>
    <xf numFmtId="14" fontId="268" fillId="0" borderId="0" xfId="435" applyNumberFormat="1" applyFont="1" applyFill="1"/>
    <xf numFmtId="0" fontId="268" fillId="0" borderId="0" xfId="435" applyFont="1" applyFill="1" applyAlignment="1"/>
    <xf numFmtId="14" fontId="268" fillId="0" borderId="0" xfId="436" applyNumberFormat="1" applyFont="1" applyFill="1"/>
    <xf numFmtId="0" fontId="86" fillId="0" borderId="0" xfId="0" applyFont="1" applyAlignment="1">
      <alignment vertical="center" wrapText="1"/>
    </xf>
    <xf numFmtId="3" fontId="263" fillId="0" borderId="24" xfId="0" applyNumberFormat="1" applyFont="1" applyBorder="1"/>
    <xf numFmtId="0" fontId="263" fillId="0" borderId="24" xfId="0" applyFont="1" applyBorder="1"/>
    <xf numFmtId="224" fontId="263" fillId="0" borderId="24" xfId="0" applyNumberFormat="1" applyFont="1" applyBorder="1"/>
    <xf numFmtId="9" fontId="263" fillId="0" borderId="13" xfId="437" applyFont="1" applyBorder="1" applyAlignment="1">
      <alignment horizontal="right"/>
    </xf>
    <xf numFmtId="10" fontId="263" fillId="0" borderId="13" xfId="437" applyNumberFormat="1" applyFont="1" applyBorder="1" applyAlignment="1">
      <alignment horizontal="right"/>
    </xf>
    <xf numFmtId="3" fontId="263" fillId="0" borderId="0" xfId="0" applyNumberFormat="1" applyFont="1"/>
    <xf numFmtId="0" fontId="263" fillId="0" borderId="0" xfId="0" applyFont="1" applyAlignment="1">
      <alignment vertical="center" wrapText="1"/>
    </xf>
    <xf numFmtId="14" fontId="263" fillId="0" borderId="0" xfId="0" applyNumberFormat="1" applyFont="1" applyAlignment="1">
      <alignment vertical="center" wrapText="1"/>
    </xf>
    <xf numFmtId="224" fontId="263" fillId="0" borderId="0" xfId="0" applyNumberFormat="1" applyFont="1"/>
    <xf numFmtId="14" fontId="263" fillId="0" borderId="0" xfId="0" applyNumberFormat="1" applyFont="1"/>
    <xf numFmtId="3" fontId="263" fillId="0" borderId="5" xfId="0" applyNumberFormat="1" applyFont="1" applyBorder="1"/>
    <xf numFmtId="0" fontId="263" fillId="0" borderId="5" xfId="0" applyFont="1" applyBorder="1"/>
    <xf numFmtId="224" fontId="263" fillId="0" borderId="5" xfId="0" applyNumberFormat="1" applyFont="1" applyBorder="1"/>
    <xf numFmtId="3" fontId="263" fillId="0" borderId="13" xfId="0" applyNumberFormat="1" applyFont="1" applyBorder="1"/>
    <xf numFmtId="0" fontId="263" fillId="0" borderId="13" xfId="0" applyFont="1" applyBorder="1"/>
    <xf numFmtId="224" fontId="263" fillId="0" borderId="13" xfId="0" applyNumberFormat="1" applyFont="1" applyBorder="1"/>
    <xf numFmtId="0" fontId="264" fillId="0" borderId="0" xfId="435" applyFont="1"/>
    <xf numFmtId="0" fontId="265" fillId="0" borderId="0" xfId="435" applyFont="1"/>
    <xf numFmtId="0" fontId="269" fillId="113" borderId="0" xfId="435" applyFont="1" applyFill="1"/>
    <xf numFmtId="2" fontId="269" fillId="113" borderId="0" xfId="435" applyNumberFormat="1" applyFont="1" applyFill="1"/>
    <xf numFmtId="0" fontId="263" fillId="0" borderId="0" xfId="0" quotePrefix="1" applyFont="1"/>
    <xf numFmtId="2" fontId="263" fillId="0" borderId="0" xfId="0" applyNumberFormat="1" applyFont="1"/>
    <xf numFmtId="2" fontId="268" fillId="0" borderId="0" xfId="435" applyNumberFormat="1" applyFont="1" applyFill="1" applyAlignment="1"/>
    <xf numFmtId="0" fontId="254" fillId="64" borderId="92" xfId="0" applyFont="1" applyFill="1" applyBorder="1" applyAlignment="1">
      <alignment horizontal="left" vertical="center" wrapText="1"/>
    </xf>
    <xf numFmtId="0" fontId="253" fillId="64" borderId="91" xfId="0" applyFont="1" applyFill="1" applyBorder="1" applyAlignment="1">
      <alignment horizontal="left" vertical="center"/>
    </xf>
    <xf numFmtId="0" fontId="275" fillId="64" borderId="91" xfId="0" applyFont="1" applyFill="1" applyBorder="1" applyAlignment="1">
      <alignment horizontal="left" vertical="center"/>
    </xf>
    <xf numFmtId="0" fontId="273" fillId="64" borderId="91" xfId="0" applyFont="1" applyFill="1" applyBorder="1" applyAlignment="1">
      <alignment horizontal="left" vertical="center" indent="1"/>
    </xf>
    <xf numFmtId="0" fontId="273" fillId="64" borderId="90" xfId="0" applyFont="1" applyFill="1" applyBorder="1" applyAlignment="1">
      <alignment horizontal="left" vertical="center" indent="1"/>
    </xf>
    <xf numFmtId="0" fontId="20" fillId="0" borderId="81" xfId="0" applyFont="1" applyBorder="1" applyAlignment="1">
      <alignment horizontal="left"/>
    </xf>
    <xf numFmtId="171" fontId="20" fillId="58" borderId="0" xfId="310" applyNumberFormat="1" applyFont="1" applyFill="1" applyAlignment="1">
      <alignment vertical="center"/>
    </xf>
    <xf numFmtId="0" fontId="18" fillId="0" borderId="13" xfId="438" applyBorder="1"/>
    <xf numFmtId="0" fontId="277" fillId="104" borderId="13" xfId="438" applyFont="1" applyFill="1" applyBorder="1" applyAlignment="1">
      <alignment vertical="center" wrapText="1"/>
    </xf>
    <xf numFmtId="4" fontId="276" fillId="0" borderId="13" xfId="438" applyNumberFormat="1" applyFont="1" applyBorder="1"/>
    <xf numFmtId="4" fontId="18" fillId="0" borderId="13" xfId="438" applyNumberFormat="1" applyBorder="1"/>
    <xf numFmtId="0" fontId="0" fillId="0" borderId="32" xfId="0" applyBorder="1"/>
    <xf numFmtId="9" fontId="25" fillId="0" borderId="0" xfId="310" applyBorder="1"/>
    <xf numFmtId="0" fontId="20" fillId="0" borderId="28" xfId="0" applyFont="1" applyBorder="1"/>
    <xf numFmtId="9" fontId="25" fillId="0" borderId="31" xfId="310" applyBorder="1"/>
    <xf numFmtId="0" fontId="20" fillId="0" borderId="32" xfId="0" applyFont="1" applyBorder="1"/>
    <xf numFmtId="3" fontId="0" fillId="0" borderId="27" xfId="0" applyNumberFormat="1" applyBorder="1"/>
    <xf numFmtId="0" fontId="22" fillId="77" borderId="26" xfId="0" applyFont="1" applyFill="1" applyBorder="1"/>
    <xf numFmtId="0" fontId="0" fillId="77" borderId="28" xfId="0" applyFill="1" applyBorder="1"/>
    <xf numFmtId="0" fontId="0" fillId="77" borderId="29" xfId="0" applyFill="1" applyBorder="1"/>
    <xf numFmtId="0" fontId="22" fillId="73" borderId="94" xfId="0" applyFont="1" applyFill="1" applyBorder="1"/>
    <xf numFmtId="0" fontId="0" fillId="73" borderId="8" xfId="0" applyFill="1" applyBorder="1"/>
    <xf numFmtId="0" fontId="0" fillId="73" borderId="93" xfId="0" applyFill="1" applyBorder="1"/>
    <xf numFmtId="9" fontId="25" fillId="0" borderId="0" xfId="310" applyAlignment="1">
      <alignment horizontal="left"/>
    </xf>
    <xf numFmtId="4" fontId="18" fillId="65" borderId="13" xfId="438" applyNumberFormat="1" applyFill="1" applyBorder="1"/>
    <xf numFmtId="169" fontId="136" fillId="0" borderId="0" xfId="179" applyNumberFormat="1" applyFont="1" applyFill="1" applyAlignment="1">
      <alignment horizontal="right" vertical="center" wrapText="1"/>
    </xf>
    <xf numFmtId="0" fontId="136" fillId="0" borderId="0" xfId="0" applyFont="1" applyAlignment="1">
      <alignment horizontal="left" vertical="center" wrapText="1"/>
    </xf>
    <xf numFmtId="0" fontId="136" fillId="0" borderId="0" xfId="0" applyFont="1" applyAlignment="1">
      <alignment horizontal="left" vertical="center" wrapText="1" indent="1"/>
    </xf>
    <xf numFmtId="169" fontId="22" fillId="65" borderId="9" xfId="179" applyNumberFormat="1" applyFont="1" applyFill="1" applyBorder="1"/>
    <xf numFmtId="3" fontId="216" fillId="0" borderId="0" xfId="0" applyNumberFormat="1" applyFont="1"/>
    <xf numFmtId="0" fontId="260" fillId="104" borderId="0" xfId="0" applyFont="1" applyFill="1" applyAlignment="1">
      <alignment vertical="center" wrapText="1"/>
    </xf>
    <xf numFmtId="3" fontId="224" fillId="0" borderId="0" xfId="0" applyNumberFormat="1" applyFont="1"/>
    <xf numFmtId="3" fontId="20" fillId="0" borderId="27" xfId="0" applyNumberFormat="1" applyFont="1" applyBorder="1"/>
    <xf numFmtId="3" fontId="198" fillId="0" borderId="27" xfId="0" applyNumberFormat="1" applyFont="1" applyBorder="1"/>
    <xf numFmtId="0" fontId="285" fillId="0" borderId="0" xfId="0" applyFont="1"/>
    <xf numFmtId="0" fontId="286" fillId="0" borderId="0" xfId="0" applyFont="1"/>
    <xf numFmtId="0" fontId="287" fillId="0" borderId="0" xfId="0" applyFont="1"/>
    <xf numFmtId="4" fontId="216" fillId="83" borderId="0" xfId="0" applyNumberFormat="1" applyFont="1" applyFill="1"/>
    <xf numFmtId="0" fontId="216" fillId="78" borderId="0" xfId="0" applyFont="1" applyFill="1"/>
    <xf numFmtId="171" fontId="20" fillId="0" borderId="0" xfId="310" applyNumberFormat="1" applyFont="1" applyBorder="1"/>
    <xf numFmtId="49" fontId="224" fillId="0" borderId="0" xfId="0" applyNumberFormat="1" applyFont="1"/>
    <xf numFmtId="10" fontId="224" fillId="0" borderId="0" xfId="0" applyNumberFormat="1" applyFont="1"/>
    <xf numFmtId="0" fontId="193" fillId="0" borderId="0" xfId="0" applyFont="1"/>
    <xf numFmtId="4" fontId="193" fillId="0" borderId="0" xfId="0" applyNumberFormat="1" applyFont="1"/>
    <xf numFmtId="2" fontId="215" fillId="0" borderId="0" xfId="0" applyNumberFormat="1" applyFont="1"/>
    <xf numFmtId="43" fontId="189" fillId="0" borderId="0" xfId="0" applyNumberFormat="1" applyFont="1"/>
    <xf numFmtId="0" fontId="255" fillId="0" borderId="0" xfId="0" applyFont="1"/>
    <xf numFmtId="2" fontId="256" fillId="0" borderId="0" xfId="0" applyNumberFormat="1" applyFont="1"/>
    <xf numFmtId="4" fontId="162" fillId="0" borderId="0" xfId="0" applyNumberFormat="1" applyFont="1"/>
    <xf numFmtId="0" fontId="162" fillId="0" borderId="0" xfId="0" applyFont="1"/>
    <xf numFmtId="171" fontId="201" fillId="0" borderId="0" xfId="310" applyNumberFormat="1" applyFont="1" applyBorder="1"/>
    <xf numFmtId="169" fontId="201" fillId="0" borderId="0" xfId="179" applyNumberFormat="1" applyFont="1" applyBorder="1" applyAlignment="1">
      <alignment horizontal="left"/>
    </xf>
    <xf numFmtId="1" fontId="201" fillId="0" borderId="0" xfId="310" applyNumberFormat="1" applyFont="1" applyFill="1" applyBorder="1" applyAlignment="1">
      <alignment horizontal="right"/>
    </xf>
    <xf numFmtId="0" fontId="121" fillId="64" borderId="25" xfId="0" applyFont="1" applyFill="1" applyBorder="1" applyAlignment="1">
      <alignment horizontal="left" indent="4"/>
    </xf>
    <xf numFmtId="1" fontId="20" fillId="0" borderId="0" xfId="310" applyNumberFormat="1" applyFont="1" applyFill="1" applyBorder="1"/>
    <xf numFmtId="229" fontId="20" fillId="0" borderId="0" xfId="0" applyNumberFormat="1" applyFont="1"/>
    <xf numFmtId="0" fontId="216" fillId="113" borderId="0" xfId="0" applyFont="1" applyFill="1" applyAlignment="1">
      <alignment horizontal="left" indent="1"/>
    </xf>
    <xf numFmtId="0" fontId="20" fillId="0" borderId="25" xfId="0" applyFont="1" applyBorder="1" applyAlignment="1">
      <alignment vertical="center"/>
    </xf>
    <xf numFmtId="169" fontId="25" fillId="0" borderId="0" xfId="179" applyNumberFormat="1" applyAlignment="1">
      <alignment horizontal="left"/>
    </xf>
    <xf numFmtId="1" fontId="121" fillId="0" borderId="0" xfId="310" applyNumberFormat="1" applyFont="1" applyFill="1" applyBorder="1"/>
    <xf numFmtId="0" fontId="277" fillId="104" borderId="0" xfId="0" applyFont="1" applyFill="1" applyAlignment="1">
      <alignment vertical="center" wrapText="1"/>
    </xf>
    <xf numFmtId="9" fontId="25" fillId="64" borderId="0" xfId="310" applyFill="1"/>
    <xf numFmtId="0" fontId="22" fillId="105" borderId="26" xfId="0" applyFont="1" applyFill="1" applyBorder="1"/>
    <xf numFmtId="0" fontId="121" fillId="105" borderId="25" xfId="0" applyFont="1" applyFill="1" applyBorder="1" applyAlignment="1">
      <alignment horizontal="left"/>
    </xf>
    <xf numFmtId="0" fontId="22" fillId="74" borderId="0" xfId="0" applyFont="1" applyFill="1" applyAlignment="1">
      <alignment horizontal="center"/>
    </xf>
    <xf numFmtId="0" fontId="22" fillId="63" borderId="0" xfId="0" applyFont="1" applyFill="1" applyAlignment="1">
      <alignment horizontal="center"/>
    </xf>
    <xf numFmtId="169" fontId="25" fillId="113" borderId="0" xfId="179" applyNumberFormat="1" applyFill="1" applyBorder="1" applyAlignment="1">
      <alignment horizontal="right"/>
    </xf>
    <xf numFmtId="172" fontId="22" fillId="114" borderId="28" xfId="0" applyNumberFormat="1" applyFont="1" applyFill="1" applyBorder="1"/>
    <xf numFmtId="169" fontId="198" fillId="113" borderId="0" xfId="179" applyNumberFormat="1" applyFont="1" applyFill="1" applyBorder="1"/>
    <xf numFmtId="2" fontId="121" fillId="78" borderId="0" xfId="310" applyNumberFormat="1" applyFont="1" applyFill="1" applyAlignment="1">
      <alignment horizontal="right" vertical="center"/>
    </xf>
    <xf numFmtId="3" fontId="200" fillId="64" borderId="0" xfId="0" applyNumberFormat="1" applyFont="1" applyFill="1"/>
    <xf numFmtId="175" fontId="22" fillId="0" borderId="24" xfId="179" applyNumberFormat="1" applyFont="1" applyFill="1" applyBorder="1"/>
    <xf numFmtId="175" fontId="25" fillId="0" borderId="24" xfId="179" applyNumberFormat="1" applyFill="1" applyBorder="1"/>
    <xf numFmtId="169" fontId="207" fillId="0" borderId="24" xfId="179" applyNumberFormat="1" applyFont="1" applyFill="1" applyBorder="1"/>
    <xf numFmtId="169" fontId="25" fillId="0" borderId="24" xfId="179" applyNumberFormat="1" applyFill="1" applyBorder="1"/>
    <xf numFmtId="175" fontId="25" fillId="0" borderId="5" xfId="179" applyNumberFormat="1" applyFill="1" applyBorder="1"/>
    <xf numFmtId="175" fontId="22" fillId="0" borderId="5" xfId="179" applyNumberFormat="1" applyFont="1" applyFill="1" applyBorder="1"/>
    <xf numFmtId="168" fontId="22" fillId="0" borderId="0" xfId="179" applyFont="1"/>
    <xf numFmtId="169" fontId="290" fillId="63" borderId="0" xfId="179" applyNumberFormat="1" applyFont="1" applyFill="1" applyBorder="1"/>
    <xf numFmtId="169" fontId="25" fillId="117" borderId="0" xfId="179" applyNumberFormat="1" applyFill="1" applyBorder="1"/>
    <xf numFmtId="169" fontId="22" fillId="117" borderId="0" xfId="179" applyNumberFormat="1" applyFont="1" applyFill="1" applyBorder="1"/>
    <xf numFmtId="3" fontId="25" fillId="64" borderId="0" xfId="0" applyNumberFormat="1" applyFont="1" applyFill="1" applyAlignment="1">
      <alignment horizontal="right"/>
    </xf>
    <xf numFmtId="3" fontId="22" fillId="64" borderId="0" xfId="0" applyNumberFormat="1" applyFont="1" applyFill="1" applyAlignment="1">
      <alignment horizontal="right"/>
    </xf>
    <xf numFmtId="0" fontId="289" fillId="116" borderId="0" xfId="447"/>
    <xf numFmtId="169" fontId="25" fillId="64" borderId="24" xfId="179" applyNumberFormat="1" applyFill="1" applyBorder="1"/>
    <xf numFmtId="169" fontId="22" fillId="64" borderId="24" xfId="179" applyNumberFormat="1" applyFont="1" applyFill="1" applyBorder="1"/>
    <xf numFmtId="169" fontId="207" fillId="64" borderId="24" xfId="179" applyNumberFormat="1" applyFont="1" applyFill="1" applyBorder="1"/>
    <xf numFmtId="169" fontId="25" fillId="64" borderId="5" xfId="179" applyNumberFormat="1" applyFill="1" applyBorder="1"/>
    <xf numFmtId="169" fontId="22" fillId="64" borderId="5" xfId="179" applyNumberFormat="1" applyFont="1" applyFill="1" applyBorder="1"/>
    <xf numFmtId="169" fontId="25" fillId="64" borderId="23" xfId="179" applyNumberFormat="1" applyFill="1" applyBorder="1"/>
    <xf numFmtId="0" fontId="20" fillId="63" borderId="0" xfId="0" applyFont="1" applyFill="1"/>
    <xf numFmtId="43" fontId="25" fillId="64" borderId="0" xfId="0" applyNumberFormat="1" applyFont="1" applyFill="1"/>
    <xf numFmtId="171" fontId="25" fillId="0" borderId="28" xfId="310" applyNumberFormat="1" applyBorder="1"/>
    <xf numFmtId="171" fontId="198" fillId="63" borderId="0" xfId="310" applyNumberFormat="1" applyFont="1" applyFill="1" applyBorder="1" applyAlignment="1">
      <alignment horizontal="right"/>
    </xf>
    <xf numFmtId="171" fontId="198" fillId="63" borderId="0" xfId="310" applyNumberFormat="1" applyFont="1" applyFill="1" applyBorder="1"/>
    <xf numFmtId="169" fontId="25" fillId="76" borderId="0" xfId="179" applyNumberFormat="1" applyFill="1"/>
    <xf numFmtId="0" fontId="22" fillId="71" borderId="28" xfId="0" applyFont="1" applyFill="1" applyBorder="1"/>
    <xf numFmtId="0" fontId="22" fillId="77" borderId="28" xfId="0" applyFont="1" applyFill="1" applyBorder="1" applyAlignment="1">
      <alignment horizontal="right"/>
    </xf>
    <xf numFmtId="0" fontId="22" fillId="77" borderId="29" xfId="0" applyFont="1" applyFill="1" applyBorder="1" applyAlignment="1">
      <alignment horizontal="right"/>
    </xf>
    <xf numFmtId="3" fontId="25" fillId="0" borderId="0" xfId="179" applyNumberFormat="1" applyBorder="1"/>
    <xf numFmtId="3" fontId="25" fillId="0" borderId="31" xfId="179" applyNumberFormat="1" applyBorder="1"/>
    <xf numFmtId="0" fontId="229" fillId="0" borderId="25" xfId="0" applyFont="1" applyBorder="1" applyAlignment="1">
      <alignment horizontal="left" indent="1"/>
    </xf>
    <xf numFmtId="171" fontId="229" fillId="0" borderId="0" xfId="0" applyNumberFormat="1" applyFont="1"/>
    <xf numFmtId="171" fontId="229" fillId="0" borderId="31" xfId="0" applyNumberFormat="1" applyFont="1" applyBorder="1"/>
    <xf numFmtId="184" fontId="22" fillId="0" borderId="27" xfId="0" applyNumberFormat="1" applyFont="1" applyBorder="1"/>
    <xf numFmtId="184" fontId="22" fillId="0" borderId="33" xfId="0" applyNumberFormat="1" applyFont="1" applyBorder="1"/>
    <xf numFmtId="169" fontId="20" fillId="0" borderId="26" xfId="179" applyNumberFormat="1" applyFont="1" applyBorder="1"/>
    <xf numFmtId="0" fontId="22" fillId="85" borderId="0" xfId="0" applyFont="1" applyFill="1"/>
    <xf numFmtId="0" fontId="22" fillId="85" borderId="31" xfId="0" applyFont="1" applyFill="1" applyBorder="1"/>
    <xf numFmtId="169" fontId="22" fillId="0" borderId="27" xfId="179" applyNumberFormat="1" applyFont="1" applyBorder="1"/>
    <xf numFmtId="169" fontId="22" fillId="0" borderId="33" xfId="179" applyNumberFormat="1" applyFont="1" applyBorder="1"/>
    <xf numFmtId="0" fontId="22" fillId="0" borderId="95" xfId="0" applyFont="1" applyBorder="1" applyAlignment="1">
      <alignment vertical="center"/>
    </xf>
    <xf numFmtId="0" fontId="254" fillId="0" borderId="90" xfId="0" applyFont="1" applyBorder="1" applyAlignment="1">
      <alignment horizontal="left" vertical="center" wrapText="1"/>
    </xf>
    <xf numFmtId="0" fontId="253" fillId="0" borderId="91" xfId="0" applyFont="1" applyBorder="1" applyAlignment="1">
      <alignment horizontal="left" vertical="center"/>
    </xf>
    <xf numFmtId="3" fontId="272" fillId="0" borderId="91" xfId="0" applyNumberFormat="1" applyFont="1" applyBorder="1" applyAlignment="1">
      <alignment horizontal="right" vertical="center" wrapText="1"/>
    </xf>
    <xf numFmtId="0" fontId="273" fillId="0" borderId="91" xfId="0" applyFont="1" applyBorder="1" applyAlignment="1">
      <alignment horizontal="left" vertical="center" indent="1"/>
    </xf>
    <xf numFmtId="0" fontId="273" fillId="0" borderId="90" xfId="0" applyFont="1" applyBorder="1" applyAlignment="1">
      <alignment horizontal="left" vertical="center" indent="1"/>
    </xf>
    <xf numFmtId="0" fontId="253" fillId="0" borderId="91" xfId="0" applyFont="1" applyBorder="1" applyAlignment="1">
      <alignment horizontal="left" vertical="center" wrapText="1"/>
    </xf>
    <xf numFmtId="3" fontId="20" fillId="65" borderId="0" xfId="0" applyNumberFormat="1" applyFont="1" applyFill="1"/>
    <xf numFmtId="0" fontId="271" fillId="0" borderId="92" xfId="0" applyFont="1" applyBorder="1" applyAlignment="1">
      <alignment horizontal="right" vertical="center" wrapText="1"/>
    </xf>
    <xf numFmtId="3" fontId="275" fillId="0" borderId="91" xfId="0" applyNumberFormat="1" applyFont="1" applyBorder="1" applyAlignment="1">
      <alignment horizontal="right" vertical="center" wrapText="1"/>
    </xf>
    <xf numFmtId="171" fontId="274" fillId="0" borderId="91" xfId="0" applyNumberFormat="1" applyFont="1" applyBorder="1" applyAlignment="1">
      <alignment horizontal="right" vertical="center" wrapText="1"/>
    </xf>
    <xf numFmtId="184" fontId="272" fillId="0" borderId="91" xfId="0" applyNumberFormat="1" applyFont="1" applyBorder="1" applyAlignment="1">
      <alignment horizontal="right" vertical="center" wrapText="1"/>
    </xf>
    <xf numFmtId="171" fontId="274" fillId="0" borderId="90" xfId="0" applyNumberFormat="1" applyFont="1" applyBorder="1" applyAlignment="1">
      <alignment horizontal="right" vertical="center" wrapText="1"/>
    </xf>
    <xf numFmtId="0" fontId="25" fillId="0" borderId="91" xfId="0" applyFont="1" applyBorder="1" applyAlignment="1">
      <alignment vertical="center"/>
    </xf>
    <xf numFmtId="0" fontId="274" fillId="0" borderId="90" xfId="0" applyFont="1" applyBorder="1" applyAlignment="1">
      <alignment horizontal="right" vertical="center" wrapText="1"/>
    </xf>
    <xf numFmtId="171" fontId="275" fillId="0" borderId="91" xfId="0" applyNumberFormat="1" applyFont="1" applyBorder="1" applyAlignment="1">
      <alignment horizontal="right" vertical="center" wrapText="1"/>
    </xf>
    <xf numFmtId="171" fontId="25" fillId="0" borderId="91" xfId="0" applyNumberFormat="1" applyFont="1" applyBorder="1" applyAlignment="1">
      <alignment vertical="center"/>
    </xf>
    <xf numFmtId="0" fontId="275" fillId="0" borderId="91" xfId="0" applyFont="1" applyBorder="1" applyAlignment="1">
      <alignment horizontal="left" vertical="center" indent="1"/>
    </xf>
    <xf numFmtId="0" fontId="121" fillId="0" borderId="91" xfId="0" applyFont="1" applyBorder="1" applyAlignment="1">
      <alignment vertical="center"/>
    </xf>
    <xf numFmtId="3" fontId="273" fillId="0" borderId="91" xfId="0" applyNumberFormat="1" applyFont="1" applyBorder="1" applyAlignment="1">
      <alignment horizontal="right" vertical="center" wrapText="1"/>
    </xf>
    <xf numFmtId="0" fontId="275" fillId="0" borderId="91" xfId="0" applyFont="1" applyBorder="1" applyAlignment="1">
      <alignment horizontal="left" vertical="center" indent="2"/>
    </xf>
    <xf numFmtId="0" fontId="275" fillId="0" borderId="91" xfId="0" applyFont="1" applyBorder="1" applyAlignment="1">
      <alignment horizontal="left" vertical="center" indent="3"/>
    </xf>
    <xf numFmtId="0" fontId="271" fillId="0" borderId="93" xfId="0" applyFont="1" applyBorder="1" applyAlignment="1">
      <alignment horizontal="right" vertical="center" wrapText="1"/>
    </xf>
    <xf numFmtId="3" fontId="272" fillId="0" borderId="55" xfId="0" applyNumberFormat="1" applyFont="1" applyBorder="1" applyAlignment="1">
      <alignment horizontal="right" vertical="center" wrapText="1"/>
    </xf>
    <xf numFmtId="3" fontId="275" fillId="0" borderId="55" xfId="0" applyNumberFormat="1" applyFont="1" applyBorder="1" applyAlignment="1">
      <alignment horizontal="right" vertical="center" wrapText="1"/>
    </xf>
    <xf numFmtId="3" fontId="273" fillId="0" borderId="55" xfId="0" applyNumberFormat="1" applyFont="1" applyBorder="1" applyAlignment="1">
      <alignment horizontal="right" vertical="center" wrapText="1"/>
    </xf>
    <xf numFmtId="0" fontId="254" fillId="0" borderId="92" xfId="0" applyFont="1" applyBorder="1" applyAlignment="1">
      <alignment horizontal="left" vertical="center" wrapText="1"/>
    </xf>
    <xf numFmtId="0" fontId="121" fillId="0" borderId="17" xfId="0" applyFont="1" applyBorder="1" applyAlignment="1">
      <alignment vertical="center"/>
    </xf>
    <xf numFmtId="0" fontId="121" fillId="0" borderId="42" xfId="0" applyFont="1" applyBorder="1" applyAlignment="1">
      <alignment vertical="center"/>
    </xf>
    <xf numFmtId="0" fontId="275" fillId="0" borderId="90" xfId="0" applyFont="1" applyBorder="1" applyAlignment="1">
      <alignment horizontal="left" vertical="center" indent="1"/>
    </xf>
    <xf numFmtId="3" fontId="272" fillId="0" borderId="90" xfId="0" applyNumberFormat="1" applyFont="1" applyBorder="1" applyAlignment="1">
      <alignment horizontal="right" vertical="center" wrapText="1"/>
    </xf>
    <xf numFmtId="169" fontId="25" fillId="0" borderId="31" xfId="0" applyNumberFormat="1" applyFont="1" applyBorder="1"/>
    <xf numFmtId="169" fontId="201" fillId="0" borderId="31" xfId="179" applyNumberFormat="1" applyFont="1" applyFill="1" applyBorder="1"/>
    <xf numFmtId="169" fontId="201" fillId="0" borderId="31" xfId="0" applyNumberFormat="1" applyFont="1" applyBorder="1"/>
    <xf numFmtId="1" fontId="201" fillId="0" borderId="31" xfId="0" applyNumberFormat="1" applyFont="1" applyBorder="1"/>
    <xf numFmtId="0" fontId="201" fillId="0" borderId="31" xfId="0" applyFont="1" applyBorder="1"/>
    <xf numFmtId="0" fontId="128" fillId="0" borderId="25" xfId="0" applyFont="1" applyBorder="1" applyAlignment="1">
      <alignment horizontal="left" vertical="center" indent="2"/>
    </xf>
    <xf numFmtId="171" fontId="25" fillId="0" borderId="0" xfId="310" applyNumberFormat="1" applyAlignment="1">
      <alignment horizontal="left"/>
    </xf>
    <xf numFmtId="0" fontId="216" fillId="0" borderId="0" xfId="0" applyFont="1" applyAlignment="1">
      <alignment wrapText="1"/>
    </xf>
    <xf numFmtId="1" fontId="25" fillId="0" borderId="0" xfId="179" applyNumberFormat="1"/>
    <xf numFmtId="0" fontId="22" fillId="0" borderId="0" xfId="301" applyFont="1"/>
    <xf numFmtId="2" fontId="269" fillId="0" borderId="0" xfId="435" applyNumberFormat="1" applyFont="1" applyFill="1"/>
    <xf numFmtId="10" fontId="25" fillId="0" borderId="0" xfId="310" applyNumberFormat="1" applyFill="1" applyBorder="1" applyAlignment="1">
      <alignment horizontal="right"/>
    </xf>
    <xf numFmtId="2" fontId="121" fillId="0" borderId="0" xfId="0" applyNumberFormat="1" applyFont="1" applyAlignment="1">
      <alignment horizontal="right" vertical="center"/>
    </xf>
    <xf numFmtId="10" fontId="20" fillId="0" borderId="0" xfId="310" applyNumberFormat="1" applyFont="1" applyFill="1" applyAlignment="1">
      <alignment horizontal="right" vertical="center"/>
    </xf>
    <xf numFmtId="3" fontId="0" fillId="77" borderId="0" xfId="0" applyNumberFormat="1" applyFill="1"/>
    <xf numFmtId="3" fontId="22" fillId="77" borderId="25" xfId="0" applyNumberFormat="1" applyFont="1" applyFill="1" applyBorder="1" applyAlignment="1">
      <alignment vertical="center"/>
    </xf>
    <xf numFmtId="3" fontId="22" fillId="77" borderId="0" xfId="0" applyNumberFormat="1" applyFont="1" applyFill="1" applyAlignment="1">
      <alignment vertical="center"/>
    </xf>
    <xf numFmtId="173" fontId="22" fillId="77" borderId="0" xfId="0" applyNumberFormat="1" applyFont="1" applyFill="1" applyAlignment="1">
      <alignment vertical="center"/>
    </xf>
    <xf numFmtId="3" fontId="22" fillId="77" borderId="25" xfId="310" applyNumberFormat="1" applyFont="1" applyFill="1" applyBorder="1" applyAlignment="1" applyProtection="1">
      <alignment horizontal="right" vertical="center"/>
    </xf>
    <xf numFmtId="37" fontId="22" fillId="77" borderId="0" xfId="0" applyNumberFormat="1" applyFont="1" applyFill="1" applyAlignment="1">
      <alignment horizontal="right" vertical="center"/>
    </xf>
    <xf numFmtId="178" fontId="0" fillId="77" borderId="0" xfId="0" applyNumberFormat="1" applyFill="1"/>
    <xf numFmtId="171" fontId="25" fillId="77" borderId="0" xfId="310" applyNumberFormat="1" applyFill="1" applyBorder="1"/>
    <xf numFmtId="0" fontId="0" fillId="77" borderId="26" xfId="0" applyFill="1" applyBorder="1"/>
    <xf numFmtId="3" fontId="0" fillId="77" borderId="28" xfId="0" applyNumberFormat="1" applyFill="1" applyBorder="1"/>
    <xf numFmtId="169" fontId="25" fillId="77" borderId="28" xfId="179" applyNumberFormat="1" applyFill="1" applyBorder="1"/>
    <xf numFmtId="3" fontId="0" fillId="77" borderId="29" xfId="0" applyNumberFormat="1" applyFill="1" applyBorder="1"/>
    <xf numFmtId="0" fontId="0" fillId="77" borderId="25" xfId="0" applyFill="1" applyBorder="1"/>
    <xf numFmtId="0" fontId="22" fillId="77" borderId="25" xfId="0" applyFont="1" applyFill="1" applyBorder="1" applyAlignment="1">
      <alignment vertical="center"/>
    </xf>
    <xf numFmtId="3" fontId="22" fillId="77" borderId="31" xfId="0" applyNumberFormat="1" applyFont="1" applyFill="1" applyBorder="1" applyAlignment="1">
      <alignment vertical="center"/>
    </xf>
    <xf numFmtId="173" fontId="22" fillId="77" borderId="31" xfId="0" applyNumberFormat="1" applyFont="1" applyFill="1" applyBorder="1" applyAlignment="1">
      <alignment vertical="center"/>
    </xf>
    <xf numFmtId="0" fontId="113" fillId="77" borderId="25" xfId="0" applyFont="1" applyFill="1" applyBorder="1" applyAlignment="1">
      <alignment vertical="center"/>
    </xf>
    <xf numFmtId="37" fontId="22" fillId="77" borderId="31" xfId="0" applyNumberFormat="1" applyFont="1" applyFill="1" applyBorder="1" applyAlignment="1">
      <alignment horizontal="right" vertical="center"/>
    </xf>
    <xf numFmtId="178" fontId="0" fillId="77" borderId="31" xfId="0" applyNumberFormat="1" applyFill="1" applyBorder="1"/>
    <xf numFmtId="171" fontId="25" fillId="77" borderId="31" xfId="310" applyNumberFormat="1" applyFill="1" applyBorder="1"/>
    <xf numFmtId="0" fontId="0" fillId="77" borderId="32" xfId="0" applyFill="1" applyBorder="1"/>
    <xf numFmtId="0" fontId="0" fillId="77" borderId="27" xfId="0" applyFill="1" applyBorder="1"/>
    <xf numFmtId="10" fontId="25" fillId="77" borderId="27" xfId="310" applyNumberFormat="1" applyFill="1" applyBorder="1"/>
    <xf numFmtId="10" fontId="25" fillId="77" borderId="33" xfId="310" applyNumberFormat="1" applyFill="1" applyBorder="1"/>
    <xf numFmtId="0" fontId="0" fillId="77" borderId="20" xfId="0" applyFill="1" applyBorder="1"/>
    <xf numFmtId="0" fontId="0" fillId="77" borderId="9" xfId="0" applyFill="1" applyBorder="1"/>
    <xf numFmtId="0" fontId="0" fillId="77" borderId="30" xfId="0" applyFill="1" applyBorder="1"/>
    <xf numFmtId="0" fontId="16" fillId="0" borderId="0" xfId="448"/>
    <xf numFmtId="0" fontId="16" fillId="64" borderId="0" xfId="448" applyFill="1"/>
    <xf numFmtId="0" fontId="291" fillId="0" borderId="0" xfId="448" applyFont="1"/>
    <xf numFmtId="0" fontId="292" fillId="104" borderId="0" xfId="0" applyFont="1" applyFill="1" applyAlignment="1">
      <alignment vertical="center" wrapText="1"/>
    </xf>
    <xf numFmtId="0" fontId="268" fillId="0" borderId="0" xfId="451" applyFont="1"/>
    <xf numFmtId="0" fontId="268" fillId="64" borderId="0" xfId="451" applyFont="1" applyFill="1"/>
    <xf numFmtId="0" fontId="293" fillId="77" borderId="96" xfId="0" applyFont="1" applyFill="1" applyBorder="1" applyAlignment="1">
      <alignment horizontal="center" vertical="center" wrapText="1" readingOrder="1"/>
    </xf>
    <xf numFmtId="0" fontId="294" fillId="77" borderId="96" xfId="0" applyFont="1" applyFill="1" applyBorder="1" applyAlignment="1">
      <alignment horizontal="center" vertical="center" wrapText="1" readingOrder="1"/>
    </xf>
    <xf numFmtId="3" fontId="294" fillId="77" borderId="96" xfId="0" applyNumberFormat="1" applyFont="1" applyFill="1" applyBorder="1" applyAlignment="1">
      <alignment horizontal="center" vertical="center" wrapText="1" readingOrder="1"/>
    </xf>
    <xf numFmtId="10" fontId="294" fillId="77" borderId="96" xfId="0" applyNumberFormat="1" applyFont="1" applyFill="1" applyBorder="1" applyAlignment="1">
      <alignment horizontal="center" vertical="center" wrapText="1" readingOrder="1"/>
    </xf>
    <xf numFmtId="0" fontId="295" fillId="77" borderId="0" xfId="0" applyFont="1" applyFill="1" applyAlignment="1">
      <alignment horizontal="center"/>
    </xf>
    <xf numFmtId="0" fontId="293" fillId="77" borderId="100" xfId="0" applyFont="1" applyFill="1" applyBorder="1" applyAlignment="1">
      <alignment horizontal="center" vertical="center" wrapText="1" readingOrder="1"/>
    </xf>
    <xf numFmtId="0" fontId="293" fillId="77" borderId="101" xfId="0" applyFont="1" applyFill="1" applyBorder="1" applyAlignment="1">
      <alignment horizontal="center" vertical="center" wrapText="1" readingOrder="1"/>
    </xf>
    <xf numFmtId="0" fontId="294" fillId="77" borderId="100" xfId="0" applyFont="1" applyFill="1" applyBorder="1" applyAlignment="1">
      <alignment horizontal="center" vertical="center" wrapText="1" readingOrder="1"/>
    </xf>
    <xf numFmtId="175" fontId="295" fillId="77" borderId="0" xfId="179" applyNumberFormat="1" applyFont="1" applyFill="1" applyBorder="1" applyAlignment="1">
      <alignment horizontal="center"/>
    </xf>
    <xf numFmtId="178" fontId="295" fillId="77" borderId="0" xfId="0" applyNumberFormat="1" applyFont="1" applyFill="1" applyAlignment="1">
      <alignment horizontal="center"/>
    </xf>
    <xf numFmtId="10" fontId="294" fillId="77" borderId="101" xfId="0" applyNumberFormat="1" applyFont="1" applyFill="1" applyBorder="1" applyAlignment="1">
      <alignment horizontal="center" vertical="center" wrapText="1" readingOrder="1"/>
    </xf>
    <xf numFmtId="0" fontId="294" fillId="77" borderId="102" xfId="0" applyFont="1" applyFill="1" applyBorder="1" applyAlignment="1">
      <alignment horizontal="center" vertical="center" wrapText="1" readingOrder="1"/>
    </xf>
    <xf numFmtId="175" fontId="295" fillId="77" borderId="27" xfId="179" applyNumberFormat="1" applyFont="1" applyFill="1" applyBorder="1" applyAlignment="1">
      <alignment horizontal="center"/>
    </xf>
    <xf numFmtId="0" fontId="295" fillId="77" borderId="103" xfId="0" applyFont="1" applyFill="1" applyBorder="1" applyAlignment="1">
      <alignment horizontal="center" vertical="center" wrapText="1"/>
    </xf>
    <xf numFmtId="178" fontId="295" fillId="77" borderId="27" xfId="0" applyNumberFormat="1" applyFont="1" applyFill="1" applyBorder="1" applyAlignment="1">
      <alignment horizontal="center"/>
    </xf>
    <xf numFmtId="0" fontId="295" fillId="77" borderId="104" xfId="0" applyFont="1" applyFill="1" applyBorder="1" applyAlignment="1">
      <alignment horizontal="center" vertical="center" wrapText="1"/>
    </xf>
    <xf numFmtId="0" fontId="20" fillId="0" borderId="0" xfId="453"/>
    <xf numFmtId="2" fontId="20" fillId="0" borderId="0" xfId="453" applyNumberFormat="1"/>
    <xf numFmtId="178" fontId="20" fillId="0" borderId="0" xfId="453" applyNumberFormat="1"/>
    <xf numFmtId="184" fontId="20" fillId="0" borderId="0" xfId="476" applyNumberFormat="1"/>
    <xf numFmtId="169" fontId="25" fillId="73" borderId="0" xfId="179" applyNumberFormat="1" applyFill="1"/>
    <xf numFmtId="15" fontId="235" fillId="61" borderId="0" xfId="453" applyNumberFormat="1" applyFont="1" applyFill="1" applyAlignment="1">
      <alignment horizontal="center"/>
    </xf>
    <xf numFmtId="0" fontId="20" fillId="61" borderId="0" xfId="453" applyFill="1"/>
    <xf numFmtId="184" fontId="20" fillId="73" borderId="0" xfId="453" applyNumberFormat="1" applyFill="1"/>
    <xf numFmtId="169" fontId="20" fillId="73" borderId="0" xfId="476" applyNumberFormat="1" applyFill="1"/>
    <xf numFmtId="178" fontId="20" fillId="73" borderId="0" xfId="453" applyNumberFormat="1" applyFill="1"/>
    <xf numFmtId="0" fontId="20" fillId="73" borderId="0" xfId="453" applyFill="1"/>
    <xf numFmtId="0" fontId="0" fillId="73" borderId="0" xfId="0" applyFill="1"/>
    <xf numFmtId="9" fontId="25" fillId="65" borderId="0" xfId="310" applyFill="1"/>
    <xf numFmtId="0" fontId="291" fillId="0" borderId="0" xfId="0" applyFont="1"/>
    <xf numFmtId="0" fontId="296" fillId="0" borderId="0" xfId="0" applyFont="1"/>
    <xf numFmtId="3" fontId="189" fillId="0" borderId="0" xfId="0" applyNumberFormat="1" applyFont="1"/>
    <xf numFmtId="0" fontId="22" fillId="108" borderId="23" xfId="0" applyFont="1" applyFill="1" applyBorder="1" applyAlignment="1">
      <alignment horizontal="right"/>
    </xf>
    <xf numFmtId="0" fontId="0" fillId="0" borderId="24" xfId="0" applyBorder="1"/>
    <xf numFmtId="0" fontId="22" fillId="0" borderId="24" xfId="0" applyFont="1" applyBorder="1" applyAlignment="1">
      <alignment horizontal="right"/>
    </xf>
    <xf numFmtId="171" fontId="25" fillId="0" borderId="24" xfId="310" applyNumberFormat="1" applyBorder="1"/>
    <xf numFmtId="171" fontId="25" fillId="0" borderId="5" xfId="310" applyNumberFormat="1" applyBorder="1"/>
    <xf numFmtId="0" fontId="20" fillId="0" borderId="0" xfId="0" applyFont="1" applyAlignment="1">
      <alignment vertical="center"/>
    </xf>
    <xf numFmtId="178" fontId="25" fillId="0" borderId="0" xfId="301" applyNumberFormat="1" applyFont="1"/>
    <xf numFmtId="178" fontId="268" fillId="113" borderId="0" xfId="435" applyNumberFormat="1" applyFont="1" applyFill="1" applyAlignment="1"/>
    <xf numFmtId="178" fontId="268" fillId="0" borderId="0" xfId="435" applyNumberFormat="1" applyFont="1" applyFill="1" applyAlignment="1"/>
    <xf numFmtId="178" fontId="269" fillId="113" borderId="0" xfId="435" applyNumberFormat="1" applyFont="1" applyFill="1"/>
    <xf numFmtId="178" fontId="25" fillId="46" borderId="0" xfId="301" applyNumberFormat="1" applyFont="1" applyFill="1"/>
    <xf numFmtId="178" fontId="0" fillId="0" borderId="0" xfId="0" applyNumberFormat="1"/>
    <xf numFmtId="169" fontId="25" fillId="0" borderId="13" xfId="179" applyNumberFormat="1" applyBorder="1" applyAlignment="1">
      <alignment horizontal="right" vertical="center"/>
    </xf>
    <xf numFmtId="183" fontId="25" fillId="0" borderId="13" xfId="0" applyNumberFormat="1" applyFont="1" applyBorder="1" applyAlignment="1">
      <alignment horizontal="right" vertical="center"/>
    </xf>
    <xf numFmtId="1" fontId="25" fillId="0" borderId="13" xfId="179" applyNumberFormat="1" applyBorder="1" applyAlignment="1">
      <alignment horizontal="right" vertical="center"/>
    </xf>
    <xf numFmtId="9" fontId="22" fillId="0" borderId="13" xfId="0" applyNumberFormat="1" applyFont="1" applyBorder="1" applyAlignment="1">
      <alignment horizontal="right" vertical="center"/>
    </xf>
    <xf numFmtId="1" fontId="25" fillId="0" borderId="13" xfId="310" applyNumberFormat="1" applyFill="1" applyBorder="1" applyAlignment="1">
      <alignment horizontal="right" vertical="center"/>
    </xf>
    <xf numFmtId="169" fontId="25" fillId="0" borderId="13" xfId="310" applyNumberFormat="1" applyBorder="1" applyAlignment="1">
      <alignment horizontal="right" vertical="center"/>
    </xf>
    <xf numFmtId="9" fontId="22" fillId="0" borderId="23" xfId="0" applyNumberFormat="1" applyFont="1" applyBorder="1" applyAlignment="1">
      <alignment horizontal="right" vertical="center"/>
    </xf>
    <xf numFmtId="165" fontId="25" fillId="0" borderId="5" xfId="0" applyNumberFormat="1" applyFont="1" applyBorder="1" applyAlignment="1">
      <alignment horizontal="right" vertical="center"/>
    </xf>
    <xf numFmtId="9" fontId="297" fillId="119" borderId="105" xfId="0" applyNumberFormat="1" applyFont="1" applyFill="1" applyBorder="1" applyAlignment="1">
      <alignment horizontal="justify" vertical="center" wrapText="1"/>
    </xf>
    <xf numFmtId="9" fontId="297" fillId="119" borderId="106" xfId="0" applyNumberFormat="1" applyFont="1" applyFill="1" applyBorder="1" applyAlignment="1">
      <alignment horizontal="justify" vertical="center" wrapText="1"/>
    </xf>
    <xf numFmtId="0" fontId="0" fillId="57" borderId="26" xfId="0" applyFill="1" applyBorder="1"/>
    <xf numFmtId="0" fontId="0" fillId="57" borderId="28" xfId="0" applyFill="1" applyBorder="1"/>
    <xf numFmtId="0" fontId="0" fillId="57" borderId="29" xfId="0" applyFill="1" applyBorder="1"/>
    <xf numFmtId="0" fontId="0" fillId="57" borderId="25" xfId="0" applyFill="1" applyBorder="1"/>
    <xf numFmtId="0" fontId="0" fillId="57" borderId="0" xfId="0" applyFill="1"/>
    <xf numFmtId="0" fontId="0" fillId="57" borderId="31" xfId="0" applyFill="1" applyBorder="1"/>
    <xf numFmtId="171" fontId="25" fillId="57" borderId="0" xfId="310" applyNumberFormat="1" applyFill="1" applyBorder="1"/>
    <xf numFmtId="0" fontId="0" fillId="57" borderId="32" xfId="0" applyFill="1" applyBorder="1"/>
    <xf numFmtId="0" fontId="0" fillId="57" borderId="27" xfId="0" applyFill="1" applyBorder="1"/>
    <xf numFmtId="0" fontId="0" fillId="57" borderId="33" xfId="0" applyFill="1" applyBorder="1"/>
    <xf numFmtId="169" fontId="25" fillId="57" borderId="0" xfId="179" applyNumberFormat="1" applyFill="1" applyBorder="1"/>
    <xf numFmtId="3" fontId="0" fillId="57" borderId="27" xfId="0" applyNumberFormat="1" applyFill="1" applyBorder="1"/>
    <xf numFmtId="43" fontId="0" fillId="57" borderId="0" xfId="0" applyNumberFormat="1" applyFill="1"/>
    <xf numFmtId="1" fontId="20" fillId="73" borderId="0" xfId="453" applyNumberFormat="1" applyFill="1"/>
    <xf numFmtId="1" fontId="0" fillId="73" borderId="0" xfId="0" applyNumberFormat="1" applyFill="1"/>
    <xf numFmtId="0" fontId="276" fillId="0" borderId="13" xfId="0" applyFont="1" applyBorder="1" applyAlignment="1">
      <alignment horizontal="center" vertical="top"/>
    </xf>
    <xf numFmtId="0" fontId="0" fillId="0" borderId="13" xfId="0" applyBorder="1"/>
    <xf numFmtId="169" fontId="0" fillId="0" borderId="13" xfId="179" applyNumberFormat="1" applyFont="1" applyBorder="1"/>
    <xf numFmtId="0" fontId="276" fillId="63" borderId="13" xfId="0" applyFont="1" applyFill="1" applyBorder="1" applyAlignment="1">
      <alignment horizontal="center" vertical="top"/>
    </xf>
    <xf numFmtId="0" fontId="0" fillId="63" borderId="13" xfId="0" applyFill="1" applyBorder="1"/>
    <xf numFmtId="169" fontId="0" fillId="63" borderId="13" xfId="179" applyNumberFormat="1" applyFont="1" applyFill="1" applyBorder="1"/>
    <xf numFmtId="0" fontId="276" fillId="0" borderId="23" xfId="557" applyFont="1" applyBorder="1" applyAlignment="1">
      <alignment horizontal="center" vertical="top"/>
    </xf>
    <xf numFmtId="0" fontId="14" fillId="0" borderId="13" xfId="557" applyBorder="1"/>
    <xf numFmtId="10" fontId="25" fillId="0" borderId="13" xfId="310" applyNumberFormat="1" applyBorder="1"/>
    <xf numFmtId="0" fontId="276" fillId="0" borderId="13" xfId="558" applyFont="1" applyBorder="1" applyAlignment="1">
      <alignment horizontal="center" vertical="top" wrapText="1"/>
    </xf>
    <xf numFmtId="0" fontId="14" fillId="0" borderId="13" xfId="558" applyBorder="1"/>
    <xf numFmtId="9" fontId="25" fillId="0" borderId="31" xfId="310" applyFill="1" applyBorder="1"/>
    <xf numFmtId="169" fontId="298" fillId="73" borderId="0" xfId="179" applyNumberFormat="1" applyFont="1" applyFill="1" applyBorder="1" applyAlignment="1">
      <alignment horizontal="right"/>
    </xf>
    <xf numFmtId="171" fontId="20" fillId="0" borderId="0" xfId="310" applyNumberFormat="1" applyFont="1" applyFill="1" applyBorder="1"/>
    <xf numFmtId="236" fontId="25" fillId="0" borderId="0" xfId="179" applyNumberFormat="1" applyFill="1" applyBorder="1"/>
    <xf numFmtId="179" fontId="22" fillId="0" borderId="0" xfId="0" applyNumberFormat="1" applyFont="1"/>
    <xf numFmtId="168" fontId="20" fillId="0" borderId="0" xfId="179" applyFont="1" applyFill="1" applyBorder="1"/>
    <xf numFmtId="4" fontId="198" fillId="0" borderId="27" xfId="448" applyNumberFormat="1" applyFont="1" applyBorder="1"/>
    <xf numFmtId="0" fontId="0" fillId="0" borderId="32" xfId="0" applyBorder="1" applyAlignment="1">
      <alignment horizontal="left" indent="1"/>
    </xf>
    <xf numFmtId="9" fontId="20" fillId="0" borderId="0" xfId="310" applyFont="1"/>
    <xf numFmtId="15" fontId="0" fillId="0" borderId="0" xfId="0" applyNumberFormat="1"/>
    <xf numFmtId="175" fontId="25" fillId="0" borderId="0" xfId="179" applyNumberFormat="1"/>
    <xf numFmtId="0" fontId="198" fillId="0" borderId="0" xfId="442" applyFont="1"/>
    <xf numFmtId="4" fontId="198" fillId="0" borderId="0" xfId="442" applyNumberFormat="1" applyFont="1"/>
    <xf numFmtId="4" fontId="190" fillId="0" borderId="0" xfId="442" applyNumberFormat="1" applyFont="1"/>
    <xf numFmtId="0" fontId="235" fillId="120" borderId="0" xfId="0" applyFont="1" applyFill="1" applyAlignment="1">
      <alignment horizontal="center" vertical="center" wrapText="1"/>
    </xf>
    <xf numFmtId="0" fontId="235" fillId="120" borderId="0" xfId="0" applyFont="1" applyFill="1" applyAlignment="1">
      <alignment vertical="center" wrapText="1"/>
    </xf>
    <xf numFmtId="0" fontId="235" fillId="121" borderId="0" xfId="442" applyFont="1" applyFill="1" applyAlignment="1">
      <alignment vertical="center" wrapText="1"/>
    </xf>
    <xf numFmtId="0" fontId="299" fillId="120" borderId="0" xfId="0" applyFont="1" applyFill="1" applyAlignment="1">
      <alignment vertical="center" wrapText="1"/>
    </xf>
    <xf numFmtId="0" fontId="235" fillId="122" borderId="0" xfId="0" applyFont="1" applyFill="1" applyAlignment="1">
      <alignment horizontal="left"/>
    </xf>
    <xf numFmtId="1" fontId="122" fillId="90" borderId="0" xfId="310" applyNumberFormat="1" applyFont="1" applyFill="1" applyBorder="1" applyAlignment="1" applyProtection="1">
      <alignment vertical="center"/>
    </xf>
    <xf numFmtId="171" fontId="288" fillId="64" borderId="0" xfId="310" applyNumberFormat="1" applyFont="1" applyFill="1" applyBorder="1" applyAlignment="1">
      <alignment horizontal="right" vertical="center"/>
    </xf>
    <xf numFmtId="183" fontId="25" fillId="0" borderId="0" xfId="179" applyNumberFormat="1" applyFill="1" applyBorder="1" applyAlignment="1">
      <alignment horizontal="right" vertical="center"/>
    </xf>
    <xf numFmtId="183" fontId="22" fillId="0" borderId="0" xfId="179" applyNumberFormat="1" applyFont="1" applyFill="1" applyBorder="1" applyAlignment="1">
      <alignment horizontal="right" vertical="center"/>
    </xf>
    <xf numFmtId="183" fontId="25" fillId="0" borderId="0" xfId="310" applyNumberFormat="1" applyFill="1" applyBorder="1" applyAlignment="1">
      <alignment horizontal="right" vertical="center"/>
    </xf>
    <xf numFmtId="169" fontId="25" fillId="0" borderId="0" xfId="310" applyNumberFormat="1" applyFill="1" applyBorder="1" applyAlignment="1">
      <alignment horizontal="right" vertical="center"/>
    </xf>
    <xf numFmtId="169" fontId="122" fillId="0" borderId="0" xfId="0" applyNumberFormat="1" applyFont="1" applyAlignment="1">
      <alignment horizontal="right" vertical="center"/>
    </xf>
    <xf numFmtId="171" fontId="25" fillId="0" borderId="0" xfId="179" applyNumberFormat="1" applyFill="1" applyBorder="1" applyAlignment="1">
      <alignment horizontal="right" vertical="center"/>
    </xf>
    <xf numFmtId="171" fontId="22" fillId="0" borderId="0" xfId="310" applyNumberFormat="1" applyFont="1" applyFill="1" applyBorder="1" applyAlignment="1">
      <alignment horizontal="right" vertical="center"/>
    </xf>
    <xf numFmtId="171" fontId="22" fillId="0" borderId="0" xfId="179" applyNumberFormat="1" applyFont="1" applyFill="1" applyBorder="1" applyAlignment="1">
      <alignment horizontal="right" vertical="center"/>
    </xf>
    <xf numFmtId="0" fontId="25" fillId="0" borderId="0" xfId="179" applyNumberFormat="1" applyFill="1" applyBorder="1" applyAlignment="1">
      <alignment horizontal="right" vertical="center"/>
    </xf>
    <xf numFmtId="1" fontId="22" fillId="0" borderId="0" xfId="310" applyNumberFormat="1" applyFont="1" applyBorder="1" applyAlignment="1">
      <alignment horizontal="right" vertical="center"/>
    </xf>
    <xf numFmtId="165" fontId="25" fillId="0" borderId="0" xfId="0" applyNumberFormat="1" applyFont="1" applyAlignment="1">
      <alignment horizontal="right" vertical="center"/>
    </xf>
    <xf numFmtId="9" fontId="22" fillId="0" borderId="20" xfId="0" applyNumberFormat="1" applyFont="1" applyBorder="1" applyAlignment="1">
      <alignment horizontal="right" vertical="center"/>
    </xf>
    <xf numFmtId="169" fontId="25" fillId="0" borderId="20" xfId="179" applyNumberFormat="1" applyBorder="1" applyAlignment="1">
      <alignment horizontal="right" vertical="center"/>
    </xf>
    <xf numFmtId="171" fontId="122" fillId="73" borderId="0" xfId="310" applyNumberFormat="1" applyFont="1" applyFill="1" applyBorder="1" applyAlignment="1">
      <alignment horizontal="right" vertical="center"/>
    </xf>
    <xf numFmtId="171" fontId="121" fillId="64" borderId="0" xfId="310" applyNumberFormat="1" applyFont="1" applyFill="1" applyBorder="1" applyAlignment="1">
      <alignment horizontal="right" vertical="center"/>
    </xf>
    <xf numFmtId="0" fontId="22" fillId="0" borderId="0" xfId="179" applyNumberFormat="1" applyFont="1" applyBorder="1" applyAlignment="1">
      <alignment horizontal="right" vertical="center"/>
    </xf>
    <xf numFmtId="0" fontId="22" fillId="107" borderId="0" xfId="0" applyFont="1" applyFill="1" applyAlignment="1">
      <alignment horizontal="right"/>
    </xf>
    <xf numFmtId="49" fontId="216" fillId="64" borderId="0" xfId="0" applyNumberFormat="1" applyFont="1" applyFill="1"/>
    <xf numFmtId="4" fontId="216" fillId="64" borderId="0" xfId="0" applyNumberFormat="1" applyFont="1" applyFill="1"/>
    <xf numFmtId="4" fontId="198" fillId="64" borderId="0" xfId="0" applyNumberFormat="1" applyFont="1" applyFill="1"/>
    <xf numFmtId="4" fontId="20" fillId="64" borderId="0" xfId="0" applyNumberFormat="1" applyFont="1" applyFill="1"/>
    <xf numFmtId="0" fontId="20" fillId="64" borderId="0" xfId="0" applyFont="1" applyFill="1"/>
    <xf numFmtId="10" fontId="216" fillId="64" borderId="0" xfId="0" applyNumberFormat="1" applyFont="1" applyFill="1"/>
    <xf numFmtId="4" fontId="266" fillId="64" borderId="0" xfId="0" applyNumberFormat="1" applyFont="1" applyFill="1"/>
    <xf numFmtId="4" fontId="183" fillId="64" borderId="0" xfId="0" applyNumberFormat="1" applyFont="1" applyFill="1"/>
    <xf numFmtId="0" fontId="277" fillId="104" borderId="0" xfId="0" applyFont="1" applyFill="1" applyAlignment="1">
      <alignment horizontal="left" vertical="center" wrapText="1"/>
    </xf>
    <xf numFmtId="0" fontId="22" fillId="123" borderId="28" xfId="0" applyFont="1" applyFill="1" applyBorder="1" applyAlignment="1">
      <alignment horizontal="right"/>
    </xf>
    <xf numFmtId="14" fontId="235" fillId="64" borderId="0" xfId="0" applyNumberFormat="1" applyFont="1" applyFill="1" applyAlignment="1">
      <alignment horizontal="right"/>
    </xf>
    <xf numFmtId="0" fontId="235" fillId="64" borderId="0" xfId="0" applyFont="1" applyFill="1" applyAlignment="1">
      <alignment horizontal="right"/>
    </xf>
    <xf numFmtId="169" fontId="235" fillId="64" borderId="0" xfId="179" applyNumberFormat="1" applyFont="1" applyFill="1"/>
    <xf numFmtId="0" fontId="235" fillId="64" borderId="0" xfId="310" applyNumberFormat="1" applyFont="1" applyFill="1"/>
    <xf numFmtId="0" fontId="235" fillId="64" borderId="0" xfId="0" applyFont="1" applyFill="1"/>
    <xf numFmtId="174" fontId="22" fillId="102" borderId="49" xfId="0" applyNumberFormat="1" applyFont="1" applyFill="1" applyBorder="1" applyAlignment="1">
      <alignment vertical="center"/>
    </xf>
    <xf numFmtId="171" fontId="122" fillId="73" borderId="25" xfId="310" applyNumberFormat="1" applyFont="1" applyFill="1" applyBorder="1" applyAlignment="1">
      <alignment horizontal="right" vertical="center"/>
    </xf>
    <xf numFmtId="0" fontId="122" fillId="0" borderId="27" xfId="0" applyFont="1" applyBorder="1" applyAlignment="1">
      <alignment horizontal="left" vertical="center"/>
    </xf>
    <xf numFmtId="171" fontId="122" fillId="0" borderId="32" xfId="310" applyNumberFormat="1" applyFont="1" applyFill="1" applyBorder="1" applyAlignment="1">
      <alignment horizontal="right" vertical="center"/>
    </xf>
    <xf numFmtId="171" fontId="122" fillId="0" borderId="27" xfId="310" applyNumberFormat="1" applyFont="1" applyFill="1" applyBorder="1" applyAlignment="1">
      <alignment horizontal="right" vertical="center"/>
    </xf>
    <xf numFmtId="171" fontId="300" fillId="63" borderId="0" xfId="310" applyNumberFormat="1" applyFont="1" applyFill="1" applyBorder="1" applyAlignment="1">
      <alignment horizontal="right"/>
    </xf>
    <xf numFmtId="1" fontId="204" fillId="71" borderId="27" xfId="0" applyNumberFormat="1" applyFont="1" applyFill="1" applyBorder="1" applyAlignment="1">
      <alignment vertical="center"/>
    </xf>
    <xf numFmtId="3" fontId="22" fillId="64" borderId="0" xfId="0" applyNumberFormat="1" applyFont="1" applyFill="1"/>
    <xf numFmtId="3" fontId="252" fillId="64" borderId="0" xfId="0" applyNumberFormat="1" applyFont="1" applyFill="1"/>
    <xf numFmtId="3" fontId="121" fillId="64" borderId="0" xfId="0" applyNumberFormat="1" applyFont="1" applyFill="1"/>
    <xf numFmtId="3" fontId="25" fillId="64" borderId="0" xfId="0" applyNumberFormat="1" applyFont="1" applyFill="1"/>
    <xf numFmtId="169" fontId="22" fillId="90" borderId="0" xfId="179" applyNumberFormat="1" applyFont="1" applyFill="1" applyBorder="1" applyAlignment="1" applyProtection="1"/>
    <xf numFmtId="169" fontId="25" fillId="90" borderId="0" xfId="179" applyNumberFormat="1" applyFill="1" applyBorder="1" applyAlignment="1" applyProtection="1"/>
    <xf numFmtId="0" fontId="22" fillId="125" borderId="0" xfId="0" applyFont="1" applyFill="1" applyAlignment="1">
      <alignment horizontal="right"/>
    </xf>
    <xf numFmtId="0" fontId="22" fillId="90" borderId="0" xfId="0" applyFont="1" applyFill="1" applyAlignment="1">
      <alignment horizontal="right"/>
    </xf>
    <xf numFmtId="169" fontId="25" fillId="90" borderId="0" xfId="0" applyNumberFormat="1" applyFont="1" applyFill="1"/>
    <xf numFmtId="169" fontId="126" fillId="90" borderId="0" xfId="0" applyNumberFormat="1" applyFont="1" applyFill="1"/>
    <xf numFmtId="169" fontId="22" fillId="90" borderId="0" xfId="0" applyNumberFormat="1" applyFont="1" applyFill="1"/>
    <xf numFmtId="172" fontId="22" fillId="90" borderId="0" xfId="0" applyNumberFormat="1" applyFont="1" applyFill="1"/>
    <xf numFmtId="172" fontId="25" fillId="90" borderId="0" xfId="0" applyNumberFormat="1" applyFont="1" applyFill="1"/>
    <xf numFmtId="169" fontId="25" fillId="57" borderId="31" xfId="179" applyNumberFormat="1" applyFill="1" applyBorder="1"/>
    <xf numFmtId="169" fontId="207" fillId="0" borderId="31" xfId="179" applyNumberFormat="1" applyFont="1" applyBorder="1"/>
    <xf numFmtId="169" fontId="25" fillId="0" borderId="33" xfId="179" applyNumberFormat="1" applyBorder="1"/>
    <xf numFmtId="169" fontId="25" fillId="0" borderId="29" xfId="179" applyNumberFormat="1" applyBorder="1"/>
    <xf numFmtId="169" fontId="22" fillId="0" borderId="29" xfId="179" applyNumberFormat="1" applyFont="1" applyBorder="1"/>
    <xf numFmtId="0" fontId="22" fillId="126" borderId="0" xfId="0" applyFont="1" applyFill="1" applyAlignment="1">
      <alignment horizontal="right"/>
    </xf>
    <xf numFmtId="169" fontId="207" fillId="0" borderId="0" xfId="179" applyNumberFormat="1" applyFont="1" applyBorder="1"/>
    <xf numFmtId="169" fontId="22" fillId="0" borderId="13" xfId="179" applyNumberFormat="1" applyFont="1" applyBorder="1"/>
    <xf numFmtId="169" fontId="25" fillId="0" borderId="13" xfId="179" applyNumberFormat="1" applyBorder="1"/>
    <xf numFmtId="169" fontId="22" fillId="73" borderId="13" xfId="179" applyNumberFormat="1" applyFont="1" applyFill="1" applyBorder="1"/>
    <xf numFmtId="169" fontId="22" fillId="0" borderId="30" xfId="179" applyNumberFormat="1" applyFont="1" applyBorder="1"/>
    <xf numFmtId="169" fontId="22" fillId="73" borderId="30" xfId="179" applyNumberFormat="1" applyFont="1" applyFill="1" applyBorder="1"/>
    <xf numFmtId="184" fontId="25" fillId="64" borderId="0" xfId="0" applyNumberFormat="1" applyFont="1" applyFill="1"/>
    <xf numFmtId="171" fontId="25" fillId="64" borderId="0" xfId="310" applyNumberFormat="1" applyFill="1"/>
    <xf numFmtId="186" fontId="22" fillId="64" borderId="0" xfId="0" applyNumberFormat="1" applyFont="1" applyFill="1"/>
    <xf numFmtId="169" fontId="22" fillId="64" borderId="0" xfId="179" applyNumberFormat="1" applyFont="1" applyFill="1"/>
    <xf numFmtId="168" fontId="22" fillId="64" borderId="0" xfId="179" applyFont="1" applyFill="1"/>
    <xf numFmtId="169" fontId="25" fillId="64" borderId="0" xfId="179" applyNumberFormat="1" applyFill="1"/>
    <xf numFmtId="2" fontId="20" fillId="64" borderId="0" xfId="0" applyNumberFormat="1" applyFont="1" applyFill="1"/>
    <xf numFmtId="14" fontId="20" fillId="0" borderId="20" xfId="0" applyNumberFormat="1" applyFont="1" applyBorder="1"/>
    <xf numFmtId="14" fontId="20" fillId="0" borderId="9" xfId="0" applyNumberFormat="1" applyFont="1" applyBorder="1"/>
    <xf numFmtId="14" fontId="20" fillId="0" borderId="30" xfId="0" applyNumberFormat="1" applyFont="1" applyBorder="1"/>
    <xf numFmtId="14" fontId="20" fillId="64" borderId="0" xfId="0" applyNumberFormat="1" applyFont="1" applyFill="1"/>
    <xf numFmtId="0" fontId="22" fillId="90" borderId="0" xfId="0" applyFont="1" applyFill="1"/>
    <xf numFmtId="2" fontId="25" fillId="64" borderId="0" xfId="0" applyNumberFormat="1" applyFont="1" applyFill="1"/>
    <xf numFmtId="169" fontId="207" fillId="64" borderId="0" xfId="179" applyNumberFormat="1" applyFont="1" applyFill="1" applyBorder="1"/>
    <xf numFmtId="169" fontId="22" fillId="64" borderId="17" xfId="179" applyNumberFormat="1" applyFont="1" applyFill="1" applyBorder="1"/>
    <xf numFmtId="169" fontId="22" fillId="64" borderId="15" xfId="179" applyNumberFormat="1" applyFont="1" applyFill="1" applyBorder="1"/>
    <xf numFmtId="169" fontId="20" fillId="64" borderId="0" xfId="179" applyNumberFormat="1" applyFont="1" applyFill="1" applyBorder="1" applyAlignment="1">
      <alignment horizontal="right" indent="2"/>
    </xf>
    <xf numFmtId="10" fontId="25" fillId="60" borderId="0" xfId="310" applyNumberFormat="1" applyFill="1" applyBorder="1" applyAlignment="1" applyProtection="1"/>
    <xf numFmtId="0" fontId="22" fillId="60" borderId="0" xfId="0" applyFont="1" applyFill="1"/>
    <xf numFmtId="169" fontId="22" fillId="60" borderId="0" xfId="179" applyNumberFormat="1" applyFont="1" applyFill="1" applyBorder="1" applyAlignment="1" applyProtection="1"/>
    <xf numFmtId="169" fontId="25" fillId="60" borderId="0" xfId="179" applyNumberFormat="1" applyFill="1" applyBorder="1"/>
    <xf numFmtId="187" fontId="25" fillId="0" borderId="0" xfId="0" applyNumberFormat="1" applyFont="1"/>
    <xf numFmtId="178" fontId="25" fillId="78" borderId="0" xfId="310" applyNumberFormat="1" applyFill="1" applyBorder="1" applyAlignment="1">
      <alignment horizontal="right" vertical="center"/>
    </xf>
    <xf numFmtId="171" fontId="121" fillId="78" borderId="0" xfId="310" applyNumberFormat="1" applyFont="1" applyFill="1" applyBorder="1" applyAlignment="1">
      <alignment horizontal="right" vertical="center"/>
    </xf>
    <xf numFmtId="2" fontId="25" fillId="78" borderId="0" xfId="310" applyNumberFormat="1" applyFill="1" applyBorder="1" applyAlignment="1">
      <alignment horizontal="right" vertical="center"/>
    </xf>
    <xf numFmtId="2" fontId="121" fillId="78" borderId="0" xfId="310" applyNumberFormat="1" applyFont="1" applyFill="1" applyBorder="1" applyAlignment="1">
      <alignment horizontal="right" vertical="center"/>
    </xf>
    <xf numFmtId="1" fontId="121" fillId="78" borderId="0" xfId="310" applyNumberFormat="1" applyFont="1" applyFill="1" applyBorder="1" applyAlignment="1">
      <alignment horizontal="right" vertical="center"/>
    </xf>
    <xf numFmtId="169" fontId="190" fillId="75" borderId="0" xfId="179" applyNumberFormat="1" applyFont="1" applyFill="1" applyBorder="1"/>
    <xf numFmtId="0" fontId="201" fillId="75" borderId="0" xfId="0" applyFont="1" applyFill="1"/>
    <xf numFmtId="184" fontId="25" fillId="78" borderId="0" xfId="0" applyNumberFormat="1" applyFont="1" applyFill="1" applyAlignment="1">
      <alignment horizontal="right" vertical="center"/>
    </xf>
    <xf numFmtId="0" fontId="190" fillId="75" borderId="0" xfId="0" applyFont="1" applyFill="1" applyAlignment="1">
      <alignment horizontal="center"/>
    </xf>
    <xf numFmtId="184" fontId="190" fillId="75" borderId="0" xfId="0" applyNumberFormat="1" applyFont="1" applyFill="1"/>
    <xf numFmtId="171" fontId="245" fillId="75" borderId="0" xfId="310" applyNumberFormat="1" applyFont="1" applyFill="1" applyBorder="1" applyAlignment="1">
      <alignment horizontal="right"/>
    </xf>
    <xf numFmtId="171" fontId="219" fillId="75" borderId="0" xfId="310" applyNumberFormat="1" applyFont="1" applyFill="1" applyBorder="1" applyAlignment="1">
      <alignment horizontal="right"/>
    </xf>
    <xf numFmtId="171" fontId="219" fillId="75" borderId="0" xfId="310" applyNumberFormat="1" applyFont="1" applyFill="1" applyBorder="1" applyAlignment="1">
      <alignment horizontal="left" indent="1"/>
    </xf>
    <xf numFmtId="171" fontId="245" fillId="75" borderId="0" xfId="310" applyNumberFormat="1" applyFont="1" applyFill="1" applyBorder="1" applyAlignment="1">
      <alignment horizontal="left" indent="1"/>
    </xf>
    <xf numFmtId="0" fontId="22" fillId="78" borderId="0" xfId="0" applyFont="1" applyFill="1" applyAlignment="1">
      <alignment horizontal="right" vertical="center"/>
    </xf>
    <xf numFmtId="184" fontId="218" fillId="78" borderId="0" xfId="0" applyNumberFormat="1" applyFont="1" applyFill="1" applyAlignment="1">
      <alignment horizontal="right" vertical="center"/>
    </xf>
    <xf numFmtId="171" fontId="22" fillId="78" borderId="0" xfId="310" applyNumberFormat="1" applyFont="1" applyFill="1" applyBorder="1" applyAlignment="1">
      <alignment vertical="center"/>
    </xf>
    <xf numFmtId="169" fontId="25" fillId="78" borderId="0" xfId="179" applyNumberFormat="1" applyFill="1" applyBorder="1" applyAlignment="1">
      <alignment vertical="center"/>
    </xf>
    <xf numFmtId="184" fontId="198" fillId="0" borderId="0" xfId="181" applyNumberFormat="1" applyFont="1" applyFill="1" applyAlignment="1">
      <alignment horizontal="right" vertical="center"/>
    </xf>
    <xf numFmtId="184" fontId="198" fillId="78" borderId="0" xfId="0" applyNumberFormat="1" applyFont="1" applyFill="1" applyAlignment="1">
      <alignment horizontal="right" vertical="center"/>
    </xf>
    <xf numFmtId="233" fontId="198" fillId="78" borderId="0" xfId="186" applyNumberFormat="1" applyFont="1" applyFill="1" applyBorder="1" applyAlignment="1">
      <alignment horizontal="left" vertical="center"/>
    </xf>
    <xf numFmtId="233" fontId="198" fillId="0" borderId="0" xfId="186" applyNumberFormat="1" applyFont="1" applyFill="1" applyBorder="1" applyAlignment="1">
      <alignment horizontal="left" vertical="center"/>
    </xf>
    <xf numFmtId="0" fontId="198" fillId="78" borderId="0" xfId="181" applyNumberFormat="1" applyFont="1" applyFill="1" applyAlignment="1">
      <alignment horizontal="right" vertical="center"/>
    </xf>
    <xf numFmtId="0" fontId="132" fillId="0" borderId="0" xfId="0" applyFont="1"/>
    <xf numFmtId="0" fontId="121" fillId="43" borderId="0" xfId="0" applyFont="1" applyFill="1" applyAlignment="1">
      <alignment horizontal="right"/>
    </xf>
    <xf numFmtId="0" fontId="25" fillId="71" borderId="0" xfId="0" applyFont="1" applyFill="1"/>
    <xf numFmtId="0" fontId="134" fillId="0" borderId="0" xfId="0" applyFont="1"/>
    <xf numFmtId="0" fontId="217" fillId="0" borderId="0" xfId="0" applyFont="1" applyAlignment="1">
      <alignment horizontal="left" indent="1"/>
    </xf>
    <xf numFmtId="169" fontId="22" fillId="0" borderId="0" xfId="0" applyNumberFormat="1" applyFont="1" applyAlignment="1">
      <alignment horizontal="left" indent="1"/>
    </xf>
    <xf numFmtId="0" fontId="219" fillId="0" borderId="0" xfId="0" applyFont="1" applyAlignment="1">
      <alignment horizontal="left" indent="2"/>
    </xf>
    <xf numFmtId="169" fontId="245" fillId="0" borderId="0" xfId="0" applyNumberFormat="1" applyFont="1" applyAlignment="1">
      <alignment horizontal="left" indent="2"/>
    </xf>
    <xf numFmtId="0" fontId="245" fillId="0" borderId="0" xfId="0" applyFont="1" applyAlignment="1">
      <alignment horizontal="left" indent="2"/>
    </xf>
    <xf numFmtId="169" fontId="219" fillId="0" borderId="0" xfId="0" applyNumberFormat="1" applyFont="1" applyAlignment="1">
      <alignment horizontal="left" indent="2"/>
    </xf>
    <xf numFmtId="169" fontId="25" fillId="0" borderId="0" xfId="0" applyNumberFormat="1" applyFont="1" applyAlignment="1">
      <alignment horizontal="left" indent="1"/>
    </xf>
    <xf numFmtId="169" fontId="201" fillId="0" borderId="0" xfId="0" applyNumberFormat="1" applyFont="1" applyAlignment="1">
      <alignment horizontal="left" indent="1"/>
    </xf>
    <xf numFmtId="169" fontId="25" fillId="71" borderId="0" xfId="0" applyNumberFormat="1" applyFont="1" applyFill="1"/>
    <xf numFmtId="0" fontId="225" fillId="0" borderId="0" xfId="0" applyFont="1"/>
    <xf numFmtId="0" fontId="121" fillId="71" borderId="32" xfId="0" applyFont="1" applyFill="1" applyBorder="1" applyAlignment="1">
      <alignment horizontal="left"/>
    </xf>
    <xf numFmtId="0" fontId="22" fillId="123" borderId="27" xfId="0" applyFont="1" applyFill="1" applyBorder="1" applyAlignment="1">
      <alignment horizontal="center"/>
    </xf>
    <xf numFmtId="0" fontId="22" fillId="124" borderId="27" xfId="0" applyFont="1" applyFill="1" applyBorder="1" applyAlignment="1">
      <alignment horizontal="center"/>
    </xf>
    <xf numFmtId="0" fontId="22" fillId="124" borderId="27" xfId="0" applyFont="1" applyFill="1" applyBorder="1" applyAlignment="1">
      <alignment horizontal="right"/>
    </xf>
    <xf numFmtId="0" fontId="22" fillId="77" borderId="27" xfId="0" applyFont="1" applyFill="1" applyBorder="1" applyAlignment="1">
      <alignment horizontal="center"/>
    </xf>
    <xf numFmtId="0" fontId="22" fillId="94" borderId="28" xfId="0" applyFont="1" applyFill="1" applyBorder="1" applyAlignment="1">
      <alignment horizontal="right"/>
    </xf>
    <xf numFmtId="171" fontId="25" fillId="64" borderId="0" xfId="310" applyNumberFormat="1" applyFill="1" applyBorder="1" applyAlignment="1">
      <alignment horizontal="right" vertical="center"/>
    </xf>
    <xf numFmtId="10" fontId="121" fillId="90" borderId="0" xfId="310" applyNumberFormat="1" applyFont="1" applyFill="1" applyBorder="1" applyAlignment="1">
      <alignment vertical="center"/>
    </xf>
    <xf numFmtId="171" fontId="121" fillId="64" borderId="0" xfId="310" applyNumberFormat="1" applyFont="1" applyFill="1" applyBorder="1" applyAlignment="1" applyProtection="1">
      <alignment horizontal="right" vertical="center"/>
    </xf>
    <xf numFmtId="171" fontId="121" fillId="90" borderId="0" xfId="310" applyNumberFormat="1" applyFont="1" applyFill="1" applyBorder="1" applyAlignment="1">
      <alignment vertical="center"/>
    </xf>
    <xf numFmtId="171" fontId="121" fillId="64" borderId="0" xfId="310" applyNumberFormat="1" applyFont="1" applyFill="1" applyBorder="1" applyAlignment="1" applyProtection="1">
      <alignment vertical="center"/>
    </xf>
    <xf numFmtId="171" fontId="121" fillId="90" borderId="0" xfId="310" applyNumberFormat="1" applyFont="1" applyFill="1" applyBorder="1" applyAlignment="1" applyProtection="1">
      <alignment vertical="center"/>
    </xf>
    <xf numFmtId="171" fontId="121" fillId="90" borderId="0" xfId="310" applyNumberFormat="1" applyFont="1" applyFill="1" applyBorder="1" applyAlignment="1">
      <alignment horizontal="right" vertical="center"/>
    </xf>
    <xf numFmtId="3" fontId="22" fillId="64" borderId="0" xfId="310" applyNumberFormat="1" applyFont="1" applyFill="1" applyBorder="1" applyAlignment="1" applyProtection="1">
      <alignment horizontal="right" vertical="center"/>
    </xf>
    <xf numFmtId="171" fontId="122" fillId="64" borderId="0" xfId="310" applyNumberFormat="1" applyFont="1" applyFill="1" applyBorder="1" applyAlignment="1">
      <alignment horizontal="right" vertical="center"/>
    </xf>
    <xf numFmtId="169" fontId="22" fillId="64" borderId="0" xfId="179" applyNumberFormat="1" applyFont="1" applyFill="1" applyBorder="1" applyAlignment="1">
      <alignment horizontal="right" vertical="center"/>
    </xf>
    <xf numFmtId="169" fontId="25" fillId="64" borderId="0" xfId="179" applyNumberFormat="1" applyFill="1" applyBorder="1" applyAlignment="1">
      <alignment horizontal="right" vertical="center"/>
    </xf>
    <xf numFmtId="171" fontId="230" fillId="64" borderId="0" xfId="310" applyNumberFormat="1" applyFont="1" applyFill="1" applyBorder="1" applyAlignment="1">
      <alignment horizontal="right" vertical="center"/>
    </xf>
    <xf numFmtId="9" fontId="25" fillId="90" borderId="0" xfId="310" applyFill="1" applyBorder="1" applyAlignment="1"/>
    <xf numFmtId="183" fontId="25" fillId="64" borderId="0" xfId="310" applyNumberFormat="1" applyFill="1" applyBorder="1" applyAlignment="1">
      <alignment horizontal="right" vertical="center"/>
    </xf>
    <xf numFmtId="183" fontId="25" fillId="64" borderId="0" xfId="179" applyNumberFormat="1" applyFill="1" applyBorder="1" applyAlignment="1" applyProtection="1">
      <alignment horizontal="right" vertical="center"/>
    </xf>
    <xf numFmtId="168" fontId="25" fillId="90" borderId="0" xfId="179" applyFill="1" applyBorder="1" applyAlignment="1"/>
    <xf numFmtId="169" fontId="25" fillId="90" borderId="0" xfId="179" applyNumberFormat="1" applyFill="1" applyBorder="1" applyAlignment="1"/>
    <xf numFmtId="171" fontId="121" fillId="90" borderId="0" xfId="310" applyNumberFormat="1" applyFont="1" applyFill="1" applyBorder="1" applyAlignment="1"/>
    <xf numFmtId="9" fontId="25" fillId="64" borderId="0" xfId="310" applyFill="1" applyBorder="1" applyAlignment="1">
      <alignment horizontal="right" vertical="center"/>
    </xf>
    <xf numFmtId="183" fontId="25" fillId="64" borderId="0" xfId="179" applyNumberFormat="1" applyFill="1" applyBorder="1" applyAlignment="1">
      <alignment horizontal="right" vertical="center"/>
    </xf>
    <xf numFmtId="183" fontId="22" fillId="64" borderId="0" xfId="179" applyNumberFormat="1" applyFont="1" applyFill="1" applyBorder="1" applyAlignment="1">
      <alignment horizontal="right" vertical="center"/>
    </xf>
    <xf numFmtId="169" fontId="25" fillId="64" borderId="0" xfId="310" applyNumberFormat="1" applyFill="1" applyBorder="1" applyAlignment="1">
      <alignment horizontal="right" vertical="center"/>
    </xf>
    <xf numFmtId="171" fontId="25" fillId="64" borderId="0" xfId="179" applyNumberFormat="1" applyFill="1" applyBorder="1" applyAlignment="1">
      <alignment horizontal="right" vertical="center"/>
    </xf>
    <xf numFmtId="171" fontId="22" fillId="64" borderId="0" xfId="310" applyNumberFormat="1" applyFont="1" applyFill="1" applyBorder="1" applyAlignment="1">
      <alignment horizontal="right" vertical="center"/>
    </xf>
    <xf numFmtId="171" fontId="22" fillId="64" borderId="0" xfId="179" applyNumberFormat="1" applyFont="1" applyFill="1" applyBorder="1" applyAlignment="1">
      <alignment horizontal="right" vertical="center"/>
    </xf>
    <xf numFmtId="0" fontId="25" fillId="64" borderId="0" xfId="179" applyNumberFormat="1" applyFill="1" applyBorder="1" applyAlignment="1">
      <alignment horizontal="right" vertical="center"/>
    </xf>
    <xf numFmtId="0" fontId="121" fillId="64" borderId="0" xfId="310" applyNumberFormat="1" applyFont="1" applyFill="1" applyBorder="1" applyAlignment="1">
      <alignment horizontal="right" vertical="center"/>
    </xf>
    <xf numFmtId="9" fontId="121" fillId="64" borderId="0" xfId="310" applyFont="1" applyFill="1" applyBorder="1" applyAlignment="1">
      <alignment horizontal="right" vertical="center"/>
    </xf>
    <xf numFmtId="1" fontId="22" fillId="64" borderId="0" xfId="310" applyNumberFormat="1" applyFont="1" applyFill="1" applyBorder="1" applyAlignment="1">
      <alignment horizontal="right" vertical="center"/>
    </xf>
    <xf numFmtId="0" fontId="22" fillId="125" borderId="0" xfId="0" applyFont="1" applyFill="1" applyAlignment="1">
      <alignment horizontal="right" vertical="center"/>
    </xf>
    <xf numFmtId="9" fontId="121" fillId="90" borderId="0" xfId="310" applyFont="1" applyFill="1" applyBorder="1" applyAlignment="1">
      <alignment horizontal="right" vertical="center"/>
    </xf>
    <xf numFmtId="3" fontId="22" fillId="90" borderId="0" xfId="0" applyNumberFormat="1" applyFont="1" applyFill="1" applyAlignment="1">
      <alignment vertical="center"/>
    </xf>
    <xf numFmtId="3" fontId="25" fillId="90" borderId="0" xfId="0" applyNumberFormat="1" applyFont="1" applyFill="1" applyAlignment="1">
      <alignment vertical="center"/>
    </xf>
    <xf numFmtId="3" fontId="121" fillId="90" borderId="0" xfId="0" applyNumberFormat="1" applyFont="1" applyFill="1" applyAlignment="1">
      <alignment horizontal="left" vertical="center"/>
    </xf>
    <xf numFmtId="3" fontId="22" fillId="64" borderId="0" xfId="0" applyNumberFormat="1" applyFont="1" applyFill="1" applyAlignment="1">
      <alignment horizontal="right" vertical="center"/>
    </xf>
    <xf numFmtId="3" fontId="128" fillId="90" borderId="0" xfId="0" applyNumberFormat="1" applyFont="1" applyFill="1" applyAlignment="1">
      <alignment horizontal="left" vertical="center"/>
    </xf>
    <xf numFmtId="183" fontId="22" fillId="64" borderId="0" xfId="0" applyNumberFormat="1" applyFont="1" applyFill="1" applyAlignment="1">
      <alignment vertical="center"/>
    </xf>
    <xf numFmtId="183" fontId="22" fillId="64" borderId="0" xfId="0" applyNumberFormat="1" applyFont="1" applyFill="1" applyAlignment="1">
      <alignment horizontal="right" vertical="center"/>
    </xf>
    <xf numFmtId="3" fontId="129" fillId="90" borderId="0" xfId="0" applyNumberFormat="1" applyFont="1" applyFill="1" applyAlignment="1">
      <alignment horizontal="right" vertical="center"/>
    </xf>
    <xf numFmtId="3" fontId="128" fillId="90" borderId="0" xfId="0" applyNumberFormat="1" applyFont="1" applyFill="1" applyAlignment="1">
      <alignment horizontal="left" vertical="center" indent="2"/>
    </xf>
    <xf numFmtId="3" fontId="128" fillId="90" borderId="0" xfId="0" applyNumberFormat="1" applyFont="1" applyFill="1" applyAlignment="1">
      <alignment vertical="center"/>
    </xf>
    <xf numFmtId="3" fontId="132" fillId="90" borderId="0" xfId="0" applyNumberFormat="1" applyFont="1" applyFill="1" applyAlignment="1">
      <alignment vertical="center"/>
    </xf>
    <xf numFmtId="37" fontId="22" fillId="90" borderId="0" xfId="0" applyNumberFormat="1" applyFont="1" applyFill="1" applyAlignment="1">
      <alignment horizontal="right" vertical="center"/>
    </xf>
    <xf numFmtId="184" fontId="22" fillId="64" borderId="0" xfId="0" applyNumberFormat="1" applyFont="1" applyFill="1" applyAlignment="1">
      <alignment horizontal="right" vertical="center"/>
    </xf>
    <xf numFmtId="2" fontId="25" fillId="64" borderId="0" xfId="0" applyNumberFormat="1" applyFont="1" applyFill="1" applyAlignment="1">
      <alignment horizontal="right" vertical="center"/>
    </xf>
    <xf numFmtId="169" fontId="20" fillId="64" borderId="0" xfId="0" applyNumberFormat="1" applyFont="1" applyFill="1" applyAlignment="1">
      <alignment horizontal="right" vertical="center"/>
    </xf>
    <xf numFmtId="169" fontId="25" fillId="64" borderId="0" xfId="0" applyNumberFormat="1" applyFont="1" applyFill="1" applyAlignment="1">
      <alignment horizontal="right" vertical="center"/>
    </xf>
    <xf numFmtId="185" fontId="25" fillId="64" borderId="0" xfId="0" applyNumberFormat="1" applyFont="1" applyFill="1" applyAlignment="1">
      <alignment horizontal="right" vertical="center"/>
    </xf>
    <xf numFmtId="0" fontId="25" fillId="64" borderId="0" xfId="0" applyFont="1" applyFill="1" applyAlignment="1">
      <alignment vertical="center"/>
    </xf>
    <xf numFmtId="184" fontId="200" fillId="64" borderId="0" xfId="0" applyNumberFormat="1" applyFont="1" applyFill="1" applyAlignment="1">
      <alignment horizontal="right" vertical="center"/>
    </xf>
    <xf numFmtId="0" fontId="25" fillId="64" borderId="0" xfId="0" applyFont="1" applyFill="1" applyAlignment="1">
      <alignment horizontal="right" vertical="center"/>
    </xf>
    <xf numFmtId="184" fontId="25" fillId="64" borderId="0" xfId="0" applyNumberFormat="1" applyFont="1" applyFill="1" applyAlignment="1">
      <alignment horizontal="right" vertical="center"/>
    </xf>
    <xf numFmtId="3" fontId="185" fillId="90" borderId="0" xfId="0" applyNumberFormat="1" applyFont="1" applyFill="1" applyAlignment="1">
      <alignment vertical="center"/>
    </xf>
    <xf numFmtId="0" fontId="121" fillId="64" borderId="0" xfId="0" applyFont="1" applyFill="1" applyAlignment="1">
      <alignment vertical="center"/>
    </xf>
    <xf numFmtId="169" fontId="22" fillId="64" borderId="0" xfId="0" applyNumberFormat="1" applyFont="1" applyFill="1" applyAlignment="1">
      <alignment horizontal="right" vertical="center"/>
    </xf>
    <xf numFmtId="169" fontId="25" fillId="64" borderId="0" xfId="0" applyNumberFormat="1" applyFont="1" applyFill="1" applyAlignment="1">
      <alignment horizontal="left" vertical="center" indent="1"/>
    </xf>
    <xf numFmtId="171" fontId="121" fillId="64" borderId="0" xfId="0" applyNumberFormat="1" applyFont="1" applyFill="1" applyAlignment="1">
      <alignment horizontal="right" vertical="center"/>
    </xf>
    <xf numFmtId="171" fontId="25" fillId="64" borderId="0" xfId="0" applyNumberFormat="1" applyFont="1" applyFill="1" applyAlignment="1">
      <alignment horizontal="right" vertical="center"/>
    </xf>
    <xf numFmtId="169" fontId="25" fillId="64" borderId="0" xfId="0" applyNumberFormat="1" applyFont="1" applyFill="1" applyAlignment="1">
      <alignment vertical="center"/>
    </xf>
    <xf numFmtId="169" fontId="122" fillId="64" borderId="0" xfId="0" applyNumberFormat="1" applyFont="1" applyFill="1" applyAlignment="1">
      <alignment horizontal="right" vertical="center"/>
    </xf>
    <xf numFmtId="9" fontId="22" fillId="64" borderId="0" xfId="0" applyNumberFormat="1" applyFont="1" applyFill="1" applyAlignment="1">
      <alignment horizontal="right" vertical="center"/>
    </xf>
    <xf numFmtId="171" fontId="22" fillId="64" borderId="0" xfId="0" applyNumberFormat="1" applyFont="1" applyFill="1" applyAlignment="1">
      <alignment horizontal="right" vertical="center"/>
    </xf>
    <xf numFmtId="0" fontId="22" fillId="64" borderId="0" xfId="0" applyFont="1" applyFill="1" applyAlignment="1">
      <alignment horizontal="right" vertical="center"/>
    </xf>
    <xf numFmtId="0" fontId="22" fillId="64" borderId="0" xfId="0" applyFont="1" applyFill="1" applyAlignment="1">
      <alignment vertical="center"/>
    </xf>
    <xf numFmtId="0" fontId="22" fillId="64" borderId="0" xfId="179" applyNumberFormat="1" applyFont="1" applyFill="1" applyBorder="1" applyAlignment="1">
      <alignment horizontal="right" vertical="center"/>
    </xf>
    <xf numFmtId="9" fontId="25" fillId="64" borderId="0" xfId="0" applyNumberFormat="1" applyFont="1" applyFill="1" applyAlignment="1">
      <alignment horizontal="right" vertical="center"/>
    </xf>
    <xf numFmtId="165" fontId="25" fillId="64" borderId="0" xfId="0" applyNumberFormat="1" applyFont="1" applyFill="1" applyAlignment="1">
      <alignment horizontal="right" vertical="center"/>
    </xf>
    <xf numFmtId="183" fontId="25" fillId="0" borderId="31" xfId="0" applyNumberFormat="1" applyFont="1" applyBorder="1" applyAlignment="1">
      <alignment horizontal="right" vertical="center"/>
    </xf>
    <xf numFmtId="169" fontId="25" fillId="0" borderId="31" xfId="0" applyNumberFormat="1" applyFont="1" applyBorder="1" applyAlignment="1">
      <alignment horizontal="right" vertical="center"/>
    </xf>
    <xf numFmtId="183" fontId="25" fillId="0" borderId="31" xfId="310" applyNumberFormat="1" applyBorder="1" applyAlignment="1">
      <alignment horizontal="right" vertical="center"/>
    </xf>
    <xf numFmtId="9" fontId="25" fillId="0" borderId="31" xfId="310" applyBorder="1" applyAlignment="1">
      <alignment horizontal="right" vertical="center"/>
    </xf>
    <xf numFmtId="169" fontId="22" fillId="0" borderId="31" xfId="0" applyNumberFormat="1" applyFont="1" applyBorder="1" applyAlignment="1">
      <alignment horizontal="right" vertical="center"/>
    </xf>
    <xf numFmtId="171" fontId="121" fillId="0" borderId="31" xfId="310" applyNumberFormat="1" applyFont="1" applyFill="1" applyBorder="1" applyAlignment="1">
      <alignment horizontal="right" vertical="center"/>
    </xf>
    <xf numFmtId="169" fontId="22" fillId="0" borderId="31" xfId="179" applyNumberFormat="1" applyFont="1" applyFill="1" applyBorder="1" applyAlignment="1">
      <alignment horizontal="right" vertical="center"/>
    </xf>
    <xf numFmtId="183" fontId="22" fillId="0" borderId="31" xfId="179" applyNumberFormat="1" applyFont="1" applyFill="1" applyBorder="1" applyAlignment="1">
      <alignment horizontal="right" vertical="center"/>
    </xf>
    <xf numFmtId="183" fontId="25" fillId="0" borderId="31" xfId="179" applyNumberFormat="1" applyFill="1" applyBorder="1" applyAlignment="1">
      <alignment horizontal="right" vertical="center"/>
    </xf>
    <xf numFmtId="9" fontId="25" fillId="0" borderId="31" xfId="0" applyNumberFormat="1" applyFont="1" applyBorder="1" applyAlignment="1">
      <alignment horizontal="right" vertical="center"/>
    </xf>
    <xf numFmtId="171" fontId="25" fillId="0" borderId="31" xfId="179" applyNumberFormat="1" applyFill="1" applyBorder="1" applyAlignment="1">
      <alignment horizontal="right" vertical="center"/>
    </xf>
    <xf numFmtId="171" fontId="25" fillId="0" borderId="31" xfId="0" applyNumberFormat="1" applyFont="1" applyBorder="1" applyAlignment="1">
      <alignment horizontal="right" vertical="center"/>
    </xf>
    <xf numFmtId="9" fontId="25" fillId="0" borderId="31" xfId="179" applyNumberFormat="1" applyFill="1" applyBorder="1" applyAlignment="1">
      <alignment horizontal="right" vertical="center"/>
    </xf>
    <xf numFmtId="171" fontId="22" fillId="0" borderId="31" xfId="310" applyNumberFormat="1" applyFont="1" applyFill="1" applyBorder="1" applyAlignment="1">
      <alignment horizontal="right" vertical="center"/>
    </xf>
    <xf numFmtId="0" fontId="22" fillId="0" borderId="31" xfId="0" applyFont="1" applyBorder="1" applyAlignment="1">
      <alignment horizontal="right" vertical="center"/>
    </xf>
    <xf numFmtId="0" fontId="22" fillId="0" borderId="31" xfId="179" applyNumberFormat="1" applyFont="1" applyFill="1" applyBorder="1" applyAlignment="1">
      <alignment horizontal="right" vertical="center"/>
    </xf>
    <xf numFmtId="10" fontId="22" fillId="0" borderId="31" xfId="310" applyNumberFormat="1" applyFont="1" applyBorder="1" applyAlignment="1">
      <alignment horizontal="right" vertical="center"/>
    </xf>
    <xf numFmtId="9" fontId="22" fillId="0" borderId="31" xfId="0" applyNumberFormat="1" applyFont="1" applyBorder="1" applyAlignment="1">
      <alignment horizontal="right" vertical="center"/>
    </xf>
    <xf numFmtId="0" fontId="22" fillId="77" borderId="32" xfId="0" applyFont="1" applyFill="1" applyBorder="1" applyAlignment="1">
      <alignment horizontal="right"/>
    </xf>
    <xf numFmtId="0" fontId="22" fillId="77" borderId="33" xfId="0" applyFont="1" applyFill="1" applyBorder="1" applyAlignment="1">
      <alignment horizontal="right"/>
    </xf>
    <xf numFmtId="10" fontId="25" fillId="60" borderId="31" xfId="310" applyNumberFormat="1" applyFill="1" applyBorder="1" applyAlignment="1" applyProtection="1"/>
    <xf numFmtId="171" fontId="25" fillId="64" borderId="31" xfId="310" applyNumberFormat="1" applyFill="1" applyBorder="1" applyAlignment="1" applyProtection="1">
      <alignment horizontal="right"/>
    </xf>
    <xf numFmtId="0" fontId="22" fillId="60" borderId="31" xfId="0" applyFont="1" applyFill="1" applyBorder="1"/>
    <xf numFmtId="171" fontId="139" fillId="43" borderId="48" xfId="310" applyNumberFormat="1" applyFont="1" applyFill="1" applyBorder="1" applyAlignment="1" applyProtection="1">
      <alignment horizontal="center"/>
    </xf>
    <xf numFmtId="0" fontId="143" fillId="43" borderId="25" xfId="0" applyFont="1" applyFill="1" applyBorder="1" applyAlignment="1">
      <alignment horizontal="left"/>
    </xf>
    <xf numFmtId="166" fontId="143" fillId="43" borderId="25" xfId="0" applyNumberFormat="1" applyFont="1" applyFill="1" applyBorder="1" applyAlignment="1">
      <alignment horizontal="left" indent="1"/>
    </xf>
    <xf numFmtId="166" fontId="143" fillId="43" borderId="25" xfId="0" applyNumberFormat="1" applyFont="1" applyFill="1" applyBorder="1" applyAlignment="1">
      <alignment horizontal="left"/>
    </xf>
    <xf numFmtId="0" fontId="156" fillId="43" borderId="25" xfId="0" applyFont="1" applyFill="1" applyBorder="1"/>
    <xf numFmtId="0" fontId="140" fillId="43" borderId="25" xfId="0" applyFont="1" applyFill="1" applyBorder="1" applyAlignment="1">
      <alignment horizontal="left"/>
    </xf>
    <xf numFmtId="0" fontId="140" fillId="43" borderId="25" xfId="0" applyFont="1" applyFill="1" applyBorder="1"/>
    <xf numFmtId="0" fontId="140" fillId="43" borderId="32" xfId="0" applyFont="1" applyFill="1" applyBorder="1" applyAlignment="1">
      <alignment horizontal="left"/>
    </xf>
    <xf numFmtId="0" fontId="140" fillId="68" borderId="0" xfId="0" applyFont="1" applyFill="1" applyAlignment="1">
      <alignment horizontal="right"/>
    </xf>
    <xf numFmtId="169" fontId="25" fillId="43" borderId="0" xfId="179" applyNumberFormat="1" applyFill="1" applyBorder="1" applyAlignment="1">
      <alignment horizontal="right"/>
    </xf>
    <xf numFmtId="38" fontId="143" fillId="43" borderId="0" xfId="0" applyNumberFormat="1" applyFont="1" applyFill="1" applyAlignment="1">
      <alignment horizontal="right"/>
    </xf>
    <xf numFmtId="177" fontId="143" fillId="0" borderId="0" xfId="0" applyNumberFormat="1" applyFont="1" applyAlignment="1">
      <alignment horizontal="right"/>
    </xf>
    <xf numFmtId="177" fontId="143" fillId="43" borderId="0" xfId="0" applyNumberFormat="1" applyFont="1" applyFill="1" applyAlignment="1">
      <alignment horizontal="right"/>
    </xf>
    <xf numFmtId="38" fontId="156" fillId="43" borderId="0" xfId="0" applyNumberFormat="1" applyFont="1" applyFill="1"/>
    <xf numFmtId="38" fontId="161" fillId="43" borderId="0" xfId="0" applyNumberFormat="1" applyFont="1" applyFill="1" applyAlignment="1">
      <alignment horizontal="right"/>
    </xf>
    <xf numFmtId="171" fontId="239" fillId="64" borderId="0" xfId="310" applyNumberFormat="1" applyFont="1" applyFill="1" applyBorder="1" applyAlignment="1">
      <alignment horizontal="right" vertical="center"/>
    </xf>
    <xf numFmtId="171" fontId="230" fillId="90" borderId="0" xfId="310" applyNumberFormat="1" applyFont="1" applyFill="1" applyBorder="1" applyAlignment="1">
      <alignment horizontal="right" vertical="center"/>
    </xf>
    <xf numFmtId="43" fontId="25" fillId="64" borderId="0" xfId="0" applyNumberFormat="1" applyFont="1" applyFill="1" applyAlignment="1">
      <alignment horizontal="right" vertical="center"/>
    </xf>
    <xf numFmtId="179" fontId="25" fillId="64" borderId="0" xfId="0" applyNumberFormat="1" applyFont="1" applyFill="1" applyAlignment="1">
      <alignment horizontal="right" vertical="center"/>
    </xf>
    <xf numFmtId="1" fontId="25" fillId="64" borderId="0" xfId="0" applyNumberFormat="1" applyFont="1" applyFill="1" applyAlignment="1">
      <alignment horizontal="right" vertical="center"/>
    </xf>
    <xf numFmtId="183" fontId="121" fillId="64" borderId="0" xfId="0" applyNumberFormat="1" applyFont="1" applyFill="1" applyAlignment="1">
      <alignment horizontal="right" vertical="center"/>
    </xf>
    <xf numFmtId="43" fontId="121" fillId="64" borderId="0" xfId="0" applyNumberFormat="1" applyFont="1" applyFill="1" applyAlignment="1">
      <alignment horizontal="right" vertical="center"/>
    </xf>
    <xf numFmtId="0" fontId="121" fillId="64" borderId="0" xfId="0" applyFont="1" applyFill="1" applyAlignment="1">
      <alignment horizontal="right" vertical="center"/>
    </xf>
    <xf numFmtId="179" fontId="121" fillId="64" borderId="0" xfId="310" applyNumberFormat="1" applyFont="1" applyFill="1" applyBorder="1" applyAlignment="1">
      <alignment horizontal="right" vertical="center"/>
    </xf>
    <xf numFmtId="179" fontId="25" fillId="64" borderId="0" xfId="310" applyNumberFormat="1" applyFill="1" applyBorder="1" applyAlignment="1">
      <alignment horizontal="right" vertical="center"/>
    </xf>
    <xf numFmtId="171" fontId="121" fillId="64" borderId="0" xfId="310" applyNumberFormat="1" applyFont="1" applyFill="1" applyBorder="1" applyAlignment="1">
      <alignment vertical="center"/>
    </xf>
    <xf numFmtId="171" fontId="121" fillId="90" borderId="0" xfId="310" applyNumberFormat="1" applyFont="1" applyFill="1" applyBorder="1" applyAlignment="1" applyProtection="1">
      <alignment horizontal="right" vertical="center"/>
    </xf>
    <xf numFmtId="171" fontId="122" fillId="64" borderId="26" xfId="310" applyNumberFormat="1" applyFont="1" applyFill="1" applyBorder="1" applyAlignment="1">
      <alignment horizontal="right" vertical="center"/>
    </xf>
    <xf numFmtId="169" fontId="25" fillId="64" borderId="28" xfId="179" applyNumberFormat="1" applyFill="1" applyBorder="1" applyAlignment="1">
      <alignment horizontal="right" vertical="center"/>
    </xf>
    <xf numFmtId="169" fontId="25" fillId="64" borderId="25" xfId="179" applyNumberFormat="1" applyFill="1" applyBorder="1" applyAlignment="1">
      <alignment horizontal="right" vertical="center"/>
    </xf>
    <xf numFmtId="183" fontId="25" fillId="64" borderId="25" xfId="0" applyNumberFormat="1" applyFont="1" applyFill="1" applyBorder="1" applyAlignment="1">
      <alignment horizontal="right" vertical="center"/>
    </xf>
    <xf numFmtId="171" fontId="121" fillId="64" borderId="25" xfId="310" applyNumberFormat="1" applyFont="1" applyFill="1" applyBorder="1" applyAlignment="1">
      <alignment horizontal="right" vertical="center"/>
    </xf>
    <xf numFmtId="184" fontId="22" fillId="64" borderId="25" xfId="0" applyNumberFormat="1" applyFont="1" applyFill="1" applyBorder="1" applyAlignment="1">
      <alignment horizontal="right" vertical="center"/>
    </xf>
    <xf numFmtId="171" fontId="230" fillId="90" borderId="25" xfId="310" applyNumberFormat="1" applyFont="1" applyFill="1" applyBorder="1" applyAlignment="1">
      <alignment horizontal="right" vertical="center"/>
    </xf>
    <xf numFmtId="43" fontId="25" fillId="64" borderId="25" xfId="0" applyNumberFormat="1" applyFont="1" applyFill="1" applyBorder="1" applyAlignment="1">
      <alignment horizontal="right" vertical="center"/>
    </xf>
    <xf numFmtId="43" fontId="121" fillId="64" borderId="25" xfId="0" applyNumberFormat="1" applyFont="1" applyFill="1" applyBorder="1" applyAlignment="1">
      <alignment horizontal="right" vertical="center"/>
    </xf>
    <xf numFmtId="185" fontId="25" fillId="64" borderId="25" xfId="0" applyNumberFormat="1" applyFont="1" applyFill="1" applyBorder="1" applyAlignment="1">
      <alignment horizontal="right" vertical="center"/>
    </xf>
    <xf numFmtId="9" fontId="25" fillId="90" borderId="25" xfId="310" applyFill="1" applyBorder="1" applyAlignment="1"/>
    <xf numFmtId="9" fontId="25" fillId="64" borderId="25" xfId="310" applyFill="1" applyBorder="1" applyAlignment="1">
      <alignment horizontal="right" vertical="center"/>
    </xf>
    <xf numFmtId="171" fontId="122" fillId="64" borderId="25" xfId="310" applyNumberFormat="1" applyFont="1" applyFill="1" applyBorder="1" applyAlignment="1">
      <alignment horizontal="right" vertical="center"/>
    </xf>
    <xf numFmtId="0" fontId="25" fillId="64" borderId="25" xfId="0" applyFont="1" applyFill="1" applyBorder="1" applyAlignment="1">
      <alignment vertical="center"/>
    </xf>
    <xf numFmtId="0" fontId="25" fillId="64" borderId="31" xfId="0" applyFont="1" applyFill="1" applyBorder="1" applyAlignment="1">
      <alignment vertical="center"/>
    </xf>
    <xf numFmtId="0" fontId="25" fillId="64" borderId="25" xfId="0" applyFont="1" applyFill="1" applyBorder="1" applyAlignment="1">
      <alignment horizontal="right" vertical="center"/>
    </xf>
    <xf numFmtId="184" fontId="25" fillId="64" borderId="25" xfId="0" applyNumberFormat="1" applyFont="1" applyFill="1" applyBorder="1" applyAlignment="1">
      <alignment horizontal="right" vertical="center"/>
    </xf>
    <xf numFmtId="3" fontId="25" fillId="90" borderId="25" xfId="0" applyNumberFormat="1" applyFont="1" applyFill="1" applyBorder="1" applyAlignment="1">
      <alignment vertical="center"/>
    </xf>
    <xf numFmtId="171" fontId="121" fillId="90" borderId="25" xfId="310" applyNumberFormat="1" applyFont="1" applyFill="1" applyBorder="1" applyAlignment="1">
      <alignment vertical="center"/>
    </xf>
    <xf numFmtId="183" fontId="25" fillId="90" borderId="25" xfId="179" applyNumberFormat="1" applyFill="1" applyBorder="1" applyAlignment="1" applyProtection="1">
      <alignment horizontal="right" vertical="center"/>
    </xf>
    <xf numFmtId="171" fontId="121" fillId="90" borderId="25" xfId="310" applyNumberFormat="1" applyFont="1" applyFill="1" applyBorder="1" applyAlignment="1" applyProtection="1">
      <alignment horizontal="right" vertical="center"/>
    </xf>
    <xf numFmtId="168" fontId="25" fillId="90" borderId="25" xfId="179" applyFill="1" applyBorder="1" applyAlignment="1"/>
    <xf numFmtId="169" fontId="25" fillId="90" borderId="25" xfId="179" applyNumberFormat="1" applyFill="1" applyBorder="1" applyAlignment="1"/>
    <xf numFmtId="171" fontId="121" fillId="90" borderId="25" xfId="310" applyNumberFormat="1" applyFont="1" applyFill="1" applyBorder="1" applyAlignment="1"/>
    <xf numFmtId="0" fontId="22" fillId="81" borderId="28" xfId="0" applyFont="1" applyFill="1" applyBorder="1" applyAlignment="1">
      <alignment vertical="center"/>
    </xf>
    <xf numFmtId="0" fontId="22" fillId="60" borderId="27" xfId="0" applyFont="1" applyFill="1" applyBorder="1" applyAlignment="1">
      <alignment horizontal="right"/>
    </xf>
    <xf numFmtId="0" fontId="22" fillId="127" borderId="28" xfId="0" applyFont="1" applyFill="1" applyBorder="1" applyAlignment="1">
      <alignment horizontal="right" vertical="center"/>
    </xf>
    <xf numFmtId="0" fontId="22" fillId="103" borderId="0" xfId="0" applyFont="1" applyFill="1" applyAlignment="1">
      <alignment horizontal="right"/>
    </xf>
    <xf numFmtId="0" fontId="22" fillId="59" borderId="0" xfId="0" applyFont="1" applyFill="1" applyAlignment="1">
      <alignment horizontal="right"/>
    </xf>
    <xf numFmtId="0" fontId="20" fillId="0" borderId="81" xfId="0" applyFont="1" applyBorder="1" applyAlignment="1">
      <alignment horizontal="left" indent="1"/>
    </xf>
    <xf numFmtId="10" fontId="25" fillId="43" borderId="0" xfId="310" applyNumberFormat="1" applyFill="1" applyAlignment="1">
      <alignment vertical="center"/>
    </xf>
    <xf numFmtId="0" fontId="0" fillId="63" borderId="17" xfId="0" applyFill="1" applyBorder="1"/>
    <xf numFmtId="0" fontId="0" fillId="63" borderId="42" xfId="0" applyFill="1" applyBorder="1"/>
    <xf numFmtId="0" fontId="0" fillId="63" borderId="49" xfId="0" applyFill="1" applyBorder="1"/>
    <xf numFmtId="0" fontId="0" fillId="63" borderId="55" xfId="0" applyFill="1" applyBorder="1"/>
    <xf numFmtId="0" fontId="22" fillId="63" borderId="55" xfId="0" applyFont="1" applyFill="1" applyBorder="1"/>
    <xf numFmtId="0" fontId="0" fillId="63" borderId="41" xfId="0" applyFill="1" applyBorder="1"/>
    <xf numFmtId="0" fontId="22" fillId="63" borderId="15" xfId="0" applyFont="1" applyFill="1" applyBorder="1"/>
    <xf numFmtId="0" fontId="0" fillId="63" borderId="15" xfId="0" applyFill="1" applyBorder="1"/>
    <xf numFmtId="0" fontId="0" fillId="63" borderId="43" xfId="0" applyFill="1" applyBorder="1"/>
    <xf numFmtId="0" fontId="22" fillId="63" borderId="17" xfId="0" applyFont="1" applyFill="1" applyBorder="1"/>
    <xf numFmtId="0" fontId="20" fillId="63" borderId="55" xfId="0" applyFont="1" applyFill="1" applyBorder="1"/>
    <xf numFmtId="0" fontId="12" fillId="0" borderId="0" xfId="659"/>
    <xf numFmtId="0" fontId="276" fillId="0" borderId="13" xfId="659" applyFont="1" applyBorder="1" applyAlignment="1">
      <alignment horizontal="center" vertical="top"/>
    </xf>
    <xf numFmtId="10" fontId="25" fillId="0" borderId="0" xfId="310" applyNumberFormat="1" applyFill="1" applyBorder="1" applyAlignment="1">
      <alignment horizontal="right" vertical="center"/>
    </xf>
    <xf numFmtId="0" fontId="301" fillId="0" borderId="0" xfId="660" applyProtection="1">
      <protection hidden="1"/>
    </xf>
    <xf numFmtId="0" fontId="302" fillId="0" borderId="0" xfId="660" applyFont="1" applyAlignment="1" applyProtection="1">
      <alignment horizontal="centerContinuous" vertical="center"/>
      <protection hidden="1"/>
    </xf>
    <xf numFmtId="0" fontId="301" fillId="0" borderId="0" xfId="660" applyAlignment="1" applyProtection="1">
      <alignment horizontal="centerContinuous"/>
      <protection hidden="1"/>
    </xf>
    <xf numFmtId="0" fontId="301" fillId="0" borderId="0" xfId="660"/>
    <xf numFmtId="0" fontId="303" fillId="0" borderId="0" xfId="660" applyFont="1" applyAlignment="1" applyProtection="1">
      <alignment horizontal="centerContinuous" vertical="center"/>
      <protection hidden="1"/>
    </xf>
    <xf numFmtId="0" fontId="301" fillId="0" borderId="107" xfId="660" applyBorder="1" applyAlignment="1" applyProtection="1">
      <alignment horizontal="centerContinuous"/>
      <protection hidden="1"/>
    </xf>
    <xf numFmtId="0" fontId="304" fillId="0" borderId="0" xfId="660" applyFont="1" applyProtection="1">
      <protection hidden="1"/>
    </xf>
    <xf numFmtId="0" fontId="305" fillId="0" borderId="0" xfId="660" applyFont="1" applyAlignment="1" applyProtection="1">
      <alignment horizontal="center" vertical="center"/>
      <protection locked="0" hidden="1"/>
    </xf>
    <xf numFmtId="0" fontId="305" fillId="0" borderId="0" xfId="660" applyFont="1" applyProtection="1">
      <protection hidden="1"/>
    </xf>
    <xf numFmtId="237" fontId="304" fillId="0" borderId="108" xfId="660" applyNumberFormat="1" applyFont="1" applyBorder="1" applyProtection="1">
      <protection hidden="1"/>
    </xf>
    <xf numFmtId="0" fontId="304" fillId="0" borderId="0" xfId="660" applyFont="1"/>
    <xf numFmtId="0" fontId="306" fillId="0" borderId="0" xfId="660" applyFont="1" applyProtection="1">
      <protection hidden="1"/>
    </xf>
    <xf numFmtId="0" fontId="307" fillId="0" borderId="0" xfId="660" applyFont="1" applyProtection="1">
      <protection hidden="1"/>
    </xf>
    <xf numFmtId="0" fontId="306" fillId="0" borderId="0" xfId="660" applyFont="1"/>
    <xf numFmtId="238" fontId="304" fillId="0" borderId="0" xfId="660" applyNumberFormat="1" applyFont="1" applyProtection="1">
      <protection hidden="1"/>
    </xf>
    <xf numFmtId="238" fontId="308" fillId="0" borderId="0" xfId="660" applyNumberFormat="1" applyFont="1" applyProtection="1">
      <protection hidden="1"/>
    </xf>
    <xf numFmtId="0" fontId="304" fillId="0" borderId="0" xfId="660" applyFont="1" applyAlignment="1" applyProtection="1">
      <alignment horizontal="right"/>
      <protection hidden="1"/>
    </xf>
    <xf numFmtId="0" fontId="301" fillId="0" borderId="0" xfId="660" applyAlignment="1" applyProtection="1">
      <alignment horizontal="right"/>
      <protection hidden="1"/>
    </xf>
    <xf numFmtId="173" fontId="301" fillId="0" borderId="0" xfId="660" applyNumberFormat="1" applyProtection="1">
      <protection hidden="1"/>
    </xf>
    <xf numFmtId="238" fontId="304" fillId="0" borderId="109" xfId="660" applyNumberFormat="1" applyFont="1" applyBorder="1" applyProtection="1">
      <protection hidden="1"/>
    </xf>
    <xf numFmtId="238" fontId="305" fillId="0" borderId="0" xfId="660" applyNumberFormat="1" applyFont="1" applyProtection="1">
      <protection hidden="1"/>
    </xf>
    <xf numFmtId="9" fontId="309" fillId="0" borderId="109" xfId="310" applyFont="1" applyBorder="1" applyProtection="1">
      <protection hidden="1"/>
    </xf>
    <xf numFmtId="0" fontId="11" fillId="0" borderId="0" xfId="661"/>
    <xf numFmtId="171" fontId="308" fillId="0" borderId="0" xfId="310" applyNumberFormat="1" applyFont="1" applyProtection="1">
      <protection hidden="1"/>
    </xf>
    <xf numFmtId="9" fontId="308" fillId="0" borderId="0" xfId="310" applyFont="1" applyProtection="1">
      <protection hidden="1"/>
    </xf>
    <xf numFmtId="239" fontId="301" fillId="0" borderId="0" xfId="660" applyNumberFormat="1"/>
    <xf numFmtId="171" fontId="309" fillId="0" borderId="109" xfId="310" applyNumberFormat="1" applyFont="1" applyBorder="1" applyProtection="1">
      <protection hidden="1"/>
    </xf>
    <xf numFmtId="0" fontId="311" fillId="128" borderId="0" xfId="0" applyFont="1" applyFill="1" applyAlignment="1">
      <alignment horizontal="left" vertical="center"/>
    </xf>
    <xf numFmtId="0" fontId="310" fillId="128" borderId="0" xfId="0" applyFont="1" applyFill="1"/>
    <xf numFmtId="0" fontId="311" fillId="128" borderId="0" xfId="0" applyFont="1" applyFill="1" applyAlignment="1">
      <alignment horizontal="right" vertical="center"/>
    </xf>
    <xf numFmtId="0" fontId="312" fillId="0" borderId="0" xfId="0" applyFont="1" applyAlignment="1">
      <alignment horizontal="left" vertical="center"/>
    </xf>
    <xf numFmtId="0" fontId="312" fillId="0" borderId="0" xfId="0" applyFont="1" applyAlignment="1">
      <alignment horizontal="right" vertical="center"/>
    </xf>
    <xf numFmtId="3" fontId="313" fillId="0" borderId="0" xfId="0" applyNumberFormat="1" applyFont="1" applyAlignment="1">
      <alignment horizontal="right" vertical="center"/>
    </xf>
    <xf numFmtId="0" fontId="311" fillId="0" borderId="0" xfId="0" applyFont="1" applyAlignment="1">
      <alignment horizontal="left" vertical="center"/>
    </xf>
    <xf numFmtId="0" fontId="312" fillId="128" borderId="0" xfId="0" applyFont="1" applyFill="1" applyAlignment="1">
      <alignment horizontal="right" vertical="center"/>
    </xf>
    <xf numFmtId="10" fontId="313" fillId="0" borderId="0" xfId="0" applyNumberFormat="1" applyFont="1" applyAlignment="1">
      <alignment horizontal="right" vertical="center"/>
    </xf>
    <xf numFmtId="171" fontId="313" fillId="0" borderId="0" xfId="0" applyNumberFormat="1" applyFont="1" applyAlignment="1">
      <alignment horizontal="right" vertical="center"/>
    </xf>
    <xf numFmtId="178" fontId="313" fillId="0" borderId="0" xfId="0" applyNumberFormat="1" applyFont="1" applyAlignment="1">
      <alignment horizontal="right" vertical="center"/>
    </xf>
    <xf numFmtId="171" fontId="313" fillId="0" borderId="0" xfId="310" applyNumberFormat="1" applyFont="1"/>
    <xf numFmtId="0" fontId="304" fillId="0" borderId="13" xfId="664" applyFont="1" applyBorder="1" applyAlignment="1">
      <alignment horizontal="center" vertical="top"/>
    </xf>
    <xf numFmtId="0" fontId="301" fillId="0" borderId="0" xfId="664" applyFont="1"/>
    <xf numFmtId="175" fontId="25" fillId="0" borderId="0" xfId="179" applyNumberFormat="1" applyFill="1" applyBorder="1" applyAlignment="1">
      <alignment horizontal="right" vertical="center"/>
    </xf>
    <xf numFmtId="9" fontId="143" fillId="43" borderId="0" xfId="310" applyFont="1" applyFill="1" applyBorder="1" applyAlignment="1" applyProtection="1"/>
    <xf numFmtId="9" fontId="143" fillId="0" borderId="0" xfId="310" applyFont="1" applyFill="1" applyBorder="1" applyAlignment="1" applyProtection="1"/>
    <xf numFmtId="0" fontId="311" fillId="128" borderId="110" xfId="0" applyFont="1" applyFill="1" applyBorder="1" applyAlignment="1">
      <alignment horizontal="justify" vertical="center" wrapText="1"/>
    </xf>
    <xf numFmtId="0" fontId="311" fillId="128" borderId="111" xfId="0" applyFont="1" applyFill="1" applyBorder="1" applyAlignment="1">
      <alignment horizontal="center" vertical="center" wrapText="1"/>
    </xf>
    <xf numFmtId="0" fontId="311" fillId="128" borderId="113" xfId="0" applyFont="1" applyFill="1" applyBorder="1" applyAlignment="1">
      <alignment horizontal="justify" vertical="center" wrapText="1"/>
    </xf>
    <xf numFmtId="0" fontId="311" fillId="128" borderId="114" xfId="0" applyFont="1" applyFill="1" applyBorder="1" applyAlignment="1">
      <alignment horizontal="center" vertical="center" wrapText="1"/>
    </xf>
    <xf numFmtId="0" fontId="311" fillId="0" borderId="113" xfId="0" applyFont="1" applyBorder="1" applyAlignment="1">
      <alignment horizontal="justify" vertical="center" wrapText="1"/>
    </xf>
    <xf numFmtId="3" fontId="312" fillId="0" borderId="114" xfId="0" applyNumberFormat="1" applyFont="1" applyBorder="1" applyAlignment="1">
      <alignment horizontal="center" vertical="center" wrapText="1"/>
    </xf>
    <xf numFmtId="10" fontId="312" fillId="0" borderId="114" xfId="0" applyNumberFormat="1" applyFont="1" applyBorder="1" applyAlignment="1">
      <alignment horizontal="center" vertical="center" wrapText="1"/>
    </xf>
    <xf numFmtId="3" fontId="312" fillId="0" borderId="115" xfId="0" applyNumberFormat="1" applyFont="1" applyBorder="1" applyAlignment="1">
      <alignment horizontal="center" vertical="center" wrapText="1"/>
    </xf>
    <xf numFmtId="0" fontId="311" fillId="128" borderId="115" xfId="0" applyFont="1" applyFill="1" applyBorder="1" applyAlignment="1">
      <alignment horizontal="center" vertical="center" wrapText="1"/>
    </xf>
    <xf numFmtId="0" fontId="311" fillId="128" borderId="115" xfId="0" applyFont="1" applyFill="1" applyBorder="1" applyAlignment="1">
      <alignment vertical="center" wrapText="1"/>
    </xf>
    <xf numFmtId="0" fontId="311" fillId="128" borderId="111" xfId="0" applyFont="1" applyFill="1" applyBorder="1" applyAlignment="1">
      <alignment vertical="center" wrapText="1"/>
    </xf>
    <xf numFmtId="0" fontId="311" fillId="128" borderId="112" xfId="0" applyFont="1" applyFill="1" applyBorder="1" applyAlignment="1">
      <alignment vertical="center" wrapText="1"/>
    </xf>
    <xf numFmtId="0" fontId="282" fillId="64" borderId="0" xfId="0" applyFont="1" applyFill="1" applyAlignment="1">
      <alignment horizontal="right" vertical="center" wrapText="1"/>
    </xf>
    <xf numFmtId="3" fontId="283" fillId="64" borderId="0" xfId="0" applyNumberFormat="1" applyFont="1" applyFill="1" applyAlignment="1">
      <alignment horizontal="right" vertical="center" wrapText="1"/>
    </xf>
    <xf numFmtId="3" fontId="282" fillId="64" borderId="0" xfId="0" applyNumberFormat="1" applyFont="1" applyFill="1" applyAlignment="1">
      <alignment horizontal="right" vertical="center" wrapText="1"/>
    </xf>
    <xf numFmtId="179" fontId="268" fillId="0" borderId="0" xfId="435" applyNumberFormat="1" applyFont="1" applyFill="1"/>
    <xf numFmtId="0" fontId="9" fillId="0" borderId="0" xfId="667"/>
    <xf numFmtId="0" fontId="9" fillId="0" borderId="0" xfId="668"/>
    <xf numFmtId="0" fontId="9" fillId="0" borderId="0" xfId="669"/>
    <xf numFmtId="0" fontId="316" fillId="0" borderId="120" xfId="0" applyFont="1" applyBorder="1" applyAlignment="1">
      <alignment horizontal="center" vertical="center"/>
    </xf>
    <xf numFmtId="3" fontId="297" fillId="0" borderId="120" xfId="0" applyNumberFormat="1" applyFont="1" applyBorder="1" applyAlignment="1">
      <alignment horizontal="center" vertical="center"/>
    </xf>
    <xf numFmtId="10" fontId="317" fillId="0" borderId="120" xfId="0" applyNumberFormat="1" applyFont="1" applyBorder="1" applyAlignment="1">
      <alignment horizontal="center" vertical="center"/>
    </xf>
    <xf numFmtId="0" fontId="297" fillId="0" borderId="120" xfId="0" applyFont="1" applyBorder="1" applyAlignment="1">
      <alignment horizontal="center" vertical="center"/>
    </xf>
    <xf numFmtId="10" fontId="297" fillId="0" borderId="120" xfId="0" applyNumberFormat="1" applyFont="1" applyBorder="1" applyAlignment="1">
      <alignment horizontal="center" vertical="center"/>
    </xf>
    <xf numFmtId="3" fontId="297" fillId="128" borderId="120" xfId="0" applyNumberFormat="1" applyFont="1" applyFill="1" applyBorder="1" applyAlignment="1">
      <alignment horizontal="center" vertical="center"/>
    </xf>
    <xf numFmtId="10" fontId="297" fillId="128" borderId="120" xfId="0" applyNumberFormat="1" applyFont="1" applyFill="1" applyBorder="1" applyAlignment="1">
      <alignment horizontal="center" vertical="center"/>
    </xf>
    <xf numFmtId="0" fontId="297" fillId="128" borderId="120" xfId="0" applyFont="1" applyFill="1" applyBorder="1" applyAlignment="1">
      <alignment horizontal="center" vertical="center"/>
    </xf>
    <xf numFmtId="0" fontId="317" fillId="0" borderId="120" xfId="0" applyFont="1" applyBorder="1" applyAlignment="1">
      <alignment horizontal="center" vertical="center"/>
    </xf>
    <xf numFmtId="3" fontId="297" fillId="0" borderId="122" xfId="0" applyNumberFormat="1" applyFont="1" applyBorder="1" applyAlignment="1">
      <alignment horizontal="center" vertical="center"/>
    </xf>
    <xf numFmtId="10" fontId="317" fillId="0" borderId="122" xfId="0" applyNumberFormat="1" applyFont="1" applyBorder="1" applyAlignment="1">
      <alignment horizontal="center" vertical="center"/>
    </xf>
    <xf numFmtId="0" fontId="297" fillId="0" borderId="122" xfId="0" applyFont="1" applyBorder="1" applyAlignment="1">
      <alignment horizontal="center" vertical="center"/>
    </xf>
    <xf numFmtId="10" fontId="297" fillId="0" borderId="122" xfId="0" applyNumberFormat="1" applyFont="1" applyBorder="1" applyAlignment="1">
      <alignment horizontal="center" vertical="center"/>
    </xf>
    <xf numFmtId="0" fontId="316" fillId="0" borderId="116" xfId="0" applyFont="1" applyBorder="1" applyAlignment="1">
      <alignment horizontal="center" vertical="center"/>
    </xf>
    <xf numFmtId="0" fontId="316" fillId="128" borderId="119" xfId="0" applyFont="1" applyFill="1" applyBorder="1" applyAlignment="1">
      <alignment horizontal="center" vertical="center"/>
    </xf>
    <xf numFmtId="0" fontId="315" fillId="0" borderId="119" xfId="0" applyFont="1" applyBorder="1" applyAlignment="1">
      <alignment horizontal="center" vertical="top"/>
    </xf>
    <xf numFmtId="0" fontId="318" fillId="128" borderId="119" xfId="0" applyFont="1" applyFill="1" applyBorder="1" applyAlignment="1">
      <alignment horizontal="center" vertical="center"/>
    </xf>
    <xf numFmtId="0" fontId="316" fillId="0" borderId="119" xfId="0" applyFont="1" applyBorder="1" applyAlignment="1">
      <alignment horizontal="center" vertical="center"/>
    </xf>
    <xf numFmtId="0" fontId="319" fillId="128" borderId="119" xfId="0" applyFont="1" applyFill="1" applyBorder="1" applyAlignment="1">
      <alignment horizontal="center" vertical="center"/>
    </xf>
    <xf numFmtId="0" fontId="319" fillId="0" borderId="119" xfId="0" applyFont="1" applyBorder="1" applyAlignment="1">
      <alignment horizontal="center" vertical="center"/>
    </xf>
    <xf numFmtId="0" fontId="316" fillId="0" borderId="121" xfId="0" applyFont="1" applyBorder="1" applyAlignment="1">
      <alignment horizontal="center" vertical="center"/>
    </xf>
    <xf numFmtId="0" fontId="8" fillId="0" borderId="0" xfId="672"/>
    <xf numFmtId="0" fontId="276" fillId="0" borderId="13" xfId="672" applyFont="1" applyBorder="1" applyAlignment="1">
      <alignment horizontal="center" vertical="top"/>
    </xf>
    <xf numFmtId="0" fontId="8" fillId="0" borderId="0" xfId="674"/>
    <xf numFmtId="0" fontId="276" fillId="0" borderId="13" xfId="674" applyFont="1" applyBorder="1" applyAlignment="1">
      <alignment horizontal="center" vertical="top"/>
    </xf>
    <xf numFmtId="0" fontId="323" fillId="0" borderId="0" xfId="0" applyFont="1" applyAlignment="1">
      <alignment horizontal="justify" vertical="center" wrapText="1"/>
    </xf>
    <xf numFmtId="0" fontId="322" fillId="0" borderId="0" xfId="0" applyFont="1" applyAlignment="1">
      <alignment horizontal="justify" vertical="center" wrapText="1"/>
    </xf>
    <xf numFmtId="3" fontId="322" fillId="0" borderId="0" xfId="0" applyNumberFormat="1" applyFont="1" applyAlignment="1">
      <alignment horizontal="justify" vertical="center" wrapText="1"/>
    </xf>
    <xf numFmtId="9" fontId="322" fillId="0" borderId="0" xfId="0" applyNumberFormat="1" applyFont="1" applyAlignment="1">
      <alignment horizontal="justify" vertical="center" wrapText="1"/>
    </xf>
    <xf numFmtId="0" fontId="326" fillId="0" borderId="0" xfId="0" applyFont="1" applyAlignment="1">
      <alignment horizontal="justify" vertical="center" wrapText="1"/>
    </xf>
    <xf numFmtId="10" fontId="322" fillId="0" borderId="0" xfId="0" applyNumberFormat="1" applyFont="1" applyAlignment="1">
      <alignment horizontal="justify" vertical="center" wrapText="1"/>
    </xf>
    <xf numFmtId="0" fontId="322" fillId="130" borderId="0" xfId="0" applyFont="1" applyFill="1" applyAlignment="1">
      <alignment horizontal="justify" vertical="center" wrapText="1"/>
    </xf>
    <xf numFmtId="0" fontId="323" fillId="130" borderId="0" xfId="0" applyFont="1" applyFill="1" applyAlignment="1">
      <alignment horizontal="justify" vertical="center" wrapText="1"/>
    </xf>
    <xf numFmtId="0" fontId="257" fillId="0" borderId="0" xfId="0" applyFont="1" applyAlignment="1">
      <alignment vertical="center"/>
    </xf>
    <xf numFmtId="3" fontId="323" fillId="130" borderId="0" xfId="0" applyNumberFormat="1" applyFont="1" applyFill="1" applyAlignment="1">
      <alignment horizontal="justify" vertical="center" wrapText="1"/>
    </xf>
    <xf numFmtId="0" fontId="324" fillId="0" borderId="92" xfId="0" applyFont="1" applyBorder="1" applyAlignment="1">
      <alignment vertical="center" wrapText="1"/>
    </xf>
    <xf numFmtId="0" fontId="324" fillId="0" borderId="90" xfId="0" applyFont="1" applyBorder="1" applyAlignment="1">
      <alignment vertical="center" wrapText="1"/>
    </xf>
    <xf numFmtId="0" fontId="323" fillId="0" borderId="0" xfId="0" applyFont="1" applyAlignment="1">
      <alignment horizontal="left" vertical="center" wrapText="1"/>
    </xf>
    <xf numFmtId="0" fontId="322" fillId="0" borderId="0" xfId="0" applyFont="1" applyAlignment="1">
      <alignment horizontal="left" vertical="center" wrapText="1"/>
    </xf>
    <xf numFmtId="0" fontId="323" fillId="0" borderId="0" xfId="0" applyFont="1" applyAlignment="1">
      <alignment horizontal="right" vertical="center" wrapText="1"/>
    </xf>
    <xf numFmtId="3" fontId="322" fillId="0" borderId="0" xfId="0" applyNumberFormat="1" applyFont="1" applyAlignment="1">
      <alignment horizontal="right" vertical="center" wrapText="1"/>
    </xf>
    <xf numFmtId="0" fontId="322" fillId="57" borderId="0" xfId="0" applyFont="1" applyFill="1" applyAlignment="1">
      <alignment horizontal="left" vertical="center" wrapText="1"/>
    </xf>
    <xf numFmtId="168" fontId="178" fillId="57" borderId="0" xfId="179" applyFont="1" applyFill="1" applyBorder="1" applyAlignment="1">
      <alignment horizontal="right" vertical="center" wrapText="1"/>
    </xf>
    <xf numFmtId="0" fontId="178" fillId="57" borderId="0" xfId="675" applyFont="1" applyFill="1" applyBorder="1" applyAlignment="1">
      <alignment horizontal="left" vertical="center" wrapText="1"/>
    </xf>
    <xf numFmtId="3" fontId="178" fillId="57" borderId="0" xfId="675" applyNumberFormat="1" applyFont="1" applyFill="1" applyBorder="1" applyAlignment="1">
      <alignment horizontal="right" vertical="center" wrapText="1"/>
    </xf>
    <xf numFmtId="1" fontId="322" fillId="0" borderId="0" xfId="0" applyNumberFormat="1" applyFont="1" applyAlignment="1">
      <alignment horizontal="justify" vertical="center" wrapText="1"/>
    </xf>
    <xf numFmtId="0" fontId="20" fillId="0" borderId="0" xfId="0" applyFont="1" applyAlignment="1">
      <alignment horizontal="left" vertical="center" indent="3"/>
    </xf>
    <xf numFmtId="0" fontId="25" fillId="0" borderId="0" xfId="0" applyFont="1" applyAlignment="1">
      <alignment horizontal="left" vertical="center" indent="3"/>
    </xf>
    <xf numFmtId="169" fontId="25" fillId="0" borderId="27" xfId="179" applyNumberFormat="1" applyBorder="1"/>
    <xf numFmtId="0" fontId="301" fillId="0" borderId="108" xfId="660" applyBorder="1"/>
    <xf numFmtId="3" fontId="301" fillId="0" borderId="0" xfId="660" applyNumberFormat="1"/>
    <xf numFmtId="10" fontId="301" fillId="0" borderId="0" xfId="660" applyNumberFormat="1"/>
    <xf numFmtId="171" fontId="301" fillId="0" borderId="0" xfId="660" applyNumberFormat="1"/>
    <xf numFmtId="0" fontId="301" fillId="73" borderId="0" xfId="660" applyFill="1"/>
    <xf numFmtId="0" fontId="301" fillId="73" borderId="0" xfId="660" applyFill="1" applyAlignment="1">
      <alignment horizontal="right"/>
    </xf>
    <xf numFmtId="0" fontId="327" fillId="73" borderId="26" xfId="660" applyFont="1" applyFill="1" applyBorder="1"/>
    <xf numFmtId="0" fontId="327" fillId="73" borderId="108" xfId="660" applyFont="1" applyFill="1" applyBorder="1"/>
    <xf numFmtId="0" fontId="327" fillId="73" borderId="29" xfId="660" applyFont="1" applyFill="1" applyBorder="1"/>
    <xf numFmtId="0" fontId="327" fillId="73" borderId="25" xfId="660" applyFont="1" applyFill="1" applyBorder="1" applyAlignment="1">
      <alignment horizontal="right"/>
    </xf>
    <xf numFmtId="10" fontId="327" fillId="73" borderId="0" xfId="660" applyNumberFormat="1" applyFont="1" applyFill="1"/>
    <xf numFmtId="10" fontId="328" fillId="73" borderId="0" xfId="310" applyNumberFormat="1" applyFont="1" applyFill="1" applyBorder="1"/>
    <xf numFmtId="169" fontId="328" fillId="0" borderId="0" xfId="179" applyNumberFormat="1" applyFont="1" applyBorder="1"/>
    <xf numFmtId="169" fontId="328" fillId="0" borderId="31" xfId="179" applyNumberFormat="1" applyFont="1" applyBorder="1"/>
    <xf numFmtId="0" fontId="327" fillId="73" borderId="32" xfId="660" applyFont="1" applyFill="1" applyBorder="1" applyAlignment="1">
      <alignment horizontal="right"/>
    </xf>
    <xf numFmtId="10" fontId="328" fillId="73" borderId="27" xfId="310" applyNumberFormat="1" applyFont="1" applyFill="1" applyBorder="1"/>
    <xf numFmtId="169" fontId="328" fillId="0" borderId="27" xfId="179" applyNumberFormat="1" applyFont="1" applyBorder="1"/>
    <xf numFmtId="169" fontId="328" fillId="0" borderId="33" xfId="179" applyNumberFormat="1" applyFont="1" applyBorder="1"/>
    <xf numFmtId="10" fontId="143" fillId="43" borderId="27" xfId="0" applyNumberFormat="1" applyFont="1" applyFill="1" applyBorder="1" applyAlignment="1">
      <alignment horizontal="left"/>
    </xf>
    <xf numFmtId="173" fontId="143" fillId="43" borderId="27" xfId="0" applyNumberFormat="1" applyFont="1" applyFill="1" applyBorder="1" applyAlignment="1">
      <alignment horizontal="left"/>
    </xf>
    <xf numFmtId="0" fontId="143" fillId="43" borderId="27" xfId="0" applyFont="1" applyFill="1" applyBorder="1" applyAlignment="1">
      <alignment horizontal="left"/>
    </xf>
    <xf numFmtId="174" fontId="143" fillId="43" borderId="27" xfId="0" applyNumberFormat="1" applyFont="1" applyFill="1" applyBorder="1" applyAlignment="1">
      <alignment horizontal="left"/>
    </xf>
    <xf numFmtId="10" fontId="328" fillId="43" borderId="0" xfId="0" applyNumberFormat="1" applyFont="1" applyFill="1" applyAlignment="1">
      <alignment horizontal="left"/>
    </xf>
    <xf numFmtId="173" fontId="328" fillId="43" borderId="0" xfId="0" applyNumberFormat="1" applyFont="1" applyFill="1" applyAlignment="1">
      <alignment horizontal="left"/>
    </xf>
    <xf numFmtId="0" fontId="328" fillId="43" borderId="0" xfId="0" applyFont="1" applyFill="1" applyAlignment="1">
      <alignment horizontal="left"/>
    </xf>
    <xf numFmtId="174" fontId="328" fillId="0" borderId="0" xfId="0" applyNumberFormat="1" applyFont="1" applyAlignment="1">
      <alignment horizontal="left"/>
    </xf>
    <xf numFmtId="174" fontId="328" fillId="43" borderId="0" xfId="0" applyNumberFormat="1" applyFont="1" applyFill="1" applyAlignment="1">
      <alignment horizontal="left"/>
    </xf>
    <xf numFmtId="10" fontId="328" fillId="43" borderId="27" xfId="0" applyNumberFormat="1" applyFont="1" applyFill="1" applyBorder="1" applyAlignment="1">
      <alignment horizontal="left"/>
    </xf>
    <xf numFmtId="173" fontId="328" fillId="43" borderId="27" xfId="0" applyNumberFormat="1" applyFont="1" applyFill="1" applyBorder="1" applyAlignment="1">
      <alignment horizontal="left"/>
    </xf>
    <xf numFmtId="0" fontId="328" fillId="43" borderId="27" xfId="0" applyFont="1" applyFill="1" applyBorder="1" applyAlignment="1">
      <alignment horizontal="left"/>
    </xf>
    <xf numFmtId="174" fontId="328" fillId="43" borderId="27" xfId="0" applyNumberFormat="1" applyFont="1" applyFill="1" applyBorder="1" applyAlignment="1">
      <alignment horizontal="left"/>
    </xf>
    <xf numFmtId="10" fontId="327" fillId="73" borderId="31" xfId="660" applyNumberFormat="1" applyFont="1" applyFill="1" applyBorder="1"/>
    <xf numFmtId="3" fontId="327" fillId="64" borderId="0" xfId="660" applyNumberFormat="1" applyFont="1" applyFill="1"/>
    <xf numFmtId="0" fontId="301" fillId="73" borderId="26" xfId="660" applyFill="1" applyBorder="1"/>
    <xf numFmtId="0" fontId="301" fillId="73" borderId="25" xfId="660" applyFill="1" applyBorder="1" applyAlignment="1">
      <alignment horizontal="right"/>
    </xf>
    <xf numFmtId="171" fontId="328" fillId="73" borderId="0" xfId="310" applyNumberFormat="1" applyFont="1" applyFill="1" applyBorder="1"/>
    <xf numFmtId="0" fontId="301" fillId="73" borderId="32" xfId="660" applyFill="1" applyBorder="1" applyAlignment="1">
      <alignment horizontal="right"/>
    </xf>
    <xf numFmtId="3" fontId="327" fillId="73" borderId="0" xfId="660" applyNumberFormat="1" applyFont="1" applyFill="1"/>
    <xf numFmtId="169" fontId="25" fillId="43" borderId="31" xfId="179" applyNumberFormat="1" applyFill="1" applyBorder="1" applyAlignment="1">
      <alignment horizontal="right"/>
    </xf>
    <xf numFmtId="38" fontId="143" fillId="43" borderId="31" xfId="0" applyNumberFormat="1" applyFont="1" applyFill="1" applyBorder="1" applyAlignment="1">
      <alignment horizontal="right"/>
    </xf>
    <xf numFmtId="177" fontId="143" fillId="0" borderId="31" xfId="0" applyNumberFormat="1" applyFont="1" applyBorder="1" applyAlignment="1">
      <alignment horizontal="right"/>
    </xf>
    <xf numFmtId="177" fontId="143" fillId="43" borderId="31" xfId="0" applyNumberFormat="1" applyFont="1" applyFill="1" applyBorder="1" applyAlignment="1">
      <alignment horizontal="right"/>
    </xf>
    <xf numFmtId="38" fontId="156" fillId="43" borderId="31" xfId="0" applyNumberFormat="1" applyFont="1" applyFill="1" applyBorder="1"/>
    <xf numFmtId="38" fontId="161" fillId="43" borderId="31" xfId="0" applyNumberFormat="1" applyFont="1" applyFill="1" applyBorder="1" applyAlignment="1">
      <alignment horizontal="right"/>
    </xf>
    <xf numFmtId="38" fontId="161" fillId="43" borderId="27" xfId="0" applyNumberFormat="1" applyFont="1" applyFill="1" applyBorder="1" applyAlignment="1">
      <alignment horizontal="right"/>
    </xf>
    <xf numFmtId="38" fontId="161" fillId="43" borderId="33" xfId="0" applyNumberFormat="1" applyFont="1" applyFill="1" applyBorder="1" applyAlignment="1">
      <alignment horizontal="right"/>
    </xf>
    <xf numFmtId="0" fontId="143" fillId="68" borderId="20" xfId="0" applyFont="1" applyFill="1" applyBorder="1" applyAlignment="1">
      <alignment horizontal="right"/>
    </xf>
    <xf numFmtId="0" fontId="140" fillId="68" borderId="109" xfId="0" applyFont="1" applyFill="1" applyBorder="1" applyAlignment="1">
      <alignment horizontal="right"/>
    </xf>
    <xf numFmtId="0" fontId="140" fillId="68" borderId="30" xfId="0" applyFont="1" applyFill="1" applyBorder="1" applyAlignment="1">
      <alignment horizontal="right"/>
    </xf>
    <xf numFmtId="0" fontId="143" fillId="124" borderId="108" xfId="0" applyFont="1" applyFill="1" applyBorder="1"/>
    <xf numFmtId="0" fontId="143" fillId="124" borderId="29" xfId="0" applyFont="1" applyFill="1" applyBorder="1"/>
    <xf numFmtId="0" fontId="143" fillId="123" borderId="26" xfId="0" applyFont="1" applyFill="1" applyBorder="1"/>
    <xf numFmtId="0" fontId="27" fillId="0" borderId="0" xfId="683">
      <alignment vertical="center"/>
    </xf>
    <xf numFmtId="14" fontId="27" fillId="0" borderId="0" xfId="683" applyNumberFormat="1">
      <alignment vertical="center"/>
    </xf>
    <xf numFmtId="0" fontId="316" fillId="0" borderId="116" xfId="0" applyFont="1" applyBorder="1" applyAlignment="1">
      <alignment horizontal="left" vertical="center"/>
    </xf>
    <xf numFmtId="0" fontId="316" fillId="0" borderId="119" xfId="0" applyFont="1" applyBorder="1" applyAlignment="1">
      <alignment horizontal="left" vertical="center"/>
    </xf>
    <xf numFmtId="0" fontId="318" fillId="128" borderId="119" xfId="0" applyFont="1" applyFill="1" applyBorder="1" applyAlignment="1">
      <alignment horizontal="left" vertical="center"/>
    </xf>
    <xf numFmtId="3" fontId="317" fillId="0" borderId="120" xfId="0" applyNumberFormat="1" applyFont="1" applyBorder="1" applyAlignment="1">
      <alignment horizontal="center" vertical="center"/>
    </xf>
    <xf numFmtId="0" fontId="316" fillId="128" borderId="119" xfId="0" applyFont="1" applyFill="1" applyBorder="1" applyAlignment="1">
      <alignment horizontal="left" vertical="center"/>
    </xf>
    <xf numFmtId="0" fontId="316" fillId="0" borderId="121" xfId="0" applyFont="1" applyBorder="1" applyAlignment="1">
      <alignment horizontal="left" vertical="center"/>
    </xf>
    <xf numFmtId="3" fontId="317" fillId="0" borderId="122" xfId="0" applyNumberFormat="1" applyFont="1" applyBorder="1" applyAlignment="1">
      <alignment horizontal="center" vertical="center"/>
    </xf>
    <xf numFmtId="0" fontId="317" fillId="0" borderId="122" xfId="0" applyFont="1" applyBorder="1" applyAlignment="1">
      <alignment horizontal="center" vertical="center"/>
    </xf>
    <xf numFmtId="0" fontId="317" fillId="128" borderId="119" xfId="0" applyFont="1" applyFill="1" applyBorder="1" applyAlignment="1">
      <alignment horizontal="left" vertical="center" indent="2"/>
    </xf>
    <xf numFmtId="0" fontId="317" fillId="0" borderId="119" xfId="0" applyFont="1" applyBorder="1" applyAlignment="1">
      <alignment horizontal="left" vertical="center" indent="2"/>
    </xf>
    <xf numFmtId="0" fontId="459" fillId="0" borderId="119" xfId="0" applyFont="1" applyBorder="1" applyAlignment="1">
      <alignment vertical="top"/>
    </xf>
    <xf numFmtId="171" fontId="317" fillId="128" borderId="120" xfId="310" applyNumberFormat="1" applyFont="1" applyFill="1" applyBorder="1" applyAlignment="1">
      <alignment horizontal="center" vertical="center"/>
    </xf>
    <xf numFmtId="171" fontId="460" fillId="128" borderId="120" xfId="310" applyNumberFormat="1" applyFont="1" applyFill="1" applyBorder="1" applyAlignment="1">
      <alignment horizontal="center" vertical="center"/>
    </xf>
    <xf numFmtId="171" fontId="313" fillId="128" borderId="120" xfId="310" applyNumberFormat="1" applyFont="1" applyFill="1" applyBorder="1" applyAlignment="1">
      <alignment horizontal="center" vertical="center"/>
    </xf>
    <xf numFmtId="0" fontId="198" fillId="0" borderId="0" xfId="448" applyFont="1"/>
    <xf numFmtId="4" fontId="198" fillId="0" borderId="0" xfId="448" applyNumberFormat="1" applyFont="1"/>
    <xf numFmtId="0" fontId="198" fillId="0" borderId="0" xfId="451" applyFont="1"/>
    <xf numFmtId="3" fontId="190" fillId="0" borderId="0" xfId="0" applyNumberFormat="1" applyFont="1"/>
    <xf numFmtId="4" fontId="190" fillId="0" borderId="0" xfId="451" applyNumberFormat="1" applyFont="1"/>
    <xf numFmtId="4" fontId="198" fillId="0" borderId="0" xfId="451" applyNumberFormat="1" applyFont="1"/>
    <xf numFmtId="4" fontId="198" fillId="65" borderId="0" xfId="0" applyNumberFormat="1" applyFont="1" applyFill="1"/>
    <xf numFmtId="4" fontId="20" fillId="65" borderId="0" xfId="0" applyNumberFormat="1" applyFont="1" applyFill="1"/>
    <xf numFmtId="4" fontId="20" fillId="75" borderId="0" xfId="0" applyNumberFormat="1" applyFont="1" applyFill="1"/>
    <xf numFmtId="3" fontId="20" fillId="75" borderId="0" xfId="0" applyNumberFormat="1" applyFont="1" applyFill="1"/>
    <xf numFmtId="0" fontId="260" fillId="79" borderId="153" xfId="0" applyFont="1" applyFill="1" applyBorder="1" applyAlignment="1">
      <alignment vertical="center" wrapText="1"/>
    </xf>
    <xf numFmtId="0" fontId="260" fillId="79" borderId="154" xfId="0" applyFont="1" applyFill="1" applyBorder="1" applyAlignment="1">
      <alignment vertical="center" wrapText="1"/>
    </xf>
    <xf numFmtId="0" fontId="260" fillId="104" borderId="154" xfId="451" applyFont="1" applyFill="1" applyBorder="1" applyAlignment="1">
      <alignment vertical="center" wrapText="1"/>
    </xf>
    <xf numFmtId="0" fontId="260" fillId="104" borderId="155" xfId="451" applyFont="1" applyFill="1" applyBorder="1" applyAlignment="1">
      <alignment vertical="center" wrapText="1"/>
    </xf>
    <xf numFmtId="49" fontId="20" fillId="0" borderId="25" xfId="0" applyNumberFormat="1" applyFont="1" applyBorder="1"/>
    <xf numFmtId="4" fontId="22" fillId="0" borderId="25" xfId="0" applyNumberFormat="1" applyFont="1" applyBorder="1"/>
    <xf numFmtId="4" fontId="20" fillId="0" borderId="25" xfId="0" applyNumberFormat="1" applyFont="1" applyBorder="1"/>
    <xf numFmtId="4" fontId="20" fillId="75" borderId="25" xfId="0" applyNumberFormat="1" applyFont="1" applyFill="1" applyBorder="1"/>
    <xf numFmtId="4" fontId="20" fillId="0" borderId="32" xfId="0" applyNumberFormat="1" applyFont="1" applyBorder="1"/>
    <xf numFmtId="4" fontId="198" fillId="0" borderId="27" xfId="0" applyNumberFormat="1" applyFont="1" applyBorder="1"/>
    <xf numFmtId="4" fontId="190" fillId="0" borderId="27" xfId="0" applyNumberFormat="1" applyFont="1" applyBorder="1"/>
    <xf numFmtId="4" fontId="190" fillId="0" borderId="27" xfId="451" applyNumberFormat="1" applyFont="1" applyBorder="1"/>
    <xf numFmtId="0" fontId="292" fillId="104" borderId="154" xfId="448" applyFont="1" applyFill="1" applyBorder="1" applyAlignment="1">
      <alignment vertical="center" wrapText="1"/>
    </xf>
    <xf numFmtId="4" fontId="276" fillId="0" borderId="0" xfId="0" applyNumberFormat="1" applyFont="1"/>
    <xf numFmtId="0" fontId="5" fillId="0" borderId="0" xfId="3312"/>
    <xf numFmtId="4" fontId="5" fillId="0" borderId="0" xfId="3312" applyNumberFormat="1"/>
    <xf numFmtId="4" fontId="276" fillId="0" borderId="0" xfId="3312" applyNumberFormat="1" applyFont="1"/>
    <xf numFmtId="3" fontId="163" fillId="0" borderId="0" xfId="0" applyNumberFormat="1" applyFont="1" applyAlignment="1">
      <alignment horizontal="right" vertical="center" wrapText="1"/>
    </xf>
    <xf numFmtId="0" fontId="163" fillId="0" borderId="0" xfId="0" applyFont="1" applyAlignment="1">
      <alignment horizontal="right" vertical="center" wrapText="1"/>
    </xf>
    <xf numFmtId="0" fontId="206" fillId="64" borderId="0" xfId="0" applyFont="1" applyFill="1" applyAlignment="1">
      <alignment vertical="center"/>
    </xf>
    <xf numFmtId="169" fontId="165" fillId="0" borderId="0" xfId="179" applyNumberFormat="1" applyFont="1" applyFill="1" applyBorder="1"/>
    <xf numFmtId="169" fontId="165" fillId="0" borderId="0" xfId="179" applyNumberFormat="1" applyFont="1" applyBorder="1"/>
    <xf numFmtId="175" fontId="165" fillId="0" borderId="0" xfId="179" applyNumberFormat="1" applyFont="1" applyBorder="1"/>
    <xf numFmtId="0" fontId="206" fillId="65" borderId="27" xfId="0" applyFont="1" applyFill="1" applyBorder="1" applyAlignment="1">
      <alignment vertical="center"/>
    </xf>
    <xf numFmtId="175" fontId="165" fillId="65" borderId="27" xfId="179" applyNumberFormat="1" applyFont="1" applyFill="1" applyBorder="1"/>
    <xf numFmtId="9" fontId="313" fillId="0" borderId="0" xfId="687" applyNumberFormat="1" applyFont="1" applyAlignment="1">
      <alignment horizontal="right"/>
    </xf>
    <xf numFmtId="0" fontId="282" fillId="171" borderId="13" xfId="0" applyFont="1" applyFill="1" applyBorder="1" applyAlignment="1">
      <alignment vertical="center" wrapText="1"/>
    </xf>
    <xf numFmtId="0" fontId="283" fillId="171" borderId="13" xfId="0" applyFont="1" applyFill="1" applyBorder="1" applyAlignment="1">
      <alignment horizontal="right" vertical="center" wrapText="1"/>
    </xf>
    <xf numFmtId="1" fontId="461" fillId="0" borderId="13" xfId="179" applyNumberFormat="1" applyFont="1" applyBorder="1" applyAlignment="1">
      <alignment horizontal="right"/>
    </xf>
    <xf numFmtId="0" fontId="462" fillId="0" borderId="13" xfId="0" applyFont="1" applyBorder="1" applyAlignment="1">
      <alignment vertical="center" wrapText="1"/>
    </xf>
    <xf numFmtId="3" fontId="163" fillId="0" borderId="13" xfId="0" applyNumberFormat="1" applyFont="1" applyBorder="1" applyAlignment="1">
      <alignment horizontal="right" vertical="center" wrapText="1"/>
    </xf>
    <xf numFmtId="169" fontId="461" fillId="0" borderId="13" xfId="179" applyNumberFormat="1" applyFont="1" applyBorder="1" applyAlignment="1">
      <alignment horizontal="right"/>
    </xf>
    <xf numFmtId="9" fontId="163" fillId="0" borderId="13" xfId="687" applyNumberFormat="1" applyFont="1" applyBorder="1" applyAlignment="1">
      <alignment horizontal="right"/>
    </xf>
    <xf numFmtId="0" fontId="163" fillId="0" borderId="13" xfId="0" applyFont="1" applyBorder="1" applyAlignment="1">
      <alignment vertical="center" wrapText="1"/>
    </xf>
    <xf numFmtId="171" fontId="163" fillId="0" borderId="13" xfId="687" applyNumberFormat="1" applyFont="1" applyBorder="1" applyAlignment="1">
      <alignment horizontal="right"/>
    </xf>
    <xf numFmtId="2" fontId="9" fillId="0" borderId="0" xfId="668" applyNumberFormat="1"/>
    <xf numFmtId="0" fontId="22" fillId="58" borderId="0" xfId="0" applyFont="1" applyFill="1" applyAlignment="1">
      <alignment horizontal="right"/>
    </xf>
    <xf numFmtId="169" fontId="25" fillId="58" borderId="0" xfId="179" applyNumberFormat="1" applyFill="1" applyBorder="1" applyAlignment="1">
      <alignment horizontal="right"/>
    </xf>
    <xf numFmtId="171" fontId="22" fillId="58" borderId="0" xfId="310" applyNumberFormat="1" applyFont="1" applyFill="1" applyBorder="1" applyAlignment="1">
      <alignment horizontal="right"/>
    </xf>
    <xf numFmtId="226" fontId="25" fillId="58" borderId="0" xfId="179" applyNumberFormat="1" applyFill="1" applyBorder="1" applyAlignment="1">
      <alignment horizontal="right"/>
    </xf>
    <xf numFmtId="0" fontId="22" fillId="58" borderId="0" xfId="0" applyFont="1" applyFill="1" applyAlignment="1">
      <alignment horizontal="center" vertical="center"/>
    </xf>
    <xf numFmtId="0" fontId="22" fillId="0" borderId="154" xfId="0" applyFont="1" applyBorder="1" applyAlignment="1">
      <alignment horizontal="center"/>
    </xf>
    <xf numFmtId="171" fontId="22" fillId="58" borderId="0" xfId="310" applyNumberFormat="1" applyFont="1" applyFill="1" applyAlignment="1">
      <alignment vertical="center"/>
    </xf>
    <xf numFmtId="10" fontId="121" fillId="0" borderId="31" xfId="0" applyNumberFormat="1" applyFont="1" applyBorder="1" applyAlignment="1">
      <alignment horizontal="right" vertical="center"/>
    </xf>
    <xf numFmtId="0" fontId="25" fillId="0" borderId="0" xfId="310" applyNumberFormat="1" applyFill="1" applyBorder="1" applyAlignment="1">
      <alignment vertical="center"/>
    </xf>
    <xf numFmtId="3" fontId="190" fillId="0" borderId="0" xfId="0" applyNumberFormat="1" applyFont="1" applyAlignment="1">
      <alignment vertical="center"/>
    </xf>
    <xf numFmtId="0" fontId="235" fillId="109" borderId="153" xfId="0" applyFont="1" applyFill="1" applyBorder="1" applyAlignment="1">
      <alignment vertical="center"/>
    </xf>
    <xf numFmtId="0" fontId="22" fillId="0" borderId="156" xfId="0" applyFont="1" applyBorder="1" applyAlignment="1">
      <alignment horizontal="right"/>
    </xf>
    <xf numFmtId="0" fontId="25" fillId="0" borderId="156" xfId="0" applyFont="1" applyBorder="1" applyAlignment="1">
      <alignment vertical="center"/>
    </xf>
    <xf numFmtId="171" fontId="25" fillId="0" borderId="31" xfId="310" applyNumberFormat="1" applyFill="1" applyBorder="1" applyAlignment="1">
      <alignment vertical="center"/>
    </xf>
    <xf numFmtId="0" fontId="22" fillId="86" borderId="157" xfId="0" applyFont="1" applyFill="1" applyBorder="1" applyAlignment="1">
      <alignment horizontal="center" vertical="center"/>
    </xf>
    <xf numFmtId="171" fontId="22" fillId="86" borderId="13" xfId="0" applyNumberFormat="1" applyFont="1" applyFill="1" applyBorder="1" applyAlignment="1">
      <alignment horizontal="center" vertical="center"/>
    </xf>
    <xf numFmtId="171" fontId="22" fillId="86" borderId="30" xfId="0" applyNumberFormat="1" applyFont="1" applyFill="1" applyBorder="1" applyAlignment="1">
      <alignment horizontal="center" vertical="center"/>
    </xf>
    <xf numFmtId="0" fontId="22" fillId="86" borderId="30" xfId="0" applyFont="1" applyFill="1" applyBorder="1" applyAlignment="1">
      <alignment horizontal="center" vertical="center"/>
    </xf>
    <xf numFmtId="0" fontId="113" fillId="43" borderId="25" xfId="0" applyFont="1" applyFill="1" applyBorder="1" applyAlignment="1">
      <alignment horizontal="left" vertical="center"/>
    </xf>
    <xf numFmtId="0" fontId="122" fillId="0" borderId="20" xfId="0" applyFont="1" applyBorder="1" applyAlignment="1">
      <alignment horizontal="left" vertical="center"/>
    </xf>
    <xf numFmtId="171" fontId="194" fillId="0" borderId="13" xfId="310" applyNumberFormat="1" applyFont="1" applyFill="1" applyBorder="1" applyAlignment="1" applyProtection="1">
      <alignment vertical="center"/>
    </xf>
    <xf numFmtId="171" fontId="25" fillId="0" borderId="157" xfId="310" applyNumberFormat="1" applyFill="1" applyBorder="1" applyAlignment="1">
      <alignment vertical="center"/>
    </xf>
    <xf numFmtId="171" fontId="25" fillId="0" borderId="13" xfId="310" applyNumberFormat="1" applyFill="1" applyBorder="1" applyAlignment="1">
      <alignment vertical="center"/>
    </xf>
    <xf numFmtId="171" fontId="25" fillId="0" borderId="30" xfId="310" applyNumberFormat="1" applyFill="1" applyBorder="1" applyAlignment="1">
      <alignment vertical="center"/>
    </xf>
    <xf numFmtId="9" fontId="25" fillId="0" borderId="24" xfId="310" applyFill="1" applyBorder="1" applyAlignment="1">
      <alignment vertical="center"/>
    </xf>
    <xf numFmtId="9" fontId="25" fillId="0" borderId="31" xfId="310" applyFill="1" applyBorder="1" applyAlignment="1">
      <alignment vertical="center"/>
    </xf>
    <xf numFmtId="171" fontId="20" fillId="0" borderId="33" xfId="3606" applyNumberFormat="1" applyBorder="1"/>
    <xf numFmtId="3" fontId="0" fillId="64" borderId="31" xfId="0" applyNumberFormat="1" applyFill="1" applyBorder="1"/>
    <xf numFmtId="0" fontId="0" fillId="59" borderId="154" xfId="0" applyFill="1" applyBorder="1"/>
    <xf numFmtId="0" fontId="22" fillId="59" borderId="153" xfId="0" applyFont="1" applyFill="1" applyBorder="1"/>
    <xf numFmtId="0" fontId="22" fillId="59" borderId="155" xfId="0" applyFont="1" applyFill="1" applyBorder="1" applyAlignment="1">
      <alignment horizontal="right"/>
    </xf>
    <xf numFmtId="0" fontId="22" fillId="59" borderId="154" xfId="0" applyFont="1" applyFill="1" applyBorder="1"/>
    <xf numFmtId="3" fontId="0" fillId="0" borderId="31" xfId="0" applyNumberFormat="1" applyBorder="1"/>
    <xf numFmtId="169" fontId="20" fillId="0" borderId="0" xfId="3580" applyNumberFormat="1" applyBorder="1"/>
    <xf numFmtId="171" fontId="20" fillId="0" borderId="0" xfId="3606" applyNumberFormat="1" applyBorder="1"/>
    <xf numFmtId="171" fontId="20" fillId="0" borderId="31" xfId="3606" applyNumberFormat="1" applyBorder="1"/>
    <xf numFmtId="171" fontId="20" fillId="0" borderId="27" xfId="3606" applyNumberFormat="1" applyBorder="1"/>
    <xf numFmtId="0" fontId="22" fillId="71" borderId="155" xfId="0" applyFont="1" applyFill="1" applyBorder="1" applyAlignment="1">
      <alignment horizontal="right"/>
    </xf>
    <xf numFmtId="171" fontId="25" fillId="0" borderId="24" xfId="310" applyNumberFormat="1" applyFill="1" applyBorder="1" applyAlignment="1">
      <alignment horizontal="right"/>
    </xf>
    <xf numFmtId="171" fontId="201" fillId="0" borderId="24" xfId="310" applyNumberFormat="1" applyFont="1" applyFill="1" applyBorder="1" applyAlignment="1">
      <alignment horizontal="right"/>
    </xf>
    <xf numFmtId="169" fontId="22" fillId="0" borderId="24" xfId="0" applyNumberFormat="1" applyFont="1" applyBorder="1"/>
    <xf numFmtId="169" fontId="25" fillId="0" borderId="24" xfId="0" applyNumberFormat="1" applyFont="1" applyBorder="1"/>
    <xf numFmtId="0" fontId="130" fillId="43" borderId="153" xfId="0" applyFont="1" applyFill="1" applyBorder="1" applyAlignment="1">
      <alignment vertical="center"/>
    </xf>
    <xf numFmtId="171" fontId="122" fillId="0" borderId="154" xfId="310" applyNumberFormat="1" applyFont="1" applyFill="1" applyBorder="1" applyAlignment="1">
      <alignment horizontal="right" vertical="center"/>
    </xf>
    <xf numFmtId="0" fontId="130" fillId="43" borderId="32" xfId="0" applyFont="1" applyFill="1" applyBorder="1" applyAlignment="1">
      <alignment vertical="center"/>
    </xf>
    <xf numFmtId="0" fontId="25" fillId="0" borderId="153" xfId="0" applyFont="1" applyBorder="1" applyAlignment="1">
      <alignment vertical="center"/>
    </xf>
    <xf numFmtId="183" fontId="25" fillId="0" borderId="154" xfId="0" applyNumberFormat="1" applyFont="1" applyBorder="1" applyAlignment="1">
      <alignment horizontal="right" vertical="center"/>
    </xf>
    <xf numFmtId="183" fontId="25" fillId="0" borderId="155" xfId="0" applyNumberFormat="1" applyFont="1" applyBorder="1" applyAlignment="1">
      <alignment horizontal="right" vertical="center"/>
    </xf>
    <xf numFmtId="0" fontId="20" fillId="0" borderId="0" xfId="0" applyFont="1" applyAlignment="1">
      <alignment horizontal="right" vertical="center"/>
    </xf>
    <xf numFmtId="1" fontId="25" fillId="0" borderId="0" xfId="310" applyNumberFormat="1" applyBorder="1" applyAlignment="1">
      <alignment horizontal="right" vertical="center"/>
    </xf>
    <xf numFmtId="0" fontId="20" fillId="0" borderId="32" xfId="0" applyFont="1" applyBorder="1" applyAlignment="1">
      <alignment vertical="center"/>
    </xf>
    <xf numFmtId="0" fontId="20" fillId="0" borderId="27" xfId="0" applyFont="1" applyBorder="1" applyAlignment="1">
      <alignment horizontal="right" vertical="center"/>
    </xf>
    <xf numFmtId="0" fontId="121" fillId="0" borderId="27" xfId="0" applyFont="1" applyBorder="1" applyAlignment="1">
      <alignment horizontal="left" vertical="center"/>
    </xf>
    <xf numFmtId="9" fontId="25" fillId="0" borderId="27" xfId="310" applyBorder="1" applyAlignment="1">
      <alignment horizontal="right" vertical="center"/>
    </xf>
    <xf numFmtId="171" fontId="25" fillId="0" borderId="27" xfId="310" applyNumberFormat="1" applyBorder="1" applyAlignment="1">
      <alignment horizontal="right" vertical="center"/>
    </xf>
    <xf numFmtId="183" fontId="25" fillId="0" borderId="27" xfId="310" applyNumberFormat="1" applyBorder="1" applyAlignment="1">
      <alignment horizontal="right" vertical="center"/>
    </xf>
    <xf numFmtId="1" fontId="25" fillId="0" borderId="27" xfId="310" applyNumberFormat="1" applyBorder="1" applyAlignment="1">
      <alignment horizontal="right" vertical="center"/>
    </xf>
    <xf numFmtId="183" fontId="25" fillId="0" borderId="33" xfId="310" applyNumberFormat="1" applyBorder="1" applyAlignment="1">
      <alignment horizontal="right" vertical="center"/>
    </xf>
    <xf numFmtId="0" fontId="22" fillId="81" borderId="155" xfId="0" applyFont="1" applyFill="1" applyBorder="1" applyAlignment="1">
      <alignment vertical="center"/>
    </xf>
    <xf numFmtId="0" fontId="2" fillId="0" borderId="0" xfId="3855"/>
    <xf numFmtId="0" fontId="2" fillId="0" borderId="0" xfId="3856"/>
    <xf numFmtId="169" fontId="2" fillId="0" borderId="0" xfId="3857" applyNumberFormat="1"/>
    <xf numFmtId="0" fontId="20" fillId="0" borderId="0" xfId="3855" applyFont="1"/>
    <xf numFmtId="178" fontId="2" fillId="0" borderId="0" xfId="3855" applyNumberFormat="1"/>
    <xf numFmtId="178" fontId="20" fillId="0" borderId="0" xfId="3855" applyNumberFormat="1" applyFont="1"/>
    <xf numFmtId="1" fontId="2" fillId="0" borderId="0" xfId="3855" applyNumberFormat="1"/>
    <xf numFmtId="169" fontId="194" fillId="0" borderId="0" xfId="179" applyNumberFormat="1" applyFont="1" applyFill="1" applyBorder="1" applyAlignment="1">
      <alignment vertical="center"/>
    </xf>
    <xf numFmtId="3" fontId="463" fillId="0" borderId="0" xfId="0" applyNumberFormat="1" applyFont="1"/>
    <xf numFmtId="173" fontId="198" fillId="0" borderId="24" xfId="0" applyNumberFormat="1" applyFont="1" applyBorder="1" applyAlignment="1">
      <alignment vertical="center"/>
    </xf>
    <xf numFmtId="4" fontId="198" fillId="0" borderId="24" xfId="0" applyNumberFormat="1" applyFont="1" applyBorder="1" applyAlignment="1">
      <alignment vertical="center"/>
    </xf>
    <xf numFmtId="173" fontId="190" fillId="0" borderId="24" xfId="0" applyNumberFormat="1" applyFont="1" applyBorder="1" applyAlignment="1">
      <alignment vertical="center"/>
    </xf>
    <xf numFmtId="0" fontId="465" fillId="172" borderId="159" xfId="0" applyFont="1" applyFill="1" applyBorder="1" applyAlignment="1">
      <alignment horizontal="left" vertical="center"/>
    </xf>
    <xf numFmtId="0" fontId="466" fillId="119" borderId="160" xfId="0" applyFont="1" applyFill="1" applyBorder="1" applyAlignment="1">
      <alignment horizontal="left" vertical="center"/>
    </xf>
    <xf numFmtId="0" fontId="466" fillId="119" borderId="41" xfId="0" applyFont="1" applyFill="1" applyBorder="1" applyAlignment="1">
      <alignment horizontal="left" vertical="center"/>
    </xf>
    <xf numFmtId="171" fontId="121" fillId="0" borderId="153" xfId="0" applyNumberFormat="1" applyFont="1" applyBorder="1" applyAlignment="1">
      <alignment vertical="center"/>
    </xf>
    <xf numFmtId="171" fontId="121" fillId="0" borderId="154" xfId="0" applyNumberFormat="1" applyFont="1" applyBorder="1" applyAlignment="1">
      <alignment vertical="center"/>
    </xf>
    <xf numFmtId="171" fontId="121" fillId="0" borderId="155" xfId="0" applyNumberFormat="1" applyFont="1" applyBorder="1" applyAlignment="1">
      <alignment vertical="center"/>
    </xf>
    <xf numFmtId="171" fontId="121" fillId="0" borderId="25" xfId="310" applyNumberFormat="1" applyFont="1" applyFill="1" applyBorder="1" applyAlignment="1">
      <alignment horizontal="right" vertical="center"/>
    </xf>
    <xf numFmtId="171" fontId="121" fillId="0" borderId="32" xfId="0" applyNumberFormat="1" applyFont="1" applyBorder="1" applyAlignment="1">
      <alignment vertical="center"/>
    </xf>
    <xf numFmtId="171" fontId="121" fillId="0" borderId="27" xfId="0" applyNumberFormat="1" applyFont="1" applyBorder="1" applyAlignment="1">
      <alignment vertical="center"/>
    </xf>
    <xf numFmtId="171" fontId="121" fillId="0" borderId="33" xfId="0" applyNumberFormat="1" applyFont="1" applyBorder="1" applyAlignment="1">
      <alignment vertical="center"/>
    </xf>
    <xf numFmtId="3" fontId="128" fillId="43" borderId="25" xfId="0" applyNumberFormat="1" applyFont="1" applyFill="1" applyBorder="1" applyAlignment="1">
      <alignment horizontal="right" vertical="center"/>
    </xf>
    <xf numFmtId="3" fontId="128" fillId="43" borderId="0" xfId="0" applyNumberFormat="1" applyFont="1" applyFill="1" applyAlignment="1">
      <alignment horizontal="right" vertical="center"/>
    </xf>
    <xf numFmtId="3" fontId="25" fillId="60" borderId="154" xfId="0" applyNumberFormat="1" applyFont="1" applyFill="1" applyBorder="1"/>
    <xf numFmtId="3" fontId="22" fillId="0" borderId="27" xfId="0" applyNumberFormat="1" applyFont="1" applyBorder="1"/>
    <xf numFmtId="0" fontId="121" fillId="0" borderId="27" xfId="0" applyFont="1" applyBorder="1"/>
    <xf numFmtId="3" fontId="121" fillId="0" borderId="27" xfId="0" applyNumberFormat="1" applyFont="1" applyBorder="1"/>
    <xf numFmtId="0" fontId="466" fillId="119" borderId="0" xfId="0" applyFont="1" applyFill="1" applyAlignment="1">
      <alignment horizontal="left" vertical="center"/>
    </xf>
    <xf numFmtId="0" fontId="190" fillId="58" borderId="81" xfId="0" applyFont="1" applyFill="1" applyBorder="1" applyAlignment="1">
      <alignment horizontal="left" indent="1"/>
    </xf>
    <xf numFmtId="169" fontId="22" fillId="58" borderId="0" xfId="179" applyNumberFormat="1" applyFont="1" applyFill="1" applyBorder="1"/>
    <xf numFmtId="171" fontId="22" fillId="58" borderId="0" xfId="310" applyNumberFormat="1" applyFont="1" applyFill="1" applyBorder="1"/>
    <xf numFmtId="0" fontId="0" fillId="58" borderId="0" xfId="0" applyFill="1"/>
    <xf numFmtId="171" fontId="22" fillId="58" borderId="82" xfId="310" applyNumberFormat="1" applyFont="1" applyFill="1" applyBorder="1"/>
    <xf numFmtId="9" fontId="25" fillId="58" borderId="0" xfId="310" applyFill="1" applyBorder="1"/>
    <xf numFmtId="10" fontId="25" fillId="58" borderId="0" xfId="310" applyNumberFormat="1" applyFill="1" applyBorder="1"/>
    <xf numFmtId="169" fontId="25" fillId="58" borderId="25" xfId="179" applyNumberFormat="1" applyFill="1" applyBorder="1" applyAlignment="1">
      <alignment horizontal="right"/>
    </xf>
    <xf numFmtId="169" fontId="25" fillId="58" borderId="31" xfId="179" applyNumberFormat="1" applyFill="1" applyBorder="1" applyAlignment="1">
      <alignment horizontal="right"/>
    </xf>
    <xf numFmtId="171" fontId="22" fillId="58" borderId="31" xfId="310" applyNumberFormat="1" applyFont="1" applyFill="1" applyBorder="1" applyAlignment="1">
      <alignment horizontal="right"/>
    </xf>
    <xf numFmtId="169" fontId="25" fillId="58" borderId="0" xfId="179" applyNumberFormat="1" applyFill="1" applyAlignment="1">
      <alignment horizontal="right"/>
    </xf>
    <xf numFmtId="171" fontId="25" fillId="58" borderId="0" xfId="310" applyNumberFormat="1" applyFill="1" applyAlignment="1">
      <alignment horizontal="right"/>
    </xf>
    <xf numFmtId="169" fontId="25" fillId="64" borderId="0" xfId="310" applyNumberFormat="1" applyFill="1"/>
    <xf numFmtId="168" fontId="25" fillId="0" borderId="0" xfId="179" applyFill="1" applyBorder="1" applyAlignment="1">
      <alignment horizontal="right" vertical="center"/>
    </xf>
    <xf numFmtId="183" fontId="25" fillId="65" borderId="0" xfId="0" applyNumberFormat="1" applyFont="1" applyFill="1" applyAlignment="1">
      <alignment horizontal="right" vertical="center"/>
    </xf>
    <xf numFmtId="171" fontId="122" fillId="65" borderId="0" xfId="310" applyNumberFormat="1" applyFont="1" applyFill="1" applyBorder="1" applyAlignment="1">
      <alignment horizontal="right" vertical="center"/>
    </xf>
    <xf numFmtId="183" fontId="25" fillId="65" borderId="0" xfId="310" applyNumberFormat="1" applyFill="1" applyBorder="1" applyAlignment="1" applyProtection="1">
      <alignment horizontal="right" vertical="center"/>
    </xf>
    <xf numFmtId="169" fontId="25" fillId="65" borderId="0" xfId="179" applyNumberFormat="1" applyFill="1" applyBorder="1" applyAlignment="1">
      <alignment horizontal="right" vertical="center"/>
    </xf>
    <xf numFmtId="183" fontId="121" fillId="65" borderId="0" xfId="0" applyNumberFormat="1" applyFont="1" applyFill="1" applyAlignment="1">
      <alignment horizontal="right" vertical="center"/>
    </xf>
    <xf numFmtId="175" fontId="0" fillId="0" borderId="0" xfId="0" applyNumberFormat="1"/>
    <xf numFmtId="169" fontId="163" fillId="0" borderId="13" xfId="687" applyNumberFormat="1" applyFont="1" applyBorder="1" applyAlignment="1">
      <alignment horizontal="right"/>
    </xf>
    <xf numFmtId="9" fontId="461" fillId="0" borderId="13" xfId="310" applyFont="1" applyBorder="1" applyAlignment="1">
      <alignment horizontal="right"/>
    </xf>
    <xf numFmtId="0" fontId="20" fillId="0" borderId="26" xfId="0" applyFont="1" applyBorder="1"/>
    <xf numFmtId="0" fontId="20" fillId="73" borderId="0" xfId="0" applyFont="1" applyFill="1"/>
    <xf numFmtId="10" fontId="0" fillId="73" borderId="0" xfId="0" applyNumberFormat="1" applyFill="1"/>
    <xf numFmtId="0" fontId="25" fillId="73" borderId="0" xfId="0" applyFont="1" applyFill="1"/>
    <xf numFmtId="169" fontId="238" fillId="73" borderId="0" xfId="179" applyNumberFormat="1" applyFont="1" applyFill="1" applyBorder="1" applyAlignment="1">
      <alignment horizontal="right"/>
    </xf>
    <xf numFmtId="3" fontId="25" fillId="73" borderId="0" xfId="0" applyNumberFormat="1" applyFont="1" applyFill="1"/>
    <xf numFmtId="169" fontId="20" fillId="73" borderId="0" xfId="179" applyNumberFormat="1" applyFont="1" applyFill="1" applyBorder="1" applyAlignment="1">
      <alignment horizontal="right"/>
    </xf>
    <xf numFmtId="175" fontId="25" fillId="73" borderId="0" xfId="179" applyNumberFormat="1" applyFill="1"/>
    <xf numFmtId="0" fontId="0" fillId="65" borderId="153" xfId="0" applyFill="1" applyBorder="1"/>
    <xf numFmtId="0" fontId="0" fillId="65" borderId="154" xfId="0" applyFill="1" applyBorder="1"/>
    <xf numFmtId="0" fontId="0" fillId="65" borderId="154" xfId="0" applyFill="1" applyBorder="1" applyAlignment="1">
      <alignment horizontal="right"/>
    </xf>
    <xf numFmtId="0" fontId="20" fillId="65" borderId="154" xfId="0" applyFont="1" applyFill="1" applyBorder="1" applyAlignment="1">
      <alignment horizontal="right"/>
    </xf>
    <xf numFmtId="0" fontId="20" fillId="65" borderId="155" xfId="0" applyFont="1" applyFill="1" applyBorder="1"/>
    <xf numFmtId="0" fontId="20" fillId="65" borderId="25" xfId="0" applyFont="1" applyFill="1" applyBorder="1"/>
    <xf numFmtId="169" fontId="25" fillId="65" borderId="0" xfId="179" applyNumberFormat="1" applyFill="1" applyBorder="1"/>
    <xf numFmtId="3" fontId="0" fillId="65" borderId="0" xfId="0" applyNumberFormat="1" applyFill="1"/>
    <xf numFmtId="3" fontId="0" fillId="65" borderId="31" xfId="0" applyNumberFormat="1" applyFill="1" applyBorder="1"/>
    <xf numFmtId="171" fontId="25" fillId="65" borderId="0" xfId="310" applyNumberFormat="1" applyFill="1" applyBorder="1"/>
    <xf numFmtId="171" fontId="0" fillId="65" borderId="0" xfId="0" applyNumberFormat="1" applyFill="1"/>
    <xf numFmtId="10" fontId="0" fillId="65" borderId="31" xfId="0" applyNumberFormat="1" applyFill="1" applyBorder="1"/>
    <xf numFmtId="0" fontId="0" fillId="65" borderId="32" xfId="0" applyFill="1" applyBorder="1"/>
    <xf numFmtId="0" fontId="0" fillId="65" borderId="27" xfId="0" applyFill="1" applyBorder="1"/>
    <xf numFmtId="171" fontId="25" fillId="65" borderId="27" xfId="310" applyNumberFormat="1" applyFill="1" applyBorder="1"/>
    <xf numFmtId="171" fontId="0" fillId="65" borderId="33" xfId="0" applyNumberFormat="1" applyFill="1" applyBorder="1"/>
    <xf numFmtId="171" fontId="20" fillId="0" borderId="0" xfId="0" applyNumberFormat="1" applyFont="1"/>
    <xf numFmtId="169" fontId="20" fillId="0" borderId="0" xfId="179" applyNumberFormat="1" applyFont="1"/>
    <xf numFmtId="171" fontId="25" fillId="73" borderId="0" xfId="310" applyNumberFormat="1" applyFill="1"/>
    <xf numFmtId="171" fontId="121" fillId="65" borderId="0" xfId="310" applyNumberFormat="1" applyFont="1" applyFill="1" applyBorder="1" applyAlignment="1" applyProtection="1">
      <alignment horizontal="right" vertical="center"/>
    </xf>
    <xf numFmtId="37" fontId="22" fillId="43" borderId="0" xfId="0" applyNumberFormat="1" applyFont="1" applyFill="1" applyAlignment="1">
      <alignment horizontal="right" vertical="center"/>
    </xf>
    <xf numFmtId="3" fontId="22" fillId="73" borderId="0" xfId="310" applyNumberFormat="1" applyFont="1" applyFill="1" applyBorder="1" applyAlignment="1">
      <alignment horizontal="right"/>
    </xf>
    <xf numFmtId="0" fontId="113" fillId="43" borderId="0" xfId="0" applyFont="1" applyFill="1" applyAlignment="1">
      <alignment horizontal="left" vertical="center"/>
    </xf>
    <xf numFmtId="37" fontId="22" fillId="43" borderId="25" xfId="0" applyNumberFormat="1" applyFont="1" applyFill="1" applyBorder="1" applyAlignment="1">
      <alignment horizontal="right" vertical="center"/>
    </xf>
    <xf numFmtId="171" fontId="25" fillId="43" borderId="0" xfId="310" applyNumberFormat="1" applyFill="1" applyBorder="1" applyAlignment="1">
      <alignment horizontal="right" vertical="center"/>
    </xf>
    <xf numFmtId="171" fontId="25" fillId="43" borderId="154" xfId="310" applyNumberFormat="1" applyFill="1" applyBorder="1" applyAlignment="1">
      <alignment horizontal="right" vertical="center"/>
    </xf>
    <xf numFmtId="0" fontId="216" fillId="73" borderId="13" xfId="0" applyFont="1" applyFill="1" applyBorder="1"/>
    <xf numFmtId="229" fontId="25" fillId="73" borderId="13" xfId="0" applyNumberFormat="1" applyFont="1" applyFill="1" applyBorder="1"/>
    <xf numFmtId="9" fontId="218" fillId="73" borderId="13" xfId="310" applyFont="1" applyFill="1" applyBorder="1"/>
    <xf numFmtId="229" fontId="218" fillId="73" borderId="13" xfId="0" applyNumberFormat="1" applyFont="1" applyFill="1" applyBorder="1"/>
    <xf numFmtId="0" fontId="0" fillId="73" borderId="13" xfId="0" applyFill="1" applyBorder="1"/>
    <xf numFmtId="1" fontId="25" fillId="73" borderId="13" xfId="0" applyNumberFormat="1" applyFont="1" applyFill="1" applyBorder="1" applyAlignment="1">
      <alignment horizontal="left"/>
    </xf>
    <xf numFmtId="1" fontId="25" fillId="73" borderId="13" xfId="0" applyNumberFormat="1" applyFont="1" applyFill="1" applyBorder="1"/>
    <xf numFmtId="10" fontId="25" fillId="73" borderId="13" xfId="310" applyNumberFormat="1" applyFill="1" applyBorder="1"/>
    <xf numFmtId="169" fontId="25" fillId="73" borderId="13" xfId="310" applyNumberFormat="1" applyFill="1" applyBorder="1"/>
    <xf numFmtId="171" fontId="25" fillId="73" borderId="13" xfId="310" applyNumberFormat="1" applyFill="1" applyBorder="1"/>
    <xf numFmtId="9" fontId="25" fillId="73" borderId="13" xfId="310" applyFill="1" applyBorder="1"/>
    <xf numFmtId="169" fontId="25" fillId="73" borderId="13" xfId="179" applyNumberFormat="1" applyFill="1" applyBorder="1"/>
    <xf numFmtId="171" fontId="22" fillId="73" borderId="13" xfId="310" applyNumberFormat="1" applyFont="1" applyFill="1" applyBorder="1"/>
    <xf numFmtId="171" fontId="218" fillId="73" borderId="13" xfId="302" applyNumberFormat="1" applyFont="1" applyFill="1" applyBorder="1"/>
    <xf numFmtId="1" fontId="190" fillId="73" borderId="13" xfId="0" applyNumberFormat="1" applyFont="1" applyFill="1" applyBorder="1"/>
    <xf numFmtId="0" fontId="25" fillId="73" borderId="13" xfId="0" applyFont="1" applyFill="1" applyBorder="1" applyAlignment="1">
      <alignment horizontal="left"/>
    </xf>
    <xf numFmtId="0" fontId="25" fillId="73" borderId="13" xfId="0" applyFont="1" applyFill="1" applyBorder="1"/>
    <xf numFmtId="0" fontId="190" fillId="73" borderId="13" xfId="0" applyFont="1" applyFill="1" applyBorder="1"/>
    <xf numFmtId="0" fontId="22" fillId="73" borderId="13" xfId="0" applyFont="1" applyFill="1" applyBorder="1" applyAlignment="1">
      <alignment horizontal="right"/>
    </xf>
    <xf numFmtId="0" fontId="22" fillId="90" borderId="0" xfId="0" applyFont="1" applyFill="1" applyAlignment="1">
      <alignment vertical="center"/>
    </xf>
    <xf numFmtId="169" fontId="22" fillId="90" borderId="0" xfId="179" applyNumberFormat="1" applyFont="1" applyFill="1" applyBorder="1" applyAlignment="1">
      <alignment horizontal="right" vertical="center"/>
    </xf>
    <xf numFmtId="183" fontId="22" fillId="90" borderId="0" xfId="0" applyNumberFormat="1" applyFont="1" applyFill="1" applyAlignment="1">
      <alignment vertical="center"/>
    </xf>
    <xf numFmtId="183" fontId="22" fillId="64" borderId="0" xfId="179" applyNumberFormat="1" applyFont="1" applyFill="1" applyBorder="1" applyAlignment="1" applyProtection="1">
      <alignment horizontal="right" vertical="center"/>
    </xf>
    <xf numFmtId="10" fontId="25" fillId="64" borderId="0" xfId="310" applyNumberFormat="1" applyFill="1" applyBorder="1" applyAlignment="1" applyProtection="1">
      <alignment horizontal="right" vertical="center"/>
    </xf>
    <xf numFmtId="170" fontId="22" fillId="64" borderId="0" xfId="0" applyNumberFormat="1" applyFont="1" applyFill="1" applyAlignment="1">
      <alignment horizontal="right" vertical="center"/>
    </xf>
    <xf numFmtId="10" fontId="25" fillId="90" borderId="0" xfId="310" applyNumberFormat="1" applyFill="1" applyBorder="1" applyAlignment="1">
      <alignment vertical="center"/>
    </xf>
    <xf numFmtId="10" fontId="25" fillId="90" borderId="0" xfId="0" applyNumberFormat="1" applyFont="1" applyFill="1" applyAlignment="1">
      <alignment vertical="center"/>
    </xf>
    <xf numFmtId="183" fontId="22" fillId="90" borderId="0" xfId="0" applyNumberFormat="1" applyFont="1" applyFill="1" applyAlignment="1">
      <alignment horizontal="right" vertical="center"/>
    </xf>
    <xf numFmtId="183" fontId="22" fillId="64" borderId="0" xfId="310" applyNumberFormat="1" applyFont="1" applyFill="1" applyBorder="1" applyAlignment="1" applyProtection="1">
      <alignment horizontal="right" vertical="center"/>
    </xf>
    <xf numFmtId="183" fontId="25" fillId="64" borderId="0" xfId="310" applyNumberFormat="1" applyFill="1" applyBorder="1" applyAlignment="1" applyProtection="1">
      <alignment horizontal="right" vertical="center"/>
    </xf>
    <xf numFmtId="9" fontId="25" fillId="64" borderId="0" xfId="179" applyNumberFormat="1" applyFill="1" applyBorder="1" applyAlignment="1">
      <alignment horizontal="right" vertical="center"/>
    </xf>
    <xf numFmtId="169" fontId="22" fillId="64" borderId="0" xfId="310" applyNumberFormat="1" applyFont="1" applyFill="1" applyBorder="1" applyAlignment="1">
      <alignment horizontal="right" vertical="center"/>
    </xf>
    <xf numFmtId="10" fontId="22" fillId="64" borderId="0" xfId="310" applyNumberFormat="1" applyFont="1" applyFill="1" applyBorder="1" applyAlignment="1">
      <alignment horizontal="right" vertical="center"/>
    </xf>
    <xf numFmtId="0" fontId="46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67" fillId="0" borderId="0" xfId="0" applyFont="1" applyAlignment="1">
      <alignment vertical="center" wrapText="1"/>
    </xf>
    <xf numFmtId="3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169" fontId="203" fillId="64" borderId="0" xfId="179" applyNumberFormat="1" applyFont="1" applyFill="1" applyBorder="1" applyAlignment="1">
      <alignment horizontal="right"/>
    </xf>
    <xf numFmtId="171" fontId="201" fillId="64" borderId="31" xfId="310" applyNumberFormat="1" applyFont="1" applyFill="1" applyBorder="1" applyAlignment="1">
      <alignment horizontal="right"/>
    </xf>
    <xf numFmtId="0" fontId="190" fillId="64" borderId="81" xfId="0" applyFont="1" applyFill="1" applyBorder="1" applyAlignment="1">
      <alignment horizontal="left" indent="1"/>
    </xf>
    <xf numFmtId="0" fontId="198" fillId="64" borderId="81" xfId="0" applyFont="1" applyFill="1" applyBorder="1" applyAlignment="1">
      <alignment horizontal="left" indent="1"/>
    </xf>
    <xf numFmtId="0" fontId="25" fillId="64" borderId="81" xfId="0" applyFont="1" applyFill="1" applyBorder="1" applyAlignment="1">
      <alignment horizontal="left" indent="2"/>
    </xf>
    <xf numFmtId="0" fontId="25" fillId="64" borderId="81" xfId="0" applyFont="1" applyFill="1" applyBorder="1" applyAlignment="1">
      <alignment horizontal="left" indent="1"/>
    </xf>
    <xf numFmtId="169" fontId="201" fillId="64" borderId="0" xfId="179" applyNumberFormat="1" applyFont="1" applyFill="1" applyBorder="1" applyAlignment="1">
      <alignment horizontal="right"/>
    </xf>
    <xf numFmtId="10" fontId="25" fillId="64" borderId="0" xfId="310" applyNumberFormat="1" applyFill="1" applyBorder="1" applyAlignment="1">
      <alignment horizontal="right"/>
    </xf>
    <xf numFmtId="0" fontId="22" fillId="64" borderId="0" xfId="0" applyFont="1" applyFill="1" applyAlignment="1">
      <alignment horizontal="left" indent="1"/>
    </xf>
    <xf numFmtId="0" fontId="25" fillId="64" borderId="0" xfId="0" applyFont="1" applyFill="1" applyAlignment="1">
      <alignment horizontal="left" indent="1"/>
    </xf>
    <xf numFmtId="0" fontId="25" fillId="64" borderId="0" xfId="0" applyFont="1" applyFill="1" applyAlignment="1">
      <alignment horizontal="left" indent="2"/>
    </xf>
    <xf numFmtId="0" fontId="20" fillId="64" borderId="0" xfId="0" applyFont="1" applyFill="1" applyAlignment="1">
      <alignment horizontal="left" indent="2"/>
    </xf>
    <xf numFmtId="226" fontId="25" fillId="64" borderId="0" xfId="179" applyNumberFormat="1" applyFill="1" applyBorder="1" applyAlignment="1">
      <alignment horizontal="right"/>
    </xf>
    <xf numFmtId="226" fontId="22" fillId="64" borderId="0" xfId="179" applyNumberFormat="1" applyFont="1" applyFill="1" applyBorder="1" applyAlignment="1">
      <alignment horizontal="right"/>
    </xf>
    <xf numFmtId="0" fontId="25" fillId="64" borderId="0" xfId="179" applyNumberFormat="1" applyFill="1" applyBorder="1" applyAlignment="1">
      <alignment horizontal="right"/>
    </xf>
    <xf numFmtId="0" fontId="25" fillId="64" borderId="0" xfId="310" applyNumberFormat="1" applyFill="1" applyBorder="1" applyAlignment="1">
      <alignment horizontal="right"/>
    </xf>
    <xf numFmtId="0" fontId="25" fillId="64" borderId="0" xfId="179" applyNumberFormat="1" applyFill="1" applyBorder="1"/>
    <xf numFmtId="169" fontId="203" fillId="64" borderId="0" xfId="179" applyNumberFormat="1" applyFont="1" applyFill="1" applyBorder="1"/>
    <xf numFmtId="169" fontId="201" fillId="64" borderId="0" xfId="179" applyNumberFormat="1" applyFont="1" applyFill="1" applyBorder="1"/>
    <xf numFmtId="169" fontId="201" fillId="64" borderId="0" xfId="0" applyNumberFormat="1" applyFont="1" applyFill="1"/>
    <xf numFmtId="1" fontId="201" fillId="64" borderId="0" xfId="0" applyNumberFormat="1" applyFont="1" applyFill="1"/>
    <xf numFmtId="0" fontId="201" fillId="64" borderId="0" xfId="0" applyFont="1" applyFill="1"/>
    <xf numFmtId="0" fontId="22" fillId="64" borderId="30" xfId="0" applyFont="1" applyFill="1" applyBorder="1" applyAlignment="1">
      <alignment horizontal="right"/>
    </xf>
    <xf numFmtId="10" fontId="20" fillId="64" borderId="30" xfId="310" applyNumberFormat="1" applyFont="1" applyFill="1" applyBorder="1"/>
    <xf numFmtId="169" fontId="25" fillId="64" borderId="30" xfId="310" applyNumberFormat="1" applyFill="1" applyBorder="1"/>
    <xf numFmtId="171" fontId="25" fillId="64" borderId="30" xfId="310" applyNumberFormat="1" applyFill="1" applyBorder="1"/>
    <xf numFmtId="169" fontId="25" fillId="64" borderId="30" xfId="179" applyNumberFormat="1" applyFill="1" applyBorder="1"/>
    <xf numFmtId="169" fontId="25" fillId="64" borderId="31" xfId="0" applyNumberFormat="1" applyFont="1" applyFill="1" applyBorder="1"/>
    <xf numFmtId="169" fontId="22" fillId="64" borderId="31" xfId="179" applyNumberFormat="1" applyFont="1" applyFill="1" applyBorder="1" applyAlignment="1">
      <alignment horizontal="right"/>
    </xf>
    <xf numFmtId="171" fontId="22" fillId="64" borderId="31" xfId="310" applyNumberFormat="1" applyFont="1" applyFill="1" applyBorder="1" applyAlignment="1">
      <alignment horizontal="right"/>
    </xf>
    <xf numFmtId="0" fontId="25" fillId="64" borderId="31" xfId="179" applyNumberFormat="1" applyFill="1" applyBorder="1" applyAlignment="1">
      <alignment horizontal="right"/>
    </xf>
    <xf numFmtId="0" fontId="25" fillId="64" borderId="31" xfId="310" applyNumberFormat="1" applyFill="1" applyBorder="1" applyAlignment="1">
      <alignment horizontal="right"/>
    </xf>
    <xf numFmtId="0" fontId="25" fillId="64" borderId="31" xfId="179" applyNumberFormat="1" applyFill="1" applyBorder="1"/>
    <xf numFmtId="169" fontId="203" fillId="64" borderId="31" xfId="179" applyNumberFormat="1" applyFont="1" applyFill="1" applyBorder="1"/>
    <xf numFmtId="169" fontId="201" fillId="64" borderId="31" xfId="179" applyNumberFormat="1" applyFont="1" applyFill="1" applyBorder="1"/>
    <xf numFmtId="169" fontId="201" fillId="64" borderId="31" xfId="0" applyNumberFormat="1" applyFont="1" applyFill="1" applyBorder="1"/>
    <xf numFmtId="1" fontId="25" fillId="64" borderId="31" xfId="0" applyNumberFormat="1" applyFont="1" applyFill="1" applyBorder="1"/>
    <xf numFmtId="1" fontId="201" fillId="64" borderId="31" xfId="0" applyNumberFormat="1" applyFont="1" applyFill="1" applyBorder="1"/>
    <xf numFmtId="0" fontId="201" fillId="64" borderId="31" xfId="0" applyFont="1" applyFill="1" applyBorder="1"/>
    <xf numFmtId="10" fontId="25" fillId="64" borderId="30" xfId="310" applyNumberFormat="1" applyFill="1" applyBorder="1"/>
    <xf numFmtId="0" fontId="22" fillId="71" borderId="31" xfId="0" applyFont="1" applyFill="1" applyBorder="1" applyAlignment="1">
      <alignment horizontal="right"/>
    </xf>
    <xf numFmtId="0" fontId="22" fillId="73" borderId="30" xfId="0" applyFont="1" applyFill="1" applyBorder="1" applyAlignment="1">
      <alignment horizontal="right"/>
    </xf>
    <xf numFmtId="10" fontId="25" fillId="73" borderId="30" xfId="310" applyNumberFormat="1" applyFill="1" applyBorder="1"/>
    <xf numFmtId="169" fontId="25" fillId="73" borderId="30" xfId="310" applyNumberFormat="1" applyFill="1" applyBorder="1"/>
    <xf numFmtId="171" fontId="25" fillId="73" borderId="30" xfId="310" applyNumberFormat="1" applyFill="1" applyBorder="1"/>
    <xf numFmtId="169" fontId="25" fillId="73" borderId="30" xfId="179" applyNumberFormat="1" applyFill="1" applyBorder="1"/>
    <xf numFmtId="169" fontId="25" fillId="0" borderId="31" xfId="179" applyNumberFormat="1" applyFill="1" applyBorder="1" applyAlignment="1">
      <alignment vertical="center"/>
    </xf>
    <xf numFmtId="3" fontId="25" fillId="0" borderId="31" xfId="0" applyNumberFormat="1" applyFont="1" applyBorder="1" applyAlignment="1">
      <alignment horizontal="right" vertical="center"/>
    </xf>
    <xf numFmtId="0" fontId="143" fillId="0" borderId="40" xfId="0" applyFont="1" applyBorder="1"/>
    <xf numFmtId="0" fontId="143" fillId="0" borderId="17" xfId="0" applyFont="1" applyBorder="1"/>
    <xf numFmtId="0" fontId="140" fillId="0" borderId="17" xfId="0" applyFont="1" applyBorder="1"/>
    <xf numFmtId="0" fontId="143" fillId="0" borderId="42" xfId="0" applyFont="1" applyBorder="1"/>
    <xf numFmtId="0" fontId="144" fillId="0" borderId="49" xfId="0" applyFont="1" applyBorder="1"/>
    <xf numFmtId="0" fontId="139" fillId="67" borderId="55" xfId="0" applyFont="1" applyFill="1" applyBorder="1"/>
    <xf numFmtId="166" fontId="143" fillId="43" borderId="49" xfId="300" applyFont="1" applyFill="1" applyBorder="1"/>
    <xf numFmtId="171" fontId="143" fillId="43" borderId="55" xfId="310" applyNumberFormat="1" applyFont="1" applyFill="1" applyBorder="1" applyAlignment="1" applyProtection="1">
      <alignment horizontal="right"/>
    </xf>
    <xf numFmtId="0" fontId="195" fillId="67" borderId="161" xfId="0" applyFont="1" applyFill="1" applyBorder="1" applyAlignment="1">
      <alignment horizontal="right" vertical="center" wrapText="1"/>
    </xf>
    <xf numFmtId="0" fontId="143" fillId="43" borderId="49" xfId="0" applyFont="1" applyFill="1" applyBorder="1" applyAlignment="1">
      <alignment horizontal="left"/>
    </xf>
    <xf numFmtId="166" fontId="143" fillId="43" borderId="0" xfId="300" applyFont="1" applyFill="1" applyAlignment="1">
      <alignment horizontal="left"/>
    </xf>
    <xf numFmtId="3" fontId="143" fillId="43" borderId="55" xfId="0" applyNumberFormat="1" applyFont="1" applyFill="1" applyBorder="1" applyAlignment="1">
      <alignment horizontal="right"/>
    </xf>
    <xf numFmtId="0" fontId="143" fillId="43" borderId="162" xfId="0" applyFont="1" applyFill="1" applyBorder="1"/>
    <xf numFmtId="10" fontId="145" fillId="43" borderId="0" xfId="0" applyNumberFormat="1" applyFont="1" applyFill="1"/>
    <xf numFmtId="166" fontId="146" fillId="43" borderId="0" xfId="300" applyFont="1" applyFill="1" applyAlignment="1">
      <alignment horizontal="left" indent="1"/>
    </xf>
    <xf numFmtId="171" fontId="146" fillId="43" borderId="55" xfId="310" applyNumberFormat="1" applyFont="1" applyFill="1" applyBorder="1" applyAlignment="1" applyProtection="1">
      <alignment horizontal="right"/>
    </xf>
    <xf numFmtId="174" fontId="140" fillId="43" borderId="0" xfId="0" applyNumberFormat="1" applyFont="1" applyFill="1" applyAlignment="1">
      <alignment horizontal="right"/>
    </xf>
    <xf numFmtId="0" fontId="143" fillId="0" borderId="55" xfId="0" applyFont="1" applyBorder="1"/>
    <xf numFmtId="166" fontId="156" fillId="43" borderId="49" xfId="300" applyFont="1" applyFill="1" applyBorder="1"/>
    <xf numFmtId="166" fontId="139" fillId="43" borderId="0" xfId="300" applyFont="1" applyFill="1" applyAlignment="1">
      <alignment horizontal="left"/>
    </xf>
    <xf numFmtId="3" fontId="140" fillId="43" borderId="55" xfId="0" applyNumberFormat="1" applyFont="1" applyFill="1" applyBorder="1"/>
    <xf numFmtId="172" fontId="143" fillId="43" borderId="0" xfId="0" applyNumberFormat="1" applyFont="1" applyFill="1"/>
    <xf numFmtId="166" fontId="143" fillId="43" borderId="0" xfId="300" quotePrefix="1" applyFont="1" applyFill="1" applyAlignment="1">
      <alignment horizontal="left" indent="1"/>
    </xf>
    <xf numFmtId="3" fontId="143" fillId="43" borderId="55" xfId="0" applyNumberFormat="1" applyFont="1" applyFill="1" applyBorder="1"/>
    <xf numFmtId="166" fontId="140" fillId="43" borderId="0" xfId="300" applyFont="1" applyFill="1"/>
    <xf numFmtId="166" fontId="140" fillId="43" borderId="49" xfId="300" applyFont="1" applyFill="1" applyBorder="1"/>
    <xf numFmtId="172" fontId="143" fillId="0" borderId="0" xfId="0" applyNumberFormat="1" applyFont="1"/>
    <xf numFmtId="0" fontId="139" fillId="43" borderId="49" xfId="0" applyFont="1" applyFill="1" applyBorder="1" applyAlignment="1">
      <alignment horizontal="left"/>
    </xf>
    <xf numFmtId="10" fontId="159" fillId="0" borderId="0" xfId="0" applyNumberFormat="1" applyFont="1"/>
    <xf numFmtId="166" fontId="143" fillId="43" borderId="0" xfId="300" applyFont="1" applyFill="1"/>
    <xf numFmtId="0" fontId="140" fillId="43" borderId="49" xfId="0" applyFont="1" applyFill="1" applyBorder="1" applyAlignment="1">
      <alignment horizontal="left"/>
    </xf>
    <xf numFmtId="10" fontId="140" fillId="71" borderId="0" xfId="0" applyNumberFormat="1" applyFont="1" applyFill="1"/>
    <xf numFmtId="3" fontId="140" fillId="70" borderId="55" xfId="179" applyNumberFormat="1" applyFont="1" applyFill="1" applyBorder="1" applyAlignment="1" applyProtection="1">
      <alignment horizontal="right"/>
    </xf>
    <xf numFmtId="171" fontId="143" fillId="0" borderId="0" xfId="0" applyNumberFormat="1" applyFont="1"/>
    <xf numFmtId="10" fontId="25" fillId="0" borderId="0" xfId="310" applyNumberFormat="1" applyBorder="1"/>
    <xf numFmtId="166" fontId="139" fillId="43" borderId="0" xfId="300" applyFont="1" applyFill="1"/>
    <xf numFmtId="3" fontId="140" fillId="131" borderId="55" xfId="179" applyNumberFormat="1" applyFont="1" applyFill="1" applyBorder="1" applyAlignment="1" applyProtection="1">
      <alignment horizontal="right"/>
    </xf>
    <xf numFmtId="0" fontId="257" fillId="0" borderId="0" xfId="0" applyFont="1"/>
    <xf numFmtId="0" fontId="257" fillId="43" borderId="0" xfId="0" applyFont="1" applyFill="1"/>
    <xf numFmtId="171" fontId="178" fillId="131" borderId="55" xfId="310" applyNumberFormat="1" applyFont="1" applyFill="1" applyBorder="1"/>
    <xf numFmtId="178" fontId="143" fillId="0" borderId="55" xfId="0" applyNumberFormat="1" applyFont="1" applyBorder="1"/>
    <xf numFmtId="179" fontId="143" fillId="0" borderId="0" xfId="0" applyNumberFormat="1" applyFont="1"/>
    <xf numFmtId="0" fontId="143" fillId="0" borderId="0" xfId="0" applyFont="1" applyAlignment="1">
      <alignment horizontal="center"/>
    </xf>
    <xf numFmtId="181" fontId="143" fillId="0" borderId="0" xfId="0" applyNumberFormat="1" applyFont="1" applyAlignment="1">
      <alignment horizontal="right"/>
    </xf>
    <xf numFmtId="170" fontId="149" fillId="0" borderId="55" xfId="0" applyNumberFormat="1" applyFont="1" applyBorder="1"/>
    <xf numFmtId="0" fontId="140" fillId="43" borderId="41" xfId="0" applyFont="1" applyFill="1" applyBorder="1" applyAlignment="1">
      <alignment horizontal="left"/>
    </xf>
    <xf numFmtId="10" fontId="140" fillId="71" borderId="107" xfId="0" applyNumberFormat="1" applyFont="1" applyFill="1" applyBorder="1"/>
    <xf numFmtId="171" fontId="143" fillId="43" borderId="107" xfId="310" applyNumberFormat="1" applyFont="1" applyFill="1" applyBorder="1" applyAlignment="1" applyProtection="1">
      <alignment horizontal="right"/>
    </xf>
    <xf numFmtId="10" fontId="143" fillId="0" borderId="107" xfId="0" applyNumberFormat="1" applyFont="1" applyBorder="1"/>
    <xf numFmtId="181" fontId="143" fillId="0" borderId="107" xfId="0" applyNumberFormat="1" applyFont="1" applyBorder="1"/>
    <xf numFmtId="180" fontId="143" fillId="0" borderId="107" xfId="0" applyNumberFormat="1" applyFont="1" applyBorder="1"/>
    <xf numFmtId="172" fontId="148" fillId="0" borderId="107" xfId="0" applyNumberFormat="1" applyFont="1" applyBorder="1"/>
    <xf numFmtId="181" fontId="140" fillId="0" borderId="107" xfId="0" applyNumberFormat="1" applyFont="1" applyBorder="1"/>
    <xf numFmtId="170" fontId="140" fillId="0" borderId="43" xfId="0" applyNumberFormat="1" applyFont="1" applyBorder="1"/>
    <xf numFmtId="171" fontId="20" fillId="64" borderId="0" xfId="310" applyNumberFormat="1" applyFont="1" applyFill="1" applyAlignment="1">
      <alignment vertical="center"/>
    </xf>
    <xf numFmtId="0" fontId="22" fillId="64" borderId="0" xfId="0" applyFont="1" applyFill="1" applyAlignment="1">
      <alignment horizontal="center" vertical="center"/>
    </xf>
    <xf numFmtId="169" fontId="198" fillId="64" borderId="0" xfId="179" applyNumberFormat="1" applyFont="1" applyFill="1" applyBorder="1" applyAlignment="1">
      <alignment vertical="center"/>
    </xf>
    <xf numFmtId="0" fontId="121" fillId="64" borderId="31" xfId="0" applyFont="1" applyFill="1" applyBorder="1" applyAlignment="1">
      <alignment vertical="center"/>
    </xf>
    <xf numFmtId="0" fontId="22" fillId="64" borderId="31" xfId="0" applyFont="1" applyFill="1" applyBorder="1" applyAlignment="1">
      <alignment vertical="center"/>
    </xf>
    <xf numFmtId="184" fontId="22" fillId="64" borderId="31" xfId="0" applyNumberFormat="1" applyFont="1" applyFill="1" applyBorder="1" applyAlignment="1">
      <alignment vertical="center"/>
    </xf>
    <xf numFmtId="169" fontId="22" fillId="64" borderId="31" xfId="0" applyNumberFormat="1" applyFont="1" applyFill="1" applyBorder="1" applyAlignment="1">
      <alignment vertical="center"/>
    </xf>
    <xf numFmtId="184" fontId="25" fillId="64" borderId="31" xfId="0" applyNumberFormat="1" applyFont="1" applyFill="1" applyBorder="1" applyAlignment="1">
      <alignment vertical="center"/>
    </xf>
    <xf numFmtId="169" fontId="22" fillId="64" borderId="31" xfId="310" applyNumberFormat="1" applyFont="1" applyFill="1" applyBorder="1" applyAlignment="1">
      <alignment horizontal="right" vertical="center"/>
    </xf>
    <xf numFmtId="171" fontId="25" fillId="64" borderId="31" xfId="0" applyNumberFormat="1" applyFont="1" applyFill="1" applyBorder="1" applyAlignment="1">
      <alignment vertical="center"/>
    </xf>
    <xf numFmtId="171" fontId="25" fillId="64" borderId="31" xfId="310" applyNumberFormat="1" applyFill="1" applyBorder="1" applyAlignment="1">
      <alignment horizontal="right" vertical="center"/>
    </xf>
    <xf numFmtId="184" fontId="22" fillId="64" borderId="0" xfId="0" applyNumberFormat="1" applyFont="1" applyFill="1" applyAlignment="1">
      <alignment vertical="center"/>
    </xf>
    <xf numFmtId="169" fontId="22" fillId="64" borderId="0" xfId="0" applyNumberFormat="1" applyFont="1" applyFill="1" applyAlignment="1">
      <alignment vertical="center"/>
    </xf>
    <xf numFmtId="184" fontId="25" fillId="64" borderId="0" xfId="0" applyNumberFormat="1" applyFont="1" applyFill="1" applyAlignment="1">
      <alignment vertical="center"/>
    </xf>
    <xf numFmtId="171" fontId="25" fillId="64" borderId="0" xfId="0" applyNumberFormat="1" applyFont="1" applyFill="1" applyAlignment="1">
      <alignment vertical="center"/>
    </xf>
    <xf numFmtId="10" fontId="25" fillId="0" borderId="24" xfId="310" applyNumberFormat="1" applyFill="1" applyBorder="1" applyAlignment="1">
      <alignment vertical="center"/>
    </xf>
    <xf numFmtId="10" fontId="20" fillId="64" borderId="0" xfId="310" applyNumberFormat="1" applyFont="1" applyFill="1" applyBorder="1"/>
    <xf numFmtId="169" fontId="25" fillId="64" borderId="0" xfId="310" applyNumberFormat="1" applyFill="1" applyBorder="1"/>
    <xf numFmtId="0" fontId="189" fillId="0" borderId="31" xfId="0" applyFont="1" applyBorder="1"/>
    <xf numFmtId="0" fontId="20" fillId="0" borderId="31" xfId="0" applyFont="1" applyBorder="1"/>
    <xf numFmtId="4" fontId="20" fillId="0" borderId="31" xfId="0" applyNumberFormat="1" applyFont="1" applyBorder="1"/>
    <xf numFmtId="0" fontId="468" fillId="0" borderId="0" xfId="0" applyFont="1"/>
    <xf numFmtId="4" fontId="468" fillId="0" borderId="0" xfId="0" applyNumberFormat="1" applyFont="1"/>
    <xf numFmtId="0" fontId="469" fillId="104" borderId="13" xfId="445" applyFont="1" applyFill="1" applyBorder="1" applyAlignment="1">
      <alignment vertical="center" wrapText="1"/>
    </xf>
    <xf numFmtId="0" fontId="468" fillId="0" borderId="13" xfId="0" applyFont="1" applyBorder="1"/>
    <xf numFmtId="0" fontId="470" fillId="0" borderId="13" xfId="445" applyFont="1" applyBorder="1"/>
    <xf numFmtId="4" fontId="471" fillId="0" borderId="13" xfId="445" applyNumberFormat="1" applyFont="1" applyBorder="1"/>
    <xf numFmtId="4" fontId="468" fillId="0" borderId="13" xfId="0" applyNumberFormat="1" applyFont="1" applyBorder="1"/>
    <xf numFmtId="4" fontId="470" fillId="0" borderId="13" xfId="445" applyNumberFormat="1" applyFont="1" applyBorder="1"/>
    <xf numFmtId="4" fontId="472" fillId="0" borderId="13" xfId="0" applyNumberFormat="1" applyFont="1" applyBorder="1"/>
    <xf numFmtId="4" fontId="473" fillId="77" borderId="13" xfId="0" applyNumberFormat="1" applyFont="1" applyFill="1" applyBorder="1"/>
    <xf numFmtId="171" fontId="25" fillId="90" borderId="154" xfId="310" applyNumberFormat="1" applyFill="1" applyBorder="1" applyAlignment="1">
      <alignment horizontal="right" vertical="center"/>
    </xf>
    <xf numFmtId="171" fontId="25" fillId="90" borderId="0" xfId="310" applyNumberFormat="1" applyFill="1" applyAlignment="1">
      <alignment vertical="center"/>
    </xf>
    <xf numFmtId="169" fontId="22" fillId="0" borderId="80" xfId="179" quotePrefix="1" applyNumberFormat="1" applyFont="1" applyFill="1" applyBorder="1" applyAlignment="1">
      <alignment horizontal="right"/>
    </xf>
    <xf numFmtId="169" fontId="20" fillId="0" borderId="0" xfId="179" applyNumberFormat="1" applyFont="1" applyFill="1"/>
    <xf numFmtId="169" fontId="20" fillId="0" borderId="0" xfId="179" applyNumberFormat="1" applyFont="1" applyFill="1" applyAlignment="1">
      <alignment horizontal="right"/>
    </xf>
    <xf numFmtId="237" fontId="304" fillId="0" borderId="108" xfId="660" applyNumberFormat="1" applyFont="1" applyBorder="1" applyAlignment="1" applyProtection="1">
      <alignment horizontal="right"/>
      <protection hidden="1"/>
    </xf>
    <xf numFmtId="171" fontId="22" fillId="73" borderId="31" xfId="310" applyNumberFormat="1" applyFont="1" applyFill="1" applyBorder="1" applyAlignment="1">
      <alignment horizontal="right"/>
    </xf>
    <xf numFmtId="171" fontId="22" fillId="73" borderId="24" xfId="310" applyNumberFormat="1" applyFont="1" applyFill="1" applyBorder="1" applyAlignment="1">
      <alignment horizontal="right"/>
    </xf>
    <xf numFmtId="0" fontId="260" fillId="104" borderId="0" xfId="0" applyFont="1" applyFill="1" applyAlignment="1">
      <alignment horizontal="left" vertical="center" wrapText="1"/>
    </xf>
    <xf numFmtId="14" fontId="20" fillId="0" borderId="157" xfId="0" applyNumberFormat="1" applyFont="1" applyBorder="1"/>
    <xf numFmtId="0" fontId="22" fillId="88" borderId="154" xfId="0" applyFont="1" applyFill="1" applyBorder="1" applyAlignment="1">
      <alignment horizontal="right"/>
    </xf>
    <xf numFmtId="0" fontId="22" fillId="126" borderId="154" xfId="0" applyFont="1" applyFill="1" applyBorder="1" applyAlignment="1">
      <alignment horizontal="right"/>
    </xf>
    <xf numFmtId="0" fontId="22" fillId="126" borderId="155" xfId="0" applyFont="1" applyFill="1" applyBorder="1" applyAlignment="1">
      <alignment horizontal="right"/>
    </xf>
    <xf numFmtId="0" fontId="22" fillId="0" borderId="153" xfId="0" applyFont="1" applyBorder="1"/>
    <xf numFmtId="0" fontId="25" fillId="0" borderId="154" xfId="0" applyFont="1" applyBorder="1"/>
    <xf numFmtId="0" fontId="198" fillId="75" borderId="154" xfId="0" applyFont="1" applyFill="1" applyBorder="1"/>
    <xf numFmtId="169" fontId="198" fillId="75" borderId="0" xfId="0" applyNumberFormat="1" applyFont="1" applyFill="1"/>
    <xf numFmtId="4" fontId="25" fillId="0" borderId="0" xfId="0" applyNumberFormat="1" applyFont="1"/>
    <xf numFmtId="169" fontId="25" fillId="75" borderId="0" xfId="0" applyNumberFormat="1" applyFont="1" applyFill="1"/>
    <xf numFmtId="184" fontId="22" fillId="57" borderId="0" xfId="0" applyNumberFormat="1" applyFont="1" applyFill="1"/>
    <xf numFmtId="169" fontId="22" fillId="57" borderId="0" xfId="0" applyNumberFormat="1" applyFont="1" applyFill="1"/>
    <xf numFmtId="0" fontId="201" fillId="0" borderId="27" xfId="0" applyFont="1" applyBorder="1"/>
    <xf numFmtId="171" fontId="230" fillId="78" borderId="0" xfId="0" applyNumberFormat="1" applyFont="1" applyFill="1" applyAlignment="1">
      <alignment horizontal="right" vertical="center"/>
    </xf>
    <xf numFmtId="171" fontId="240" fillId="75" borderId="0" xfId="0" applyNumberFormat="1" applyFont="1" applyFill="1"/>
    <xf numFmtId="184" fontId="225" fillId="115" borderId="0" xfId="0" applyNumberFormat="1" applyFont="1" applyFill="1" applyAlignment="1">
      <alignment vertical="center"/>
    </xf>
    <xf numFmtId="0" fontId="245" fillId="0" borderId="0" xfId="0" applyFont="1" applyAlignment="1">
      <alignment horizontal="left" indent="1"/>
    </xf>
    <xf numFmtId="0" fontId="22" fillId="78" borderId="25" xfId="0" applyFont="1" applyFill="1" applyBorder="1" applyAlignment="1">
      <alignment vertical="center"/>
    </xf>
    <xf numFmtId="0" fontId="200" fillId="97" borderId="27" xfId="0" applyFont="1" applyFill="1" applyBorder="1" applyAlignment="1">
      <alignment horizontal="left" vertical="center"/>
    </xf>
    <xf numFmtId="0" fontId="25" fillId="64" borderId="27" xfId="0" applyFont="1" applyFill="1" applyBorder="1"/>
    <xf numFmtId="169" fontId="25" fillId="64" borderId="27" xfId="0" applyNumberFormat="1" applyFont="1" applyFill="1" applyBorder="1"/>
    <xf numFmtId="0" fontId="22" fillId="97" borderId="27" xfId="0" applyFont="1" applyFill="1" applyBorder="1" applyAlignment="1">
      <alignment horizontal="right" vertical="center"/>
    </xf>
    <xf numFmtId="0" fontId="190" fillId="97" borderId="27" xfId="0" applyFont="1" applyFill="1" applyBorder="1" applyAlignment="1">
      <alignment horizontal="right" vertical="center"/>
    </xf>
    <xf numFmtId="0" fontId="216" fillId="78" borderId="157" xfId="0" applyFont="1" applyFill="1" applyBorder="1" applyAlignment="1">
      <alignment horizontal="left" vertical="center" indent="2"/>
    </xf>
    <xf numFmtId="0" fontId="25" fillId="0" borderId="157" xfId="0" applyFont="1" applyBorder="1"/>
    <xf numFmtId="171" fontId="198" fillId="78" borderId="157" xfId="310" applyNumberFormat="1" applyFont="1" applyFill="1" applyBorder="1" applyAlignment="1">
      <alignment horizontal="right" vertical="center"/>
    </xf>
    <xf numFmtId="0" fontId="198" fillId="0" borderId="157" xfId="0" applyFont="1" applyBorder="1"/>
    <xf numFmtId="0" fontId="198" fillId="75" borderId="157" xfId="0" applyFont="1" applyFill="1" applyBorder="1"/>
    <xf numFmtId="171" fontId="198" fillId="75" borderId="157" xfId="0" applyNumberFormat="1" applyFont="1" applyFill="1" applyBorder="1"/>
    <xf numFmtId="171" fontId="474" fillId="63" borderId="0" xfId="310" applyNumberFormat="1" applyFont="1" applyFill="1" applyBorder="1" applyAlignment="1">
      <alignment horizontal="right"/>
    </xf>
    <xf numFmtId="0" fontId="475" fillId="173" borderId="13" xfId="0" applyFont="1" applyFill="1" applyBorder="1" applyAlignment="1">
      <alignment horizontal="left" vertical="center"/>
    </xf>
    <xf numFmtId="0" fontId="475" fillId="173" borderId="13" xfId="0" applyFont="1" applyFill="1" applyBorder="1" applyAlignment="1">
      <alignment horizontal="center" vertical="center"/>
    </xf>
    <xf numFmtId="0" fontId="475" fillId="173" borderId="13" xfId="0" applyFont="1" applyFill="1" applyBorder="1"/>
    <xf numFmtId="169" fontId="313" fillId="0" borderId="13" xfId="179" applyNumberFormat="1" applyFont="1" applyBorder="1"/>
    <xf numFmtId="171" fontId="313" fillId="0" borderId="13" xfId="310" applyNumberFormat="1" applyFont="1" applyBorder="1" applyAlignment="1">
      <alignment horizontal="center"/>
    </xf>
    <xf numFmtId="169" fontId="313" fillId="0" borderId="13" xfId="179" applyNumberFormat="1" applyFont="1" applyBorder="1" applyAlignment="1">
      <alignment horizontal="center" vertical="center"/>
    </xf>
    <xf numFmtId="0" fontId="475" fillId="173" borderId="20" xfId="0" applyFont="1" applyFill="1" applyBorder="1"/>
    <xf numFmtId="0" fontId="475" fillId="64" borderId="25" xfId="0" applyFont="1" applyFill="1" applyBorder="1" applyAlignment="1">
      <alignment horizontal="center" vertical="center"/>
    </xf>
    <xf numFmtId="0" fontId="312" fillId="64" borderId="25" xfId="0" applyFont="1" applyFill="1" applyBorder="1" applyAlignment="1">
      <alignment horizontal="center" vertical="center"/>
    </xf>
    <xf numFmtId="0" fontId="313" fillId="64" borderId="25" xfId="0" applyFont="1" applyFill="1" applyBorder="1" applyAlignment="1">
      <alignment horizontal="center" vertical="center"/>
    </xf>
    <xf numFmtId="183" fontId="20" fillId="64" borderId="0" xfId="0" applyNumberFormat="1" applyFont="1" applyFill="1" applyAlignment="1">
      <alignment horizontal="right" vertical="center"/>
    </xf>
    <xf numFmtId="169" fontId="25" fillId="64" borderId="0" xfId="179" applyNumberFormat="1" applyFill="1" applyAlignment="1">
      <alignment horizontal="right" vertical="center"/>
    </xf>
    <xf numFmtId="9" fontId="313" fillId="0" borderId="20" xfId="310" applyFont="1" applyBorder="1" applyAlignment="1">
      <alignment horizontal="center" vertical="center"/>
    </xf>
    <xf numFmtId="169" fontId="313" fillId="0" borderId="13" xfId="179" applyNumberFormat="1" applyFont="1" applyFill="1" applyBorder="1" applyAlignment="1">
      <alignment horizontal="left"/>
    </xf>
    <xf numFmtId="171" fontId="313" fillId="0" borderId="13" xfId="310" applyNumberFormat="1" applyFont="1" applyBorder="1"/>
    <xf numFmtId="0" fontId="313" fillId="0" borderId="13" xfId="0" applyFont="1" applyBorder="1" applyAlignment="1">
      <alignment horizontal="left"/>
    </xf>
    <xf numFmtId="0" fontId="22" fillId="60" borderId="153" xfId="0" applyFont="1" applyFill="1" applyBorder="1"/>
    <xf numFmtId="169" fontId="22" fillId="60" borderId="154" xfId="179" applyNumberFormat="1" applyFont="1" applyFill="1" applyBorder="1" applyAlignment="1" applyProtection="1"/>
    <xf numFmtId="184" fontId="25" fillId="0" borderId="27" xfId="0" applyNumberFormat="1" applyFont="1" applyBorder="1"/>
    <xf numFmtId="169" fontId="133" fillId="0" borderId="27" xfId="179" applyNumberFormat="1" applyFont="1" applyFill="1" applyBorder="1" applyAlignment="1" applyProtection="1">
      <alignment horizontal="center"/>
    </xf>
    <xf numFmtId="0" fontId="123" fillId="0" borderId="27" xfId="0" applyFont="1" applyBorder="1"/>
    <xf numFmtId="0" fontId="123" fillId="0" borderId="33" xfId="0" applyFont="1" applyBorder="1"/>
    <xf numFmtId="171" fontId="20" fillId="64" borderId="33" xfId="310" applyNumberFormat="1" applyFont="1" applyFill="1" applyBorder="1" applyAlignment="1">
      <alignment horizontal="right"/>
    </xf>
    <xf numFmtId="0" fontId="313" fillId="64" borderId="0" xfId="0" applyFont="1" applyFill="1" applyAlignment="1">
      <alignment horizontal="center" vertical="center"/>
    </xf>
    <xf numFmtId="4" fontId="1" fillId="0" borderId="0" xfId="0" applyNumberFormat="1" applyFont="1"/>
    <xf numFmtId="3" fontId="216" fillId="64" borderId="0" xfId="0" applyNumberFormat="1" applyFont="1" applyFill="1"/>
    <xf numFmtId="3" fontId="20" fillId="64" borderId="0" xfId="0" applyNumberFormat="1" applyFont="1" applyFill="1"/>
    <xf numFmtId="3" fontId="198" fillId="64" borderId="0" xfId="0" applyNumberFormat="1" applyFont="1" applyFill="1"/>
    <xf numFmtId="4" fontId="198" fillId="64" borderId="0" xfId="448" applyNumberFormat="1" applyFont="1" applyFill="1"/>
    <xf numFmtId="4" fontId="276" fillId="64" borderId="0" xfId="0" applyNumberFormat="1" applyFont="1" applyFill="1"/>
    <xf numFmtId="4" fontId="0" fillId="64" borderId="0" xfId="0" applyNumberFormat="1" applyFill="1"/>
    <xf numFmtId="4" fontId="464" fillId="64" borderId="0" xfId="0" applyNumberFormat="1" applyFont="1" applyFill="1"/>
    <xf numFmtId="49" fontId="216" fillId="64" borderId="25" xfId="0" applyNumberFormat="1" applyFont="1" applyFill="1" applyBorder="1"/>
    <xf numFmtId="10" fontId="216" fillId="64" borderId="25" xfId="0" applyNumberFormat="1" applyFont="1" applyFill="1" applyBorder="1"/>
    <xf numFmtId="10" fontId="20" fillId="64" borderId="0" xfId="0" applyNumberFormat="1" applyFont="1" applyFill="1"/>
    <xf numFmtId="4" fontId="1" fillId="0" borderId="27" xfId="0" applyNumberFormat="1" applyFont="1" applyBorder="1"/>
    <xf numFmtId="0" fontId="260" fillId="104" borderId="154" xfId="0" applyFont="1" applyFill="1" applyBorder="1" applyAlignment="1">
      <alignment vertical="center" wrapText="1"/>
    </xf>
    <xf numFmtId="0" fontId="292" fillId="104" borderId="154" xfId="3311" applyFont="1" applyFill="1" applyBorder="1" applyAlignment="1">
      <alignment vertical="center" wrapText="1"/>
    </xf>
    <xf numFmtId="0" fontId="292" fillId="104" borderId="154" xfId="0" applyFont="1" applyFill="1" applyBorder="1" applyAlignment="1">
      <alignment vertical="center" wrapText="1"/>
    </xf>
    <xf numFmtId="0" fontId="198" fillId="0" borderId="0" xfId="3311" applyFont="1"/>
    <xf numFmtId="4" fontId="198" fillId="0" borderId="0" xfId="3311" applyNumberFormat="1" applyFont="1"/>
    <xf numFmtId="4" fontId="198" fillId="64" borderId="0" xfId="3311" applyNumberFormat="1" applyFont="1" applyFill="1"/>
    <xf numFmtId="4" fontId="198" fillId="0" borderId="27" xfId="3311" applyNumberFormat="1" applyFont="1" applyBorder="1"/>
    <xf numFmtId="0" fontId="260" fillId="104" borderId="155" xfId="0" applyFont="1" applyFill="1" applyBorder="1" applyAlignment="1">
      <alignment vertical="center" wrapText="1"/>
    </xf>
    <xf numFmtId="4" fontId="1" fillId="0" borderId="31" xfId="0" applyNumberFormat="1" applyFont="1" applyBorder="1"/>
    <xf numFmtId="4" fontId="1" fillId="0" borderId="33" xfId="0" applyNumberFormat="1" applyFont="1" applyBorder="1"/>
    <xf numFmtId="0" fontId="22" fillId="60" borderId="33" xfId="0" applyFont="1" applyFill="1" applyBorder="1" applyAlignment="1">
      <alignment horizontal="right"/>
    </xf>
    <xf numFmtId="0" fontId="25" fillId="0" borderId="155" xfId="0" applyFont="1" applyBorder="1" applyAlignment="1">
      <alignment horizontal="right" vertical="center"/>
    </xf>
    <xf numFmtId="169" fontId="22" fillId="43" borderId="31" xfId="179" applyNumberFormat="1" applyFont="1" applyFill="1" applyBorder="1" applyAlignment="1">
      <alignment horizontal="right" vertical="center"/>
    </xf>
    <xf numFmtId="169" fontId="25" fillId="90" borderId="31" xfId="179" applyNumberFormat="1" applyFill="1" applyBorder="1" applyAlignment="1">
      <alignment horizontal="right" vertical="center"/>
    </xf>
    <xf numFmtId="10" fontId="240" fillId="90" borderId="31" xfId="179" applyNumberFormat="1" applyFont="1" applyFill="1" applyBorder="1" applyAlignment="1">
      <alignment horizontal="right" vertical="center"/>
    </xf>
    <xf numFmtId="183" fontId="22" fillId="96" borderId="31" xfId="179" applyNumberFormat="1" applyFont="1" applyFill="1" applyBorder="1" applyAlignment="1" applyProtection="1">
      <alignment horizontal="right" vertical="center"/>
    </xf>
    <xf numFmtId="171" fontId="121" fillId="0" borderId="31" xfId="310" applyNumberFormat="1" applyFont="1" applyFill="1" applyBorder="1" applyAlignment="1" applyProtection="1">
      <alignment horizontal="right" vertical="center"/>
    </xf>
    <xf numFmtId="183" fontId="22" fillId="43" borderId="31" xfId="0" applyNumberFormat="1" applyFont="1" applyFill="1" applyBorder="1" applyAlignment="1">
      <alignment vertical="center"/>
    </xf>
    <xf numFmtId="171" fontId="121" fillId="43" borderId="31" xfId="310" applyNumberFormat="1" applyFont="1" applyFill="1" applyBorder="1" applyAlignment="1">
      <alignment vertical="center"/>
    </xf>
    <xf numFmtId="183" fontId="22" fillId="0" borderId="31" xfId="179" applyNumberFormat="1" applyFont="1" applyFill="1" applyBorder="1" applyAlignment="1" applyProtection="1">
      <alignment horizontal="right" vertical="center"/>
    </xf>
    <xf numFmtId="171" fontId="122" fillId="64" borderId="31" xfId="310" applyNumberFormat="1" applyFont="1" applyFill="1" applyBorder="1" applyAlignment="1" applyProtection="1">
      <alignment horizontal="right" vertical="center"/>
    </xf>
    <xf numFmtId="183" fontId="25" fillId="60" borderId="31" xfId="179" applyNumberFormat="1" applyFill="1" applyBorder="1" applyAlignment="1" applyProtection="1">
      <alignment horizontal="right" vertical="center"/>
    </xf>
    <xf numFmtId="183" fontId="25" fillId="60" borderId="31" xfId="0" applyNumberFormat="1" applyFont="1" applyFill="1" applyBorder="1" applyAlignment="1">
      <alignment horizontal="right" vertical="center"/>
    </xf>
    <xf numFmtId="3" fontId="22" fillId="0" borderId="31" xfId="0" applyNumberFormat="1" applyFont="1" applyBorder="1" applyAlignment="1">
      <alignment horizontal="right" vertical="center"/>
    </xf>
    <xf numFmtId="10" fontId="25" fillId="0" borderId="31" xfId="310" applyNumberFormat="1" applyFill="1" applyBorder="1" applyAlignment="1" applyProtection="1">
      <alignment horizontal="right" vertical="center"/>
    </xf>
    <xf numFmtId="183" fontId="22" fillId="57" borderId="31" xfId="0" applyNumberFormat="1" applyFont="1" applyFill="1" applyBorder="1" applyAlignment="1">
      <alignment horizontal="right" vertical="center"/>
    </xf>
    <xf numFmtId="170" fontId="22" fillId="0" borderId="31" xfId="0" applyNumberFormat="1" applyFont="1" applyBorder="1" applyAlignment="1">
      <alignment horizontal="right" vertical="center"/>
    </xf>
    <xf numFmtId="183" fontId="20" fillId="64" borderId="31" xfId="0" applyNumberFormat="1" applyFont="1" applyFill="1" applyBorder="1" applyAlignment="1">
      <alignment horizontal="right" vertical="center"/>
    </xf>
    <xf numFmtId="171" fontId="121" fillId="90" borderId="31" xfId="0" applyNumberFormat="1" applyFont="1" applyFill="1" applyBorder="1" applyAlignment="1">
      <alignment vertical="center"/>
    </xf>
    <xf numFmtId="183" fontId="25" fillId="64" borderId="31" xfId="0" applyNumberFormat="1" applyFont="1" applyFill="1" applyBorder="1" applyAlignment="1">
      <alignment horizontal="right" vertical="center"/>
    </xf>
    <xf numFmtId="183" fontId="121" fillId="64" borderId="31" xfId="0" applyNumberFormat="1" applyFont="1" applyFill="1" applyBorder="1" applyAlignment="1">
      <alignment horizontal="right" vertical="center"/>
    </xf>
    <xf numFmtId="171" fontId="121" fillId="64" borderId="31" xfId="310" applyNumberFormat="1" applyFont="1" applyFill="1" applyBorder="1" applyAlignment="1">
      <alignment horizontal="right" vertical="center"/>
    </xf>
    <xf numFmtId="10" fontId="25" fillId="43" borderId="31" xfId="310" applyNumberFormat="1" applyFill="1" applyBorder="1" applyAlignment="1">
      <alignment vertical="center"/>
    </xf>
    <xf numFmtId="10" fontId="25" fillId="43" borderId="31" xfId="0" applyNumberFormat="1" applyFont="1" applyFill="1" applyBorder="1" applyAlignment="1">
      <alignment vertical="center"/>
    </xf>
    <xf numFmtId="37" fontId="22" fillId="64" borderId="31" xfId="0" applyNumberFormat="1" applyFont="1" applyFill="1" applyBorder="1" applyAlignment="1">
      <alignment horizontal="right" vertical="center"/>
    </xf>
    <xf numFmtId="183" fontId="22" fillId="43" borderId="31" xfId="0" applyNumberFormat="1" applyFont="1" applyFill="1" applyBorder="1" applyAlignment="1">
      <alignment horizontal="right" vertical="center"/>
    </xf>
    <xf numFmtId="171" fontId="121" fillId="90" borderId="31" xfId="0" applyNumberFormat="1" applyFont="1" applyFill="1" applyBorder="1" applyAlignment="1">
      <alignment horizontal="right" vertical="center"/>
    </xf>
    <xf numFmtId="183" fontId="22" fillId="64" borderId="31" xfId="310" applyNumberFormat="1" applyFont="1" applyFill="1" applyBorder="1" applyAlignment="1" applyProtection="1">
      <alignment horizontal="right" vertical="center"/>
    </xf>
    <xf numFmtId="37" fontId="22" fillId="90" borderId="31" xfId="0" applyNumberFormat="1" applyFont="1" applyFill="1" applyBorder="1" applyAlignment="1">
      <alignment horizontal="right" vertical="center"/>
    </xf>
    <xf numFmtId="171" fontId="25" fillId="90" borderId="155" xfId="310" applyNumberFormat="1" applyFill="1" applyBorder="1" applyAlignment="1">
      <alignment horizontal="right" vertical="center"/>
    </xf>
    <xf numFmtId="171" fontId="122" fillId="64" borderId="31" xfId="310" applyNumberFormat="1" applyFont="1" applyFill="1" applyBorder="1" applyAlignment="1">
      <alignment horizontal="right" vertical="center"/>
    </xf>
    <xf numFmtId="171" fontId="122" fillId="0" borderId="155" xfId="310" applyNumberFormat="1" applyFont="1" applyFill="1" applyBorder="1" applyAlignment="1">
      <alignment horizontal="right" vertical="center"/>
    </xf>
    <xf numFmtId="171" fontId="122" fillId="0" borderId="33" xfId="310" applyNumberFormat="1" applyFont="1" applyFill="1" applyBorder="1" applyAlignment="1">
      <alignment horizontal="right" vertical="center"/>
    </xf>
    <xf numFmtId="171" fontId="122" fillId="73" borderId="31" xfId="310" applyNumberFormat="1" applyFont="1" applyFill="1" applyBorder="1" applyAlignment="1">
      <alignment horizontal="right" vertical="center"/>
    </xf>
    <xf numFmtId="169" fontId="25" fillId="64" borderId="155" xfId="179" applyNumberFormat="1" applyFill="1" applyBorder="1" applyAlignment="1">
      <alignment horizontal="right" vertical="center"/>
    </xf>
    <xf numFmtId="169" fontId="25" fillId="64" borderId="31" xfId="179" applyNumberFormat="1" applyFill="1" applyBorder="1" applyAlignment="1">
      <alignment horizontal="right" vertical="center"/>
    </xf>
    <xf numFmtId="171" fontId="239" fillId="64" borderId="31" xfId="310" applyNumberFormat="1" applyFont="1" applyFill="1" applyBorder="1" applyAlignment="1">
      <alignment horizontal="right" vertical="center"/>
    </xf>
    <xf numFmtId="184" fontId="22" fillId="64" borderId="31" xfId="0" applyNumberFormat="1" applyFont="1" applyFill="1" applyBorder="1" applyAlignment="1">
      <alignment horizontal="right" vertical="center"/>
    </xf>
    <xf numFmtId="171" fontId="230" fillId="90" borderId="31" xfId="310" applyNumberFormat="1" applyFont="1" applyFill="1" applyBorder="1" applyAlignment="1">
      <alignment horizontal="right" vertical="center"/>
    </xf>
    <xf numFmtId="0" fontId="25" fillId="64" borderId="31" xfId="0" applyFont="1" applyFill="1" applyBorder="1" applyAlignment="1">
      <alignment horizontal="right" vertical="center"/>
    </xf>
    <xf numFmtId="169" fontId="25" fillId="64" borderId="31" xfId="0" applyNumberFormat="1" applyFont="1" applyFill="1" applyBorder="1" applyAlignment="1">
      <alignment horizontal="right" vertical="center"/>
    </xf>
    <xf numFmtId="179" fontId="121" fillId="64" borderId="31" xfId="310" applyNumberFormat="1" applyFont="1" applyFill="1" applyBorder="1" applyAlignment="1">
      <alignment horizontal="right" vertical="center"/>
    </xf>
    <xf numFmtId="9" fontId="25" fillId="90" borderId="31" xfId="310" applyFill="1" applyBorder="1" applyAlignment="1"/>
    <xf numFmtId="183" fontId="25" fillId="64" borderId="31" xfId="310" applyNumberFormat="1" applyFill="1" applyBorder="1" applyAlignment="1">
      <alignment horizontal="right" vertical="center"/>
    </xf>
    <xf numFmtId="184" fontId="25" fillId="64" borderId="31" xfId="0" applyNumberFormat="1" applyFont="1" applyFill="1" applyBorder="1" applyAlignment="1">
      <alignment horizontal="right" vertical="center"/>
    </xf>
    <xf numFmtId="3" fontId="185" fillId="90" borderId="31" xfId="0" applyNumberFormat="1" applyFont="1" applyFill="1" applyBorder="1" applyAlignment="1">
      <alignment vertical="center"/>
    </xf>
    <xf numFmtId="171" fontId="121" fillId="64" borderId="31" xfId="310" applyNumberFormat="1" applyFont="1" applyFill="1" applyBorder="1" applyAlignment="1">
      <alignment vertical="center"/>
    </xf>
    <xf numFmtId="183" fontId="25" fillId="64" borderId="31" xfId="179" applyNumberFormat="1" applyFill="1" applyBorder="1" applyAlignment="1" applyProtection="1">
      <alignment horizontal="right" vertical="center"/>
    </xf>
    <xf numFmtId="171" fontId="121" fillId="90" borderId="31" xfId="310" applyNumberFormat="1" applyFont="1" applyFill="1" applyBorder="1" applyAlignment="1" applyProtection="1">
      <alignment horizontal="right" vertical="center"/>
    </xf>
    <xf numFmtId="3" fontId="25" fillId="90" borderId="31" xfId="0" applyNumberFormat="1" applyFont="1" applyFill="1" applyBorder="1" applyAlignment="1">
      <alignment vertical="center"/>
    </xf>
    <xf numFmtId="168" fontId="25" fillId="90" borderId="31" xfId="179" applyFill="1" applyBorder="1" applyAlignment="1"/>
    <xf numFmtId="169" fontId="25" fillId="90" borderId="31" xfId="179" applyNumberFormat="1" applyFill="1" applyBorder="1" applyAlignment="1"/>
    <xf numFmtId="171" fontId="121" fillId="90" borderId="31" xfId="310" applyNumberFormat="1" applyFont="1" applyFill="1" applyBorder="1" applyAlignment="1"/>
    <xf numFmtId="175" fontId="25" fillId="0" borderId="0" xfId="179" applyNumberFormat="1" applyFill="1" applyBorder="1" applyAlignment="1" applyProtection="1">
      <alignment horizontal="right" vertical="center"/>
    </xf>
    <xf numFmtId="10" fontId="25" fillId="64" borderId="0" xfId="310" applyNumberFormat="1" applyFill="1" applyBorder="1" applyAlignment="1">
      <alignment vertical="center"/>
    </xf>
    <xf numFmtId="0" fontId="277" fillId="104" borderId="156" xfId="0" applyFont="1" applyFill="1" applyBorder="1" applyAlignment="1">
      <alignment vertical="center" wrapText="1"/>
    </xf>
    <xf numFmtId="0" fontId="198" fillId="0" borderId="0" xfId="3305" applyFont="1"/>
    <xf numFmtId="4" fontId="190" fillId="0" borderId="0" xfId="3305" applyNumberFormat="1" applyFont="1"/>
    <xf numFmtId="4" fontId="198" fillId="0" borderId="0" xfId="3305" applyNumberFormat="1" applyFont="1"/>
    <xf numFmtId="0" fontId="216" fillId="0" borderId="153" xfId="0" applyFont="1" applyBorder="1"/>
    <xf numFmtId="0" fontId="198" fillId="0" borderId="154" xfId="3305" applyFont="1" applyBorder="1"/>
    <xf numFmtId="0" fontId="0" fillId="0" borderId="154" xfId="0" applyBorder="1"/>
    <xf numFmtId="0" fontId="0" fillId="0" borderId="155" xfId="0" applyBorder="1"/>
    <xf numFmtId="0" fontId="216" fillId="0" borderId="25" xfId="0" applyFont="1" applyBorder="1"/>
    <xf numFmtId="4" fontId="224" fillId="0" borderId="25" xfId="0" applyNumberFormat="1" applyFont="1" applyBorder="1"/>
    <xf numFmtId="4" fontId="276" fillId="0" borderId="31" xfId="0" applyNumberFormat="1" applyFont="1" applyBorder="1"/>
    <xf numFmtId="4" fontId="216" fillId="0" borderId="25" xfId="0" applyNumberFormat="1" applyFont="1" applyBorder="1"/>
    <xf numFmtId="4" fontId="0" fillId="0" borderId="31" xfId="0" applyNumberFormat="1" applyBorder="1"/>
    <xf numFmtId="0" fontId="224" fillId="0" borderId="25" xfId="0" applyFont="1" applyBorder="1"/>
    <xf numFmtId="2" fontId="216" fillId="0" borderId="25" xfId="0" applyNumberFormat="1" applyFont="1" applyBorder="1"/>
    <xf numFmtId="4" fontId="224" fillId="0" borderId="32" xfId="0" applyNumberFormat="1" applyFont="1" applyBorder="1"/>
    <xf numFmtId="4" fontId="190" fillId="0" borderId="27" xfId="3305" applyNumberFormat="1" applyFont="1" applyBorder="1"/>
    <xf numFmtId="4" fontId="276" fillId="0" borderId="27" xfId="0" applyNumberFormat="1" applyFont="1" applyBorder="1"/>
    <xf numFmtId="4" fontId="276" fillId="0" borderId="33" xfId="0" applyNumberFormat="1" applyFont="1" applyBorder="1"/>
    <xf numFmtId="4" fontId="0" fillId="65" borderId="0" xfId="0" applyNumberFormat="1" applyFill="1"/>
    <xf numFmtId="169" fontId="226" fillId="64" borderId="0" xfId="179" applyNumberFormat="1" applyFont="1" applyFill="1"/>
    <xf numFmtId="169" fontId="200" fillId="64" borderId="0" xfId="310" applyNumberFormat="1" applyFont="1" applyFill="1"/>
    <xf numFmtId="0" fontId="200" fillId="0" borderId="0" xfId="0" applyFont="1"/>
    <xf numFmtId="0" fontId="200" fillId="64" borderId="0" xfId="0" applyFont="1" applyFill="1"/>
    <xf numFmtId="0" fontId="226" fillId="64" borderId="0" xfId="0" applyFont="1" applyFill="1"/>
    <xf numFmtId="169" fontId="200" fillId="64" borderId="0" xfId="179" applyNumberFormat="1" applyFont="1" applyFill="1"/>
    <xf numFmtId="0" fontId="200" fillId="64" borderId="0" xfId="310" applyNumberFormat="1" applyFont="1" applyFill="1"/>
    <xf numFmtId="0" fontId="226" fillId="64" borderId="0" xfId="310" applyNumberFormat="1" applyFont="1" applyFill="1"/>
    <xf numFmtId="9" fontId="25" fillId="64" borderId="0" xfId="310" applyFill="1" applyBorder="1" applyAlignment="1">
      <alignment vertical="center"/>
    </xf>
    <xf numFmtId="229" fontId="216" fillId="73" borderId="13" xfId="0" applyNumberFormat="1" applyFont="1" applyFill="1" applyBorder="1" applyAlignment="1">
      <alignment horizontal="right"/>
    </xf>
    <xf numFmtId="229" fontId="22" fillId="73" borderId="13" xfId="0" applyNumberFormat="1" applyFont="1" applyFill="1" applyBorder="1"/>
    <xf numFmtId="229" fontId="224" fillId="73" borderId="13" xfId="0" applyNumberFormat="1" applyFont="1" applyFill="1" applyBorder="1" applyAlignment="1">
      <alignment horizontal="right"/>
    </xf>
    <xf numFmtId="0" fontId="22" fillId="73" borderId="13" xfId="0" applyFont="1" applyFill="1" applyBorder="1"/>
    <xf numFmtId="0" fontId="477" fillId="0" borderId="0" xfId="0" applyFont="1"/>
    <xf numFmtId="0" fontId="476" fillId="0" borderId="0" xfId="0" applyFont="1"/>
    <xf numFmtId="280" fontId="0" fillId="0" borderId="0" xfId="0" applyNumberFormat="1"/>
    <xf numFmtId="3" fontId="476" fillId="0" borderId="0" xfId="0" applyNumberFormat="1" applyFont="1"/>
    <xf numFmtId="280" fontId="476" fillId="0" borderId="0" xfId="0" applyNumberFormat="1" applyFont="1"/>
    <xf numFmtId="0" fontId="311" fillId="128" borderId="0" xfId="0" applyFont="1" applyFill="1" applyAlignment="1">
      <alignment horizontal="left" vertical="center"/>
    </xf>
    <xf numFmtId="1" fontId="25" fillId="0" borderId="0" xfId="0" applyNumberFormat="1" applyFont="1" applyAlignment="1">
      <alignment horizontal="right" vertical="center"/>
    </xf>
    <xf numFmtId="0" fontId="317" fillId="0" borderId="123" xfId="0" applyFont="1" applyBorder="1" applyAlignment="1">
      <alignment horizontal="center" vertical="center"/>
    </xf>
    <xf numFmtId="0" fontId="317" fillId="0" borderId="118" xfId="0" applyFont="1" applyBorder="1" applyAlignment="1">
      <alignment horizontal="center" vertical="center"/>
    </xf>
    <xf numFmtId="0" fontId="317" fillId="0" borderId="117" xfId="0" applyFont="1" applyBorder="1" applyAlignment="1">
      <alignment horizontal="center" vertical="center"/>
    </xf>
    <xf numFmtId="0" fontId="318" fillId="128" borderId="124" xfId="0" applyFont="1" applyFill="1" applyBorder="1" applyAlignment="1">
      <alignment horizontal="center" vertical="center"/>
    </xf>
    <xf numFmtId="0" fontId="318" fillId="128" borderId="125" xfId="0" applyFont="1" applyFill="1" applyBorder="1" applyAlignment="1">
      <alignment horizontal="center" vertical="center"/>
    </xf>
    <xf numFmtId="0" fontId="318" fillId="128" borderId="126" xfId="0" applyFont="1" applyFill="1" applyBorder="1" applyAlignment="1">
      <alignment horizontal="center" vertical="center"/>
    </xf>
    <xf numFmtId="0" fontId="322" fillId="0" borderId="0" xfId="0" applyFont="1" applyAlignment="1">
      <alignment horizontal="justify" vertical="center" wrapText="1"/>
    </xf>
    <xf numFmtId="0" fontId="140" fillId="43" borderId="48" xfId="0" applyFont="1" applyFill="1" applyBorder="1" applyAlignment="1">
      <alignment horizontal="center"/>
    </xf>
    <xf numFmtId="0" fontId="140" fillId="45" borderId="63" xfId="0" applyFont="1" applyFill="1" applyBorder="1" applyAlignment="1">
      <alignment horizontal="center"/>
    </xf>
    <xf numFmtId="0" fontId="140" fillId="45" borderId="64" xfId="0" applyFont="1" applyFill="1" applyBorder="1" applyAlignment="1">
      <alignment horizontal="center"/>
    </xf>
    <xf numFmtId="0" fontId="140" fillId="132" borderId="108" xfId="0" applyFont="1" applyFill="1" applyBorder="1" applyAlignment="1">
      <alignment horizontal="right"/>
    </xf>
    <xf numFmtId="0" fontId="140" fillId="123" borderId="108" xfId="0" applyFont="1" applyFill="1" applyBorder="1" applyAlignment="1">
      <alignment horizontal="right"/>
    </xf>
    <xf numFmtId="0" fontId="140" fillId="68" borderId="65" xfId="0" applyFont="1" applyFill="1" applyBorder="1" applyAlignment="1">
      <alignment horizontal="left"/>
    </xf>
    <xf numFmtId="0" fontId="140" fillId="68" borderId="66" xfId="0" applyFont="1" applyFill="1" applyBorder="1" applyAlignment="1">
      <alignment horizontal="left"/>
    </xf>
    <xf numFmtId="0" fontId="140" fillId="68" borderId="67" xfId="0" applyFont="1" applyFill="1" applyBorder="1" applyAlignment="1">
      <alignment horizontal="left"/>
    </xf>
    <xf numFmtId="0" fontId="140" fillId="45" borderId="68" xfId="0" applyFont="1" applyFill="1" applyBorder="1" applyAlignment="1">
      <alignment horizontal="center"/>
    </xf>
    <xf numFmtId="0" fontId="140" fillId="45" borderId="26" xfId="0" applyFont="1" applyFill="1" applyBorder="1" applyAlignment="1">
      <alignment horizontal="center"/>
    </xf>
    <xf numFmtId="0" fontId="140" fillId="45" borderId="28" xfId="0" applyFont="1" applyFill="1" applyBorder="1" applyAlignment="1">
      <alignment horizontal="center"/>
    </xf>
    <xf numFmtId="0" fontId="140" fillId="45" borderId="29" xfId="0" applyFont="1" applyFill="1" applyBorder="1" applyAlignment="1">
      <alignment horizontal="center"/>
    </xf>
    <xf numFmtId="0" fontId="139" fillId="43" borderId="48" xfId="0" applyFont="1" applyFill="1" applyBorder="1" applyAlignment="1">
      <alignment horizontal="center"/>
    </xf>
    <xf numFmtId="0" fontId="195" fillId="67" borderId="0" xfId="0" applyFont="1" applyFill="1" applyAlignment="1">
      <alignment horizontal="left" vertical="center" wrapText="1"/>
    </xf>
    <xf numFmtId="0" fontId="195" fillId="67" borderId="55" xfId="0" applyFont="1" applyFill="1" applyBorder="1" applyAlignment="1">
      <alignment horizontal="left" vertical="center" wrapText="1"/>
    </xf>
    <xf numFmtId="0" fontId="140" fillId="68" borderId="62" xfId="0" applyFont="1" applyFill="1" applyBorder="1" applyAlignment="1">
      <alignment horizontal="center"/>
    </xf>
    <xf numFmtId="171" fontId="140" fillId="43" borderId="48" xfId="310" applyNumberFormat="1" applyFont="1" applyFill="1" applyBorder="1" applyAlignment="1" applyProtection="1">
      <alignment horizontal="center"/>
    </xf>
    <xf numFmtId="171" fontId="140" fillId="43" borderId="54" xfId="310" applyNumberFormat="1" applyFont="1" applyFill="1" applyBorder="1" applyAlignment="1" applyProtection="1">
      <alignment horizontal="center"/>
    </xf>
    <xf numFmtId="0" fontId="195" fillId="67" borderId="49" xfId="0" applyFont="1" applyFill="1" applyBorder="1" applyAlignment="1">
      <alignment horizontal="left" vertical="center" wrapText="1"/>
    </xf>
    <xf numFmtId="171" fontId="140" fillId="43" borderId="53" xfId="310" applyNumberFormat="1" applyFont="1" applyFill="1" applyBorder="1" applyAlignment="1" applyProtection="1">
      <alignment horizontal="center"/>
    </xf>
    <xf numFmtId="0" fontId="140" fillId="68" borderId="69" xfId="0" applyFont="1" applyFill="1" applyBorder="1" applyAlignment="1">
      <alignment horizontal="center"/>
    </xf>
    <xf numFmtId="0" fontId="140" fillId="68" borderId="70" xfId="0" applyFont="1" applyFill="1" applyBorder="1" applyAlignment="1">
      <alignment horizontal="center"/>
    </xf>
    <xf numFmtId="0" fontId="140" fillId="68" borderId="71" xfId="0" applyFont="1" applyFill="1" applyBorder="1" applyAlignment="1">
      <alignment horizontal="center"/>
    </xf>
    <xf numFmtId="0" fontId="22" fillId="86" borderId="13" xfId="0" applyFont="1" applyFill="1" applyBorder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 indent="3"/>
    </xf>
    <xf numFmtId="0" fontId="25" fillId="86" borderId="20" xfId="0" applyFont="1" applyFill="1" applyBorder="1" applyAlignment="1">
      <alignment horizontal="center" vertical="center"/>
    </xf>
    <xf numFmtId="0" fontId="25" fillId="86" borderId="9" xfId="0" applyFont="1" applyFill="1" applyBorder="1" applyAlignment="1">
      <alignment horizontal="center" vertical="center"/>
    </xf>
    <xf numFmtId="0" fontId="25" fillId="86" borderId="30" xfId="0" applyFont="1" applyFill="1" applyBorder="1" applyAlignment="1">
      <alignment horizontal="center" vertical="center"/>
    </xf>
    <xf numFmtId="0" fontId="22" fillId="47" borderId="20" xfId="0" applyFont="1" applyFill="1" applyBorder="1" applyAlignment="1">
      <alignment horizontal="center" vertical="center"/>
    </xf>
    <xf numFmtId="0" fontId="22" fillId="47" borderId="9" xfId="0" applyFont="1" applyFill="1" applyBorder="1" applyAlignment="1">
      <alignment horizontal="center" vertical="center"/>
    </xf>
    <xf numFmtId="0" fontId="22" fillId="47" borderId="30" xfId="0" applyFont="1" applyFill="1" applyBorder="1" applyAlignment="1">
      <alignment horizontal="center" vertical="center"/>
    </xf>
    <xf numFmtId="0" fontId="22" fillId="65" borderId="20" xfId="0" applyFont="1" applyFill="1" applyBorder="1" applyAlignment="1">
      <alignment horizontal="center" vertical="center"/>
    </xf>
    <xf numFmtId="0" fontId="22" fillId="65" borderId="9" xfId="0" applyFont="1" applyFill="1" applyBorder="1" applyAlignment="1">
      <alignment horizontal="center" vertical="center"/>
    </xf>
    <xf numFmtId="0" fontId="22" fillId="65" borderId="30" xfId="0" applyFont="1" applyFill="1" applyBorder="1" applyAlignment="1">
      <alignment horizontal="center" vertical="center"/>
    </xf>
    <xf numFmtId="0" fontId="25" fillId="75" borderId="20" xfId="0" applyFont="1" applyFill="1" applyBorder="1" applyAlignment="1">
      <alignment horizontal="center" vertical="center"/>
    </xf>
    <xf numFmtId="0" fontId="25" fillId="75" borderId="9" xfId="0" applyFont="1" applyFill="1" applyBorder="1" applyAlignment="1">
      <alignment horizontal="center" vertical="center"/>
    </xf>
    <xf numFmtId="0" fontId="25" fillId="75" borderId="30" xfId="0" applyFont="1" applyFill="1" applyBorder="1" applyAlignment="1">
      <alignment horizontal="center" vertical="center"/>
    </xf>
    <xf numFmtId="0" fontId="25" fillId="87" borderId="20" xfId="0" applyFont="1" applyFill="1" applyBorder="1" applyAlignment="1">
      <alignment horizontal="center" vertical="center"/>
    </xf>
    <xf numFmtId="0" fontId="25" fillId="87" borderId="9" xfId="0" applyFont="1" applyFill="1" applyBorder="1" applyAlignment="1">
      <alignment horizontal="center" vertical="center"/>
    </xf>
    <xf numFmtId="0" fontId="25" fillId="87" borderId="30" xfId="0" applyFont="1" applyFill="1" applyBorder="1" applyAlignment="1">
      <alignment horizontal="center" vertical="center"/>
    </xf>
    <xf numFmtId="0" fontId="22" fillId="86" borderId="20" xfId="0" applyFont="1" applyFill="1" applyBorder="1" applyAlignment="1">
      <alignment horizontal="center" vertical="center"/>
    </xf>
    <xf numFmtId="0" fontId="22" fillId="86" borderId="0" xfId="0" applyFont="1" applyFill="1" applyAlignment="1">
      <alignment horizontal="center" vertical="center"/>
    </xf>
    <xf numFmtId="0" fontId="271" fillId="118" borderId="41" xfId="0" applyFont="1" applyFill="1" applyBorder="1" applyAlignment="1">
      <alignment horizontal="left" vertical="center" wrapText="1"/>
    </xf>
    <xf numFmtId="0" fontId="271" fillId="118" borderId="15" xfId="0" applyFont="1" applyFill="1" applyBorder="1" applyAlignment="1">
      <alignment horizontal="left" vertical="center" wrapText="1"/>
    </xf>
    <xf numFmtId="0" fontId="271" fillId="118" borderId="43" xfId="0" applyFont="1" applyFill="1" applyBorder="1" applyAlignment="1">
      <alignment horizontal="left" vertical="center" wrapText="1"/>
    </xf>
    <xf numFmtId="0" fontId="22" fillId="58" borderId="0" xfId="0" applyFont="1" applyFill="1" applyAlignment="1">
      <alignment horizontal="center" vertical="center"/>
    </xf>
    <xf numFmtId="0" fontId="123" fillId="0" borderId="0" xfId="0" applyFont="1" applyAlignment="1">
      <alignment horizontal="center" wrapText="1"/>
    </xf>
    <xf numFmtId="0" fontId="268" fillId="113" borderId="0" xfId="435" applyFont="1" applyFill="1" applyAlignment="1">
      <alignment horizontal="center"/>
    </xf>
    <xf numFmtId="0" fontId="293" fillId="77" borderId="97" xfId="0" applyFont="1" applyFill="1" applyBorder="1" applyAlignment="1">
      <alignment horizontal="center" vertical="center" wrapText="1" readingOrder="1"/>
    </xf>
    <xf numFmtId="0" fontId="293" fillId="77" borderId="98" xfId="0" applyFont="1" applyFill="1" applyBorder="1" applyAlignment="1">
      <alignment horizontal="center" vertical="center" wrapText="1" readingOrder="1"/>
    </xf>
    <xf numFmtId="0" fontId="293" fillId="77" borderId="99" xfId="0" applyFont="1" applyFill="1" applyBorder="1" applyAlignment="1">
      <alignment horizontal="center" vertical="center" wrapText="1" readingOrder="1"/>
    </xf>
    <xf numFmtId="0" fontId="22" fillId="0" borderId="0" xfId="301" applyFont="1" applyAlignment="1">
      <alignment horizontal="center"/>
    </xf>
    <xf numFmtId="0" fontId="22" fillId="0" borderId="72" xfId="301" applyFont="1" applyBorder="1" applyAlignment="1">
      <alignment horizontal="center"/>
    </xf>
    <xf numFmtId="0" fontId="22" fillId="0" borderId="73" xfId="301" applyFont="1" applyBorder="1" applyAlignment="1">
      <alignment horizontal="center"/>
    </xf>
    <xf numFmtId="0" fontId="25" fillId="0" borderId="0" xfId="301" applyFont="1" applyAlignment="1">
      <alignment horizontal="left" vertical="top" wrapText="1"/>
    </xf>
    <xf numFmtId="0" fontId="22" fillId="0" borderId="0" xfId="0" applyFont="1"/>
    <xf numFmtId="0" fontId="22" fillId="118" borderId="0" xfId="0" applyFont="1" applyFill="1" applyAlignment="1">
      <alignment vertical="center" wrapText="1"/>
    </xf>
    <xf numFmtId="0" fontId="0" fillId="0" borderId="0" xfId="0" applyFont="1"/>
    <xf numFmtId="198" fontId="0" fillId="0" borderId="0" xfId="0" applyNumberFormat="1" applyFont="1"/>
    <xf numFmtId="197" fontId="0" fillId="0" borderId="0" xfId="0" applyNumberFormat="1" applyFont="1"/>
    <xf numFmtId="198" fontId="218" fillId="0" borderId="0" xfId="0" applyNumberFormat="1" applyFont="1"/>
    <xf numFmtId="197" fontId="218" fillId="0" borderId="0" xfId="0" applyNumberFormat="1" applyFont="1"/>
    <xf numFmtId="198" fontId="218" fillId="65" borderId="0" xfId="0" applyNumberFormat="1" applyFont="1" applyFill="1"/>
    <xf numFmtId="197" fontId="218" fillId="65" borderId="0" xfId="0" applyNumberFormat="1" applyFont="1" applyFill="1"/>
    <xf numFmtId="198" fontId="22" fillId="0" borderId="0" xfId="0" applyNumberFormat="1" applyFont="1"/>
  </cellXfs>
  <cellStyles count="3858">
    <cellStyle name="-" xfId="684" xr:uid="{AA617857-5A7E-4924-B9BA-3812464BDC06}"/>
    <cellStyle name="—" xfId="685" xr:uid="{DE7DD9CF-6B1D-47DD-85EE-EC86CBA8C9E7}"/>
    <cellStyle name="_x000a_386grabber=M" xfId="686" xr:uid="{F32BDEE3-8992-4C2A-BE03-FE7429FE1273}"/>
    <cellStyle name="_x000a_386grabber=M 2" xfId="687" xr:uid="{22D018D6-35E5-40B2-A2F0-1FD1EEAB2C83}"/>
    <cellStyle name="%" xfId="688" xr:uid="{DEF4B815-48F5-4E7C-AE72-B1A24A343C81}"/>
    <cellStyle name="(1,000)" xfId="689" xr:uid="{C5664CF9-80ED-4780-88B3-48B079C462C9}"/>
    <cellStyle name="(1,000)x" xfId="690" xr:uid="{A3365491-37EC-4587-B737-E2405844D218}"/>
    <cellStyle name="(3)" xfId="691" xr:uid="{4727006C-D6F0-494C-BA2E-EF05A30C2F0B}"/>
    <cellStyle name="." xfId="1" xr:uid="{00000000-0005-0000-0000-000000000000}"/>
    <cellStyle name="._12" xfId="2" xr:uid="{00000000-0005-0000-0000-000001000000}"/>
    <cellStyle name="._12 2" xfId="454" xr:uid="{1BB2D564-5530-40C7-8DF4-2C5DFA44CD07}"/>
    <cellStyle name="._12 3" xfId="3624" xr:uid="{507947F9-0EAF-4FC1-A62F-068C3F9BEB52}"/>
    <cellStyle name="._BANH MI DOT 2.04.07 CHI TRANG" xfId="3" xr:uid="{00000000-0005-0000-0000-000002000000}"/>
    <cellStyle name="._BANH MI DOT 2.04.07 CHI TRANG 2" xfId="455" xr:uid="{66F552DA-A6F4-4F3B-A8AE-CA0FFCA2EEA7}"/>
    <cellStyle name="._BANH MI DOT 2.04.07 CHI TRANG 3" xfId="3625" xr:uid="{F431286D-F80F-4C62-84A4-B58A6C570FA7}"/>
    <cellStyle name="._bhxh t6" xfId="4" xr:uid="{00000000-0005-0000-0000-000003000000}"/>
    <cellStyle name="._bhxh t6 2" xfId="456" xr:uid="{F0B416E6-03C6-4ADC-948D-FFE5F9FB87C5}"/>
    <cellStyle name="._bhxh t6 3" xfId="3626" xr:uid="{15D282BF-22DE-4892-8860-75D8619906F0}"/>
    <cellStyle name="._bkdvcp200705" xfId="5" xr:uid="{00000000-0005-0000-0000-000004000000}"/>
    <cellStyle name="._BLG TT X4 (D2_04_07)" xfId="6" xr:uid="{00000000-0005-0000-0000-000005000000}"/>
    <cellStyle name="._BLG TT X4 (D2_04_07) 2" xfId="457" xr:uid="{1E71A7E7-358D-42E1-9A8E-CBF431CCCA5F}"/>
    <cellStyle name="._BLG TT X4 (D2_04_07) 3" xfId="3627" xr:uid="{5EBD9909-81BF-4081-88AB-BF03DAB12FA7}"/>
    <cellStyle name="._cuong" xfId="7" xr:uid="{00000000-0005-0000-0000-000006000000}"/>
    <cellStyle name="._CUPCAKE DOT 2.04.07 CHI TRANG" xfId="8" xr:uid="{00000000-0005-0000-0000-000007000000}"/>
    <cellStyle name="._CUPCAKE DOT 2.04.07 CHI TRANG 2" xfId="458" xr:uid="{6536EE3C-A33F-413B-B4C8-9E01336D9D5E}"/>
    <cellStyle name="._CUPCAKE DOT 2.04.07 CHI TRANG 3" xfId="3628" xr:uid="{576814A0-A538-4C6C-A3BB-E5EAD136417F}"/>
    <cellStyle name="._DS lop MTP_tong hop_Cum" xfId="9" xr:uid="{00000000-0005-0000-0000-000008000000}"/>
    <cellStyle name="._GIAN TIEP THANG 6.07" xfId="10" xr:uid="{00000000-0005-0000-0000-000009000000}"/>
    <cellStyle name="._GIAN TIEP THANG 6.07 2" xfId="459" xr:uid="{B9DBC053-9BF5-40EB-BB94-A088AA8ABC19}"/>
    <cellStyle name="._GIAN TIEP THANG 6.07 3" xfId="3629" xr:uid="{EF250A7A-66D9-4C6B-930E-BD6920BD4504}"/>
    <cellStyle name="._LGGFS2007_06" xfId="11" xr:uid="{00000000-0005-0000-0000-00000A000000}"/>
    <cellStyle name="._LGGFS2007_06 2" xfId="460" xr:uid="{D13EF71D-1444-40EA-A785-8D00D1C69ECA}"/>
    <cellStyle name="._LGGFS2007_06 3" xfId="3630" xr:uid="{A24EB976-1ED6-4119-9475-16523A5CC69B}"/>
    <cellStyle name="._LGGFS2007_12" xfId="12" xr:uid="{00000000-0005-0000-0000-00000B000000}"/>
    <cellStyle name="._LGGFS2007_12 2" xfId="461" xr:uid="{8D1DE4DF-3B6A-4A66-B321-8AEF1371D3E4}"/>
    <cellStyle name="._LGGFS2007_12 3" xfId="3631" xr:uid="{2411126C-FE74-4988-9868-2E9103D98C9C}"/>
    <cellStyle name="._LGTaiXe2007_08" xfId="13" xr:uid="{00000000-0005-0000-0000-00000C000000}"/>
    <cellStyle name="._LGTaiXe2007_08 2" xfId="462" xr:uid="{E6433796-8FDF-47D9-A707-0E104CA7CB6F}"/>
    <cellStyle name="._LGTaiXe2007_08 3" xfId="3632" xr:uid="{0838F812-1081-4D85-B961-E11FE2D86895}"/>
    <cellStyle name="._Luong VP-T06-07" xfId="14" xr:uid="{00000000-0005-0000-0000-00000D000000}"/>
    <cellStyle name="._Luong VP-T06-07 2" xfId="463" xr:uid="{E817CF0A-5213-48F3-AD4F-D1FAA177E329}"/>
    <cellStyle name="._Luong VP-T06-07 3" xfId="3633" xr:uid="{953288F0-E0CD-4349-85A3-09A857E0B4A2}"/>
    <cellStyle name="._T5T05" xfId="15" xr:uid="{00000000-0005-0000-0000-00000E000000}"/>
    <cellStyle name="._T5T05 2" xfId="464" xr:uid="{1E524470-C241-4394-9721-6708DE150091}"/>
    <cellStyle name="._T5T05 3" xfId="3634" xr:uid="{F05D08AD-67B2-4D9F-8BC1-94CB3422A883}"/>
    <cellStyle name="._thue GTGT" xfId="16" xr:uid="{00000000-0005-0000-0000-00000F000000}"/>
    <cellStyle name="._thue GTGT 2" xfId="465" xr:uid="{7E748043-19E8-459E-93C3-5A9C90A10984}"/>
    <cellStyle name="._thue GTGT 3" xfId="3635" xr:uid="{17A0B6CB-609E-4D8F-AF80-4B3676C10315}"/>
    <cellStyle name="?" xfId="692" xr:uid="{C42F0523-B5A7-478C-BCE0-26A48112648A}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693" xr:uid="{13A2F9E5-AECE-4C62-894F-93E0DDC75971}"/>
    <cellStyle name="??" xfId="17" xr:uid="{00000000-0005-0000-0000-000010000000}"/>
    <cellStyle name="?? [0.00]_PRODUCT DETAIL Q1" xfId="18" xr:uid="{00000000-0005-0000-0000-000011000000}"/>
    <cellStyle name="?? [0]" xfId="19" xr:uid="{00000000-0005-0000-0000-000012000000}"/>
    <cellStyle name="?? [0] 2" xfId="467" xr:uid="{66E9BE30-F67F-4246-B42C-DC2A95BAC613}"/>
    <cellStyle name="?? [0] 3" xfId="3636" xr:uid="{6F254B60-F20F-47BB-A90A-1104C01DC9D4}"/>
    <cellStyle name="?? 2" xfId="466" xr:uid="{23A1D518-FFE5-41F4-83F7-A50147386C38}"/>
    <cellStyle name="?? 3" xfId="544" xr:uid="{EE702F1B-CBC6-4D2A-ADEE-875AA9C7B90F}"/>
    <cellStyle name="?? 4" xfId="559" xr:uid="{12BD0F5A-0607-417E-A742-E9568C18481E}"/>
    <cellStyle name="?? 5" xfId="694" xr:uid="{A6A20836-CFB8-4E15-A7D1-3D14B5F095C0}"/>
    <cellStyle name="?? 5 2" xfId="3764" xr:uid="{D7B9D883-E146-4536-AE5B-52BCF6893A83}"/>
    <cellStyle name="?? 6" xfId="3314" xr:uid="{F380D56E-71EE-4DD0-BEE6-7A81A7B4AE58}"/>
    <cellStyle name="?? 7" xfId="3574" xr:uid="{1F2CAAC4-F060-44AE-8B8C-CB02E7B96E3B}"/>
    <cellStyle name="??&amp;O?" xfId="695" xr:uid="{BEC41650-6ABA-4889-B360-DFFB4CF01389}"/>
    <cellStyle name="??&amp;O?&amp;" xfId="696" xr:uid="{E9C097D5-7819-4520-A5A1-1D007FA0138E}"/>
    <cellStyle name="??&amp;O?&amp;H" xfId="697" xr:uid="{D2B7A85E-A577-434A-B8C0-283273C93E39}"/>
    <cellStyle name="??&amp;O?&amp;H?" xfId="698" xr:uid="{370072BB-D26C-4DD9-B0EF-8E244D7C11AB}"/>
    <cellStyle name="??&amp;O?&amp;H?_x0008_" xfId="699" xr:uid="{9A9DF68E-A547-41BC-BB7D-50EEEB141D05}"/>
    <cellStyle name="??&amp;O?&amp;H?_x0008__x000f_" xfId="700" xr:uid="{B969E9A6-A747-46C2-9A20-FB38EF3FCA9B}"/>
    <cellStyle name="??&amp;O?&amp;H?_x0008__x000f__x0007_" xfId="701" xr:uid="{B3BE5E9A-866A-48B5-A8B8-3A7CC63A6741}"/>
    <cellStyle name="??&amp;O?&amp;H?_x0008_?" xfId="702" xr:uid="{D2B9FB0C-B396-4F8B-90B8-F60974C7B4F0}"/>
    <cellStyle name="??&amp;O?&amp;H?_x0008__x000f__x0007_?" xfId="703" xr:uid="{0EEA69E8-7787-4C48-996E-66D75C9847CB}"/>
    <cellStyle name="??&amp;O?&amp;H?_x0008__x000f__x0007_?_x0007_" xfId="704" xr:uid="{7CB98CC2-85FF-4C1A-A8E2-C01ECE9A487F}"/>
    <cellStyle name="??&amp;O?&amp;H?_x0008__x000f__x0007_?_x0007__x0001_" xfId="705" xr:uid="{8B7FC5B7-25D2-4DCC-B505-81C4E74AC64A}"/>
    <cellStyle name="??&amp;O?&amp;H?_x0008__x000f__x0007_?_x0007__x0001__x0001_" xfId="706" xr:uid="{0FF0C900-E818-493C-8545-BDC1E598685D}"/>
    <cellStyle name="??&amp;O?&amp;H?_x0008_??" xfId="707" xr:uid="{6D6DD0D0-0B37-4A64-A013-AFE728C421A5}"/>
    <cellStyle name="??&amp;O?&amp;H?_x0008_??_x0007_" xfId="708" xr:uid="{EE650B11-A926-48FC-8CE3-22A4D08844DD}"/>
    <cellStyle name="??&amp;O?&amp;H?_x0008_??_x0007__x0001_" xfId="709" xr:uid="{C3DAF89A-F081-426F-968A-24ECEFD8EF21}"/>
    <cellStyle name="??&amp;O?&amp;H?_x0008_??_x0007__x0001__x0001_" xfId="710" xr:uid="{E16E3838-13C9-4B93-A21F-56F2AA2BE004}"/>
    <cellStyle name="??&amp;O?&amp;H?_x0008_??_Doosan Engine (July12)-1 em" xfId="711" xr:uid="{E08F25D9-BF19-4651-BBF9-302A37814436}"/>
    <cellStyle name="??&amp;O?&amp;H?_x0008_??_x0007__Doosan Engine (July12)-1 em" xfId="712" xr:uid="{7A69ECCF-BE3C-4A34-88BF-0D1264DF04DB}"/>
    <cellStyle name="??&amp;O?&amp;H?_x0008_??_x0007__x0001__Doosan Engine (July12)-1 em" xfId="713" xr:uid="{0128734C-6F12-4360-8608-9683EB0FDAB5}"/>
    <cellStyle name="??&amp;O?&amp;H?_x0008_??_x0007__x0001__x0001__Doosan Engine (July12)-1 em" xfId="714" xr:uid="{1E6411AD-0876-489F-81A6-571CEAC17B17}"/>
    <cellStyle name="??&amp;O?&amp;H?_x0008_??_Hi-mart model for Alison (5 July 2011)" xfId="715" xr:uid="{7CA49741-57F1-496D-A982-71C1EC90885F}"/>
    <cellStyle name="??&amp;O?&amp;H?_x0008_??_x0007__Hi-mart model for Alison (5 July 2011)" xfId="716" xr:uid="{4B2BEE5D-D108-4731-856C-3E15C28258CB}"/>
    <cellStyle name="??&amp;O?&amp;H?_x0008_??_x0007__x0001__Hi-mart model for Alison (5 July 2011)" xfId="717" xr:uid="{8E38DA7F-02D4-4FD2-8B2C-94E66FDEA015}"/>
    <cellStyle name="??&amp;O?&amp;H?_x0008_??_x0007__x0001__x0001__Hi-mart model for Alison (5 July 2011)" xfId="718" xr:uid="{8E9337CA-BB4A-4B22-9349-A41F4E3FDC40}"/>
    <cellStyle name="??&amp;O?&amp;H?_x0008_?_Doosan Engine (July12)-1 em" xfId="719" xr:uid="{19099036-B7CA-43A8-881C-1318B455C0B2}"/>
    <cellStyle name="??&amp;O?&amp;H?_x0008__x000f__x0007_?_Doosan Engine (July12)-1 em" xfId="720" xr:uid="{3C190944-0491-4BB7-BDBB-1447909054BA}"/>
    <cellStyle name="??&amp;O?&amp;H?_x0008__x000f__x0007_?_x0007__Doosan Engine (July12)-1 em" xfId="721" xr:uid="{96903BA0-5C69-4AE3-99A2-12FB98A2367F}"/>
    <cellStyle name="??&amp;O?&amp;H?_x0008__x000f__x0007_?_x0007__x0001__Doosan Engine (July12)-1 em" xfId="722" xr:uid="{6CF86E4D-A72D-41EB-B9BD-2474B92ECC87}"/>
    <cellStyle name="??&amp;O?&amp;H?_x0008__x000f__x0007_?_x0007__x0001__x0001__Doosan Engine (July12)-1 em" xfId="723" xr:uid="{D6DA3F7D-39CD-460C-B2D6-43181401619D}"/>
    <cellStyle name="??&amp;O?&amp;H?_x0008_?_Hi-mart model for Alison (5 July 2011)" xfId="724" xr:uid="{962CB2A2-4248-4997-9C8E-63C79D461353}"/>
    <cellStyle name="??&amp;O?&amp;H?_x0008__x000f__x0007_?_Hi-mart model for Alison (5 July 2011)" xfId="725" xr:uid="{C22DCAC8-35E6-4416-822A-6B4F495AE0C4}"/>
    <cellStyle name="??&amp;O?&amp;H?_x0008__x000f__x0007_?_x0007__Hi-mart model for Alison (5 July 2011)" xfId="726" xr:uid="{27FEE81A-FAC5-43AE-9753-A48799322090}"/>
    <cellStyle name="??&amp;O?&amp;H?_x0008__x000f__x0007_?_x0007__x0001__Hi-mart model for Alison (5 July 2011)" xfId="727" xr:uid="{B6D411A2-BC70-48D7-935B-AC1D116B26A8}"/>
    <cellStyle name="??&amp;O?&amp;H?_x0008__x000f__x0007_?_x0007__x0001__x0001__Hi-mart model for Alison (5 July 2011)" xfId="728" xr:uid="{62490CAE-0D34-42D3-A135-8C245B95407F}"/>
    <cellStyle name="??&amp;O?&amp;H?_Doosan Engine (July12)-1 em" xfId="729" xr:uid="{061DF8D3-41B3-41FD-B890-CFA703B0E841}"/>
    <cellStyle name="??&amp;O?&amp;H?_x0008__Doosan Engine (July12)-1 em" xfId="730" xr:uid="{EBF1ADDB-AC57-4D44-B361-5E22657141B7}"/>
    <cellStyle name="??&amp;O?&amp;H?_x0008__x000f__Doosan Engine (July12)-1 em" xfId="731" xr:uid="{642E8396-9043-4AAA-8D49-7A6284E8AF61}"/>
    <cellStyle name="??&amp;O?&amp;H?_x0008__x000f__x0007__Doosan Engine (July12)-1 em" xfId="732" xr:uid="{5F40EE13-7730-4CEE-989A-02C5CB591400}"/>
    <cellStyle name="??&amp;O?&amp;H?_Hi-mart model for Alison (5 July 2011)" xfId="733" xr:uid="{ADBA26BD-0D4C-430C-AF1C-4B5D8A4E7D00}"/>
    <cellStyle name="??&amp;O?&amp;H?_x0008__Hi-mart model for Alison (5 July 2011)" xfId="734" xr:uid="{786CB5FA-4264-4D00-B101-46B3F4E4CDE2}"/>
    <cellStyle name="??&amp;O?&amp;H?_x0008__x000f__Hi-mart model for Alison (5 July 2011)" xfId="735" xr:uid="{0C56DD03-C052-466E-AA23-92BBBAAE81F0}"/>
    <cellStyle name="??&amp;O?&amp;H?_x0008__x000f__x0007__Hi-mart model for Alison (5 July 2011)" xfId="736" xr:uid="{634BCFD0-A370-4791-B10E-C350BFB210BE}"/>
    <cellStyle name="??&amp;O?&amp;H_Doosan Engine (July12)-1 em" xfId="737" xr:uid="{9F04A95B-D6F5-4BFC-8249-EC6ECEA853E9}"/>
    <cellStyle name="??&amp;O?_Doosan Engine (July12)-1 em" xfId="738" xr:uid="{01B3EC75-2B63-4C89-A33C-BC31D0D0CB85}"/>
    <cellStyle name="???? [0.00]_PRODUCT DETAIL Q1" xfId="20" xr:uid="{00000000-0005-0000-0000-000013000000}"/>
    <cellStyle name="????_PRODUCT DETAIL Q1" xfId="21" xr:uid="{00000000-0005-0000-0000-000014000000}"/>
    <cellStyle name="???[0]_Book1" xfId="22" xr:uid="{00000000-0005-0000-0000-000015000000}"/>
    <cellStyle name="???_???" xfId="23" xr:uid="{00000000-0005-0000-0000-000016000000}"/>
    <cellStyle name="??_(????)??????" xfId="24" xr:uid="{00000000-0005-0000-0000-000017000000}"/>
    <cellStyle name="?_Doosan Engine (July12)-1 em" xfId="739" xr:uid="{821143B5-9F95-466E-BCDB-862B2A6D1C3B}"/>
    <cellStyle name="?_Hi-mart model for Alison (5 July 2011)" xfId="740" xr:uid="{A2A2F566-17EA-4678-BD43-0CAC702C896A}"/>
    <cellStyle name="?핺_CASH FLOW " xfId="742" xr:uid="{5DCB8B06-F7AF-4EA8-8D42-4FF9ACF0C732}"/>
    <cellStyle name="?頂_x000c_:?_x000d_3?_x0001_??_x0007__x0001__x0001_" xfId="741" xr:uid="{3429DC16-93C8-45CF-932B-1A2FA1B4F220}"/>
    <cellStyle name="]_x000d__x000a_Zoomed=1_x000d__x000a_Row=0_x000d__x000a_Column=0_x000d__x000a_Height=0_x000d__x000a_Width=0_x000d__x000a_FontName=FoxFont_x000d__x000a_FontStyle=0_x000d__x000a_FontSize=9_x000d__x000a_PrtFontName=FoxPrin" xfId="25" xr:uid="{00000000-0005-0000-0000-000018000000}"/>
    <cellStyle name="]_x000d__x000a_Zoomed=1_x000d__x000a_Row=0_x000d__x000a_Column=0_x000d__x000a_Height=0_x000d__x000a_Width=0_x000d__x000a_FontName=FoxFont_x000d__x000a_FontStyle=0_x000d__x000a_FontSize=9_x000d__x000a_PrtFontName=FoxPrin 2" xfId="468" xr:uid="{7735F639-4208-4115-B52F-5EE6E5C26DAC}"/>
    <cellStyle name="]_x000d__x000a_Zoomed=1_x000d__x000a_Row=0_x000d__x000a_Column=0_x000d__x000a_Height=0_x000d__x000a_Width=0_x000d__x000a_FontName=FoxFont_x000d__x000a_FontStyle=0_x000d__x000a_FontSize=9_x000d__x000a_PrtFontName=FoxPrin 3" xfId="3637" xr:uid="{37BC36BC-4236-4797-88C3-C6CD4472A52B}"/>
    <cellStyle name="]_^[꺞_x0008_?" xfId="743" xr:uid="{1D66AA4B-D8E7-46CA-AE75-10FC6494A09D}"/>
    <cellStyle name="_0014" xfId="744" xr:uid="{2C232C03-3467-4D25-B322-CA40A9567461}"/>
    <cellStyle name="_0021" xfId="745" xr:uid="{46CEF708-1804-4AF4-886E-99749C1EDA1F}"/>
    <cellStyle name="_0066" xfId="746" xr:uid="{BFD95DEF-A21E-4954-908F-13F76931CC1F}"/>
    <cellStyle name="_0072" xfId="747" xr:uid="{839066B3-3992-4A79-A774-42701A750CEB}"/>
    <cellStyle name="_0437" xfId="748" xr:uid="{69374246-0EBC-451B-B815-A69F65818755}"/>
    <cellStyle name="_0518" xfId="749" xr:uid="{C688B8C9-54FC-4AB5-A2FE-E4ECCBB58E14}"/>
    <cellStyle name="_0593_dh_revised4" xfId="750" xr:uid="{9E488E5B-6328-4CFC-87CA-5C6121C29539}"/>
    <cellStyle name="_0593_dh_revised4_Core Logic_model2" xfId="751" xr:uid="{634BF859-E96F-40D2-9927-D490DAC67473}"/>
    <cellStyle name="_0593_dh_revised4_Interflex_model9" xfId="752" xr:uid="{712342D6-55DD-45DA-92A8-79DFFD16A6F5}"/>
    <cellStyle name="_0593_dh_revised4_Interflex_model9_Sheet3" xfId="753" xr:uid="{838D17E2-56C2-4B2C-9C89-C2E8331EA31C}"/>
    <cellStyle name="_0593_dh_revised4_Sheet3" xfId="754" xr:uid="{7505ACB6-86BB-4683-8489-46BAAE7758E1}"/>
    <cellStyle name="_1263" xfId="755" xr:uid="{A149E9ED-83C2-4E9A-9C8C-06765B9E988F}"/>
    <cellStyle name="_2000 Plan Form" xfId="756" xr:uid="{57CF29D6-6E4E-42BE-8552-015DF56CD3A9}"/>
    <cellStyle name="_2000 Plan Form_1" xfId="757" xr:uid="{E1B8CD5C-B6C8-4E83-8838-DD99473BD001}"/>
    <cellStyle name="_2000 Plan Form_1_2000 Plan Form1" xfId="758" xr:uid="{5668C6D6-00E1-4065-904A-A537D9625937}"/>
    <cellStyle name="_2000 Plan Form_1_2000 Plan Form1_hhi_IFRS_in progress_Jul 2012" xfId="759" xr:uid="{7C7DBB14-25AA-419E-B9C8-ADF5F4103E90}"/>
    <cellStyle name="_2000 Plan Form_1_2000 Plan Form1_hhi_IFRS_in progress_Jul 2012 2" xfId="760" xr:uid="{DC239E66-B5F6-45EB-A1F0-68DD3130B577}"/>
    <cellStyle name="_2000 Plan Form_1_hhi_IFRS_in progress_Jul 2012" xfId="761" xr:uid="{4D1AB109-02F4-4FD9-8739-ADB743937355}"/>
    <cellStyle name="_2000 Plan Form_1_hhi_IFRS_in progress_Jul 2012 2" xfId="762" xr:uid="{A64D6033-7AFC-484C-A993-2C4C6036DE84}"/>
    <cellStyle name="_2000 Plan Form_1_管理本部" xfId="766" xr:uid="{01E28F21-7C2F-438A-AB80-D2D41F9D217C}"/>
    <cellStyle name="_2000 Plan Form_1_管理本部_hhi_IFRS_in progress_Jul 2012" xfId="767" xr:uid="{7484B361-4499-44C0-87B1-694D5755F812}"/>
    <cellStyle name="_2000 Plan Form_1_管理本部_hhi_IFRS_in progress_Jul 2012 2" xfId="768" xr:uid="{155CDD4B-8755-46BD-BBEB-A6C867A7126B}"/>
    <cellStyle name="_2000 Plan Form_1_経費合計" xfId="763" xr:uid="{9153F520-B884-4627-83A8-E2A339D95479}"/>
    <cellStyle name="_2000 Plan Form_1_経費合計_hhi_IFRS_in progress_Jul 2012" xfId="764" xr:uid="{A205FB55-4B8C-47E2-BF46-8E12BC055C44}"/>
    <cellStyle name="_2000 Plan Form_1_経費合計_hhi_IFRS_in progress_Jul 2012 2" xfId="765" xr:uid="{EE54B21B-EDEF-4489-B0C2-A37ECBF5D2AE}"/>
    <cellStyle name="_2000 Plan Form_1_線路" xfId="769" xr:uid="{55A89E3B-DB81-4956-B82E-C829BB803930}"/>
    <cellStyle name="_2000 Plan Form_1_線路_hhi_IFRS_in progress_Jul 2012" xfId="770" xr:uid="{782768CE-5169-4431-8B61-F1C79DE41EB4}"/>
    <cellStyle name="_2000 Plan Form_1_線路_hhi_IFRS_in progress_Jul 2012 2" xfId="771" xr:uid="{F7C1015F-7B82-4973-81CD-EF100649C10C}"/>
    <cellStyle name="_2000 Plan Form_2" xfId="772" xr:uid="{BC696700-A626-473A-B309-DB5F057636A2}"/>
    <cellStyle name="_2000 Plan Form_2_2000 Plan Form1" xfId="773" xr:uid="{03FB2A8E-91E9-4472-BEC2-53BDA811F218}"/>
    <cellStyle name="_2000 Plan Form_2_2000 Plan Form1_hhi_IFRS_in progress_Jul 2012" xfId="774" xr:uid="{BC4CB855-27EC-4215-BF58-2550B7C8EEAB}"/>
    <cellStyle name="_2000 Plan Form_2_2000 Plan Form1_hhi_IFRS_in progress_Jul 2012 2" xfId="775" xr:uid="{3DC906D0-39D2-4B26-9141-7D1DAFE1CF18}"/>
    <cellStyle name="_2000 Plan Form_2_3Q03Results_031030" xfId="776" xr:uid="{EA849E57-AF55-4D2D-818A-E7CE8347406C}"/>
    <cellStyle name="_2000 Plan Form_2_Datastream" xfId="777" xr:uid="{66D2676F-BAA8-445F-98C7-8031A66DDC31}"/>
    <cellStyle name="_2000 Plan Form_2_DCF" xfId="778" xr:uid="{C0CF66F5-A5D8-4237-B262-0EA96A2A9973}"/>
    <cellStyle name="_2000 Plan Form_2_FS-quarterly" xfId="779" xr:uid="{8D821B54-CF93-4581-B8B3-1572321938AB}"/>
    <cellStyle name="_2000 Plan Form_2_Hanaro" xfId="780" xr:uid="{429F31FA-67D5-42D0-845B-1EB98394F7DE}"/>
    <cellStyle name="_2000 Plan Form_2_KT&amp;G(ID)_PR_030619" xfId="781" xr:uid="{68A595C2-3D06-48E7-B3AD-221000A02F2E}"/>
    <cellStyle name="_2000 Plan Form_2_KT&amp;G(ID)_PR_030619_1" xfId="782" xr:uid="{2EFED1DB-3EB6-4F78-BBCD-245FA7E42137}"/>
    <cellStyle name="_2000 Plan Form_2_KT&amp;G(ID)_PR_030619_1_TYC(affiliates)_PD_030709" xfId="783" xr:uid="{EBFCFABC-FFBF-4C9B-8D46-7A86E38C60E6}"/>
    <cellStyle name="_2000 Plan Form_2_KT&amp;G(ID)_PR_030619_1_TYC(affiliates)_PD_030709_TYC(FY05)tttv_030830" xfId="784" xr:uid="{ED0C18A8-4AB6-443A-BD8D-B12D3B991CD7}"/>
    <cellStyle name="_2000 Plan Form_2_KT&amp;G(ID)_PR_030619_1_TYC(affiliates)준비_030623" xfId="785" xr:uid="{EB00AC86-0FFA-400A-A5E3-F394F0EA581D}"/>
    <cellStyle name="_2000 Plan Form_2_KT&amp;G(ID)_PR_030619_1_TYC(affiliates)준비_030623_TYC(FY05)tttv_030830" xfId="786" xr:uid="{BAE12EE8-2CBE-489E-86C3-6B944630FE96}"/>
    <cellStyle name="_2000 Plan Form_2_KT&amp;G(ID)_PR_030619_1_TYC(FY05)tttv_030830" xfId="787" xr:uid="{68573980-BFF6-4650-AB8F-F23FD92A70E4}"/>
    <cellStyle name="_2000 Plan Form_2_KT&amp;G(ID)_PR_030619_3Q03Results_031030" xfId="788" xr:uid="{4B3AD0F2-1710-47CE-A46E-31D7A73EC077}"/>
    <cellStyle name="_2000 Plan Form_2_KT&amp;G(ID)_PR_030619_KT&amp;G(ID)_PR_030619" xfId="789" xr:uid="{15A5A5F0-DE92-4524-9C22-56C06B0B7B89}"/>
    <cellStyle name="_2000 Plan Form_2_KT&amp;G(ID)_PR_030619_KT&amp;G(ID)_PR_030619_TYC(affiliates)_PD_030709" xfId="790" xr:uid="{686827A4-0F95-495E-92C1-6FA5373BEB3F}"/>
    <cellStyle name="_2000 Plan Form_2_KT&amp;G(ID)_PR_030619_KT&amp;G(ID)_PR_030619_TYC(affiliates)_PD_030709_TYC(FY05)tttv_030830" xfId="791" xr:uid="{1A3224CF-1D87-4262-A8D7-2FA48EC8C5BC}"/>
    <cellStyle name="_2000 Plan Form_2_KT&amp;G(ID)_PR_030619_KT&amp;G(ID)_PR_030619_TYC(affiliates)준비_030623" xfId="792" xr:uid="{597B539B-B620-4EB9-9116-504FE22DFC99}"/>
    <cellStyle name="_2000 Plan Form_2_KT&amp;G(ID)_PR_030619_KT&amp;G(ID)_PR_030619_TYC(affiliates)준비_030623_TYC(FY05)tttv_030830" xfId="793" xr:uid="{E64B87B6-E42C-46DD-9D1C-7C2548359EA2}"/>
    <cellStyle name="_2000 Plan Form_2_KT&amp;G(ID)_PR_030619_KT&amp;G(ID)_PR_030619_TYC(FY05)tttv_030830" xfId="794" xr:uid="{8300C82C-D91F-4D5A-B8DD-2842D5D565A1}"/>
    <cellStyle name="_2000 Plan Form_2_KT&amp;G(ID)_PR_030619_TYC(affiliates)준비_030623" xfId="795" xr:uid="{064702D9-1EB2-40CA-B161-0E47F57AF5E1}"/>
    <cellStyle name="_2000 Plan Form_2_KT&amp;G(ID)_PR_030619_TYC(affiliates)준비_030623_TYC(affiliates)_PD_030709" xfId="796" xr:uid="{45E6F90B-524A-40EB-AD4C-D97174D92B7C}"/>
    <cellStyle name="_2000 Plan Form_2_KT&amp;G(ID)_PR_030619_TYC(affiliates)준비_030623_TYC(affiliates)_PD_030709_TYC(FY05)tttv_030830" xfId="797" xr:uid="{BB1BCD6A-D3D4-4917-A577-A2711F9A1363}"/>
    <cellStyle name="_2000 Plan Form_2_KT&amp;G(ID)_PR_030619_TYC(affiliates)준비_030623_TYC(affiliates)준비_030623" xfId="798" xr:uid="{6C95A962-79DD-49CF-832D-F22023273B38}"/>
    <cellStyle name="_2000 Plan Form_2_KT&amp;G(ID)_PR_030619_TYC(affiliates)준비_030623_TYC(affiliates)준비_030623_TYC(FY05)tttv_030830" xfId="799" xr:uid="{7873425D-6275-4485-B75E-448511A247E5}"/>
    <cellStyle name="_2000 Plan Form_2_KT&amp;G(ID)_PR_030619_TYC(affiliates)준비_030623_TYC(FY05)tttv_030830" xfId="800" xr:uid="{E0FFCEA9-D455-461B-86FB-A1529CFB69BE}"/>
    <cellStyle name="_2000 Plan Form_2_KT&amp;G(ID)_PR_030619_TYC(FY05)tttv_030830" xfId="801" xr:uid="{12229AC0-4995-43BD-ABFA-5D3AA90AF70E}"/>
    <cellStyle name="_2000 Plan Form_2_KT&amp;G(ID)_PR_030619_Yuhan(FY05)_031030" xfId="802" xr:uid="{DAF35F31-17B8-4C84-9520-32958144CA5D}"/>
    <cellStyle name="_2000 Plan Form_2_KT&amp;G(ID준비)_030601" xfId="803" xr:uid="{C794E700-FFB4-4602-88D1-402DD7F83D01}"/>
    <cellStyle name="_2000 Plan Form_2_KT&amp;G(ID준비)_030601_3Q03Results_031030" xfId="804" xr:uid="{04EA4B12-3008-4421-A985-9CC4C0967760}"/>
    <cellStyle name="_2000 Plan Form_2_KT&amp;G(ID준비)_030601_KT&amp;G(ID)_PR_030619" xfId="805" xr:uid="{2C6A4F51-877F-4116-B565-005100530B5F}"/>
    <cellStyle name="_2000 Plan Form_2_KT&amp;G(ID준비)_030601_KT&amp;G(ID)_PR_030619_TYC(affiliates)_PD_030709" xfId="806" xr:uid="{7F5BCBD2-8A44-4DA3-A21E-A959135AFF0B}"/>
    <cellStyle name="_2000 Plan Form_2_KT&amp;G(ID준비)_030601_KT&amp;G(ID)_PR_030619_TYC(affiliates)_PD_030709_TYC(FY05)tttv_030830" xfId="807" xr:uid="{D4382D46-3851-4AF3-9721-E2F2B3656F7E}"/>
    <cellStyle name="_2000 Plan Form_2_KT&amp;G(ID준비)_030601_KT&amp;G(ID)_PR_030619_TYC(affiliates)준비_030623" xfId="808" xr:uid="{DC757D42-56E1-4F8D-8190-81D87CB5B718}"/>
    <cellStyle name="_2000 Plan Form_2_KT&amp;G(ID준비)_030601_KT&amp;G(ID)_PR_030619_TYC(affiliates)준비_030623_TYC(FY05)tttv_030830" xfId="809" xr:uid="{8DC3D38C-0987-4A6A-9F71-C202C22C2EC1}"/>
    <cellStyle name="_2000 Plan Form_2_KT&amp;G(ID준비)_030601_KT&amp;G(ID)_PR_030619_TYC(FY05)tttv_030830" xfId="810" xr:uid="{10A0D2A0-2573-4800-A22A-7B18BCF4827A}"/>
    <cellStyle name="_2000 Plan Form_2_KT&amp;G(ID준비)_030601_TYC(affiliates)준비_030623" xfId="811" xr:uid="{CC7D59B5-5788-4D30-8135-D68387E8083B}"/>
    <cellStyle name="_2000 Plan Form_2_KT&amp;G(ID준비)_030601_TYC(affiliates)준비_030623_TYC(affiliates)_PD_030709" xfId="812" xr:uid="{E25E3261-5CAB-4C3C-95BB-C76C38151C7B}"/>
    <cellStyle name="_2000 Plan Form_2_KT&amp;G(ID준비)_030601_TYC(affiliates)준비_030623_TYC(affiliates)_PD_030709_TYC(FY05)tttv_030830" xfId="813" xr:uid="{79C143AF-43AF-4265-8CB4-03545997E055}"/>
    <cellStyle name="_2000 Plan Form_2_KT&amp;G(ID준비)_030601_TYC(affiliates)준비_030623_TYC(affiliates)준비_030623" xfId="814" xr:uid="{6B037A4D-B5B8-496D-825E-93654B602E40}"/>
    <cellStyle name="_2000 Plan Form_2_KT&amp;G(ID준비)_030601_TYC(affiliates)준비_030623_TYC(affiliates)준비_030623_TYC(FY05)tttv_030830" xfId="815" xr:uid="{1A2A9A26-25B5-47AD-A279-5438E80DDAEE}"/>
    <cellStyle name="_2000 Plan Form_2_KT&amp;G(ID준비)_030601_TYC(affiliates)준비_030623_TYC(FY05)tttv_030830" xfId="816" xr:uid="{D1FDDB49-7996-45BF-91FB-D25847DBD93E}"/>
    <cellStyle name="_2000 Plan Form_2_KT&amp;G(ID준비)_030601_TYC(FY05)tttv_030830" xfId="817" xr:uid="{4875CADC-46BF-4C66-AE80-F6B723BF0E48}"/>
    <cellStyle name="_2000 Plan Form_2_KT&amp;G(ID준비)_030601_Yuhan(FY05)_031030" xfId="818" xr:uid="{3D79329C-E610-4E76-8841-843F4A2572D9}"/>
    <cellStyle name="_2000 Plan Form_2_Operations" xfId="819" xr:uid="{C9408AF3-4F96-4EDE-9C24-A6A6BC350399}"/>
    <cellStyle name="_2000 Plan Form_2_Report" xfId="820" xr:uid="{82E22120-D350-47A3-99DD-13E2B2F6A181}"/>
    <cellStyle name="_2000 Plan Form_2_Revenues" xfId="821" xr:uid="{D7C3ADA4-0298-4B80-892F-981D07839349}"/>
    <cellStyle name="_2000 Plan Form_2_SK Corp 003600 1" xfId="822" xr:uid="{FD92F972-142F-4EF0-A694-496E1CF99B0C}"/>
    <cellStyle name="_2000 Plan Form_2_SK Incheon" xfId="823" xr:uid="{53AF7FE3-E644-436F-84E8-AD8CD8522C3F}"/>
    <cellStyle name="_2000 Plan Form_2_TYC(affiliates)준비_030623" xfId="824" xr:uid="{8C2BC61C-68B9-4F2D-AAC9-3E840088382E}"/>
    <cellStyle name="_2000 Plan Form_2_TYC(affiliates)준비_030623_TYC(affiliates)_PD_030709" xfId="825" xr:uid="{65BCC0C7-0185-4C9F-B920-BBC04E66CEC3}"/>
    <cellStyle name="_2000 Plan Form_2_TYC(affiliates)준비_030623_TYC(affiliates)_PD_030709_TYC(FY05)tttv_030830" xfId="826" xr:uid="{D8703E9F-6BAB-4479-A76F-5FAE4C0F13DA}"/>
    <cellStyle name="_2000 Plan Form_2_TYC(affiliates)준비_030623_TYC(affiliates)준비_030623" xfId="827" xr:uid="{DAEC53FB-3D5D-497D-9C12-391EE344F995}"/>
    <cellStyle name="_2000 Plan Form_2_TYC(affiliates)준비_030623_TYC(affiliates)준비_030623_TYC(FY05)tttv_030830" xfId="828" xr:uid="{2CF9BBDD-2DF7-4913-9EBB-1AA82C0F7BE3}"/>
    <cellStyle name="_2000 Plan Form_2_TYC(affiliates)준비_030623_TYC(FY05)tttv_030830" xfId="829" xr:uid="{7DFB31BB-ADC8-4B75-A825-699BF37D156C}"/>
    <cellStyle name="_2000 Plan Form_2_TYC(FY05)tttv_030830" xfId="830" xr:uid="{F0F142CC-3631-4EFE-9FA7-971B606354D6}"/>
    <cellStyle name="_2000 Plan Form_2_Yuhan(FY05)_031030" xfId="831" xr:uid="{164DD8B1-0F47-4499-BDD1-DCCCB21BD9D3}"/>
    <cellStyle name="_2000 Plan Form_2_管理本部" xfId="889" xr:uid="{551005BC-6044-4E97-B25C-9899905CA1C7}"/>
    <cellStyle name="_2000 Plan Form_2_管理本部_hhi_IFRS_in progress_Jul 2012" xfId="890" xr:uid="{938D954C-C1F6-4845-861F-DB3B457F0FBE}"/>
    <cellStyle name="_2000 Plan Form_2_管理本部_hhi_IFRS_in progress_Jul 2012 2" xfId="891" xr:uid="{BCEEF3B1-09D8-4FF3-938C-9589F1536BF0}"/>
    <cellStyle name="_2000 Plan Form_2_経費合計" xfId="832" xr:uid="{39C6A383-543E-4305-87D5-34F9BAECC44A}"/>
    <cellStyle name="_2000 Plan Form_2_経費合計_3Q03Results_031030" xfId="833" xr:uid="{10ACF898-D4D3-40F0-B351-DCC6B5539FC5}"/>
    <cellStyle name="_2000 Plan Form_2_経費合計_Datastream" xfId="834" xr:uid="{E6E8F64F-DAB1-4BF8-BC46-76C07864E005}"/>
    <cellStyle name="_2000 Plan Form_2_経費合計_DCF" xfId="835" xr:uid="{E146C03E-3B99-486C-9946-4634DC2147C0}"/>
    <cellStyle name="_2000 Plan Form_2_経費合計_FS-quarterly" xfId="836" xr:uid="{608DCC6C-CAFA-4F23-AD75-FF7150B5CF4F}"/>
    <cellStyle name="_2000 Plan Form_2_経費合計_Hanaro" xfId="837" xr:uid="{6773377C-EB08-4D16-8540-DDDD8BA7433A}"/>
    <cellStyle name="_2000 Plan Form_2_経費合計_KT&amp;G(ID)_PR_030619" xfId="838" xr:uid="{4CD580A8-123C-433D-8459-F99638C9D58C}"/>
    <cellStyle name="_2000 Plan Form_2_経費合計_KT&amp;G(ID)_PR_030619_1" xfId="839" xr:uid="{26670B42-BF21-48AD-83C2-F79C6980889A}"/>
    <cellStyle name="_2000 Plan Form_2_経費合計_KT&amp;G(ID)_PR_030619_1_TYC(affiliates)_PD_030709" xfId="840" xr:uid="{25B3CB56-A7AD-47A3-8537-4E0710EABDAD}"/>
    <cellStyle name="_2000 Plan Form_2_経費合計_KT&amp;G(ID)_PR_030619_1_TYC(affiliates)_PD_030709_TYC(FY05)tttv_030830" xfId="841" xr:uid="{EA083D40-CF8A-463A-92BC-3D17C02CC269}"/>
    <cellStyle name="_2000 Plan Form_2_経費合計_KT&amp;G(ID)_PR_030619_1_TYC(affiliates)준비_030623" xfId="842" xr:uid="{DF32FB67-CD8D-4FC2-8F73-0E79765FEF29}"/>
    <cellStyle name="_2000 Plan Form_2_経費合計_KT&amp;G(ID)_PR_030619_1_TYC(affiliates)준비_030623_TYC(FY05)tttv_030830" xfId="843" xr:uid="{95130A08-50AD-4E9A-9007-471AD32F48B8}"/>
    <cellStyle name="_2000 Plan Form_2_経費合計_KT&amp;G(ID)_PR_030619_1_TYC(FY05)tttv_030830" xfId="844" xr:uid="{BB47CAF6-6A2F-40F6-9A67-A5C58F941A1F}"/>
    <cellStyle name="_2000 Plan Form_2_経費合計_KT&amp;G(ID)_PR_030619_3Q03Results_031030" xfId="845" xr:uid="{8D98CFC7-2B03-44A9-8915-E85237BC163D}"/>
    <cellStyle name="_2000 Plan Form_2_経費合計_KT&amp;G(ID)_PR_030619_KT&amp;G(ID)_PR_030619" xfId="846" xr:uid="{A3220CED-5B6A-40F9-9B57-6845798B16E9}"/>
    <cellStyle name="_2000 Plan Form_2_経費合計_KT&amp;G(ID)_PR_030619_KT&amp;G(ID)_PR_030619_TYC(affiliates)_PD_030709" xfId="847" xr:uid="{D8F849F5-5A34-414D-A479-90ECADDCA2C0}"/>
    <cellStyle name="_2000 Plan Form_2_経費合計_KT&amp;G(ID)_PR_030619_KT&amp;G(ID)_PR_030619_TYC(affiliates)_PD_030709_TYC(FY05)tttv_030830" xfId="848" xr:uid="{F2FEF5D6-A28A-464A-9087-48FFFA99E4D1}"/>
    <cellStyle name="_2000 Plan Form_2_経費合計_KT&amp;G(ID)_PR_030619_KT&amp;G(ID)_PR_030619_TYC(affiliates)준비_030623" xfId="849" xr:uid="{6806149B-26B2-49E3-AD4B-31EFE6C45F88}"/>
    <cellStyle name="_2000 Plan Form_2_経費合計_KT&amp;G(ID)_PR_030619_KT&amp;G(ID)_PR_030619_TYC(affiliates)준비_030623_TYC(FY05)tttv_030830" xfId="850" xr:uid="{4D822132-2FF0-4483-B084-0B1381E401E0}"/>
    <cellStyle name="_2000 Plan Form_2_経費合計_KT&amp;G(ID)_PR_030619_KT&amp;G(ID)_PR_030619_TYC(FY05)tttv_030830" xfId="851" xr:uid="{325261B5-C4F1-4E02-BFEA-AAE06438DF0C}"/>
    <cellStyle name="_2000 Plan Form_2_経費合計_KT&amp;G(ID)_PR_030619_TYC(affiliates)준비_030623" xfId="852" xr:uid="{14C08759-9F6C-4535-9E24-370AE4C2EF3A}"/>
    <cellStyle name="_2000 Plan Form_2_経費合計_KT&amp;G(ID)_PR_030619_TYC(affiliates)준비_030623_TYC(affiliates)_PD_030709" xfId="853" xr:uid="{3A40E4FD-A793-45EE-A84E-61FF5D266D8A}"/>
    <cellStyle name="_2000 Plan Form_2_経費合計_KT&amp;G(ID)_PR_030619_TYC(affiliates)준비_030623_TYC(affiliates)_PD_030709_TYC(FY05)tttv_030830" xfId="854" xr:uid="{E44DC193-067D-436A-9508-AAC6957EE0A1}"/>
    <cellStyle name="_2000 Plan Form_2_経費合計_KT&amp;G(ID)_PR_030619_TYC(affiliates)준비_030623_TYC(affiliates)준비_030623" xfId="855" xr:uid="{D70F5DA2-BE47-4EA7-9C31-418D3F4D7573}"/>
    <cellStyle name="_2000 Plan Form_2_経費合計_KT&amp;G(ID)_PR_030619_TYC(affiliates)준비_030623_TYC(affiliates)준비_030623_TYC(FY05)tttv_030830" xfId="856" xr:uid="{6EC9608C-A540-4002-8774-AB1240EAA3A2}"/>
    <cellStyle name="_2000 Plan Form_2_経費合計_KT&amp;G(ID)_PR_030619_TYC(affiliates)준비_030623_TYC(FY05)tttv_030830" xfId="857" xr:uid="{2ABD8319-A9B6-4B13-9310-BDEA71F137CA}"/>
    <cellStyle name="_2000 Plan Form_2_経費合計_KT&amp;G(ID)_PR_030619_TYC(FY05)tttv_030830" xfId="858" xr:uid="{9483777F-13CA-46FB-9693-D1D9CE6E30AC}"/>
    <cellStyle name="_2000 Plan Form_2_経費合計_KT&amp;G(ID)_PR_030619_Yuhan(FY05)_031030" xfId="859" xr:uid="{866C4F93-7C32-4ECD-8867-D3F816EBB74E}"/>
    <cellStyle name="_2000 Plan Form_2_経費合計_KT&amp;G(ID준비)_030601" xfId="860" xr:uid="{3E66F28D-F011-4A31-8247-C83DA603E6C8}"/>
    <cellStyle name="_2000 Plan Form_2_経費合計_KT&amp;G(ID준비)_030601_3Q03Results_031030" xfId="861" xr:uid="{57DED021-915C-4FAC-BFEE-F3F6FC35C468}"/>
    <cellStyle name="_2000 Plan Form_2_経費合計_KT&amp;G(ID준비)_030601_KT&amp;G(ID)_PR_030619" xfId="862" xr:uid="{914744BA-275E-4914-8B45-87A3037D35EF}"/>
    <cellStyle name="_2000 Plan Form_2_経費合計_KT&amp;G(ID준비)_030601_KT&amp;G(ID)_PR_030619_TYC(affiliates)_PD_030709" xfId="863" xr:uid="{88B7B1BC-6AFA-4F3A-97C7-012DEE85B2D6}"/>
    <cellStyle name="_2000 Plan Form_2_経費合計_KT&amp;G(ID준비)_030601_KT&amp;G(ID)_PR_030619_TYC(affiliates)_PD_030709_TYC(FY05)tttv_030830" xfId="864" xr:uid="{C445E0D3-633D-4BEB-B6CC-6647A248654F}"/>
    <cellStyle name="_2000 Plan Form_2_経費合計_KT&amp;G(ID준비)_030601_KT&amp;G(ID)_PR_030619_TYC(affiliates)준비_030623" xfId="865" xr:uid="{E78681F0-40C7-4269-B0EA-A698349C5551}"/>
    <cellStyle name="_2000 Plan Form_2_経費合計_KT&amp;G(ID준비)_030601_KT&amp;G(ID)_PR_030619_TYC(affiliates)준비_030623_TYC(FY05)tttv_030830" xfId="866" xr:uid="{B2A6195C-747B-43E8-AE83-EB8BD556A306}"/>
    <cellStyle name="_2000 Plan Form_2_経費合計_KT&amp;G(ID준비)_030601_KT&amp;G(ID)_PR_030619_TYC(FY05)tttv_030830" xfId="867" xr:uid="{9E7EF28C-232F-4DCE-A7EE-14A7D5D9EB45}"/>
    <cellStyle name="_2000 Plan Form_2_経費合計_KT&amp;G(ID준비)_030601_TYC(affiliates)준비_030623" xfId="868" xr:uid="{6AAD4CFC-8631-4216-B849-ABFE5D465AA7}"/>
    <cellStyle name="_2000 Plan Form_2_経費合計_KT&amp;G(ID준비)_030601_TYC(affiliates)준비_030623_TYC(affiliates)_PD_030709" xfId="869" xr:uid="{9B4FB351-5041-4A2F-BAD9-C42C230D9994}"/>
    <cellStyle name="_2000 Plan Form_2_経費合計_KT&amp;G(ID준비)_030601_TYC(affiliates)준비_030623_TYC(affiliates)_PD_030709_TYC(FY05)tttv_030830" xfId="870" xr:uid="{9112C143-6F5D-4F7E-B918-AFB74B42EDFC}"/>
    <cellStyle name="_2000 Plan Form_2_経費合計_KT&amp;G(ID준비)_030601_TYC(affiliates)준비_030623_TYC(affiliates)준비_030623" xfId="871" xr:uid="{0D5D5158-D314-473E-B328-7CEA52FD11C8}"/>
    <cellStyle name="_2000 Plan Form_2_経費合計_KT&amp;G(ID준비)_030601_TYC(affiliates)준비_030623_TYC(affiliates)준비_030623_TYC(FY05)tttv_030830" xfId="872" xr:uid="{EA069D34-3A4C-4D71-A2F9-CB06181DDFBA}"/>
    <cellStyle name="_2000 Plan Form_2_経費合計_KT&amp;G(ID준비)_030601_TYC(affiliates)준비_030623_TYC(FY05)tttv_030830" xfId="873" xr:uid="{B0289AD2-3980-4A63-B202-9C3B2CECF5A1}"/>
    <cellStyle name="_2000 Plan Form_2_経費合計_KT&amp;G(ID준비)_030601_TYC(FY05)tttv_030830" xfId="874" xr:uid="{E7862097-974C-4A86-81A9-60073833E6A7}"/>
    <cellStyle name="_2000 Plan Form_2_経費合計_KT&amp;G(ID준비)_030601_Yuhan(FY05)_031030" xfId="875" xr:uid="{27E490AC-2D5F-4F28-9F2F-7E677C3C38CD}"/>
    <cellStyle name="_2000 Plan Form_2_経費合計_Operations" xfId="876" xr:uid="{256196D2-B69C-4DAC-8117-BEBD41A1D347}"/>
    <cellStyle name="_2000 Plan Form_2_経費合計_Report" xfId="877" xr:uid="{753F5C96-6683-41BD-9AAF-4B795DEFF10F}"/>
    <cellStyle name="_2000 Plan Form_2_経費合計_Revenues" xfId="878" xr:uid="{D14026AE-B3CF-4F69-9887-53A79B7048F3}"/>
    <cellStyle name="_2000 Plan Form_2_経費合計_SK Corp 003600 1" xfId="879" xr:uid="{846F3218-20EE-4164-8C9F-389D1085E4CD}"/>
    <cellStyle name="_2000 Plan Form_2_経費合計_SK Incheon" xfId="880" xr:uid="{75709909-DDD8-43A7-B024-3664BF85CB93}"/>
    <cellStyle name="_2000 Plan Form_2_経費合計_TYC(affiliates)준비_030623" xfId="881" xr:uid="{3CF81779-7B94-43BC-9F58-B47BFCCA1EC3}"/>
    <cellStyle name="_2000 Plan Form_2_経費合計_TYC(affiliates)준비_030623_TYC(affiliates)_PD_030709" xfId="882" xr:uid="{D2FD53FC-6D4D-4D3B-8F99-1E0D3067CE70}"/>
    <cellStyle name="_2000 Plan Form_2_経費合計_TYC(affiliates)준비_030623_TYC(affiliates)_PD_030709_TYC(FY05)tttv_030830" xfId="883" xr:uid="{889AA755-3C70-4CEA-9807-F40F2348140A}"/>
    <cellStyle name="_2000 Plan Form_2_経費合計_TYC(affiliates)준비_030623_TYC(affiliates)준비_030623" xfId="884" xr:uid="{A684C064-EAAA-4781-965C-2F92339F67BF}"/>
    <cellStyle name="_2000 Plan Form_2_経費合計_TYC(affiliates)준비_030623_TYC(affiliates)준비_030623_TYC(FY05)tttv_030830" xfId="885" xr:uid="{A06AB028-1755-4A7B-8FE8-0D968C5AE339}"/>
    <cellStyle name="_2000 Plan Form_2_経費合計_TYC(affiliates)준비_030623_TYC(FY05)tttv_030830" xfId="886" xr:uid="{14D4AF65-4992-4A61-884F-44F40B231DFC}"/>
    <cellStyle name="_2000 Plan Form_2_経費合計_TYC(FY05)tttv_030830" xfId="887" xr:uid="{A78F38EA-6F6F-4D24-80E3-30BBE01275A1}"/>
    <cellStyle name="_2000 Plan Form_2_経費合計_Yuhan(FY05)_031030" xfId="888" xr:uid="{23B3B09B-0A8C-4EA3-9D5A-AE8ED06490B2}"/>
    <cellStyle name="_2000 Plan Form_2_線路" xfId="892" xr:uid="{1E2BC481-FF96-48E5-B346-591696731A3B}"/>
    <cellStyle name="_2000 Plan Form_2_線路_hhi_IFRS_in progress_Jul 2012" xfId="893" xr:uid="{95C9438E-24FE-4FCA-8DEA-E886B34D91DE}"/>
    <cellStyle name="_2000 Plan Form_2_線路_hhi_IFRS_in progress_Jul 2012 2" xfId="894" xr:uid="{62E874AF-FC4A-4CBE-AC36-47945D74E45C}"/>
    <cellStyle name="_2000 Plan Form_2000 Plan Form1" xfId="895" xr:uid="{29D8D73F-0EE4-4066-9F3F-4179181C5306}"/>
    <cellStyle name="_2000 Plan Form_2000 Plan Form1_hhi_IFRS_in progress_Jul 2012" xfId="896" xr:uid="{1918B7AE-A3FC-4FFF-9370-2843A98AF5F2}"/>
    <cellStyle name="_2000 Plan Form_2000 Plan Form1_hhi_IFRS_in progress_Jul 2012 2" xfId="897" xr:uid="{E296B2B3-49A7-462D-A313-A1DED7C0DB0A}"/>
    <cellStyle name="_2000 Plan Form_3" xfId="898" xr:uid="{4F8FCFFA-1BDC-42C0-9B8C-50848D9A9984}"/>
    <cellStyle name="_2000 Plan Form_3_2000 Plan Form1" xfId="899" xr:uid="{CF0690FB-DDC7-4B35-99C8-B636DB53F2F7}"/>
    <cellStyle name="_2000 Plan Form_3_2000 Plan Form1_hhi_IFRS_in progress_Jul 2012" xfId="900" xr:uid="{6864237A-8981-4C16-9ACD-4CDD122675C7}"/>
    <cellStyle name="_2000 Plan Form_3_2000 Plan Form1_hhi_IFRS_in progress_Jul 2012 2" xfId="901" xr:uid="{99C4E1D3-30FB-4B23-A559-D5B7CB107EB9}"/>
    <cellStyle name="_2000 Plan Form_3_hhi_IFRS_in progress_Jul 2012" xfId="902" xr:uid="{46E72C44-F35D-45A2-911F-DCAA4BA95B67}"/>
    <cellStyle name="_2000 Plan Form_3_hhi_IFRS_in progress_Jul 2012 2" xfId="903" xr:uid="{B3B00F3A-AD59-47AD-B56F-5F2881A30586}"/>
    <cellStyle name="_2000 Plan Form_3_管理本部" xfId="907" xr:uid="{95336729-8961-4E27-A0D9-9419177B6A14}"/>
    <cellStyle name="_2000 Plan Form_3_管理本部_hhi_IFRS_in progress_Jul 2012" xfId="908" xr:uid="{8F818F16-7E42-4572-937F-F13798C84DD0}"/>
    <cellStyle name="_2000 Plan Form_3_管理本部_hhi_IFRS_in progress_Jul 2012 2" xfId="909" xr:uid="{821B4D21-7A9A-4EE2-906B-36776105367D}"/>
    <cellStyle name="_2000 Plan Form_3_経費合計" xfId="904" xr:uid="{B44FFE65-6DAC-4092-94C0-C69D73474C5D}"/>
    <cellStyle name="_2000 Plan Form_3_経費合計_hhi_IFRS_in progress_Jul 2012" xfId="905" xr:uid="{106A8161-614C-48DF-AD74-578B09ED47CF}"/>
    <cellStyle name="_2000 Plan Form_3_経費合計_hhi_IFRS_in progress_Jul 2012 2" xfId="906" xr:uid="{82D82BB7-0B98-44D5-9C3D-1B89EB83FB0C}"/>
    <cellStyle name="_2000 Plan Form_3_線路" xfId="910" xr:uid="{DE4D1FB8-F506-4654-897F-2651DA898019}"/>
    <cellStyle name="_2000 Plan Form_3_線路_hhi_IFRS_in progress_Jul 2012" xfId="911" xr:uid="{8158F45D-B8A1-47C7-8411-54A47330E06A}"/>
    <cellStyle name="_2000 Plan Form_3_線路_hhi_IFRS_in progress_Jul 2012 2" xfId="912" xr:uid="{C69C4D93-C256-4FCB-98F1-0E52983D2020}"/>
    <cellStyle name="_2000 Plan Form_4" xfId="913" xr:uid="{D559A2BB-8AE6-4E78-A013-9B4CBEE259B2}"/>
    <cellStyle name="_2000 Plan Form_4_2000 Plan Form1" xfId="914" xr:uid="{28E4C972-C295-4B82-94BB-ABEE54F5F1B7}"/>
    <cellStyle name="_2000 Plan Form_4_2000 Plan Form1_AmorePacific (090430)_MacQ_JiEun_2010_new" xfId="915" xr:uid="{F3329A32-FA0A-4E7C-B295-C2F4619FC609}"/>
    <cellStyle name="_2000 Plan Form_4_2000 Plan Form1_AmorePacific (090430)_MacQ_JiEun_2010_new 2" xfId="916" xr:uid="{4D0C1B9B-1087-41D4-AE92-2BE08C0002B5}"/>
    <cellStyle name="_2000 Plan Form_4_2000 Plan Form1_AmorePacific (090430)_MacQ_JiEun_2010_new_Hi-mart model for Alison (5 July 2011)" xfId="917" xr:uid="{2C399E96-6F58-4EA8-9CD1-49C05B3E610A}"/>
    <cellStyle name="_2000 Plan Form_4_2000 Plan Form1_HDS (069960 KS)_MacQ_2010" xfId="918" xr:uid="{E7913467-3487-4791-8628-25BFB609F6C9}"/>
    <cellStyle name="_2000 Plan Form_4_2000 Plan Form1_HDS (069960 KS)_MacQ_2010 2" xfId="919" xr:uid="{F549DD7D-847C-4F05-AA28-41E093B88A57}"/>
    <cellStyle name="_2000 Plan Form_4_2000 Plan Form1_HDS (069960 KS)_MacQ_2010_Hi-mart model for Alison (5 July 2011)" xfId="920" xr:uid="{9569B1BE-AE96-4302-B95A-BD105AC5CDC7}"/>
    <cellStyle name="_2000 Plan Form_4_hhi_IFRS_in progress_Jul 2012" xfId="921" xr:uid="{38C636C1-45F7-4536-863C-CF6B8E3356CF}"/>
    <cellStyle name="_2000 Plan Form_4_hhi_IFRS_in progress_Jul 2012 2" xfId="922" xr:uid="{468D33E0-EA04-45A9-9BF8-AE738ED0E40A}"/>
    <cellStyle name="_2000 Plan Form_4_管理本部" xfId="926" xr:uid="{F31A3FCC-15B3-4E48-AC8F-9FBD017783ED}"/>
    <cellStyle name="_2000 Plan Form_4_管理本部_AmorePacific (090430)_MacQ_JiEun_2010_new" xfId="927" xr:uid="{12FB452C-7A0C-41E8-ADD1-01316002832F}"/>
    <cellStyle name="_2000 Plan Form_4_管理本部_AmorePacific (090430)_MacQ_JiEun_2010_new 2" xfId="928" xr:uid="{A9BCB0F4-E2C1-40B1-B503-5E298AE6D098}"/>
    <cellStyle name="_2000 Plan Form_4_管理本部_AmorePacific (090430)_MacQ_JiEun_2010_new_Hi-mart model for Alison (5 July 2011)" xfId="929" xr:uid="{554C6F74-3045-41DF-A81B-78797142FD8E}"/>
    <cellStyle name="_2000 Plan Form_4_管理本部_HDS (069960 KS)_MacQ_2010" xfId="930" xr:uid="{B03742DE-167A-4304-89DF-60B7643D6B38}"/>
    <cellStyle name="_2000 Plan Form_4_管理本部_HDS (069960 KS)_MacQ_2010 2" xfId="931" xr:uid="{2829D2EC-C3AB-4E93-80A6-9F437791F013}"/>
    <cellStyle name="_2000 Plan Form_4_管理本部_HDS (069960 KS)_MacQ_2010_Hi-mart model for Alison (5 July 2011)" xfId="932" xr:uid="{E0CADB29-C39E-4266-9083-AC14786D8115}"/>
    <cellStyle name="_2000 Plan Form_4_経費合計" xfId="923" xr:uid="{1B553C8A-ACA6-450E-8197-02BDAA7FB2ED}"/>
    <cellStyle name="_2000 Plan Form_4_経費合計_hhi_IFRS_in progress_Jul 2012" xfId="924" xr:uid="{D5789491-C212-4A8E-BCE7-12FFE96537DC}"/>
    <cellStyle name="_2000 Plan Form_4_経費合計_hhi_IFRS_in progress_Jul 2012 2" xfId="925" xr:uid="{BF957F8A-7068-4AE9-80BA-A24F0339EDD2}"/>
    <cellStyle name="_2000 Plan Form_4_線路" xfId="933" xr:uid="{3250A605-5798-497E-BFB4-A62626875AE4}"/>
    <cellStyle name="_2000 Plan Form_4_線路_AmorePacific (090430)_MacQ_JiEun_2010_new" xfId="934" xr:uid="{C4DC517B-CB54-4269-BC87-ABBA3410923E}"/>
    <cellStyle name="_2000 Plan Form_4_線路_AmorePacific (090430)_MacQ_JiEun_2010_new 2" xfId="935" xr:uid="{194A7E16-71A7-4551-A031-723428DDE0AC}"/>
    <cellStyle name="_2000 Plan Form_4_線路_AmorePacific (090430)_MacQ_JiEun_2010_new_Hi-mart model for Alison (5 July 2011)" xfId="936" xr:uid="{CAFC9177-C8C1-4C8A-9D01-794E694CB99A}"/>
    <cellStyle name="_2000 Plan Form_4_線路_HDS (069960 KS)_MacQ_2010" xfId="937" xr:uid="{9E1020A3-93B9-4480-8FEC-D8866CCB9594}"/>
    <cellStyle name="_2000 Plan Form_4_線路_HDS (069960 KS)_MacQ_2010 2" xfId="938" xr:uid="{F6434F8F-45CB-4444-B42E-E63A961650C3}"/>
    <cellStyle name="_2000 Plan Form_4_線路_HDS (069960 KS)_MacQ_2010_Hi-mart model for Alison (5 July 2011)" xfId="939" xr:uid="{D474901C-D69E-4E75-9538-0E195B98F52D}"/>
    <cellStyle name="_2000 Plan Form_5" xfId="940" xr:uid="{1870B3FD-2F3A-4163-B6D5-AD7573D32C92}"/>
    <cellStyle name="_2000 Plan Form_5_2000 Plan Form1" xfId="941" xr:uid="{3FFC9154-4CC2-4AB6-A52F-926C6C3FBBAC}"/>
    <cellStyle name="_2000 Plan Form_5_2000 Plan Form1_3Q03Results_031030" xfId="942" xr:uid="{27F47242-DF63-4E21-91E1-D558786BBDE1}"/>
    <cellStyle name="_2000 Plan Form_5_2000 Plan Form1_Datastream" xfId="943" xr:uid="{0AD34F1A-F597-449F-8D66-1B81C8D872D1}"/>
    <cellStyle name="_2000 Plan Form_5_2000 Plan Form1_DCF" xfId="944" xr:uid="{1B7427A8-FF11-42C2-BA5E-2ED6824B257F}"/>
    <cellStyle name="_2000 Plan Form_5_2000 Plan Form1_FS-quarterly" xfId="945" xr:uid="{F6B6A5D3-5C43-41FA-AFF5-3926306C818D}"/>
    <cellStyle name="_2000 Plan Form_5_2000 Plan Form1_Hanaro" xfId="946" xr:uid="{3B0B839A-710B-47F4-A732-2550D5EECECB}"/>
    <cellStyle name="_2000 Plan Form_5_2000 Plan Form1_KT&amp;G(ID)_PR_030619" xfId="947" xr:uid="{8BD25E84-3A9A-47F0-B466-455946BE65EF}"/>
    <cellStyle name="_2000 Plan Form_5_2000 Plan Form1_KT&amp;G(ID)_PR_030619_1" xfId="948" xr:uid="{8EA93C15-A2EC-4398-AF36-17A32950111B}"/>
    <cellStyle name="_2000 Plan Form_5_2000 Plan Form1_KT&amp;G(ID)_PR_030619_1_TYC(affiliates)_PD_030709" xfId="949" xr:uid="{6780D48B-A60D-418C-A244-26D4990D100F}"/>
    <cellStyle name="_2000 Plan Form_5_2000 Plan Form1_KT&amp;G(ID)_PR_030619_1_TYC(affiliates)_PD_030709_TYC(FY05)tttv_030830" xfId="950" xr:uid="{997A73DE-1542-416A-9941-BFB9DD8E3AFA}"/>
    <cellStyle name="_2000 Plan Form_5_2000 Plan Form1_KT&amp;G(ID)_PR_030619_1_TYC(affiliates)준비_030623" xfId="951" xr:uid="{A2A7A974-47D3-4E3A-9C08-FC8C565A4B3B}"/>
    <cellStyle name="_2000 Plan Form_5_2000 Plan Form1_KT&amp;G(ID)_PR_030619_1_TYC(affiliates)준비_030623_TYC(FY05)tttv_030830" xfId="952" xr:uid="{35CAAA1F-FF00-473C-96A9-CC65808E2164}"/>
    <cellStyle name="_2000 Plan Form_5_2000 Plan Form1_KT&amp;G(ID)_PR_030619_1_TYC(FY05)tttv_030830" xfId="953" xr:uid="{40238B1B-4045-4AB7-BD8B-69B450FAD5DF}"/>
    <cellStyle name="_2000 Plan Form_5_2000 Plan Form1_KT&amp;G(ID)_PR_030619_3Q03Results_031030" xfId="954" xr:uid="{31A25DA9-EC6F-49AD-A334-1E84B780D85B}"/>
    <cellStyle name="_2000 Plan Form_5_2000 Plan Form1_KT&amp;G(ID)_PR_030619_KT&amp;G(ID)_PR_030619" xfId="955" xr:uid="{44BAB795-658F-44E1-B473-6094506860D3}"/>
    <cellStyle name="_2000 Plan Form_5_2000 Plan Form1_KT&amp;G(ID)_PR_030619_KT&amp;G(ID)_PR_030619_TYC(affiliates)_PD_030709" xfId="956" xr:uid="{835A7A7A-55E5-41C3-8412-7BA6775CC64D}"/>
    <cellStyle name="_2000 Plan Form_5_2000 Plan Form1_KT&amp;G(ID)_PR_030619_KT&amp;G(ID)_PR_030619_TYC(affiliates)_PD_030709_TYC(FY05)tttv_030830" xfId="957" xr:uid="{67343778-B136-4603-BAD0-58572B61329F}"/>
    <cellStyle name="_2000 Plan Form_5_2000 Plan Form1_KT&amp;G(ID)_PR_030619_KT&amp;G(ID)_PR_030619_TYC(affiliates)준비_030623" xfId="958" xr:uid="{0EF70D4C-64CB-4365-84EC-6A64E143FAA8}"/>
    <cellStyle name="_2000 Plan Form_5_2000 Plan Form1_KT&amp;G(ID)_PR_030619_KT&amp;G(ID)_PR_030619_TYC(affiliates)준비_030623_TYC(FY05)tttv_030830" xfId="959" xr:uid="{09106E47-FD12-42B1-91B2-946045649F48}"/>
    <cellStyle name="_2000 Plan Form_5_2000 Plan Form1_KT&amp;G(ID)_PR_030619_KT&amp;G(ID)_PR_030619_TYC(FY05)tttv_030830" xfId="960" xr:uid="{58FBB8B7-B483-4679-A886-C83BB765D455}"/>
    <cellStyle name="_2000 Plan Form_5_2000 Plan Form1_KT&amp;G(ID)_PR_030619_TYC(affiliates)준비_030623" xfId="961" xr:uid="{C48D7BAE-BBC2-4DDE-882F-846644376D09}"/>
    <cellStyle name="_2000 Plan Form_5_2000 Plan Form1_KT&amp;G(ID)_PR_030619_TYC(affiliates)준비_030623_TYC(affiliates)_PD_030709" xfId="962" xr:uid="{ED51A88C-B602-4F47-9607-B20615A8062D}"/>
    <cellStyle name="_2000 Plan Form_5_2000 Plan Form1_KT&amp;G(ID)_PR_030619_TYC(affiliates)준비_030623_TYC(affiliates)_PD_030709_TYC(FY05)tttv_030830" xfId="963" xr:uid="{A91F693C-867F-4549-AAEE-448587FF84E7}"/>
    <cellStyle name="_2000 Plan Form_5_2000 Plan Form1_KT&amp;G(ID)_PR_030619_TYC(affiliates)준비_030623_TYC(affiliates)준비_030623" xfId="964" xr:uid="{4405E71C-10F0-4905-B3E4-0E11297FF060}"/>
    <cellStyle name="_2000 Plan Form_5_2000 Plan Form1_KT&amp;G(ID)_PR_030619_TYC(affiliates)준비_030623_TYC(affiliates)준비_030623_TYC(FY05)tttv_030830" xfId="965" xr:uid="{627A7D2E-A07D-4798-8F64-29D1F2B89E51}"/>
    <cellStyle name="_2000 Plan Form_5_2000 Plan Form1_KT&amp;G(ID)_PR_030619_TYC(affiliates)준비_030623_TYC(FY05)tttv_030830" xfId="966" xr:uid="{8A8FEA5D-56C7-446C-8626-EAE756AEF931}"/>
    <cellStyle name="_2000 Plan Form_5_2000 Plan Form1_KT&amp;G(ID)_PR_030619_TYC(FY05)tttv_030830" xfId="967" xr:uid="{EDF040D9-F84A-443E-825E-A900C7B467AF}"/>
    <cellStyle name="_2000 Plan Form_5_2000 Plan Form1_KT&amp;G(ID)_PR_030619_Yuhan(FY05)_031030" xfId="968" xr:uid="{681A29B4-938D-450A-8114-AB89AC98B029}"/>
    <cellStyle name="_2000 Plan Form_5_2000 Plan Form1_KT&amp;G(ID준비)_030601" xfId="969" xr:uid="{AAD35C8B-078D-452F-A52D-ED6539DDE29F}"/>
    <cellStyle name="_2000 Plan Form_5_2000 Plan Form1_KT&amp;G(ID준비)_030601_3Q03Results_031030" xfId="970" xr:uid="{D839DD65-45F4-4085-B43F-AC7FC3D04E8B}"/>
    <cellStyle name="_2000 Plan Form_5_2000 Plan Form1_KT&amp;G(ID준비)_030601_KT&amp;G(ID)_PR_030619" xfId="971" xr:uid="{D8C1BDEC-6193-4AD1-86FD-B20662F35AAB}"/>
    <cellStyle name="_2000 Plan Form_5_2000 Plan Form1_KT&amp;G(ID준비)_030601_KT&amp;G(ID)_PR_030619_TYC(affiliates)_PD_030709" xfId="972" xr:uid="{45CA6FAB-3925-410C-9DF6-BB76C9D8F575}"/>
    <cellStyle name="_2000 Plan Form_5_2000 Plan Form1_KT&amp;G(ID준비)_030601_KT&amp;G(ID)_PR_030619_TYC(affiliates)_PD_030709_TYC(FY05)tttv_030830" xfId="973" xr:uid="{E7BBB1CB-81CA-4615-912B-6F22D066B900}"/>
    <cellStyle name="_2000 Plan Form_5_2000 Plan Form1_KT&amp;G(ID준비)_030601_KT&amp;G(ID)_PR_030619_TYC(affiliates)준비_030623" xfId="974" xr:uid="{00CAFB6B-D584-4E34-A694-42AC7FAF1FD3}"/>
    <cellStyle name="_2000 Plan Form_5_2000 Plan Form1_KT&amp;G(ID준비)_030601_KT&amp;G(ID)_PR_030619_TYC(affiliates)준비_030623_TYC(FY05)tttv_030830" xfId="975" xr:uid="{23DAAACD-0715-43EC-A8BB-839DE204723F}"/>
    <cellStyle name="_2000 Plan Form_5_2000 Plan Form1_KT&amp;G(ID준비)_030601_KT&amp;G(ID)_PR_030619_TYC(FY05)tttv_030830" xfId="976" xr:uid="{7E2961BE-5E25-4177-BF1F-3A82FCB9E8A5}"/>
    <cellStyle name="_2000 Plan Form_5_2000 Plan Form1_KT&amp;G(ID준비)_030601_TYC(affiliates)준비_030623" xfId="977" xr:uid="{98037080-ABC6-4F0F-88CC-804942E1EE32}"/>
    <cellStyle name="_2000 Plan Form_5_2000 Plan Form1_KT&amp;G(ID준비)_030601_TYC(affiliates)준비_030623_TYC(affiliates)_PD_030709" xfId="978" xr:uid="{8E949805-98EF-4C18-8B89-8F122999D18A}"/>
    <cellStyle name="_2000 Plan Form_5_2000 Plan Form1_KT&amp;G(ID준비)_030601_TYC(affiliates)준비_030623_TYC(affiliates)_PD_030709_TYC(FY05)tttv_030830" xfId="979" xr:uid="{5C76B8E8-1DD5-4201-9296-CBA67EB4A0C6}"/>
    <cellStyle name="_2000 Plan Form_5_2000 Plan Form1_KT&amp;G(ID준비)_030601_TYC(affiliates)준비_030623_TYC(affiliates)준비_030623" xfId="980" xr:uid="{14003F85-2BA1-47FB-8B4A-F97C4395C45F}"/>
    <cellStyle name="_2000 Plan Form_5_2000 Plan Form1_KT&amp;G(ID준비)_030601_TYC(affiliates)준비_030623_TYC(affiliates)준비_030623_TYC(FY05)tttv_030830" xfId="981" xr:uid="{AB6174E2-60DC-4B42-84CD-0EED452896B2}"/>
    <cellStyle name="_2000 Plan Form_5_2000 Plan Form1_KT&amp;G(ID준비)_030601_TYC(affiliates)준비_030623_TYC(FY05)tttv_030830" xfId="982" xr:uid="{D3D51310-C1A9-43B6-A98B-1339763844CB}"/>
    <cellStyle name="_2000 Plan Form_5_2000 Plan Form1_KT&amp;G(ID준비)_030601_TYC(FY05)tttv_030830" xfId="983" xr:uid="{5FCF270C-9B8E-4FA0-B682-25216A086DBC}"/>
    <cellStyle name="_2000 Plan Form_5_2000 Plan Form1_KT&amp;G(ID준비)_030601_Yuhan(FY05)_031030" xfId="984" xr:uid="{FDEDB959-D599-488E-8CA9-22CE8CA34166}"/>
    <cellStyle name="_2000 Plan Form_5_2000 Plan Form1_Operations" xfId="985" xr:uid="{1A42AADC-990F-450A-A8B4-599B7E796844}"/>
    <cellStyle name="_2000 Plan Form_5_2000 Plan Form1_Report" xfId="986" xr:uid="{7144BD59-73EA-4C62-9746-7A830802CD03}"/>
    <cellStyle name="_2000 Plan Form_5_2000 Plan Form1_Revenues" xfId="987" xr:uid="{9AFFAA77-5C8D-441F-839E-DF9C87358066}"/>
    <cellStyle name="_2000 Plan Form_5_2000 Plan Form1_SK Corp 003600 1" xfId="988" xr:uid="{7A3DAB49-0E1B-4D92-AF33-F223DB8FCC97}"/>
    <cellStyle name="_2000 Plan Form_5_2000 Plan Form1_SK Incheon" xfId="989" xr:uid="{5CBC0C3B-5DE0-470D-A723-3A84BCCE0EE4}"/>
    <cellStyle name="_2000 Plan Form_5_2000 Plan Form1_TYC(affiliates)준비_030623" xfId="990" xr:uid="{BB441250-03A1-442E-8157-EB992374B4E1}"/>
    <cellStyle name="_2000 Plan Form_5_2000 Plan Form1_TYC(affiliates)준비_030623_TYC(affiliates)_PD_030709" xfId="991" xr:uid="{5083B7A4-B41F-4FFD-9DB7-58AE163D371E}"/>
    <cellStyle name="_2000 Plan Form_5_2000 Plan Form1_TYC(affiliates)준비_030623_TYC(affiliates)_PD_030709_TYC(FY05)tttv_030830" xfId="992" xr:uid="{141EC285-5202-4049-9E3C-5D058DC91E70}"/>
    <cellStyle name="_2000 Plan Form_5_2000 Plan Form1_TYC(affiliates)준비_030623_TYC(affiliates)준비_030623" xfId="993" xr:uid="{A39F4052-D0E9-41FA-965C-E28FA2B87696}"/>
    <cellStyle name="_2000 Plan Form_5_2000 Plan Form1_TYC(affiliates)준비_030623_TYC(affiliates)준비_030623_TYC(FY05)tttv_030830" xfId="994" xr:uid="{49968637-EDDD-46BE-900F-1842637DEA7F}"/>
    <cellStyle name="_2000 Plan Form_5_2000 Plan Form1_TYC(affiliates)준비_030623_TYC(FY05)tttv_030830" xfId="995" xr:uid="{3E1F1391-9D0A-488B-AFE5-83B99140FCD5}"/>
    <cellStyle name="_2000 Plan Form_5_2000 Plan Form1_TYC(FY05)tttv_030830" xfId="996" xr:uid="{977DCA8D-D9BB-429B-B7B2-85FEFC4B132B}"/>
    <cellStyle name="_2000 Plan Form_5_2000 Plan Form1_Yuhan(FY05)_031030" xfId="997" xr:uid="{0E8B3AF9-9265-4F2D-B49F-13AA95FA0351}"/>
    <cellStyle name="_2000 Plan Form_5_hhi_IFRS_in progress_Jul 2012" xfId="998" xr:uid="{F64DDEC8-EC93-4415-80F9-53BB85FE26C7}"/>
    <cellStyle name="_2000 Plan Form_5_hhi_IFRS_in progress_Jul 2012 2" xfId="999" xr:uid="{E8DA992C-586C-4893-8666-9CE912026D41}"/>
    <cellStyle name="_2000 Plan Form_5_管理本部" xfId="1003" xr:uid="{124C49BE-4A97-47B3-939C-3AADD39682A7}"/>
    <cellStyle name="_2000 Plan Form_5_管理本部_3Q03Results_031030" xfId="1004" xr:uid="{269E972B-DAA9-406A-BD1E-AEE21B1DA439}"/>
    <cellStyle name="_2000 Plan Form_5_管理本部_Datastream" xfId="1005" xr:uid="{BFA758E1-3D9B-4E4E-A863-53509F6884B5}"/>
    <cellStyle name="_2000 Plan Form_5_管理本部_DCF" xfId="1006" xr:uid="{AB13356C-38D4-40F5-9114-378B3E74DD48}"/>
    <cellStyle name="_2000 Plan Form_5_管理本部_FS-quarterly" xfId="1007" xr:uid="{55BE731F-3B07-4AEC-B8E8-1DA05922E5EE}"/>
    <cellStyle name="_2000 Plan Form_5_管理本部_Hanaro" xfId="1008" xr:uid="{582B674F-2285-4618-859C-17F5392927B3}"/>
    <cellStyle name="_2000 Plan Form_5_管理本部_KT&amp;G(ID)_PR_030619" xfId="1009" xr:uid="{559BC4F8-3F53-4C3F-8EBA-3241FE363DC0}"/>
    <cellStyle name="_2000 Plan Form_5_管理本部_KT&amp;G(ID)_PR_030619_1" xfId="1010" xr:uid="{4C1B6332-884B-4988-BEC4-A98813A44460}"/>
    <cellStyle name="_2000 Plan Form_5_管理本部_KT&amp;G(ID)_PR_030619_1_TYC(affiliates)_PD_030709" xfId="1011" xr:uid="{7DFAD2A5-F180-465E-BB76-D2CC3DF7D091}"/>
    <cellStyle name="_2000 Plan Form_5_管理本部_KT&amp;G(ID)_PR_030619_1_TYC(affiliates)_PD_030709_TYC(FY05)tttv_030830" xfId="1012" xr:uid="{701A829C-23F4-42AF-9025-5F80B2FD2291}"/>
    <cellStyle name="_2000 Plan Form_5_管理本部_KT&amp;G(ID)_PR_030619_1_TYC(affiliates)준비_030623" xfId="1013" xr:uid="{57843663-23D8-42CE-A269-88F2645DD0CB}"/>
    <cellStyle name="_2000 Plan Form_5_管理本部_KT&amp;G(ID)_PR_030619_1_TYC(affiliates)준비_030623_TYC(FY05)tttv_030830" xfId="1014" xr:uid="{F0B4C66E-BD36-41AD-8ED2-A35BC699BD74}"/>
    <cellStyle name="_2000 Plan Form_5_管理本部_KT&amp;G(ID)_PR_030619_1_TYC(FY05)tttv_030830" xfId="1015" xr:uid="{CD4586F8-EC67-42CD-A1D6-4A856822A74A}"/>
    <cellStyle name="_2000 Plan Form_5_管理本部_KT&amp;G(ID)_PR_030619_3Q03Results_031030" xfId="1016" xr:uid="{5FECB5AC-47FD-4D91-8EC7-71FD20988805}"/>
    <cellStyle name="_2000 Plan Form_5_管理本部_KT&amp;G(ID)_PR_030619_KT&amp;G(ID)_PR_030619" xfId="1017" xr:uid="{D97F0E70-D29B-4C05-AF09-32ACC448584D}"/>
    <cellStyle name="_2000 Plan Form_5_管理本部_KT&amp;G(ID)_PR_030619_KT&amp;G(ID)_PR_030619_TYC(affiliates)_PD_030709" xfId="1018" xr:uid="{828C6A1A-F8F9-47B0-9708-FC151361C21D}"/>
    <cellStyle name="_2000 Plan Form_5_管理本部_KT&amp;G(ID)_PR_030619_KT&amp;G(ID)_PR_030619_TYC(affiliates)_PD_030709_TYC(FY05)tttv_030830" xfId="1019" xr:uid="{42B91D79-28A2-4D54-8350-CD0C44A721D8}"/>
    <cellStyle name="_2000 Plan Form_5_管理本部_KT&amp;G(ID)_PR_030619_KT&amp;G(ID)_PR_030619_TYC(affiliates)준비_030623" xfId="1020" xr:uid="{0A2F6C3F-FFFC-44B3-8EDD-0A7693DB74B6}"/>
    <cellStyle name="_2000 Plan Form_5_管理本部_KT&amp;G(ID)_PR_030619_KT&amp;G(ID)_PR_030619_TYC(affiliates)준비_030623_TYC(FY05)tttv_030830" xfId="1021" xr:uid="{F62F7AFB-2FB6-4619-A282-D867FAA59F2D}"/>
    <cellStyle name="_2000 Plan Form_5_管理本部_KT&amp;G(ID)_PR_030619_KT&amp;G(ID)_PR_030619_TYC(FY05)tttv_030830" xfId="1022" xr:uid="{74B736F6-0473-4197-B4FB-50D251F48B42}"/>
    <cellStyle name="_2000 Plan Form_5_管理本部_KT&amp;G(ID)_PR_030619_TYC(affiliates)준비_030623" xfId="1023" xr:uid="{9B079D6C-BB49-488E-9E4C-112FF6221247}"/>
    <cellStyle name="_2000 Plan Form_5_管理本部_KT&amp;G(ID)_PR_030619_TYC(affiliates)준비_030623_TYC(affiliates)_PD_030709" xfId="1024" xr:uid="{F42C59A6-4B0F-4D04-8E9A-5EEBE92DCA34}"/>
    <cellStyle name="_2000 Plan Form_5_管理本部_KT&amp;G(ID)_PR_030619_TYC(affiliates)준비_030623_TYC(affiliates)_PD_030709_TYC(FY05)tttv_030830" xfId="1025" xr:uid="{CCB0D633-B0E8-4602-91EC-3962E92C5FE7}"/>
    <cellStyle name="_2000 Plan Form_5_管理本部_KT&amp;G(ID)_PR_030619_TYC(affiliates)준비_030623_TYC(affiliates)준비_030623" xfId="1026" xr:uid="{DF730D78-3930-4CE2-AF6B-F61B44921406}"/>
    <cellStyle name="_2000 Plan Form_5_管理本部_KT&amp;G(ID)_PR_030619_TYC(affiliates)준비_030623_TYC(affiliates)준비_030623_TYC(FY05)tttv_030830" xfId="1027" xr:uid="{D7CCF0A3-22BD-4B96-91A2-A9F003D4B134}"/>
    <cellStyle name="_2000 Plan Form_5_管理本部_KT&amp;G(ID)_PR_030619_TYC(affiliates)준비_030623_TYC(FY05)tttv_030830" xfId="1028" xr:uid="{694470C6-804C-46C1-B7F3-3DD6B1CEC6C1}"/>
    <cellStyle name="_2000 Plan Form_5_管理本部_KT&amp;G(ID)_PR_030619_TYC(FY05)tttv_030830" xfId="1029" xr:uid="{D9BA2B26-DA24-4919-97B6-A5A533AB55AA}"/>
    <cellStyle name="_2000 Plan Form_5_管理本部_KT&amp;G(ID)_PR_030619_Yuhan(FY05)_031030" xfId="1030" xr:uid="{F3DE0A88-D833-434B-B7EA-AB2C4F7F099D}"/>
    <cellStyle name="_2000 Plan Form_5_管理本部_KT&amp;G(ID준비)_030601" xfId="1031" xr:uid="{3D916817-0877-4023-8C60-C0E60BEB179E}"/>
    <cellStyle name="_2000 Plan Form_5_管理本部_KT&amp;G(ID준비)_030601_3Q03Results_031030" xfId="1032" xr:uid="{DAE61E4B-3871-42ED-B27D-8EEE7632E5EB}"/>
    <cellStyle name="_2000 Plan Form_5_管理本部_KT&amp;G(ID준비)_030601_KT&amp;G(ID)_PR_030619" xfId="1033" xr:uid="{E4688B68-26C4-41AA-A58B-249A7529E215}"/>
    <cellStyle name="_2000 Plan Form_5_管理本部_KT&amp;G(ID준비)_030601_KT&amp;G(ID)_PR_030619_TYC(affiliates)_PD_030709" xfId="1034" xr:uid="{D0A4977A-37CA-471F-87C2-28EDC8DAF9A6}"/>
    <cellStyle name="_2000 Plan Form_5_管理本部_KT&amp;G(ID준비)_030601_KT&amp;G(ID)_PR_030619_TYC(affiliates)_PD_030709_TYC(FY05)tttv_030830" xfId="1035" xr:uid="{F04B21F0-D889-43BE-BDDF-93BEF1D463A2}"/>
    <cellStyle name="_2000 Plan Form_5_管理本部_KT&amp;G(ID준비)_030601_KT&amp;G(ID)_PR_030619_TYC(affiliates)준비_030623" xfId="1036" xr:uid="{97232665-A916-445A-B75E-85FAA3A19B36}"/>
    <cellStyle name="_2000 Plan Form_5_管理本部_KT&amp;G(ID준비)_030601_KT&amp;G(ID)_PR_030619_TYC(affiliates)준비_030623_TYC(FY05)tttv_030830" xfId="1037" xr:uid="{59011A9C-62F4-4183-9246-80DEA60A29B6}"/>
    <cellStyle name="_2000 Plan Form_5_管理本部_KT&amp;G(ID준비)_030601_KT&amp;G(ID)_PR_030619_TYC(FY05)tttv_030830" xfId="1038" xr:uid="{9125B825-E2DB-4DB2-B8AC-C10F5CF97DE8}"/>
    <cellStyle name="_2000 Plan Form_5_管理本部_KT&amp;G(ID준비)_030601_TYC(affiliates)준비_030623" xfId="1039" xr:uid="{5873A19D-9D0C-4576-9D0F-E536D3E39D0D}"/>
    <cellStyle name="_2000 Plan Form_5_管理本部_KT&amp;G(ID준비)_030601_TYC(affiliates)준비_030623_TYC(affiliates)_PD_030709" xfId="1040" xr:uid="{E0F99A25-A3E7-4FFE-A314-BA2E17E256AF}"/>
    <cellStyle name="_2000 Plan Form_5_管理本部_KT&amp;G(ID준비)_030601_TYC(affiliates)준비_030623_TYC(affiliates)_PD_030709_TYC(FY05)tttv_030830" xfId="1041" xr:uid="{D8E69E69-B460-41C8-977F-2ADDFC56D7A7}"/>
    <cellStyle name="_2000 Plan Form_5_管理本部_KT&amp;G(ID준비)_030601_TYC(affiliates)준비_030623_TYC(affiliates)준비_030623" xfId="1042" xr:uid="{5D2FF3B7-BD30-4684-AB62-1A4652B22ADB}"/>
    <cellStyle name="_2000 Plan Form_5_管理本部_KT&amp;G(ID준비)_030601_TYC(affiliates)준비_030623_TYC(affiliates)준비_030623_TYC(FY05)tttv_030830" xfId="1043" xr:uid="{125BD438-7AFF-4630-A74C-E4B05AE829DD}"/>
    <cellStyle name="_2000 Plan Form_5_管理本部_KT&amp;G(ID준비)_030601_TYC(affiliates)준비_030623_TYC(FY05)tttv_030830" xfId="1044" xr:uid="{61E6AF42-31E2-4A5F-91E4-07A505E92DEF}"/>
    <cellStyle name="_2000 Plan Form_5_管理本部_KT&amp;G(ID준비)_030601_TYC(FY05)tttv_030830" xfId="1045" xr:uid="{3B3BA41F-C413-4FE1-B105-457440AFECAF}"/>
    <cellStyle name="_2000 Plan Form_5_管理本部_KT&amp;G(ID준비)_030601_Yuhan(FY05)_031030" xfId="1046" xr:uid="{FA7727F6-B8CE-4B79-9E88-22C3C140D513}"/>
    <cellStyle name="_2000 Plan Form_5_管理本部_Operations" xfId="1047" xr:uid="{A6B5E7B5-E27C-41CE-B5D0-8330011F701B}"/>
    <cellStyle name="_2000 Plan Form_5_管理本部_Report" xfId="1048" xr:uid="{4FA5CD2A-4245-4587-BDAB-9F2612904C09}"/>
    <cellStyle name="_2000 Plan Form_5_管理本部_Revenues" xfId="1049" xr:uid="{BD71179A-5497-4519-A082-1B95EDB8050A}"/>
    <cellStyle name="_2000 Plan Form_5_管理本部_SK Corp 003600 1" xfId="1050" xr:uid="{A45E4311-9C2F-4CD1-97B7-86D4415CC2E6}"/>
    <cellStyle name="_2000 Plan Form_5_管理本部_SK Incheon" xfId="1051" xr:uid="{730AB704-1E30-41FA-99EB-8BD1EA84706A}"/>
    <cellStyle name="_2000 Plan Form_5_管理本部_TYC(affiliates)준비_030623" xfId="1052" xr:uid="{1EE278DD-463C-4BF6-853D-D66EFF4B8B05}"/>
    <cellStyle name="_2000 Plan Form_5_管理本部_TYC(affiliates)준비_030623_TYC(affiliates)_PD_030709" xfId="1053" xr:uid="{2A867F84-E642-4C0E-8548-BC9B72589359}"/>
    <cellStyle name="_2000 Plan Form_5_管理本部_TYC(affiliates)준비_030623_TYC(affiliates)_PD_030709_TYC(FY05)tttv_030830" xfId="1054" xr:uid="{72DE3A6D-8845-4072-8DD0-30A5533A4909}"/>
    <cellStyle name="_2000 Plan Form_5_管理本部_TYC(affiliates)준비_030623_TYC(affiliates)준비_030623" xfId="1055" xr:uid="{4DFCA930-2000-47BF-8DDF-DAC19B3FBED6}"/>
    <cellStyle name="_2000 Plan Form_5_管理本部_TYC(affiliates)준비_030623_TYC(affiliates)준비_030623_TYC(FY05)tttv_030830" xfId="1056" xr:uid="{C3395E46-906C-46AC-942D-D83C8EF774AB}"/>
    <cellStyle name="_2000 Plan Form_5_管理本部_TYC(affiliates)준비_030623_TYC(FY05)tttv_030830" xfId="1057" xr:uid="{822FD213-9010-4D46-9AD3-07B15706D234}"/>
    <cellStyle name="_2000 Plan Form_5_管理本部_TYC(FY05)tttv_030830" xfId="1058" xr:uid="{9106C22D-D77A-4916-A4AF-821745FE4A9E}"/>
    <cellStyle name="_2000 Plan Form_5_管理本部_Yuhan(FY05)_031030" xfId="1059" xr:uid="{EDD5A9C1-0857-40F8-98C8-0E727F72C8B6}"/>
    <cellStyle name="_2000 Plan Form_5_経費合計" xfId="1000" xr:uid="{6E5452C5-A17C-4DE6-B174-2CA2A91067AE}"/>
    <cellStyle name="_2000 Plan Form_5_経費合計_hhi_IFRS_in progress_Jul 2012" xfId="1001" xr:uid="{96015AD9-5E2F-4458-8D1B-4513B616F9F1}"/>
    <cellStyle name="_2000 Plan Form_5_経費合計_hhi_IFRS_in progress_Jul 2012 2" xfId="1002" xr:uid="{089FEAC5-70A6-4F82-946D-013C8E411823}"/>
    <cellStyle name="_2000 Plan Form_5_線路" xfId="1060" xr:uid="{4924B0FF-409A-44C9-A7EF-71745A00623F}"/>
    <cellStyle name="_2000 Plan Form_5_線路_3Q03Results_031030" xfId="1061" xr:uid="{6E055FF2-A80A-41EA-926D-D0881B693BCE}"/>
    <cellStyle name="_2000 Plan Form_5_線路_Datastream" xfId="1062" xr:uid="{94447FCC-D613-4CDA-8BA7-C3AB2CFFAC0E}"/>
    <cellStyle name="_2000 Plan Form_5_線路_DCF" xfId="1063" xr:uid="{8DE8CADE-81AF-4138-BEFA-506E5304FF3D}"/>
    <cellStyle name="_2000 Plan Form_5_線路_FS-quarterly" xfId="1064" xr:uid="{23443A45-D4C8-44BD-8AB2-3C5714C298E7}"/>
    <cellStyle name="_2000 Plan Form_5_線路_Hanaro" xfId="1065" xr:uid="{89D3C331-D9ED-4BAA-8704-B3DC29E5C00D}"/>
    <cellStyle name="_2000 Plan Form_5_線路_KT&amp;G(ID)_PR_030619" xfId="1066" xr:uid="{848CB96D-67AF-4033-AA39-08D64341DB2F}"/>
    <cellStyle name="_2000 Plan Form_5_線路_KT&amp;G(ID)_PR_030619_1" xfId="1067" xr:uid="{9A756F8E-421F-405A-99B8-0D5A2661055E}"/>
    <cellStyle name="_2000 Plan Form_5_線路_KT&amp;G(ID)_PR_030619_1_TYC(affiliates)_PD_030709" xfId="1068" xr:uid="{7630A840-F08F-449D-9DFE-471D61E59281}"/>
    <cellStyle name="_2000 Plan Form_5_線路_KT&amp;G(ID)_PR_030619_1_TYC(affiliates)_PD_030709_TYC(FY05)tttv_030830" xfId="1069" xr:uid="{99D92ED8-35C6-4157-A4DE-3BF2ED625E82}"/>
    <cellStyle name="_2000 Plan Form_5_線路_KT&amp;G(ID)_PR_030619_1_TYC(affiliates)준비_030623" xfId="1070" xr:uid="{4D154849-D590-4EDF-A825-6D0FB10658A4}"/>
    <cellStyle name="_2000 Plan Form_5_線路_KT&amp;G(ID)_PR_030619_1_TYC(affiliates)준비_030623_TYC(FY05)tttv_030830" xfId="1071" xr:uid="{71F95233-CD34-4265-B799-33142F5B842E}"/>
    <cellStyle name="_2000 Plan Form_5_線路_KT&amp;G(ID)_PR_030619_1_TYC(FY05)tttv_030830" xfId="1072" xr:uid="{1B5C4F17-E757-4DA9-A7EF-13399D5BBA84}"/>
    <cellStyle name="_2000 Plan Form_5_線路_KT&amp;G(ID)_PR_030619_3Q03Results_031030" xfId="1073" xr:uid="{B587F309-BF08-4C2B-9C01-E6B678D07756}"/>
    <cellStyle name="_2000 Plan Form_5_線路_KT&amp;G(ID)_PR_030619_KT&amp;G(ID)_PR_030619" xfId="1074" xr:uid="{67158030-F0FB-4512-8A66-06456C9CA0BA}"/>
    <cellStyle name="_2000 Plan Form_5_線路_KT&amp;G(ID)_PR_030619_KT&amp;G(ID)_PR_030619_TYC(affiliates)_PD_030709" xfId="1075" xr:uid="{94502677-44A6-4F2A-9B91-1F521CB31D5D}"/>
    <cellStyle name="_2000 Plan Form_5_線路_KT&amp;G(ID)_PR_030619_KT&amp;G(ID)_PR_030619_TYC(affiliates)_PD_030709_TYC(FY05)tttv_030830" xfId="1076" xr:uid="{8462AC10-BA6A-4611-A209-5E71BEF2ECA8}"/>
    <cellStyle name="_2000 Plan Form_5_線路_KT&amp;G(ID)_PR_030619_KT&amp;G(ID)_PR_030619_TYC(affiliates)준비_030623" xfId="1077" xr:uid="{0050F64E-F916-4AF9-B6AC-DBC741707D18}"/>
    <cellStyle name="_2000 Plan Form_5_線路_KT&amp;G(ID)_PR_030619_KT&amp;G(ID)_PR_030619_TYC(affiliates)준비_030623_TYC(FY05)tttv_030830" xfId="1078" xr:uid="{1A94EA56-6F84-499B-AA03-65053907B304}"/>
    <cellStyle name="_2000 Plan Form_5_線路_KT&amp;G(ID)_PR_030619_KT&amp;G(ID)_PR_030619_TYC(FY05)tttv_030830" xfId="1079" xr:uid="{5ADE9E82-2472-4AEA-A42F-C9395F1AB4FA}"/>
    <cellStyle name="_2000 Plan Form_5_線路_KT&amp;G(ID)_PR_030619_TYC(affiliates)준비_030623" xfId="1080" xr:uid="{29E3CF38-FF24-4262-84D4-890676C0D527}"/>
    <cellStyle name="_2000 Plan Form_5_線路_KT&amp;G(ID)_PR_030619_TYC(affiliates)준비_030623_TYC(affiliates)_PD_030709" xfId="1081" xr:uid="{E629D0F3-5424-4C94-9739-0893866D4B10}"/>
    <cellStyle name="_2000 Plan Form_5_線路_KT&amp;G(ID)_PR_030619_TYC(affiliates)준비_030623_TYC(affiliates)_PD_030709_TYC(FY05)tttv_030830" xfId="1082" xr:uid="{C9E3CE41-C1AB-401C-A5B0-149D848BB5BE}"/>
    <cellStyle name="_2000 Plan Form_5_線路_KT&amp;G(ID)_PR_030619_TYC(affiliates)준비_030623_TYC(affiliates)준비_030623" xfId="1083" xr:uid="{2FED6FA7-1C18-4CF8-AF98-9CD74B3D115F}"/>
    <cellStyle name="_2000 Plan Form_5_線路_KT&amp;G(ID)_PR_030619_TYC(affiliates)준비_030623_TYC(affiliates)준비_030623_TYC(FY05)tttv_030830" xfId="1084" xr:uid="{81017733-CBAD-4997-8E15-218B6BC06482}"/>
    <cellStyle name="_2000 Plan Form_5_線路_KT&amp;G(ID)_PR_030619_TYC(affiliates)준비_030623_TYC(FY05)tttv_030830" xfId="1085" xr:uid="{DB9C03C8-B6E7-4228-A5D8-BA4973198E6A}"/>
    <cellStyle name="_2000 Plan Form_5_線路_KT&amp;G(ID)_PR_030619_TYC(FY05)tttv_030830" xfId="1086" xr:uid="{6961AC0A-6010-4A33-BD9E-BADF7D58A64A}"/>
    <cellStyle name="_2000 Plan Form_5_線路_KT&amp;G(ID)_PR_030619_Yuhan(FY05)_031030" xfId="1087" xr:uid="{8A96DE60-4B11-403B-AA46-89D22ED95EF4}"/>
    <cellStyle name="_2000 Plan Form_5_線路_KT&amp;G(ID준비)_030601" xfId="1088" xr:uid="{B269D716-F49D-4E91-B715-FCE266A3B04F}"/>
    <cellStyle name="_2000 Plan Form_5_線路_KT&amp;G(ID준비)_030601_3Q03Results_031030" xfId="1089" xr:uid="{B8F75892-5845-4288-9FE5-74BFE7EF2AE1}"/>
    <cellStyle name="_2000 Plan Form_5_線路_KT&amp;G(ID준비)_030601_KT&amp;G(ID)_PR_030619" xfId="1090" xr:uid="{3A369E8A-D400-406E-8294-15557C703046}"/>
    <cellStyle name="_2000 Plan Form_5_線路_KT&amp;G(ID준비)_030601_KT&amp;G(ID)_PR_030619_TYC(affiliates)_PD_030709" xfId="1091" xr:uid="{92CB679A-62F4-45D5-AC38-C041D5CC7326}"/>
    <cellStyle name="_2000 Plan Form_5_線路_KT&amp;G(ID준비)_030601_KT&amp;G(ID)_PR_030619_TYC(affiliates)_PD_030709_TYC(FY05)tttv_030830" xfId="1092" xr:uid="{56DAC464-AF0B-410A-B471-1639CF81D8C7}"/>
    <cellStyle name="_2000 Plan Form_5_線路_KT&amp;G(ID준비)_030601_KT&amp;G(ID)_PR_030619_TYC(affiliates)준비_030623" xfId="1093" xr:uid="{A383929A-1F86-461E-8592-2E8380F01333}"/>
    <cellStyle name="_2000 Plan Form_5_線路_KT&amp;G(ID준비)_030601_KT&amp;G(ID)_PR_030619_TYC(affiliates)준비_030623_TYC(FY05)tttv_030830" xfId="1094" xr:uid="{B93E9DD8-9E1B-40D5-BE9B-4E7488D8EA53}"/>
    <cellStyle name="_2000 Plan Form_5_線路_KT&amp;G(ID준비)_030601_KT&amp;G(ID)_PR_030619_TYC(FY05)tttv_030830" xfId="1095" xr:uid="{AF1E63BC-C494-49BD-8B3B-78E74A827301}"/>
    <cellStyle name="_2000 Plan Form_5_線路_KT&amp;G(ID준비)_030601_TYC(affiliates)준비_030623" xfId="1096" xr:uid="{C70BE9DD-315D-483A-9E98-3A139AF85988}"/>
    <cellStyle name="_2000 Plan Form_5_線路_KT&amp;G(ID준비)_030601_TYC(affiliates)준비_030623_TYC(affiliates)_PD_030709" xfId="1097" xr:uid="{F8DF7653-F55F-4173-9CDF-D60F841E6831}"/>
    <cellStyle name="_2000 Plan Form_5_線路_KT&amp;G(ID준비)_030601_TYC(affiliates)준비_030623_TYC(affiliates)_PD_030709_TYC(FY05)tttv_030830" xfId="1098" xr:uid="{279C153A-841F-4249-86FA-BF894D36E6D7}"/>
    <cellStyle name="_2000 Plan Form_5_線路_KT&amp;G(ID준비)_030601_TYC(affiliates)준비_030623_TYC(affiliates)준비_030623" xfId="1099" xr:uid="{E1F7311A-59D3-4DF9-9B97-BC04DD6487F9}"/>
    <cellStyle name="_2000 Plan Form_5_線路_KT&amp;G(ID준비)_030601_TYC(affiliates)준비_030623_TYC(affiliates)준비_030623_TYC(FY05)tttv_030830" xfId="1100" xr:uid="{E1D4F55F-3CA6-419B-8EB8-1806236478BC}"/>
    <cellStyle name="_2000 Plan Form_5_線路_KT&amp;G(ID준비)_030601_TYC(affiliates)준비_030623_TYC(FY05)tttv_030830" xfId="1101" xr:uid="{FD860600-BDB8-42BD-9B6F-DB019B685C2B}"/>
    <cellStyle name="_2000 Plan Form_5_線路_KT&amp;G(ID준비)_030601_TYC(FY05)tttv_030830" xfId="1102" xr:uid="{76B5CBC6-6D24-4A79-9DD2-62C311BDEEF7}"/>
    <cellStyle name="_2000 Plan Form_5_線路_KT&amp;G(ID준비)_030601_Yuhan(FY05)_031030" xfId="1103" xr:uid="{DAE2739D-95C2-4E3C-93B0-74567715005D}"/>
    <cellStyle name="_2000 Plan Form_5_線路_Operations" xfId="1104" xr:uid="{BBD69CCE-F784-4EFF-B01B-92FCDA5FB1E3}"/>
    <cellStyle name="_2000 Plan Form_5_線路_Report" xfId="1105" xr:uid="{4DE889C6-0725-45ED-AB3B-5F9093C0303E}"/>
    <cellStyle name="_2000 Plan Form_5_線路_Revenues" xfId="1106" xr:uid="{B1D7AD5B-F1BE-4F23-9485-476D01B9C243}"/>
    <cellStyle name="_2000 Plan Form_5_線路_SK Corp 003600 1" xfId="1107" xr:uid="{70C7F533-1560-46BA-A231-DADF6F49CF55}"/>
    <cellStyle name="_2000 Plan Form_5_線路_SK Incheon" xfId="1108" xr:uid="{110A1AA3-0761-4D82-A9FD-BD343FF2CAB8}"/>
    <cellStyle name="_2000 Plan Form_5_線路_TYC(affiliates)준비_030623" xfId="1109" xr:uid="{EE0F41A7-F5B5-4BC3-AC46-391841C775BA}"/>
    <cellStyle name="_2000 Plan Form_5_線路_TYC(affiliates)준비_030623_TYC(affiliates)_PD_030709" xfId="1110" xr:uid="{DB7B016B-8C94-49B7-BA50-A2E8B1395129}"/>
    <cellStyle name="_2000 Plan Form_5_線路_TYC(affiliates)준비_030623_TYC(affiliates)_PD_030709_TYC(FY05)tttv_030830" xfId="1111" xr:uid="{80B5F7DC-4A52-41D9-ACD2-5AAA50FA6B79}"/>
    <cellStyle name="_2000 Plan Form_5_線路_TYC(affiliates)준비_030623_TYC(affiliates)준비_030623" xfId="1112" xr:uid="{4356A69F-5233-4686-B71A-9D97A3D4F624}"/>
    <cellStyle name="_2000 Plan Form_5_線路_TYC(affiliates)준비_030623_TYC(affiliates)준비_030623_TYC(FY05)tttv_030830" xfId="1113" xr:uid="{F0F45FAC-9D56-467A-B2BF-511AE77F3B41}"/>
    <cellStyle name="_2000 Plan Form_5_線路_TYC(affiliates)준비_030623_TYC(FY05)tttv_030830" xfId="1114" xr:uid="{27C01F41-7FAC-4D18-9301-614AFF77E1EC}"/>
    <cellStyle name="_2000 Plan Form_5_線路_TYC(FY05)tttv_030830" xfId="1115" xr:uid="{89605BE9-7237-4D71-9223-CC2DB476C34F}"/>
    <cellStyle name="_2000 Plan Form_5_線路_Yuhan(FY05)_031030" xfId="1116" xr:uid="{C27A7A43-85DB-418A-9DAE-06C04C72BCF7}"/>
    <cellStyle name="_2000 Plan Form_6" xfId="1117" xr:uid="{A9B5E62B-CACF-476D-B31F-BEDFD547D607}"/>
    <cellStyle name="_2000 Plan Form_6_2000 Plan Form1" xfId="1118" xr:uid="{5746997B-4759-4CE8-B715-17C09D37CA2B}"/>
    <cellStyle name="_2000 Plan Form_6_2000 Plan Form1_hhi_IFRS_in progress_Jul 2012" xfId="1119" xr:uid="{6D61C961-5370-4F1C-9D46-F5833C6A890A}"/>
    <cellStyle name="_2000 Plan Form_6_2000 Plan Form1_hhi_IFRS_in progress_Jul 2012 2" xfId="1120" xr:uid="{F6202E15-5E82-47C6-973A-1F740A6AEF49}"/>
    <cellStyle name="_2000 Plan Form_6_hhi_IFRS_in progress_Jul 2012" xfId="1121" xr:uid="{F9C90F10-B633-45F3-822C-5EB45620D7D3}"/>
    <cellStyle name="_2000 Plan Form_6_hhi_IFRS_in progress_Jul 2012 2" xfId="1122" xr:uid="{A0DAB838-B2F3-4CB9-80AB-1C2C73EBA6EF}"/>
    <cellStyle name="_2000 Plan Form_6_管理本部" xfId="1126" xr:uid="{F96EC61A-3B06-497E-B11F-76FA27674A7F}"/>
    <cellStyle name="_2000 Plan Form_6_管理本部_hhi_IFRS_in progress_Jul 2012" xfId="1127" xr:uid="{69D3FBAA-404E-4E8E-A677-5EC0FD18876A}"/>
    <cellStyle name="_2000 Plan Form_6_管理本部_hhi_IFRS_in progress_Jul 2012 2" xfId="1128" xr:uid="{A40810E2-A43F-4098-8ABF-2E257F7894E5}"/>
    <cellStyle name="_2000 Plan Form_6_経費合計" xfId="1123" xr:uid="{9033D324-87E9-4DCE-83E5-3208044E584E}"/>
    <cellStyle name="_2000 Plan Form_6_経費合計_hhi_IFRS_in progress_Jul 2012" xfId="1124" xr:uid="{5E2FB476-07F2-4B28-8F47-4F3BB87A6A27}"/>
    <cellStyle name="_2000 Plan Form_6_経費合計_hhi_IFRS_in progress_Jul 2012 2" xfId="1125" xr:uid="{9D894CD1-EA2B-4F97-97B6-C467FACF24F7}"/>
    <cellStyle name="_2000 Plan Form_6_線路" xfId="1129" xr:uid="{83A286E1-51B1-40E2-9822-F4AADF99750C}"/>
    <cellStyle name="_2000 Plan Form_6_線路_hhi_IFRS_in progress_Jul 2012" xfId="1130" xr:uid="{2D9B3FC8-63F4-4A85-83A1-0A7BFBB3527A}"/>
    <cellStyle name="_2000 Plan Form_6_線路_hhi_IFRS_in progress_Jul 2012 2" xfId="1131" xr:uid="{3F420684-4268-4FEC-93F7-AC9FD26270BE}"/>
    <cellStyle name="_2000 Plan Form_7" xfId="1132" xr:uid="{6C61BDD2-0852-4192-8C5C-0F93E43EC298}"/>
    <cellStyle name="_2000 Plan Form_7_2000 Plan Form1" xfId="1133" xr:uid="{F614A35B-F5CD-4811-BE47-8F3AB3086F3E}"/>
    <cellStyle name="_2000 Plan Form_7_2000 Plan Form1_hhi_IFRS_in progress_Jul 2012" xfId="1134" xr:uid="{96DD5E53-D0A3-4CE5-9992-2E1F067000E8}"/>
    <cellStyle name="_2000 Plan Form_7_2000 Plan Form1_hhi_IFRS_in progress_Jul 2012 2" xfId="1135" xr:uid="{B518EC5F-8684-4413-B460-1152AD559011}"/>
    <cellStyle name="_2000 Plan Form_7_AmorePacific (090430)_MacQ_JiEun_2010_new" xfId="1136" xr:uid="{9455EBDF-6435-496B-8BC8-6ADC1F16CD25}"/>
    <cellStyle name="_2000 Plan Form_7_AmorePacific (090430)_MacQ_JiEun_2010_new 2" xfId="1137" xr:uid="{2D3D97AD-EBEB-4DB7-9974-14F4F650A06E}"/>
    <cellStyle name="_2000 Plan Form_7_AmorePacific (090430)_MacQ_JiEun_2010_new_Hi-mart model for Alison (5 July 2011)" xfId="1138" xr:uid="{21C0D290-0E23-4B6E-AF1A-AB5C0A4A001A}"/>
    <cellStyle name="_2000 Plan Form_7_HDS (069960 KS)_MacQ_2010" xfId="1139" xr:uid="{B02A901F-8153-4C3A-99E3-59C46E578074}"/>
    <cellStyle name="_2000 Plan Form_7_HDS (069960 KS)_MacQ_2010 2" xfId="1140" xr:uid="{D7902A5D-A1C8-41E0-8D1D-0A140E18E229}"/>
    <cellStyle name="_2000 Plan Form_7_HDS (069960 KS)_MacQ_2010_Hi-mart model for Alison (5 July 2011)" xfId="1141" xr:uid="{AE9763E6-C24C-43BF-8D76-75C162A2D1B0}"/>
    <cellStyle name="_2000 Plan Form_7_管理本部" xfId="1149" xr:uid="{0200040F-1798-41EE-9E02-41B71E911F2F}"/>
    <cellStyle name="_2000 Plan Form_7_管理本部_hhi_IFRS_in progress_Jul 2012" xfId="1150" xr:uid="{6F9CACD7-8F61-47EC-B6FE-AE8E6A989448}"/>
    <cellStyle name="_2000 Plan Form_7_管理本部_hhi_IFRS_in progress_Jul 2012 2" xfId="1151" xr:uid="{A2985306-ADA3-4882-A1CE-FB61416CC0DD}"/>
    <cellStyle name="_2000 Plan Form_7_経費合計" xfId="1142" xr:uid="{12FCE412-1C1D-4FE7-AB52-7D8229E68E55}"/>
    <cellStyle name="_2000 Plan Form_7_経費合計_AmorePacific (090430)_MacQ_JiEun_2010_new" xfId="1143" xr:uid="{0EF5DD98-DD6E-4F37-9745-62023B8F07BD}"/>
    <cellStyle name="_2000 Plan Form_7_経費合計_AmorePacific (090430)_MacQ_JiEun_2010_new 2" xfId="1144" xr:uid="{11261EA9-3E61-447A-B16B-5143E4A19A58}"/>
    <cellStyle name="_2000 Plan Form_7_経費合計_AmorePacific (090430)_MacQ_JiEun_2010_new_Hi-mart model for Alison (5 July 2011)" xfId="1145" xr:uid="{904EB136-3133-467E-8EEB-9E27D5707DF0}"/>
    <cellStyle name="_2000 Plan Form_7_経費合計_HDS (069960 KS)_MacQ_2010" xfId="1146" xr:uid="{B7BDC1F6-DD5D-4D34-AF67-FD0615A50DCF}"/>
    <cellStyle name="_2000 Plan Form_7_経費合計_HDS (069960 KS)_MacQ_2010 2" xfId="1147" xr:uid="{B6D9A635-6A8B-4422-BCD4-9F70697D3FE3}"/>
    <cellStyle name="_2000 Plan Form_7_経費合計_HDS (069960 KS)_MacQ_2010_Hi-mart model for Alison (5 July 2011)" xfId="1148" xr:uid="{F81618B8-E0E8-4A50-B4C4-5036CD9B00D2}"/>
    <cellStyle name="_2000 Plan Form_7_線路" xfId="1152" xr:uid="{EA914816-E30C-4820-BCE2-21E16FE05BCF}"/>
    <cellStyle name="_2000 Plan Form_7_線路_hhi_IFRS_in progress_Jul 2012" xfId="1153" xr:uid="{32685AA8-D885-48BE-B7F7-6B3E577A408E}"/>
    <cellStyle name="_2000 Plan Form_7_線路_hhi_IFRS_in progress_Jul 2012 2" xfId="1154" xr:uid="{A67508CC-303B-4C0C-BF5C-CDCAE92210D7}"/>
    <cellStyle name="_2000 Plan Form_8" xfId="1155" xr:uid="{F1663100-5107-40F7-BE18-A163CF8012FE}"/>
    <cellStyle name="_2000 Plan Form_8_2000 Plan Form1" xfId="1156" xr:uid="{95A05527-CB7C-4547-8EF4-03C54EE3B3DA}"/>
    <cellStyle name="_2000 Plan Form_8_2000 Plan Form1_hhi_IFRS_in progress_Jul 2012" xfId="1157" xr:uid="{AD41F24B-7651-4603-B626-274DBCA075E8}"/>
    <cellStyle name="_2000 Plan Form_8_2000 Plan Form1_hhi_IFRS_in progress_Jul 2012 2" xfId="1158" xr:uid="{C80219A9-AA61-4E8D-AC19-A7D7AF680038}"/>
    <cellStyle name="_2000 Plan Form_8_hhi_IFRS_in progress_Jul 2012" xfId="1159" xr:uid="{2018784C-62F9-455E-985B-7116BF6CDAEC}"/>
    <cellStyle name="_2000 Plan Form_8_hhi_IFRS_in progress_Jul 2012 2" xfId="1160" xr:uid="{67734541-F36E-40FB-8008-8802D986A964}"/>
    <cellStyle name="_2000 Plan Form_8_管理本部" xfId="1164" xr:uid="{E8A829C8-0D5F-46FE-ABC5-BA0FE416A713}"/>
    <cellStyle name="_2000 Plan Form_8_管理本部_hhi_IFRS_in progress_Jul 2012" xfId="1165" xr:uid="{1A5467C6-2B48-4657-B26C-4671807C41A3}"/>
    <cellStyle name="_2000 Plan Form_8_管理本部_hhi_IFRS_in progress_Jul 2012 2" xfId="1166" xr:uid="{DC077B5B-9DB7-4F20-B9B7-9FE35F6DFDAE}"/>
    <cellStyle name="_2000 Plan Form_8_経費合計" xfId="1161" xr:uid="{55CB5911-049A-40A2-8617-BB980A20D6FE}"/>
    <cellStyle name="_2000 Plan Form_8_経費合計_hhi_IFRS_in progress_Jul 2012" xfId="1162" xr:uid="{ED124192-613A-48D7-BC26-CFD5186642E2}"/>
    <cellStyle name="_2000 Plan Form_8_経費合計_hhi_IFRS_in progress_Jul 2012 2" xfId="1163" xr:uid="{C7FC022C-7E5F-47F7-89EF-3143F863CF1C}"/>
    <cellStyle name="_2000 Plan Form_8_線路" xfId="1167" xr:uid="{FF7A52AD-DE17-40F6-A656-AB3C2DE98CD1}"/>
    <cellStyle name="_2000 Plan Form_8_線路_hhi_IFRS_in progress_Jul 2012" xfId="1168" xr:uid="{D7E1B87C-0369-4333-B952-58AE1B58DB78}"/>
    <cellStyle name="_2000 Plan Form_8_線路_hhi_IFRS_in progress_Jul 2012 2" xfId="1169" xr:uid="{EEF6884E-D79B-4DDC-849B-8FD23B78C49F}"/>
    <cellStyle name="_2000 Plan Form_9" xfId="1170" xr:uid="{92D01889-FEE0-4B3A-9358-B5CB37748CFA}"/>
    <cellStyle name="_2000 Plan Form_9_2000 Plan Form1" xfId="1171" xr:uid="{6E1CDDB4-0215-47C4-A55C-AA69C1C4209D}"/>
    <cellStyle name="_2000 Plan Form_9_2000 Plan Form1_hhi_IFRS_in progress_Jul 2012" xfId="1172" xr:uid="{DAC9E6BE-9097-440B-AC79-DE1BDBA96696}"/>
    <cellStyle name="_2000 Plan Form_9_2000 Plan Form1_hhi_IFRS_in progress_Jul 2012 2" xfId="1173" xr:uid="{87E69F52-FF03-4686-9DB0-9FB7FC67FB21}"/>
    <cellStyle name="_2000 Plan Form_9_hhi_IFRS_in progress_Jul 2012" xfId="1174" xr:uid="{7203CC64-C5B3-4E40-9136-43395EB70AD8}"/>
    <cellStyle name="_2000 Plan Form_9_hhi_IFRS_in progress_Jul 2012 2" xfId="1175" xr:uid="{CDDE8957-88E8-4BB0-9D8D-91DCB714B9F9}"/>
    <cellStyle name="_2000 Plan Form_9_管理本部" xfId="1179" xr:uid="{EC652D33-7DD1-4316-BBEF-D0C5ECE3AC34}"/>
    <cellStyle name="_2000 Plan Form_9_管理本部_hhi_IFRS_in progress_Jul 2012" xfId="1180" xr:uid="{37F40FD8-B6E6-47F4-9634-5986B725B043}"/>
    <cellStyle name="_2000 Plan Form_9_管理本部_hhi_IFRS_in progress_Jul 2012 2" xfId="1181" xr:uid="{ACBD1005-702C-42C3-8416-35F1F0496FD9}"/>
    <cellStyle name="_2000 Plan Form_9_経費合計" xfId="1176" xr:uid="{988A77CB-B7E5-4921-BE0A-C70F0D94606C}"/>
    <cellStyle name="_2000 Plan Form_9_経費合計_hhi_IFRS_in progress_Jul 2012" xfId="1177" xr:uid="{E6B0AC01-7EFF-4229-8792-520D7EB50E59}"/>
    <cellStyle name="_2000 Plan Form_9_経費合計_hhi_IFRS_in progress_Jul 2012 2" xfId="1178" xr:uid="{AF44903A-9823-43AD-A55B-4EA84F1A483A}"/>
    <cellStyle name="_2000 Plan Form_9_線路" xfId="1182" xr:uid="{65F9AF17-0E7E-4B01-AE2B-02481A33FABA}"/>
    <cellStyle name="_2000 Plan Form_9_線路_hhi_IFRS_in progress_Jul 2012" xfId="1183" xr:uid="{F041A2D5-8599-4024-A0DD-6CAB9FBE92A2}"/>
    <cellStyle name="_2000 Plan Form_9_線路_hhi_IFRS_in progress_Jul 2012 2" xfId="1184" xr:uid="{0A1260F6-AF23-4852-B190-031C03BC16A6}"/>
    <cellStyle name="_2000 Plan Form_hhi_IFRS_in progress_Jul 2012" xfId="1185" xr:uid="{34EDBFE5-3E61-49D8-A73F-AF67DD9466ED}"/>
    <cellStyle name="_2000 Plan Form_hhi_IFRS_in progress_Jul 2012 2" xfId="1186" xr:uid="{18AF09AF-7CF5-40BF-A9AC-6CD7D05E10F8}"/>
    <cellStyle name="_2000 Plan Form_管理本部" xfId="1190" xr:uid="{BC7457C0-F94E-439D-A435-0B82582BCD08}"/>
    <cellStyle name="_2000 Plan Form_管理本部_hhi_IFRS_in progress_Jul 2012" xfId="1191" xr:uid="{BA435800-EFB9-401C-9CBC-AD42969BA1CF}"/>
    <cellStyle name="_2000 Plan Form_管理本部_hhi_IFRS_in progress_Jul 2012 2" xfId="1192" xr:uid="{E26BFBC5-6C98-4AFD-9D7A-9F7A1D71DE2E}"/>
    <cellStyle name="_2000 Plan Form_経費合計" xfId="1187" xr:uid="{BEBD0FC8-A2CD-4359-96E6-EF3A509A4987}"/>
    <cellStyle name="_2000 Plan Form_経費合計_hhi_IFRS_in progress_Jul 2012" xfId="1188" xr:uid="{B87A9194-B186-4F1B-AB1A-A676118D0AE7}"/>
    <cellStyle name="_2000 Plan Form_経費合計_hhi_IFRS_in progress_Jul 2012 2" xfId="1189" xr:uid="{105C230D-6340-43E6-B297-A1AEAD713D0A}"/>
    <cellStyle name="_2000 Plan Form_線路" xfId="1193" xr:uid="{46994E27-672B-4545-89A5-436373034DFE}"/>
    <cellStyle name="_2000 Plan Form_線路_hhi_IFRS_in progress_Jul 2012" xfId="1194" xr:uid="{1B519011-3E46-4AAC-BD79-A89C2E310612}"/>
    <cellStyle name="_2000 Plan Form_線路_hhi_IFRS_in progress_Jul 2012 2" xfId="1195" xr:uid="{DE1BCB55-14AC-4D9B-ACF7-E828711395DA}"/>
    <cellStyle name="_2000 Plan Form1" xfId="1196" xr:uid="{900191E3-6438-47CA-B940-3E7F1124B82C}"/>
    <cellStyle name="_2000 Plan Form1_1" xfId="1197" xr:uid="{77DCC2E9-792F-4CD2-B6D5-9B08CEEF0F64}"/>
    <cellStyle name="_2000 Plan Form1_1_hhi_IFRS_in progress_Jul 2012" xfId="1198" xr:uid="{2C66CBB7-2A5E-427C-8299-EA11AA68F908}"/>
    <cellStyle name="_2000 Plan Form1_1_hhi_IFRS_in progress_Jul 2012 2" xfId="1199" xr:uid="{450B1D9A-DA80-4B3B-91CF-D2F62327DF8E}"/>
    <cellStyle name="_2000 Plan Form1_2" xfId="1200" xr:uid="{2DD64D5D-3EED-4E26-A689-C099CF0DF948}"/>
    <cellStyle name="_2000 Plan Form1_2_3Q03Results_031030" xfId="1201" xr:uid="{4B0A10F0-B1ED-42B6-B2B0-29B2621B5642}"/>
    <cellStyle name="_2000 Plan Form1_2_Datastream" xfId="1202" xr:uid="{35D4D3EC-C5D2-45D5-9383-1047337762AE}"/>
    <cellStyle name="_2000 Plan Form1_2_DCF" xfId="1203" xr:uid="{37C4D3CC-1A4B-4628-BEFC-6FB09F351597}"/>
    <cellStyle name="_2000 Plan Form1_2_FS-quarterly" xfId="1204" xr:uid="{3E89334A-A197-43D4-A2C4-BA0C7C042DC8}"/>
    <cellStyle name="_2000 Plan Form1_2_Hanaro" xfId="1205" xr:uid="{48889DF0-BA29-40CF-96CF-FC8F8C6E2A36}"/>
    <cellStyle name="_2000 Plan Form1_2_KT&amp;G(ID)_PR_030619" xfId="1206" xr:uid="{716131B5-AE3F-424A-B516-8A4D60095BCB}"/>
    <cellStyle name="_2000 Plan Form1_2_KT&amp;G(ID)_PR_030619_1" xfId="1207" xr:uid="{D7129DD4-EBF3-4F04-B9D7-6C798A31C284}"/>
    <cellStyle name="_2000 Plan Form1_2_KT&amp;G(ID)_PR_030619_1_TYC(affiliates)_PD_030709" xfId="1208" xr:uid="{D531312D-0917-4118-B249-FDEB2EF93E88}"/>
    <cellStyle name="_2000 Plan Form1_2_KT&amp;G(ID)_PR_030619_1_TYC(affiliates)_PD_030709_TYC(FY05)tttv_030830" xfId="1209" xr:uid="{3879564D-3EC0-4CA6-83FA-196B7B3A0EFB}"/>
    <cellStyle name="_2000 Plan Form1_2_KT&amp;G(ID)_PR_030619_1_TYC(affiliates)준비_030623" xfId="1210" xr:uid="{31D18768-8CEA-487F-A1EA-C7D7CDA57D46}"/>
    <cellStyle name="_2000 Plan Form1_2_KT&amp;G(ID)_PR_030619_1_TYC(affiliates)준비_030623_TYC(FY05)tttv_030830" xfId="1211" xr:uid="{00C9A18A-22A2-4346-8314-1CB28A949F65}"/>
    <cellStyle name="_2000 Plan Form1_2_KT&amp;G(ID)_PR_030619_1_TYC(FY05)tttv_030830" xfId="1212" xr:uid="{F8E21ABC-A86F-4D6E-9DDF-E2B88E6E21E3}"/>
    <cellStyle name="_2000 Plan Form1_2_KT&amp;G(ID)_PR_030619_3Q03Results_031030" xfId="1213" xr:uid="{6A401449-33DA-41CA-900C-690072D39482}"/>
    <cellStyle name="_2000 Plan Form1_2_KT&amp;G(ID)_PR_030619_KT&amp;G(ID)_PR_030619" xfId="1214" xr:uid="{C7AA5B6F-D503-40C6-8858-8DD0F1311CC2}"/>
    <cellStyle name="_2000 Plan Form1_2_KT&amp;G(ID)_PR_030619_KT&amp;G(ID)_PR_030619_TYC(affiliates)_PD_030709" xfId="1215" xr:uid="{A6A68B90-4A2D-4079-87B5-6659B8DA9101}"/>
    <cellStyle name="_2000 Plan Form1_2_KT&amp;G(ID)_PR_030619_KT&amp;G(ID)_PR_030619_TYC(affiliates)_PD_030709_TYC(FY05)tttv_030830" xfId="1216" xr:uid="{1DCC5E80-1BD9-4019-A84D-CE2B36A90ED7}"/>
    <cellStyle name="_2000 Plan Form1_2_KT&amp;G(ID)_PR_030619_KT&amp;G(ID)_PR_030619_TYC(affiliates)준비_030623" xfId="1217" xr:uid="{D1AB6A2E-CAE9-4DA7-AC2C-9FC0B9DFFF4E}"/>
    <cellStyle name="_2000 Plan Form1_2_KT&amp;G(ID)_PR_030619_KT&amp;G(ID)_PR_030619_TYC(affiliates)준비_030623_TYC(FY05)tttv_030830" xfId="1218" xr:uid="{E3FA8B0A-9C8D-4B3D-A344-9BF796BB2653}"/>
    <cellStyle name="_2000 Plan Form1_2_KT&amp;G(ID)_PR_030619_KT&amp;G(ID)_PR_030619_TYC(FY05)tttv_030830" xfId="1219" xr:uid="{A5929370-9295-49D0-9C16-2F8BD8B7C41A}"/>
    <cellStyle name="_2000 Plan Form1_2_KT&amp;G(ID)_PR_030619_TYC(affiliates)준비_030623" xfId="1220" xr:uid="{E82B885A-08E2-4279-BB14-0C29523746BD}"/>
    <cellStyle name="_2000 Plan Form1_2_KT&amp;G(ID)_PR_030619_TYC(affiliates)준비_030623_TYC(affiliates)_PD_030709" xfId="1221" xr:uid="{513A53B3-6F41-4779-AC0E-393D3BF31089}"/>
    <cellStyle name="_2000 Plan Form1_2_KT&amp;G(ID)_PR_030619_TYC(affiliates)준비_030623_TYC(affiliates)_PD_030709_TYC(FY05)tttv_030830" xfId="1222" xr:uid="{2A37E172-AD11-41D6-8901-6A24F8D4D82B}"/>
    <cellStyle name="_2000 Plan Form1_2_KT&amp;G(ID)_PR_030619_TYC(affiliates)준비_030623_TYC(affiliates)준비_030623" xfId="1223" xr:uid="{C8D72B92-D9AA-4E7E-A7F2-BDBC33CB9CA5}"/>
    <cellStyle name="_2000 Plan Form1_2_KT&amp;G(ID)_PR_030619_TYC(affiliates)준비_030623_TYC(affiliates)준비_030623_TYC(FY05)tttv_030830" xfId="1224" xr:uid="{D2D402B0-C568-4F1E-AF6D-916D2E00B83A}"/>
    <cellStyle name="_2000 Plan Form1_2_KT&amp;G(ID)_PR_030619_TYC(affiliates)준비_030623_TYC(FY05)tttv_030830" xfId="1225" xr:uid="{F034B294-5D8F-4C8F-A1CF-2FA1ABD73D11}"/>
    <cellStyle name="_2000 Plan Form1_2_KT&amp;G(ID)_PR_030619_TYC(FY05)tttv_030830" xfId="1226" xr:uid="{839504D1-50B3-45CA-BD8C-7A871DEA9BFC}"/>
    <cellStyle name="_2000 Plan Form1_2_KT&amp;G(ID)_PR_030619_Yuhan(FY05)_031030" xfId="1227" xr:uid="{84C1CC91-1F05-433B-A491-460FD2F6121B}"/>
    <cellStyle name="_2000 Plan Form1_2_KT&amp;G(ID준비)_030601" xfId="1228" xr:uid="{843DAA95-E2FC-42D2-91B0-E85D7E4D54F6}"/>
    <cellStyle name="_2000 Plan Form1_2_KT&amp;G(ID준비)_030601_3Q03Results_031030" xfId="1229" xr:uid="{526D101D-CDEB-40F2-ABEE-117C501DEF05}"/>
    <cellStyle name="_2000 Plan Form1_2_KT&amp;G(ID준비)_030601_KT&amp;G(ID)_PR_030619" xfId="1230" xr:uid="{D2AFEEE0-C6A6-4D05-94B2-B1D5C465E893}"/>
    <cellStyle name="_2000 Plan Form1_2_KT&amp;G(ID준비)_030601_KT&amp;G(ID)_PR_030619_TYC(affiliates)_PD_030709" xfId="1231" xr:uid="{A83E6E53-33F9-497A-812A-0010925C8615}"/>
    <cellStyle name="_2000 Plan Form1_2_KT&amp;G(ID준비)_030601_KT&amp;G(ID)_PR_030619_TYC(affiliates)_PD_030709_TYC(FY05)tttv_030830" xfId="1232" xr:uid="{92D063CC-688F-4B91-AFF3-A2F9F764F52E}"/>
    <cellStyle name="_2000 Plan Form1_2_KT&amp;G(ID준비)_030601_KT&amp;G(ID)_PR_030619_TYC(affiliates)준비_030623" xfId="1233" xr:uid="{DE1E2A75-EEDC-4446-83BD-31A09ECB0AC6}"/>
    <cellStyle name="_2000 Plan Form1_2_KT&amp;G(ID준비)_030601_KT&amp;G(ID)_PR_030619_TYC(affiliates)준비_030623_TYC(FY05)tttv_030830" xfId="1234" xr:uid="{C8DC1B21-2C90-40C8-9073-13E01EB3AE63}"/>
    <cellStyle name="_2000 Plan Form1_2_KT&amp;G(ID준비)_030601_KT&amp;G(ID)_PR_030619_TYC(FY05)tttv_030830" xfId="1235" xr:uid="{01CBC031-1645-4B32-91C8-A095D1153E88}"/>
    <cellStyle name="_2000 Plan Form1_2_KT&amp;G(ID준비)_030601_TYC(affiliates)준비_030623" xfId="1236" xr:uid="{84E763BF-2ABB-4A7F-B81E-6B6BAB28F014}"/>
    <cellStyle name="_2000 Plan Form1_2_KT&amp;G(ID준비)_030601_TYC(affiliates)준비_030623_TYC(affiliates)_PD_030709" xfId="1237" xr:uid="{B36696DA-36E5-4267-B212-2F30E062742D}"/>
    <cellStyle name="_2000 Plan Form1_2_KT&amp;G(ID준비)_030601_TYC(affiliates)준비_030623_TYC(affiliates)_PD_030709_TYC(FY05)tttv_030830" xfId="1238" xr:uid="{BC6EC24B-36EE-4538-A3EC-60DED1182A61}"/>
    <cellStyle name="_2000 Plan Form1_2_KT&amp;G(ID준비)_030601_TYC(affiliates)준비_030623_TYC(affiliates)준비_030623" xfId="1239" xr:uid="{630AC0FE-D735-4B7D-822B-52D21190EB08}"/>
    <cellStyle name="_2000 Plan Form1_2_KT&amp;G(ID준비)_030601_TYC(affiliates)준비_030623_TYC(affiliates)준비_030623_TYC(FY05)tttv_030830" xfId="1240" xr:uid="{AD9A1A1D-712D-4A11-9335-56B9B2F3CD75}"/>
    <cellStyle name="_2000 Plan Form1_2_KT&amp;G(ID준비)_030601_TYC(affiliates)준비_030623_TYC(FY05)tttv_030830" xfId="1241" xr:uid="{2F9BE173-7AFF-4E46-8301-55DB4BC5DFF1}"/>
    <cellStyle name="_2000 Plan Form1_2_KT&amp;G(ID준비)_030601_TYC(FY05)tttv_030830" xfId="1242" xr:uid="{2E0C0E3B-2FBB-4112-98D3-57B9F08D7A3A}"/>
    <cellStyle name="_2000 Plan Form1_2_KT&amp;G(ID준비)_030601_Yuhan(FY05)_031030" xfId="1243" xr:uid="{BD77B60E-E6B2-48F6-B562-2A9FADF90389}"/>
    <cellStyle name="_2000 Plan Form1_2_Operations" xfId="1244" xr:uid="{48BDB146-2801-43FA-82C4-2BBBD6EFCE3D}"/>
    <cellStyle name="_2000 Plan Form1_2_Report" xfId="1245" xr:uid="{9D468009-A6DA-4C15-BC62-24E9B87C8F7B}"/>
    <cellStyle name="_2000 Plan Form1_2_Revenues" xfId="1246" xr:uid="{9916BEDE-26B5-401F-AA87-9AE2EF160D36}"/>
    <cellStyle name="_2000 Plan Form1_2_SK Corp 003600 1" xfId="1247" xr:uid="{8802ABD6-1F7F-4B42-B34F-ED9EF9726A46}"/>
    <cellStyle name="_2000 Plan Form1_2_SK Incheon" xfId="1248" xr:uid="{7A60D273-83C7-4C21-B29E-F84778E08336}"/>
    <cellStyle name="_2000 Plan Form1_2_TYC(affiliates)준비_030623" xfId="1249" xr:uid="{468A46D9-8B2D-4E0C-B67D-2D3C077B03AC}"/>
    <cellStyle name="_2000 Plan Form1_2_TYC(affiliates)준비_030623_TYC(affiliates)_PD_030709" xfId="1250" xr:uid="{4FAA342C-F962-4DF2-AD84-26209056BBE2}"/>
    <cellStyle name="_2000 Plan Form1_2_TYC(affiliates)준비_030623_TYC(affiliates)_PD_030709_TYC(FY05)tttv_030830" xfId="1251" xr:uid="{868FAC0F-4F2D-434C-A861-1658B16079E1}"/>
    <cellStyle name="_2000 Plan Form1_2_TYC(affiliates)준비_030623_TYC(affiliates)준비_030623" xfId="1252" xr:uid="{299F87EE-8CAF-4766-9480-2F855E4A75A5}"/>
    <cellStyle name="_2000 Plan Form1_2_TYC(affiliates)준비_030623_TYC(affiliates)준비_030623_TYC(FY05)tttv_030830" xfId="1253" xr:uid="{531DA6E3-7676-443C-AA82-7B6386CD54CC}"/>
    <cellStyle name="_2000 Plan Form1_2_TYC(affiliates)준비_030623_TYC(FY05)tttv_030830" xfId="1254" xr:uid="{ED77774A-6966-4682-93A8-FA5526417713}"/>
    <cellStyle name="_2000 Plan Form1_2_TYC(FY05)tttv_030830" xfId="1255" xr:uid="{31DBE353-0753-4C18-9E32-688F6EF0F8EF}"/>
    <cellStyle name="_2000 Plan Form1_2_Yuhan(FY05)_031030" xfId="1256" xr:uid="{3D2AC6DB-0631-4DEA-AF06-559A117BE371}"/>
    <cellStyle name="_2000 Plan Form1_3" xfId="1257" xr:uid="{D4B278C8-5053-46EC-AE32-BFBBA874B4F7}"/>
    <cellStyle name="_2000 Plan Form1_3_hhi_IFRS_in progress_Jul 2012" xfId="1258" xr:uid="{4ADE6ABF-5E4B-48AD-9691-8EC3B6C39CEB}"/>
    <cellStyle name="_2000 Plan Form1_3_hhi_IFRS_in progress_Jul 2012 2" xfId="1259" xr:uid="{1F02809A-2968-4798-9E49-BEFC8B2054B4}"/>
    <cellStyle name="_2000 Plan Form1_4" xfId="1260" xr:uid="{3780626D-7A1F-43DA-BEBD-21570006FC0A}"/>
    <cellStyle name="_2000 Plan Form1_4_hhi_IFRS_in progress_Jul 2012" xfId="1261" xr:uid="{CFE4F8D5-DAE9-4E0C-A47F-74FD57BB4B2C}"/>
    <cellStyle name="_2000 Plan Form1_4_hhi_IFRS_in progress_Jul 2012 2" xfId="1262" xr:uid="{F3E8F8E9-75A8-4AB6-A5BE-2C8803FF8010}"/>
    <cellStyle name="_2000 Plan Form1_5" xfId="1263" xr:uid="{F10297A6-C18F-4CE1-80E0-96B2CB588A9D}"/>
    <cellStyle name="_2000 Plan Form1_5_hhi_IFRS_in progress_Jul 2012" xfId="1264" xr:uid="{8123CCBA-9F49-42E4-9225-06A9DD29B309}"/>
    <cellStyle name="_2000 Plan Form1_5_hhi_IFRS_in progress_Jul 2012 2" xfId="1265" xr:uid="{781A77F1-C5B5-4239-8158-D292780F0D39}"/>
    <cellStyle name="_2000 Plan Form1_6" xfId="1266" xr:uid="{F3ED4FB3-F2DC-4795-B0A2-D135DBD2B352}"/>
    <cellStyle name="_2000 Plan Form1_6_hhi_IFRS_in progress_Jul 2012" xfId="1267" xr:uid="{8ADAD79E-8F3E-4D99-9F7D-7E482AEF96C3}"/>
    <cellStyle name="_2000 Plan Form1_6_hhi_IFRS_in progress_Jul 2012 2" xfId="1268" xr:uid="{1739CE95-23D0-457A-8200-D64A18DF9BA2}"/>
    <cellStyle name="_2000 Plan Form1_7" xfId="1269" xr:uid="{6D891A07-4639-41CB-AADA-708B2637401E}"/>
    <cellStyle name="_2000 Plan Form1_7_AmorePacific (090430)_MacQ_JiEun_2010_new" xfId="1270" xr:uid="{B92686EE-505B-41D5-A053-8EFC0E1F373E}"/>
    <cellStyle name="_2000 Plan Form1_7_AmorePacific (090430)_MacQ_JiEun_2010_new 2" xfId="1271" xr:uid="{7CEB133D-CFDB-4EEC-9E23-C082A97518A6}"/>
    <cellStyle name="_2000 Plan Form1_7_AmorePacific (090430)_MacQ_JiEun_2010_new_Hi-mart model for Alison (5 July 2011)" xfId="1272" xr:uid="{DDBD49A2-AC53-4EBB-ADCF-0403B992EE57}"/>
    <cellStyle name="_2000 Plan Form1_7_HDS (069960 KS)_MacQ_2010" xfId="1273" xr:uid="{F4EFEEA9-5350-498A-9F66-EFC40025BF4B}"/>
    <cellStyle name="_2000 Plan Form1_7_HDS (069960 KS)_MacQ_2010 2" xfId="1274" xr:uid="{8E6EEC88-1CC4-4385-AC10-0210A43FFF64}"/>
    <cellStyle name="_2000 Plan Form1_7_HDS (069960 KS)_MacQ_2010_Hi-mart model for Alison (5 July 2011)" xfId="1275" xr:uid="{32B2B536-70EC-4896-86FA-5FF3B87157C5}"/>
    <cellStyle name="_2000 Plan Form1_8" xfId="1276" xr:uid="{B002963E-0717-4C67-8A65-46243338C097}"/>
    <cellStyle name="_2000 Plan Form1_8_hhi_IFRS_in progress_Jul 2012" xfId="1277" xr:uid="{E872CB78-BF98-4280-9DD8-01CBAF6B9745}"/>
    <cellStyle name="_2000 Plan Form1_8_hhi_IFRS_in progress_Jul 2012 2" xfId="1278" xr:uid="{889F22F3-F386-43DE-A145-C8A3CDE4B17D}"/>
    <cellStyle name="_2000 Plan Form1_9" xfId="1279" xr:uid="{0FCF279A-52E6-484A-ABBD-D528127FA061}"/>
    <cellStyle name="_2000 Plan Form1_9_hhi_IFRS_in progress_Jul 2012" xfId="1280" xr:uid="{BEFD4406-34C6-4CA0-93D3-B77346DA7BA7}"/>
    <cellStyle name="_2000 Plan Form1_9_hhi_IFRS_in progress_Jul 2012 2" xfId="1281" xr:uid="{4BD258C7-961C-4BF3-92CF-6E3283994494}"/>
    <cellStyle name="_2000 Plan Form1_hhi_IFRS_in progress_Jul 2012" xfId="1282" xr:uid="{68D24EE1-D46D-4906-A00B-9C4D18A9B73B}"/>
    <cellStyle name="_2000 Plan Form1_hhi_IFRS_in progress_Jul 2012 2" xfId="1283" xr:uid="{6676F916-D228-408E-90B8-3F738BD48EF2}"/>
    <cellStyle name="_2000 Plan Form2（総務）" xfId="1284" xr:uid="{3B7FBE18-EC71-44DB-8DC7-78F56F8D2561}"/>
    <cellStyle name="_2000 Plan Form2（総務）_1" xfId="1285" xr:uid="{FC613A25-65C2-40B0-9752-AA3AF2FDE367}"/>
    <cellStyle name="_2000 Plan Form2（総務）_1_hhi_IFRS_in progress_Jul 2012" xfId="1286" xr:uid="{4023EE98-DEB3-4243-9717-8C31E9A454CC}"/>
    <cellStyle name="_2000 Plan Form2（総務）_1_hhi_IFRS_in progress_Jul 2012 2" xfId="1287" xr:uid="{F5701407-ECEF-4A54-9DCF-38924D278C15}"/>
    <cellStyle name="_2000 Plan Form2（総務）_2" xfId="1288" xr:uid="{C77260CB-E069-4A27-8675-CB728E78F454}"/>
    <cellStyle name="_2000 Plan Form2（総務）_2_hhi_IFRS_in progress_Jul 2012" xfId="1289" xr:uid="{B08EA6CF-D905-46B4-A8DB-DDB3A3BC36F9}"/>
    <cellStyle name="_2000 Plan Form2（総務）_2_hhi_IFRS_in progress_Jul 2012 2" xfId="1290" xr:uid="{8545EDB5-CA0E-453F-8E28-EC4FE6747397}"/>
    <cellStyle name="_2000 Plan Form2（総務）_3" xfId="1291" xr:uid="{C3DAB30D-8234-419A-81C2-BC2B84EC629F}"/>
    <cellStyle name="_2000 Plan Form2（総務）_3_hhi_IFRS_in progress_Jul 2012" xfId="1292" xr:uid="{9C7427D8-08EF-46B9-A1EF-FFF776F83C72}"/>
    <cellStyle name="_2000 Plan Form2（総務）_3_hhi_IFRS_in progress_Jul 2012 2" xfId="1293" xr:uid="{1A12DAB9-DEF3-4F23-99A0-04B16BD20FBB}"/>
    <cellStyle name="_2000 Plan Form2（総務）_4" xfId="1294" xr:uid="{D3824ED5-B9AB-44FC-B67A-4ECAB4609264}"/>
    <cellStyle name="_2000 Plan Form2（総務）_4_AmorePacific (090430)_MacQ_JiEun_2010_new" xfId="1295" xr:uid="{DE4CC2E0-E341-4EC2-A670-52E42D33A4FA}"/>
    <cellStyle name="_2000 Plan Form2（総務）_4_AmorePacific (090430)_MacQ_JiEun_2010_new 2" xfId="1296" xr:uid="{1396F3E4-30BA-4A03-ADF6-C385ED574DFE}"/>
    <cellStyle name="_2000 Plan Form2（総務）_4_AmorePacific (090430)_MacQ_JiEun_2010_new_Hi-mart model for Alison (5 July 2011)" xfId="1297" xr:uid="{7F7C2013-447D-4DC7-B2A4-9D824B71E33A}"/>
    <cellStyle name="_2000 Plan Form2（総務）_4_HDS (069960 KS)_MacQ_2010" xfId="1298" xr:uid="{AE00820F-9C51-4DCB-93C8-F93A8B270BFF}"/>
    <cellStyle name="_2000 Plan Form2（総務）_4_HDS (069960 KS)_MacQ_2010 2" xfId="1299" xr:uid="{13DD6E00-671C-4BAB-89E2-CE9C92883C99}"/>
    <cellStyle name="_2000 Plan Form2（総務）_4_HDS (069960 KS)_MacQ_2010_Hi-mart model for Alison (5 July 2011)" xfId="1300" xr:uid="{AEF562DB-58A4-412C-8370-51E0BDAAF4E0}"/>
    <cellStyle name="_2000 Plan Form2（総務）_5" xfId="1301" xr:uid="{E2AB8B5E-B128-41CF-A2EC-F00B3D74D6F7}"/>
    <cellStyle name="_2000 Plan Form2（総務）_5_3Q03Results_031030" xfId="1302" xr:uid="{C92A2870-A559-434C-933D-1B54C600BCA6}"/>
    <cellStyle name="_2000 Plan Form2（総務）_5_Datastream" xfId="1303" xr:uid="{8DCB3B70-000E-48E1-99F3-CF5F6C3C15B2}"/>
    <cellStyle name="_2000 Plan Form2（総務）_5_DCF" xfId="1304" xr:uid="{F3001476-1A41-4EF9-9173-C2BB767AE643}"/>
    <cellStyle name="_2000 Plan Form2（総務）_5_FS-quarterly" xfId="1305" xr:uid="{D3AF5672-1149-4863-A15B-E3351A59A043}"/>
    <cellStyle name="_2000 Plan Form2（総務）_5_Hanaro" xfId="1306" xr:uid="{4E370AF4-023A-4036-BC4A-6A536CBE081C}"/>
    <cellStyle name="_2000 Plan Form2（総務）_5_KT&amp;G(ID)_PR_030619" xfId="1307" xr:uid="{8F899E22-FFCF-4D45-A511-A0FFF80D7299}"/>
    <cellStyle name="_2000 Plan Form2（総務）_5_KT&amp;G(ID)_PR_030619_1" xfId="1308" xr:uid="{A7075E3F-6C2C-4020-ABDF-FECD7C91893F}"/>
    <cellStyle name="_2000 Plan Form2（総務）_5_KT&amp;G(ID)_PR_030619_1_TYC(affiliates)_PD_030709" xfId="1309" xr:uid="{7A059523-E5F7-4184-A973-6D83073B087C}"/>
    <cellStyle name="_2000 Plan Form2（総務）_5_KT&amp;G(ID)_PR_030619_1_TYC(affiliates)_PD_030709_TYC(FY05)tttv_030830" xfId="1310" xr:uid="{23BF6CEE-4C02-4B16-B64E-94B147488E3E}"/>
    <cellStyle name="_2000 Plan Form2（総務）_5_KT&amp;G(ID)_PR_030619_1_TYC(affiliates)준비_030623" xfId="1311" xr:uid="{334B111B-1440-4256-9E49-369DAAE5DAB7}"/>
    <cellStyle name="_2000 Plan Form2（総務）_5_KT&amp;G(ID)_PR_030619_1_TYC(affiliates)준비_030623_TYC(FY05)tttv_030830" xfId="1312" xr:uid="{12B962C4-6C9A-427B-8AD4-BA2C0E5AEDD8}"/>
    <cellStyle name="_2000 Plan Form2（総務）_5_KT&amp;G(ID)_PR_030619_1_TYC(FY05)tttv_030830" xfId="1313" xr:uid="{FEB6DEB1-261B-4792-BDB5-6E0B1AC0DC93}"/>
    <cellStyle name="_2000 Plan Form2（総務）_5_KT&amp;G(ID)_PR_030619_3Q03Results_031030" xfId="1314" xr:uid="{BAD4D37B-AB55-4EE7-866A-4E1D9B8B94EC}"/>
    <cellStyle name="_2000 Plan Form2（総務）_5_KT&amp;G(ID)_PR_030619_KT&amp;G(ID)_PR_030619" xfId="1315" xr:uid="{9C70C55C-0DA5-4624-9D3C-747CCA4A1AE2}"/>
    <cellStyle name="_2000 Plan Form2（総務）_5_KT&amp;G(ID)_PR_030619_KT&amp;G(ID)_PR_030619_TYC(affiliates)_PD_030709" xfId="1316" xr:uid="{8B3AE0CE-4082-4F61-AD98-323D7B174F99}"/>
    <cellStyle name="_2000 Plan Form2（総務）_5_KT&amp;G(ID)_PR_030619_KT&amp;G(ID)_PR_030619_TYC(affiliates)_PD_030709_TYC(FY05)tttv_030830" xfId="1317" xr:uid="{B5BBE122-9435-41CA-974E-2CABFC438C1A}"/>
    <cellStyle name="_2000 Plan Form2（総務）_5_KT&amp;G(ID)_PR_030619_KT&amp;G(ID)_PR_030619_TYC(affiliates)준비_030623" xfId="1318" xr:uid="{DA3585A3-1EE5-4E0E-8853-080E34DD88D2}"/>
    <cellStyle name="_2000 Plan Form2（総務）_5_KT&amp;G(ID)_PR_030619_KT&amp;G(ID)_PR_030619_TYC(affiliates)준비_030623_TYC(FY05)tttv_030830" xfId="1319" xr:uid="{1352454E-866C-426A-B19C-C8FC673320C5}"/>
    <cellStyle name="_2000 Plan Form2（総務）_5_KT&amp;G(ID)_PR_030619_KT&amp;G(ID)_PR_030619_TYC(FY05)tttv_030830" xfId="1320" xr:uid="{D8DBD06E-E56E-425C-89BD-0624A6A52441}"/>
    <cellStyle name="_2000 Plan Form2（総務）_5_KT&amp;G(ID)_PR_030619_TYC(affiliates)준비_030623" xfId="1321" xr:uid="{3E7A6CEF-74A6-43AE-B707-6DEB366F93CF}"/>
    <cellStyle name="_2000 Plan Form2（総務）_5_KT&amp;G(ID)_PR_030619_TYC(affiliates)준비_030623_TYC(affiliates)_PD_030709" xfId="1322" xr:uid="{550547C6-DB11-4B34-9800-695E762DC2BD}"/>
    <cellStyle name="_2000 Plan Form2（総務）_5_KT&amp;G(ID)_PR_030619_TYC(affiliates)준비_030623_TYC(affiliates)_PD_030709_TYC(FY05)tttv_030830" xfId="1323" xr:uid="{C00DFCC2-971E-41AD-82A5-F8F099A1E463}"/>
    <cellStyle name="_2000 Plan Form2（総務）_5_KT&amp;G(ID)_PR_030619_TYC(affiliates)준비_030623_TYC(affiliates)준비_030623" xfId="1324" xr:uid="{71C813F0-8E71-4448-BACF-ACAA524F6557}"/>
    <cellStyle name="_2000 Plan Form2（総務）_5_KT&amp;G(ID)_PR_030619_TYC(affiliates)준비_030623_TYC(affiliates)준비_030623_TYC(FY05)tttv_030830" xfId="1325" xr:uid="{A69118AA-D2D1-4A0E-8789-E9C54D48F9F4}"/>
    <cellStyle name="_2000 Plan Form2（総務）_5_KT&amp;G(ID)_PR_030619_TYC(affiliates)준비_030623_TYC(FY05)tttv_030830" xfId="1326" xr:uid="{A0F64A86-1D3A-4E5B-966B-973C2912C598}"/>
    <cellStyle name="_2000 Plan Form2（総務）_5_KT&amp;G(ID)_PR_030619_TYC(FY05)tttv_030830" xfId="1327" xr:uid="{F92A97F4-6B50-4703-BF6D-B8D9A5F5FD7B}"/>
    <cellStyle name="_2000 Plan Form2（総務）_5_KT&amp;G(ID)_PR_030619_Yuhan(FY05)_031030" xfId="1328" xr:uid="{C9B9AF63-6FA2-4821-B523-7F3CB8CA8A99}"/>
    <cellStyle name="_2000 Plan Form2（総務）_5_KT&amp;G(ID준비)_030601" xfId="1329" xr:uid="{1916FF4A-AEF7-4BFD-B938-106729EF45CE}"/>
    <cellStyle name="_2000 Plan Form2（総務）_5_KT&amp;G(ID준비)_030601_3Q03Results_031030" xfId="1330" xr:uid="{D8827AD4-54A7-4837-A7F1-D5AC2FC9B5C0}"/>
    <cellStyle name="_2000 Plan Form2（総務）_5_KT&amp;G(ID준비)_030601_KT&amp;G(ID)_PR_030619" xfId="1331" xr:uid="{4145E346-3700-4852-8D5D-3EA16BD3585C}"/>
    <cellStyle name="_2000 Plan Form2（総務）_5_KT&amp;G(ID준비)_030601_KT&amp;G(ID)_PR_030619_TYC(affiliates)_PD_030709" xfId="1332" xr:uid="{A42FB824-482A-494A-A386-8FA452B55B62}"/>
    <cellStyle name="_2000 Plan Form2（総務）_5_KT&amp;G(ID준비)_030601_KT&amp;G(ID)_PR_030619_TYC(affiliates)_PD_030709_TYC(FY05)tttv_030830" xfId="1333" xr:uid="{FA7F83E1-310F-4DF7-9CA8-506AD3C1170A}"/>
    <cellStyle name="_2000 Plan Form2（総務）_5_KT&amp;G(ID준비)_030601_KT&amp;G(ID)_PR_030619_TYC(affiliates)준비_030623" xfId="1334" xr:uid="{2E61D075-6EE4-4435-A88B-CF8193749F52}"/>
    <cellStyle name="_2000 Plan Form2（総務）_5_KT&amp;G(ID준비)_030601_KT&amp;G(ID)_PR_030619_TYC(affiliates)준비_030623_TYC(FY05)tttv_030830" xfId="1335" xr:uid="{CDF2A579-C182-4932-B4B3-004DB9B9BBA0}"/>
    <cellStyle name="_2000 Plan Form2（総務）_5_KT&amp;G(ID준비)_030601_KT&amp;G(ID)_PR_030619_TYC(FY05)tttv_030830" xfId="1336" xr:uid="{12644443-563C-4F64-AFA9-BA8D8EA2E902}"/>
    <cellStyle name="_2000 Plan Form2（総務）_5_KT&amp;G(ID준비)_030601_TYC(affiliates)준비_030623" xfId="1337" xr:uid="{4B772445-B804-4CD8-A3CA-5D85543A722D}"/>
    <cellStyle name="_2000 Plan Form2（総務）_5_KT&amp;G(ID준비)_030601_TYC(affiliates)준비_030623_TYC(affiliates)_PD_030709" xfId="1338" xr:uid="{B77C252B-5DDB-48E4-A12C-4A92CC553768}"/>
    <cellStyle name="_2000 Plan Form2（総務）_5_KT&amp;G(ID준비)_030601_TYC(affiliates)준비_030623_TYC(affiliates)_PD_030709_TYC(FY05)tttv_030830" xfId="1339" xr:uid="{B24AEFBD-6271-498A-86D1-5EDBCD126C95}"/>
    <cellStyle name="_2000 Plan Form2（総務）_5_KT&amp;G(ID준비)_030601_TYC(affiliates)준비_030623_TYC(affiliates)준비_030623" xfId="1340" xr:uid="{CEC3EEF4-77EF-46CA-B609-F3C5AB074137}"/>
    <cellStyle name="_2000 Plan Form2（総務）_5_KT&amp;G(ID준비)_030601_TYC(affiliates)준비_030623_TYC(affiliates)준비_030623_TYC(FY05)tttv_030830" xfId="1341" xr:uid="{7831184E-190B-4122-BFC7-13DD87C5E567}"/>
    <cellStyle name="_2000 Plan Form2（総務）_5_KT&amp;G(ID준비)_030601_TYC(affiliates)준비_030623_TYC(FY05)tttv_030830" xfId="1342" xr:uid="{3F14AFFB-A82C-49B8-8F27-2990D14E30C2}"/>
    <cellStyle name="_2000 Plan Form2（総務）_5_KT&amp;G(ID준비)_030601_TYC(FY05)tttv_030830" xfId="1343" xr:uid="{08A4E440-5426-4D79-AF6E-5D0FD48DB70F}"/>
    <cellStyle name="_2000 Plan Form2（総務）_5_KT&amp;G(ID준비)_030601_Yuhan(FY05)_031030" xfId="1344" xr:uid="{2547EEA2-08C1-4301-82F4-EBE7E844A4B6}"/>
    <cellStyle name="_2000 Plan Form2（総務）_5_Operations" xfId="1345" xr:uid="{40D42F4D-7E69-4AEF-8E42-3F38AB1354A5}"/>
    <cellStyle name="_2000 Plan Form2（総務）_5_Report" xfId="1346" xr:uid="{FD1B95D5-6FB0-481E-8A12-664F1E7B483A}"/>
    <cellStyle name="_2000 Plan Form2（総務）_5_Revenues" xfId="1347" xr:uid="{F1DBFE8E-1D13-4CAA-9E68-F285EECBBB51}"/>
    <cellStyle name="_2000 Plan Form2（総務）_5_SK Corp 003600 1" xfId="1348" xr:uid="{F8C7B570-E138-41C4-9FF1-50058AD8CD4F}"/>
    <cellStyle name="_2000 Plan Form2（総務）_5_SK Incheon" xfId="1349" xr:uid="{A7C00F5B-8024-4656-9534-A7DD5F5F35B2}"/>
    <cellStyle name="_2000 Plan Form2（総務）_5_TYC(affiliates)준비_030623" xfId="1350" xr:uid="{0000904F-2AEA-4A4E-B48D-A268D15066FB}"/>
    <cellStyle name="_2000 Plan Form2（総務）_5_TYC(affiliates)준비_030623_TYC(affiliates)_PD_030709" xfId="1351" xr:uid="{0A6DC35B-22D3-4591-8AE6-02AD4E620366}"/>
    <cellStyle name="_2000 Plan Form2（総務）_5_TYC(affiliates)준비_030623_TYC(affiliates)_PD_030709_TYC(FY05)tttv_030830" xfId="1352" xr:uid="{E6A76196-4207-4AF5-91FB-0E173916F10A}"/>
    <cellStyle name="_2000 Plan Form2（総務）_5_TYC(affiliates)준비_030623_TYC(affiliates)준비_030623" xfId="1353" xr:uid="{72DCB141-E13D-4B75-B885-8FE88B876D09}"/>
    <cellStyle name="_2000 Plan Form2（総務）_5_TYC(affiliates)준비_030623_TYC(affiliates)준비_030623_TYC(FY05)tttv_030830" xfId="1354" xr:uid="{84FACDFA-0CBB-453B-AD55-362F8ACC5B39}"/>
    <cellStyle name="_2000 Plan Form2（総務）_5_TYC(affiliates)준비_030623_TYC(FY05)tttv_030830" xfId="1355" xr:uid="{5CE15964-B1C1-4B91-B3A3-D7B596C8BC27}"/>
    <cellStyle name="_2000 Plan Form2（総務）_5_TYC(FY05)tttv_030830" xfId="1356" xr:uid="{39953487-0439-48AF-9903-274F03C8F91F}"/>
    <cellStyle name="_2000 Plan Form2（総務）_5_Yuhan(FY05)_031030" xfId="1357" xr:uid="{8C70EC60-F1B3-483D-A637-A83DF4A67899}"/>
    <cellStyle name="_2000 Plan Form2（総務）_6" xfId="1358" xr:uid="{C1EE4E8B-867B-4E08-8AFE-12F1EABFF855}"/>
    <cellStyle name="_2000 Plan Form2（総務）_6_hhi_IFRS_in progress_Jul 2012" xfId="1359" xr:uid="{E495D783-9B3B-4D91-8B04-6A65CB552719}"/>
    <cellStyle name="_2000 Plan Form2（総務）_6_hhi_IFRS_in progress_Jul 2012 2" xfId="1360" xr:uid="{28FA4E4C-0622-44D9-9604-C5E222E9545D}"/>
    <cellStyle name="_2000 Plan Form2（総務）_7" xfId="1361" xr:uid="{BB539280-B73C-4911-B392-66CC88A5AB63}"/>
    <cellStyle name="_2000 Plan Form2（総務）_7_hhi_IFRS_in progress_Jul 2012" xfId="1362" xr:uid="{BD9020AF-F1B2-44EF-9B89-4829971E8B0D}"/>
    <cellStyle name="_2000 Plan Form2（総務）_7_hhi_IFRS_in progress_Jul 2012 2" xfId="1363" xr:uid="{499057D4-E4F7-4E50-B1A6-FA072B90B4E6}"/>
    <cellStyle name="_2000 Plan Form2（総務）_8" xfId="1364" xr:uid="{E967EFD8-32D6-4885-B2EF-24910B946506}"/>
    <cellStyle name="_2000 Plan Form2（総務）_8_hhi_IFRS_in progress_Jul 2012" xfId="1365" xr:uid="{18E8B6AF-5B5D-407F-9CA4-476DC3158649}"/>
    <cellStyle name="_2000 Plan Form2（総務）_8_hhi_IFRS_in progress_Jul 2012 2" xfId="1366" xr:uid="{422779AB-D55E-4D43-9C9B-52419FA34A33}"/>
    <cellStyle name="_2000 Plan Form2（総務）_9" xfId="1367" xr:uid="{85BEF4F3-0B74-41EB-92B0-8FAFA45708DE}"/>
    <cellStyle name="_2000 Plan Form2（総務）_9_hhi_IFRS_in progress_Jul 2012" xfId="1368" xr:uid="{44238D59-C338-4C14-BB98-45C12C8A55B0}"/>
    <cellStyle name="_2000 Plan Form2（総務）_9_hhi_IFRS_in progress_Jul 2012 2" xfId="1369" xr:uid="{18CD3053-0414-41C0-A095-9701020CBAD3}"/>
    <cellStyle name="_2000 Plan Form2（総務）_hhi_IFRS_in progress_Jul 2012" xfId="1370" xr:uid="{285266C8-0B1F-45BD-A756-A4B670E0EB1B}"/>
    <cellStyle name="_2000 Plan Form2（総務）_hhi_IFRS_in progress_Jul 2012 2" xfId="1371" xr:uid="{8BDF04CF-6C58-4A87-941C-FD07D681062C}"/>
    <cellStyle name="_2000 Plan Form2（総務）1" xfId="1372" xr:uid="{FAC5A6A4-D7D4-449D-B7B9-057EF7E9EFEA}"/>
    <cellStyle name="_2000 Plan Form2（総務）1_1" xfId="1373" xr:uid="{FC4F7F59-32F9-4B07-A198-040E1AC63780}"/>
    <cellStyle name="_2000 Plan Form2（総務）1_1_hhi_IFRS_in progress_Jul 2012" xfId="1374" xr:uid="{9A872F8D-D57A-48EB-9987-1E79249D63E3}"/>
    <cellStyle name="_2000 Plan Form2（総務）1_1_hhi_IFRS_in progress_Jul 2012 2" xfId="1375" xr:uid="{FEA29D20-37A2-436F-ADBB-2A02CD3F24A9}"/>
    <cellStyle name="_2000 Plan Form2（総務）1_2" xfId="1376" xr:uid="{6CCB39EC-2665-40C6-A0E5-C52D60321C73}"/>
    <cellStyle name="_2000 Plan Form2（総務）1_2_hhi_IFRS_in progress_Jul 2012" xfId="1377" xr:uid="{386C35DE-DF10-42C3-B321-79078F54D829}"/>
    <cellStyle name="_2000 Plan Form2（総務）1_2_hhi_IFRS_in progress_Jul 2012 2" xfId="1378" xr:uid="{939E1349-816F-4D1C-990D-D0E79A6E681C}"/>
    <cellStyle name="_2000 Plan Form2（総務）1_3" xfId="1379" xr:uid="{54C01D77-CCA1-451C-8828-A95335E73635}"/>
    <cellStyle name="_2000 Plan Form2（総務）1_3_3Q03Results_031030" xfId="1380" xr:uid="{EB1333A2-2211-401F-9BDB-2971E2474F91}"/>
    <cellStyle name="_2000 Plan Form2（総務）1_3_Datastream" xfId="1381" xr:uid="{5BF6F391-5FF1-4CE4-9585-5DFC0DCF1AF4}"/>
    <cellStyle name="_2000 Plan Form2（総務）1_3_DCF" xfId="1382" xr:uid="{0AADC005-C260-4B57-B324-067739E8DBCA}"/>
    <cellStyle name="_2000 Plan Form2（総務）1_3_FS-quarterly" xfId="1383" xr:uid="{8197B62E-0009-48E6-9771-B300569B8182}"/>
    <cellStyle name="_2000 Plan Form2（総務）1_3_Hanaro" xfId="1384" xr:uid="{0F4D72C5-8058-4EEB-A93F-906255266823}"/>
    <cellStyle name="_2000 Plan Form2（総務）1_3_KT&amp;G(ID)_PR_030619" xfId="1385" xr:uid="{643AAD85-AF5F-457D-B975-F3650201A72E}"/>
    <cellStyle name="_2000 Plan Form2（総務）1_3_KT&amp;G(ID)_PR_030619_1" xfId="1386" xr:uid="{1338217C-682B-4143-9953-2CC14AFC6008}"/>
    <cellStyle name="_2000 Plan Form2（総務）1_3_KT&amp;G(ID)_PR_030619_1_TYC(affiliates)_PD_030709" xfId="1387" xr:uid="{810B9871-EE1B-4F8D-A71C-050121E93240}"/>
    <cellStyle name="_2000 Plan Form2（総務）1_3_KT&amp;G(ID)_PR_030619_1_TYC(affiliates)_PD_030709_TYC(FY05)tttv_030830" xfId="1388" xr:uid="{53E256CA-6A77-4A42-8216-32872FB3823E}"/>
    <cellStyle name="_2000 Plan Form2（総務）1_3_KT&amp;G(ID)_PR_030619_1_TYC(affiliates)준비_030623" xfId="1389" xr:uid="{02654B7B-7FC8-4C3A-AB76-D83A266BB2DA}"/>
    <cellStyle name="_2000 Plan Form2（総務）1_3_KT&amp;G(ID)_PR_030619_1_TYC(affiliates)준비_030623_TYC(FY05)tttv_030830" xfId="1390" xr:uid="{0326116E-591F-43EA-BC73-FFCB375E8F66}"/>
    <cellStyle name="_2000 Plan Form2（総務）1_3_KT&amp;G(ID)_PR_030619_1_TYC(FY05)tttv_030830" xfId="1391" xr:uid="{9220BF4E-FEEA-4D39-B729-9EADAF6C025C}"/>
    <cellStyle name="_2000 Plan Form2（総務）1_3_KT&amp;G(ID)_PR_030619_3Q03Results_031030" xfId="1392" xr:uid="{D9993796-99D3-4179-9782-7317F9E7C484}"/>
    <cellStyle name="_2000 Plan Form2（総務）1_3_KT&amp;G(ID)_PR_030619_KT&amp;G(ID)_PR_030619" xfId="1393" xr:uid="{9B390185-7D05-44F9-A58F-7C34959B2434}"/>
    <cellStyle name="_2000 Plan Form2（総務）1_3_KT&amp;G(ID)_PR_030619_KT&amp;G(ID)_PR_030619_TYC(affiliates)_PD_030709" xfId="1394" xr:uid="{81A4E029-D6A9-4DC5-9EA7-1E892937BF40}"/>
    <cellStyle name="_2000 Plan Form2（総務）1_3_KT&amp;G(ID)_PR_030619_KT&amp;G(ID)_PR_030619_TYC(affiliates)_PD_030709_TYC(FY05)tttv_030830" xfId="1395" xr:uid="{247DF2D3-604C-4C1F-B090-007AF74B1EF3}"/>
    <cellStyle name="_2000 Plan Form2（総務）1_3_KT&amp;G(ID)_PR_030619_KT&amp;G(ID)_PR_030619_TYC(affiliates)준비_030623" xfId="1396" xr:uid="{76F53484-D50F-4D24-9543-EC434F0D09D3}"/>
    <cellStyle name="_2000 Plan Form2（総務）1_3_KT&amp;G(ID)_PR_030619_KT&amp;G(ID)_PR_030619_TYC(affiliates)준비_030623_TYC(FY05)tttv_030830" xfId="1397" xr:uid="{C4E45601-BA89-400B-86C6-58C87DE5D925}"/>
    <cellStyle name="_2000 Plan Form2（総務）1_3_KT&amp;G(ID)_PR_030619_KT&amp;G(ID)_PR_030619_TYC(FY05)tttv_030830" xfId="1398" xr:uid="{33EA6989-9DCE-4BFB-A5B4-D48F5552C192}"/>
    <cellStyle name="_2000 Plan Form2（総務）1_3_KT&amp;G(ID)_PR_030619_TYC(affiliates)준비_030623" xfId="1399" xr:uid="{CBFCE33F-63F1-4D0F-A9B2-407346E3827F}"/>
    <cellStyle name="_2000 Plan Form2（総務）1_3_KT&amp;G(ID)_PR_030619_TYC(affiliates)준비_030623_TYC(affiliates)_PD_030709" xfId="1400" xr:uid="{DB5ABD29-BBEB-4FAC-9444-7C30F889FCCF}"/>
    <cellStyle name="_2000 Plan Form2（総務）1_3_KT&amp;G(ID)_PR_030619_TYC(affiliates)준비_030623_TYC(affiliates)_PD_030709_TYC(FY05)tttv_030830" xfId="1401" xr:uid="{9306AC91-1973-4AA8-B29B-509CBEB21531}"/>
    <cellStyle name="_2000 Plan Form2（総務）1_3_KT&amp;G(ID)_PR_030619_TYC(affiliates)준비_030623_TYC(affiliates)준비_030623" xfId="1402" xr:uid="{258AF206-8311-499F-A9FE-8276D1CC7BEC}"/>
    <cellStyle name="_2000 Plan Form2（総務）1_3_KT&amp;G(ID)_PR_030619_TYC(affiliates)준비_030623_TYC(affiliates)준비_030623_TYC(FY05)tttv_030830" xfId="1403" xr:uid="{8F166023-C78C-4A8B-986A-3E727D78F43B}"/>
    <cellStyle name="_2000 Plan Form2（総務）1_3_KT&amp;G(ID)_PR_030619_TYC(affiliates)준비_030623_TYC(FY05)tttv_030830" xfId="1404" xr:uid="{08333647-AADF-4CD0-941C-1CBA372919EA}"/>
    <cellStyle name="_2000 Plan Form2（総務）1_3_KT&amp;G(ID)_PR_030619_TYC(FY05)tttv_030830" xfId="1405" xr:uid="{C3D18549-5024-4122-8DA1-98256F456275}"/>
    <cellStyle name="_2000 Plan Form2（総務）1_3_KT&amp;G(ID)_PR_030619_Yuhan(FY05)_031030" xfId="1406" xr:uid="{1E0D2247-5714-4172-B974-05157C9874E2}"/>
    <cellStyle name="_2000 Plan Form2（総務）1_3_KT&amp;G(ID준비)_030601" xfId="1407" xr:uid="{B563DD1B-A1AF-4236-9A38-DF2507407FF2}"/>
    <cellStyle name="_2000 Plan Form2（総務）1_3_KT&amp;G(ID준비)_030601_3Q03Results_031030" xfId="1408" xr:uid="{24847B42-7C03-4A8A-9E64-6DEF92D16BF2}"/>
    <cellStyle name="_2000 Plan Form2（総務）1_3_KT&amp;G(ID준비)_030601_KT&amp;G(ID)_PR_030619" xfId="1409" xr:uid="{B05272CA-AF8D-493D-999B-814BAEE66B36}"/>
    <cellStyle name="_2000 Plan Form2（総務）1_3_KT&amp;G(ID준비)_030601_KT&amp;G(ID)_PR_030619_TYC(affiliates)_PD_030709" xfId="1410" xr:uid="{3685BA53-7649-40F9-A7C5-DD9BB86FC8E2}"/>
    <cellStyle name="_2000 Plan Form2（総務）1_3_KT&amp;G(ID준비)_030601_KT&amp;G(ID)_PR_030619_TYC(affiliates)_PD_030709_TYC(FY05)tttv_030830" xfId="1411" xr:uid="{FE432463-BF95-461F-8DB0-F43AEDC799D6}"/>
    <cellStyle name="_2000 Plan Form2（総務）1_3_KT&amp;G(ID준비)_030601_KT&amp;G(ID)_PR_030619_TYC(affiliates)준비_030623" xfId="1412" xr:uid="{F266CF4E-BB7C-4F36-AB76-13570726D52C}"/>
    <cellStyle name="_2000 Plan Form2（総務）1_3_KT&amp;G(ID준비)_030601_KT&amp;G(ID)_PR_030619_TYC(affiliates)준비_030623_TYC(FY05)tttv_030830" xfId="1413" xr:uid="{0F43962C-9FE2-463B-B9AE-DF7DEB008638}"/>
    <cellStyle name="_2000 Plan Form2（総務）1_3_KT&amp;G(ID준비)_030601_KT&amp;G(ID)_PR_030619_TYC(FY05)tttv_030830" xfId="1414" xr:uid="{BBE7CD17-C876-4AC9-A14B-2AF917A23E7D}"/>
    <cellStyle name="_2000 Plan Form2（総務）1_3_KT&amp;G(ID준비)_030601_TYC(affiliates)준비_030623" xfId="1415" xr:uid="{E587299C-A97A-43D4-8290-541B3B2C0E15}"/>
    <cellStyle name="_2000 Plan Form2（総務）1_3_KT&amp;G(ID준비)_030601_TYC(affiliates)준비_030623_TYC(affiliates)_PD_030709" xfId="1416" xr:uid="{708C0325-EA05-4655-BD62-AFC776143B91}"/>
    <cellStyle name="_2000 Plan Form2（総務）1_3_KT&amp;G(ID준비)_030601_TYC(affiliates)준비_030623_TYC(affiliates)_PD_030709_TYC(FY05)tttv_030830" xfId="1417" xr:uid="{9FB70700-4937-4AB2-9FAF-1D8BFCD52A48}"/>
    <cellStyle name="_2000 Plan Form2（総務）1_3_KT&amp;G(ID준비)_030601_TYC(affiliates)준비_030623_TYC(affiliates)준비_030623" xfId="1418" xr:uid="{EF23825C-1077-4A92-88F7-2E393D3FF54E}"/>
    <cellStyle name="_2000 Plan Form2（総務）1_3_KT&amp;G(ID준비)_030601_TYC(affiliates)준비_030623_TYC(affiliates)준비_030623_TYC(FY05)tttv_030830" xfId="1419" xr:uid="{6C638F64-4413-4C04-881D-5AA38BD4EF44}"/>
    <cellStyle name="_2000 Plan Form2（総務）1_3_KT&amp;G(ID준비)_030601_TYC(affiliates)준비_030623_TYC(FY05)tttv_030830" xfId="1420" xr:uid="{7E5A79C4-C2DD-4FEA-BE8D-7E10FD568E00}"/>
    <cellStyle name="_2000 Plan Form2（総務）1_3_KT&amp;G(ID준비)_030601_TYC(FY05)tttv_030830" xfId="1421" xr:uid="{F8BA1591-7677-4396-A7B9-F7973C3195D6}"/>
    <cellStyle name="_2000 Plan Form2（総務）1_3_KT&amp;G(ID준비)_030601_Yuhan(FY05)_031030" xfId="1422" xr:uid="{90126041-14D7-4849-8451-E427A8E920D3}"/>
    <cellStyle name="_2000 Plan Form2（総務）1_3_Operations" xfId="1423" xr:uid="{9568DF3D-B708-4202-A109-3E300BDEE1C1}"/>
    <cellStyle name="_2000 Plan Form2（総務）1_3_Report" xfId="1424" xr:uid="{E0C80F98-6E49-4721-83DB-FC55F6C2937C}"/>
    <cellStyle name="_2000 Plan Form2（総務）1_3_Revenues" xfId="1425" xr:uid="{55619063-6AFF-487B-870B-603E73BC6AF7}"/>
    <cellStyle name="_2000 Plan Form2（総務）1_3_SK Corp 003600 1" xfId="1426" xr:uid="{3C9CCCFD-9E1B-4944-8ACB-D2F67A186EDC}"/>
    <cellStyle name="_2000 Plan Form2（総務）1_3_SK Incheon" xfId="1427" xr:uid="{53B101DF-3641-41FA-BF4C-47D917DEFAED}"/>
    <cellStyle name="_2000 Plan Form2（総務）1_3_TYC(affiliates)준비_030623" xfId="1428" xr:uid="{79520A19-5A9F-457F-9A14-F02E61E76298}"/>
    <cellStyle name="_2000 Plan Form2（総務）1_3_TYC(affiliates)준비_030623_TYC(affiliates)_PD_030709" xfId="1429" xr:uid="{761E55B4-7A3A-4543-A25B-6DFC964223E0}"/>
    <cellStyle name="_2000 Plan Form2（総務）1_3_TYC(affiliates)준비_030623_TYC(affiliates)_PD_030709_TYC(FY05)tttv_030830" xfId="1430" xr:uid="{EEE92D57-E3D9-4A9F-B66F-DC8330FCC2B6}"/>
    <cellStyle name="_2000 Plan Form2（総務）1_3_TYC(affiliates)준비_030623_TYC(affiliates)준비_030623" xfId="1431" xr:uid="{54209A58-5569-4A4D-94ED-102C9FE9DE85}"/>
    <cellStyle name="_2000 Plan Form2（総務）1_3_TYC(affiliates)준비_030623_TYC(affiliates)준비_030623_TYC(FY05)tttv_030830" xfId="1432" xr:uid="{D8C866DA-1A36-4FAB-9EB8-A57F6C988EE2}"/>
    <cellStyle name="_2000 Plan Form2（総務）1_3_TYC(affiliates)준비_030623_TYC(FY05)tttv_030830" xfId="1433" xr:uid="{46C482F3-43C3-4B0B-964E-A8C225298BBE}"/>
    <cellStyle name="_2000 Plan Form2（総務）1_3_TYC(FY05)tttv_030830" xfId="1434" xr:uid="{A8D61343-F41B-40EA-B16A-853E69D2E582}"/>
    <cellStyle name="_2000 Plan Form2（総務）1_3_Yuhan(FY05)_031030" xfId="1435" xr:uid="{41FC57EB-14A7-4BD3-A040-314EB6858056}"/>
    <cellStyle name="_2000 Plan Form2（総務）1_4" xfId="1436" xr:uid="{E12F4E1D-73FE-4EB6-AA1E-F148057EB50C}"/>
    <cellStyle name="_2000 Plan Form2（総務）1_4_hhi_IFRS_in progress_Jul 2012" xfId="1437" xr:uid="{694406ED-1389-4427-9FCC-81B788B44CD3}"/>
    <cellStyle name="_2000 Plan Form2（総務）1_4_hhi_IFRS_in progress_Jul 2012 2" xfId="1438" xr:uid="{16B69D04-AE4D-48B8-AFF9-E12DCA94C50A}"/>
    <cellStyle name="_2000 Plan Form2（総務）1_5" xfId="1439" xr:uid="{B2EFBD63-CA22-465A-A86E-4211E7868AB9}"/>
    <cellStyle name="_2000 Plan Form2（総務）1_5_hhi_IFRS_in progress_Jul 2012" xfId="1440" xr:uid="{ED219FA3-64CC-4FD6-9D51-3BA701DDCC6F}"/>
    <cellStyle name="_2000 Plan Form2（総務）1_5_hhi_IFRS_in progress_Jul 2012 2" xfId="1441" xr:uid="{A9FB0AE2-309B-4B6B-A352-26D9AA49811D}"/>
    <cellStyle name="_2000 Plan Form2（総務）1_6" xfId="1442" xr:uid="{49D366FB-89A3-4A57-A4F3-13B11031641A}"/>
    <cellStyle name="_2000 Plan Form2（総務）1_6_AmorePacific (090430)_MacQ_JiEun_2010_new" xfId="1443" xr:uid="{2E03AA7C-BED7-4C71-BD60-28B26209BFD0}"/>
    <cellStyle name="_2000 Plan Form2（総務）1_6_AmorePacific (090430)_MacQ_JiEun_2010_new 2" xfId="1444" xr:uid="{F89851B1-4166-4EF4-B164-D9455045236E}"/>
    <cellStyle name="_2000 Plan Form2（総務）1_6_AmorePacific (090430)_MacQ_JiEun_2010_new_Hi-mart model for Alison (5 July 2011)" xfId="1445" xr:uid="{8F3616C9-83B2-4D4D-88AA-47D89A5BB953}"/>
    <cellStyle name="_2000 Plan Form2（総務）1_6_HDS (069960 KS)_MacQ_2010" xfId="1446" xr:uid="{19FFFC22-7884-47EC-80C5-7838B964E0B9}"/>
    <cellStyle name="_2000 Plan Form2（総務）1_6_HDS (069960 KS)_MacQ_2010 2" xfId="1447" xr:uid="{E979DB5E-5AA9-4FB9-AEB3-45170D72032B}"/>
    <cellStyle name="_2000 Plan Form2（総務）1_6_HDS (069960 KS)_MacQ_2010_Hi-mart model for Alison (5 July 2011)" xfId="1448" xr:uid="{2B4E0FFB-3798-4056-9CCC-F4A476B09943}"/>
    <cellStyle name="_2000 Plan Form2（総務）1_7" xfId="1449" xr:uid="{37E23C9E-8713-4CB9-A15B-2609B9EF6B9B}"/>
    <cellStyle name="_2000 Plan Form2（総務）1_7_hhi_IFRS_in progress_Jul 2012" xfId="1450" xr:uid="{B615F497-370F-42F5-B9A3-755185ED2E58}"/>
    <cellStyle name="_2000 Plan Form2（総務）1_7_hhi_IFRS_in progress_Jul 2012 2" xfId="1451" xr:uid="{8992298C-88E0-4D4D-9214-52571418AFDF}"/>
    <cellStyle name="_2000 Plan Form2（総務）1_8" xfId="1452" xr:uid="{DA5DCD71-DA17-4BDB-ACE2-953933A2B011}"/>
    <cellStyle name="_2000 Plan Form2（総務）1_8_hhi_IFRS_in progress_Jul 2012" xfId="1453" xr:uid="{6963A21A-C34F-4B69-814A-A7F774C8E6E8}"/>
    <cellStyle name="_2000 Plan Form2（総務）1_8_hhi_IFRS_in progress_Jul 2012 2" xfId="1454" xr:uid="{F799CCA4-5A15-4E33-A06F-E36A72EA1209}"/>
    <cellStyle name="_2000 Plan Form2（総務）1_9" xfId="1455" xr:uid="{6BBAC81D-9DFC-4275-BCEB-DA19AF092ACB}"/>
    <cellStyle name="_2000 Plan Form2（総務）1_9_hhi_IFRS_in progress_Jul 2012" xfId="1456" xr:uid="{0DFFB8E9-60D8-4A8C-8BE3-AE591E863834}"/>
    <cellStyle name="_2000 Plan Form2（総務）1_9_hhi_IFRS_in progress_Jul 2012 2" xfId="1457" xr:uid="{78B3B9A5-713D-4D0B-8BFC-44C896D26940}"/>
    <cellStyle name="_2000 Plan Form2（総務）1_hhi_IFRS_in progress_Jul 2012" xfId="1458" xr:uid="{0F743BE7-7027-447E-93D5-34BD84B23AAB}"/>
    <cellStyle name="_2000 Plan Form2（総務）1_hhi_IFRS_in progress_Jul 2012 2" xfId="1459" xr:uid="{50A31709-D317-44E9-B488-A4B4A343B7BE}"/>
    <cellStyle name="_20061116 Education v5" xfId="1460" xr:uid="{6E6C7851-E9FF-47E9-ABC6-6ACE862CB54F}"/>
    <cellStyle name="_20061116 Education v5_20070109 Education v7" xfId="1461" xr:uid="{965E82A0-A1F0-4511-A900-7FFCEEEA3031}"/>
    <cellStyle name="_20070109 Education v7" xfId="1462" xr:uid="{3F73DF4C-40D9-4CA2-9EC9-CC3F173DBB50}"/>
    <cellStyle name="_20070109 Education v7_20070109 Education v7" xfId="1463" xr:uid="{D1AA872D-4E47-496F-9923-5545CF9088C8}"/>
    <cellStyle name="_20070821 Education v3" xfId="1464" xr:uid="{FBF2B982-D8B2-478D-B7CB-17C0326EF5D6}"/>
    <cellStyle name="_20070821 Education v3_20070109 Education v7" xfId="1465" xr:uid="{474254A3-ECEF-45C1-BFB8-61CECF011C7B}"/>
    <cellStyle name="_3378" xfId="1466" xr:uid="{17F35F06-AD2B-4FAC-93CE-02930E5BD2DC}"/>
    <cellStyle name="_34083096" xfId="1467" xr:uid="{2CCA1A99-8C2B-4A9F-9827-CE19C35B7F7B}"/>
    <cellStyle name="_4887" xfId="1468" xr:uid="{7B793E56-4F3F-4265-BA46-2691993D290E}"/>
    <cellStyle name="_5137" xfId="1469" xr:uid="{B6E4092B-DBCA-4C51-A86D-30ADEE4F7630}"/>
    <cellStyle name="_AmorePacific (090430)_Greenlight" xfId="1470" xr:uid="{83ECA3B9-68CE-410D-B030-30049D1A1850}"/>
    <cellStyle name="_AmorePacific (090430)_MacQ_JiEun_2010_new" xfId="1471" xr:uid="{9227B0B1-5DE6-4E4E-B1F3-FEBB6ED2C0D4}"/>
    <cellStyle name="_Caltex FS" xfId="1472" xr:uid="{FA2DDA4E-35A9-4528-8C00-B70896BC85E6}"/>
    <cellStyle name="_CJHS_HS_Na" xfId="1473" xr:uid="{BE0380CF-BC1C-4AF5-949B-D909568D5E43}"/>
    <cellStyle name="_Column1" xfId="1474" xr:uid="{EB809C7B-8C8B-4E0B-8722-87C305D6A05E}"/>
    <cellStyle name="_Column1_3Q03Results_031030" xfId="1475" xr:uid="{6C67BF51-F701-4720-A911-268D341F1137}"/>
    <cellStyle name="_Column1_KT&amp;G(ID)_PR_030619" xfId="1476" xr:uid="{CE677C41-1477-4E08-AA22-DEA6A1A63DA7}"/>
    <cellStyle name="_Column1_KT&amp;G(ID)_PR_030619_1" xfId="1477" xr:uid="{F0C1E4BF-9732-4E06-8F88-539429F9D41A}"/>
    <cellStyle name="_Column1_KT&amp;G(ID)_PR_030619_1_TYC(affiliates)_PD_030709" xfId="1478" xr:uid="{BA3A4641-6A98-41FD-B970-105E3F5D7B86}"/>
    <cellStyle name="_Column1_KT&amp;G(ID)_PR_030619_1_TYC(affiliates)_PD_030709_TYC(FY05)tttv_030830" xfId="1479" xr:uid="{1AD0FD77-45FC-4D1A-AE54-196E430F0FBB}"/>
    <cellStyle name="_Column1_KT&amp;G(ID)_PR_030619_1_TYC(affiliates)준비_030623" xfId="1480" xr:uid="{A96AF8A2-89B4-43AE-812F-D21FAA55C7AA}"/>
    <cellStyle name="_Column1_KT&amp;G(ID)_PR_030619_1_TYC(affiliates)준비_030623_TYC(FY05)tttv_030830" xfId="1481" xr:uid="{981D2366-C624-4C4C-8DA0-59EE9BBB9225}"/>
    <cellStyle name="_Column1_KT&amp;G(ID)_PR_030619_1_TYC(FY05)tttv_030830" xfId="1482" xr:uid="{B3C6CD1E-F93D-4948-8365-CF2E6E40E4CE}"/>
    <cellStyle name="_Column1_KT&amp;G(ID)_PR_030619_3Q03Results_031030" xfId="1483" xr:uid="{5844C22C-C3B9-487E-8F00-192DBB25BE38}"/>
    <cellStyle name="_Column1_KT&amp;G(ID)_PR_030619_KT&amp;G(ID)_PR_030619" xfId="1484" xr:uid="{7348BCCB-8969-4700-95E2-FC1F515B153E}"/>
    <cellStyle name="_Column1_KT&amp;G(ID)_PR_030619_KT&amp;G(ID)_PR_030619_TYC(affiliates)_PD_030709" xfId="1485" xr:uid="{8749F45B-D334-4404-9705-96845215CAE9}"/>
    <cellStyle name="_Column1_KT&amp;G(ID)_PR_030619_KT&amp;G(ID)_PR_030619_TYC(affiliates)_PD_030709_TYC(FY05)tttv_030830" xfId="1486" xr:uid="{5A166889-3854-4814-9F84-A2D4FCF8BC5A}"/>
    <cellStyle name="_Column1_KT&amp;G(ID)_PR_030619_KT&amp;G(ID)_PR_030619_TYC(affiliates)준비_030623" xfId="1487" xr:uid="{3CF40D6C-F33B-4474-A83D-24161517AE60}"/>
    <cellStyle name="_Column1_KT&amp;G(ID)_PR_030619_KT&amp;G(ID)_PR_030619_TYC(affiliates)준비_030623_TYC(FY05)tttv_030830" xfId="1488" xr:uid="{33A2CCE3-AB39-4DB3-A01A-B7C9D74F7B3B}"/>
    <cellStyle name="_Column1_KT&amp;G(ID)_PR_030619_KT&amp;G(ID)_PR_030619_TYC(FY05)tttv_030830" xfId="1489" xr:uid="{69E4E6F1-880D-4B92-AD16-4A88A7EA3BAC}"/>
    <cellStyle name="_Column1_KT&amp;G(ID)_PR_030619_TYC(affiliates)준비_030623" xfId="1490" xr:uid="{03A1D8F4-6A38-45D9-8F4A-40DBB8442202}"/>
    <cellStyle name="_Column1_KT&amp;G(ID)_PR_030619_TYC(affiliates)준비_030623_TYC(affiliates)_PD_030709" xfId="1491" xr:uid="{48BFD087-52C8-47D9-BFF9-B2677370480B}"/>
    <cellStyle name="_Column1_KT&amp;G(ID)_PR_030619_TYC(affiliates)준비_030623_TYC(affiliates)_PD_030709_TYC(FY05)tttv_030830" xfId="1492" xr:uid="{E81AA8DE-E6C7-4340-8FB1-7CDD1A0FDE8A}"/>
    <cellStyle name="_Column1_KT&amp;G(ID)_PR_030619_TYC(affiliates)준비_030623_TYC(affiliates)준비_030623" xfId="1493" xr:uid="{1E5048A0-D6EC-4BA8-811E-CD834CC67509}"/>
    <cellStyle name="_Column1_KT&amp;G(ID)_PR_030619_TYC(affiliates)준비_030623_TYC(affiliates)준비_030623_TYC(FY05)tttv_030830" xfId="1494" xr:uid="{DD509DDD-1725-482A-A741-263103BFA5E5}"/>
    <cellStyle name="_Column1_KT&amp;G(ID)_PR_030619_TYC(affiliates)준비_030623_TYC(FY05)tttv_030830" xfId="1495" xr:uid="{C4ADCBF7-A3AB-4745-AFAE-6F1FE8703377}"/>
    <cellStyle name="_Column1_KT&amp;G(ID)_PR_030619_TYC(FY05)tttv_030830" xfId="1496" xr:uid="{B4FFFD03-3B78-4EF4-B1F0-E2EC98582CE5}"/>
    <cellStyle name="_Column1_KT&amp;G(ID)_PR_030619_Yuhan(FY05)_031030" xfId="1497" xr:uid="{5C1BB317-4426-4688-BA9F-FDD7C7151D5F}"/>
    <cellStyle name="_Column1_KT&amp;G(ID준비)_030601" xfId="1498" xr:uid="{B1C3011F-9611-49EC-8243-443F51F17C5B}"/>
    <cellStyle name="_Column1_KT&amp;G(ID준비)_030601_3Q03Results_031030" xfId="1499" xr:uid="{78944BAF-A680-403C-AD1F-4091F3CD636A}"/>
    <cellStyle name="_Column1_KT&amp;G(ID준비)_030601_KT&amp;G(ID)_PR_030619" xfId="1500" xr:uid="{B29D8453-79A5-4293-9300-50EBC4977AEB}"/>
    <cellStyle name="_Column1_KT&amp;G(ID준비)_030601_KT&amp;G(ID)_PR_030619_TYC(affiliates)_PD_030709" xfId="1501" xr:uid="{839E6ED1-6F6D-4E83-8C82-E354770D1322}"/>
    <cellStyle name="_Column1_KT&amp;G(ID준비)_030601_KT&amp;G(ID)_PR_030619_TYC(affiliates)_PD_030709_TYC(FY05)tttv_030830" xfId="1502" xr:uid="{DA98BF5B-7EA3-4DF1-9EF2-8DD8BFF70660}"/>
    <cellStyle name="_Column1_KT&amp;G(ID준비)_030601_KT&amp;G(ID)_PR_030619_TYC(affiliates)준비_030623" xfId="1503" xr:uid="{E8846D49-5FFE-412B-B34A-7D32E43147A9}"/>
    <cellStyle name="_Column1_KT&amp;G(ID준비)_030601_KT&amp;G(ID)_PR_030619_TYC(affiliates)준비_030623_TYC(FY05)tttv_030830" xfId="1504" xr:uid="{C4FD7C32-4D24-4EA4-9983-5029A68BBC45}"/>
    <cellStyle name="_Column1_KT&amp;G(ID준비)_030601_KT&amp;G(ID)_PR_030619_TYC(FY05)tttv_030830" xfId="1505" xr:uid="{1CFD2C4C-B9F6-4D4B-81D2-A024B9F8AA1E}"/>
    <cellStyle name="_Column1_KT&amp;G(ID준비)_030601_TYC(affiliates)준비_030623" xfId="1506" xr:uid="{0CD4F99B-E485-401C-9731-EAC4251C7963}"/>
    <cellStyle name="_Column1_KT&amp;G(ID준비)_030601_TYC(affiliates)준비_030623_TYC(affiliates)_PD_030709" xfId="1507" xr:uid="{2AF8270F-C0C1-4FED-A761-9D222B11F4AF}"/>
    <cellStyle name="_Column1_KT&amp;G(ID준비)_030601_TYC(affiliates)준비_030623_TYC(affiliates)_PD_030709_TYC(FY05)tttv_030830" xfId="1508" xr:uid="{B12A6373-CCD4-4ED2-856A-7FFD293AB8D7}"/>
    <cellStyle name="_Column1_KT&amp;G(ID준비)_030601_TYC(affiliates)준비_030623_TYC(affiliates)준비_030623" xfId="1509" xr:uid="{33D99C4E-EFE7-4BA7-AE7B-74D520AC66EA}"/>
    <cellStyle name="_Column1_KT&amp;G(ID준비)_030601_TYC(affiliates)준비_030623_TYC(affiliates)준비_030623_TYC(FY05)tttv_030830" xfId="1510" xr:uid="{E5758736-D208-4241-8DDE-2FD749DE8877}"/>
    <cellStyle name="_Column1_KT&amp;G(ID준비)_030601_TYC(affiliates)준비_030623_TYC(FY05)tttv_030830" xfId="1511" xr:uid="{7C3C1990-FD18-4D7F-8754-171A00077627}"/>
    <cellStyle name="_Column1_KT&amp;G(ID준비)_030601_TYC(FY05)tttv_030830" xfId="1512" xr:uid="{8C9481EA-D9B4-47E5-A89D-AE3C3399C28D}"/>
    <cellStyle name="_Column1_KT&amp;G(ID준비)_030601_Yuhan(FY05)_031030" xfId="1513" xr:uid="{CBB60E2B-2947-4E74-AB13-2AF528152451}"/>
    <cellStyle name="_Column1_TYC(affiliates)준비_030623" xfId="1514" xr:uid="{96692084-3095-41D7-AD65-8DCC7C716B18}"/>
    <cellStyle name="_Column1_TYC(affiliates)준비_030623_TYC(affiliates)_PD_030709" xfId="1515" xr:uid="{5A9750E8-3941-4A87-A805-97D22C96C148}"/>
    <cellStyle name="_Column1_TYC(affiliates)준비_030623_TYC(affiliates)_PD_030709_TYC(FY05)tttv_030830" xfId="1516" xr:uid="{AF6E7506-FDC9-47D3-A3E9-5FDC4BC543C9}"/>
    <cellStyle name="_Column1_TYC(affiliates)준비_030623_TYC(affiliates)준비_030623" xfId="1517" xr:uid="{5DAAF193-0CA7-4697-AF5D-678D8B873DFD}"/>
    <cellStyle name="_Column1_TYC(affiliates)준비_030623_TYC(affiliates)준비_030623_TYC(FY05)tttv_030830" xfId="1518" xr:uid="{3C29EE63-D3C6-4182-91AA-58C887E50234}"/>
    <cellStyle name="_Column1_TYC(affiliates)준비_030623_TYC(FY05)tttv_030830" xfId="1519" xr:uid="{FD9984B6-CFC1-4E4B-8FE7-06302B888E96}"/>
    <cellStyle name="_Column1_TYC(FY05)tttv_030830" xfId="1520" xr:uid="{1A566C1D-52CB-4AC9-A55F-BE361F8B4DCA}"/>
    <cellStyle name="_Column1_Yuhan(FY05)_031030" xfId="1521" xr:uid="{F8888633-CA36-4BC9-B6E7-B430F93D373D}"/>
    <cellStyle name="_Column2" xfId="1522" xr:uid="{AEFA614B-D4DF-4CA0-8910-D7EFB3779D1D}"/>
    <cellStyle name="_Column3" xfId="1523" xr:uid="{92DE430C-1FBD-4D2B-8548-71158E023726}"/>
    <cellStyle name="_Column4" xfId="1524" xr:uid="{23ED011F-FEE3-430F-AC85-8B6CB1B0281A}"/>
    <cellStyle name="_Column5" xfId="1525" xr:uid="{3C354E31-45CC-41F0-8B86-2DD4C2ECBE5C}"/>
    <cellStyle name="_Column6" xfId="1526" xr:uid="{3B612965-1E23-4B7F-BB33-B99A664156A4}"/>
    <cellStyle name="_Column6_KT&amp;G (033780 KS)_MacQ" xfId="1527" xr:uid="{7225DA3F-83F5-482B-B35C-A817E0B37333}"/>
    <cellStyle name="_Column6_KT&amp;G (033780 KS)_MacQ_1q" xfId="1528" xr:uid="{C72AF61D-5299-464F-B2AD-896BCF375BEC}"/>
    <cellStyle name="_Column7" xfId="1529" xr:uid="{04B3A51D-D481-4EF4-81F2-E01B99C13025}"/>
    <cellStyle name="_Core Logic_model2" xfId="1530" xr:uid="{658EB73F-3DFA-44AF-9FC8-91FA6D21DDAF}"/>
    <cellStyle name="_Data" xfId="1531" xr:uid="{48EA3A18-D177-4418-ADC4-52ADF0EEE46B}"/>
    <cellStyle name="_Data_3Q03Results_031030" xfId="1532" xr:uid="{9ABAE02F-8704-43A4-973F-1E145525A1D5}"/>
    <cellStyle name="_Data_KT&amp;G(ID)_PR_030619" xfId="1533" xr:uid="{1075D6EB-2A6F-4078-85CA-45551F516A30}"/>
    <cellStyle name="_Data_KT&amp;G(ID)_PR_030619_1" xfId="1534" xr:uid="{BA18D19E-EF30-43BD-B96D-268B5E3D6BA5}"/>
    <cellStyle name="_Data_KT&amp;G(ID)_PR_030619_1_TYC(affiliates)_PD_030709" xfId="1535" xr:uid="{7C2C47C1-60F6-4236-B6FA-EFC97E759BAE}"/>
    <cellStyle name="_Data_KT&amp;G(ID)_PR_030619_1_TYC(affiliates)_PD_030709_TYC(FY05)tttv_030830" xfId="1536" xr:uid="{10DFF6F5-00A8-4845-9CCF-F7B57C6D398E}"/>
    <cellStyle name="_Data_KT&amp;G(ID)_PR_030619_1_TYC(affiliates)준비_030623" xfId="1537" xr:uid="{EA7B3E51-EA9E-4E58-939D-BF1346879296}"/>
    <cellStyle name="_Data_KT&amp;G(ID)_PR_030619_1_TYC(affiliates)준비_030623_TYC(FY05)tttv_030830" xfId="1538" xr:uid="{DD9B381F-58EF-45E6-B860-BF8DC7D5232C}"/>
    <cellStyle name="_Data_KT&amp;G(ID)_PR_030619_1_TYC(FY05)tttv_030830" xfId="1539" xr:uid="{267A2E88-E60F-427F-BCE5-1ED6B1F80528}"/>
    <cellStyle name="_Data_KT&amp;G(ID)_PR_030619_3Q03Results_031030" xfId="1540" xr:uid="{6D2E7083-7503-45E4-B950-13F54B5CBBED}"/>
    <cellStyle name="_Data_KT&amp;G(ID)_PR_030619_KT&amp;G(ID)_PR_030619" xfId="1541" xr:uid="{D3D7390A-C339-4DD1-93D4-01AED9CFD785}"/>
    <cellStyle name="_Data_KT&amp;G(ID)_PR_030619_KT&amp;G(ID)_PR_030619_TYC(affiliates)_PD_030709" xfId="1542" xr:uid="{11C14768-0201-4AA1-B82B-08AD485E37AA}"/>
    <cellStyle name="_Data_KT&amp;G(ID)_PR_030619_KT&amp;G(ID)_PR_030619_TYC(affiliates)_PD_030709_TYC(FY05)tttv_030830" xfId="1543" xr:uid="{339B0190-503A-4315-A0C5-3B767066F3D0}"/>
    <cellStyle name="_Data_KT&amp;G(ID)_PR_030619_KT&amp;G(ID)_PR_030619_TYC(affiliates)준비_030623" xfId="1544" xr:uid="{EC73B9F8-2DF2-424A-B320-8B0AD51A91C9}"/>
    <cellStyle name="_Data_KT&amp;G(ID)_PR_030619_KT&amp;G(ID)_PR_030619_TYC(affiliates)준비_030623_TYC(FY05)tttv_030830" xfId="1545" xr:uid="{AEF3896E-2533-4CE0-B5CB-FC23A6AE9DDA}"/>
    <cellStyle name="_Data_KT&amp;G(ID)_PR_030619_KT&amp;G(ID)_PR_030619_TYC(FY05)tttv_030830" xfId="1546" xr:uid="{63FF5EED-2B2F-49BF-BA20-7B485AC220AA}"/>
    <cellStyle name="_Data_KT&amp;G(ID)_PR_030619_TYC(affiliates)준비_030623" xfId="1547" xr:uid="{136AB484-0C3B-46AC-A1FE-A3FCAB6CC41D}"/>
    <cellStyle name="_Data_KT&amp;G(ID)_PR_030619_TYC(affiliates)준비_030623_TYC(affiliates)_PD_030709" xfId="1548" xr:uid="{65D86FD5-DDF0-4E13-BED8-E5FC41E3F277}"/>
    <cellStyle name="_Data_KT&amp;G(ID)_PR_030619_TYC(affiliates)준비_030623_TYC(affiliates)_PD_030709_TYC(FY05)tttv_030830" xfId="1549" xr:uid="{FA6598D6-4925-4013-A810-7DF45B0FF72B}"/>
    <cellStyle name="_Data_KT&amp;G(ID)_PR_030619_TYC(affiliates)준비_030623_TYC(affiliates)준비_030623" xfId="1550" xr:uid="{4AB362C1-BCFD-4554-B834-DF6ED42754D1}"/>
    <cellStyle name="_Data_KT&amp;G(ID)_PR_030619_TYC(affiliates)준비_030623_TYC(affiliates)준비_030623_TYC(FY05)tttv_030830" xfId="1551" xr:uid="{FEC4D665-8EFE-4570-A9B6-8E63D3194B14}"/>
    <cellStyle name="_Data_KT&amp;G(ID)_PR_030619_TYC(affiliates)준비_030623_TYC(FY05)tttv_030830" xfId="1552" xr:uid="{CB417D01-14B8-4850-B1F7-58405D8D28DB}"/>
    <cellStyle name="_Data_KT&amp;G(ID)_PR_030619_TYC(FY05)tttv_030830" xfId="1553" xr:uid="{0097A1BC-E959-4C30-8B57-2B07F596E56D}"/>
    <cellStyle name="_Data_KT&amp;G(ID)_PR_030619_Yuhan(FY05)_031030" xfId="1554" xr:uid="{58176B42-CEBF-4443-890F-A5F07FD311E7}"/>
    <cellStyle name="_Data_KT&amp;G(ID준비)_030601" xfId="1555" xr:uid="{3AA783B8-5045-4E29-B769-6C3700DD2B5B}"/>
    <cellStyle name="_Data_KT&amp;G(ID준비)_030601_3Q03Results_031030" xfId="1556" xr:uid="{EA270D80-8193-4604-BCB6-2A73886A122C}"/>
    <cellStyle name="_Data_KT&amp;G(ID준비)_030601_KT&amp;G(ID)_PR_030619" xfId="1557" xr:uid="{2D2222DB-477C-451D-9181-D8674E668640}"/>
    <cellStyle name="_Data_KT&amp;G(ID준비)_030601_KT&amp;G(ID)_PR_030619_TYC(affiliates)_PD_030709" xfId="1558" xr:uid="{1C3670BE-A59A-4DAE-BA71-E6F4D84184CC}"/>
    <cellStyle name="_Data_KT&amp;G(ID준비)_030601_KT&amp;G(ID)_PR_030619_TYC(affiliates)_PD_030709_TYC(FY05)tttv_030830" xfId="1559" xr:uid="{FE018527-A351-4C25-B74C-2A71EC648EF8}"/>
    <cellStyle name="_Data_KT&amp;G(ID준비)_030601_KT&amp;G(ID)_PR_030619_TYC(affiliates)준비_030623" xfId="1560" xr:uid="{A29A85B4-4D3E-4571-AD0B-A91FD7C4A499}"/>
    <cellStyle name="_Data_KT&amp;G(ID준비)_030601_KT&amp;G(ID)_PR_030619_TYC(affiliates)준비_030623_TYC(FY05)tttv_030830" xfId="1561" xr:uid="{4061D05D-E0D4-442F-8043-64706A52D947}"/>
    <cellStyle name="_Data_KT&amp;G(ID준비)_030601_KT&amp;G(ID)_PR_030619_TYC(FY05)tttv_030830" xfId="1562" xr:uid="{20BC0F69-0FB3-4B24-81B9-68BF27C0508F}"/>
    <cellStyle name="_Data_KT&amp;G(ID준비)_030601_TYC(affiliates)준비_030623" xfId="1563" xr:uid="{4D40B63D-1199-408F-8B7C-AFDC3DA73E61}"/>
    <cellStyle name="_Data_KT&amp;G(ID준비)_030601_TYC(affiliates)준비_030623_TYC(affiliates)_PD_030709" xfId="1564" xr:uid="{F532D94B-4F31-43A3-938D-125116B23850}"/>
    <cellStyle name="_Data_KT&amp;G(ID준비)_030601_TYC(affiliates)준비_030623_TYC(affiliates)_PD_030709_TYC(FY05)tttv_030830" xfId="1565" xr:uid="{91B47A51-1117-40BF-9647-8007B2B42B42}"/>
    <cellStyle name="_Data_KT&amp;G(ID준비)_030601_TYC(affiliates)준비_030623_TYC(affiliates)준비_030623" xfId="1566" xr:uid="{2EE1B66C-4EBA-4146-AFC3-2B9249E76D1F}"/>
    <cellStyle name="_Data_KT&amp;G(ID준비)_030601_TYC(affiliates)준비_030623_TYC(affiliates)준비_030623_TYC(FY05)tttv_030830" xfId="1567" xr:uid="{B68B0BF5-21DC-403F-81F1-9ABB0629ABC0}"/>
    <cellStyle name="_Data_KT&amp;G(ID준비)_030601_TYC(affiliates)준비_030623_TYC(FY05)tttv_030830" xfId="1568" xr:uid="{1595B2C5-70D1-40DA-8F0C-06EA06C554CF}"/>
    <cellStyle name="_Data_KT&amp;G(ID준비)_030601_TYC(FY05)tttv_030830" xfId="1569" xr:uid="{111B3FE6-F8DB-4373-BA6E-ECCAE07E9187}"/>
    <cellStyle name="_Data_KT&amp;G(ID준비)_030601_Yuhan(FY05)_031030" xfId="1570" xr:uid="{74F2967F-CABE-41C6-9F2D-377BAF3E73BB}"/>
    <cellStyle name="_Data_TYC(affiliates)준비_030623" xfId="1571" xr:uid="{90DBE3BE-3911-47AA-889D-81DA9167E656}"/>
    <cellStyle name="_Data_TYC(affiliates)준비_030623_TYC(affiliates)_PD_030709" xfId="1572" xr:uid="{B0197E78-05EB-43A3-B924-DDFDEA73099A}"/>
    <cellStyle name="_Data_TYC(affiliates)준비_030623_TYC(affiliates)_PD_030709_TYC(FY05)tttv_030830" xfId="1573" xr:uid="{D3A8E674-156A-4EB6-8E4C-1F2C469C62B7}"/>
    <cellStyle name="_Data_TYC(affiliates)준비_030623_TYC(affiliates)준비_030623" xfId="1574" xr:uid="{297AFA78-0BE6-44CE-A66C-997D38C100C3}"/>
    <cellStyle name="_Data_TYC(affiliates)준비_030623_TYC(affiliates)준비_030623_TYC(FY05)tttv_030830" xfId="1575" xr:uid="{1059C011-E814-43DD-B479-989AF4F415D0}"/>
    <cellStyle name="_Data_TYC(affiliates)준비_030623_TYC(FY05)tttv_030830" xfId="1576" xr:uid="{BCDE244C-AA00-4D2D-9BE1-D8759B0ADA4E}"/>
    <cellStyle name="_Data_TYC(FY05)tttv_030830" xfId="1577" xr:uid="{1735A3AF-8B43-4B4E-B758-EFA64D6D57F5}"/>
    <cellStyle name="_Data_Yuhan(FY05)_031030" xfId="1578" xr:uid="{B4B46DC6-E79D-4BF5-AA98-CE2A909A2030}"/>
    <cellStyle name="_DMC-2.xls Chart 1" xfId="1579" xr:uid="{C81FCC65-A69A-49E4-95EC-FF3E70D07365}"/>
    <cellStyle name="_E&amp;P" xfId="1580" xr:uid="{F5E4F94A-494D-4734-B335-42B6F06CC1E3}"/>
    <cellStyle name="_Earnings" xfId="1581" xr:uid="{8D3BA8C5-6FF8-436E-A2E5-7297A44297A1}"/>
    <cellStyle name="_Earnings_1" xfId="1582" xr:uid="{18976574-EE43-4D77-9637-2D095FFB2F8B}"/>
    <cellStyle name="_Earnings_1_Mcr" xfId="1583" xr:uid="{821ADF78-E67A-4923-B491-29470CC90FCF}"/>
    <cellStyle name="_Earnings_1_mkt analysis" xfId="1584" xr:uid="{7557883F-46CA-4860-A2AC-CD20334E9B4D}"/>
    <cellStyle name="_Earnings_1_model" xfId="1585" xr:uid="{A59B2ABF-A4DE-4796-85D2-B3BC4175474E}"/>
    <cellStyle name="_Earnings_1_px catalyst" xfId="1586" xr:uid="{C1380E4E-0446-4B01-8412-ADA84C789739}"/>
    <cellStyle name="_Earnings_1_px catalyst-coincident" xfId="1587" xr:uid="{A4397770-5AB4-4180-B81A-CF405A91C3EB}"/>
    <cellStyle name="_Earnings_1_ROE comparison" xfId="1588" xr:uid="{4688B009-54A1-4901-8EAE-5BF178825C50}"/>
    <cellStyle name="_Earnings_1_STX Dalian Engine" xfId="1589" xr:uid="{4F8CDFC5-7706-450A-A36E-99F004C70D6D}"/>
    <cellStyle name="_Earnings_1_STX Europe" xfId="1590" xr:uid="{80BE4114-045B-4D9E-9D58-51CCE5F44C95}"/>
    <cellStyle name="_eco0804_MRE" xfId="1591" xr:uid="{B9F61DA9-E1CB-4ECF-86FE-4B6B21723A7A}"/>
    <cellStyle name="_eco1204_MRE" xfId="1592" xr:uid="{CAD12395-4456-48C5-8C4E-95CAAC434410}"/>
    <cellStyle name="_Exp-Plan" xfId="1593" xr:uid="{CB663C32-BF74-4287-8B3B-F821D2015739}"/>
    <cellStyle name="_Exp-Plan_1" xfId="1594" xr:uid="{F20BF627-30CB-4E8F-8097-9ECDE591671D}"/>
    <cellStyle name="_Exp-Plan_1_hhi_IFRS_in progress_Jul 2012" xfId="1595" xr:uid="{AB1A5E14-9885-4008-B7C9-1FBFDF01FB61}"/>
    <cellStyle name="_Exp-Plan_1_hhi_IFRS_in progress_Jul 2012 2" xfId="1596" xr:uid="{5B1D7BE2-5182-464C-9375-57835BF01FA6}"/>
    <cellStyle name="_Exp-Plan_2" xfId="1597" xr:uid="{2B6FD15A-A8EB-4110-A8C9-C04A0587C8CD}"/>
    <cellStyle name="_Exp-Plan_2_hhi_IFRS_in progress_Jul 2012" xfId="1598" xr:uid="{52B106E7-76F2-41E4-B177-86761EA80472}"/>
    <cellStyle name="_Exp-Plan_2_hhi_IFRS_in progress_Jul 2012 2" xfId="1599" xr:uid="{81814BA6-6022-4226-95BD-ABCEA5332EEF}"/>
    <cellStyle name="_Exp-Plan_3" xfId="1600" xr:uid="{B4343DD9-C5FC-49F5-B3AA-A34837A3C917}"/>
    <cellStyle name="_Exp-Plan_3_hhi_IFRS_in progress_Jul 2012" xfId="1601" xr:uid="{BDAC0B19-B520-4080-8362-206A65D06061}"/>
    <cellStyle name="_Exp-Plan_3_hhi_IFRS_in progress_Jul 2012 2" xfId="1602" xr:uid="{E72E39DB-EEEC-49D1-B57A-8374A265239C}"/>
    <cellStyle name="_Exp-Plan_4" xfId="1603" xr:uid="{C7E806D4-7653-4374-A1FA-782C080945DE}"/>
    <cellStyle name="_Exp-Plan_4_hhi_IFRS_in progress_Jul 2012" xfId="1604" xr:uid="{66146841-7EB5-41D4-A583-6965BA107F0C}"/>
    <cellStyle name="_Exp-Plan_4_hhi_IFRS_in progress_Jul 2012 2" xfId="1605" xr:uid="{78E7405F-42D0-4678-9CE4-4EF595F38FD8}"/>
    <cellStyle name="_Exp-Plan_5" xfId="1606" xr:uid="{FC6155E8-DD20-4A56-851F-DCB4CB14E47B}"/>
    <cellStyle name="_Exp-Plan_5_hhi_IFRS_in progress_Jul 2012" xfId="1607" xr:uid="{AD48A32C-3F52-40CE-B9C7-2DB003D9C6EA}"/>
    <cellStyle name="_Exp-Plan_5_hhi_IFRS_in progress_Jul 2012 2" xfId="1608" xr:uid="{B2A72AEC-4905-4760-B444-C7537DCBD45D}"/>
    <cellStyle name="_Exp-Plan_6" xfId="1609" xr:uid="{AC7EF1C2-D4D7-4E44-9D63-4813A2901352}"/>
    <cellStyle name="_Exp-Plan_6_hhi_IFRS_in progress_Jul 2012" xfId="1610" xr:uid="{DA2C3D46-E01C-4305-ACF6-C6C2152316D3}"/>
    <cellStyle name="_Exp-Plan_6_hhi_IFRS_in progress_Jul 2012 2" xfId="1611" xr:uid="{F6A68C21-6F3F-4917-861C-E39BA7AD15D1}"/>
    <cellStyle name="_Exp-Plan_7" xfId="1612" xr:uid="{6E0C5403-0376-41DD-BDB8-E44337DA507E}"/>
    <cellStyle name="_Exp-Plan_7_3Q03Results_031030" xfId="1613" xr:uid="{25DA49CC-8A2E-4857-91CC-0B5EC6315457}"/>
    <cellStyle name="_Exp-Plan_7_Datastream" xfId="1614" xr:uid="{64A0D1EB-6F33-49B2-8EF7-CE8670EB8863}"/>
    <cellStyle name="_Exp-Plan_7_DCF" xfId="1615" xr:uid="{02A45653-605C-4007-A956-5A588E1B5569}"/>
    <cellStyle name="_Exp-Plan_7_FS-quarterly" xfId="1616" xr:uid="{6CD5E3E1-C03B-4325-B482-5649D149B38B}"/>
    <cellStyle name="_Exp-Plan_7_Hanaro" xfId="1617" xr:uid="{C46EBC15-8E2D-46D3-9A86-D7D9152A17C1}"/>
    <cellStyle name="_Exp-Plan_7_KT&amp;G(ID)_PR_030619" xfId="1618" xr:uid="{24E47736-2E21-423B-9AC8-9D7D8ED731CA}"/>
    <cellStyle name="_Exp-Plan_7_KT&amp;G(ID)_PR_030619_1" xfId="1619" xr:uid="{8334E12A-DD43-4FDC-9A57-5FBFE1AC62FB}"/>
    <cellStyle name="_Exp-Plan_7_KT&amp;G(ID)_PR_030619_1_TYC(affiliates)_PD_030709" xfId="1620" xr:uid="{0D2D32DA-3A1C-480A-9D5E-A909A98B24D1}"/>
    <cellStyle name="_Exp-Plan_7_KT&amp;G(ID)_PR_030619_1_TYC(affiliates)_PD_030709_TYC(FY05)tttv_030830" xfId="1621" xr:uid="{BB01B742-79F5-4B25-9ABC-02B2B4263494}"/>
    <cellStyle name="_Exp-Plan_7_KT&amp;G(ID)_PR_030619_1_TYC(affiliates)준비_030623" xfId="1622" xr:uid="{33724224-8A94-4E93-846E-69E778773D12}"/>
    <cellStyle name="_Exp-Plan_7_KT&amp;G(ID)_PR_030619_1_TYC(affiliates)준비_030623_TYC(FY05)tttv_030830" xfId="1623" xr:uid="{94490EE2-D9CF-4838-A3BD-85C7D9E0FDE3}"/>
    <cellStyle name="_Exp-Plan_7_KT&amp;G(ID)_PR_030619_1_TYC(FY05)tttv_030830" xfId="1624" xr:uid="{D66C2EFB-9B5E-486F-AC9A-3F05858D4685}"/>
    <cellStyle name="_Exp-Plan_7_KT&amp;G(ID)_PR_030619_3Q03Results_031030" xfId="1625" xr:uid="{B5D630BD-CCF3-41E4-80CE-37E2F80FEF4D}"/>
    <cellStyle name="_Exp-Plan_7_KT&amp;G(ID)_PR_030619_KT&amp;G(ID)_PR_030619" xfId="1626" xr:uid="{83C2EE1A-F0AF-49F3-9C85-AF9CC42E9EC8}"/>
    <cellStyle name="_Exp-Plan_7_KT&amp;G(ID)_PR_030619_KT&amp;G(ID)_PR_030619_TYC(affiliates)_PD_030709" xfId="1627" xr:uid="{F811A1FD-42EE-4A57-859A-D427FA09E7A9}"/>
    <cellStyle name="_Exp-Plan_7_KT&amp;G(ID)_PR_030619_KT&amp;G(ID)_PR_030619_TYC(affiliates)_PD_030709_TYC(FY05)tttv_030830" xfId="1628" xr:uid="{54F93A32-AEAA-49BA-9BFD-817AC23AF9E9}"/>
    <cellStyle name="_Exp-Plan_7_KT&amp;G(ID)_PR_030619_KT&amp;G(ID)_PR_030619_TYC(affiliates)준비_030623" xfId="1629" xr:uid="{E69C3AA6-A91E-491F-8AD8-5EB044A1BFBD}"/>
    <cellStyle name="_Exp-Plan_7_KT&amp;G(ID)_PR_030619_KT&amp;G(ID)_PR_030619_TYC(affiliates)준비_030623_TYC(FY05)tttv_030830" xfId="1630" xr:uid="{CED94DA9-E2D8-4249-BC38-FB5D72B76C82}"/>
    <cellStyle name="_Exp-Plan_7_KT&amp;G(ID)_PR_030619_KT&amp;G(ID)_PR_030619_TYC(FY05)tttv_030830" xfId="1631" xr:uid="{F38591FB-5C87-4406-BD30-A385C8421C95}"/>
    <cellStyle name="_Exp-Plan_7_KT&amp;G(ID)_PR_030619_TYC(affiliates)준비_030623" xfId="1632" xr:uid="{5AF853A9-CE6C-4759-A15E-EE1DC95E9FDA}"/>
    <cellStyle name="_Exp-Plan_7_KT&amp;G(ID)_PR_030619_TYC(affiliates)준비_030623_TYC(affiliates)_PD_030709" xfId="1633" xr:uid="{56A1F31D-2915-404F-8D44-0EE8625C3578}"/>
    <cellStyle name="_Exp-Plan_7_KT&amp;G(ID)_PR_030619_TYC(affiliates)준비_030623_TYC(affiliates)_PD_030709_TYC(FY05)tttv_030830" xfId="1634" xr:uid="{17FD3B82-07A2-4F0E-B80A-38744EEA6413}"/>
    <cellStyle name="_Exp-Plan_7_KT&amp;G(ID)_PR_030619_TYC(affiliates)준비_030623_TYC(affiliates)준비_030623" xfId="1635" xr:uid="{983EF570-84D8-44CF-918A-FD60AC1E2001}"/>
    <cellStyle name="_Exp-Plan_7_KT&amp;G(ID)_PR_030619_TYC(affiliates)준비_030623_TYC(affiliates)준비_030623_TYC(FY05)tttv_030830" xfId="1636" xr:uid="{BFC5DB1A-BEA0-449C-94D2-E81754BFB986}"/>
    <cellStyle name="_Exp-Plan_7_KT&amp;G(ID)_PR_030619_TYC(affiliates)준비_030623_TYC(FY05)tttv_030830" xfId="1637" xr:uid="{C0B1886E-2F66-4A27-8AE2-2E92617429C8}"/>
    <cellStyle name="_Exp-Plan_7_KT&amp;G(ID)_PR_030619_TYC(FY05)tttv_030830" xfId="1638" xr:uid="{1B8182EA-E357-4E81-9631-5F9C58DDF5BC}"/>
    <cellStyle name="_Exp-Plan_7_KT&amp;G(ID)_PR_030619_Yuhan(FY05)_031030" xfId="1639" xr:uid="{A15F4FBF-866E-4728-B1E3-F0EA15039EDA}"/>
    <cellStyle name="_Exp-Plan_7_KT&amp;G(ID준비)_030601" xfId="1640" xr:uid="{13677A03-52BB-4DF9-A20E-7AA761313559}"/>
    <cellStyle name="_Exp-Plan_7_KT&amp;G(ID준비)_030601_3Q03Results_031030" xfId="1641" xr:uid="{4E7BB681-ED89-4822-B254-FF37D6583AF9}"/>
    <cellStyle name="_Exp-Plan_7_KT&amp;G(ID준비)_030601_KT&amp;G(ID)_PR_030619" xfId="1642" xr:uid="{B96F587F-6162-491F-B878-A47B428D1734}"/>
    <cellStyle name="_Exp-Plan_7_KT&amp;G(ID준비)_030601_KT&amp;G(ID)_PR_030619_TYC(affiliates)_PD_030709" xfId="1643" xr:uid="{0CEAB530-E3F2-4018-8A1A-EFAF7539E2B9}"/>
    <cellStyle name="_Exp-Plan_7_KT&amp;G(ID준비)_030601_KT&amp;G(ID)_PR_030619_TYC(affiliates)_PD_030709_TYC(FY05)tttv_030830" xfId="1644" xr:uid="{DF577B2B-A178-4C43-8729-EDF5F7BAB53E}"/>
    <cellStyle name="_Exp-Plan_7_KT&amp;G(ID준비)_030601_KT&amp;G(ID)_PR_030619_TYC(affiliates)준비_030623" xfId="1645" xr:uid="{719F3A94-5B05-45ED-AA3F-7E9F10D8D44E}"/>
    <cellStyle name="_Exp-Plan_7_KT&amp;G(ID준비)_030601_KT&amp;G(ID)_PR_030619_TYC(affiliates)준비_030623_TYC(FY05)tttv_030830" xfId="1646" xr:uid="{8A703E70-B4C3-49A4-A0A3-AB8034DD5D9C}"/>
    <cellStyle name="_Exp-Plan_7_KT&amp;G(ID준비)_030601_KT&amp;G(ID)_PR_030619_TYC(FY05)tttv_030830" xfId="1647" xr:uid="{09D1CA13-04F4-42F9-80AA-F260B9043EB8}"/>
    <cellStyle name="_Exp-Plan_7_KT&amp;G(ID준비)_030601_TYC(affiliates)준비_030623" xfId="1648" xr:uid="{A7EAB80C-6757-4836-8445-2BAB162CC1BB}"/>
    <cellStyle name="_Exp-Plan_7_KT&amp;G(ID준비)_030601_TYC(affiliates)준비_030623_TYC(affiliates)_PD_030709" xfId="1649" xr:uid="{D8F650B0-56B9-49EC-8DF4-6A941265DFF6}"/>
    <cellStyle name="_Exp-Plan_7_KT&amp;G(ID준비)_030601_TYC(affiliates)준비_030623_TYC(affiliates)_PD_030709_TYC(FY05)tttv_030830" xfId="1650" xr:uid="{A49B9B81-930B-4E01-A959-83696E9D17C0}"/>
    <cellStyle name="_Exp-Plan_7_KT&amp;G(ID준비)_030601_TYC(affiliates)준비_030623_TYC(affiliates)준비_030623" xfId="1651" xr:uid="{2DE4B2B1-69AE-4B49-B818-C9252A01CE13}"/>
    <cellStyle name="_Exp-Plan_7_KT&amp;G(ID준비)_030601_TYC(affiliates)준비_030623_TYC(affiliates)준비_030623_TYC(FY05)tttv_030830" xfId="1652" xr:uid="{9D231D41-9541-4341-9B99-B73027C7AB89}"/>
    <cellStyle name="_Exp-Plan_7_KT&amp;G(ID준비)_030601_TYC(affiliates)준비_030623_TYC(FY05)tttv_030830" xfId="1653" xr:uid="{71A444C5-654B-4153-BF87-6AEE62E02830}"/>
    <cellStyle name="_Exp-Plan_7_KT&amp;G(ID준비)_030601_TYC(FY05)tttv_030830" xfId="1654" xr:uid="{A0644107-86FC-4693-9F3A-1A8F9A6083CC}"/>
    <cellStyle name="_Exp-Plan_7_KT&amp;G(ID준비)_030601_Yuhan(FY05)_031030" xfId="1655" xr:uid="{73432489-112D-452A-B207-8A2F78DFB2D7}"/>
    <cellStyle name="_Exp-Plan_7_Operations" xfId="1656" xr:uid="{30A6A417-2C6E-4008-B9C0-1EF4DCCE5ED9}"/>
    <cellStyle name="_Exp-Plan_7_Report" xfId="1657" xr:uid="{11C13A54-AD00-4979-A000-D89C8089C8BF}"/>
    <cellStyle name="_Exp-Plan_7_Revenues" xfId="1658" xr:uid="{6A0B5B28-37C8-4C0E-A448-7EC06182D019}"/>
    <cellStyle name="_Exp-Plan_7_SK Corp 003600 1" xfId="1659" xr:uid="{EB1BC29D-619B-4C07-AC47-3057C1AC28A4}"/>
    <cellStyle name="_Exp-Plan_7_SK Incheon" xfId="1660" xr:uid="{1B646FFA-EA52-4E94-A837-C02AD9211C80}"/>
    <cellStyle name="_Exp-Plan_7_TYC(affiliates)준비_030623" xfId="1661" xr:uid="{B67F4342-CE1E-46A8-A156-2E361C6580AE}"/>
    <cellStyle name="_Exp-Plan_7_TYC(affiliates)준비_030623_TYC(affiliates)_PD_030709" xfId="1662" xr:uid="{F8FD5094-4DDE-42BB-8C2B-B813288E2BF0}"/>
    <cellStyle name="_Exp-Plan_7_TYC(affiliates)준비_030623_TYC(affiliates)_PD_030709_TYC(FY05)tttv_030830" xfId="1663" xr:uid="{C11AAAC9-91ED-438C-91BA-1FB6C924A57B}"/>
    <cellStyle name="_Exp-Plan_7_TYC(affiliates)준비_030623_TYC(affiliates)준비_030623" xfId="1664" xr:uid="{F1AF7A8B-CD89-4679-939A-B5E91D0FBED4}"/>
    <cellStyle name="_Exp-Plan_7_TYC(affiliates)준비_030623_TYC(affiliates)준비_030623_TYC(FY05)tttv_030830" xfId="1665" xr:uid="{48B5C40D-C9BB-4F01-8969-6F57114755FA}"/>
    <cellStyle name="_Exp-Plan_7_TYC(affiliates)준비_030623_TYC(FY05)tttv_030830" xfId="1666" xr:uid="{54AA02D8-67B8-4B4C-A6EE-65A4D077BC8F}"/>
    <cellStyle name="_Exp-Plan_7_TYC(FY05)tttv_030830" xfId="1667" xr:uid="{552CC2E7-A1B3-4277-908F-CE6660B1DF82}"/>
    <cellStyle name="_Exp-Plan_7_Yuhan(FY05)_031030" xfId="1668" xr:uid="{AACE88AD-9AF1-4950-B74C-98CB136A2634}"/>
    <cellStyle name="_Exp-Plan_8" xfId="1669" xr:uid="{6551AD10-93F9-4987-BF39-68D174A6A054}"/>
    <cellStyle name="_Exp-Plan_8_hhi_IFRS_in progress_Jul 2012" xfId="1670" xr:uid="{65FF13E6-5DDB-48C1-B6DD-8CAD43D66FC7}"/>
    <cellStyle name="_Exp-Plan_8_hhi_IFRS_in progress_Jul 2012 2" xfId="1671" xr:uid="{CA74209B-C780-48C1-B7AA-E64EF4696166}"/>
    <cellStyle name="_Exp-Plan_9" xfId="1672" xr:uid="{3AD63871-30E1-4CAD-9101-1782E48CDC87}"/>
    <cellStyle name="_Exp-Plan_9_hhi_IFRS_in progress_Jul 2012" xfId="1673" xr:uid="{A39679F1-24F1-41C4-A522-6F026A6E4DCB}"/>
    <cellStyle name="_Exp-Plan_9_hhi_IFRS_in progress_Jul 2012 2" xfId="1674" xr:uid="{585A83E1-C504-42CC-9B06-105CF27C92CF}"/>
    <cellStyle name="_Exp-Plan_AmorePacific (090430)_MacQ_JiEun_2010_new" xfId="1675" xr:uid="{FD661F17-6ADF-4E98-83FA-4BD44A076B47}"/>
    <cellStyle name="_Exp-Plan_AmorePacific (090430)_MacQ_JiEun_2010_new 2" xfId="1676" xr:uid="{3AA78469-3B50-4809-9239-42F1AEC545AD}"/>
    <cellStyle name="_Exp-Plan_AmorePacific (090430)_MacQ_JiEun_2010_new_Hi-mart model for Alison (5 July 2011)" xfId="1677" xr:uid="{5DFF27FB-78B2-4347-BFA2-37CF1CC4F34F}"/>
    <cellStyle name="_Exp-Plan_HDS (069960 KS)_MacQ_2010" xfId="1678" xr:uid="{12899441-301B-41E2-9272-4F50A02D627C}"/>
    <cellStyle name="_Exp-Plan_HDS (069960 KS)_MacQ_2010 2" xfId="1679" xr:uid="{E33BDD11-7232-47AC-9637-554D5C62D0BD}"/>
    <cellStyle name="_Exp-Plan_HDS (069960 KS)_MacQ_2010_Hi-mart model for Alison (5 July 2011)" xfId="1680" xr:uid="{5FC1B1A6-B630-4AAC-B485-7C41818ADD7E}"/>
    <cellStyle name="—_Fab data" xfId="1681" xr:uid="{C0D66068-29DA-469D-B7A3-F1070DC72ECB}"/>
    <cellStyle name="—_Fab data_030827_Fab Status@Hynix" xfId="1682" xr:uid="{8B629210-059F-4944-997A-7A7326D6EEAA}"/>
    <cellStyle name="—_Fab data_030827_Fab Status@Hynix_VERY simple model_Hynix" xfId="1683" xr:uid="{9AA8D517-E438-4073-88FC-20C9F5AB0793}"/>
    <cellStyle name="—_Fab data_Fab Status@Hynix" xfId="1684" xr:uid="{997750D9-2F64-4695-935D-AF7A18A3A079}"/>
    <cellStyle name="—_Fab data_Fab Status@Hynix_VERY simple model_Hynix" xfId="1685" xr:uid="{12542C03-4D5F-4297-98A4-7DE544AD790C}"/>
    <cellStyle name="—_Fab data_VERY simple model_Hynix" xfId="1686" xr:uid="{1C28C379-7D81-4DAF-BA48-61E535F18062}"/>
    <cellStyle name="_Final_Asia_Industrial_Q (2)" xfId="1687" xr:uid="{79A99B5A-F924-4748-9AC4-4927BD0250EC}"/>
    <cellStyle name="_GAL-Nov" xfId="1688" xr:uid="{932C79B6-FF1E-4702-8335-4AFC647CE874}"/>
    <cellStyle name="_GAL-Nov_1" xfId="1689" xr:uid="{BE0CD0CA-0B9A-4A77-85B8-30A6FEF9FEEF}"/>
    <cellStyle name="_GAL-Nov_1_hhi_IFRS_in progress_Jul 2012" xfId="1690" xr:uid="{AFFDCDFD-2102-424C-9B50-05795403965E}"/>
    <cellStyle name="_GAL-Nov_1_hhi_IFRS_in progress_Jul 2012 2" xfId="1691" xr:uid="{2D0BC193-E5BC-48AD-8E36-06239D1FD086}"/>
    <cellStyle name="_GAL-Nov_2" xfId="1692" xr:uid="{2DF12484-084D-4A10-B2FB-6C90DF9952AB}"/>
    <cellStyle name="_GAL-Nov_2_hhi_IFRS_in progress_Jul 2012" xfId="1693" xr:uid="{25CCF802-39F7-4F1C-873C-A90D87974618}"/>
    <cellStyle name="_GAL-Nov_2_hhi_IFRS_in progress_Jul 2012 2" xfId="1694" xr:uid="{9FFD3461-C391-4DEF-83F8-F013EACBE48A}"/>
    <cellStyle name="_GAL-Nov_3" xfId="1695" xr:uid="{04191917-B94E-40BC-B2A1-480029A4D489}"/>
    <cellStyle name="_GAL-Nov_3_3Q03Results_031030" xfId="1696" xr:uid="{E0A6B2B9-061B-46D7-8374-EAA370A0EB73}"/>
    <cellStyle name="_GAL-Nov_3_Datastream" xfId="1697" xr:uid="{BF6167B4-ED6C-40C1-A402-196A1362F625}"/>
    <cellStyle name="_GAL-Nov_3_DCF" xfId="1698" xr:uid="{761C1ECF-E097-4423-B4CD-F8922BF22DBD}"/>
    <cellStyle name="_GAL-Nov_3_FS-quarterly" xfId="1699" xr:uid="{C93ACDDC-6083-42B1-91E8-F52DB6DED3C2}"/>
    <cellStyle name="_GAL-Nov_3_Hanaro" xfId="1700" xr:uid="{287939B8-7FA8-4159-A3B2-129E94BDA42B}"/>
    <cellStyle name="_GAL-Nov_3_KT&amp;G(ID)_PR_030619" xfId="1701" xr:uid="{5FCA0F1E-0F72-4606-8F3E-386885194278}"/>
    <cellStyle name="_GAL-Nov_3_KT&amp;G(ID)_PR_030619_1" xfId="1702" xr:uid="{F21403EE-A882-4B27-A424-13D2677144DF}"/>
    <cellStyle name="_GAL-Nov_3_KT&amp;G(ID)_PR_030619_1_TYC(affiliates)_PD_030709" xfId="1703" xr:uid="{614F7881-A34D-4DB4-B215-9E2DE2844A28}"/>
    <cellStyle name="_GAL-Nov_3_KT&amp;G(ID)_PR_030619_1_TYC(affiliates)_PD_030709_TYC(FY05)tttv_030830" xfId="1704" xr:uid="{2E7749B7-F23C-4B53-A391-6059D4A0E09B}"/>
    <cellStyle name="_GAL-Nov_3_KT&amp;G(ID)_PR_030619_1_TYC(affiliates)준비_030623" xfId="1705" xr:uid="{A0631EAA-3CC3-489E-B1DA-A66ABDCD003D}"/>
    <cellStyle name="_GAL-Nov_3_KT&amp;G(ID)_PR_030619_1_TYC(affiliates)준비_030623_TYC(FY05)tttv_030830" xfId="1706" xr:uid="{8BD95A77-6FCA-4CC7-9039-175339FB547A}"/>
    <cellStyle name="_GAL-Nov_3_KT&amp;G(ID)_PR_030619_1_TYC(FY05)tttv_030830" xfId="1707" xr:uid="{115F728D-B6FF-4F1B-B2C2-CE165E7F41FA}"/>
    <cellStyle name="_GAL-Nov_3_KT&amp;G(ID)_PR_030619_3Q03Results_031030" xfId="1708" xr:uid="{AFBC40E6-632D-4705-AEEF-A784B19473CA}"/>
    <cellStyle name="_GAL-Nov_3_KT&amp;G(ID)_PR_030619_KT&amp;G(ID)_PR_030619" xfId="1709" xr:uid="{9808C451-E3EA-4FE3-BAC7-AED0D92DD148}"/>
    <cellStyle name="_GAL-Nov_3_KT&amp;G(ID)_PR_030619_KT&amp;G(ID)_PR_030619_TYC(affiliates)_PD_030709" xfId="1710" xr:uid="{84E66E8E-8937-42EB-8765-C432EFCACDA1}"/>
    <cellStyle name="_GAL-Nov_3_KT&amp;G(ID)_PR_030619_KT&amp;G(ID)_PR_030619_TYC(affiliates)_PD_030709_TYC(FY05)tttv_030830" xfId="1711" xr:uid="{C48492FE-4204-45B4-A5A5-963C842D3353}"/>
    <cellStyle name="_GAL-Nov_3_KT&amp;G(ID)_PR_030619_KT&amp;G(ID)_PR_030619_TYC(affiliates)준비_030623" xfId="1712" xr:uid="{82D8EABD-3A3C-40EF-87A7-DD46F087B2F7}"/>
    <cellStyle name="_GAL-Nov_3_KT&amp;G(ID)_PR_030619_KT&amp;G(ID)_PR_030619_TYC(affiliates)준비_030623_TYC(FY05)tttv_030830" xfId="1713" xr:uid="{607A087D-B9CF-4128-9491-7CA2B4010A25}"/>
    <cellStyle name="_GAL-Nov_3_KT&amp;G(ID)_PR_030619_KT&amp;G(ID)_PR_030619_TYC(FY05)tttv_030830" xfId="1714" xr:uid="{C25CB5D6-DE13-4705-8713-A75AB6191353}"/>
    <cellStyle name="_GAL-Nov_3_KT&amp;G(ID)_PR_030619_TYC(affiliates)준비_030623" xfId="1715" xr:uid="{5713E016-C35C-4A9C-8468-0F89E2BF4B75}"/>
    <cellStyle name="_GAL-Nov_3_KT&amp;G(ID)_PR_030619_TYC(affiliates)준비_030623_TYC(affiliates)_PD_030709" xfId="1716" xr:uid="{74CAA188-8465-4A6D-BF88-4F0E890CFED1}"/>
    <cellStyle name="_GAL-Nov_3_KT&amp;G(ID)_PR_030619_TYC(affiliates)준비_030623_TYC(affiliates)_PD_030709_TYC(FY05)tttv_030830" xfId="1717" xr:uid="{97162216-6892-4B03-B791-362D299ADAAB}"/>
    <cellStyle name="_GAL-Nov_3_KT&amp;G(ID)_PR_030619_TYC(affiliates)준비_030623_TYC(affiliates)준비_030623" xfId="1718" xr:uid="{276A62C1-451F-4166-BD67-F1F4E577C561}"/>
    <cellStyle name="_GAL-Nov_3_KT&amp;G(ID)_PR_030619_TYC(affiliates)준비_030623_TYC(affiliates)준비_030623_TYC(FY05)tttv_030830" xfId="1719" xr:uid="{0ED3AEE6-9B48-460F-99CB-D03B1CEE66CA}"/>
    <cellStyle name="_GAL-Nov_3_KT&amp;G(ID)_PR_030619_TYC(affiliates)준비_030623_TYC(FY05)tttv_030830" xfId="1720" xr:uid="{C2064DBB-AAE7-4584-88A9-19261A888F7F}"/>
    <cellStyle name="_GAL-Nov_3_KT&amp;G(ID)_PR_030619_TYC(FY05)tttv_030830" xfId="1721" xr:uid="{282F1DA4-6CD8-4D40-BB52-B1D5A0F83CEF}"/>
    <cellStyle name="_GAL-Nov_3_KT&amp;G(ID)_PR_030619_Yuhan(FY05)_031030" xfId="1722" xr:uid="{78F50738-5BCA-43A4-87C9-F017EF0CA719}"/>
    <cellStyle name="_GAL-Nov_3_KT&amp;G(ID준비)_030601" xfId="1723" xr:uid="{DB65F574-7059-40C7-BE2F-BB0840F3E644}"/>
    <cellStyle name="_GAL-Nov_3_KT&amp;G(ID준비)_030601_3Q03Results_031030" xfId="1724" xr:uid="{474F17DF-6862-4E5A-AAA7-587BE292B0CE}"/>
    <cellStyle name="_GAL-Nov_3_KT&amp;G(ID준비)_030601_KT&amp;G(ID)_PR_030619" xfId="1725" xr:uid="{FA9447FD-A74B-4FCB-933A-84766F3EB90A}"/>
    <cellStyle name="_GAL-Nov_3_KT&amp;G(ID준비)_030601_KT&amp;G(ID)_PR_030619_TYC(affiliates)_PD_030709" xfId="1726" xr:uid="{87B19EA3-5E60-4855-BE97-FA2635AF5155}"/>
    <cellStyle name="_GAL-Nov_3_KT&amp;G(ID준비)_030601_KT&amp;G(ID)_PR_030619_TYC(affiliates)_PD_030709_TYC(FY05)tttv_030830" xfId="1727" xr:uid="{BE6DF58B-7F8D-4919-8F85-32DA62AD3F06}"/>
    <cellStyle name="_GAL-Nov_3_KT&amp;G(ID준비)_030601_KT&amp;G(ID)_PR_030619_TYC(affiliates)준비_030623" xfId="1728" xr:uid="{6540D6D1-0770-4883-A92E-B312597FB119}"/>
    <cellStyle name="_GAL-Nov_3_KT&amp;G(ID준비)_030601_KT&amp;G(ID)_PR_030619_TYC(affiliates)준비_030623_TYC(FY05)tttv_030830" xfId="1729" xr:uid="{FB5838E6-94D9-49E3-A01E-AD5F7EE3526E}"/>
    <cellStyle name="_GAL-Nov_3_KT&amp;G(ID준비)_030601_KT&amp;G(ID)_PR_030619_TYC(FY05)tttv_030830" xfId="1730" xr:uid="{CF8ACCB3-2691-4E21-B9E8-82E12B08C919}"/>
    <cellStyle name="_GAL-Nov_3_KT&amp;G(ID준비)_030601_TYC(affiliates)준비_030623" xfId="1731" xr:uid="{03EF8CCA-2AE5-48F4-A529-98F3DA584D51}"/>
    <cellStyle name="_GAL-Nov_3_KT&amp;G(ID준비)_030601_TYC(affiliates)준비_030623_TYC(affiliates)_PD_030709" xfId="1732" xr:uid="{B657E647-86F4-449E-B1CF-EE88C784DE0F}"/>
    <cellStyle name="_GAL-Nov_3_KT&amp;G(ID준비)_030601_TYC(affiliates)준비_030623_TYC(affiliates)_PD_030709_TYC(FY05)tttv_030830" xfId="1733" xr:uid="{1311B651-41C1-44B2-8246-67F741FF18E1}"/>
    <cellStyle name="_GAL-Nov_3_KT&amp;G(ID준비)_030601_TYC(affiliates)준비_030623_TYC(affiliates)준비_030623" xfId="1734" xr:uid="{6BD8BCC3-F69D-4A24-B2A3-629EE38BFCBA}"/>
    <cellStyle name="_GAL-Nov_3_KT&amp;G(ID준비)_030601_TYC(affiliates)준비_030623_TYC(affiliates)준비_030623_TYC(FY05)tttv_030830" xfId="1735" xr:uid="{073996C2-3B4D-4EE3-8BF7-091BD817A8C7}"/>
    <cellStyle name="_GAL-Nov_3_KT&amp;G(ID준비)_030601_TYC(affiliates)준비_030623_TYC(FY05)tttv_030830" xfId="1736" xr:uid="{0BAF571C-04A9-42DF-AB61-6207B21B7B43}"/>
    <cellStyle name="_GAL-Nov_3_KT&amp;G(ID준비)_030601_TYC(FY05)tttv_030830" xfId="1737" xr:uid="{3264F764-833F-41D3-A8CE-04555FE92861}"/>
    <cellStyle name="_GAL-Nov_3_KT&amp;G(ID준비)_030601_Yuhan(FY05)_031030" xfId="1738" xr:uid="{881A9F05-0F86-4266-94E2-C8BB296F52F8}"/>
    <cellStyle name="_GAL-Nov_3_Operations" xfId="1739" xr:uid="{03B23691-CD5F-4F43-BEB6-F5216AB22369}"/>
    <cellStyle name="_GAL-Nov_3_Report" xfId="1740" xr:uid="{D89F281E-138D-4FB6-ABD9-7FBDDCEEDFBC}"/>
    <cellStyle name="_GAL-Nov_3_Revenues" xfId="1741" xr:uid="{7670E56C-2186-456D-9156-878A292E577E}"/>
    <cellStyle name="_GAL-Nov_3_SK Corp 003600 1" xfId="1742" xr:uid="{F7368059-A7EA-4B49-BDB3-BE449C4617BF}"/>
    <cellStyle name="_GAL-Nov_3_SK Incheon" xfId="1743" xr:uid="{8B962910-9C99-4B67-A61F-492FC1189569}"/>
    <cellStyle name="_GAL-Nov_3_TYC(affiliates)준비_030623" xfId="1744" xr:uid="{3B8E9DA1-F4C4-41A9-A44E-54857BE68F2F}"/>
    <cellStyle name="_GAL-Nov_3_TYC(affiliates)준비_030623_TYC(affiliates)_PD_030709" xfId="1745" xr:uid="{B6B8EFAC-276C-4F8A-BF8B-CA128FAF0168}"/>
    <cellStyle name="_GAL-Nov_3_TYC(affiliates)준비_030623_TYC(affiliates)_PD_030709_TYC(FY05)tttv_030830" xfId="1746" xr:uid="{FADC03E2-A2D6-49F6-94A0-E22764A69ECB}"/>
    <cellStyle name="_GAL-Nov_3_TYC(affiliates)준비_030623_TYC(affiliates)준비_030623" xfId="1747" xr:uid="{174DE524-C1F4-4B8B-A853-2EFC06C41C62}"/>
    <cellStyle name="_GAL-Nov_3_TYC(affiliates)준비_030623_TYC(affiliates)준비_030623_TYC(FY05)tttv_030830" xfId="1748" xr:uid="{D3397A39-4F1F-4979-A17E-3F7F5925D444}"/>
    <cellStyle name="_GAL-Nov_3_TYC(affiliates)준비_030623_TYC(FY05)tttv_030830" xfId="1749" xr:uid="{58E42B5D-9C3F-41BF-B8C7-E7070B68412A}"/>
    <cellStyle name="_GAL-Nov_3_TYC(FY05)tttv_030830" xfId="1750" xr:uid="{90096DB6-B120-4DE5-BE67-ECA1D42775D4}"/>
    <cellStyle name="_GAL-Nov_3_Yuhan(FY05)_031030" xfId="1751" xr:uid="{CCC4FB39-B0EE-4B31-8788-337A5AA45D66}"/>
    <cellStyle name="_GAL-Nov_4" xfId="1752" xr:uid="{34FEFE48-3D27-4EE9-AD17-2C25F412B46F}"/>
    <cellStyle name="_GAL-Nov_4_hhi_IFRS_in progress_Jul 2012" xfId="1753" xr:uid="{0CBD29D0-4A8A-4AF0-9842-34A8DF8F639A}"/>
    <cellStyle name="_GAL-Nov_4_hhi_IFRS_in progress_Jul 2012 2" xfId="1754" xr:uid="{420CEAED-53C9-4110-93B1-3DC4A956C08F}"/>
    <cellStyle name="_GAL-Nov_5" xfId="1755" xr:uid="{ED041B0D-0529-4730-8201-8AA7A299C62E}"/>
    <cellStyle name="_GAL-Nov_5_hhi_IFRS_in progress_Jul 2012" xfId="1756" xr:uid="{8EF55981-F153-46BB-8C46-FF45141C64ED}"/>
    <cellStyle name="_GAL-Nov_5_hhi_IFRS_in progress_Jul 2012 2" xfId="1757" xr:uid="{9A5D4B05-76D9-4F87-8A12-6A46F0E68BF9}"/>
    <cellStyle name="_GAL-Nov_6" xfId="1758" xr:uid="{418E4081-9E54-4FF7-B847-118E690F4739}"/>
    <cellStyle name="_GAL-Nov_6_hhi_IFRS_in progress_Jul 2012" xfId="1759" xr:uid="{EDDAD2F9-51DC-4580-8FA2-505E7459FF35}"/>
    <cellStyle name="_GAL-Nov_6_hhi_IFRS_in progress_Jul 2012 2" xfId="1760" xr:uid="{73DC5F5C-6455-4D7C-B79C-1654B4DC693C}"/>
    <cellStyle name="_GAL-Nov_7" xfId="1761" xr:uid="{453B93F4-4FB4-46B0-BEE2-C2EFB8CE267A}"/>
    <cellStyle name="_GAL-Nov_7_hhi_IFRS_in progress_Jul 2012" xfId="1762" xr:uid="{7E01BB08-C3F0-43C3-BD1A-FB62C43511E0}"/>
    <cellStyle name="_GAL-Nov_7_hhi_IFRS_in progress_Jul 2012 2" xfId="1763" xr:uid="{B09F521E-CAE8-4027-A9EF-DF81043B7BA1}"/>
    <cellStyle name="_GAL-Nov_8" xfId="1764" xr:uid="{C34506BC-3860-433A-8E83-93C74D8B3482}"/>
    <cellStyle name="_GAL-Nov_8_AmorePacific (090430)_MacQ_JiEun_2010_new" xfId="1765" xr:uid="{5C3865E6-0E85-4995-BFE7-7D4CEE412895}"/>
    <cellStyle name="_GAL-Nov_8_AmorePacific (090430)_MacQ_JiEun_2010_new 2" xfId="1766" xr:uid="{671EC661-B19E-439F-8131-767BBBB76A62}"/>
    <cellStyle name="_GAL-Nov_8_AmorePacific (090430)_MacQ_JiEun_2010_new_Hi-mart model for Alison (5 July 2011)" xfId="1767" xr:uid="{8CBB10CA-7D8E-429A-8657-F0464C2EB5DB}"/>
    <cellStyle name="_GAL-Nov_8_HDS (069960 KS)_MacQ_2010" xfId="1768" xr:uid="{1C75E890-53C2-4855-929D-98B1C68424BA}"/>
    <cellStyle name="_GAL-Nov_8_HDS (069960 KS)_MacQ_2010 2" xfId="1769" xr:uid="{1DCD41F5-A745-4E0C-9AA2-D8FAA836C310}"/>
    <cellStyle name="_GAL-Nov_8_HDS (069960 KS)_MacQ_2010_Hi-mart model for Alison (5 July 2011)" xfId="1770" xr:uid="{50875EB3-9DED-48F1-BEE9-7FD95B97553D}"/>
    <cellStyle name="_GAL-Nov_hhi_IFRS_in progress_Jul 2012" xfId="1771" xr:uid="{309065E7-4F0B-4AB9-8AFC-7A45FB808321}"/>
    <cellStyle name="_GAL-Nov_hhi_IFRS_in progress_Jul 2012 2" xfId="1772" xr:uid="{486F7551-24DC-4D20-8434-DC320F3CE33C}"/>
    <cellStyle name="_GAL-Sep-MAC" xfId="1773" xr:uid="{19E19D31-3B6A-40AA-9836-903CB62ABD83}"/>
    <cellStyle name="_GAL-Sep-MAC_hhi_IFRS_in progress_Jul 2012" xfId="1774" xr:uid="{0AA1027E-2AC9-43E4-BC92-A0976B874E6E}"/>
    <cellStyle name="_GAL-Sep-MAC_hhi_IFRS_in progress_Jul 2012 2" xfId="1775" xr:uid="{FB2DE230-369C-4DAF-8831-6784854B183A}"/>
    <cellStyle name="_GSHS (028150 KQ)_Greenlight" xfId="1776" xr:uid="{7620700A-FF9F-4E2E-9FCF-07F3774F7687}"/>
    <cellStyle name="_GSHS_HS_Na" xfId="1777" xr:uid="{F9079F3D-1711-426C-BC5D-59CDB7BD045F}"/>
    <cellStyle name="_HDS (069960 KS)_Greenlight" xfId="1778" xr:uid="{0C7D79D6-DFA7-49B4-A821-BAD1DBBB921A}"/>
    <cellStyle name="_HDS (069960 KS)_MacQ_2010" xfId="1779" xr:uid="{91FA83A1-88D2-4361-BF7B-B4815BDAB1AA}"/>
    <cellStyle name="_HDS_HS_Na" xfId="1780" xr:uid="{583C4289-0530-4E21-B1A1-C45CACAB3E9F}"/>
    <cellStyle name="_Header" xfId="1781" xr:uid="{F8EF7311-69CD-4877-9381-BE87640AB0AE}"/>
    <cellStyle name="_hhi_IFRS_in progress_Jul 2012" xfId="1782" xr:uid="{B9F56405-C912-4A0B-B875-3F06CE6C1388}"/>
    <cellStyle name="_Hite Brewery (Feb09)" xfId="1783" xr:uid="{77D0E95E-C56D-4326-AD6D-A46C86B03B8E}"/>
    <cellStyle name="_IC sales" xfId="1784" xr:uid="{BD2B2A7B-BBDE-4D7E-B487-714AE740693C}"/>
    <cellStyle name="_IC sales_Core Logic_model2" xfId="1785" xr:uid="{652A1BB0-D12E-4C19-A451-11AB302EC01C}"/>
    <cellStyle name="_IC sales_Interflex_model9" xfId="1786" xr:uid="{7E2805D1-9A05-4C0D-9E65-FFB6C80399B9}"/>
    <cellStyle name="_IC sales_Interflex_model9_Sheet3" xfId="1787" xr:uid="{1A9C5C2E-8663-4F32-99F5-714D53037F4C}"/>
    <cellStyle name="_IC sales_Sheet3" xfId="1788" xr:uid="{D7350E0B-1D69-444C-B11B-DDFDDD81A5E1}"/>
    <cellStyle name="_INTC-model" xfId="1789" xr:uid="{797CD2DE-083E-4BF9-AF8C-96F49DCBBAED}"/>
    <cellStyle name="_Interflex_model10" xfId="1790" xr:uid="{4BECB65B-A370-43B9-9F34-C36AB4AAA10E}"/>
    <cellStyle name="_Interflex_model10_Sheet3" xfId="1791" xr:uid="{9116BF1D-8C41-4278-A6A8-EC0B2D206E6E}"/>
    <cellStyle name="_Interflex_model4" xfId="1792" xr:uid="{A6E070F2-DE25-43F6-A888-C0412666F0C4}"/>
    <cellStyle name="_Interflex_model4_Sheet3" xfId="1793" xr:uid="{F6683ABF-35B6-4391-AF4E-4420179FB921}"/>
    <cellStyle name="_Interflex_model7" xfId="1794" xr:uid="{BE30D1AC-E0AC-4976-BCA8-3E4584718061}"/>
    <cellStyle name="_Interflex_model7_Sheet3" xfId="1795" xr:uid="{E2B9E014-8406-4C80-A28F-1ECA4A2F6654}"/>
    <cellStyle name="_Interflex_model9" xfId="1796" xr:uid="{8B2CBDAC-39D2-4872-8F88-5BB25A3EF997}"/>
    <cellStyle name="_Interflex_model9_Sheet3" xfId="1797" xr:uid="{09CEA5F2-8A66-4181-96E6-DAEF48853820}"/>
    <cellStyle name="_KTG_Jan09" xfId="1798" xr:uid="{2262B093-20CC-48D2-BE6D-CEF26497B830}"/>
    <cellStyle name="_LG_H&amp;H (051900)_Greenlight" xfId="1799" xr:uid="{9F4E9CFF-38CD-498C-AD49-63A6422ECEFB}"/>
    <cellStyle name="_Lotte Chilsung (Jan09)_2012upload" xfId="1800" xr:uid="{1A1A5D89-13CD-43A8-B8CB-089E5370891C}"/>
    <cellStyle name="_LotteShopping (023530 KS)_Greenlight" xfId="1801" xr:uid="{F3308AE9-CA83-4574-9649-823BAFE15DDA}"/>
    <cellStyle name="_Macro assumptions_050302" xfId="1802" xr:uid="{A42FBED7-3DBE-42F8-B2B9-9BD79E5E907E}"/>
    <cellStyle name="_Macro assumptions_050302 (4)" xfId="1803" xr:uid="{0C121040-B943-4AB2-BA22-133339E98196}"/>
    <cellStyle name="_Macro assumptions_050321" xfId="1804" xr:uid="{C233BE38-9129-435B-8E00-812F55FB7833}"/>
    <cellStyle name="_Mcr" xfId="1805" xr:uid="{22F1A928-B814-46F8-81B8-188CC99074CC}"/>
    <cellStyle name="_mkt analysis" xfId="1806" xr:uid="{6E68B826-3DF4-47DA-83E5-1B2618ACDFD5}"/>
    <cellStyle name="_Model" xfId="1807" xr:uid="{E8162E3C-EC63-4944-8985-C6B58E204F98}"/>
    <cellStyle name="_Model 2" xfId="1808" xr:uid="{850141B9-0604-4E5A-B331-B267B0F8386C}"/>
    <cellStyle name="_Model_1" xfId="1809" xr:uid="{F1F4B931-5F26-4184-8CD2-8968CAA3446A}"/>
    <cellStyle name="_NongShim_(Jan09)_2012upload" xfId="1810" xr:uid="{62A3ADB8-417B-4A00-B039-E926D91550BB}"/>
    <cellStyle name="_Oper data" xfId="1811" xr:uid="{DBBF3988-06D9-4243-9E69-7B82C19A5C5F}"/>
    <cellStyle name="_Operating" xfId="1812" xr:uid="{B14D256E-7691-4A0A-BF74-9E42D4C0F2E1}"/>
    <cellStyle name="_Operating_1" xfId="1813" xr:uid="{F06F6A97-48B9-46E0-8192-96960302CF2D}"/>
    <cellStyle name="_Operating_Mcr" xfId="1814" xr:uid="{65A31E26-8828-4762-921D-DFBCCA1BB147}"/>
    <cellStyle name="_Operating_mkt analysis" xfId="1815" xr:uid="{31F5729D-B3A8-437A-803D-824615CBDB5B}"/>
    <cellStyle name="_Operating_model" xfId="1816" xr:uid="{BA61E43A-D99F-45C9-820D-C5ABA564FE35}"/>
    <cellStyle name="_Operating_px catalyst" xfId="1817" xr:uid="{79C36C8D-70B5-4021-B6DF-3E0529252236}"/>
    <cellStyle name="_Operating_px catalyst-coincident" xfId="1818" xr:uid="{234F25B8-056B-4889-8607-F358718FE0DA}"/>
    <cellStyle name="_Operating_ROE comparison" xfId="1819" xr:uid="{DBFC419D-16C0-476E-A7C2-731579C9B2E8}"/>
    <cellStyle name="_Operating_STX Dalian Engine" xfId="1820" xr:uid="{B904A66D-C00C-40F8-BA31-61DA0B87F444}"/>
    <cellStyle name="_Operating_STX Europe" xfId="1821" xr:uid="{7A16DC64-E7EE-4B17-BFAE-67D52D3ACCFF}"/>
    <cellStyle name="_Orion(Q)_050401" xfId="1822" xr:uid="{9B380849-EF98-424F-AC1B-3621D0B86C4C}"/>
    <cellStyle name="_Orion_041228" xfId="1823" xr:uid="{46655FDF-3AB0-4BFB-97A7-4C488E08816A}"/>
    <cellStyle name="_PBR-ROE model 1" xfId="1824" xr:uid="{200E56FC-5CD2-46A0-9856-7C8E76787316}"/>
    <cellStyle name="_PBR-ROE model 1_Sheet3" xfId="1825" xr:uid="{C69A0BDC-55FC-4FC5-8803-7D468EC3358D}"/>
    <cellStyle name="_Petro flow" xfId="1826" xr:uid="{AF04CA2F-056C-4B18-B384-0E8AB4372D0B}"/>
    <cellStyle name="_PLDT" xfId="1827" xr:uid="{DF7A43D0-4767-4B6F-97F6-0CD1DFD58EF6}"/>
    <cellStyle name="_px catalyst" xfId="1828" xr:uid="{B1AAD757-CA32-4AD8-9FC4-598DDB28B5CE}"/>
    <cellStyle name="_px catalyst-coincident" xfId="1829" xr:uid="{54931406-E927-4B1C-B0BD-A5427614D457}"/>
    <cellStyle name="_Quarterly" xfId="1830" xr:uid="{4005EFE3-DE95-45F9-94F0-144DFCDA8A65}"/>
    <cellStyle name="_Quarterly_1" xfId="1831" xr:uid="{ACEE0618-817D-4105-A2C7-E9AC572C8DA8}"/>
    <cellStyle name="_Quarterly_1 2" xfId="1832" xr:uid="{E92BB37A-C643-4098-A12F-B4BB84EB4014}"/>
    <cellStyle name="_Report" xfId="1833" xr:uid="{D6BB4E2F-20B0-403D-8B12-7B565190AD19}"/>
    <cellStyle name="_Report_Mcr" xfId="1834" xr:uid="{DD67F366-F90A-4147-9CF4-89A753B8DEB8}"/>
    <cellStyle name="_Report_mkt analysis" xfId="1835" xr:uid="{183D379B-D907-49CC-A825-5E8EE931FE2F}"/>
    <cellStyle name="_Report_model" xfId="1836" xr:uid="{9D692F47-21EB-4DE0-B417-77A2619254EC}"/>
    <cellStyle name="_Report_px catalyst" xfId="1837" xr:uid="{86D77229-0DAE-4F16-ACE6-5D35ECA9A854}"/>
    <cellStyle name="_Report_px catalyst-coincident" xfId="1838" xr:uid="{D1834FEA-7D1F-4FFC-B821-479F1759572D}"/>
    <cellStyle name="_Report_ROE comparison" xfId="1839" xr:uid="{D0FC7260-89D9-4F56-9D52-B40D8D43FB19}"/>
    <cellStyle name="_Report_STX Dalian Engine" xfId="1840" xr:uid="{3A650CC8-DEA9-45C5-B504-8C43C5E41AA9}"/>
    <cellStyle name="_Report_STX Europe" xfId="1841" xr:uid="{ADA1E3DB-1C99-4A92-8271-3FE5677A9280}"/>
    <cellStyle name="_Rev" xfId="1842" xr:uid="{3F15A020-7AB6-4C2B-A5F2-144F489855E0}"/>
    <cellStyle name="_ROE comparison" xfId="1843" xr:uid="{AAFD5F24-31C7-4DD8-AC2E-498D0A20314C}"/>
    <cellStyle name="_Row1" xfId="1844" xr:uid="{C17442F8-E31E-4E6A-812A-F71981C73D9F}"/>
    <cellStyle name="_Row1_3Q03Results_031030" xfId="1845" xr:uid="{AA527FFB-09CC-4870-A1F6-5DE31948B4F9}"/>
    <cellStyle name="_Row1_KT&amp;G(ID)_PR_030619" xfId="1846" xr:uid="{8F6A9784-E1E8-49AD-A353-2A551F64781B}"/>
    <cellStyle name="_Row1_KT&amp;G(ID)_PR_030619_1" xfId="1847" xr:uid="{DCB3C039-FD4B-4617-9231-5151C782382C}"/>
    <cellStyle name="_Row1_KT&amp;G(ID)_PR_030619_1_TYC(affiliates)_PD_030709" xfId="1848" xr:uid="{97B0F88A-1665-4A5F-A86A-6557D62A98E9}"/>
    <cellStyle name="_Row1_KT&amp;G(ID)_PR_030619_1_TYC(affiliates)_PD_030709_TYC(FY05)tttv_030830" xfId="1849" xr:uid="{2A52D53B-D1C0-4302-867C-F19E600DCCF3}"/>
    <cellStyle name="_Row1_KT&amp;G(ID)_PR_030619_1_TYC(affiliates)준비_030623" xfId="1850" xr:uid="{484F6D27-C7FE-42CA-A8AD-FEDB97002DAB}"/>
    <cellStyle name="_Row1_KT&amp;G(ID)_PR_030619_1_TYC(affiliates)준비_030623_TYC(FY05)tttv_030830" xfId="1851" xr:uid="{0CF09BB1-CB1E-435B-AC77-C8476091BF48}"/>
    <cellStyle name="_Row1_KT&amp;G(ID)_PR_030619_1_TYC(FY05)tttv_030830" xfId="1852" xr:uid="{C355BFE3-77E1-4083-A25C-74E396DAAC9A}"/>
    <cellStyle name="_Row1_KT&amp;G(ID)_PR_030619_3Q03Results_031030" xfId="1853" xr:uid="{100EEFD3-D3FA-4C1E-9810-8359E415298C}"/>
    <cellStyle name="_Row1_KT&amp;G(ID)_PR_030619_KT&amp;G(ID)_PR_030619" xfId="1854" xr:uid="{77D552F0-2479-49AF-AA28-A7AA6ACA64B3}"/>
    <cellStyle name="_Row1_KT&amp;G(ID)_PR_030619_KT&amp;G(ID)_PR_030619_TYC(affiliates)_PD_030709" xfId="1855" xr:uid="{8C155DC3-DBFA-4E14-B4C1-26C7236BBB16}"/>
    <cellStyle name="_Row1_KT&amp;G(ID)_PR_030619_KT&amp;G(ID)_PR_030619_TYC(affiliates)_PD_030709_TYC(FY05)tttv_030830" xfId="1856" xr:uid="{2047A2CE-EC90-4AD3-B0E7-B4BA497A112F}"/>
    <cellStyle name="_Row1_KT&amp;G(ID)_PR_030619_KT&amp;G(ID)_PR_030619_TYC(affiliates)준비_030623" xfId="1857" xr:uid="{736CD95F-7CC9-46A4-B0A8-F90D009B4F48}"/>
    <cellStyle name="_Row1_KT&amp;G(ID)_PR_030619_KT&amp;G(ID)_PR_030619_TYC(affiliates)준비_030623_TYC(FY05)tttv_030830" xfId="1858" xr:uid="{9AD25FE4-2798-440C-9FD0-43E9A4E020B2}"/>
    <cellStyle name="_Row1_KT&amp;G(ID)_PR_030619_KT&amp;G(ID)_PR_030619_TYC(FY05)tttv_030830" xfId="1859" xr:uid="{88A20873-3FC0-4D13-B0AD-35991296577B}"/>
    <cellStyle name="_Row1_KT&amp;G(ID)_PR_030619_TYC(affiliates)준비_030623" xfId="1860" xr:uid="{7F40DBC7-D3B3-45FF-9215-1049BD046F5C}"/>
    <cellStyle name="_Row1_KT&amp;G(ID)_PR_030619_TYC(affiliates)준비_030623_TYC(affiliates)_PD_030709" xfId="1861" xr:uid="{C5D1C05E-69DC-4F8F-B201-BFEC717DD196}"/>
    <cellStyle name="_Row1_KT&amp;G(ID)_PR_030619_TYC(affiliates)준비_030623_TYC(affiliates)_PD_030709_TYC(FY05)tttv_030830" xfId="1862" xr:uid="{33282F85-7D52-4A1F-89F2-E4FDA9BC06E6}"/>
    <cellStyle name="_Row1_KT&amp;G(ID)_PR_030619_TYC(affiliates)준비_030623_TYC(affiliates)준비_030623" xfId="1863" xr:uid="{5D859A00-FEE9-4E9C-A782-F48F0596192F}"/>
    <cellStyle name="_Row1_KT&amp;G(ID)_PR_030619_TYC(affiliates)준비_030623_TYC(affiliates)준비_030623_TYC(FY05)tttv_030830" xfId="1864" xr:uid="{A6BD36D1-E7D0-4C01-8B7A-77DD82B79C14}"/>
    <cellStyle name="_Row1_KT&amp;G(ID)_PR_030619_TYC(affiliates)준비_030623_TYC(FY05)tttv_030830" xfId="1865" xr:uid="{4F1877E4-6189-43C1-8BF4-58E01CD8721F}"/>
    <cellStyle name="_Row1_KT&amp;G(ID)_PR_030619_TYC(FY05)tttv_030830" xfId="1866" xr:uid="{699C5223-170D-4EE5-A627-57B0250C0019}"/>
    <cellStyle name="_Row1_KT&amp;G(ID)_PR_030619_Yuhan(FY05)_031030" xfId="1867" xr:uid="{892354B3-64BC-4C1D-8076-33E05788E11F}"/>
    <cellStyle name="_Row1_KT&amp;G(ID준비)_030601" xfId="1868" xr:uid="{554B48F3-B0C2-4A4A-839A-2FF0E0187860}"/>
    <cellStyle name="_Row1_KT&amp;G(ID준비)_030601_3Q03Results_031030" xfId="1869" xr:uid="{C977D39B-EF4D-4228-83CE-7AC8292BD9DF}"/>
    <cellStyle name="_Row1_KT&amp;G(ID준비)_030601_KT&amp;G(ID)_PR_030619" xfId="1870" xr:uid="{755569AD-806E-4D7C-8E9E-1F18C4A013AE}"/>
    <cellStyle name="_Row1_KT&amp;G(ID준비)_030601_KT&amp;G(ID)_PR_030619_TYC(affiliates)_PD_030709" xfId="1871" xr:uid="{405F2EE2-8F1D-441F-AF77-CBE2C9FF8374}"/>
    <cellStyle name="_Row1_KT&amp;G(ID준비)_030601_KT&amp;G(ID)_PR_030619_TYC(affiliates)_PD_030709_TYC(FY05)tttv_030830" xfId="1872" xr:uid="{379503A3-E1B7-4926-9ED3-53EF7F9A222E}"/>
    <cellStyle name="_Row1_KT&amp;G(ID준비)_030601_KT&amp;G(ID)_PR_030619_TYC(affiliates)준비_030623" xfId="1873" xr:uid="{4F3B3C81-C1EF-489A-A09E-8E6DB670F590}"/>
    <cellStyle name="_Row1_KT&amp;G(ID준비)_030601_KT&amp;G(ID)_PR_030619_TYC(affiliates)준비_030623_TYC(FY05)tttv_030830" xfId="1874" xr:uid="{3B992F6E-3E1A-481F-9D3C-99F8B0906AF9}"/>
    <cellStyle name="_Row1_KT&amp;G(ID준비)_030601_KT&amp;G(ID)_PR_030619_TYC(FY05)tttv_030830" xfId="1875" xr:uid="{95C4F9EC-0D0F-446B-930C-86ABC42861EE}"/>
    <cellStyle name="_Row1_KT&amp;G(ID준비)_030601_TYC(affiliates)준비_030623" xfId="1876" xr:uid="{528ADF4B-21A9-4A5C-B7A1-8E9D342F0503}"/>
    <cellStyle name="_Row1_KT&amp;G(ID준비)_030601_TYC(affiliates)준비_030623_TYC(affiliates)_PD_030709" xfId="1877" xr:uid="{F4A8FDD6-AA26-4134-8030-EDF41FE94D79}"/>
    <cellStyle name="_Row1_KT&amp;G(ID준비)_030601_TYC(affiliates)준비_030623_TYC(affiliates)_PD_030709_TYC(FY05)tttv_030830" xfId="1878" xr:uid="{0B02F307-4599-43C7-B3CB-DCCC49852A8A}"/>
    <cellStyle name="_Row1_KT&amp;G(ID준비)_030601_TYC(affiliates)준비_030623_TYC(affiliates)준비_030623" xfId="1879" xr:uid="{8509C5C3-4F2C-4298-90E3-CEC5370B09B9}"/>
    <cellStyle name="_Row1_KT&amp;G(ID준비)_030601_TYC(affiliates)준비_030623_TYC(affiliates)준비_030623_TYC(FY05)tttv_030830" xfId="1880" xr:uid="{A463D70D-F934-4911-85C8-932788D7C795}"/>
    <cellStyle name="_Row1_KT&amp;G(ID준비)_030601_TYC(affiliates)준비_030623_TYC(FY05)tttv_030830" xfId="1881" xr:uid="{15F3D824-BEB9-4CB3-8658-45DE7E8070EF}"/>
    <cellStyle name="_Row1_KT&amp;G(ID준비)_030601_TYC(FY05)tttv_030830" xfId="1882" xr:uid="{FB08BBB7-4CE1-4801-97B7-582D365BB1A9}"/>
    <cellStyle name="_Row1_KT&amp;G(ID준비)_030601_Yuhan(FY05)_031030" xfId="1883" xr:uid="{0CE91877-3312-45DD-B5F5-6FAA5D43A581}"/>
    <cellStyle name="_Row1_TYC(affiliates)준비_030623" xfId="1884" xr:uid="{AC4099D8-D6AC-4685-B862-A03D342D9385}"/>
    <cellStyle name="_Row1_TYC(affiliates)준비_030623_TYC(affiliates)_PD_030709" xfId="1885" xr:uid="{DE335D13-F64B-4D6F-BF00-05E8FA8AB965}"/>
    <cellStyle name="_Row1_TYC(affiliates)준비_030623_TYC(affiliates)_PD_030709_TYC(FY05)tttv_030830" xfId="1886" xr:uid="{F8344778-A089-41AF-9CEC-7C8A412F3785}"/>
    <cellStyle name="_Row1_TYC(affiliates)준비_030623_TYC(affiliates)준비_030623" xfId="1887" xr:uid="{A75393E4-BA1C-4CC9-9CAF-DEFE7AC3E14F}"/>
    <cellStyle name="_Row1_TYC(affiliates)준비_030623_TYC(affiliates)준비_030623_TYC(FY05)tttv_030830" xfId="1888" xr:uid="{D90B3BC6-9154-4780-A504-53E9A145C4BC}"/>
    <cellStyle name="_Row1_TYC(affiliates)준비_030623_TYC(FY05)tttv_030830" xfId="1889" xr:uid="{959E8AC5-41E2-4FC1-9470-4ABE0FB85E19}"/>
    <cellStyle name="_Row1_TYC(FY05)tttv_030830" xfId="1890" xr:uid="{10203CF3-610F-40D8-A955-8AE8BCFA3931}"/>
    <cellStyle name="_Row1_Yuhan(FY05)_031030" xfId="1891" xr:uid="{B6910605-3899-4E5B-B9C4-5A43B0D3F288}"/>
    <cellStyle name="_Row2" xfId="1892" xr:uid="{4238EC58-9408-440A-9646-874B42AF3EB6}"/>
    <cellStyle name="_Row3" xfId="1893" xr:uid="{565F4D06-D2D4-400E-910B-56A758444898}"/>
    <cellStyle name="_Row4" xfId="1894" xr:uid="{ABF14CA9-7E1E-42DF-A03C-338D08E6A9F0}"/>
    <cellStyle name="_Row5" xfId="1895" xr:uid="{B03F3811-D9EF-4DB1-8B08-EAFC66B5A13A}"/>
    <cellStyle name="_Row6" xfId="1896" xr:uid="{B25BB258-856C-443C-9DDA-FD7D874F0C8A}"/>
    <cellStyle name="_Row6_KT&amp;G (033780 KS)_MacQ" xfId="1897" xr:uid="{02068F2F-AAFB-47D7-9F04-8D7937EAE162}"/>
    <cellStyle name="_Row6_KT&amp;G (033780 KS)_MacQ_1q" xfId="1898" xr:uid="{59582496-C80B-4B66-95B7-0FE746C1A1F5}"/>
    <cellStyle name="_Row7" xfId="1899" xr:uid="{3140FEDA-57A2-40CA-88F6-08273CCD7BBA}"/>
    <cellStyle name="_RtoolDataSheet" xfId="1900" xr:uid="{9A344858-D452-4CF1-A078-F2A71C00D039}"/>
    <cellStyle name="_Sales" xfId="1901" xr:uid="{9B2B526C-BC2F-4BB7-B96B-28005BEDDD2C}"/>
    <cellStyle name="_sales and raw material cost" xfId="1902" xr:uid="{18A4C48E-F47B-42EF-B2EF-FA11BEAF5BF9}"/>
    <cellStyle name="_sales and raw material cost_1" xfId="1903" xr:uid="{BB638163-A3C8-4105-B10A-B74BE3620F75}"/>
    <cellStyle name="_sales and raw material cost_AmorePacific (090430)_MacQ_JiEun_2010_new" xfId="1904" xr:uid="{DFA55525-C64A-454D-AC78-94C20CB85C0E}"/>
    <cellStyle name="_sales and raw material cost_HDS (069960 KS)_MacQ_2010" xfId="1905" xr:uid="{C029DFB5-9B2E-4439-B4D4-D8A7C21825B9}"/>
    <cellStyle name="_SBR BR BD SM Px" xfId="1906" xr:uid="{0EA83D5E-2CD4-40F6-B507-88885940317B}"/>
    <cellStyle name="_SBR BR BD SM Px 2" xfId="1907" xr:uid="{95E35392-6420-496A-B6C7-39BECA31A146}"/>
    <cellStyle name="_Sheet1" xfId="1908" xr:uid="{BAF83F55-390D-4520-9FFB-16BEADF1525B}"/>
    <cellStyle name="_Sheet1_1" xfId="1909" xr:uid="{E220C24A-2CB5-4080-A848-9BAEF92AA2E9}"/>
    <cellStyle name="_Sheet1_Model" xfId="1910" xr:uid="{8B7F7C8A-071B-45A1-83BF-CDAECCA0BE25}"/>
    <cellStyle name="_Sheet1_Model 2" xfId="1911" xr:uid="{E5026F32-C38B-41F8-800F-122F54CB9D06}"/>
    <cellStyle name="_Sheet1_Model_1" xfId="1912" xr:uid="{F110B101-25E5-414A-BB81-D9A5F789F5AA}"/>
    <cellStyle name="_Sheet1_Quarterly" xfId="1913" xr:uid="{B270C1B9-37CA-4DFC-A173-1F4AEEFB4459}"/>
    <cellStyle name="_Sheet1_Quarterly 2" xfId="1914" xr:uid="{443FCAAF-DF2D-49F8-8552-13BA10D7F263}"/>
    <cellStyle name="_Sheet1_stx e_revision" xfId="1915" xr:uid="{A9F2117D-2560-4A60-BB2F-E222BFE48B2C}"/>
    <cellStyle name="_Sheet3" xfId="1916" xr:uid="{460CE4B9-1497-4209-946A-380EF58E4370}"/>
    <cellStyle name="_Sheet4" xfId="1917" xr:uid="{4D1F034C-CFC3-4155-8942-EB4C1E1AA500}"/>
    <cellStyle name="_Sheet4 2" xfId="1918" xr:uid="{CF1D35D7-F5FD-4BD3-9727-3A0353757159}"/>
    <cellStyle name="_Shinsegae (004170 KS)_Greenlight" xfId="1919" xr:uid="{0CDB5731-55D8-4288-B696-B94992CBCC41}"/>
    <cellStyle name="_Shinsegae (004170 KS)_MacQ" xfId="1920" xr:uid="{D8E4190B-3113-4553-8048-C4268AF747B8}"/>
    <cellStyle name="_Shinsegae (004170 KS)_MacQ_2009" xfId="1921" xr:uid="{2327F0EA-7DE4-4CF4-B6D6-67D6EDF5D04E}"/>
    <cellStyle name="_STX Dalian Engine" xfId="1922" xr:uid="{5D47ED50-01A7-4C11-BFDA-D6A764659A1A}"/>
    <cellStyle name="_stx e_table" xfId="1923" xr:uid="{63318578-06DC-4340-BB8E-2FD7E2C418B3}"/>
    <cellStyle name="_STX Europe" xfId="1924" xr:uid="{8C22A512-4914-4648-8296-C9DBF0478011}"/>
    <cellStyle name="_summary" xfId="1925" xr:uid="{09701338-B33A-468A-AF06-B93E91D978D0}"/>
    <cellStyle name="_SUMMARY " xfId="1926" xr:uid="{A99FDBD4-3F01-4EEF-A9C9-7B03EECD3A95}"/>
    <cellStyle name="_summary 2" xfId="1927" xr:uid="{0521A7B2-CA91-4912-A820-2AA9A1224C4C}"/>
    <cellStyle name="_summary 3" xfId="1928" xr:uid="{2064DF58-3919-4987-A472-2F1524CE829C}"/>
    <cellStyle name="_summary 4" xfId="1929" xr:uid="{B70CBC5A-479C-4104-BA77-4B89EB591090}"/>
    <cellStyle name="_summary 5" xfId="1930" xr:uid="{2B462FAA-98A4-4D09-BC42-D718B329D362}"/>
    <cellStyle name="_Summary_Earnings" xfId="1931" xr:uid="{46B1C70D-2C0E-4EB3-BFAB-154D3346ECF8}"/>
    <cellStyle name="_Summary_Earnings_Bloomberg" xfId="1932" xr:uid="{DB5BF712-216E-49A2-BC97-2C00EBB642B0}"/>
    <cellStyle name="_Summary_Earnings_Bloomberg_model" xfId="1933" xr:uid="{D011B472-2018-427B-984B-47DCDA9520B9}"/>
    <cellStyle name="_Summary_Earnings_Bloomberg_Oil refinery" xfId="1934" xr:uid="{97C4003B-5466-4913-BF70-B52FABD4A86B}"/>
    <cellStyle name="_Summary_Earnings_Bloomberg_Oil refinery_model" xfId="1935" xr:uid="{300F6688-E1AE-4D1D-A6A3-791E517285D5}"/>
    <cellStyle name="_Summary_Earnings_Bloomberg_Oil refinery_Previous" xfId="1936" xr:uid="{8EB40300-0FE3-4D53-B314-2A67209DD09E}"/>
    <cellStyle name="_Summary_Earnings_Bloomberg_Oil refinery_Previous_macro assumptions" xfId="1937" xr:uid="{CAB39F37-3419-43E4-A95C-A9BC08FFACB7}"/>
    <cellStyle name="_Summary_Earnings_Bloomberg_Oil refinery_Previous_Previous" xfId="1938" xr:uid="{9B0CB1EC-1F08-453E-92E1-ACE904DCD93E}"/>
    <cellStyle name="_Summary_Earnings_Bloomberg_Oil refinery_Previous_STX Europe" xfId="1939" xr:uid="{14307BEA-85A1-420B-BB55-64BDF427DB88}"/>
    <cellStyle name="_Summary_Earnings_Bloomberg_Oil refinery_Previous_sum-of-parts" xfId="1940" xr:uid="{4477563A-FCF8-4BA8-9A28-2F8D2F0C121F}"/>
    <cellStyle name="_Summary_Earnings_Bloomberg_Oil refinery_Quarterly" xfId="1941" xr:uid="{728715C6-F999-4788-828E-ED2DCA61DD1A}"/>
    <cellStyle name="_Summary_Earnings_Bloomberg_Oil refinery_Quarterly_macro assumptions" xfId="1942" xr:uid="{7FB27A40-3D24-47CF-9814-6EACEA1FD731}"/>
    <cellStyle name="_Summary_Earnings_Bloomberg_Oil refinery_Quarterly_Previous" xfId="1943" xr:uid="{0127940C-B645-45FA-A733-11BFDDA5E0C4}"/>
    <cellStyle name="_Summary_Earnings_Bloomberg_Oil refinery_Quarterly_STX Europe" xfId="1944" xr:uid="{87E80E40-1CA2-43C1-B11A-458677606BF8}"/>
    <cellStyle name="_Summary_Earnings_Bloomberg_Oil refinery_Quarterly_sum-of-parts" xfId="1945" xr:uid="{F8C1D77E-8040-4DA6-A5D7-4A8D9E41D083}"/>
    <cellStyle name="_Summary_Earnings_Bloomberg_Oil refinery_STX Europe" xfId="1946" xr:uid="{A295A6F1-648B-4937-93F6-B366A4FC0F4E}"/>
    <cellStyle name="_Summary_Earnings_Bloomberg_Oil refinery_STX Europe_macro assumptions" xfId="1947" xr:uid="{7EDE3610-E758-427E-8F63-705E1CAEB77C}"/>
    <cellStyle name="_Summary_Earnings_Bloomberg_Oil refinery_STX Europe_Previous" xfId="1948" xr:uid="{179263EC-BDEC-4D96-97FC-61A3E7A229C5}"/>
    <cellStyle name="_Summary_Earnings_Bloomberg_Oil refinery_STX Europe_STX Europe" xfId="1949" xr:uid="{14E0F7C9-766D-4457-B762-EF5448B0749E}"/>
    <cellStyle name="_Summary_Earnings_Bloomberg_Oil refinery_STX Europe_sum-of-parts" xfId="1950" xr:uid="{CD6AE4EE-7AA4-40BA-A6C0-4A4AAF4B2141}"/>
    <cellStyle name="_Summary_Earnings_Bloomberg_Previous" xfId="1951" xr:uid="{20B1C00E-B9C2-46B1-B62F-1168DB0F9137}"/>
    <cellStyle name="_Summary_Earnings_Bloomberg_Previous_macro assumptions" xfId="1952" xr:uid="{2377319C-446A-4ECC-978C-3C2DE94598AF}"/>
    <cellStyle name="_Summary_Earnings_Bloomberg_Previous_Previous" xfId="1953" xr:uid="{AB534C2E-67C7-4452-97D0-7929713EC77F}"/>
    <cellStyle name="_Summary_Earnings_Bloomberg_Previous_STX Europe" xfId="1954" xr:uid="{26FC3385-C056-42F0-A3EF-C1E531CE2A44}"/>
    <cellStyle name="_Summary_Earnings_Bloomberg_Previous_sum-of-parts" xfId="1955" xr:uid="{A27E9929-E56D-4A9D-BEB5-7C402C6F2B11}"/>
    <cellStyle name="_Summary_Earnings_Bloomberg_Quarterly" xfId="1956" xr:uid="{15777DEA-DFD4-4770-A02B-D8E14F2C6E77}"/>
    <cellStyle name="_Summary_Earnings_Bloomberg_Quarterly_macro assumptions" xfId="1957" xr:uid="{60ADF921-DDB0-46E7-BC76-6BCBE70993FB}"/>
    <cellStyle name="_Summary_Earnings_Bloomberg_Quarterly_Previous" xfId="1958" xr:uid="{95DB31BD-7645-4785-9DD1-74A7B827C233}"/>
    <cellStyle name="_Summary_Earnings_Bloomberg_Quarterly_STX Europe" xfId="1959" xr:uid="{55133BC5-557B-4340-BF80-AF339A23D35F}"/>
    <cellStyle name="_Summary_Earnings_Bloomberg_Quarterly_sum-of-parts" xfId="1960" xr:uid="{5C59CD7A-FDA4-41F2-BFA5-BC2986DEE432}"/>
    <cellStyle name="_Summary_Earnings_Bloomberg_STX Europe" xfId="1961" xr:uid="{99BEC939-47DB-4AB1-ADE4-36568C8A5FC7}"/>
    <cellStyle name="_Summary_Earnings_Bloomberg_STX Europe_macro assumptions" xfId="1962" xr:uid="{ACFBE8AB-8BF3-4ED7-9E30-E3066DF14B3C}"/>
    <cellStyle name="_Summary_Earnings_Bloomberg_STX Europe_Previous" xfId="1963" xr:uid="{5300E554-0638-4B8B-96F6-4067C04D9726}"/>
    <cellStyle name="_Summary_Earnings_Bloomberg_STX Europe_STX Europe" xfId="1964" xr:uid="{A77D8E66-694B-4CB8-9920-87DD9A72327C}"/>
    <cellStyle name="_Summary_Earnings_Bloomberg_STX Europe_sum-of-parts" xfId="1965" xr:uid="{1FBB7D13-0C0A-4305-BDB0-A68224427DAC}"/>
    <cellStyle name="_Summary_Earnings_Bloomberg_Valuation table_bloomberg_PETER" xfId="1966" xr:uid="{C5913205-FC23-43CD-8E2F-82615620836C}"/>
    <cellStyle name="_Summary_Earnings_Bloomberg_Valuation table_bloomberg_PETER_model" xfId="1967" xr:uid="{78D822F1-2756-4872-BC04-DDEC84C01448}"/>
    <cellStyle name="_Summary_Earnings_Bloomberg_Valuation table_bloomberg_PETER_Previous" xfId="1968" xr:uid="{B6FC27BF-EFC0-415B-933F-9FE9B320C6FB}"/>
    <cellStyle name="_Summary_Earnings_Bloomberg_Valuation table_bloomberg_PETER_Previous_macro assumptions" xfId="1969" xr:uid="{5CF2C256-F43E-4593-B666-040C8A7A0CD1}"/>
    <cellStyle name="_Summary_Earnings_Bloomberg_Valuation table_bloomberg_PETER_Previous_Previous" xfId="1970" xr:uid="{32E3234B-3A4E-479B-8EC8-7AA7D5141BF7}"/>
    <cellStyle name="_Summary_Earnings_Bloomberg_Valuation table_bloomberg_PETER_Previous_STX Europe" xfId="1971" xr:uid="{8FB44BB8-9B78-452A-B33B-3AECAF2CCB75}"/>
    <cellStyle name="_Summary_Earnings_Bloomberg_Valuation table_bloomberg_PETER_Previous_sum-of-parts" xfId="1972" xr:uid="{8906CBAF-B181-489D-879A-81D1559A1B19}"/>
    <cellStyle name="_Summary_Earnings_Bloomberg_Valuation table_bloomberg_PETER_Quarterly" xfId="1973" xr:uid="{34E4C6EB-35F6-4ACD-BCC5-E313EEFAB627}"/>
    <cellStyle name="_Summary_Earnings_Bloomberg_Valuation table_bloomberg_PETER_Quarterly_macro assumptions" xfId="1974" xr:uid="{FD11ADA7-6A86-475C-B013-8AF2DB8304A0}"/>
    <cellStyle name="_Summary_Earnings_Bloomberg_Valuation table_bloomberg_PETER_Quarterly_Previous" xfId="1975" xr:uid="{FDAD34D5-3631-49F6-96B5-1265D4CF6B68}"/>
    <cellStyle name="_Summary_Earnings_Bloomberg_Valuation table_bloomberg_PETER_Quarterly_STX Europe" xfId="1976" xr:uid="{12860DBB-D7EE-4110-8F7A-240CEC551E2B}"/>
    <cellStyle name="_Summary_Earnings_Bloomberg_Valuation table_bloomberg_PETER_Quarterly_sum-of-parts" xfId="1977" xr:uid="{3243609E-E821-47B4-9D52-FB0CE9B3A76A}"/>
    <cellStyle name="_Summary_Earnings_Bloomberg_Valuation table_bloomberg_PETER_STX Europe" xfId="1978" xr:uid="{380C724F-87AE-4933-A1E2-107F0D68FEA3}"/>
    <cellStyle name="_Summary_Earnings_Bloomberg_Valuation table_bloomberg_PETER_STX Europe_macro assumptions" xfId="1979" xr:uid="{52026418-74AD-4F59-B36F-A6AA232A7739}"/>
    <cellStyle name="_Summary_Earnings_Bloomberg_Valuation table_bloomberg_PETER_STX Europe_Previous" xfId="1980" xr:uid="{638581FD-60AA-425B-9021-B46531DE8935}"/>
    <cellStyle name="_Summary_Earnings_Bloomberg_Valuation table_bloomberg_PETER_STX Europe_STX Europe" xfId="1981" xr:uid="{35382D5E-CD65-45C5-88A1-233C06F8242C}"/>
    <cellStyle name="_Summary_Earnings_Bloomberg_Valuation table_bloomberg_PETER_STX Europe_sum-of-parts" xfId="1982" xr:uid="{5CD65506-E305-41BD-9941-4F3D4A8C03EB}"/>
    <cellStyle name="_Summary_Earnings_model" xfId="1983" xr:uid="{1051575C-84FC-4E6E-B54D-FE3D519CDE32}"/>
    <cellStyle name="_Summary_Earnings_Oil refinery" xfId="1984" xr:uid="{2D4DF61C-A4F9-40CD-ABFF-0E2EB69E1DC3}"/>
    <cellStyle name="_Summary_Earnings_Oil refinery_model" xfId="1985" xr:uid="{311F8D84-0A9A-459E-BA82-791C4F5F0144}"/>
    <cellStyle name="_Summary_Earnings_Oil refinery_Oil refinery" xfId="1986" xr:uid="{A059A9AC-53D8-4CBE-A027-677E12AB4F88}"/>
    <cellStyle name="_Summary_Earnings_Oil refinery_Oil refinery_model" xfId="1987" xr:uid="{955D7E92-041B-4DFB-A1FD-71E10C403502}"/>
    <cellStyle name="_Summary_Earnings_Oil refinery_Oil refinery_Previous" xfId="1988" xr:uid="{E00B1CE2-8C32-4F85-A52E-170AE6782C05}"/>
    <cellStyle name="_Summary_Earnings_Oil refinery_Oil refinery_Previous_macro assumptions" xfId="1989" xr:uid="{96327F6E-C777-4F20-B893-BFDD5AE33AA0}"/>
    <cellStyle name="_Summary_Earnings_Oil refinery_Oil refinery_Previous_Previous" xfId="1990" xr:uid="{ECE1766D-11C2-47A5-99D7-64B468FB21B2}"/>
    <cellStyle name="_Summary_Earnings_Oil refinery_Oil refinery_Previous_STX Europe" xfId="1991" xr:uid="{ED8CF0A0-0914-42CB-9C6E-37005186341C}"/>
    <cellStyle name="_Summary_Earnings_Oil refinery_Oil refinery_Previous_sum-of-parts" xfId="1992" xr:uid="{30413407-B7C1-4B4D-AED1-05EB41C53347}"/>
    <cellStyle name="_Summary_Earnings_Oil refinery_Oil refinery_Quarterly" xfId="1993" xr:uid="{0F44682E-04B8-46D6-AE6B-814BE750090F}"/>
    <cellStyle name="_Summary_Earnings_Oil refinery_Oil refinery_Quarterly_macro assumptions" xfId="1994" xr:uid="{6ECCCDD5-6562-4B4E-831E-F327B8377142}"/>
    <cellStyle name="_Summary_Earnings_Oil refinery_Oil refinery_Quarterly_Previous" xfId="1995" xr:uid="{29B121B7-CE3D-42BF-99E3-585E851184A7}"/>
    <cellStyle name="_Summary_Earnings_Oil refinery_Oil refinery_Quarterly_STX Europe" xfId="1996" xr:uid="{15C01B6B-6655-4E57-A8CD-4DF2AA2E6C30}"/>
    <cellStyle name="_Summary_Earnings_Oil refinery_Oil refinery_Quarterly_sum-of-parts" xfId="1997" xr:uid="{FE1A4298-E102-42C5-AED2-9D89911643C9}"/>
    <cellStyle name="_Summary_Earnings_Oil refinery_Oil refinery_STX Europe" xfId="1998" xr:uid="{362A5B3B-B150-4C6D-BE5C-44E365ABBF1C}"/>
    <cellStyle name="_Summary_Earnings_Oil refinery_Oil refinery_STX Europe_macro assumptions" xfId="1999" xr:uid="{D024956D-FD2B-4B1F-A41E-8793493B21B0}"/>
    <cellStyle name="_Summary_Earnings_Oil refinery_Oil refinery_STX Europe_Previous" xfId="2000" xr:uid="{95FA7209-7662-4A7E-A1DE-7A420A051D61}"/>
    <cellStyle name="_Summary_Earnings_Oil refinery_Oil refinery_STX Europe_STX Europe" xfId="2001" xr:uid="{73897CF4-FE0D-4423-BC86-D30062456C04}"/>
    <cellStyle name="_Summary_Earnings_Oil refinery_Oil refinery_STX Europe_sum-of-parts" xfId="2002" xr:uid="{3B99129E-E19F-4B62-9A6B-77A7E5141471}"/>
    <cellStyle name="_Summary_Earnings_Oil refinery_Previous" xfId="2003" xr:uid="{4CFFD5BB-0F82-46FD-B6E4-FA7FF3ACE316}"/>
    <cellStyle name="_Summary_Earnings_Oil refinery_Previous_macro assumptions" xfId="2004" xr:uid="{62A63586-7498-4D4D-AED9-E8FB45DCDDDC}"/>
    <cellStyle name="_Summary_Earnings_Oil refinery_Previous_Previous" xfId="2005" xr:uid="{2FA150C4-9A5D-42C3-BAD0-B453579C7ADE}"/>
    <cellStyle name="_Summary_Earnings_Oil refinery_Previous_STX Europe" xfId="2006" xr:uid="{CC39E55C-091F-4363-BDF8-B18DEAA1B5DE}"/>
    <cellStyle name="_Summary_Earnings_Oil refinery_Previous_sum-of-parts" xfId="2007" xr:uid="{EDEDBBFE-5C04-422F-A967-91B74190D654}"/>
    <cellStyle name="_Summary_Earnings_Oil refinery_Quarterly" xfId="2008" xr:uid="{75C52FF6-0B07-407D-A60F-B1EFB38B98D6}"/>
    <cellStyle name="_Summary_Earnings_Oil refinery_Quarterly_macro assumptions" xfId="2009" xr:uid="{218D469C-3681-4F50-A61F-E65AA6693BD6}"/>
    <cellStyle name="_Summary_Earnings_Oil refinery_Quarterly_Previous" xfId="2010" xr:uid="{F77DD610-9EDF-425D-A955-E68DB9842291}"/>
    <cellStyle name="_Summary_Earnings_Oil refinery_Quarterly_STX Europe" xfId="2011" xr:uid="{6208AFA8-0A3E-404A-B0A2-ECE8C927C424}"/>
    <cellStyle name="_Summary_Earnings_Oil refinery_Quarterly_sum-of-parts" xfId="2012" xr:uid="{44679176-FDF5-4196-ADA7-E7164583F5DD}"/>
    <cellStyle name="_Summary_Earnings_Oil refinery_STX Europe" xfId="2013" xr:uid="{B49836DE-355E-48D6-8D6F-D6E45DDBCC6E}"/>
    <cellStyle name="_Summary_Earnings_Oil refinery_STX Europe_macro assumptions" xfId="2014" xr:uid="{A674FA2E-E7D1-4551-91A6-F10289B65202}"/>
    <cellStyle name="_Summary_Earnings_Oil refinery_STX Europe_Previous" xfId="2015" xr:uid="{E0A921A9-8AB9-4008-840B-44D135A63E1C}"/>
    <cellStyle name="_Summary_Earnings_Oil refinery_STX Europe_STX Europe" xfId="2016" xr:uid="{71253285-3661-4BAE-B92B-B3D728B7CAC0}"/>
    <cellStyle name="_Summary_Earnings_Oil refinery_STX Europe_sum-of-parts" xfId="2017" xr:uid="{692BA69A-B560-4C54-BFB4-E4FA3F91BED9}"/>
    <cellStyle name="_Summary_Earnings_Petrochem" xfId="2018" xr:uid="{C9689845-7F3D-4ECC-B1EE-D94143A3F508}"/>
    <cellStyle name="_Summary_Earnings_Petrochem_model" xfId="2019" xr:uid="{82F0D05D-1862-48AC-B8F4-BE2DF92063AA}"/>
    <cellStyle name="_Summary_Earnings_Petrochem_Oil refinery" xfId="2020" xr:uid="{6E23AB91-E040-4C0E-AEB4-52DB98CDF41E}"/>
    <cellStyle name="_Summary_Earnings_Petrochem_Oil refinery_model" xfId="2021" xr:uid="{4668DE85-83CF-450C-BCEB-A9D122914A5E}"/>
    <cellStyle name="_Summary_Earnings_Petrochem_Oil refinery_Previous" xfId="2022" xr:uid="{87A6778C-382B-488F-B74A-F688BCD34C3B}"/>
    <cellStyle name="_Summary_Earnings_Petrochem_Oil refinery_Previous_macro assumptions" xfId="2023" xr:uid="{9474020F-34D9-40A7-A38D-6DEDFC903C90}"/>
    <cellStyle name="_Summary_Earnings_Petrochem_Oil refinery_Previous_Previous" xfId="2024" xr:uid="{3B8E4EDD-F737-4C81-9589-4C82F43797B8}"/>
    <cellStyle name="_Summary_Earnings_Petrochem_Oil refinery_Previous_STX Europe" xfId="2025" xr:uid="{CABB8DDB-4F2C-4C90-8F8D-ED663580FB80}"/>
    <cellStyle name="_Summary_Earnings_Petrochem_Oil refinery_Previous_sum-of-parts" xfId="2026" xr:uid="{EEB86BEC-209E-4943-998D-B77BCF84CF7B}"/>
    <cellStyle name="_Summary_Earnings_Petrochem_Oil refinery_Quarterly" xfId="2027" xr:uid="{E69E2686-1C0E-4E4A-8F38-696D703304BA}"/>
    <cellStyle name="_Summary_Earnings_Petrochem_Oil refinery_Quarterly_macro assumptions" xfId="2028" xr:uid="{52A0B674-3FE2-46D9-893E-8BFA1176EDD2}"/>
    <cellStyle name="_Summary_Earnings_Petrochem_Oil refinery_Quarterly_Previous" xfId="2029" xr:uid="{47808AD9-1044-46FD-AA84-B98A3ABBECCC}"/>
    <cellStyle name="_Summary_Earnings_Petrochem_Oil refinery_Quarterly_STX Europe" xfId="2030" xr:uid="{4507ADB7-478B-49AD-B1F2-BDB73748A9A3}"/>
    <cellStyle name="_Summary_Earnings_Petrochem_Oil refinery_Quarterly_sum-of-parts" xfId="2031" xr:uid="{4461F2A8-8D83-4C2B-A27B-8C44E799EF1C}"/>
    <cellStyle name="_Summary_Earnings_Petrochem_Oil refinery_STX Europe" xfId="2032" xr:uid="{F083DF2C-294F-46B1-95F9-3CD24614FCD1}"/>
    <cellStyle name="_Summary_Earnings_Petrochem_Oil refinery_STX Europe_macro assumptions" xfId="2033" xr:uid="{4AB87C5D-ED24-4FCD-88EE-6AC1604D3E32}"/>
    <cellStyle name="_Summary_Earnings_Petrochem_Oil refinery_STX Europe_Previous" xfId="2034" xr:uid="{053D8377-012F-4D19-9F8A-636200B4603B}"/>
    <cellStyle name="_Summary_Earnings_Petrochem_Oil refinery_STX Europe_STX Europe" xfId="2035" xr:uid="{454C81E5-1BBE-4B60-BAD0-1395299C40F4}"/>
    <cellStyle name="_Summary_Earnings_Petrochem_Oil refinery_STX Europe_sum-of-parts" xfId="2036" xr:uid="{1805D9B2-CB10-4660-8219-362B869C4EFE}"/>
    <cellStyle name="_Summary_Earnings_Petrochem_Previous" xfId="2037" xr:uid="{2425AE23-A81B-4082-89F1-1C8CB6757838}"/>
    <cellStyle name="_Summary_Earnings_Petrochem_Previous_macro assumptions" xfId="2038" xr:uid="{2028591B-C9A5-495D-80D6-21F08C1FB139}"/>
    <cellStyle name="_Summary_Earnings_Petrochem_Previous_Previous" xfId="2039" xr:uid="{99BB5C44-D7AA-429C-9623-7E26097217D0}"/>
    <cellStyle name="_Summary_Earnings_Petrochem_Previous_STX Europe" xfId="2040" xr:uid="{485A6CEE-6093-4C11-93B7-1B9DEFD0E0C7}"/>
    <cellStyle name="_Summary_Earnings_Petrochem_Previous_sum-of-parts" xfId="2041" xr:uid="{9CAADCDD-375A-4BD2-8E3C-3D337590FBE6}"/>
    <cellStyle name="_Summary_Earnings_Petrochem_Quarterly" xfId="2042" xr:uid="{6D057049-A19C-4905-8B58-0F5B10570970}"/>
    <cellStyle name="_Summary_Earnings_Petrochem_Quarterly_macro assumptions" xfId="2043" xr:uid="{30C79725-9434-4587-A8BC-ED95449E557E}"/>
    <cellStyle name="_Summary_Earnings_Petrochem_Quarterly_Previous" xfId="2044" xr:uid="{C5359FF3-5B0C-4EE5-B29D-EAAA5C4859C2}"/>
    <cellStyle name="_Summary_Earnings_Petrochem_Quarterly_STX Europe" xfId="2045" xr:uid="{E9B213F7-11BA-41D2-A80E-10F5F277B32E}"/>
    <cellStyle name="_Summary_Earnings_Petrochem_Quarterly_sum-of-parts" xfId="2046" xr:uid="{C0557C9A-0151-442B-A473-0E18724CBCC8}"/>
    <cellStyle name="_Summary_Earnings_Petrochem_STX Europe" xfId="2047" xr:uid="{E4B603E5-48A0-4B8E-A3D0-17598D6EAD9E}"/>
    <cellStyle name="_Summary_Earnings_Petrochem_STX Europe_macro assumptions" xfId="2048" xr:uid="{51EE006D-3956-43B1-AE07-27A8D2AC910E}"/>
    <cellStyle name="_Summary_Earnings_Petrochem_STX Europe_Previous" xfId="2049" xr:uid="{CC78851D-C094-44CA-9149-6E33B2B5D0FF}"/>
    <cellStyle name="_Summary_Earnings_Petrochem_STX Europe_STX Europe" xfId="2050" xr:uid="{E51AF98C-FBD6-4C43-8E63-CEF4EBA34F24}"/>
    <cellStyle name="_Summary_Earnings_Petrochem_STX Europe_sum-of-parts" xfId="2051" xr:uid="{7BE002EE-5C9E-46BE-A35B-717B34834F77}"/>
    <cellStyle name="_Summary_Earnings_Previous" xfId="2052" xr:uid="{6B439014-B315-474E-9DBD-93F92FA269BD}"/>
    <cellStyle name="_Summary_Earnings_Previous_macro assumptions" xfId="2053" xr:uid="{254E5DF7-257C-4539-AE24-56EC57E11711}"/>
    <cellStyle name="_Summary_Earnings_Previous_Previous" xfId="2054" xr:uid="{5BB7A4FA-6D9F-4095-AECF-94728EF7476C}"/>
    <cellStyle name="_Summary_Earnings_Previous_STX Europe" xfId="2055" xr:uid="{CD95D833-7E46-4F23-99FA-7164AF5CBE13}"/>
    <cellStyle name="_Summary_Earnings_Previous_sum-of-parts" xfId="2056" xr:uid="{ACB135A7-FCCB-466C-BFD0-FA6D3C9CDE6D}"/>
    <cellStyle name="_Summary_Earnings_Quarterly" xfId="2057" xr:uid="{ADE9A31F-7D9B-4175-881A-2D5654F2457C}"/>
    <cellStyle name="_Summary_Earnings_Quarterly_macro assumptions" xfId="2058" xr:uid="{4C937D50-4280-4610-AF97-AB63F3EA8027}"/>
    <cellStyle name="_Summary_Earnings_Quarterly_Previous" xfId="2059" xr:uid="{1596D3DA-75C1-4891-8A88-EF0402335637}"/>
    <cellStyle name="_Summary_Earnings_Quarterly_STX Europe" xfId="2060" xr:uid="{AAACC89B-A236-42DA-BB56-F4415AD36B7B}"/>
    <cellStyle name="_Summary_Earnings_Quarterly_sum-of-parts" xfId="2061" xr:uid="{4F86D7C2-919C-4025-A69F-71EF861EFBD1}"/>
    <cellStyle name="_Summary_Earnings_STX Europe" xfId="2062" xr:uid="{69F8A2A9-44D7-4098-A18A-6576927137BC}"/>
    <cellStyle name="_Summary_Earnings_STX Europe_macro assumptions" xfId="2063" xr:uid="{7F276C80-1023-4CD2-BB38-BFB427765A6D}"/>
    <cellStyle name="_Summary_Earnings_STX Europe_Previous" xfId="2064" xr:uid="{C0558A53-4A57-4CDD-B5B2-F2B6A254A061}"/>
    <cellStyle name="_Summary_Earnings_STX Europe_STX Europe" xfId="2065" xr:uid="{9D1AF709-9ABA-43E0-B727-2131D5A16556}"/>
    <cellStyle name="_Summary_Earnings_STX Europe_sum-of-parts" xfId="2066" xr:uid="{B81A4EBF-A748-43A2-BBD7-E7E3C27CCCEA}"/>
    <cellStyle name="_taewoong_revision" xfId="2067" xr:uid="{886DCE7B-76DB-4CB3-964E-BA4F080EAC56}"/>
    <cellStyle name="_tax" xfId="2068" xr:uid="{8E77E63E-CA36-453F-847A-EC3922173328}"/>
    <cellStyle name="_Template Stats" xfId="2069" xr:uid="{C7F533B6-0797-44FD-AE15-8F64D4D18B40}"/>
    <cellStyle name="_Template Stats_Bloomberg" xfId="2070" xr:uid="{F15FBBBF-E7C8-4F8E-A6B1-CA7ED52EC5CC}"/>
    <cellStyle name="_Template Stats_Bloomberg_model" xfId="2071" xr:uid="{4451B8FF-1D9F-4338-B9B0-0119E32CAF1D}"/>
    <cellStyle name="_Template Stats_Bloomberg_Oil refinery" xfId="2072" xr:uid="{16EE4F56-C752-4F4A-9E07-74E6EF2DAEED}"/>
    <cellStyle name="_Template Stats_Bloomberg_Oil refinery_model" xfId="2073" xr:uid="{AF3DA58D-09E8-419A-AF96-6AA088B6E18F}"/>
    <cellStyle name="_Template Stats_Bloomberg_Oil refinery_Previous" xfId="2074" xr:uid="{D0C23F79-2CEE-4E3A-94AA-662D12C3CC29}"/>
    <cellStyle name="_Template Stats_Bloomberg_Oil refinery_Previous_macro assumptions" xfId="2075" xr:uid="{E578ABEF-3E03-499C-92BD-C26AE053899B}"/>
    <cellStyle name="_Template Stats_Bloomberg_Oil refinery_Previous_Previous" xfId="2076" xr:uid="{B47740A5-9899-49A6-8839-84E44AB991A1}"/>
    <cellStyle name="_Template Stats_Bloomberg_Oil refinery_Previous_STX Europe" xfId="2077" xr:uid="{551C88ED-2D47-4215-A2E1-222924D98032}"/>
    <cellStyle name="_Template Stats_Bloomberg_Oil refinery_Previous_sum-of-parts" xfId="2078" xr:uid="{7A1F3F64-DC1D-40FD-B08F-80ECD86F5E75}"/>
    <cellStyle name="_Template Stats_Bloomberg_Oil refinery_Quarterly" xfId="2079" xr:uid="{CB15F7FB-B552-47AB-AC6A-01831BD915B3}"/>
    <cellStyle name="_Template Stats_Bloomberg_Oil refinery_Quarterly_macro assumptions" xfId="2080" xr:uid="{F0622090-27DE-4654-9982-E7A4C568F70A}"/>
    <cellStyle name="_Template Stats_Bloomberg_Oil refinery_Quarterly_Previous" xfId="2081" xr:uid="{DA746C4F-662D-4C21-B629-F42FD4E1AB94}"/>
    <cellStyle name="_Template Stats_Bloomberg_Oil refinery_Quarterly_STX Europe" xfId="2082" xr:uid="{AC7FB2EC-31FC-4D64-AF8D-881395E37A6F}"/>
    <cellStyle name="_Template Stats_Bloomberg_Oil refinery_Quarterly_sum-of-parts" xfId="2083" xr:uid="{65F117FA-00AB-4F23-A573-D37781C4264B}"/>
    <cellStyle name="_Template Stats_Bloomberg_Oil refinery_STX Europe" xfId="2084" xr:uid="{2F9F586C-B309-43BE-AC66-3AA317444E9F}"/>
    <cellStyle name="_Template Stats_Bloomberg_Oil refinery_STX Europe_macro assumptions" xfId="2085" xr:uid="{B7168FBE-20C4-4224-BAEC-61067648B2DB}"/>
    <cellStyle name="_Template Stats_Bloomberg_Oil refinery_STX Europe_Previous" xfId="2086" xr:uid="{6E4AEE0C-2019-4D82-BC3D-EA4397C1192B}"/>
    <cellStyle name="_Template Stats_Bloomberg_Oil refinery_STX Europe_STX Europe" xfId="2087" xr:uid="{229B5BB9-82D6-4F4A-90C2-538DA0A6B0C9}"/>
    <cellStyle name="_Template Stats_Bloomberg_Oil refinery_STX Europe_sum-of-parts" xfId="2088" xr:uid="{65248F3D-370A-41C1-8615-206F9C9DE9CD}"/>
    <cellStyle name="_Template Stats_Bloomberg_Previous" xfId="2089" xr:uid="{6491FE3A-1D74-4421-9193-43FD8B63E02D}"/>
    <cellStyle name="_Template Stats_Bloomberg_Previous_macro assumptions" xfId="2090" xr:uid="{0A14DE43-6E80-434A-AC77-C86CA2B1D4CA}"/>
    <cellStyle name="_Template Stats_Bloomberg_Previous_Previous" xfId="2091" xr:uid="{95DDD4B2-477C-41D8-84B3-42CA9FA1A044}"/>
    <cellStyle name="_Template Stats_Bloomberg_Previous_STX Europe" xfId="2092" xr:uid="{036B1CBE-39B4-4E57-99E0-77AE84736A84}"/>
    <cellStyle name="_Template Stats_Bloomberg_Previous_sum-of-parts" xfId="2093" xr:uid="{12A63884-48E8-488E-879B-DB34D92DF497}"/>
    <cellStyle name="_Template Stats_Bloomberg_Quarterly" xfId="2094" xr:uid="{91313CB2-4906-4350-80AD-2BF15FA117F5}"/>
    <cellStyle name="_Template Stats_Bloomberg_Quarterly_macro assumptions" xfId="2095" xr:uid="{34662D59-124D-4049-9610-DAF38A848F58}"/>
    <cellStyle name="_Template Stats_Bloomberg_Quarterly_Previous" xfId="2096" xr:uid="{B42950F4-67B1-47AA-BB22-A1D7B8A4F253}"/>
    <cellStyle name="_Template Stats_Bloomberg_Quarterly_STX Europe" xfId="2097" xr:uid="{F1A3ED76-5838-4214-B47E-802E4D2FF699}"/>
    <cellStyle name="_Template Stats_Bloomberg_Quarterly_sum-of-parts" xfId="2098" xr:uid="{F2715B92-1BD2-4C9A-8A58-BA56543BCA07}"/>
    <cellStyle name="_Template Stats_Bloomberg_STX Europe" xfId="2099" xr:uid="{14D1A481-FDA7-435C-9CA6-A2E98B1AAFAC}"/>
    <cellStyle name="_Template Stats_Bloomberg_STX Europe_macro assumptions" xfId="2100" xr:uid="{488E4FB6-F7E9-4AFC-9301-8B90DD6B8F47}"/>
    <cellStyle name="_Template Stats_Bloomberg_STX Europe_Previous" xfId="2101" xr:uid="{DE44C494-F19A-4101-9D79-365DF3D059F5}"/>
    <cellStyle name="_Template Stats_Bloomberg_STX Europe_STX Europe" xfId="2102" xr:uid="{CDF54072-5357-4A8D-B1BF-0EC67ACCB44C}"/>
    <cellStyle name="_Template Stats_Bloomberg_STX Europe_sum-of-parts" xfId="2103" xr:uid="{3AE71B97-38AF-4CB6-A41C-489E07F16C71}"/>
    <cellStyle name="_Template Stats_Bloomberg_Valuation table_bloomberg_PETER" xfId="2104" xr:uid="{E3B222E7-F52A-4250-A9D4-B686B27EB1B3}"/>
    <cellStyle name="_Template Stats_Bloomberg_Valuation table_bloomberg_PETER_model" xfId="2105" xr:uid="{1E214A5D-11D7-4E6F-904C-BC174D65918B}"/>
    <cellStyle name="_Template Stats_Bloomberg_Valuation table_bloomberg_PETER_Previous" xfId="2106" xr:uid="{C71491EC-F175-4A88-99A2-83DA768D613F}"/>
    <cellStyle name="_Template Stats_Bloomberg_Valuation table_bloomberg_PETER_Previous_macro assumptions" xfId="2107" xr:uid="{21795B9F-EEE0-413E-9F2F-120849E3D836}"/>
    <cellStyle name="_Template Stats_Bloomberg_Valuation table_bloomberg_PETER_Previous_Previous" xfId="2108" xr:uid="{BECF1A77-CB87-4DB8-B54B-742F41769B82}"/>
    <cellStyle name="_Template Stats_Bloomberg_Valuation table_bloomberg_PETER_Previous_STX Europe" xfId="2109" xr:uid="{A1F2607D-E90F-40CA-9C91-3DE418C96B92}"/>
    <cellStyle name="_Template Stats_Bloomberg_Valuation table_bloomberg_PETER_Previous_sum-of-parts" xfId="2110" xr:uid="{09DB7091-2BCD-4DA0-B9A0-3C2E7C7647FA}"/>
    <cellStyle name="_Template Stats_Bloomberg_Valuation table_bloomberg_PETER_Quarterly" xfId="2111" xr:uid="{F92678CF-E332-44AE-A576-9FCAF2C8C463}"/>
    <cellStyle name="_Template Stats_Bloomberg_Valuation table_bloomberg_PETER_Quarterly_macro assumptions" xfId="2112" xr:uid="{07906218-15A9-40F3-AADC-1D8DBF39F3D2}"/>
    <cellStyle name="_Template Stats_Bloomberg_Valuation table_bloomberg_PETER_Quarterly_Previous" xfId="2113" xr:uid="{5FC09A40-B675-40A9-A895-B646C3C86C05}"/>
    <cellStyle name="_Template Stats_Bloomberg_Valuation table_bloomberg_PETER_Quarterly_STX Europe" xfId="2114" xr:uid="{D5A5AD2F-152F-4494-8105-BEE440FD50E0}"/>
    <cellStyle name="_Template Stats_Bloomberg_Valuation table_bloomberg_PETER_Quarterly_sum-of-parts" xfId="2115" xr:uid="{275DF6E0-B25D-4531-BF10-98D21E79EE0E}"/>
    <cellStyle name="_Template Stats_Bloomberg_Valuation table_bloomberg_PETER_STX Europe" xfId="2116" xr:uid="{2AF7DD93-14F0-4613-8644-78BCD611F98F}"/>
    <cellStyle name="_Template Stats_Bloomberg_Valuation table_bloomberg_PETER_STX Europe_macro assumptions" xfId="2117" xr:uid="{9F3A9DB9-9FB9-45B8-87C0-72E0664DDDDA}"/>
    <cellStyle name="_Template Stats_Bloomberg_Valuation table_bloomberg_PETER_STX Europe_Previous" xfId="2118" xr:uid="{2D38BBC3-10BC-4538-84EF-BD394C1A4F62}"/>
    <cellStyle name="_Template Stats_Bloomberg_Valuation table_bloomberg_PETER_STX Europe_STX Europe" xfId="2119" xr:uid="{BE558DCC-52BE-4A0D-B4CF-E9BE6CBE988F}"/>
    <cellStyle name="_Template Stats_Bloomberg_Valuation table_bloomberg_PETER_STX Europe_sum-of-parts" xfId="2120" xr:uid="{D35FF16A-4BF4-4284-B601-8878105CF591}"/>
    <cellStyle name="_Template Stats_model" xfId="2121" xr:uid="{C630FB0D-CB15-45D8-B6A1-0A4CD2C35084}"/>
    <cellStyle name="_Template Stats_Oil refinery" xfId="2122" xr:uid="{31D3FC2B-D301-4D1B-8B66-CD394DF84770}"/>
    <cellStyle name="_Template Stats_Oil refinery_model" xfId="2123" xr:uid="{89FEFA43-1B21-432F-B00B-35EC76C0A132}"/>
    <cellStyle name="_Template Stats_Oil refinery_Oil refinery" xfId="2124" xr:uid="{4F46A9D6-E791-4588-ACDC-A319C79D0ABE}"/>
    <cellStyle name="_Template Stats_Oil refinery_Oil refinery_model" xfId="2125" xr:uid="{26D40652-B807-47C4-BFFA-A79D8157CAB9}"/>
    <cellStyle name="_Template Stats_Oil refinery_Oil refinery_Previous" xfId="2126" xr:uid="{8FD9A9AB-E368-4AC9-9916-18E186C60E64}"/>
    <cellStyle name="_Template Stats_Oil refinery_Oil refinery_Previous_macro assumptions" xfId="2127" xr:uid="{55644BD6-4AD7-44AF-B45A-983EA81B0C09}"/>
    <cellStyle name="_Template Stats_Oil refinery_Oil refinery_Previous_Previous" xfId="2128" xr:uid="{1280AE87-AA99-4D2A-93A6-66816DBC4460}"/>
    <cellStyle name="_Template Stats_Oil refinery_Oil refinery_Previous_STX Europe" xfId="2129" xr:uid="{2481BFEF-86F3-4368-8C9E-72759B8B7874}"/>
    <cellStyle name="_Template Stats_Oil refinery_Oil refinery_Previous_sum-of-parts" xfId="2130" xr:uid="{23EBAF63-9AC6-41E6-97AA-72A20E1F68B5}"/>
    <cellStyle name="_Template Stats_Oil refinery_Oil refinery_Quarterly" xfId="2131" xr:uid="{5CEC28EE-41D8-4724-B191-43348FC34BA0}"/>
    <cellStyle name="_Template Stats_Oil refinery_Oil refinery_Quarterly_macro assumptions" xfId="2132" xr:uid="{EC74C349-F0D4-40FD-ABE6-497C31EC3F74}"/>
    <cellStyle name="_Template Stats_Oil refinery_Oil refinery_Quarterly_Previous" xfId="2133" xr:uid="{CA63B5D3-D047-4A27-9A75-3AFD320A4A52}"/>
    <cellStyle name="_Template Stats_Oil refinery_Oil refinery_Quarterly_STX Europe" xfId="2134" xr:uid="{6A764DDB-EC7F-4C4A-994C-6B0E543C8B51}"/>
    <cellStyle name="_Template Stats_Oil refinery_Oil refinery_Quarterly_sum-of-parts" xfId="2135" xr:uid="{544E7714-A941-4494-80EF-F189D21E8342}"/>
    <cellStyle name="_Template Stats_Oil refinery_Oil refinery_STX Europe" xfId="2136" xr:uid="{2C0C6905-4EE6-4588-940B-FC3A0F892F48}"/>
    <cellStyle name="_Template Stats_Oil refinery_Oil refinery_STX Europe_macro assumptions" xfId="2137" xr:uid="{4C6C7823-ED2B-4C09-B13B-90D5E14147D6}"/>
    <cellStyle name="_Template Stats_Oil refinery_Oil refinery_STX Europe_Previous" xfId="2138" xr:uid="{81FC95FE-A0DB-440E-8D1A-CE64F4FE5961}"/>
    <cellStyle name="_Template Stats_Oil refinery_Oil refinery_STX Europe_STX Europe" xfId="2139" xr:uid="{554BDA83-4FE5-4B5F-B5CC-7EFA3DA32BED}"/>
    <cellStyle name="_Template Stats_Oil refinery_Oil refinery_STX Europe_sum-of-parts" xfId="2140" xr:uid="{CD9D1D4C-8E0F-4E9D-9D7E-9B540166A88D}"/>
    <cellStyle name="_Template Stats_Oil refinery_Previous" xfId="2141" xr:uid="{BCAC9976-186E-4542-B3F6-399846A052C4}"/>
    <cellStyle name="_Template Stats_Oil refinery_Previous_macro assumptions" xfId="2142" xr:uid="{E4122305-1383-4EB1-85F7-D9D0F3BA1AA2}"/>
    <cellStyle name="_Template Stats_Oil refinery_Previous_Previous" xfId="2143" xr:uid="{9B792C06-EAE9-4465-B806-3D52BC51F459}"/>
    <cellStyle name="_Template Stats_Oil refinery_Previous_STX Europe" xfId="2144" xr:uid="{D4FEB2ED-48C8-4DED-9445-24D8B58953EA}"/>
    <cellStyle name="_Template Stats_Oil refinery_Previous_sum-of-parts" xfId="2145" xr:uid="{4B327CB7-45F4-4875-911A-9EACF967143E}"/>
    <cellStyle name="_Template Stats_Oil refinery_Quarterly" xfId="2146" xr:uid="{1D8DEBBE-DF39-4114-B4D7-8C0EDB0FF9C4}"/>
    <cellStyle name="_Template Stats_Oil refinery_Quarterly_macro assumptions" xfId="2147" xr:uid="{4EA078CC-9F28-4C2A-88CA-1E38236EA17C}"/>
    <cellStyle name="_Template Stats_Oil refinery_Quarterly_Previous" xfId="2148" xr:uid="{8B72CDE4-7D21-4C75-95B9-4943D23FA44B}"/>
    <cellStyle name="_Template Stats_Oil refinery_Quarterly_STX Europe" xfId="2149" xr:uid="{ABC37F68-AE65-47CB-B094-73FC405DB2EE}"/>
    <cellStyle name="_Template Stats_Oil refinery_Quarterly_sum-of-parts" xfId="2150" xr:uid="{57D757AE-30E2-4183-8880-2FCFE7F053A9}"/>
    <cellStyle name="_Template Stats_Oil refinery_STX Europe" xfId="2151" xr:uid="{0E8C45CB-E02C-4D83-82A8-DDCCE50D4600}"/>
    <cellStyle name="_Template Stats_Oil refinery_STX Europe_macro assumptions" xfId="2152" xr:uid="{74105C51-65C8-4EC3-AC5C-564E9A0475FA}"/>
    <cellStyle name="_Template Stats_Oil refinery_STX Europe_Previous" xfId="2153" xr:uid="{BEF25DAF-1AB5-4CF9-BB91-55765B710362}"/>
    <cellStyle name="_Template Stats_Oil refinery_STX Europe_STX Europe" xfId="2154" xr:uid="{4BF78349-8E80-48A3-A40F-93DC621C9157}"/>
    <cellStyle name="_Template Stats_Oil refinery_STX Europe_sum-of-parts" xfId="2155" xr:uid="{C85D1C27-6C91-43F8-9E9E-E71B144FA1B9}"/>
    <cellStyle name="_Template Stats_Petrochem" xfId="2156" xr:uid="{EA7309E9-AD52-4ED4-AB16-1815D38C8E6D}"/>
    <cellStyle name="_Template Stats_Petrochem_model" xfId="2157" xr:uid="{E9BB032F-B1F1-4868-BD6E-3D5F8EA4E683}"/>
    <cellStyle name="_Template Stats_Petrochem_Oil refinery" xfId="2158" xr:uid="{2AFD4EEB-12A1-4934-B344-1099A4C0CC24}"/>
    <cellStyle name="_Template Stats_Petrochem_Oil refinery_model" xfId="2159" xr:uid="{38B343E3-18E6-4494-B74E-F2BE0F840FBE}"/>
    <cellStyle name="_Template Stats_Petrochem_Oil refinery_Previous" xfId="2160" xr:uid="{B9306E3D-48E9-4FBF-9E1A-3039953D4F9A}"/>
    <cellStyle name="_Template Stats_Petrochem_Oil refinery_Previous_macro assumptions" xfId="2161" xr:uid="{96FA3CF6-D0AE-4947-ACEB-1C240196D1BE}"/>
    <cellStyle name="_Template Stats_Petrochem_Oil refinery_Previous_Previous" xfId="2162" xr:uid="{1C804D6C-06FB-42D7-8E78-1DBDC20E37D6}"/>
    <cellStyle name="_Template Stats_Petrochem_Oil refinery_Previous_STX Europe" xfId="2163" xr:uid="{C384D986-757A-43F4-AB9E-A1FB6F53A70E}"/>
    <cellStyle name="_Template Stats_Petrochem_Oil refinery_Previous_sum-of-parts" xfId="2164" xr:uid="{688BD5B5-F3F7-48DF-9E09-28078A90B632}"/>
    <cellStyle name="_Template Stats_Petrochem_Oil refinery_Quarterly" xfId="2165" xr:uid="{CAC25209-9749-4130-B63A-54F99DCC9B5A}"/>
    <cellStyle name="_Template Stats_Petrochem_Oil refinery_Quarterly_macro assumptions" xfId="2166" xr:uid="{FC058299-8AA5-4791-8774-4B0BBC00893B}"/>
    <cellStyle name="_Template Stats_Petrochem_Oil refinery_Quarterly_Previous" xfId="2167" xr:uid="{87EC157A-BA59-447D-AD92-169881BF0D7A}"/>
    <cellStyle name="_Template Stats_Petrochem_Oil refinery_Quarterly_STX Europe" xfId="2168" xr:uid="{811EE0FE-BFED-4CE8-BEDE-F5D9D1BE24CB}"/>
    <cellStyle name="_Template Stats_Petrochem_Oil refinery_Quarterly_sum-of-parts" xfId="2169" xr:uid="{D35EE107-5CDD-43BC-8142-CEF16543F77B}"/>
    <cellStyle name="_Template Stats_Petrochem_Oil refinery_STX Europe" xfId="2170" xr:uid="{D3E08985-6B0E-4BE3-84A3-9631F891E0B4}"/>
    <cellStyle name="_Template Stats_Petrochem_Oil refinery_STX Europe_macro assumptions" xfId="2171" xr:uid="{16D189C9-7649-4BF3-809F-56DF0C02DDBF}"/>
    <cellStyle name="_Template Stats_Petrochem_Oil refinery_STX Europe_Previous" xfId="2172" xr:uid="{07B65299-5DC0-4CA0-BD62-899B371719D2}"/>
    <cellStyle name="_Template Stats_Petrochem_Oil refinery_STX Europe_STX Europe" xfId="2173" xr:uid="{8BDF9A2B-0820-49AC-91A0-7967E96C3153}"/>
    <cellStyle name="_Template Stats_Petrochem_Oil refinery_STX Europe_sum-of-parts" xfId="2174" xr:uid="{8E90863F-CFFA-4332-A0E4-7F6051474292}"/>
    <cellStyle name="_Template Stats_Petrochem_Previous" xfId="2175" xr:uid="{01685214-66DA-4F5C-8B1C-3CB4226D9F9F}"/>
    <cellStyle name="_Template Stats_Petrochem_Previous_macro assumptions" xfId="2176" xr:uid="{CA2DA979-17E8-4451-AE9A-25B185047E29}"/>
    <cellStyle name="_Template Stats_Petrochem_Previous_Previous" xfId="2177" xr:uid="{DDB46F13-CDFE-4CF1-8404-A3983DEA6A54}"/>
    <cellStyle name="_Template Stats_Petrochem_Previous_STX Europe" xfId="2178" xr:uid="{678751C7-CC37-4342-BB82-E5C0D13B08BA}"/>
    <cellStyle name="_Template Stats_Petrochem_Previous_sum-of-parts" xfId="2179" xr:uid="{52F57492-290B-4D1B-808A-5BE607394AF0}"/>
    <cellStyle name="_Template Stats_Petrochem_Quarterly" xfId="2180" xr:uid="{C94B36DB-E5EA-45AB-AB64-14C88CC06C49}"/>
    <cellStyle name="_Template Stats_Petrochem_Quarterly_macro assumptions" xfId="2181" xr:uid="{4AD951A8-1B00-4DFE-AABB-F20AEE18F642}"/>
    <cellStyle name="_Template Stats_Petrochem_Quarterly_Previous" xfId="2182" xr:uid="{319AC270-A0D6-40F1-9119-0351772462CC}"/>
    <cellStyle name="_Template Stats_Petrochem_Quarterly_STX Europe" xfId="2183" xr:uid="{CE3DD2D1-59FC-4DEF-9DEF-D67B131CCF0B}"/>
    <cellStyle name="_Template Stats_Petrochem_Quarterly_sum-of-parts" xfId="2184" xr:uid="{4DF35287-D5D1-4091-B470-3233B771765A}"/>
    <cellStyle name="_Template Stats_Petrochem_STX Europe" xfId="2185" xr:uid="{83835E9E-70D4-4EF7-9386-C9B89577E169}"/>
    <cellStyle name="_Template Stats_Petrochem_STX Europe_macro assumptions" xfId="2186" xr:uid="{2C4BD3AC-4517-4A07-BAEE-542D2F81FB11}"/>
    <cellStyle name="_Template Stats_Petrochem_STX Europe_Previous" xfId="2187" xr:uid="{AD0CC929-E20F-4984-B31F-CDDFDE78F9D2}"/>
    <cellStyle name="_Template Stats_Petrochem_STX Europe_STX Europe" xfId="2188" xr:uid="{15FCEFBF-6EAE-488C-B44E-C072374B7EFE}"/>
    <cellStyle name="_Template Stats_Petrochem_STX Europe_sum-of-parts" xfId="2189" xr:uid="{ABC95824-29B5-4E95-89F7-8D5C3909C5EA}"/>
    <cellStyle name="_Template Stats_Previous" xfId="2190" xr:uid="{3BB94E68-61A2-44FD-B8D4-1EC4503FEA1B}"/>
    <cellStyle name="_Template Stats_Previous_macro assumptions" xfId="2191" xr:uid="{8B01850F-56BA-4434-A4CF-286A395A4029}"/>
    <cellStyle name="_Template Stats_Previous_Previous" xfId="2192" xr:uid="{0FC39C4C-D8A9-4980-95EB-6CE6017CE005}"/>
    <cellStyle name="_Template Stats_Previous_STX Europe" xfId="2193" xr:uid="{7BC6B3DF-14E5-43C4-9E1E-0459D834F946}"/>
    <cellStyle name="_Template Stats_Previous_sum-of-parts" xfId="2194" xr:uid="{F5FDD449-EE96-460F-8441-A146C97A95FD}"/>
    <cellStyle name="_Template Stats_Quarterly" xfId="2195" xr:uid="{BDBBF19D-2950-4EC4-B6EC-BC4B4E0EA667}"/>
    <cellStyle name="_Template Stats_Quarterly_macro assumptions" xfId="2196" xr:uid="{5D51853E-498A-45AE-ADA7-981562E4991B}"/>
    <cellStyle name="_Template Stats_Quarterly_Previous" xfId="2197" xr:uid="{F619F536-EC4A-4851-BC08-5D43C1CCE2EC}"/>
    <cellStyle name="_Template Stats_Quarterly_STX Europe" xfId="2198" xr:uid="{EA176163-4497-4E04-81ED-01E15CEFC0E4}"/>
    <cellStyle name="_Template Stats_Quarterly_sum-of-parts" xfId="2199" xr:uid="{18267365-58C8-43A0-B908-6687D1711091}"/>
    <cellStyle name="_Template Stats_STX Europe" xfId="2200" xr:uid="{65BA1B29-0AD7-47BD-9210-597BADC3A40C}"/>
    <cellStyle name="_Template Stats_STX Europe_macro assumptions" xfId="2201" xr:uid="{BCD7CAFE-5BED-4251-864D-5E86FD45E677}"/>
    <cellStyle name="_Template Stats_STX Europe_Previous" xfId="2202" xr:uid="{09E777E0-BFC8-4B42-B1D6-3C3A54B92D0C}"/>
    <cellStyle name="_Template Stats_STX Europe_STX Europe" xfId="2203" xr:uid="{FDA136B0-C391-4E31-8028-7675DC0D3AE1}"/>
    <cellStyle name="_Template Stats_STX Europe_sum-of-parts" xfId="2204" xr:uid="{FAA9C442-CD71-40B8-A8E6-7355DB3855A1}"/>
    <cellStyle name="_trao doi" xfId="26" xr:uid="{00000000-0005-0000-0000-000019000000}"/>
    <cellStyle name="_VERY simple model_Hynix" xfId="2205" xr:uid="{243C708B-701C-4B6C-8532-33FDC77A89D4}"/>
    <cellStyle name="—_VERY simple model_Hynix" xfId="2206" xr:uid="{10091B90-FFF4-4F42-B472-4789A2DA667A}"/>
    <cellStyle name="_VERY simple model_Hynix_Core Logic_model2" xfId="2207" xr:uid="{ECB1DFC2-642A-4737-8733-94011CCBD0B5}"/>
    <cellStyle name="_VERY simple model_Hynix_Interflex_model9" xfId="2208" xr:uid="{5A9FEA3A-AD40-4B9D-9B37-04B176F12FCB}"/>
    <cellStyle name="_VERY simple model_Hynix_Interflex_model9_Sheet3" xfId="2209" xr:uid="{54CDB707-3B41-4695-B758-6B2CF1B5A42B}"/>
    <cellStyle name="_VERY simple model_Hynix_Sheet3" xfId="2210" xr:uid="{B1730C15-252B-4990-A91F-3DDAB61BD2D4}"/>
    <cellStyle name="_wisenet" xfId="2211" xr:uid="{1C8EAB10-58A8-47C7-957C-2C926E581503}"/>
    <cellStyle name="_wisenet-Q" xfId="2212" xr:uid="{4A9FD80D-9402-47C2-98E9-DA4069476C50}"/>
    <cellStyle name="_テレコムハウス" xfId="2213" xr:uid="{E9CF6620-7C15-4C0E-9DF2-02003419B971}"/>
    <cellStyle name="_テレコムハウス_1" xfId="2214" xr:uid="{746A40BD-F049-46B8-8123-6BC59123175F}"/>
    <cellStyle name="_テレコムハウス_1_hhi_IFRS_in progress_Jul 2012" xfId="2215" xr:uid="{D5495586-0EC2-4E79-A3AD-CCB016E6BFA7}"/>
    <cellStyle name="_テレコムハウス_1_hhi_IFRS_in progress_Jul 2012 2" xfId="2216" xr:uid="{AF35621E-F617-4EBE-AEE1-DE3FCFC84C18}"/>
    <cellStyle name="_テレコムハウス_2" xfId="2217" xr:uid="{9D3F32C3-A12C-4059-83FC-BCC56F57DEB6}"/>
    <cellStyle name="_テレコムハウス_2_3Q03Results_031030" xfId="2218" xr:uid="{08DD7019-A92D-4C07-B11A-2AE48F5A623E}"/>
    <cellStyle name="_テレコムハウス_2_Datastream" xfId="2219" xr:uid="{9045F4A6-AD91-4DB4-9784-764D0091A6BD}"/>
    <cellStyle name="_テレコムハウス_2_DCF" xfId="2220" xr:uid="{D7163C5E-5365-4700-B818-B75BE9F62AEB}"/>
    <cellStyle name="_テレコムハウス_2_FS-quarterly" xfId="2221" xr:uid="{2FA8969C-966B-4248-B743-5161E0D3DDFC}"/>
    <cellStyle name="_テレコムハウス_2_Hanaro" xfId="2222" xr:uid="{A5E90139-BC8E-49BD-AE2A-C4C42F7713FB}"/>
    <cellStyle name="_テレコムハウス_2_KT&amp;G(ID)_PR_030619" xfId="2223" xr:uid="{0069FD30-C1B0-4AC7-A47A-C0A44EA10873}"/>
    <cellStyle name="_テレコムハウス_2_KT&amp;G(ID)_PR_030619_1" xfId="2224" xr:uid="{D9F59CB0-6434-4C71-8886-5AC8747B6FD0}"/>
    <cellStyle name="_テレコムハウス_2_KT&amp;G(ID)_PR_030619_1_TYC(affiliates)_PD_030709" xfId="2225" xr:uid="{FE5D79F6-7298-4470-835C-BEFBA4420988}"/>
    <cellStyle name="_テレコムハウス_2_KT&amp;G(ID)_PR_030619_1_TYC(affiliates)_PD_030709_TYC(FY05)tttv_030830" xfId="2226" xr:uid="{CB0F7B21-F6A2-493F-9D5D-0ADBA2FD0134}"/>
    <cellStyle name="_テレコムハウス_2_KT&amp;G(ID)_PR_030619_1_TYC(affiliates)준비_030623" xfId="2227" xr:uid="{9496EC9E-DD99-4BF4-8EEF-8DFB2CB5D5BB}"/>
    <cellStyle name="_テレコムハウス_2_KT&amp;G(ID)_PR_030619_1_TYC(affiliates)준비_030623_TYC(FY05)tttv_030830" xfId="2228" xr:uid="{57C7AD3C-FC8B-49C3-AD18-CA3766C16F59}"/>
    <cellStyle name="_テレコムハウス_2_KT&amp;G(ID)_PR_030619_1_TYC(FY05)tttv_030830" xfId="2229" xr:uid="{42ABA95D-9D51-4B46-AABD-3BC8897396F3}"/>
    <cellStyle name="_テレコムハウス_2_KT&amp;G(ID)_PR_030619_3Q03Results_031030" xfId="2230" xr:uid="{02BA1CB4-4F95-4542-9FA8-FC40044E8B18}"/>
    <cellStyle name="_テレコムハウス_2_KT&amp;G(ID)_PR_030619_KT&amp;G(ID)_PR_030619" xfId="2231" xr:uid="{A252C491-398E-4086-9C72-3F5E63FB7958}"/>
    <cellStyle name="_テレコムハウス_2_KT&amp;G(ID)_PR_030619_KT&amp;G(ID)_PR_030619_TYC(affiliates)_PD_030709" xfId="2232" xr:uid="{2600BB58-4BA5-46FD-A80B-AC635143D843}"/>
    <cellStyle name="_テレコムハウス_2_KT&amp;G(ID)_PR_030619_KT&amp;G(ID)_PR_030619_TYC(affiliates)_PD_030709_TYC(FY05)tttv_030830" xfId="2233" xr:uid="{32EB68AE-4C89-4579-BDD9-50C2A85F0CE9}"/>
    <cellStyle name="_テレコムハウス_2_KT&amp;G(ID)_PR_030619_KT&amp;G(ID)_PR_030619_TYC(affiliates)준비_030623" xfId="2234" xr:uid="{FB994BD6-2B4F-4DFB-BCDD-8E8EDCF0738C}"/>
    <cellStyle name="_テレコムハウス_2_KT&amp;G(ID)_PR_030619_KT&amp;G(ID)_PR_030619_TYC(affiliates)준비_030623_TYC(FY05)tttv_030830" xfId="2235" xr:uid="{A77ED914-D8A6-44A0-AB5D-6E96A3E6D8BE}"/>
    <cellStyle name="_テレコムハウス_2_KT&amp;G(ID)_PR_030619_KT&amp;G(ID)_PR_030619_TYC(FY05)tttv_030830" xfId="2236" xr:uid="{8AEC591D-D315-4D8E-91EF-8F476BB34AA8}"/>
    <cellStyle name="_テレコムハウス_2_KT&amp;G(ID)_PR_030619_TYC(affiliates)준비_030623" xfId="2237" xr:uid="{EF820F17-8A63-43F6-82A1-DE5CE32F07DF}"/>
    <cellStyle name="_テレコムハウス_2_KT&amp;G(ID)_PR_030619_TYC(affiliates)준비_030623_TYC(affiliates)_PD_030709" xfId="2238" xr:uid="{2BFD6596-29AB-47BA-8287-0DF8181A338C}"/>
    <cellStyle name="_テレコムハウス_2_KT&amp;G(ID)_PR_030619_TYC(affiliates)준비_030623_TYC(affiliates)_PD_030709_TYC(FY05)tttv_030830" xfId="2239" xr:uid="{5FA4B5C0-4EA3-4610-B4A1-3D8E5488EACB}"/>
    <cellStyle name="_テレコムハウス_2_KT&amp;G(ID)_PR_030619_TYC(affiliates)준비_030623_TYC(affiliates)준비_030623" xfId="2240" xr:uid="{58255992-7C9C-4D95-9546-D056E5613342}"/>
    <cellStyle name="_テレコムハウス_2_KT&amp;G(ID)_PR_030619_TYC(affiliates)준비_030623_TYC(affiliates)준비_030623_TYC(FY05)tttv_030830" xfId="2241" xr:uid="{303CF495-BF57-424D-9E2C-016B91A35F74}"/>
    <cellStyle name="_テレコムハウス_2_KT&amp;G(ID)_PR_030619_TYC(affiliates)준비_030623_TYC(FY05)tttv_030830" xfId="2242" xr:uid="{404204A9-4844-420E-89FC-1E5E367788F6}"/>
    <cellStyle name="_テレコムハウス_2_KT&amp;G(ID)_PR_030619_TYC(FY05)tttv_030830" xfId="2243" xr:uid="{1C7335C5-8A9A-4C4A-BF4F-5984A5CC8138}"/>
    <cellStyle name="_テレコムハウス_2_KT&amp;G(ID)_PR_030619_Yuhan(FY05)_031030" xfId="2244" xr:uid="{619B5961-CFF1-4C79-B370-F6A5B39F29A9}"/>
    <cellStyle name="_テレコムハウス_2_KT&amp;G(ID준비)_030601" xfId="2245" xr:uid="{8D352737-632B-491F-8B07-786248D3E294}"/>
    <cellStyle name="_テレコムハウス_2_KT&amp;G(ID준비)_030601_3Q03Results_031030" xfId="2246" xr:uid="{D75584C1-145C-4617-B9D4-ADD44555EBAD}"/>
    <cellStyle name="_テレコムハウス_2_KT&amp;G(ID준비)_030601_KT&amp;G(ID)_PR_030619" xfId="2247" xr:uid="{FD6199B2-7B27-440F-A559-F83889F891F1}"/>
    <cellStyle name="_テレコムハウス_2_KT&amp;G(ID준비)_030601_KT&amp;G(ID)_PR_030619_TYC(affiliates)_PD_030709" xfId="2248" xr:uid="{89A444E6-0C5D-45C3-8157-C3518646DF96}"/>
    <cellStyle name="_テレコムハウス_2_KT&amp;G(ID준비)_030601_KT&amp;G(ID)_PR_030619_TYC(affiliates)_PD_030709_TYC(FY05)tttv_030830" xfId="2249" xr:uid="{4DBDA5E6-8091-47BD-B88F-EA82BC230518}"/>
    <cellStyle name="_テレコムハウス_2_KT&amp;G(ID준비)_030601_KT&amp;G(ID)_PR_030619_TYC(affiliates)준비_030623" xfId="2250" xr:uid="{70973BF8-28A2-462E-9ACF-924F681883EE}"/>
    <cellStyle name="_テレコムハウス_2_KT&amp;G(ID준비)_030601_KT&amp;G(ID)_PR_030619_TYC(affiliates)준비_030623_TYC(FY05)tttv_030830" xfId="2251" xr:uid="{CC6E6168-EF78-4763-A02D-D86F1E1D9F2D}"/>
    <cellStyle name="_テレコムハウス_2_KT&amp;G(ID준비)_030601_KT&amp;G(ID)_PR_030619_TYC(FY05)tttv_030830" xfId="2252" xr:uid="{C8B92E32-93DF-4013-982D-9C283A969F0F}"/>
    <cellStyle name="_テレコムハウス_2_KT&amp;G(ID준비)_030601_TYC(affiliates)준비_030623" xfId="2253" xr:uid="{4C56DC46-4DF8-43B5-A1A0-689B46E5AA01}"/>
    <cellStyle name="_テレコムハウス_2_KT&amp;G(ID준비)_030601_TYC(affiliates)준비_030623_TYC(affiliates)_PD_030709" xfId="2254" xr:uid="{4F2B3ED4-0799-436D-AF1A-0A73296E8E31}"/>
    <cellStyle name="_テレコムハウス_2_KT&amp;G(ID준비)_030601_TYC(affiliates)준비_030623_TYC(affiliates)_PD_030709_TYC(FY05)tttv_030830" xfId="2255" xr:uid="{4C3F32B2-DD53-413B-9120-061A2B521BBB}"/>
    <cellStyle name="_テレコムハウス_2_KT&amp;G(ID준비)_030601_TYC(affiliates)준비_030623_TYC(affiliates)준비_030623" xfId="2256" xr:uid="{C3383D81-B7B4-4CBB-90B6-06B8333FB8BE}"/>
    <cellStyle name="_テレコムハウス_2_KT&amp;G(ID준비)_030601_TYC(affiliates)준비_030623_TYC(affiliates)준비_030623_TYC(FY05)tttv_030830" xfId="2257" xr:uid="{6F42F42D-435A-46FC-B603-BD1384A88510}"/>
    <cellStyle name="_テレコムハウス_2_KT&amp;G(ID준비)_030601_TYC(affiliates)준비_030623_TYC(FY05)tttv_030830" xfId="2258" xr:uid="{7013079F-2733-46E8-94D5-5832E540DD05}"/>
    <cellStyle name="_テレコムハウス_2_KT&amp;G(ID준비)_030601_TYC(FY05)tttv_030830" xfId="2259" xr:uid="{EB3CC270-83B9-4E2A-B5C2-6BB5AF4F3B7D}"/>
    <cellStyle name="_テレコムハウス_2_KT&amp;G(ID준비)_030601_Yuhan(FY05)_031030" xfId="2260" xr:uid="{89D1BAFD-C03D-4FF7-8E06-969628D0BF8A}"/>
    <cellStyle name="_テレコムハウス_2_Operations" xfId="2261" xr:uid="{471001F5-F4C2-452B-B5D9-35D3214A7F1C}"/>
    <cellStyle name="_テレコムハウス_2_Report" xfId="2262" xr:uid="{C6767B78-3FD1-4951-B648-0066DC498947}"/>
    <cellStyle name="_テレコムハウス_2_Revenues" xfId="2263" xr:uid="{2867DF51-11F0-478D-94CF-A4A5C9B6C06C}"/>
    <cellStyle name="_テレコムハウス_2_SK Corp 003600 1" xfId="2264" xr:uid="{2B44E03D-4297-4D7C-A7FE-D72C41148F6C}"/>
    <cellStyle name="_テレコムハウス_2_SK Incheon" xfId="2265" xr:uid="{9C175BAA-7651-4EBE-A6C3-5D232092F878}"/>
    <cellStyle name="_テレコムハウス_2_TYC(affiliates)준비_030623" xfId="2266" xr:uid="{F3404A70-6897-40BA-BD6D-1CF45D814018}"/>
    <cellStyle name="_テレコムハウス_2_TYC(affiliates)준비_030623_TYC(affiliates)_PD_030709" xfId="2267" xr:uid="{C790FADE-5D4A-4BEF-95E9-3996A7979064}"/>
    <cellStyle name="_テレコムハウス_2_TYC(affiliates)준비_030623_TYC(affiliates)_PD_030709_TYC(FY05)tttv_030830" xfId="2268" xr:uid="{C65A27E0-F0B6-4BFB-ABCB-FE71FB4C67B2}"/>
    <cellStyle name="_テレコムハウス_2_TYC(affiliates)준비_030623_TYC(affiliates)준비_030623" xfId="2269" xr:uid="{2B8045ED-BBD0-4D2A-8A9F-173BE0C48E99}"/>
    <cellStyle name="_テレコムハウス_2_TYC(affiliates)준비_030623_TYC(affiliates)준비_030623_TYC(FY05)tttv_030830" xfId="2270" xr:uid="{97BA79E7-E67A-4FB8-A320-9B595FC8981D}"/>
    <cellStyle name="_テレコムハウス_2_TYC(affiliates)준비_030623_TYC(FY05)tttv_030830" xfId="2271" xr:uid="{4B180263-9883-4E15-A4D1-916016044F08}"/>
    <cellStyle name="_テレコムハウス_2_TYC(FY05)tttv_030830" xfId="2272" xr:uid="{2D22B133-4D5D-4237-9154-A1F3C30FE1C8}"/>
    <cellStyle name="_テレコムハウス_2_Yuhan(FY05)_031030" xfId="2273" xr:uid="{F8507420-5930-41E0-99B7-59D68B5412B6}"/>
    <cellStyle name="_テレコムハウス_3" xfId="2274" xr:uid="{241145D6-F6E3-427C-A4FF-7F4E82861E03}"/>
    <cellStyle name="_テレコムハウス_3_hhi_IFRS_in progress_Jul 2012" xfId="2275" xr:uid="{B9D54F07-CDE3-4726-82AA-ED588555D656}"/>
    <cellStyle name="_テレコムハウス_3_hhi_IFRS_in progress_Jul 2012 2" xfId="2276" xr:uid="{D36943E9-54D0-45D2-90BF-AD428371C6D7}"/>
    <cellStyle name="_テレコムハウス_4" xfId="2277" xr:uid="{4519ADD2-C4BE-4F80-8D07-13AE6EB78900}"/>
    <cellStyle name="_テレコムハウス_4_hhi_IFRS_in progress_Jul 2012" xfId="2278" xr:uid="{AACC7094-E615-4370-9AF9-F7F063310961}"/>
    <cellStyle name="_テレコムハウス_4_hhi_IFRS_in progress_Jul 2012 2" xfId="2279" xr:uid="{D8AA2561-E3D2-47FF-923F-1ACC52397546}"/>
    <cellStyle name="_テレコムハウス_5" xfId="2280" xr:uid="{3B35BE1F-C9E4-4E77-B1FD-3C6520F9102B}"/>
    <cellStyle name="_テレコムハウス_5_AmorePacific (090430)_MacQ_JiEun_2010_new" xfId="2281" xr:uid="{3173ABFC-64F4-4F51-9E1E-76FB99C95ABD}"/>
    <cellStyle name="_テレコムハウス_5_AmorePacific (090430)_MacQ_JiEun_2010_new 2" xfId="2282" xr:uid="{8D281BEC-948B-436E-8731-BA015C5E928A}"/>
    <cellStyle name="_テレコムハウス_5_AmorePacific (090430)_MacQ_JiEun_2010_new_Hi-mart model for Alison (5 July 2011)" xfId="2283" xr:uid="{1C42886F-E886-4A68-906D-06E32EDDB5F5}"/>
    <cellStyle name="_テレコムハウス_5_HDS (069960 KS)_MacQ_2010" xfId="2284" xr:uid="{B6909D30-F3AA-48C5-B3F9-5E3B7130E903}"/>
    <cellStyle name="_テレコムハウス_5_HDS (069960 KS)_MacQ_2010 2" xfId="2285" xr:uid="{99637F6B-8A64-40E5-86C4-4703686B7FAE}"/>
    <cellStyle name="_テレコムハウス_5_HDS (069960 KS)_MacQ_2010_Hi-mart model for Alison (5 July 2011)" xfId="2286" xr:uid="{2222AA83-E9E3-4D82-A1D6-547C4B4C258A}"/>
    <cellStyle name="_テレコムハウス_6" xfId="2287" xr:uid="{94959118-5118-4AC0-8255-889AD6416A1C}"/>
    <cellStyle name="_テレコムハウス_6_hhi_IFRS_in progress_Jul 2012" xfId="2288" xr:uid="{3880905F-CCBB-4B0D-B594-E8D358BBE88F}"/>
    <cellStyle name="_テレコムハウス_6_hhi_IFRS_in progress_Jul 2012 2" xfId="2289" xr:uid="{5A9DA858-D0AB-4DD1-95F1-CC37A0F553AB}"/>
    <cellStyle name="_テレコムハウス_7" xfId="2290" xr:uid="{8050F476-8049-4AD6-8A6B-11F4824C2040}"/>
    <cellStyle name="_テレコムハウス_7_hhi_IFRS_in progress_Jul 2012" xfId="2291" xr:uid="{03EB0973-4EB6-4850-9807-0167BBF29A94}"/>
    <cellStyle name="_テレコムハウス_7_hhi_IFRS_in progress_Jul 2012 2" xfId="2292" xr:uid="{CCF73BAB-F74A-4BCF-BCED-BBFC9D09BA3B}"/>
    <cellStyle name="_テレコムハウス_8" xfId="2293" xr:uid="{C43B9BEE-F2CA-4460-AD6D-53DCB3F0ABCB}"/>
    <cellStyle name="_テレコムハウス_8_hhi_IFRS_in progress_Jul 2012" xfId="2294" xr:uid="{59C4827A-298D-4ED5-9628-0D7C4E2C5BD0}"/>
    <cellStyle name="_テレコムハウス_8_hhi_IFRS_in progress_Jul 2012 2" xfId="2295" xr:uid="{50AD14D1-219B-46DC-A88B-73A7BEE320C1}"/>
    <cellStyle name="_テレコムハウス_hhi_IFRS_in progress_Jul 2012" xfId="2296" xr:uid="{4DE17D81-5190-4E37-8668-57E749160B57}"/>
    <cellStyle name="_テレコムハウス_hhi_IFRS_in progress_Jul 2012 2" xfId="2297" xr:uid="{0A832629-3407-4315-8082-640150D30EEA}"/>
    <cellStyle name="_농심파일082Q(송부)" xfId="2389" xr:uid="{5E8D10B7-581B-48E2-A23A-CDE97483A6EA}"/>
    <cellStyle name="_대형사 상대수익률(변승재-050519)" xfId="2390" xr:uid="{290C7C27-7C79-4C40-AC98-E54725360E2D}"/>
    <cellStyle name="_복사본 34083073" xfId="2391" xr:uid="{8286C18E-3317-49AC-B6EA-40F90C34E445}"/>
    <cellStyle name="_삼성엔지니어링(050327)" xfId="2477" xr:uid="{E2A801D3-DBD7-48C0-8F77-F912770085E1}"/>
    <cellStyle name="_삼호 재무비교 테이블(변승재-050519)" xfId="2478" xr:uid="{DCE2840B-B3D9-4985-AEFF-E5FB76155B4A}"/>
    <cellStyle name="_승재1" xfId="2567" xr:uid="{1D637494-A1BE-469A-A669-670CEEFC681A}"/>
    <cellStyle name="_승재2" xfId="2568" xr:uid="{DE63F544-D609-42E0-9C5B-F09DAEA7E8B0}"/>
    <cellStyle name="_조직도" xfId="2827" xr:uid="{E588494F-A6A7-4903-80FF-64768CCE16AE}"/>
    <cellStyle name="_포럼그림(word)" xfId="2828" xr:uid="{F9BC3B60-C2FF-4253-B09D-4CB36852C568}"/>
    <cellStyle name="_事業企画OpEx" xfId="2392" xr:uid="{45C70D2A-65B2-45A7-9215-1DE06813CA3C}"/>
    <cellStyle name="_事業企画OpEx_1" xfId="2393" xr:uid="{73AB9E3F-F7B7-464D-96AB-EF35531B7194}"/>
    <cellStyle name="_事業企画OpEx_1_hhi_IFRS_in progress_Jul 2012" xfId="2394" xr:uid="{B488C3B2-099D-436E-ACD9-573093686A2B}"/>
    <cellStyle name="_事業企画OpEx_1_hhi_IFRS_in progress_Jul 2012 2" xfId="2395" xr:uid="{F4909E4E-BC8E-454F-9025-199FCF7E087F}"/>
    <cellStyle name="_事業企画OpEx_2" xfId="2396" xr:uid="{987DB6A4-5545-449C-99D7-35407605BFB1}"/>
    <cellStyle name="_事業企画OpEx_2_AmorePacific (090430)_MacQ_JiEun_2010_new" xfId="2397" xr:uid="{30781098-EB73-4AC3-86C4-B83658C19B58}"/>
    <cellStyle name="_事業企画OpEx_2_AmorePacific (090430)_MacQ_JiEun_2010_new 2" xfId="2398" xr:uid="{2BC4E775-217E-4688-A191-E94B11B2096E}"/>
    <cellStyle name="_事業企画OpEx_2_AmorePacific (090430)_MacQ_JiEun_2010_new_Hi-mart model for Alison (5 July 2011)" xfId="2399" xr:uid="{81E5B31C-53E3-4FDD-862B-EFBFA25FF12A}"/>
    <cellStyle name="_事業企画OpEx_2_HDS (069960 KS)_MacQ_2010" xfId="2400" xr:uid="{818FEE75-2A3C-4C71-92C7-40CEA663F4EF}"/>
    <cellStyle name="_事業企画OpEx_2_HDS (069960 KS)_MacQ_2010 2" xfId="2401" xr:uid="{40AAE882-FDB5-4FE0-AFEE-2497DB83D850}"/>
    <cellStyle name="_事業企画OpEx_2_HDS (069960 KS)_MacQ_2010_Hi-mart model for Alison (5 July 2011)" xfId="2402" xr:uid="{FB7F2E08-135B-4041-8E60-EA02163CE193}"/>
    <cellStyle name="_事業企画OpEx_3" xfId="2403" xr:uid="{5D3B67CE-368E-4C43-9526-FEDEBE4D599A}"/>
    <cellStyle name="_事業企画OpEx_3_hhi_IFRS_in progress_Jul 2012" xfId="2404" xr:uid="{2CFC1CF3-2BD3-4D13-A4A7-853E18108FD3}"/>
    <cellStyle name="_事業企画OpEx_3_hhi_IFRS_in progress_Jul 2012 2" xfId="2405" xr:uid="{D099D04D-A3BA-466A-BC8C-9F6D241D585B}"/>
    <cellStyle name="_事業企画OpEx_4" xfId="2406" xr:uid="{A1BA17C8-D71C-4A7B-96EE-3923C4FE8320}"/>
    <cellStyle name="_事業企画OpEx_4_hhi_IFRS_in progress_Jul 2012" xfId="2407" xr:uid="{17859F61-98A8-4BB2-9B3C-EFAABC68C5C9}"/>
    <cellStyle name="_事業企画OpEx_4_hhi_IFRS_in progress_Jul 2012 2" xfId="2408" xr:uid="{1FEC8346-FBD3-446D-94B3-CBC0BAE3AA24}"/>
    <cellStyle name="_事業企画OpEx_5" xfId="2409" xr:uid="{ADC72453-A549-4DD6-A9B6-184A68ACE7DB}"/>
    <cellStyle name="_事業企画OpEx_5_hhi_IFRS_in progress_Jul 2012" xfId="2410" xr:uid="{16736177-0EC4-4083-B3C5-AF462C3FA325}"/>
    <cellStyle name="_事業企画OpEx_5_hhi_IFRS_in progress_Jul 2012 2" xfId="2411" xr:uid="{70327A51-D8D8-4B8A-9CBE-FB34EEB0D325}"/>
    <cellStyle name="_事業企画OpEx_6" xfId="2412" xr:uid="{5A25F45A-E25A-4A5A-B9E2-275F4079B274}"/>
    <cellStyle name="_事業企画OpEx_6_hhi_IFRS_in progress_Jul 2012" xfId="2413" xr:uid="{82E0CD83-A3B9-4DBA-A5F1-1A6E0E607ACD}"/>
    <cellStyle name="_事業企画OpEx_6_hhi_IFRS_in progress_Jul 2012 2" xfId="2414" xr:uid="{E33C2372-4989-41C1-A065-7F727FE3A791}"/>
    <cellStyle name="_事業企画OpEx_7" xfId="2415" xr:uid="{D6653B69-4CF1-4061-ACD0-E9C82CA134D0}"/>
    <cellStyle name="_事業企画OpEx_7_3Q03Results_031030" xfId="2416" xr:uid="{6EE1E45E-34BC-405C-8509-791AAB6BD7ED}"/>
    <cellStyle name="_事業企画OpEx_7_Datastream" xfId="2417" xr:uid="{EBE266DD-6A7E-4C71-BC4C-190A25FCEE64}"/>
    <cellStyle name="_事業企画OpEx_7_DCF" xfId="2418" xr:uid="{2EA80855-77F3-474A-BCA9-19A53F49169F}"/>
    <cellStyle name="_事業企画OpEx_7_FS-quarterly" xfId="2419" xr:uid="{F735230D-F141-457D-845A-998FACC1EAF7}"/>
    <cellStyle name="_事業企画OpEx_7_Hanaro" xfId="2420" xr:uid="{9CBAB722-EA05-4DF6-A958-C7696D9B4B4F}"/>
    <cellStyle name="_事業企画OpEx_7_KT&amp;G(ID)_PR_030619" xfId="2421" xr:uid="{42B7F01F-390A-4D56-A816-A8D3367F9D5C}"/>
    <cellStyle name="_事業企画OpEx_7_KT&amp;G(ID)_PR_030619_1" xfId="2422" xr:uid="{59A95CFA-8036-4925-99DF-7703CEC6C100}"/>
    <cellStyle name="_事業企画OpEx_7_KT&amp;G(ID)_PR_030619_1_TYC(affiliates)_PD_030709" xfId="2423" xr:uid="{41621214-DAC8-4081-B252-4FFCB3334209}"/>
    <cellStyle name="_事業企画OpEx_7_KT&amp;G(ID)_PR_030619_1_TYC(affiliates)_PD_030709_TYC(FY05)tttv_030830" xfId="2424" xr:uid="{A2410C65-C55A-450E-A4EA-4FD0F28356F6}"/>
    <cellStyle name="_事業企画OpEx_7_KT&amp;G(ID)_PR_030619_1_TYC(affiliates)준비_030623" xfId="2425" xr:uid="{F3B05F08-A5A4-47EB-8A04-816336394C7E}"/>
    <cellStyle name="_事業企画OpEx_7_KT&amp;G(ID)_PR_030619_1_TYC(affiliates)준비_030623_TYC(FY05)tttv_030830" xfId="2426" xr:uid="{C91A8998-8D8C-4A15-9E6D-5AE021C97A8F}"/>
    <cellStyle name="_事業企画OpEx_7_KT&amp;G(ID)_PR_030619_1_TYC(FY05)tttv_030830" xfId="2427" xr:uid="{AC46485C-23EE-40FA-94EE-3F42E75DBE14}"/>
    <cellStyle name="_事業企画OpEx_7_KT&amp;G(ID)_PR_030619_3Q03Results_031030" xfId="2428" xr:uid="{EDDDA90B-31C1-4D4E-A6DC-C4F1C5919071}"/>
    <cellStyle name="_事業企画OpEx_7_KT&amp;G(ID)_PR_030619_KT&amp;G(ID)_PR_030619" xfId="2429" xr:uid="{411C6907-9F3D-4E87-9FE6-46FE079444EB}"/>
    <cellStyle name="_事業企画OpEx_7_KT&amp;G(ID)_PR_030619_KT&amp;G(ID)_PR_030619_TYC(affiliates)_PD_030709" xfId="2430" xr:uid="{40DC3EAA-B91F-4B0E-AC32-B71C65F954FF}"/>
    <cellStyle name="_事業企画OpEx_7_KT&amp;G(ID)_PR_030619_KT&amp;G(ID)_PR_030619_TYC(affiliates)_PD_030709_TYC(FY05)tttv_030830" xfId="2431" xr:uid="{51481748-573F-4DF2-BB84-C3D15D0D0662}"/>
    <cellStyle name="_事業企画OpEx_7_KT&amp;G(ID)_PR_030619_KT&amp;G(ID)_PR_030619_TYC(affiliates)준비_030623" xfId="2432" xr:uid="{DA745E54-655C-49E0-AF4E-E965B91E4D3D}"/>
    <cellStyle name="_事業企画OpEx_7_KT&amp;G(ID)_PR_030619_KT&amp;G(ID)_PR_030619_TYC(affiliates)준비_030623_TYC(FY05)tttv_030830" xfId="2433" xr:uid="{A9CB0E68-29C8-4DD4-87C2-4316F64A2F68}"/>
    <cellStyle name="_事業企画OpEx_7_KT&amp;G(ID)_PR_030619_KT&amp;G(ID)_PR_030619_TYC(FY05)tttv_030830" xfId="2434" xr:uid="{204E7D16-A5FD-4BBE-900A-27B01BC96C04}"/>
    <cellStyle name="_事業企画OpEx_7_KT&amp;G(ID)_PR_030619_TYC(affiliates)준비_030623" xfId="2435" xr:uid="{B70177E0-8337-4129-8C07-4B5AB0B57E69}"/>
    <cellStyle name="_事業企画OpEx_7_KT&amp;G(ID)_PR_030619_TYC(affiliates)준비_030623_TYC(affiliates)_PD_030709" xfId="2436" xr:uid="{BCEB6749-8EE2-4F78-BEEC-FFAFB9314B6F}"/>
    <cellStyle name="_事業企画OpEx_7_KT&amp;G(ID)_PR_030619_TYC(affiliates)준비_030623_TYC(affiliates)_PD_030709_TYC(FY05)tttv_030830" xfId="2437" xr:uid="{60AFA503-539E-4CDB-83F3-2EF56D42011C}"/>
    <cellStyle name="_事業企画OpEx_7_KT&amp;G(ID)_PR_030619_TYC(affiliates)준비_030623_TYC(affiliates)준비_030623" xfId="2438" xr:uid="{A351FFAB-DE91-4994-AEB7-33E8EC83CCB2}"/>
    <cellStyle name="_事業企画OpEx_7_KT&amp;G(ID)_PR_030619_TYC(affiliates)준비_030623_TYC(affiliates)준비_030623_TYC(FY05)tttv_030830" xfId="2439" xr:uid="{7AAADB87-89F8-4055-B996-EE0C7A18710A}"/>
    <cellStyle name="_事業企画OpEx_7_KT&amp;G(ID)_PR_030619_TYC(affiliates)준비_030623_TYC(FY05)tttv_030830" xfId="2440" xr:uid="{D448215A-B242-4D67-B9BB-EFE6F2641AB3}"/>
    <cellStyle name="_事業企画OpEx_7_KT&amp;G(ID)_PR_030619_TYC(FY05)tttv_030830" xfId="2441" xr:uid="{560A2C54-5C46-42B3-A24F-0CC62AA29156}"/>
    <cellStyle name="_事業企画OpEx_7_KT&amp;G(ID)_PR_030619_Yuhan(FY05)_031030" xfId="2442" xr:uid="{C207B7D2-6F0E-4468-BD38-66DFC0877F8F}"/>
    <cellStyle name="_事業企画OpEx_7_KT&amp;G(ID준비)_030601" xfId="2443" xr:uid="{EE55DAE9-E40C-4FF8-95EF-0600D1552A6D}"/>
    <cellStyle name="_事業企画OpEx_7_KT&amp;G(ID준비)_030601_3Q03Results_031030" xfId="2444" xr:uid="{53616B86-EC5D-48D5-8D92-7CD09B09B3E8}"/>
    <cellStyle name="_事業企画OpEx_7_KT&amp;G(ID준비)_030601_KT&amp;G(ID)_PR_030619" xfId="2445" xr:uid="{352011D5-4C97-4E54-A08F-9B267E16B17D}"/>
    <cellStyle name="_事業企画OpEx_7_KT&amp;G(ID준비)_030601_KT&amp;G(ID)_PR_030619_TYC(affiliates)_PD_030709" xfId="2446" xr:uid="{3270A4C4-2DBB-4A79-B210-12A324951789}"/>
    <cellStyle name="_事業企画OpEx_7_KT&amp;G(ID준비)_030601_KT&amp;G(ID)_PR_030619_TYC(affiliates)_PD_030709_TYC(FY05)tttv_030830" xfId="2447" xr:uid="{2C631FC7-A309-4E05-889B-5AC0B6848187}"/>
    <cellStyle name="_事業企画OpEx_7_KT&amp;G(ID준비)_030601_KT&amp;G(ID)_PR_030619_TYC(affiliates)준비_030623" xfId="2448" xr:uid="{8ACC35ED-A735-4C3D-9DA8-0F0BB922EFDB}"/>
    <cellStyle name="_事業企画OpEx_7_KT&amp;G(ID준비)_030601_KT&amp;G(ID)_PR_030619_TYC(affiliates)준비_030623_TYC(FY05)tttv_030830" xfId="2449" xr:uid="{5806BBCC-7B08-45EA-A834-3A3591D12F51}"/>
    <cellStyle name="_事業企画OpEx_7_KT&amp;G(ID준비)_030601_KT&amp;G(ID)_PR_030619_TYC(FY05)tttv_030830" xfId="2450" xr:uid="{9A5CE08E-C94B-4F04-9C75-C76C34F365E3}"/>
    <cellStyle name="_事業企画OpEx_7_KT&amp;G(ID준비)_030601_TYC(affiliates)준비_030623" xfId="2451" xr:uid="{5FFFC71B-5BC3-4F7E-9B03-979A640987E8}"/>
    <cellStyle name="_事業企画OpEx_7_KT&amp;G(ID준비)_030601_TYC(affiliates)준비_030623_TYC(affiliates)_PD_030709" xfId="2452" xr:uid="{47DF4553-C238-4AF0-BEC6-EEA032C0289A}"/>
    <cellStyle name="_事業企画OpEx_7_KT&amp;G(ID준비)_030601_TYC(affiliates)준비_030623_TYC(affiliates)_PD_030709_TYC(FY05)tttv_030830" xfId="2453" xr:uid="{64394B07-A7EA-4BA4-943D-2D0543E74749}"/>
    <cellStyle name="_事業企画OpEx_7_KT&amp;G(ID준비)_030601_TYC(affiliates)준비_030623_TYC(affiliates)준비_030623" xfId="2454" xr:uid="{DA5392FA-0B2D-43CF-92F4-315A6A69EA9F}"/>
    <cellStyle name="_事業企画OpEx_7_KT&amp;G(ID준비)_030601_TYC(affiliates)준비_030623_TYC(affiliates)준비_030623_TYC(FY05)tttv_030830" xfId="2455" xr:uid="{9BEC7931-5B68-4960-BB90-74825BB6AF04}"/>
    <cellStyle name="_事業企画OpEx_7_KT&amp;G(ID준비)_030601_TYC(affiliates)준비_030623_TYC(FY05)tttv_030830" xfId="2456" xr:uid="{01733B10-D06D-4EA0-8A76-07CDE34AF1CE}"/>
    <cellStyle name="_事業企画OpEx_7_KT&amp;G(ID준비)_030601_TYC(FY05)tttv_030830" xfId="2457" xr:uid="{3DFE55F7-A5A5-4E8E-A446-3863CF7C5B1E}"/>
    <cellStyle name="_事業企画OpEx_7_KT&amp;G(ID준비)_030601_Yuhan(FY05)_031030" xfId="2458" xr:uid="{097006C0-1786-4770-AFF0-E8A08C166A38}"/>
    <cellStyle name="_事業企画OpEx_7_Operations" xfId="2459" xr:uid="{D748405E-0CE3-4FF9-A207-F3732A890709}"/>
    <cellStyle name="_事業企画OpEx_7_Report" xfId="2460" xr:uid="{A67D82FD-E12B-43AD-9010-60166544FAC3}"/>
    <cellStyle name="_事業企画OpEx_7_Revenues" xfId="2461" xr:uid="{464BD9BE-0E81-4C7A-AC82-9A58B8295D8B}"/>
    <cellStyle name="_事業企画OpEx_7_SK Corp 003600 1" xfId="2462" xr:uid="{2E4F3A2D-5624-44AD-8182-E32C5FD72FB7}"/>
    <cellStyle name="_事業企画OpEx_7_SK Incheon" xfId="2463" xr:uid="{0A4022AC-29CB-46B5-AACC-8A5B36186108}"/>
    <cellStyle name="_事業企画OpEx_7_TYC(affiliates)준비_030623" xfId="2464" xr:uid="{307E266B-C810-481C-86DB-49F2753609AC}"/>
    <cellStyle name="_事業企画OpEx_7_TYC(affiliates)준비_030623_TYC(affiliates)_PD_030709" xfId="2465" xr:uid="{166A8916-2A9D-4117-B190-56BB52E080DC}"/>
    <cellStyle name="_事業企画OpEx_7_TYC(affiliates)준비_030623_TYC(affiliates)_PD_030709_TYC(FY05)tttv_030830" xfId="2466" xr:uid="{A8447882-F7AA-474E-84B2-EB542B39D66C}"/>
    <cellStyle name="_事業企画OpEx_7_TYC(affiliates)준비_030623_TYC(affiliates)준비_030623" xfId="2467" xr:uid="{99C00B3C-DCCF-4150-8881-45795DAFB460}"/>
    <cellStyle name="_事業企画OpEx_7_TYC(affiliates)준비_030623_TYC(affiliates)준비_030623_TYC(FY05)tttv_030830" xfId="2468" xr:uid="{5724743C-891A-450B-BE61-D0484E218631}"/>
    <cellStyle name="_事業企画OpEx_7_TYC(affiliates)준비_030623_TYC(FY05)tttv_030830" xfId="2469" xr:uid="{9E12FAA1-5702-497E-8069-85CA2A99EB3E}"/>
    <cellStyle name="_事業企画OpEx_7_TYC(FY05)tttv_030830" xfId="2470" xr:uid="{2915ACDC-28F4-4351-8C56-9839A9321199}"/>
    <cellStyle name="_事業企画OpEx_7_Yuhan(FY05)_031030" xfId="2471" xr:uid="{EC99B73C-21BD-4F87-895B-C0F6C96F15E1}"/>
    <cellStyle name="_事業企画OpEx_8" xfId="2472" xr:uid="{EA8F4692-F57E-41BA-8CCE-1323BAB4A407}"/>
    <cellStyle name="_事業企画OpEx_8_hhi_IFRS_in progress_Jul 2012" xfId="2473" xr:uid="{1622593E-754A-41EF-A36E-09E744F994D7}"/>
    <cellStyle name="_事業企画OpEx_8_hhi_IFRS_in progress_Jul 2012 2" xfId="2474" xr:uid="{E3BFC293-6465-4494-B73C-AB037C35D4AE}"/>
    <cellStyle name="_事業企画OpEx_hhi_IFRS_in progress_Jul 2012" xfId="2475" xr:uid="{1CB6F6CB-E41E-4E28-99CA-81E19B6C02E2}"/>
    <cellStyle name="_事業企画OpEx_hhi_IFRS_in progress_Jul 2012 2" xfId="2476" xr:uid="{E9D26852-40B0-4949-9216-682B061AFAB1}"/>
    <cellStyle name="_伝送" xfId="2742" xr:uid="{131BC097-F714-4B72-8CD1-FFBDA3520C21}"/>
    <cellStyle name="_伝送_1" xfId="2743" xr:uid="{E180EDE1-ACD1-4E53-92D0-3DE3EF2EA956}"/>
    <cellStyle name="_伝送_1_3Q03Results_031030" xfId="2744" xr:uid="{432B1788-955E-4978-B7B2-A4F962BDE6F1}"/>
    <cellStyle name="_伝送_1_Datastream" xfId="2745" xr:uid="{839C5F7F-3D6D-4993-BB29-79BA0A3639B3}"/>
    <cellStyle name="_伝送_1_DCF" xfId="2746" xr:uid="{21C48198-D0E3-4628-B8FA-8D30C689E089}"/>
    <cellStyle name="_伝送_1_FS-quarterly" xfId="2747" xr:uid="{D6D7D15C-8FE6-41A7-884B-F1FB8151AC08}"/>
    <cellStyle name="_伝送_1_Hanaro" xfId="2748" xr:uid="{3FFD84A1-80BC-4BB6-BFBF-247A9C8D95E9}"/>
    <cellStyle name="_伝送_1_KT&amp;G(ID)_PR_030619" xfId="2749" xr:uid="{FCB5B1C7-E3C1-4BF1-95F6-CFBD91C644F6}"/>
    <cellStyle name="_伝送_1_KT&amp;G(ID)_PR_030619_1" xfId="2750" xr:uid="{A3F622CA-2EE6-4F55-88DA-9234374DB327}"/>
    <cellStyle name="_伝送_1_KT&amp;G(ID)_PR_030619_1_TYC(affiliates)_PD_030709" xfId="2751" xr:uid="{C1A0FC6F-0D93-4775-B3C9-17100C88247C}"/>
    <cellStyle name="_伝送_1_KT&amp;G(ID)_PR_030619_1_TYC(affiliates)_PD_030709_TYC(FY05)tttv_030830" xfId="2752" xr:uid="{EFACC50C-751D-4CE0-9B28-10BF7AE29017}"/>
    <cellStyle name="_伝送_1_KT&amp;G(ID)_PR_030619_1_TYC(affiliates)준비_030623" xfId="2753" xr:uid="{3188EB37-B29C-4854-9F01-7B1EDA1F8D4B}"/>
    <cellStyle name="_伝送_1_KT&amp;G(ID)_PR_030619_1_TYC(affiliates)준비_030623_TYC(FY05)tttv_030830" xfId="2754" xr:uid="{ADA7872D-1350-48BE-8FD2-DC97FE88484D}"/>
    <cellStyle name="_伝送_1_KT&amp;G(ID)_PR_030619_1_TYC(FY05)tttv_030830" xfId="2755" xr:uid="{3C84D941-5D1F-46BA-9182-A31F34DFC602}"/>
    <cellStyle name="_伝送_1_KT&amp;G(ID)_PR_030619_3Q03Results_031030" xfId="2756" xr:uid="{BBB76F97-26D8-425F-81A3-7DAE9E6C7652}"/>
    <cellStyle name="_伝送_1_KT&amp;G(ID)_PR_030619_KT&amp;G(ID)_PR_030619" xfId="2757" xr:uid="{5D6E1B3B-D6F2-4FB8-B932-ACFD0864B734}"/>
    <cellStyle name="_伝送_1_KT&amp;G(ID)_PR_030619_KT&amp;G(ID)_PR_030619_TYC(affiliates)_PD_030709" xfId="2758" xr:uid="{E74B1CF6-E354-4222-8CA4-A1824C05B03D}"/>
    <cellStyle name="_伝送_1_KT&amp;G(ID)_PR_030619_KT&amp;G(ID)_PR_030619_TYC(affiliates)_PD_030709_TYC(FY05)tttv_030830" xfId="2759" xr:uid="{05192099-35F9-496B-9526-4B61F3682C66}"/>
    <cellStyle name="_伝送_1_KT&amp;G(ID)_PR_030619_KT&amp;G(ID)_PR_030619_TYC(affiliates)준비_030623" xfId="2760" xr:uid="{C6302D8F-821F-4F91-BCF2-E852072A1CDB}"/>
    <cellStyle name="_伝送_1_KT&amp;G(ID)_PR_030619_KT&amp;G(ID)_PR_030619_TYC(affiliates)준비_030623_TYC(FY05)tttv_030830" xfId="2761" xr:uid="{A546D4FB-623F-4E60-8837-C89937144292}"/>
    <cellStyle name="_伝送_1_KT&amp;G(ID)_PR_030619_KT&amp;G(ID)_PR_030619_TYC(FY05)tttv_030830" xfId="2762" xr:uid="{B52C7746-66AC-4A9E-AFBA-28E233DCB311}"/>
    <cellStyle name="_伝送_1_KT&amp;G(ID)_PR_030619_TYC(affiliates)준비_030623" xfId="2763" xr:uid="{965F4D3F-4DA6-43E4-8DDD-32F573A9744F}"/>
    <cellStyle name="_伝送_1_KT&amp;G(ID)_PR_030619_TYC(affiliates)준비_030623_TYC(affiliates)_PD_030709" xfId="2764" xr:uid="{5C35AF55-E486-4F63-956A-DB415D451FDB}"/>
    <cellStyle name="_伝送_1_KT&amp;G(ID)_PR_030619_TYC(affiliates)준비_030623_TYC(affiliates)_PD_030709_TYC(FY05)tttv_030830" xfId="2765" xr:uid="{BEA04EDD-06E0-4571-9E54-400919274955}"/>
    <cellStyle name="_伝送_1_KT&amp;G(ID)_PR_030619_TYC(affiliates)준비_030623_TYC(affiliates)준비_030623" xfId="2766" xr:uid="{78896552-D1FB-4F0B-B402-6187FB771830}"/>
    <cellStyle name="_伝送_1_KT&amp;G(ID)_PR_030619_TYC(affiliates)준비_030623_TYC(affiliates)준비_030623_TYC(FY05)tttv_030830" xfId="2767" xr:uid="{911EC2EF-17F3-4F2C-9803-EACAEAFBA04E}"/>
    <cellStyle name="_伝送_1_KT&amp;G(ID)_PR_030619_TYC(affiliates)준비_030623_TYC(FY05)tttv_030830" xfId="2768" xr:uid="{3E42B610-3753-4E6F-8D91-DCF4796953D5}"/>
    <cellStyle name="_伝送_1_KT&amp;G(ID)_PR_030619_TYC(FY05)tttv_030830" xfId="2769" xr:uid="{9665C43F-AE7C-4CA1-B66E-2C43529068AA}"/>
    <cellStyle name="_伝送_1_KT&amp;G(ID)_PR_030619_Yuhan(FY05)_031030" xfId="2770" xr:uid="{935EB875-1C03-4589-ACA9-B0E47D29F310}"/>
    <cellStyle name="_伝送_1_KT&amp;G(ID준비)_030601" xfId="2771" xr:uid="{574FA8EF-A5D0-4123-B38E-4E3A0FFC3249}"/>
    <cellStyle name="_伝送_1_KT&amp;G(ID준비)_030601_3Q03Results_031030" xfId="2772" xr:uid="{57772E1E-36C4-485A-B7EB-35224824C421}"/>
    <cellStyle name="_伝送_1_KT&amp;G(ID준비)_030601_KT&amp;G(ID)_PR_030619" xfId="2773" xr:uid="{CA6AEAAD-4F16-490F-AC45-C0A1F8FABD5E}"/>
    <cellStyle name="_伝送_1_KT&amp;G(ID준비)_030601_KT&amp;G(ID)_PR_030619_TYC(affiliates)_PD_030709" xfId="2774" xr:uid="{29065657-1C15-472F-8BCD-A3D1F9EBB87F}"/>
    <cellStyle name="_伝送_1_KT&amp;G(ID준비)_030601_KT&amp;G(ID)_PR_030619_TYC(affiliates)_PD_030709_TYC(FY05)tttv_030830" xfId="2775" xr:uid="{52AC6934-7F1C-4B59-85BC-0BB66735930A}"/>
    <cellStyle name="_伝送_1_KT&amp;G(ID준비)_030601_KT&amp;G(ID)_PR_030619_TYC(affiliates)준비_030623" xfId="2776" xr:uid="{7BF403E7-DF48-486E-9A31-E092DFBEB1BB}"/>
    <cellStyle name="_伝送_1_KT&amp;G(ID준비)_030601_KT&amp;G(ID)_PR_030619_TYC(affiliates)준비_030623_TYC(FY05)tttv_030830" xfId="2777" xr:uid="{9CF9A78C-0D82-4A5D-8293-A0E544E4C2F0}"/>
    <cellStyle name="_伝送_1_KT&amp;G(ID준비)_030601_KT&amp;G(ID)_PR_030619_TYC(FY05)tttv_030830" xfId="2778" xr:uid="{4CAD65B1-3508-4A46-8EBF-52F43018BEA8}"/>
    <cellStyle name="_伝送_1_KT&amp;G(ID준비)_030601_TYC(affiliates)준비_030623" xfId="2779" xr:uid="{28DD9475-80EC-4805-B4ED-056174858CF7}"/>
    <cellStyle name="_伝送_1_KT&amp;G(ID준비)_030601_TYC(affiliates)준비_030623_TYC(affiliates)_PD_030709" xfId="2780" xr:uid="{0B2DDD0F-3BA7-43F4-A72C-B3B920C76D0F}"/>
    <cellStyle name="_伝送_1_KT&amp;G(ID준비)_030601_TYC(affiliates)준비_030623_TYC(affiliates)_PD_030709_TYC(FY05)tttv_030830" xfId="2781" xr:uid="{E93AAABD-91E9-4859-A354-CD3D8EB1397D}"/>
    <cellStyle name="_伝送_1_KT&amp;G(ID준비)_030601_TYC(affiliates)준비_030623_TYC(affiliates)준비_030623" xfId="2782" xr:uid="{81A485E6-5CA3-4F42-A9AE-9E3441435D39}"/>
    <cellStyle name="_伝送_1_KT&amp;G(ID준비)_030601_TYC(affiliates)준비_030623_TYC(affiliates)준비_030623_TYC(FY05)tttv_030830" xfId="2783" xr:uid="{904197D0-E540-45C5-98B1-D2683548319D}"/>
    <cellStyle name="_伝送_1_KT&amp;G(ID준비)_030601_TYC(affiliates)준비_030623_TYC(FY05)tttv_030830" xfId="2784" xr:uid="{4E3C5957-1460-4F12-B050-DDC32A98B644}"/>
    <cellStyle name="_伝送_1_KT&amp;G(ID준비)_030601_TYC(FY05)tttv_030830" xfId="2785" xr:uid="{B915916C-9732-4115-9009-913FB3141043}"/>
    <cellStyle name="_伝送_1_KT&amp;G(ID준비)_030601_Yuhan(FY05)_031030" xfId="2786" xr:uid="{6AAA6B69-82CA-43AD-82FF-16CA5DD99743}"/>
    <cellStyle name="_伝送_1_Operations" xfId="2787" xr:uid="{ACFC1098-29D5-4F30-B923-6B3E3595943B}"/>
    <cellStyle name="_伝送_1_Report" xfId="2788" xr:uid="{8E9ACE79-0A6B-429A-824C-BCE6DEB2818C}"/>
    <cellStyle name="_伝送_1_Revenues" xfId="2789" xr:uid="{484FF152-57E6-4C0F-BC29-2E3B6F79B569}"/>
    <cellStyle name="_伝送_1_SK Corp 003600 1" xfId="2790" xr:uid="{C03EE0FE-A0EC-4A92-BDD5-239016DBCB30}"/>
    <cellStyle name="_伝送_1_SK Incheon" xfId="2791" xr:uid="{6D6B8058-67CE-469C-932C-5F3EEAA74C9C}"/>
    <cellStyle name="_伝送_1_TYC(affiliates)준비_030623" xfId="2792" xr:uid="{25E8DCDA-7A9C-45B3-9777-7D0897C350A2}"/>
    <cellStyle name="_伝送_1_TYC(affiliates)준비_030623_TYC(affiliates)_PD_030709" xfId="2793" xr:uid="{463E8AD8-5C39-4BCF-AF52-F1DDA9836CC4}"/>
    <cellStyle name="_伝送_1_TYC(affiliates)준비_030623_TYC(affiliates)_PD_030709_TYC(FY05)tttv_030830" xfId="2794" xr:uid="{07A7ABA0-CD0D-4C72-BD67-AC7DE7F683DE}"/>
    <cellStyle name="_伝送_1_TYC(affiliates)준비_030623_TYC(affiliates)준비_030623" xfId="2795" xr:uid="{98AEB810-3A21-4E71-87B8-5C191D8A7BAD}"/>
    <cellStyle name="_伝送_1_TYC(affiliates)준비_030623_TYC(affiliates)준비_030623_TYC(FY05)tttv_030830" xfId="2796" xr:uid="{BD343428-AE82-40D7-AF59-B4B1FEF55273}"/>
    <cellStyle name="_伝送_1_TYC(affiliates)준비_030623_TYC(FY05)tttv_030830" xfId="2797" xr:uid="{2C8CA82A-69D3-43C4-8E0C-82D01E8811A1}"/>
    <cellStyle name="_伝送_1_TYC(FY05)tttv_030830" xfId="2798" xr:uid="{E52FF852-930C-4048-B89C-BA1606FBE944}"/>
    <cellStyle name="_伝送_1_Yuhan(FY05)_031030" xfId="2799" xr:uid="{80618A9F-290C-40B6-A99E-78DE2F1DB833}"/>
    <cellStyle name="_伝送_2" xfId="2800" xr:uid="{0EDC8461-544B-4627-A3AA-A5283E9EB6B0}"/>
    <cellStyle name="_伝送_2_hhi_IFRS_in progress_Jul 2012" xfId="2801" xr:uid="{AACB1BBB-7AAE-47EE-BE34-F6505479E07B}"/>
    <cellStyle name="_伝送_2_hhi_IFRS_in progress_Jul 2012 2" xfId="2802" xr:uid="{849DEF51-D8E6-4618-B900-879EE1440491}"/>
    <cellStyle name="_伝送_3" xfId="2803" xr:uid="{17B35598-EEC5-411A-A9A5-91D04CB46F4E}"/>
    <cellStyle name="_伝送_3_hhi_IFRS_in progress_Jul 2012" xfId="2804" xr:uid="{3AB93212-23C1-4527-A861-A23DD46CE045}"/>
    <cellStyle name="_伝送_3_hhi_IFRS_in progress_Jul 2012 2" xfId="2805" xr:uid="{8D00FF11-8C62-447F-88DE-E95D2F27AA43}"/>
    <cellStyle name="_伝送_4" xfId="2806" xr:uid="{8E5C73AD-AE32-4A63-AF08-820BC126B32F}"/>
    <cellStyle name="_伝送_4_AmorePacific (090430)_MacQ_JiEun_2010_new" xfId="2807" xr:uid="{D8F03CBE-973E-4FC8-9F72-521F88674085}"/>
    <cellStyle name="_伝送_4_AmorePacific (090430)_MacQ_JiEun_2010_new 2" xfId="2808" xr:uid="{A3F4946D-0C47-49F7-91DE-FB74A283D8AD}"/>
    <cellStyle name="_伝送_4_AmorePacific (090430)_MacQ_JiEun_2010_new_Hi-mart model for Alison (5 July 2011)" xfId="2809" xr:uid="{1EA52B93-0D7C-4A9E-920F-66B3A9F79CE6}"/>
    <cellStyle name="_伝送_4_HDS (069960 KS)_MacQ_2010" xfId="2810" xr:uid="{094B9ABE-BDEB-4D4D-97E5-2AF9F079804A}"/>
    <cellStyle name="_伝送_4_HDS (069960 KS)_MacQ_2010 2" xfId="2811" xr:uid="{7C30B408-3FAD-48B5-BBE2-6CACD76DD188}"/>
    <cellStyle name="_伝送_4_HDS (069960 KS)_MacQ_2010_Hi-mart model for Alison (5 July 2011)" xfId="2812" xr:uid="{2CFE003B-1B09-4758-9D24-D2E55C8351D1}"/>
    <cellStyle name="_伝送_5" xfId="2813" xr:uid="{47FD7D35-9A79-4CA2-B12D-738E5ED99DDF}"/>
    <cellStyle name="_伝送_5_hhi_IFRS_in progress_Jul 2012" xfId="2814" xr:uid="{8886CB93-4B0B-45E5-AC72-AA1D96F7EF15}"/>
    <cellStyle name="_伝送_5_hhi_IFRS_in progress_Jul 2012 2" xfId="2815" xr:uid="{00E68F0A-4DFC-46CB-A116-1B028D67FE36}"/>
    <cellStyle name="_伝送_6" xfId="2816" xr:uid="{58182B93-B8E5-454A-AD69-8FCA9F5AFDE0}"/>
    <cellStyle name="_伝送_6_hhi_IFRS_in progress_Jul 2012" xfId="2817" xr:uid="{AC94BC73-966B-4A01-A4E5-0BB6468602F2}"/>
    <cellStyle name="_伝送_6_hhi_IFRS_in progress_Jul 2012 2" xfId="2818" xr:uid="{2C56273B-31AF-43A3-88C1-D82A75D033F9}"/>
    <cellStyle name="_伝送_7" xfId="2819" xr:uid="{2403FBF9-8F31-480B-9786-BF3301A93083}"/>
    <cellStyle name="_伝送_7_hhi_IFRS_in progress_Jul 2012" xfId="2820" xr:uid="{E407D7BE-23E3-47B3-A1EE-CD8C8D2CBCC4}"/>
    <cellStyle name="_伝送_7_hhi_IFRS_in progress_Jul 2012 2" xfId="2821" xr:uid="{7C3C2913-0B02-4E64-BCAE-0A5B6CD4C8DB}"/>
    <cellStyle name="_伝送_8" xfId="2822" xr:uid="{75672563-16CC-4873-BEEC-82103A5BFE00}"/>
    <cellStyle name="_伝送_8_hhi_IFRS_in progress_Jul 2012" xfId="2823" xr:uid="{2DAB639E-8E78-4309-AF6C-BBFAEE32635F}"/>
    <cellStyle name="_伝送_8_hhi_IFRS_in progress_Jul 2012 2" xfId="2824" xr:uid="{31A2EE5A-12B1-487F-8D14-05E10E86A8F8}"/>
    <cellStyle name="_伝送_hhi_IFRS_in progress_Jul 2012" xfId="2825" xr:uid="{82700F7D-80D5-4693-86B0-D104DB5CDF70}"/>
    <cellStyle name="_伝送_hhi_IFRS_in progress_Jul 2012 2" xfId="2826" xr:uid="{48FFA092-B2DF-4DA2-BFC1-D3635D80808E}"/>
    <cellStyle name="_営業２部" xfId="2569" xr:uid="{E071C580-0283-4921-BFA8-79E02D5F542A}"/>
    <cellStyle name="_営業２部_hhi_IFRS_in progress_Jul 2012" xfId="2570" xr:uid="{F549BEAD-8292-42D0-958B-0E05F18E5BAF}"/>
    <cellStyle name="_営業２部_hhi_IFRS_in progress_Jul 2012 2" xfId="2571" xr:uid="{9AC89506-2949-449F-BADF-96CFDA57915D}"/>
    <cellStyle name="_営業一部" xfId="2657" xr:uid="{DA925AD3-97DB-4601-B7FA-E6CFC302FF06}"/>
    <cellStyle name="_営業一部_1" xfId="2658" xr:uid="{C900D839-8B41-4D42-BE60-6CACC8FD4C0B}"/>
    <cellStyle name="_営業一部_1_hhi_IFRS_in progress_Jul 2012" xfId="2659" xr:uid="{0E128D3F-E43F-48B9-BCC0-4520BECFBA78}"/>
    <cellStyle name="_営業一部_1_hhi_IFRS_in progress_Jul 2012 2" xfId="2660" xr:uid="{FA7004B2-010F-4610-B2CB-E7C9BFA4186D}"/>
    <cellStyle name="_営業一部_2" xfId="2661" xr:uid="{7A69D00C-4215-4DD6-97CF-EAB28B0962F6}"/>
    <cellStyle name="_営業一部_2_3Q03Results_031030" xfId="2662" xr:uid="{09B4881C-3ECD-4406-8BBF-304E9876DE5A}"/>
    <cellStyle name="_営業一部_2_Datastream" xfId="2663" xr:uid="{55BA3D74-F8C2-4F49-A7E4-3E37287620CD}"/>
    <cellStyle name="_営業一部_2_DCF" xfId="2664" xr:uid="{3A59600E-83B3-45C2-BE58-CE53D2F2BFCC}"/>
    <cellStyle name="_営業一部_2_FS-quarterly" xfId="2665" xr:uid="{AACE88E3-35ED-4E7D-81A2-5D9BE56ABEF2}"/>
    <cellStyle name="_営業一部_2_Hanaro" xfId="2666" xr:uid="{3085586D-DF2C-44DC-AED2-5B34717C994E}"/>
    <cellStyle name="_営業一部_2_KT&amp;G(ID)_PR_030619" xfId="2667" xr:uid="{422ED265-3A89-4AD1-9FA0-5956B4176C01}"/>
    <cellStyle name="_営業一部_2_KT&amp;G(ID)_PR_030619_1" xfId="2668" xr:uid="{3A869D32-ED79-4022-850F-A2AA58B97CEA}"/>
    <cellStyle name="_営業一部_2_KT&amp;G(ID)_PR_030619_1_TYC(affiliates)_PD_030709" xfId="2669" xr:uid="{ACED7691-7E61-422A-98EB-D9B0F27F6CEF}"/>
    <cellStyle name="_営業一部_2_KT&amp;G(ID)_PR_030619_1_TYC(affiliates)_PD_030709_TYC(FY05)tttv_030830" xfId="2670" xr:uid="{2C1C5FA0-8DC3-4672-BEFE-4701B44E7148}"/>
    <cellStyle name="_営業一部_2_KT&amp;G(ID)_PR_030619_1_TYC(affiliates)준비_030623" xfId="2671" xr:uid="{7FA8EB09-2852-46CC-BC1F-328484A507AE}"/>
    <cellStyle name="_営業一部_2_KT&amp;G(ID)_PR_030619_1_TYC(affiliates)준비_030623_TYC(FY05)tttv_030830" xfId="2672" xr:uid="{FAF740CD-9595-49C1-8F65-3ECF18500A96}"/>
    <cellStyle name="_営業一部_2_KT&amp;G(ID)_PR_030619_1_TYC(FY05)tttv_030830" xfId="2673" xr:uid="{D310AC43-D7CF-4F6E-8BD3-E6625F8542E5}"/>
    <cellStyle name="_営業一部_2_KT&amp;G(ID)_PR_030619_3Q03Results_031030" xfId="2674" xr:uid="{C06FCD3A-FA98-415A-AC85-8B96F80116BF}"/>
    <cellStyle name="_営業一部_2_KT&amp;G(ID)_PR_030619_KT&amp;G(ID)_PR_030619" xfId="2675" xr:uid="{AAF2C96D-22F7-42D8-BDAB-AFD2B50B1919}"/>
    <cellStyle name="_営業一部_2_KT&amp;G(ID)_PR_030619_KT&amp;G(ID)_PR_030619_TYC(affiliates)_PD_030709" xfId="2676" xr:uid="{889329CB-C533-4261-9650-2A964B5DAA28}"/>
    <cellStyle name="_営業一部_2_KT&amp;G(ID)_PR_030619_KT&amp;G(ID)_PR_030619_TYC(affiliates)_PD_030709_TYC(FY05)tttv_030830" xfId="2677" xr:uid="{65D2653D-3FAB-47AB-81B8-382E53357BA4}"/>
    <cellStyle name="_営業一部_2_KT&amp;G(ID)_PR_030619_KT&amp;G(ID)_PR_030619_TYC(affiliates)준비_030623" xfId="2678" xr:uid="{B54FC5F2-A1A7-45D3-AB42-BA0CCED984C3}"/>
    <cellStyle name="_営業一部_2_KT&amp;G(ID)_PR_030619_KT&amp;G(ID)_PR_030619_TYC(affiliates)준비_030623_TYC(FY05)tttv_030830" xfId="2679" xr:uid="{B755D1ED-CBAB-465A-8B4D-FF8CBE10C930}"/>
    <cellStyle name="_営業一部_2_KT&amp;G(ID)_PR_030619_KT&amp;G(ID)_PR_030619_TYC(FY05)tttv_030830" xfId="2680" xr:uid="{9FA48713-E8AC-446D-952E-B0307F807FE0}"/>
    <cellStyle name="_営業一部_2_KT&amp;G(ID)_PR_030619_TYC(affiliates)준비_030623" xfId="2681" xr:uid="{A5682FD1-464A-4878-968C-1EB02C97B5A8}"/>
    <cellStyle name="_営業一部_2_KT&amp;G(ID)_PR_030619_TYC(affiliates)준비_030623_TYC(affiliates)_PD_030709" xfId="2682" xr:uid="{0A53D768-E4F3-4236-9950-2107EEFF5B2D}"/>
    <cellStyle name="_営業一部_2_KT&amp;G(ID)_PR_030619_TYC(affiliates)준비_030623_TYC(affiliates)_PD_030709_TYC(FY05)tttv_030830" xfId="2683" xr:uid="{0084D68E-5CB0-414E-BCDC-B6481D8D884E}"/>
    <cellStyle name="_営業一部_2_KT&amp;G(ID)_PR_030619_TYC(affiliates)준비_030623_TYC(affiliates)준비_030623" xfId="2684" xr:uid="{432B0D82-DC58-461E-996F-08A08C0521C8}"/>
    <cellStyle name="_営業一部_2_KT&amp;G(ID)_PR_030619_TYC(affiliates)준비_030623_TYC(affiliates)준비_030623_TYC(FY05)tttv_030830" xfId="2685" xr:uid="{D7BB84DA-91FA-4CB2-A043-5A2BC362C53F}"/>
    <cellStyle name="_営業一部_2_KT&amp;G(ID)_PR_030619_TYC(affiliates)준비_030623_TYC(FY05)tttv_030830" xfId="2686" xr:uid="{D535AB9E-3C9D-4552-B32F-C299F19BF4CC}"/>
    <cellStyle name="_営業一部_2_KT&amp;G(ID)_PR_030619_TYC(FY05)tttv_030830" xfId="2687" xr:uid="{5F7BBC11-5588-4438-B1F3-6AC859CDD1A8}"/>
    <cellStyle name="_営業一部_2_KT&amp;G(ID)_PR_030619_Yuhan(FY05)_031030" xfId="2688" xr:uid="{53937C10-6BC5-4B22-AEA5-F22B38FED863}"/>
    <cellStyle name="_営業一部_2_KT&amp;G(ID준비)_030601" xfId="2689" xr:uid="{4A85AB6C-2302-4E83-9166-772B43C45D41}"/>
    <cellStyle name="_営業一部_2_KT&amp;G(ID준비)_030601_3Q03Results_031030" xfId="2690" xr:uid="{AE40B3FF-99BB-4541-90E1-AA4A17322800}"/>
    <cellStyle name="_営業一部_2_KT&amp;G(ID준비)_030601_KT&amp;G(ID)_PR_030619" xfId="2691" xr:uid="{9925C4C2-0560-46F2-9FB0-456E402DDA47}"/>
    <cellStyle name="_営業一部_2_KT&amp;G(ID준비)_030601_KT&amp;G(ID)_PR_030619_TYC(affiliates)_PD_030709" xfId="2692" xr:uid="{A0BB26D3-C6ED-40F1-BD7C-19C10D908E3A}"/>
    <cellStyle name="_営業一部_2_KT&amp;G(ID준비)_030601_KT&amp;G(ID)_PR_030619_TYC(affiliates)_PD_030709_TYC(FY05)tttv_030830" xfId="2693" xr:uid="{BB6F0932-0735-4392-B826-7C29C247F1E1}"/>
    <cellStyle name="_営業一部_2_KT&amp;G(ID준비)_030601_KT&amp;G(ID)_PR_030619_TYC(affiliates)준비_030623" xfId="2694" xr:uid="{E2A04CA4-1C19-486E-8973-C33183BF6191}"/>
    <cellStyle name="_営業一部_2_KT&amp;G(ID준비)_030601_KT&amp;G(ID)_PR_030619_TYC(affiliates)준비_030623_TYC(FY05)tttv_030830" xfId="2695" xr:uid="{7F3058E6-945D-4AA4-9748-C9F6BE318F4E}"/>
    <cellStyle name="_営業一部_2_KT&amp;G(ID준비)_030601_KT&amp;G(ID)_PR_030619_TYC(FY05)tttv_030830" xfId="2696" xr:uid="{BD244883-0F67-491D-8E13-85E4C3593E0C}"/>
    <cellStyle name="_営業一部_2_KT&amp;G(ID준비)_030601_TYC(affiliates)준비_030623" xfId="2697" xr:uid="{59DBE9D3-078D-49A9-8EDC-5573B4D62A87}"/>
    <cellStyle name="_営業一部_2_KT&amp;G(ID준비)_030601_TYC(affiliates)준비_030623_TYC(affiliates)_PD_030709" xfId="2698" xr:uid="{6CCA31C5-E8FD-4D7D-8E35-7784614FEEF2}"/>
    <cellStyle name="_営業一部_2_KT&amp;G(ID준비)_030601_TYC(affiliates)준비_030623_TYC(affiliates)_PD_030709_TYC(FY05)tttv_030830" xfId="2699" xr:uid="{3ACDF1CA-F5A4-49E6-9609-4744F6B1FE16}"/>
    <cellStyle name="_営業一部_2_KT&amp;G(ID준비)_030601_TYC(affiliates)준비_030623_TYC(affiliates)준비_030623" xfId="2700" xr:uid="{D5E6F24F-FBF5-4ECA-AA64-A2AC7CD16B71}"/>
    <cellStyle name="_営業一部_2_KT&amp;G(ID준비)_030601_TYC(affiliates)준비_030623_TYC(affiliates)준비_030623_TYC(FY05)tttv_030830" xfId="2701" xr:uid="{1FA1B7D3-E1DD-4AB5-B52A-924F80084C98}"/>
    <cellStyle name="_営業一部_2_KT&amp;G(ID준비)_030601_TYC(affiliates)준비_030623_TYC(FY05)tttv_030830" xfId="2702" xr:uid="{52A0B0D0-5F4B-40A1-940F-8147D109CF07}"/>
    <cellStyle name="_営業一部_2_KT&amp;G(ID준비)_030601_TYC(FY05)tttv_030830" xfId="2703" xr:uid="{31BADEEA-172D-40DD-BE05-FD2F3B0E2379}"/>
    <cellStyle name="_営業一部_2_KT&amp;G(ID준비)_030601_Yuhan(FY05)_031030" xfId="2704" xr:uid="{5BCE333D-F687-4B9C-B3E2-CE7B155BBF21}"/>
    <cellStyle name="_営業一部_2_Operations" xfId="2705" xr:uid="{50CC1C84-D213-450D-9B15-062775B1255F}"/>
    <cellStyle name="_営業一部_2_Report" xfId="2706" xr:uid="{6303B8BC-66D5-4FF1-8FA4-B08B625279E6}"/>
    <cellStyle name="_営業一部_2_Revenues" xfId="2707" xr:uid="{3174D18C-B8F2-480E-B065-599236D66586}"/>
    <cellStyle name="_営業一部_2_SK Corp 003600 1" xfId="2708" xr:uid="{FC4E0271-810A-4A5E-941D-60077C816618}"/>
    <cellStyle name="_営業一部_2_SK Incheon" xfId="2709" xr:uid="{79196C2B-53D2-436E-8C6F-AA34E73267AF}"/>
    <cellStyle name="_営業一部_2_TYC(affiliates)준비_030623" xfId="2710" xr:uid="{F7E60724-72D7-41CA-8712-F4D4A3BB03DF}"/>
    <cellStyle name="_営業一部_2_TYC(affiliates)준비_030623_TYC(affiliates)_PD_030709" xfId="2711" xr:uid="{0F95021B-45B4-4A89-8264-CA0B46F61444}"/>
    <cellStyle name="_営業一部_2_TYC(affiliates)준비_030623_TYC(affiliates)_PD_030709_TYC(FY05)tttv_030830" xfId="2712" xr:uid="{64363D00-45B9-4E88-83F7-D8510E70182F}"/>
    <cellStyle name="_営業一部_2_TYC(affiliates)준비_030623_TYC(affiliates)준비_030623" xfId="2713" xr:uid="{6D8AEE70-E09E-4CAB-8574-9688C08DAE08}"/>
    <cellStyle name="_営業一部_2_TYC(affiliates)준비_030623_TYC(affiliates)준비_030623_TYC(FY05)tttv_030830" xfId="2714" xr:uid="{12213138-7FFD-4DC1-9E78-5F70527F9DC4}"/>
    <cellStyle name="_営業一部_2_TYC(affiliates)준비_030623_TYC(FY05)tttv_030830" xfId="2715" xr:uid="{201D6E73-7F73-49AA-97DA-06A6C4049E51}"/>
    <cellStyle name="_営業一部_2_TYC(FY05)tttv_030830" xfId="2716" xr:uid="{6C5F40D7-3EC6-4F0C-BA67-45B4B2D5F264}"/>
    <cellStyle name="_営業一部_2_Yuhan(FY05)_031030" xfId="2717" xr:uid="{5007FD37-0D05-4633-BC30-4259C71D41AF}"/>
    <cellStyle name="_営業一部_3" xfId="2718" xr:uid="{88149704-1CC7-4D3C-97C0-69C76C45F965}"/>
    <cellStyle name="_営業一部_3_hhi_IFRS_in progress_Jul 2012" xfId="2719" xr:uid="{DB0FACB6-23F0-46CD-A6C9-F3F4E50EEC37}"/>
    <cellStyle name="_営業一部_3_hhi_IFRS_in progress_Jul 2012 2" xfId="2720" xr:uid="{D1477E53-8A7E-42CC-A444-A85484C5C69D}"/>
    <cellStyle name="_営業一部_4" xfId="2721" xr:uid="{E410B93F-BCDE-4AC0-89E6-D5A089209E44}"/>
    <cellStyle name="_営業一部_4_hhi_IFRS_in progress_Jul 2012" xfId="2722" xr:uid="{53D02B9C-2DB1-44E2-9EAE-5E28A8E12DA0}"/>
    <cellStyle name="_営業一部_4_hhi_IFRS_in progress_Jul 2012 2" xfId="2723" xr:uid="{EA2CDD1A-4580-4E4C-86CC-F9CEAE6C9EC8}"/>
    <cellStyle name="_営業一部_5" xfId="2724" xr:uid="{447D643B-41EB-4E2C-86E9-54201CE7EC9A}"/>
    <cellStyle name="_営業一部_5_AmorePacific (090430)_MacQ_JiEun_2010_new" xfId="2725" xr:uid="{9E302F89-1160-4355-908A-0720484A9388}"/>
    <cellStyle name="_営業一部_5_AmorePacific (090430)_MacQ_JiEun_2010_new 2" xfId="2726" xr:uid="{A98974ED-5CEC-496B-B088-86F3CDAB7F6E}"/>
    <cellStyle name="_営業一部_5_AmorePacific (090430)_MacQ_JiEun_2010_new_Hi-mart model for Alison (5 July 2011)" xfId="2727" xr:uid="{C2E69D61-DACB-4386-B53B-566512AD528F}"/>
    <cellStyle name="_営業一部_5_HDS (069960 KS)_MacQ_2010" xfId="2728" xr:uid="{78E7A42D-F71A-4078-A993-BA13C9E9A55E}"/>
    <cellStyle name="_営業一部_5_HDS (069960 KS)_MacQ_2010 2" xfId="2729" xr:uid="{8D0DCACF-FB84-4623-89AD-4601E16C1FF0}"/>
    <cellStyle name="_営業一部_5_HDS (069960 KS)_MacQ_2010_Hi-mart model for Alison (5 July 2011)" xfId="2730" xr:uid="{278FCC61-F853-4759-BE27-AFAC4F311F7C}"/>
    <cellStyle name="_営業一部_6" xfId="2731" xr:uid="{7D144391-E8FE-40E0-BF8D-3952C29F32FD}"/>
    <cellStyle name="_営業一部_6_hhi_IFRS_in progress_Jul 2012" xfId="2732" xr:uid="{10587DCE-E1A3-4428-9AD0-D1139707ED19}"/>
    <cellStyle name="_営業一部_6_hhi_IFRS_in progress_Jul 2012 2" xfId="2733" xr:uid="{EFFB8779-BDC0-43F2-BD5E-5CDA8E9A0FC7}"/>
    <cellStyle name="_営業一部_7" xfId="2734" xr:uid="{95E5DC48-B5CE-496F-A544-2C3D2AB682F7}"/>
    <cellStyle name="_営業一部_7_hhi_IFRS_in progress_Jul 2012" xfId="2735" xr:uid="{A9A2A0F0-3B22-4808-8241-095F97729FA6}"/>
    <cellStyle name="_営業一部_7_hhi_IFRS_in progress_Jul 2012 2" xfId="2736" xr:uid="{4C23198A-40C9-4DD1-8BA5-B8452601A56B}"/>
    <cellStyle name="_営業一部_8" xfId="2737" xr:uid="{98B7F2A4-9C03-44A3-827F-32BF51912AA5}"/>
    <cellStyle name="_営業一部_8_hhi_IFRS_in progress_Jul 2012" xfId="2738" xr:uid="{B2FB7EF4-616A-40A5-BA24-E5E4194DD7BD}"/>
    <cellStyle name="_営業一部_8_hhi_IFRS_in progress_Jul 2012 2" xfId="2739" xr:uid="{F12984C9-0A84-4A88-8869-50C357D9834D}"/>
    <cellStyle name="_営業一部_hhi_IFRS_in progress_Jul 2012" xfId="2740" xr:uid="{A6C2177B-06C0-4A26-B364-19F642A1E080}"/>
    <cellStyle name="_営業一部_hhi_IFRS_in progress_Jul 2012 2" xfId="2741" xr:uid="{5FAEF5FA-8E41-4131-B607-418F692A5F67}"/>
    <cellStyle name="_営業予算３０７" xfId="2572" xr:uid="{A9930D18-094F-4BE7-8DB9-CC9F3D8D0E44}"/>
    <cellStyle name="_営業予算３０７_1" xfId="2573" xr:uid="{28C3DBCE-0DB0-4B4B-AC17-ED706D1B9494}"/>
    <cellStyle name="_営業予算３０７_1_3Q03Results_031030" xfId="2574" xr:uid="{00A89558-8DF0-4F23-B9A0-B6730170FA4F}"/>
    <cellStyle name="_営業予算３０７_1_Datastream" xfId="2575" xr:uid="{B7B968F1-615E-45FC-A571-F7B39030518D}"/>
    <cellStyle name="_営業予算３０７_1_DCF" xfId="2576" xr:uid="{BC03C801-1663-4A55-9A6F-8DBBFAC47192}"/>
    <cellStyle name="_営業予算３０７_1_FS-quarterly" xfId="2577" xr:uid="{EEB68499-7404-4F24-A4E9-07ECBD3AF4EA}"/>
    <cellStyle name="_営業予算３０７_1_Hanaro" xfId="2578" xr:uid="{63C44E1A-BD59-4ADE-AC7B-F8C2D26441F0}"/>
    <cellStyle name="_営業予算３０７_1_KT&amp;G(ID)_PR_030619" xfId="2579" xr:uid="{BB9AB12D-1EFF-4DE3-AEF6-2FFE1562D61C}"/>
    <cellStyle name="_営業予算３０７_1_KT&amp;G(ID)_PR_030619_1" xfId="2580" xr:uid="{ACA7D077-7C6D-4169-94DC-293563550098}"/>
    <cellStyle name="_営業予算３０７_1_KT&amp;G(ID)_PR_030619_1_TYC(affiliates)_PD_030709" xfId="2581" xr:uid="{CBFB2B11-1E7C-4766-B078-7F1E29A39F33}"/>
    <cellStyle name="_営業予算３０７_1_KT&amp;G(ID)_PR_030619_1_TYC(affiliates)_PD_030709_TYC(FY05)tttv_030830" xfId="2582" xr:uid="{E4BF08EA-1CE3-44CF-84A1-9F2F6BE44B54}"/>
    <cellStyle name="_営業予算３０７_1_KT&amp;G(ID)_PR_030619_1_TYC(affiliates)준비_030623" xfId="2583" xr:uid="{513BD25A-660A-42C1-B94E-FE10915563E7}"/>
    <cellStyle name="_営業予算３０７_1_KT&amp;G(ID)_PR_030619_1_TYC(affiliates)준비_030623_TYC(FY05)tttv_030830" xfId="2584" xr:uid="{3C1DD007-DC22-4111-9F46-D9425DA658A4}"/>
    <cellStyle name="_営業予算３０７_1_KT&amp;G(ID)_PR_030619_1_TYC(FY05)tttv_030830" xfId="2585" xr:uid="{32D4F3F2-FA41-4EBD-B0DC-7A3A328597F8}"/>
    <cellStyle name="_営業予算３０７_1_KT&amp;G(ID)_PR_030619_3Q03Results_031030" xfId="2586" xr:uid="{0A7D808B-A94F-4C88-A399-39A06C2EC4FA}"/>
    <cellStyle name="_営業予算３０７_1_KT&amp;G(ID)_PR_030619_KT&amp;G(ID)_PR_030619" xfId="2587" xr:uid="{9DBBF30D-ECF3-4A7C-886E-C02C379F793F}"/>
    <cellStyle name="_営業予算３０７_1_KT&amp;G(ID)_PR_030619_KT&amp;G(ID)_PR_030619_TYC(affiliates)_PD_030709" xfId="2588" xr:uid="{0F285C80-DD22-4F20-ABE1-5B35128A7133}"/>
    <cellStyle name="_営業予算３０７_1_KT&amp;G(ID)_PR_030619_KT&amp;G(ID)_PR_030619_TYC(affiliates)_PD_030709_TYC(FY05)tttv_030830" xfId="2589" xr:uid="{C10BF1F3-991E-4E7D-98DB-78C5AA8349F9}"/>
    <cellStyle name="_営業予算３０７_1_KT&amp;G(ID)_PR_030619_KT&amp;G(ID)_PR_030619_TYC(affiliates)준비_030623" xfId="2590" xr:uid="{F754D280-BD42-4945-A950-0503921EF0FB}"/>
    <cellStyle name="_営業予算３０７_1_KT&amp;G(ID)_PR_030619_KT&amp;G(ID)_PR_030619_TYC(affiliates)준비_030623_TYC(FY05)tttv_030830" xfId="2591" xr:uid="{13B7057A-1315-44EF-873D-89CF082E8E43}"/>
    <cellStyle name="_営業予算３０７_1_KT&amp;G(ID)_PR_030619_KT&amp;G(ID)_PR_030619_TYC(FY05)tttv_030830" xfId="2592" xr:uid="{7C6D69BF-F120-4024-8F25-4F5F45E2CC3B}"/>
    <cellStyle name="_営業予算３０７_1_KT&amp;G(ID)_PR_030619_TYC(affiliates)준비_030623" xfId="2593" xr:uid="{6A69217B-46B7-4653-AC91-7452D2A8B4DD}"/>
    <cellStyle name="_営業予算３０７_1_KT&amp;G(ID)_PR_030619_TYC(affiliates)준비_030623_TYC(affiliates)_PD_030709" xfId="2594" xr:uid="{5ED55852-9E43-4E79-85CC-9C98FA3E4DB6}"/>
    <cellStyle name="_営業予算３０７_1_KT&amp;G(ID)_PR_030619_TYC(affiliates)준비_030623_TYC(affiliates)_PD_030709_TYC(FY05)tttv_030830" xfId="2595" xr:uid="{6F303996-E903-4528-A4DC-748F4C323649}"/>
    <cellStyle name="_営業予算３０７_1_KT&amp;G(ID)_PR_030619_TYC(affiliates)준비_030623_TYC(affiliates)준비_030623" xfId="2596" xr:uid="{F3F8ED17-1131-41C3-B30E-53D17F60A1C3}"/>
    <cellStyle name="_営業予算３０７_1_KT&amp;G(ID)_PR_030619_TYC(affiliates)준비_030623_TYC(affiliates)준비_030623_TYC(FY05)tttv_030830" xfId="2597" xr:uid="{07F8E87A-24C8-4D1A-AC7B-EDC0C23DBB74}"/>
    <cellStyle name="_営業予算３０７_1_KT&amp;G(ID)_PR_030619_TYC(affiliates)준비_030623_TYC(FY05)tttv_030830" xfId="2598" xr:uid="{36EC21C6-389D-4566-8C14-FFB506A644E0}"/>
    <cellStyle name="_営業予算３０７_1_KT&amp;G(ID)_PR_030619_TYC(FY05)tttv_030830" xfId="2599" xr:uid="{F3187589-0C4B-46AD-A4AB-82D228BFC803}"/>
    <cellStyle name="_営業予算３０７_1_KT&amp;G(ID)_PR_030619_Yuhan(FY05)_031030" xfId="2600" xr:uid="{8F3B3F45-0E4D-4609-B839-1B55A0F02E1F}"/>
    <cellStyle name="_営業予算３０７_1_KT&amp;G(ID준비)_030601" xfId="2601" xr:uid="{CC41FA36-7184-46E1-8AB0-BA21F3F51976}"/>
    <cellStyle name="_営業予算３０７_1_KT&amp;G(ID준비)_030601_3Q03Results_031030" xfId="2602" xr:uid="{EFB12CED-B59E-4350-AC8A-956FD1DFBDA5}"/>
    <cellStyle name="_営業予算３０７_1_KT&amp;G(ID준비)_030601_KT&amp;G(ID)_PR_030619" xfId="2603" xr:uid="{2EAE200B-6056-4913-B7E5-CA2608B26F22}"/>
    <cellStyle name="_営業予算３０７_1_KT&amp;G(ID준비)_030601_KT&amp;G(ID)_PR_030619_TYC(affiliates)_PD_030709" xfId="2604" xr:uid="{D34942E5-2184-4041-9060-F371083B9C8C}"/>
    <cellStyle name="_営業予算３０７_1_KT&amp;G(ID준비)_030601_KT&amp;G(ID)_PR_030619_TYC(affiliates)_PD_030709_TYC(FY05)tttv_030830" xfId="2605" xr:uid="{A343239D-CDFF-4DD2-B4B0-0904AA2312F8}"/>
    <cellStyle name="_営業予算３０７_1_KT&amp;G(ID준비)_030601_KT&amp;G(ID)_PR_030619_TYC(affiliates)준비_030623" xfId="2606" xr:uid="{4294C03B-3E69-48C6-AD4B-2CD79E8A2B87}"/>
    <cellStyle name="_営業予算３０７_1_KT&amp;G(ID준비)_030601_KT&amp;G(ID)_PR_030619_TYC(affiliates)준비_030623_TYC(FY05)tttv_030830" xfId="2607" xr:uid="{DC49849E-232D-4855-AEDD-CA1B8F590975}"/>
    <cellStyle name="_営業予算３０７_1_KT&amp;G(ID준비)_030601_KT&amp;G(ID)_PR_030619_TYC(FY05)tttv_030830" xfId="2608" xr:uid="{D7EC1968-C36C-431C-94ED-D2C7C0D33941}"/>
    <cellStyle name="_営業予算３０７_1_KT&amp;G(ID준비)_030601_TYC(affiliates)준비_030623" xfId="2609" xr:uid="{44045114-B557-4CF1-8DAB-9737BAA4F100}"/>
    <cellStyle name="_営業予算３０７_1_KT&amp;G(ID준비)_030601_TYC(affiliates)준비_030623_TYC(affiliates)_PD_030709" xfId="2610" xr:uid="{C90D5125-2972-42E2-9508-0B110A0A7A8B}"/>
    <cellStyle name="_営業予算３０７_1_KT&amp;G(ID준비)_030601_TYC(affiliates)준비_030623_TYC(affiliates)_PD_030709_TYC(FY05)tttv_030830" xfId="2611" xr:uid="{7806A113-5B13-4701-BE9B-06C9A7F6AE39}"/>
    <cellStyle name="_営業予算３０７_1_KT&amp;G(ID준비)_030601_TYC(affiliates)준비_030623_TYC(affiliates)준비_030623" xfId="2612" xr:uid="{044267BA-A761-4076-9618-4161A239AE78}"/>
    <cellStyle name="_営業予算３０７_1_KT&amp;G(ID준비)_030601_TYC(affiliates)준비_030623_TYC(affiliates)준비_030623_TYC(FY05)tttv_030830" xfId="2613" xr:uid="{AAAB4136-34A9-47FC-A05D-630BADE8BEDD}"/>
    <cellStyle name="_営業予算３０７_1_KT&amp;G(ID준비)_030601_TYC(affiliates)준비_030623_TYC(FY05)tttv_030830" xfId="2614" xr:uid="{6B8708E6-4E9E-46A4-AD79-D9D5A59416B7}"/>
    <cellStyle name="_営業予算３０７_1_KT&amp;G(ID준비)_030601_TYC(FY05)tttv_030830" xfId="2615" xr:uid="{41E3F0A7-7989-4428-B44E-F7DCD7EEE889}"/>
    <cellStyle name="_営業予算３０７_1_KT&amp;G(ID준비)_030601_Yuhan(FY05)_031030" xfId="2616" xr:uid="{7192032F-90CF-4996-B70A-E1F488342B35}"/>
    <cellStyle name="_営業予算３０７_1_Operations" xfId="2617" xr:uid="{89C883D0-2BEA-4540-AC49-ED12E0448032}"/>
    <cellStyle name="_営業予算３０７_1_Report" xfId="2618" xr:uid="{B1BD1A6A-BA6C-45ED-8CBE-FCD7EF6B9215}"/>
    <cellStyle name="_営業予算３０７_1_Revenues" xfId="2619" xr:uid="{CEC5976A-D3A0-44A5-AF26-2710834EFA32}"/>
    <cellStyle name="_営業予算３０７_1_SK Corp 003600 1" xfId="2620" xr:uid="{1CAE98EB-CCCC-4C83-973E-8C25D4E7C731}"/>
    <cellStyle name="_営業予算３０７_1_SK Incheon" xfId="2621" xr:uid="{39A1FBEA-061A-445A-A740-22E25570536C}"/>
    <cellStyle name="_営業予算３０７_1_TYC(affiliates)준비_030623" xfId="2622" xr:uid="{D92567ED-7660-4F7E-A20E-7E274A2BEC32}"/>
    <cellStyle name="_営業予算３０７_1_TYC(affiliates)준비_030623_TYC(affiliates)_PD_030709" xfId="2623" xr:uid="{8CC41296-ED80-4F79-B24A-96CE96B3B580}"/>
    <cellStyle name="_営業予算３０７_1_TYC(affiliates)준비_030623_TYC(affiliates)_PD_030709_TYC(FY05)tttv_030830" xfId="2624" xr:uid="{C91C09FF-725F-44FB-A1DF-CA32558F4595}"/>
    <cellStyle name="_営業予算３０７_1_TYC(affiliates)준비_030623_TYC(affiliates)준비_030623" xfId="2625" xr:uid="{EC01EF0A-BCEC-4A6A-934F-B19C0E31D2C6}"/>
    <cellStyle name="_営業予算３０７_1_TYC(affiliates)준비_030623_TYC(affiliates)준비_030623_TYC(FY05)tttv_030830" xfId="2626" xr:uid="{F1116693-6689-41A1-AC38-FEA568042F41}"/>
    <cellStyle name="_営業予算３０７_1_TYC(affiliates)준비_030623_TYC(FY05)tttv_030830" xfId="2627" xr:uid="{B043F340-FBBA-4BAA-9BEC-F8B49961AD55}"/>
    <cellStyle name="_営業予算３０７_1_TYC(FY05)tttv_030830" xfId="2628" xr:uid="{EA4A8103-0A5A-41D8-874C-702DF6A25D07}"/>
    <cellStyle name="_営業予算３０７_1_Yuhan(FY05)_031030" xfId="2629" xr:uid="{00C84B08-13D3-42CA-8580-5AAE0835EF68}"/>
    <cellStyle name="_営業予算３０７_2" xfId="2630" xr:uid="{05AD6FD2-56C9-436F-B7A1-6E8F5370E713}"/>
    <cellStyle name="_営業予算３０７_2_hhi_IFRS_in progress_Jul 2012" xfId="2631" xr:uid="{F5EB7F74-1080-4399-8A22-18A3594EB779}"/>
    <cellStyle name="_営業予算３０７_2_hhi_IFRS_in progress_Jul 2012 2" xfId="2632" xr:uid="{12B5C032-5C6E-4B50-8DB3-581EA2F3E535}"/>
    <cellStyle name="_営業予算３０７_3" xfId="2633" xr:uid="{9A355E18-2BA4-4CC5-98A3-90B57A5A5B4E}"/>
    <cellStyle name="_営業予算３０７_3_hhi_IFRS_in progress_Jul 2012" xfId="2634" xr:uid="{F8CF7D32-F451-459F-B4A7-D5C5A839CAA4}"/>
    <cellStyle name="_営業予算３０７_3_hhi_IFRS_in progress_Jul 2012 2" xfId="2635" xr:uid="{81E15BDE-ADC9-442C-9425-B7FE0AD66E60}"/>
    <cellStyle name="_営業予算３０７_4" xfId="2636" xr:uid="{BF2AE135-17C7-4A11-9947-392855144B6C}"/>
    <cellStyle name="_営業予算３０７_4_hhi_IFRS_in progress_Jul 2012" xfId="2637" xr:uid="{D998CD28-33CB-42D6-B951-7A917210589E}"/>
    <cellStyle name="_営業予算３０７_4_hhi_IFRS_in progress_Jul 2012 2" xfId="2638" xr:uid="{5E40902E-8F3D-41F4-98AA-3AC12F3206AF}"/>
    <cellStyle name="_営業予算３０７_5" xfId="2639" xr:uid="{C2CDB1FC-7E88-4AEF-BD95-5DB778AEAEF4}"/>
    <cellStyle name="_営業予算３０７_5_hhi_IFRS_in progress_Jul 2012" xfId="2640" xr:uid="{7659DB70-9D7B-4176-8C11-8F6112B95E06}"/>
    <cellStyle name="_営業予算３０７_5_hhi_IFRS_in progress_Jul 2012 2" xfId="2641" xr:uid="{4006786D-78AC-4678-AE47-931D30AA1635}"/>
    <cellStyle name="_営業予算３０７_6" xfId="2642" xr:uid="{F3C1B491-04E2-48E0-83A5-F2B357D4E0C9}"/>
    <cellStyle name="_営業予算３０７_6_AmorePacific (090430)_MacQ_JiEun_2010_new" xfId="2643" xr:uid="{79756F55-97F6-49FC-9F96-62F06DD116E9}"/>
    <cellStyle name="_営業予算３０７_6_AmorePacific (090430)_MacQ_JiEun_2010_new 2" xfId="2644" xr:uid="{6DABB87B-A20E-49B4-AF79-A0331F752D64}"/>
    <cellStyle name="_営業予算３０７_6_AmorePacific (090430)_MacQ_JiEun_2010_new_Hi-mart model for Alison (5 July 2011)" xfId="2645" xr:uid="{DC51B445-4131-4884-9091-50037796ECAF}"/>
    <cellStyle name="_営業予算３０７_6_HDS (069960 KS)_MacQ_2010" xfId="2646" xr:uid="{B6E1E0F0-653F-4AC2-87EF-D917302037BA}"/>
    <cellStyle name="_営業予算３０７_6_HDS (069960 KS)_MacQ_2010 2" xfId="2647" xr:uid="{7EDDF6C4-FABD-4471-9C7B-F6AEAC288982}"/>
    <cellStyle name="_営業予算３０７_6_HDS (069960 KS)_MacQ_2010_Hi-mart model for Alison (5 July 2011)" xfId="2648" xr:uid="{18D03E02-F514-4A1F-83C6-249203923DAC}"/>
    <cellStyle name="_営業予算３０７_7" xfId="2649" xr:uid="{1A0259C5-2E2C-413D-9CB1-1E8F0B5A5822}"/>
    <cellStyle name="_営業予算３０７_7_hhi_IFRS_in progress_Jul 2012" xfId="2650" xr:uid="{56A75693-80BA-43BE-9E40-4AF04818474F}"/>
    <cellStyle name="_営業予算３０７_7_hhi_IFRS_in progress_Jul 2012 2" xfId="2651" xr:uid="{6F346F8A-B35E-4100-BEE6-01FE7E62FBF2}"/>
    <cellStyle name="_営業予算３０７_8" xfId="2652" xr:uid="{745686BA-0859-47D7-9358-DAB92A0B5F6B}"/>
    <cellStyle name="_営業予算３０７_8_hhi_IFRS_in progress_Jul 2012" xfId="2653" xr:uid="{89B4C003-E320-43FE-8FC5-C4C0F671FE24}"/>
    <cellStyle name="_営業予算３０７_8_hhi_IFRS_in progress_Jul 2012 2" xfId="2654" xr:uid="{6D8C16FF-842C-42AE-A344-09E14E318B89}"/>
    <cellStyle name="_営業予算３０７_hhi_IFRS_in progress_Jul 2012" xfId="2655" xr:uid="{9CD7EEC3-E89F-4D3B-9391-450F27A8CF29}"/>
    <cellStyle name="_営業予算３０７_hhi_IFRS_in progress_Jul 2012 2" xfId="2656" xr:uid="{8FA54FE5-DA6E-419B-BD08-79C6CFBE8ECB}"/>
    <cellStyle name="_管理本部" xfId="2301" xr:uid="{6FFC82C1-B239-4B41-AE9F-BB1008501883}"/>
    <cellStyle name="_管理本部_1" xfId="2302" xr:uid="{A3F86B08-B9B5-4933-A275-68E0B36E7172}"/>
    <cellStyle name="_管理本部_1_hhi_IFRS_in progress_Jul 2012" xfId="2303" xr:uid="{F3AFF019-70B4-4028-88C5-02795530FC53}"/>
    <cellStyle name="_管理本部_1_hhi_IFRS_in progress_Jul 2012 2" xfId="2304" xr:uid="{1D88607F-59B7-4F0A-B0CA-EC258AC6D1C6}"/>
    <cellStyle name="_管理本部_2" xfId="2305" xr:uid="{0500D455-02AC-492F-A572-A4DE039D2717}"/>
    <cellStyle name="_管理本部_2_hhi_IFRS_in progress_Jul 2012" xfId="2306" xr:uid="{3BDA2434-3F34-4366-B57E-23AAEC3B0924}"/>
    <cellStyle name="_管理本部_2_hhi_IFRS_in progress_Jul 2012 2" xfId="2307" xr:uid="{016A4039-5654-4E72-ADF4-AC9FFCFFCF72}"/>
    <cellStyle name="_管理本部_3" xfId="2308" xr:uid="{DA5A0B85-843A-43F3-BE88-5DA45A6FF3C7}"/>
    <cellStyle name="_管理本部_3_hhi_IFRS_in progress_Jul 2012" xfId="2309" xr:uid="{7EBE4469-1DCD-4BAA-A71A-BA4C7B1CA869}"/>
    <cellStyle name="_管理本部_3_hhi_IFRS_in progress_Jul 2012 2" xfId="2310" xr:uid="{EF8D6476-9C95-4CE2-A64E-04E2A2CE33B4}"/>
    <cellStyle name="_管理本部_4" xfId="2311" xr:uid="{E462092C-CEB4-4D82-8E97-17509AC26267}"/>
    <cellStyle name="_管理本部_4_hhi_IFRS_in progress_Jul 2012" xfId="2312" xr:uid="{CCBB07F1-535F-4559-A927-1A3489B7489E}"/>
    <cellStyle name="_管理本部_4_hhi_IFRS_in progress_Jul 2012 2" xfId="2313" xr:uid="{8AD6AA9B-6C81-4834-B1EF-C39876DF0F81}"/>
    <cellStyle name="_管理本部_5" xfId="2314" xr:uid="{6607DDBB-8150-4B10-8DF4-2B99D5718FE3}"/>
    <cellStyle name="_管理本部_5_hhi_IFRS_in progress_Jul 2012" xfId="2315" xr:uid="{7D0D74E9-13BF-4C1E-A5BA-AFE67B3FF229}"/>
    <cellStyle name="_管理本部_5_hhi_IFRS_in progress_Jul 2012 2" xfId="2316" xr:uid="{6EE448D0-E1F4-4354-A565-3C104F3CCF13}"/>
    <cellStyle name="_管理本部_6" xfId="2317" xr:uid="{19F02E25-CFCD-478E-8E7C-D50C9EE202C6}"/>
    <cellStyle name="_管理本部_6_3Q03Results_031030" xfId="2318" xr:uid="{36BFDA7D-FDE9-4B5B-B24A-4D7CA17E3E06}"/>
    <cellStyle name="_管理本部_6_Datastream" xfId="2319" xr:uid="{EB62B20A-0577-407D-BCFD-35314E1AF8BF}"/>
    <cellStyle name="_管理本部_6_DCF" xfId="2320" xr:uid="{E85BFD62-D5F0-4248-AD19-3883A1BDE992}"/>
    <cellStyle name="_管理本部_6_FS-quarterly" xfId="2321" xr:uid="{F1908585-A391-4944-9FB8-A2129DEC7312}"/>
    <cellStyle name="_管理本部_6_Hanaro" xfId="2322" xr:uid="{F4DE86C1-A915-4BB8-B64B-00B7598D299E}"/>
    <cellStyle name="_管理本部_6_KT&amp;G(ID)_PR_030619" xfId="2323" xr:uid="{B562A534-5202-4938-B60B-81BF3F35A78F}"/>
    <cellStyle name="_管理本部_6_KT&amp;G(ID)_PR_030619_1" xfId="2324" xr:uid="{3E7589CB-C6DD-486A-8C6A-358C3B0587F8}"/>
    <cellStyle name="_管理本部_6_KT&amp;G(ID)_PR_030619_1_TYC(affiliates)_PD_030709" xfId="2325" xr:uid="{55262C8F-BA30-414A-8426-2B3D4F31832F}"/>
    <cellStyle name="_管理本部_6_KT&amp;G(ID)_PR_030619_1_TYC(affiliates)_PD_030709_TYC(FY05)tttv_030830" xfId="2326" xr:uid="{33CEBF3E-FB9E-4A4B-842B-07AFAFF13950}"/>
    <cellStyle name="_管理本部_6_KT&amp;G(ID)_PR_030619_1_TYC(affiliates)준비_030623" xfId="2327" xr:uid="{FB9E8087-6B64-4214-A020-D7A04917EC79}"/>
    <cellStyle name="_管理本部_6_KT&amp;G(ID)_PR_030619_1_TYC(affiliates)준비_030623_TYC(FY05)tttv_030830" xfId="2328" xr:uid="{14212B1C-6291-4AA3-991D-4D87AB2E614E}"/>
    <cellStyle name="_管理本部_6_KT&amp;G(ID)_PR_030619_1_TYC(FY05)tttv_030830" xfId="2329" xr:uid="{C9B4BCD5-BA93-43B8-AA38-D3C22768CA7E}"/>
    <cellStyle name="_管理本部_6_KT&amp;G(ID)_PR_030619_3Q03Results_031030" xfId="2330" xr:uid="{218A882C-514E-435E-9839-26F20EB0AC31}"/>
    <cellStyle name="_管理本部_6_KT&amp;G(ID)_PR_030619_KT&amp;G(ID)_PR_030619" xfId="2331" xr:uid="{8B67F8F2-8C57-4379-8FD6-C128D1ACAC4A}"/>
    <cellStyle name="_管理本部_6_KT&amp;G(ID)_PR_030619_KT&amp;G(ID)_PR_030619_TYC(affiliates)_PD_030709" xfId="2332" xr:uid="{551D0B90-7C36-421B-A624-BF6F59BAC65A}"/>
    <cellStyle name="_管理本部_6_KT&amp;G(ID)_PR_030619_KT&amp;G(ID)_PR_030619_TYC(affiliates)_PD_030709_TYC(FY05)tttv_030830" xfId="2333" xr:uid="{83A9D3E9-A76D-41F5-B37E-EA7DAA062A8D}"/>
    <cellStyle name="_管理本部_6_KT&amp;G(ID)_PR_030619_KT&amp;G(ID)_PR_030619_TYC(affiliates)준비_030623" xfId="2334" xr:uid="{6B65E52C-F8B6-472D-9711-1A481CB6EA3F}"/>
    <cellStyle name="_管理本部_6_KT&amp;G(ID)_PR_030619_KT&amp;G(ID)_PR_030619_TYC(affiliates)준비_030623_TYC(FY05)tttv_030830" xfId="2335" xr:uid="{D4055531-F861-4FB5-A3B0-92F2707A558B}"/>
    <cellStyle name="_管理本部_6_KT&amp;G(ID)_PR_030619_KT&amp;G(ID)_PR_030619_TYC(FY05)tttv_030830" xfId="2336" xr:uid="{28CC3DE4-5AC2-42BB-9044-8EB6018DF863}"/>
    <cellStyle name="_管理本部_6_KT&amp;G(ID)_PR_030619_TYC(affiliates)준비_030623" xfId="2337" xr:uid="{D9ECF9F1-0A31-443B-A7FD-82B83C7A697B}"/>
    <cellStyle name="_管理本部_6_KT&amp;G(ID)_PR_030619_TYC(affiliates)준비_030623_TYC(affiliates)_PD_030709" xfId="2338" xr:uid="{8C434666-B55B-41DB-BCC4-BC9FCA9CF5D7}"/>
    <cellStyle name="_管理本部_6_KT&amp;G(ID)_PR_030619_TYC(affiliates)준비_030623_TYC(affiliates)_PD_030709_TYC(FY05)tttv_030830" xfId="2339" xr:uid="{74AC1735-708E-49DB-B170-B5581CD7680B}"/>
    <cellStyle name="_管理本部_6_KT&amp;G(ID)_PR_030619_TYC(affiliates)준비_030623_TYC(affiliates)준비_030623" xfId="2340" xr:uid="{A3FF740B-2466-42B4-87FD-96F6828AB30E}"/>
    <cellStyle name="_管理本部_6_KT&amp;G(ID)_PR_030619_TYC(affiliates)준비_030623_TYC(affiliates)준비_030623_TYC(FY05)tttv_030830" xfId="2341" xr:uid="{62A433EF-6415-4E8D-A04A-569B556BE95D}"/>
    <cellStyle name="_管理本部_6_KT&amp;G(ID)_PR_030619_TYC(affiliates)준비_030623_TYC(FY05)tttv_030830" xfId="2342" xr:uid="{5E3EBF63-5BF3-4C28-A38B-44FA3749E796}"/>
    <cellStyle name="_管理本部_6_KT&amp;G(ID)_PR_030619_TYC(FY05)tttv_030830" xfId="2343" xr:uid="{D398C4BC-2301-4C3C-BD1C-0C027529F8E9}"/>
    <cellStyle name="_管理本部_6_KT&amp;G(ID)_PR_030619_Yuhan(FY05)_031030" xfId="2344" xr:uid="{0C802E0B-7392-4B17-BAC2-FC13B141777B}"/>
    <cellStyle name="_管理本部_6_KT&amp;G(ID준비)_030601" xfId="2345" xr:uid="{BF3A7928-9264-41F1-BAD6-AC0242CC2C94}"/>
    <cellStyle name="_管理本部_6_KT&amp;G(ID준비)_030601_3Q03Results_031030" xfId="2346" xr:uid="{D957AE98-1F0F-4DC8-ACE5-F18C079C34FD}"/>
    <cellStyle name="_管理本部_6_KT&amp;G(ID준비)_030601_KT&amp;G(ID)_PR_030619" xfId="2347" xr:uid="{537F7582-B128-451E-B9F5-14F7C2E4D78F}"/>
    <cellStyle name="_管理本部_6_KT&amp;G(ID준비)_030601_KT&amp;G(ID)_PR_030619_TYC(affiliates)_PD_030709" xfId="2348" xr:uid="{954421CF-9FCF-4A79-A06E-B23874080BAF}"/>
    <cellStyle name="_管理本部_6_KT&amp;G(ID준비)_030601_KT&amp;G(ID)_PR_030619_TYC(affiliates)_PD_030709_TYC(FY05)tttv_030830" xfId="2349" xr:uid="{23417088-4444-47CE-AECD-A6717569F883}"/>
    <cellStyle name="_管理本部_6_KT&amp;G(ID준비)_030601_KT&amp;G(ID)_PR_030619_TYC(affiliates)준비_030623" xfId="2350" xr:uid="{5A77B6AA-A3AC-40F7-8A76-FF2E9E243CA8}"/>
    <cellStyle name="_管理本部_6_KT&amp;G(ID준비)_030601_KT&amp;G(ID)_PR_030619_TYC(affiliates)준비_030623_TYC(FY05)tttv_030830" xfId="2351" xr:uid="{8564516B-2641-4C16-B8E1-E8A966308855}"/>
    <cellStyle name="_管理本部_6_KT&amp;G(ID준비)_030601_KT&amp;G(ID)_PR_030619_TYC(FY05)tttv_030830" xfId="2352" xr:uid="{FFEBDC85-B3B5-42B3-A2F0-DD47C9F9DB8A}"/>
    <cellStyle name="_管理本部_6_KT&amp;G(ID준비)_030601_TYC(affiliates)준비_030623" xfId="2353" xr:uid="{D44CE938-DEE7-4983-8325-71E618EDCED3}"/>
    <cellStyle name="_管理本部_6_KT&amp;G(ID준비)_030601_TYC(affiliates)준비_030623_TYC(affiliates)_PD_030709" xfId="2354" xr:uid="{44E6C7C8-677A-493A-9292-BE190A2864CC}"/>
    <cellStyle name="_管理本部_6_KT&amp;G(ID준비)_030601_TYC(affiliates)준비_030623_TYC(affiliates)_PD_030709_TYC(FY05)tttv_030830" xfId="2355" xr:uid="{0DA4520C-BB90-4C38-9BDD-494B6CE46D73}"/>
    <cellStyle name="_管理本部_6_KT&amp;G(ID준비)_030601_TYC(affiliates)준비_030623_TYC(affiliates)준비_030623" xfId="2356" xr:uid="{83E86884-1506-4EB5-B962-E81D59B4D3F3}"/>
    <cellStyle name="_管理本部_6_KT&amp;G(ID준비)_030601_TYC(affiliates)준비_030623_TYC(affiliates)준비_030623_TYC(FY05)tttv_030830" xfId="2357" xr:uid="{1086AA83-DE0D-49D4-A2C4-05EABF427C6F}"/>
    <cellStyle name="_管理本部_6_KT&amp;G(ID준비)_030601_TYC(affiliates)준비_030623_TYC(FY05)tttv_030830" xfId="2358" xr:uid="{F24A94A5-923A-4D75-9034-202B9B82AEBE}"/>
    <cellStyle name="_管理本部_6_KT&amp;G(ID준비)_030601_TYC(FY05)tttv_030830" xfId="2359" xr:uid="{A6FB7673-A1FD-4925-B0B8-1F4CE6F5EBBD}"/>
    <cellStyle name="_管理本部_6_KT&amp;G(ID준비)_030601_Yuhan(FY05)_031030" xfId="2360" xr:uid="{D79699D9-D5AA-4CC7-8E7B-EF96CB0D4ECF}"/>
    <cellStyle name="_管理本部_6_Operations" xfId="2361" xr:uid="{F9EB1579-B58F-4549-8326-62F4889F8168}"/>
    <cellStyle name="_管理本部_6_Report" xfId="2362" xr:uid="{80528443-6FEF-4025-BCD3-B738122C61C3}"/>
    <cellStyle name="_管理本部_6_Revenues" xfId="2363" xr:uid="{C4E1581B-CF16-4C9C-8563-6E7EAD7BC3A0}"/>
    <cellStyle name="_管理本部_6_SK Corp 003600 1" xfId="2364" xr:uid="{79FDFF0C-4E99-4ECD-A56D-9BC10CC736A3}"/>
    <cellStyle name="_管理本部_6_SK Incheon" xfId="2365" xr:uid="{736BD89E-53F0-4ED2-B8FD-F5B875B6BC79}"/>
    <cellStyle name="_管理本部_6_TYC(affiliates)준비_030623" xfId="2366" xr:uid="{98ED1D07-CC89-4073-812C-90DC47DE07CF}"/>
    <cellStyle name="_管理本部_6_TYC(affiliates)준비_030623_TYC(affiliates)_PD_030709" xfId="2367" xr:uid="{0A8FB4FC-FFBC-43FC-B733-D7CD084F735C}"/>
    <cellStyle name="_管理本部_6_TYC(affiliates)준비_030623_TYC(affiliates)_PD_030709_TYC(FY05)tttv_030830" xfId="2368" xr:uid="{2A2E9CCF-BECD-49A4-9F32-4131F694D287}"/>
    <cellStyle name="_管理本部_6_TYC(affiliates)준비_030623_TYC(affiliates)준비_030623" xfId="2369" xr:uid="{D4A525D8-9134-41A8-A3F1-3A766BC6792B}"/>
    <cellStyle name="_管理本部_6_TYC(affiliates)준비_030623_TYC(affiliates)준비_030623_TYC(FY05)tttv_030830" xfId="2370" xr:uid="{7FFF02A4-FA8E-48D7-B8F1-B86A2E9A89E1}"/>
    <cellStyle name="_管理本部_6_TYC(affiliates)준비_030623_TYC(FY05)tttv_030830" xfId="2371" xr:uid="{8D802B8C-2A8F-4AF6-A3B8-ED907D31F609}"/>
    <cellStyle name="_管理本部_6_TYC(FY05)tttv_030830" xfId="2372" xr:uid="{1376CAFF-9CEA-4FA0-A3E3-1B4BEA034D3A}"/>
    <cellStyle name="_管理本部_6_Yuhan(FY05)_031030" xfId="2373" xr:uid="{07506B75-063F-403C-97D6-9CA6041396EA}"/>
    <cellStyle name="_管理本部_7" xfId="2374" xr:uid="{BB29E4BC-6756-41A8-9E57-AEF84DDC1AD9}"/>
    <cellStyle name="_管理本部_7_hhi_IFRS_in progress_Jul 2012" xfId="2375" xr:uid="{EB0C7F66-9CC1-4FC7-8D58-23FCF618D248}"/>
    <cellStyle name="_管理本部_7_hhi_IFRS_in progress_Jul 2012 2" xfId="2376" xr:uid="{32F865FD-2A73-4865-8A19-00253F1AA4E7}"/>
    <cellStyle name="_管理本部_8" xfId="2377" xr:uid="{1F70C52A-DB5A-4BB8-B47C-638550DA2B61}"/>
    <cellStyle name="_管理本部_8_hhi_IFRS_in progress_Jul 2012" xfId="2378" xr:uid="{917F86A1-FF00-4C7E-A93D-B42751BAC103}"/>
    <cellStyle name="_管理本部_8_hhi_IFRS_in progress_Jul 2012 2" xfId="2379" xr:uid="{FA7FBE26-40D8-4F7D-84C0-48A35D9D1119}"/>
    <cellStyle name="_管理本部_9" xfId="2380" xr:uid="{799E5B37-9DA0-4841-AC5F-59EFB0AFB6FA}"/>
    <cellStyle name="_管理本部_9_hhi_IFRS_in progress_Jul 2012" xfId="2381" xr:uid="{3D28B914-87DF-434F-829A-FECBB9192F1A}"/>
    <cellStyle name="_管理本部_9_hhi_IFRS_in progress_Jul 2012 2" xfId="2382" xr:uid="{6D05F95E-BB3C-43D7-8599-83783C6B5799}"/>
    <cellStyle name="_管理本部_AmorePacific (090430)_MacQ_JiEun_2010_new" xfId="2383" xr:uid="{1E02730E-E968-4BC5-88B9-C46CB671BF9D}"/>
    <cellStyle name="_管理本部_AmorePacific (090430)_MacQ_JiEun_2010_new 2" xfId="2384" xr:uid="{C47F0B4B-80E0-4F5C-98C0-2749D411EAAD}"/>
    <cellStyle name="_管理本部_AmorePacific (090430)_MacQ_JiEun_2010_new_Hi-mart model for Alison (5 July 2011)" xfId="2385" xr:uid="{3C4196A9-04C6-4D92-ACE0-1641183AB605}"/>
    <cellStyle name="_管理本部_HDS (069960 KS)_MacQ_2010" xfId="2386" xr:uid="{8D41BDEE-A9D1-4D82-B519-EB21B6BBDA7B}"/>
    <cellStyle name="_管理本部_HDS (069960 KS)_MacQ_2010 2" xfId="2387" xr:uid="{48BE736F-5CD5-4219-9170-B948380D5AC3}"/>
    <cellStyle name="_管理本部_HDS (069960 KS)_MacQ_2010_Hi-mart model for Alison (5 July 2011)" xfId="2388" xr:uid="{4B871D24-210E-46B3-AAE1-B02A3DD60649}"/>
    <cellStyle name="_経費合計" xfId="2298" xr:uid="{54A84E3A-A919-4066-BA88-CC4D52AC36E2}"/>
    <cellStyle name="_経費合計_hhi_IFRS_in progress_Jul 2012" xfId="2299" xr:uid="{BD9C5CFD-C3C8-47C6-837A-58D1F5C8CCE1}"/>
    <cellStyle name="_経費合計_hhi_IFRS_in progress_Jul 2012 2" xfId="2300" xr:uid="{01B826FD-61DD-441A-BD8C-E749C9FDCC45}"/>
    <cellStyle name="_線路" xfId="2479" xr:uid="{9856AD31-A799-4986-962F-735F7FB0BFDF}"/>
    <cellStyle name="_線路_1" xfId="2480" xr:uid="{7CFD6AA4-483C-40EB-8350-B9CF349617C9}"/>
    <cellStyle name="_線路_1_3Q03Results_031030" xfId="2481" xr:uid="{595D38EA-EF31-47C1-9462-912906639350}"/>
    <cellStyle name="_線路_1_Datastream" xfId="2482" xr:uid="{0DEFDDB3-F419-487B-8A07-13CF4A9C9720}"/>
    <cellStyle name="_線路_1_DCF" xfId="2483" xr:uid="{836DCEC3-9BF5-4E8D-946A-98D912664C77}"/>
    <cellStyle name="_線路_1_FS-quarterly" xfId="2484" xr:uid="{5A93EABC-4D05-434D-A3C7-1540D516B7D0}"/>
    <cellStyle name="_線路_1_Hanaro" xfId="2485" xr:uid="{D6451065-7DF5-499D-BE57-4955BE6491D7}"/>
    <cellStyle name="_線路_1_KT&amp;G(ID)_PR_030619" xfId="2486" xr:uid="{4FC85B9F-CE3A-47F1-9989-B7C2CD36DDA6}"/>
    <cellStyle name="_線路_1_KT&amp;G(ID)_PR_030619_1" xfId="2487" xr:uid="{D7CA715D-0964-443B-9B93-41561F6C6681}"/>
    <cellStyle name="_線路_1_KT&amp;G(ID)_PR_030619_1_TYC(affiliates)_PD_030709" xfId="2488" xr:uid="{04553D79-ED93-46F2-9768-FFC471DAB13B}"/>
    <cellStyle name="_線路_1_KT&amp;G(ID)_PR_030619_1_TYC(affiliates)_PD_030709_TYC(FY05)tttv_030830" xfId="2489" xr:uid="{92A0A8AF-E1B0-4F5A-9582-AB8DD1C0EA42}"/>
    <cellStyle name="_線路_1_KT&amp;G(ID)_PR_030619_1_TYC(affiliates)준비_030623" xfId="2490" xr:uid="{A324D365-3F7D-410B-8CD8-74A1997B0283}"/>
    <cellStyle name="_線路_1_KT&amp;G(ID)_PR_030619_1_TYC(affiliates)준비_030623_TYC(FY05)tttv_030830" xfId="2491" xr:uid="{B5BFF304-E526-4CE3-B21A-3D98D8D12967}"/>
    <cellStyle name="_線路_1_KT&amp;G(ID)_PR_030619_1_TYC(FY05)tttv_030830" xfId="2492" xr:uid="{D5C396EE-A7FA-4BB8-B58B-D85A7783A507}"/>
    <cellStyle name="_線路_1_KT&amp;G(ID)_PR_030619_3Q03Results_031030" xfId="2493" xr:uid="{61306DCA-B748-44F5-B163-24A312788DA1}"/>
    <cellStyle name="_線路_1_KT&amp;G(ID)_PR_030619_KT&amp;G(ID)_PR_030619" xfId="2494" xr:uid="{B83EF49F-3E3B-454D-A10B-B967B987AE9B}"/>
    <cellStyle name="_線路_1_KT&amp;G(ID)_PR_030619_KT&amp;G(ID)_PR_030619_TYC(affiliates)_PD_030709" xfId="2495" xr:uid="{B6459D9A-B8A5-4048-8874-E4E0738254E8}"/>
    <cellStyle name="_線路_1_KT&amp;G(ID)_PR_030619_KT&amp;G(ID)_PR_030619_TYC(affiliates)_PD_030709_TYC(FY05)tttv_030830" xfId="2496" xr:uid="{58D2920B-8EA9-40EC-A28E-B7FC08EA275E}"/>
    <cellStyle name="_線路_1_KT&amp;G(ID)_PR_030619_KT&amp;G(ID)_PR_030619_TYC(affiliates)준비_030623" xfId="2497" xr:uid="{26B4558F-D492-45C8-88D4-EAFB218C8A7D}"/>
    <cellStyle name="_線路_1_KT&amp;G(ID)_PR_030619_KT&amp;G(ID)_PR_030619_TYC(affiliates)준비_030623_TYC(FY05)tttv_030830" xfId="2498" xr:uid="{E7FFEECC-72B1-47CA-8D9D-441601B704F1}"/>
    <cellStyle name="_線路_1_KT&amp;G(ID)_PR_030619_KT&amp;G(ID)_PR_030619_TYC(FY05)tttv_030830" xfId="2499" xr:uid="{34190207-2883-4EE6-8885-27E01B9B293B}"/>
    <cellStyle name="_線路_1_KT&amp;G(ID)_PR_030619_TYC(affiliates)준비_030623" xfId="2500" xr:uid="{BC31BA36-4143-4BC6-9AE4-745C89BA57DA}"/>
    <cellStyle name="_線路_1_KT&amp;G(ID)_PR_030619_TYC(affiliates)준비_030623_TYC(affiliates)_PD_030709" xfId="2501" xr:uid="{25A0C4D0-20F5-4FA1-A2E4-74EC1306FA37}"/>
    <cellStyle name="_線路_1_KT&amp;G(ID)_PR_030619_TYC(affiliates)준비_030623_TYC(affiliates)_PD_030709_TYC(FY05)tttv_030830" xfId="2502" xr:uid="{7028F6B4-2A31-4D5C-8FC1-E7434A8C5B23}"/>
    <cellStyle name="_線路_1_KT&amp;G(ID)_PR_030619_TYC(affiliates)준비_030623_TYC(affiliates)준비_030623" xfId="2503" xr:uid="{5D41B59A-97CF-4244-99A9-399B38D7CC9E}"/>
    <cellStyle name="_線路_1_KT&amp;G(ID)_PR_030619_TYC(affiliates)준비_030623_TYC(affiliates)준비_030623_TYC(FY05)tttv_030830" xfId="2504" xr:uid="{7970299C-9451-4EF7-B0F0-FAD9D07C4AC1}"/>
    <cellStyle name="_線路_1_KT&amp;G(ID)_PR_030619_TYC(affiliates)준비_030623_TYC(FY05)tttv_030830" xfId="2505" xr:uid="{92395901-A660-45C8-8EA0-BB3F617AD537}"/>
    <cellStyle name="_線路_1_KT&amp;G(ID)_PR_030619_TYC(FY05)tttv_030830" xfId="2506" xr:uid="{6A67688F-0F28-4736-9D14-01B059B1FA15}"/>
    <cellStyle name="_線路_1_KT&amp;G(ID)_PR_030619_Yuhan(FY05)_031030" xfId="2507" xr:uid="{068E2A0D-99E3-46D8-BBAC-51A5CCA700F1}"/>
    <cellStyle name="_線路_1_KT&amp;G(ID준비)_030601" xfId="2508" xr:uid="{8838BF8E-76AB-41CA-BD0C-73A1619E58EF}"/>
    <cellStyle name="_線路_1_KT&amp;G(ID준비)_030601_3Q03Results_031030" xfId="2509" xr:uid="{D86B0799-78A1-47D2-BAB4-27086157D96A}"/>
    <cellStyle name="_線路_1_KT&amp;G(ID준비)_030601_KT&amp;G(ID)_PR_030619" xfId="2510" xr:uid="{9BE7DCA1-60FC-4179-8E02-EA7E4142EE26}"/>
    <cellStyle name="_線路_1_KT&amp;G(ID준비)_030601_KT&amp;G(ID)_PR_030619_TYC(affiliates)_PD_030709" xfId="2511" xr:uid="{A6CA577D-2E31-4FF3-A6F3-35B731DF3EB8}"/>
    <cellStyle name="_線路_1_KT&amp;G(ID준비)_030601_KT&amp;G(ID)_PR_030619_TYC(affiliates)_PD_030709_TYC(FY05)tttv_030830" xfId="2512" xr:uid="{A0E4EECE-3D02-4398-B669-49B66D65CEBB}"/>
    <cellStyle name="_線路_1_KT&amp;G(ID준비)_030601_KT&amp;G(ID)_PR_030619_TYC(affiliates)준비_030623" xfId="2513" xr:uid="{6165F71B-4C22-4DF0-969E-2CB3794A1E84}"/>
    <cellStyle name="_線路_1_KT&amp;G(ID준비)_030601_KT&amp;G(ID)_PR_030619_TYC(affiliates)준비_030623_TYC(FY05)tttv_030830" xfId="2514" xr:uid="{C2E90A83-154E-481D-A8C1-0B0DC05C4754}"/>
    <cellStyle name="_線路_1_KT&amp;G(ID준비)_030601_KT&amp;G(ID)_PR_030619_TYC(FY05)tttv_030830" xfId="2515" xr:uid="{A91528A1-E8E5-4E88-84D9-101E94103E81}"/>
    <cellStyle name="_線路_1_KT&amp;G(ID준비)_030601_TYC(affiliates)준비_030623" xfId="2516" xr:uid="{2ADA5176-8D33-4B99-AAD8-6FAB1F8F9D89}"/>
    <cellStyle name="_線路_1_KT&amp;G(ID준비)_030601_TYC(affiliates)준비_030623_TYC(affiliates)_PD_030709" xfId="2517" xr:uid="{62C0F45F-6839-46D0-9EC4-3704FDDA154A}"/>
    <cellStyle name="_線路_1_KT&amp;G(ID준비)_030601_TYC(affiliates)준비_030623_TYC(affiliates)_PD_030709_TYC(FY05)tttv_030830" xfId="2518" xr:uid="{82BE3283-F9AA-488B-981A-4C8C21391812}"/>
    <cellStyle name="_線路_1_KT&amp;G(ID준비)_030601_TYC(affiliates)준비_030623_TYC(affiliates)준비_030623" xfId="2519" xr:uid="{E34DABA1-A7A3-45CD-BCA1-CA1B86B1EB0C}"/>
    <cellStyle name="_線路_1_KT&amp;G(ID준비)_030601_TYC(affiliates)준비_030623_TYC(affiliates)준비_030623_TYC(FY05)tttv_030830" xfId="2520" xr:uid="{3765BB4E-D874-47D5-83DA-A43E38AD97ED}"/>
    <cellStyle name="_線路_1_KT&amp;G(ID준비)_030601_TYC(affiliates)준비_030623_TYC(FY05)tttv_030830" xfId="2521" xr:uid="{60B4BC87-0E55-4938-AF49-FE4E610F15D5}"/>
    <cellStyle name="_線路_1_KT&amp;G(ID준비)_030601_TYC(FY05)tttv_030830" xfId="2522" xr:uid="{3004F09E-5F23-4DC4-A8ED-CB36543F8A02}"/>
    <cellStyle name="_線路_1_KT&amp;G(ID준비)_030601_Yuhan(FY05)_031030" xfId="2523" xr:uid="{703F42EF-BE99-4E87-B1F9-FA8F4FE66D94}"/>
    <cellStyle name="_線路_1_Operations" xfId="2524" xr:uid="{B5C75D7C-BB87-4095-929F-68B1C934C6E7}"/>
    <cellStyle name="_線路_1_Report" xfId="2525" xr:uid="{62617034-05BE-4DCC-94FC-F2AF72700216}"/>
    <cellStyle name="_線路_1_Revenues" xfId="2526" xr:uid="{1338AA89-B689-4519-9E91-31BF312C9EB1}"/>
    <cellStyle name="_線路_1_SK Corp 003600 1" xfId="2527" xr:uid="{96188D26-6AE2-4ACE-8F76-AB247F5C4C81}"/>
    <cellStyle name="_線路_1_SK Incheon" xfId="2528" xr:uid="{170ED4E7-6246-4D0E-8700-DDCCBF0472F6}"/>
    <cellStyle name="_線路_1_TYC(affiliates)준비_030623" xfId="2529" xr:uid="{01034386-F121-4615-8DB7-18C13A83DB06}"/>
    <cellStyle name="_線路_1_TYC(affiliates)준비_030623_TYC(affiliates)_PD_030709" xfId="2530" xr:uid="{883BB100-4FD7-49B3-A752-3E0D45FF10AB}"/>
    <cellStyle name="_線路_1_TYC(affiliates)준비_030623_TYC(affiliates)_PD_030709_TYC(FY05)tttv_030830" xfId="2531" xr:uid="{20D006A5-678C-4F46-A8F4-83613B9891A3}"/>
    <cellStyle name="_線路_1_TYC(affiliates)준비_030623_TYC(affiliates)준비_030623" xfId="2532" xr:uid="{4FA01A6B-CF22-4513-99C5-0BA50B8EB597}"/>
    <cellStyle name="_線路_1_TYC(affiliates)준비_030623_TYC(affiliates)준비_030623_TYC(FY05)tttv_030830" xfId="2533" xr:uid="{F436E879-5369-45F7-BE30-ED34A0835676}"/>
    <cellStyle name="_線路_1_TYC(affiliates)준비_030623_TYC(FY05)tttv_030830" xfId="2534" xr:uid="{0C9FFDFD-5DEC-4FD2-8217-160698C53207}"/>
    <cellStyle name="_線路_1_TYC(FY05)tttv_030830" xfId="2535" xr:uid="{667C70D6-57EF-4C4D-A28B-625AC6C7AEF0}"/>
    <cellStyle name="_線路_1_Yuhan(FY05)_031030" xfId="2536" xr:uid="{B3F6631C-F537-4ED4-AAB4-EAAB1ABDFA5C}"/>
    <cellStyle name="_線路_2" xfId="2537" xr:uid="{927F6DE8-ADFE-4418-A7BB-D4C9468A0825}"/>
    <cellStyle name="_線路_2_hhi_IFRS_in progress_Jul 2012" xfId="2538" xr:uid="{F8EC89E7-89D0-42C5-94B8-D04454B6ED8C}"/>
    <cellStyle name="_線路_2_hhi_IFRS_in progress_Jul 2012 2" xfId="2539" xr:uid="{BB587390-72F9-4A47-B18F-3E7EC1EBAB93}"/>
    <cellStyle name="_線路_3" xfId="2540" xr:uid="{7474A376-7F5C-4FBD-9B20-C88697CC479C}"/>
    <cellStyle name="_線路_3_hhi_IFRS_in progress_Jul 2012" xfId="2541" xr:uid="{124801C0-EA71-4E31-9A5E-2F5F898756AD}"/>
    <cellStyle name="_線路_3_hhi_IFRS_in progress_Jul 2012 2" xfId="2542" xr:uid="{2330FAF6-0748-4D08-AAA3-34391B3519F8}"/>
    <cellStyle name="_線路_4" xfId="2543" xr:uid="{039AD4B5-388D-4AC5-9C1D-1E67F5463F36}"/>
    <cellStyle name="_線路_4_AmorePacific (090430)_MacQ_JiEun_2010_new" xfId="2544" xr:uid="{6A958EF6-DB88-4845-9A9D-DEA66D7925B0}"/>
    <cellStyle name="_線路_4_AmorePacific (090430)_MacQ_JiEun_2010_new 2" xfId="2545" xr:uid="{689E7929-FD4C-4348-BF4F-F5215452033B}"/>
    <cellStyle name="_線路_4_AmorePacific (090430)_MacQ_JiEun_2010_new_Hi-mart model for Alison (5 July 2011)" xfId="2546" xr:uid="{2C01F4F0-7FDC-456A-91AE-4B3EF3853681}"/>
    <cellStyle name="_線路_4_HDS (069960 KS)_MacQ_2010" xfId="2547" xr:uid="{0F0F0379-A5B6-476A-9AC8-2C9DDE73B573}"/>
    <cellStyle name="_線路_4_HDS (069960 KS)_MacQ_2010 2" xfId="2548" xr:uid="{1FD2BCDA-F6F2-4E65-BC9B-9EBC8C9D8148}"/>
    <cellStyle name="_線路_4_HDS (069960 KS)_MacQ_2010_Hi-mart model for Alison (5 July 2011)" xfId="2549" xr:uid="{D7DF2BF7-5BB9-498F-8AB8-B46A4670DF11}"/>
    <cellStyle name="_線路_5" xfId="2550" xr:uid="{F4FA4111-E97F-4E00-8678-0BA22000413E}"/>
    <cellStyle name="_線路_5_hhi_IFRS_in progress_Jul 2012" xfId="2551" xr:uid="{CDCB5266-EC13-432A-AC89-AB603C79F0CD}"/>
    <cellStyle name="_線路_5_hhi_IFRS_in progress_Jul 2012 2" xfId="2552" xr:uid="{D9164A2F-15DF-40B0-A4E0-73CE904FCEF2}"/>
    <cellStyle name="_線路_6" xfId="2553" xr:uid="{83A1B562-58D9-4424-B25A-ECF3C4814BAB}"/>
    <cellStyle name="_線路_6_hhi_IFRS_in progress_Jul 2012" xfId="2554" xr:uid="{FC597E62-CAB0-447F-8412-A8FAC449BA20}"/>
    <cellStyle name="_線路_6_hhi_IFRS_in progress_Jul 2012 2" xfId="2555" xr:uid="{FB2CE0E2-C16B-4067-AB35-53645F15D0E6}"/>
    <cellStyle name="_線路_7" xfId="2556" xr:uid="{EAD90051-D7FC-48D3-905F-0A3C848C4901}"/>
    <cellStyle name="_線路_7_hhi_IFRS_in progress_Jul 2012" xfId="2557" xr:uid="{EF1D36B2-1368-416E-8C59-8F164E87FBEB}"/>
    <cellStyle name="_線路_7_hhi_IFRS_in progress_Jul 2012 2" xfId="2558" xr:uid="{28339137-ACFB-4C2A-8299-CA863A2BDB47}"/>
    <cellStyle name="_線路_8" xfId="2559" xr:uid="{CBF5E8C9-31AA-40DC-AC66-1D43481E34A6}"/>
    <cellStyle name="_線路_8_hhi_IFRS_in progress_Jul 2012" xfId="2560" xr:uid="{59739F1C-1E03-4EA8-87C1-DCE8334DBD50}"/>
    <cellStyle name="_線路_8_hhi_IFRS_in progress_Jul 2012 2" xfId="2561" xr:uid="{A8CC7291-58AD-46DB-91C2-5451EE4E322C}"/>
    <cellStyle name="_線路_9" xfId="2562" xr:uid="{64F1C2A3-D73B-46F9-BD67-8C60A5E1C33D}"/>
    <cellStyle name="_線路_9_hhi_IFRS_in progress_Jul 2012" xfId="2563" xr:uid="{D1BF582F-4E88-4F8C-BC6B-1FAFD3EA6CFD}"/>
    <cellStyle name="_線路_9_hhi_IFRS_in progress_Jul 2012 2" xfId="2564" xr:uid="{68E9F1B6-A341-43AF-A022-947D8DA6CFD7}"/>
    <cellStyle name="_線路_hhi_IFRS_in progress_Jul 2012" xfId="2565" xr:uid="{3CC33FBF-AB41-4AA4-90F5-9B240C61E44D}"/>
    <cellStyle name="_線路_hhi_IFRS_in progress_Jul 2012 2" xfId="2566" xr:uid="{531DFFD1-68C6-474E-A5D5-E565B7CAF66B}"/>
    <cellStyle name="¤@?e_TEST-1 " xfId="2829" xr:uid="{394AEEFF-8D39-4A74-816A-8359E0D97E40}"/>
    <cellStyle name="=C:\WINNT35\SYSTEM32\COMMAND.COM" xfId="2830" xr:uid="{80E215C8-0016-4138-B441-DDBD795E2370}"/>
    <cellStyle name="W_STDFOR" xfId="27" xr:uid="{00000000-0005-0000-0000-00001A000000}"/>
    <cellStyle name="0%" xfId="2831" xr:uid="{45093FE0-1BBD-4496-80F1-DDFE35889D71}"/>
    <cellStyle name="0.0%" xfId="2832" xr:uid="{D147086B-DCB9-4190-88BA-8DA0B12E365B}"/>
    <cellStyle name="0.00%" xfId="2833" xr:uid="{EF9A06E4-999D-494A-9061-70C8A6421F83}"/>
    <cellStyle name="0_Capex &amp; Depreciation " xfId="2834" xr:uid="{FFE86FD8-9A5E-49D9-B7EB-98B45F6D152A}"/>
    <cellStyle name="0_Valuing BP " xfId="2835" xr:uid="{16944E29-3E47-49CC-90F8-AEEF352A1A0A}"/>
    <cellStyle name="1" xfId="28" xr:uid="{00000000-0005-0000-0000-00001B000000}"/>
    <cellStyle name="1 Decimal" xfId="2836" xr:uid="{B2686E72-180F-4F24-A3F4-8A012102069E}"/>
    <cellStyle name="1,000" xfId="2837" xr:uid="{B3C5D93E-F589-4202-8D30-9377F2FD5392}"/>
    <cellStyle name="1,000x" xfId="2838" xr:uid="{4B1B9136-BF4C-495C-9EBA-756BD23CEBCA}"/>
    <cellStyle name="1_12" xfId="29" xr:uid="{00000000-0005-0000-0000-00001C000000}"/>
    <cellStyle name="1_BANH MI DOT 2.04.07 CHI TRANG" xfId="30" xr:uid="{00000000-0005-0000-0000-00001D000000}"/>
    <cellStyle name="1_bhxh t6" xfId="31" xr:uid="{00000000-0005-0000-0000-00001E000000}"/>
    <cellStyle name="1_bkdvcp200705" xfId="32" xr:uid="{00000000-0005-0000-0000-00001F000000}"/>
    <cellStyle name="1_BLG TT X4 (D2_04_07)" xfId="33" xr:uid="{00000000-0005-0000-0000-000020000000}"/>
    <cellStyle name="1_Cac bieu mau Clorets V-1 (version 1)" xfId="34" xr:uid="{00000000-0005-0000-0000-000021000000}"/>
    <cellStyle name="1_Cadbury report update to 27 Jan" xfId="35" xr:uid="{00000000-0005-0000-0000-000022000000}"/>
    <cellStyle name="1_Cadbury report update to 6 jan" xfId="36" xr:uid="{00000000-0005-0000-0000-000023000000}"/>
    <cellStyle name="1_Cadbury sales report up date 4 Feb" xfId="37" xr:uid="{00000000-0005-0000-0000-000024000000}"/>
    <cellStyle name="1_CADBURY_l2" xfId="38" xr:uid="{00000000-0005-0000-0000-000025000000}"/>
    <cellStyle name="1_cuong" xfId="39" xr:uid="{00000000-0005-0000-0000-000026000000}"/>
    <cellStyle name="1_CUPCAKE DOT 2.04.07 CHI TRANG" xfId="40" xr:uid="{00000000-0005-0000-0000-000027000000}"/>
    <cellStyle name="1_DS lop MTP_tong hop_Cum" xfId="41" xr:uid="{00000000-0005-0000-0000-000028000000}"/>
    <cellStyle name="1_expenses update 30-dec-06" xfId="42" xr:uid="{00000000-0005-0000-0000-000029000000}"/>
    <cellStyle name="1_form_Patrick" xfId="43" xr:uid="{00000000-0005-0000-0000-00002A000000}"/>
    <cellStyle name="1_GIAN TIEP THANG 6.07" xfId="44" xr:uid="{00000000-0005-0000-0000-00002B000000}"/>
    <cellStyle name="1_LGGFS2007_06" xfId="45" xr:uid="{00000000-0005-0000-0000-00002C000000}"/>
    <cellStyle name="1_LGGFS2007_12" xfId="46" xr:uid="{00000000-0005-0000-0000-00002D000000}"/>
    <cellStyle name="1_LGTaiXe2007_08" xfId="47" xr:uid="{00000000-0005-0000-0000-00002E000000}"/>
    <cellStyle name="1_Luong VP-T06-07" xfId="48" xr:uid="{00000000-0005-0000-0000-00002F000000}"/>
    <cellStyle name="1_SBU Data 2006" xfId="49" xr:uid="{00000000-0005-0000-0000-000030000000}"/>
    <cellStyle name="1_STOCK update to 20 feb" xfId="50" xr:uid="{00000000-0005-0000-0000-000031000000}"/>
    <cellStyle name="1_T5T05" xfId="51" xr:uid="{00000000-0005-0000-0000-000032000000}"/>
    <cellStyle name="1_thue GTGT" xfId="52" xr:uid="{00000000-0005-0000-0000-000033000000}"/>
    <cellStyle name="15" xfId="53" xr:uid="{00000000-0005-0000-0000-000034000000}"/>
    <cellStyle name="-156300" xfId="2839" xr:uid="{D6628DCE-1116-4641-9289-785292DD4B2C}"/>
    <cellStyle name="2" xfId="54" xr:uid="{00000000-0005-0000-0000-000035000000}"/>
    <cellStyle name="2 Decimals" xfId="2840" xr:uid="{2FDFE1C0-A659-4AFB-864A-3816B37E880C}"/>
    <cellStyle name="2_12" xfId="55" xr:uid="{00000000-0005-0000-0000-000036000000}"/>
    <cellStyle name="2_BANH MI DOT 2.04.07 CHI TRANG" xfId="56" xr:uid="{00000000-0005-0000-0000-000037000000}"/>
    <cellStyle name="2_bhxh t6" xfId="57" xr:uid="{00000000-0005-0000-0000-000038000000}"/>
    <cellStyle name="2_bkdvcp200705" xfId="58" xr:uid="{00000000-0005-0000-0000-000039000000}"/>
    <cellStyle name="2_BLG TT X4 (D2_04_07)" xfId="59" xr:uid="{00000000-0005-0000-0000-00003A000000}"/>
    <cellStyle name="2_Cac bieu mau Clorets V-1 (version 1)" xfId="60" xr:uid="{00000000-0005-0000-0000-00003B000000}"/>
    <cellStyle name="2_Cadbury report update to 27 Jan" xfId="61" xr:uid="{00000000-0005-0000-0000-00003C000000}"/>
    <cellStyle name="2_Cadbury report update to 6 jan" xfId="62" xr:uid="{00000000-0005-0000-0000-00003D000000}"/>
    <cellStyle name="2_Cadbury sales report up date 4 Feb" xfId="63" xr:uid="{00000000-0005-0000-0000-00003E000000}"/>
    <cellStyle name="2_CADBURY_l2" xfId="64" xr:uid="{00000000-0005-0000-0000-00003F000000}"/>
    <cellStyle name="2_cuong" xfId="65" xr:uid="{00000000-0005-0000-0000-000040000000}"/>
    <cellStyle name="2_CUPCAKE DOT 2.04.07 CHI TRANG" xfId="66" xr:uid="{00000000-0005-0000-0000-000041000000}"/>
    <cellStyle name="2_DS lop MTP_tong hop_Cum" xfId="67" xr:uid="{00000000-0005-0000-0000-000042000000}"/>
    <cellStyle name="2_expenses update 30-dec-06" xfId="68" xr:uid="{00000000-0005-0000-0000-000043000000}"/>
    <cellStyle name="2_form_Patrick" xfId="69" xr:uid="{00000000-0005-0000-0000-000044000000}"/>
    <cellStyle name="2_GIAN TIEP THANG 6.07" xfId="70" xr:uid="{00000000-0005-0000-0000-000045000000}"/>
    <cellStyle name="2_LGGFS2007_06" xfId="71" xr:uid="{00000000-0005-0000-0000-000046000000}"/>
    <cellStyle name="2_LGGFS2007_12" xfId="72" xr:uid="{00000000-0005-0000-0000-000047000000}"/>
    <cellStyle name="2_LGTaiXe2007_08" xfId="73" xr:uid="{00000000-0005-0000-0000-000048000000}"/>
    <cellStyle name="2_Luong VP-T06-07" xfId="74" xr:uid="{00000000-0005-0000-0000-000049000000}"/>
    <cellStyle name="2_SBU Data 2006" xfId="75" xr:uid="{00000000-0005-0000-0000-00004A000000}"/>
    <cellStyle name="2_STOCK update to 20 feb" xfId="76" xr:uid="{00000000-0005-0000-0000-00004B000000}"/>
    <cellStyle name="2_T5T05" xfId="77" xr:uid="{00000000-0005-0000-0000-00004C000000}"/>
    <cellStyle name="2_thue GTGT" xfId="78" xr:uid="{00000000-0005-0000-0000-00004D000000}"/>
    <cellStyle name="20% - Accent1 2" xfId="79" xr:uid="{00000000-0005-0000-0000-00004E000000}"/>
    <cellStyle name="20% - Accent1 2 2" xfId="470" xr:uid="{D04C8154-E058-415E-A12C-2C010A670C4B}"/>
    <cellStyle name="20% - Accent1 2 2 2" xfId="3380" xr:uid="{3E6CB423-EA1B-4614-9F61-5846D42A0765}"/>
    <cellStyle name="20% - Accent1 2 2 2 2" xfId="3812" xr:uid="{7E84E3B7-096A-4C12-9BBF-6955611D10A1}"/>
    <cellStyle name="20% - Accent1 2 2 3" xfId="3723" xr:uid="{935B152F-3F2B-4AA3-9C0A-BF46B2305643}"/>
    <cellStyle name="20% - Accent1 2 3" xfId="560" xr:uid="{037C5E65-D3C0-4D19-9309-36B453842ED4}"/>
    <cellStyle name="20% - Accent1 2 3 2" xfId="3423" xr:uid="{B9C3EF56-BEB0-4789-A618-823896666DD2}"/>
    <cellStyle name="20% - Accent1 2 3 3" xfId="3638" xr:uid="{91FF84DC-C351-4EA7-83B9-EC75B2F060A2}"/>
    <cellStyle name="20% - Accent1 2 4" xfId="3281" xr:uid="{C0F1656C-D7F9-414B-9287-25F9AEAACEA6}"/>
    <cellStyle name="20% - Accent1 2 4 2" xfId="3551" xr:uid="{DD2F5A3E-171A-4870-95BC-505E288138A5}"/>
    <cellStyle name="20% - Accent1 2 4 3" xfId="3765" xr:uid="{CCE75A4C-7628-4EB3-98C4-3FE31FF65473}"/>
    <cellStyle name="20% - Accent1 2 5" xfId="3315" xr:uid="{45260077-F996-4180-842B-F783F17B98C4}"/>
    <cellStyle name="20% - Accent1 2 6" xfId="3575" xr:uid="{F1DDFF23-C75C-49B6-A664-69E404FDC0B3}"/>
    <cellStyle name="20% - Accent1 3" xfId="2841" xr:uid="{EDA0D953-C2C2-4F24-82E4-CE88745DE75F}"/>
    <cellStyle name="20% - Accent2 2" xfId="80" xr:uid="{00000000-0005-0000-0000-00004F000000}"/>
    <cellStyle name="20% - Accent2 2 2" xfId="471" xr:uid="{5BB11CA7-3751-4B54-8C1D-77F3296893DE}"/>
    <cellStyle name="20% - Accent2 2 2 2" xfId="3381" xr:uid="{E5FB02B4-EF71-43F9-B937-617618792F6F}"/>
    <cellStyle name="20% - Accent2 2 2 2 2" xfId="3813" xr:uid="{3CC494AE-E7FD-49E8-9A96-8F26D59F1BC0}"/>
    <cellStyle name="20% - Accent2 2 2 3" xfId="3724" xr:uid="{DE7C1B2E-CAD4-4253-AA00-F36E2680B735}"/>
    <cellStyle name="20% - Accent2 2 3" xfId="561" xr:uid="{3A5B1426-29D9-423B-AFA9-FCAFBA27D4F0}"/>
    <cellStyle name="20% - Accent2 2 3 2" xfId="3424" xr:uid="{F8DB2692-E02B-46DA-8504-BE1C4367757A}"/>
    <cellStyle name="20% - Accent2 2 3 3" xfId="3639" xr:uid="{7DFF916C-F111-4A6D-A65C-1284595DDD02}"/>
    <cellStyle name="20% - Accent2 2 4" xfId="3285" xr:uid="{5FDEEA2D-7BE0-49A7-AC38-B38042487B32}"/>
    <cellStyle name="20% - Accent2 2 4 2" xfId="3553" xr:uid="{D3EFA541-D982-4506-B5D3-8ACEF58C9239}"/>
    <cellStyle name="20% - Accent2 2 4 3" xfId="3766" xr:uid="{EC33B584-E252-4011-BA31-C0BFC9BD11CF}"/>
    <cellStyle name="20% - Accent2 2 5" xfId="3316" xr:uid="{3BB1A8AA-45BB-4F5F-AE71-128F8DAE69FE}"/>
    <cellStyle name="20% - Accent2 2 6" xfId="3576" xr:uid="{2AA99110-3F0E-42A4-B5F1-A5301D5B7B06}"/>
    <cellStyle name="20% - Accent2 3" xfId="2842" xr:uid="{DC562275-580C-40D3-A2E7-1774ADB71BEB}"/>
    <cellStyle name="20% - Accent3 2" xfId="81" xr:uid="{00000000-0005-0000-0000-000050000000}"/>
    <cellStyle name="20% - Accent3 2 2" xfId="472" xr:uid="{31470907-C2DF-4DD7-AC37-EF6973CAD2CE}"/>
    <cellStyle name="20% - Accent3 2 2 2" xfId="3382" xr:uid="{707FE26F-3B5E-4C92-886E-3AA4864F60C3}"/>
    <cellStyle name="20% - Accent3 2 2 2 2" xfId="3814" xr:uid="{5722F4BD-2D0B-4A26-8430-9A5A3BD2B589}"/>
    <cellStyle name="20% - Accent3 2 2 3" xfId="3725" xr:uid="{9E097D02-066B-49D5-BE71-9E6B87A5B732}"/>
    <cellStyle name="20% - Accent3 2 3" xfId="562" xr:uid="{86C2C522-E2EA-4F11-BCDC-B670AA39E83A}"/>
    <cellStyle name="20% - Accent3 2 3 2" xfId="3425" xr:uid="{D3266DBC-94E3-4D73-B9C2-A40974299504}"/>
    <cellStyle name="20% - Accent3 2 3 3" xfId="3640" xr:uid="{7FBD7811-9575-44D0-8C72-57D491149043}"/>
    <cellStyle name="20% - Accent3 2 4" xfId="3289" xr:uid="{1C847C8E-9C55-4486-8A09-FD1F21C21149}"/>
    <cellStyle name="20% - Accent3 2 4 2" xfId="3555" xr:uid="{8ACECA3B-24D1-4619-A7D7-D2F53AC96696}"/>
    <cellStyle name="20% - Accent3 2 4 3" xfId="3767" xr:uid="{868DEEDC-1227-450F-BF2B-A18A4E713726}"/>
    <cellStyle name="20% - Accent3 2 5" xfId="3317" xr:uid="{1DF7D072-EF31-471A-B766-E456B0D86999}"/>
    <cellStyle name="20% - Accent3 2 6" xfId="3577" xr:uid="{3B87CA28-57EB-4C6E-89B0-79303F5F69FF}"/>
    <cellStyle name="20% - Accent3 3" xfId="2843" xr:uid="{61E0EC9D-8E83-4EC2-AE08-53F1C17C7673}"/>
    <cellStyle name="20% - Accent4 2" xfId="82" xr:uid="{00000000-0005-0000-0000-000051000000}"/>
    <cellStyle name="20% - Accent4 2 2" xfId="473" xr:uid="{CAA82EE5-6397-4BB6-B0D0-4422F6BB3590}"/>
    <cellStyle name="20% - Accent4 2 2 2" xfId="3383" xr:uid="{0FBCBAF7-DF7F-4E68-9FA8-CD1F13B89348}"/>
    <cellStyle name="20% - Accent4 2 2 2 2" xfId="3815" xr:uid="{756CFDCE-BE3D-42F4-8E56-A56002461BBB}"/>
    <cellStyle name="20% - Accent4 2 2 3" xfId="3726" xr:uid="{611CB9E3-4F45-4A27-9CF7-632D97BBF394}"/>
    <cellStyle name="20% - Accent4 2 3" xfId="563" xr:uid="{B7B3DDAE-D337-4A4D-ADD5-4ECC469D642F}"/>
    <cellStyle name="20% - Accent4 2 3 2" xfId="3426" xr:uid="{B19D2BFA-4497-44D6-8705-66FFA709BD6E}"/>
    <cellStyle name="20% - Accent4 2 3 3" xfId="3641" xr:uid="{A7109494-8B38-4590-A646-62D3699CC1AE}"/>
    <cellStyle name="20% - Accent4 2 4" xfId="3292" xr:uid="{F72F361A-234E-431F-8893-7516C94EE5E0}"/>
    <cellStyle name="20% - Accent4 2 4 2" xfId="3557" xr:uid="{11B72C65-5940-4876-A138-1C28D6B2A62A}"/>
    <cellStyle name="20% - Accent4 2 4 3" xfId="3768" xr:uid="{84E9F68D-E12B-46EA-A910-759D9A16DCDC}"/>
    <cellStyle name="20% - Accent4 2 5" xfId="3318" xr:uid="{52CF20CA-AE08-4FDF-9F46-1E3691560A2E}"/>
    <cellStyle name="20% - Accent4 2 6" xfId="3578" xr:uid="{35648DFE-2BA7-4D32-A6E1-77672897C391}"/>
    <cellStyle name="20% - Accent4 3" xfId="2844" xr:uid="{E2468FE8-967D-4A34-9F93-929E6ED3EAE3}"/>
    <cellStyle name="20% - Accent5 2" xfId="3295" xr:uid="{05CAFF99-1E93-4002-9338-A8F5CC95D983}"/>
    <cellStyle name="20% - Accent5 2 2" xfId="3559" xr:uid="{084D4649-7696-4472-A832-19A4B9A73B0A}"/>
    <cellStyle name="20% - Accent5 3" xfId="2845" xr:uid="{A1CB0959-36C4-4908-A346-5F0B992459FC}"/>
    <cellStyle name="20% - Accent6 2" xfId="3299" xr:uid="{9049A5D3-6359-4D64-BEDB-8BE44EB669A2}"/>
    <cellStyle name="20% - Accent6 2 2" xfId="3561" xr:uid="{DA3F759A-BFCC-44A4-B8F2-DCE9D5B5A78E}"/>
    <cellStyle name="20% - Accent6 3" xfId="2846" xr:uid="{E125FD02-DB80-45DA-932D-D32F1394AF0F}"/>
    <cellStyle name="20% - Akzent1" xfId="83" xr:uid="{00000000-0005-0000-0000-000052000000}"/>
    <cellStyle name="20% - Akzent2" xfId="84" xr:uid="{00000000-0005-0000-0000-000053000000}"/>
    <cellStyle name="20% - Akzent3" xfId="85" xr:uid="{00000000-0005-0000-0000-000054000000}"/>
    <cellStyle name="20% - Akzent4" xfId="86" xr:uid="{00000000-0005-0000-0000-000055000000}"/>
    <cellStyle name="20% - Akzent5" xfId="87" xr:uid="{00000000-0005-0000-0000-000056000000}"/>
    <cellStyle name="20% - Akzent6" xfId="88" xr:uid="{00000000-0005-0000-0000-000057000000}"/>
    <cellStyle name="20% - 강조색1 2" xfId="2847" xr:uid="{71B59E37-51D3-43E9-903D-7D70FF1BBA7F}"/>
    <cellStyle name="20% - 강조색2 2" xfId="2848" xr:uid="{16CE8004-83CD-4218-BE03-E14A701F0163}"/>
    <cellStyle name="20% - 강조색3 2" xfId="2849" xr:uid="{F4AF4087-59AE-4826-8B31-2AF5134833A7}"/>
    <cellStyle name="20% - 강조색4 2" xfId="2850" xr:uid="{7BB53C97-205C-4B72-9306-E5B2675B588D}"/>
    <cellStyle name="20% - 강조색5 2" xfId="2851" xr:uid="{E2E396DA-AF5E-4E62-B3EC-405CBAE4C665}"/>
    <cellStyle name="20% - 강조색6 2" xfId="2852" xr:uid="{7791817D-47D7-407F-BA47-760FF4E3DAAE}"/>
    <cellStyle name="3" xfId="89" xr:uid="{00000000-0005-0000-0000-000058000000}"/>
    <cellStyle name="3 Decimals" xfId="2853" xr:uid="{41CBF51A-A517-4276-BE6F-1B21C3B9DBF6}"/>
    <cellStyle name="3_12" xfId="90" xr:uid="{00000000-0005-0000-0000-000059000000}"/>
    <cellStyle name="3_BANH MI DOT 2.04.07 CHI TRANG" xfId="91" xr:uid="{00000000-0005-0000-0000-00005A000000}"/>
    <cellStyle name="3_bhxh t6" xfId="92" xr:uid="{00000000-0005-0000-0000-00005B000000}"/>
    <cellStyle name="3_bkdvcp200705" xfId="93" xr:uid="{00000000-0005-0000-0000-00005C000000}"/>
    <cellStyle name="3_BLG TT X4 (D2_04_07)" xfId="94" xr:uid="{00000000-0005-0000-0000-00005D000000}"/>
    <cellStyle name="3_Cac bieu mau Clorets V-1 (version 1)" xfId="95" xr:uid="{00000000-0005-0000-0000-00005E000000}"/>
    <cellStyle name="3_Cadbury report update to 27 Jan" xfId="96" xr:uid="{00000000-0005-0000-0000-00005F000000}"/>
    <cellStyle name="3_Cadbury report update to 6 jan" xfId="97" xr:uid="{00000000-0005-0000-0000-000060000000}"/>
    <cellStyle name="3_Cadbury sales report up date 4 Feb" xfId="98" xr:uid="{00000000-0005-0000-0000-000061000000}"/>
    <cellStyle name="3_CADBURY_l2" xfId="99" xr:uid="{00000000-0005-0000-0000-000062000000}"/>
    <cellStyle name="3_cuong" xfId="100" xr:uid="{00000000-0005-0000-0000-000063000000}"/>
    <cellStyle name="3_CUPCAKE DOT 2.04.07 CHI TRANG" xfId="101" xr:uid="{00000000-0005-0000-0000-000064000000}"/>
    <cellStyle name="3_DS lop MTP_tong hop_Cum" xfId="102" xr:uid="{00000000-0005-0000-0000-000065000000}"/>
    <cellStyle name="3_expenses update 30-dec-06" xfId="103" xr:uid="{00000000-0005-0000-0000-000066000000}"/>
    <cellStyle name="3_form_Patrick" xfId="104" xr:uid="{00000000-0005-0000-0000-000067000000}"/>
    <cellStyle name="3_GIAN TIEP THANG 6.07" xfId="105" xr:uid="{00000000-0005-0000-0000-000068000000}"/>
    <cellStyle name="3_LGGFS2007_06" xfId="106" xr:uid="{00000000-0005-0000-0000-000069000000}"/>
    <cellStyle name="3_LGGFS2007_12" xfId="107" xr:uid="{00000000-0005-0000-0000-00006A000000}"/>
    <cellStyle name="3_LGTaiXe2007_08" xfId="108" xr:uid="{00000000-0005-0000-0000-00006B000000}"/>
    <cellStyle name="3_Luong VP-T06-07" xfId="109" xr:uid="{00000000-0005-0000-0000-00006C000000}"/>
    <cellStyle name="3_SBU Data 2006" xfId="110" xr:uid="{00000000-0005-0000-0000-00006D000000}"/>
    <cellStyle name="3_STOCK update to 20 feb" xfId="111" xr:uid="{00000000-0005-0000-0000-00006E000000}"/>
    <cellStyle name="3_T5T05" xfId="112" xr:uid="{00000000-0005-0000-0000-00006F000000}"/>
    <cellStyle name="3_thue GTGT" xfId="113" xr:uid="{00000000-0005-0000-0000-000070000000}"/>
    <cellStyle name="30 Percent" xfId="2854" xr:uid="{E8709247-A5A3-48C7-99D3-E0956373D90B}"/>
    <cellStyle name="4" xfId="114" xr:uid="{00000000-0005-0000-0000-000071000000}"/>
    <cellStyle name="40% - Accent1 2" xfId="3282" xr:uid="{51288050-D3A1-42ED-BEFE-12A9B4CEB7AD}"/>
    <cellStyle name="40% - Accent1 2 2" xfId="3552" xr:uid="{B2EDC06E-FF97-4FE4-AA75-58EE87CCBE69}"/>
    <cellStyle name="40% - Accent1 3" xfId="2855" xr:uid="{6105C002-110C-4B73-AE3B-7519A942B805}"/>
    <cellStyle name="40% - Accent2 2" xfId="3286" xr:uid="{2899C3A8-0388-47DD-A73A-A7833B756456}"/>
    <cellStyle name="40% - Accent2 2 2" xfId="3554" xr:uid="{54E844F4-E2D2-407A-BC9F-7125B8860EA9}"/>
    <cellStyle name="40% - Accent2 3" xfId="2856" xr:uid="{8DFEB2DC-C7E1-4FDD-8A6C-B3AE2119FC6C}"/>
    <cellStyle name="40% - Accent3 2" xfId="115" xr:uid="{00000000-0005-0000-0000-000072000000}"/>
    <cellStyle name="40% - Accent3 2 2" xfId="474" xr:uid="{974D1466-E652-4437-93A3-712F3A2FEF1F}"/>
    <cellStyle name="40% - Accent3 2 2 2" xfId="3384" xr:uid="{1D71D3AF-3328-4F5B-AE51-C772FC811EBC}"/>
    <cellStyle name="40% - Accent3 2 2 2 2" xfId="3816" xr:uid="{F7595E82-DC67-48F3-B689-A343B9531A99}"/>
    <cellStyle name="40% - Accent3 2 2 3" xfId="3727" xr:uid="{700BA311-2835-4CEC-AC9D-B99D1D0E2672}"/>
    <cellStyle name="40% - Accent3 2 3" xfId="564" xr:uid="{EB87EF43-7454-4D17-A778-40493C68FFC1}"/>
    <cellStyle name="40% - Accent3 2 3 2" xfId="3427" xr:uid="{22541588-0176-40AE-9235-CC0221F82845}"/>
    <cellStyle name="40% - Accent3 2 3 3" xfId="3642" xr:uid="{1CB9271B-65F3-4C25-A4F5-DCB8276696A8}"/>
    <cellStyle name="40% - Accent3 2 4" xfId="3290" xr:uid="{4C5E6010-6CF8-4C6B-B9DA-B46CB37B47BC}"/>
    <cellStyle name="40% - Accent3 2 4 2" xfId="3556" xr:uid="{5BA2DAC7-F256-4274-8C09-98B4E568C886}"/>
    <cellStyle name="40% - Accent3 2 4 3" xfId="3769" xr:uid="{A19D76C6-2ED9-407C-B836-7F446265EBD2}"/>
    <cellStyle name="40% - Accent3 2 5" xfId="3319" xr:uid="{AA503736-4AB5-47F6-81F7-0889ACD0CA1A}"/>
    <cellStyle name="40% - Accent3 2 6" xfId="3579" xr:uid="{685EC4A1-DC9D-4B7F-8941-737C2C0CDA44}"/>
    <cellStyle name="40% - Accent3 3" xfId="2857" xr:uid="{4077C86A-53A5-4CED-9E6E-FC18EB978EA3}"/>
    <cellStyle name="40% - Accent4 2" xfId="3293" xr:uid="{391723A6-8E54-4223-9470-E154A20580B8}"/>
    <cellStyle name="40% - Accent4 2 2" xfId="3558" xr:uid="{6BEC16C4-67A6-4D7F-B552-435AF69286C2}"/>
    <cellStyle name="40% - Accent4 3" xfId="2858" xr:uid="{C1DA42AA-80AC-496E-9254-BC826FF654B6}"/>
    <cellStyle name="40% - Accent5 2" xfId="3296" xr:uid="{9D0467BB-DDE1-46F3-A832-880FDDCB0C96}"/>
    <cellStyle name="40% - Accent5 2 2" xfId="3560" xr:uid="{5D1148A4-D328-41D8-B416-8ACB213B8FEC}"/>
    <cellStyle name="40% - Accent5 3" xfId="2859" xr:uid="{9C4D63F0-EABB-4DE5-A700-DDB1ADC2136B}"/>
    <cellStyle name="40% - Accent6 2" xfId="3300" xr:uid="{BCE9B55E-63E1-4C74-9D13-06341FE53E21}"/>
    <cellStyle name="40% - Accent6 2 2" xfId="3562" xr:uid="{551CE1C8-592C-4B87-B6F7-DF5FCA59B354}"/>
    <cellStyle name="40% - Accent6 3" xfId="2860" xr:uid="{6ED7AB41-7064-40CE-B820-153E75731A1F}"/>
    <cellStyle name="40% - Akzent1" xfId="116" xr:uid="{00000000-0005-0000-0000-000073000000}"/>
    <cellStyle name="40% - Akzent2" xfId="117" xr:uid="{00000000-0005-0000-0000-000074000000}"/>
    <cellStyle name="40% - Akzent3" xfId="118" xr:uid="{00000000-0005-0000-0000-000075000000}"/>
    <cellStyle name="40% - Akzent4" xfId="119" xr:uid="{00000000-0005-0000-0000-000076000000}"/>
    <cellStyle name="40% - Akzent5" xfId="120" xr:uid="{00000000-0005-0000-0000-000077000000}"/>
    <cellStyle name="40% - Akzent6" xfId="121" xr:uid="{00000000-0005-0000-0000-000078000000}"/>
    <cellStyle name="40% - 강조색1 2" xfId="2861" xr:uid="{28E3DC03-FCE6-40E4-89FF-83C2AD2865CA}"/>
    <cellStyle name="40% - 강조색2 2" xfId="2862" xr:uid="{CD73F711-AE2C-4FBD-ACBC-0BA3375F5FA1}"/>
    <cellStyle name="40% - 강조색3 2" xfId="2863" xr:uid="{F8E5F0ED-8803-4313-83AD-1EAB5F217B6E}"/>
    <cellStyle name="40% - 강조색4 2" xfId="2864" xr:uid="{15219E44-8E19-4038-820D-91E191C37F51}"/>
    <cellStyle name="40% - 강조색5 2" xfId="2865" xr:uid="{129635E3-A506-49CD-B721-F29D65612C21}"/>
    <cellStyle name="40% - 강조색6 2" xfId="2866" xr:uid="{C83D5327-B5A6-45BD-8FCA-6BC54C52250E}"/>
    <cellStyle name="60% - Accent1 2" xfId="3283" xr:uid="{EBE1168B-4F3F-4A28-B8C0-F7EA55017BCE}"/>
    <cellStyle name="60% - Accent1 3" xfId="2867" xr:uid="{CC8C4C48-6D6B-42CD-A051-2974647B08A8}"/>
    <cellStyle name="60% - Accent2 2" xfId="3287" xr:uid="{A6618804-E782-4152-A40C-EB27078C1E15}"/>
    <cellStyle name="60% - Accent2 3" xfId="2868" xr:uid="{359BEA19-5F14-4E29-B9D2-159E1D54DF99}"/>
    <cellStyle name="60% - Accent3 2" xfId="122" xr:uid="{00000000-0005-0000-0000-000079000000}"/>
    <cellStyle name="60% - Accent3 3" xfId="2869" xr:uid="{3ED79A31-82DC-4B79-BCD8-46712DD79571}"/>
    <cellStyle name="60% - Accent4 2" xfId="123" xr:uid="{00000000-0005-0000-0000-00007A000000}"/>
    <cellStyle name="60% - Accent4 3" xfId="2870" xr:uid="{3DB56A18-48E6-4721-85F2-7D43F4D05F18}"/>
    <cellStyle name="60% - Accent5 2" xfId="3297" xr:uid="{E27413F8-6E9F-46AC-A39E-C45188273CFC}"/>
    <cellStyle name="60% - Accent5 3" xfId="2871" xr:uid="{BD6C6294-AD29-4088-BA59-FC5904D2B681}"/>
    <cellStyle name="60% - Accent6 2" xfId="124" xr:uid="{00000000-0005-0000-0000-00007B000000}"/>
    <cellStyle name="60% - Accent6 3" xfId="2872" xr:uid="{B1F99E89-BB1F-4C70-9CFF-C34A148BF8A8}"/>
    <cellStyle name="60% - Akzent1" xfId="125" xr:uid="{00000000-0005-0000-0000-00007C000000}"/>
    <cellStyle name="60% - Akzent2" xfId="126" xr:uid="{00000000-0005-0000-0000-00007D000000}"/>
    <cellStyle name="60% - Akzent3" xfId="127" xr:uid="{00000000-0005-0000-0000-00007E000000}"/>
    <cellStyle name="60% - Akzent4" xfId="128" xr:uid="{00000000-0005-0000-0000-00007F000000}"/>
    <cellStyle name="60% - Akzent5" xfId="129" xr:uid="{00000000-0005-0000-0000-000080000000}"/>
    <cellStyle name="60% - Akzent6" xfId="130" xr:uid="{00000000-0005-0000-0000-000081000000}"/>
    <cellStyle name="60% - 강조색1 2" xfId="2873" xr:uid="{D138DCD5-6868-4D17-951E-90C87D255DC9}"/>
    <cellStyle name="60% - 강조색2 2" xfId="2874" xr:uid="{16040656-3D0B-4E51-9614-E81CD3292CA0}"/>
    <cellStyle name="60% - 강조색3 2" xfId="2875" xr:uid="{34BE8AF9-7D10-4D27-B827-4A33D79CB048}"/>
    <cellStyle name="60% - 강조색4 2" xfId="2876" xr:uid="{873F58E7-7BFB-436F-92D8-507B1808A020}"/>
    <cellStyle name="60% - 강조색5 2" xfId="2877" xr:uid="{9B4F6651-D387-4356-9A39-24D6E3010544}"/>
    <cellStyle name="60% - 강조색6 2" xfId="2878" xr:uid="{051D4D0A-1A7B-4780-B5C9-454D98FAFC1D}"/>
    <cellStyle name="752131" xfId="2879" xr:uid="{09F540C9-FA02-41C9-BFD3-6080B50AC44F}"/>
    <cellStyle name="A_Normal Historical" xfId="2880" xr:uid="{F86F09A8-4163-4192-ABE1-8788F126D6D2}"/>
    <cellStyle name="A_SUM_Row Major" xfId="2881" xr:uid="{01D1A19D-50DC-4E2D-84D2-E648C08721BA}"/>
    <cellStyle name="A¨­￠￢￠O [0]_INQUIRY ￠?￥i¨u¡AAⓒ￢Aⓒª " xfId="2882" xr:uid="{83AC5C51-987A-4F53-955C-43FEDE6C13AC}"/>
    <cellStyle name="A¨­￠￢￠O_INQUIRY ￠?￥i¨u¡AAⓒ￢Aⓒª " xfId="2883" xr:uid="{6899D89C-F2C4-4243-9AB3-537C8DB70000}"/>
    <cellStyle name="Accent1 - 20%" xfId="131" xr:uid="{00000000-0005-0000-0000-000082000000}"/>
    <cellStyle name="Accent1 - 40%" xfId="132" xr:uid="{00000000-0005-0000-0000-000083000000}"/>
    <cellStyle name="Accent1 - 60%" xfId="133" xr:uid="{00000000-0005-0000-0000-000084000000}"/>
    <cellStyle name="Accent1 2" xfId="3280" xr:uid="{F144D22C-01D4-4816-897B-78845C4313AA}"/>
    <cellStyle name="Accent1 3" xfId="2884" xr:uid="{8131E737-A728-4DE8-9A45-E037D55A48B9}"/>
    <cellStyle name="Accent2 - 20%" xfId="134" xr:uid="{00000000-0005-0000-0000-000085000000}"/>
    <cellStyle name="Accent2 - 40%" xfId="135" xr:uid="{00000000-0005-0000-0000-000086000000}"/>
    <cellStyle name="Accent2 - 60%" xfId="136" xr:uid="{00000000-0005-0000-0000-000087000000}"/>
    <cellStyle name="Accent2 2" xfId="3284" xr:uid="{245AF747-472A-4A8C-9B98-32135D917C81}"/>
    <cellStyle name="Accent2 3" xfId="2885" xr:uid="{AD2324EE-2F70-4DAE-B642-03C600247CC3}"/>
    <cellStyle name="Accent3 - 20%" xfId="137" xr:uid="{00000000-0005-0000-0000-000088000000}"/>
    <cellStyle name="Accent3 - 40%" xfId="138" xr:uid="{00000000-0005-0000-0000-000089000000}"/>
    <cellStyle name="Accent3 - 60%" xfId="139" xr:uid="{00000000-0005-0000-0000-00008A000000}"/>
    <cellStyle name="Accent3 2" xfId="3288" xr:uid="{DC0251D9-AD1D-4E66-9F44-03CBECD7090B}"/>
    <cellStyle name="Accent3 3" xfId="2886" xr:uid="{27B1F451-A7E7-41EC-8697-1A5585F04D18}"/>
    <cellStyle name="Accent4 - 20%" xfId="140" xr:uid="{00000000-0005-0000-0000-00008B000000}"/>
    <cellStyle name="Accent4 - 40%" xfId="141" xr:uid="{00000000-0005-0000-0000-00008C000000}"/>
    <cellStyle name="Accent4 - 60%" xfId="142" xr:uid="{00000000-0005-0000-0000-00008D000000}"/>
    <cellStyle name="Accent4 2" xfId="3291" xr:uid="{B670CF77-829B-471F-91AE-EA0D5BD2873D}"/>
    <cellStyle name="Accent4 3" xfId="2887" xr:uid="{CDF84C7C-F763-43CD-ABFD-479E76F1D1CA}"/>
    <cellStyle name="Accent5 - 20%" xfId="143" xr:uid="{00000000-0005-0000-0000-00008E000000}"/>
    <cellStyle name="Accent5 - 40%" xfId="144" xr:uid="{00000000-0005-0000-0000-00008F000000}"/>
    <cellStyle name="Accent5 - 60%" xfId="145" xr:uid="{00000000-0005-0000-0000-000090000000}"/>
    <cellStyle name="Accent5 2" xfId="3294" xr:uid="{BED898E6-075C-4158-805B-A0C42BF5D45E}"/>
    <cellStyle name="Accent5 3" xfId="2888" xr:uid="{18CB5AC8-C420-4D3F-85DE-4D2EE90A4C61}"/>
    <cellStyle name="Accent6 - 20%" xfId="146" xr:uid="{00000000-0005-0000-0000-000091000000}"/>
    <cellStyle name="Accent6 - 40%" xfId="147" xr:uid="{00000000-0005-0000-0000-000092000000}"/>
    <cellStyle name="Accent6 - 60%" xfId="148" xr:uid="{00000000-0005-0000-0000-000093000000}"/>
    <cellStyle name="Accent6 2" xfId="3298" xr:uid="{6FD35DD7-C717-4FD4-BB7A-EBE45FCE2DB3}"/>
    <cellStyle name="Accent6 3" xfId="2889" xr:uid="{85BBAED4-8925-4FFD-A767-6C68F8F27E5B}"/>
    <cellStyle name="Account[0]" xfId="2890" xr:uid="{01380B4E-BB39-4D56-9CD0-3B3E55C60DDE}"/>
    <cellStyle name="Account[1]" xfId="2891" xr:uid="{12DF8DAB-02F7-4473-B310-99922EF27244}"/>
    <cellStyle name="Account[1] 2" xfId="2892" xr:uid="{5FAB5354-6DD1-4753-A800-8C5E2E581E96}"/>
    <cellStyle name="Account[2]" xfId="2893" xr:uid="{4D344466-22F5-4BB7-B9E2-4BE584FC51DE}"/>
    <cellStyle name="Account[2] 2" xfId="2894" xr:uid="{1188EDE3-4EF4-4F60-B0F2-FC958429996D}"/>
    <cellStyle name="Account[3]" xfId="2895" xr:uid="{B73ADA62-3ADC-41EA-87D1-725A1F8E0FA8}"/>
    <cellStyle name="ÅëÈ­ [0]_¿ì¹°Åë" xfId="149" xr:uid="{00000000-0005-0000-0000-000094000000}"/>
    <cellStyle name="AeE­ [0]_INQUIRY ¿µ¾÷AßAø " xfId="150" xr:uid="{00000000-0005-0000-0000-000095000000}"/>
    <cellStyle name="ÅëÈ­_¿ì¹°Åë" xfId="151" xr:uid="{00000000-0005-0000-0000-000096000000}"/>
    <cellStyle name="AeE­_INQUIRY ¿µ¾÷AßAø " xfId="152" xr:uid="{00000000-0005-0000-0000-000097000000}"/>
    <cellStyle name="AeE¡ⓒ [0]_INQUIRY ￠?￥i¨u¡AAⓒ￢Aⓒª " xfId="2896" xr:uid="{74D75F68-63D7-4B65-B97B-2241FDAA348A}"/>
    <cellStyle name="AeE¡ⓒ_INQUIRY ￠?￥i¨u¡AAⓒ￢Aⓒª " xfId="2897" xr:uid="{536FA86B-6DE3-431D-8243-3F1BE0C49C91}"/>
    <cellStyle name="Aggregate" xfId="2898" xr:uid="{FB1EF688-7527-49EC-A270-2FF0D0B2BB57}"/>
    <cellStyle name="Akzent1" xfId="153" xr:uid="{00000000-0005-0000-0000-000098000000}"/>
    <cellStyle name="Akzent2" xfId="154" xr:uid="{00000000-0005-0000-0000-000099000000}"/>
    <cellStyle name="Akzent3" xfId="155" xr:uid="{00000000-0005-0000-0000-00009A000000}"/>
    <cellStyle name="Akzent4" xfId="156" xr:uid="{00000000-0005-0000-0000-00009B000000}"/>
    <cellStyle name="Akzent5" xfId="157" xr:uid="{00000000-0005-0000-0000-00009C000000}"/>
    <cellStyle name="Akzent6" xfId="158" xr:uid="{00000000-0005-0000-0000-00009D000000}"/>
    <cellStyle name="Analyst Name" xfId="2899" xr:uid="{AFA8A87E-02FE-46BE-AFA5-61DB800AF818}"/>
    <cellStyle name="ÄÞ¸¶ [0]_¿ì¹°Åë" xfId="159" xr:uid="{00000000-0005-0000-0000-00009E000000}"/>
    <cellStyle name="AÞ¸¶ [0]_INQUIRY ¿?¾÷AßAø " xfId="160" xr:uid="{00000000-0005-0000-0000-00009F000000}"/>
    <cellStyle name="ÄÞ¸¶_¿ì¹°Åë" xfId="161" xr:uid="{00000000-0005-0000-0000-0000A0000000}"/>
    <cellStyle name="AÞ¸¶_INQUIRY ¿?¾÷AßAø " xfId="162" xr:uid="{00000000-0005-0000-0000-0000A1000000}"/>
    <cellStyle name="Ausgabe" xfId="163" xr:uid="{00000000-0005-0000-0000-0000A2000000}"/>
    <cellStyle name="Ausgabe 2" xfId="3320" xr:uid="{5EC353DA-79A8-422E-9969-21C6F0A0599D}"/>
    <cellStyle name="AutoFormat-Optionen" xfId="164" xr:uid="{00000000-0005-0000-0000-0000A3000000}"/>
    <cellStyle name="b" xfId="2900" xr:uid="{00BD6173-07A2-4214-BF68-51A5802F1EFB}"/>
    <cellStyle name="Bad" xfId="447" builtinId="27"/>
    <cellStyle name="Bad 2" xfId="3269" xr:uid="{274581D9-F281-41CA-A333-EF6B8FCC7996}"/>
    <cellStyle name="Bad 3" xfId="2901" xr:uid="{77AD0AC5-246D-4683-BC48-D6A4BED7F054}"/>
    <cellStyle name="BALANCE VER" xfId="2902" xr:uid="{93D59B3F-4C46-4B83-A902-05836D3D9008}"/>
    <cellStyle name="BALANCE VER 2" xfId="2903" xr:uid="{5E8ADCF8-E7B8-4E92-B49B-2D1136470C7A}"/>
    <cellStyle name="Berechnung" xfId="165" xr:uid="{00000000-0005-0000-0000-0000A4000000}"/>
    <cellStyle name="Berechnung 2" xfId="3321" xr:uid="{7E72AA8F-80A8-4667-A1D8-F242B41FB915}"/>
    <cellStyle name="blank" xfId="2904" xr:uid="{7A7EFA91-04A0-4958-8817-94B0EDCF4D3B}"/>
    <cellStyle name="blp_column_header" xfId="3261" xr:uid="{4FE7C183-4603-4897-9DF1-C0BBADB804AC}"/>
    <cellStyle name="Blue" xfId="2905" xr:uid="{58F44F60-74CF-4436-A8A1-999D09AEBCDD}"/>
    <cellStyle name="Body_$Dollars" xfId="2906" xr:uid="{916BA354-E70D-41A1-BDDA-F9674A699694}"/>
    <cellStyle name="C?AØ_¿?¾÷CoE² " xfId="166" xr:uid="{00000000-0005-0000-0000-0000A5000000}"/>
    <cellStyle name="c_HardInc " xfId="2907" xr:uid="{2C9418E6-45A2-4F56-B7A7-6697E47C5AE4}"/>
    <cellStyle name="C¡IA¨ª_¡ic¨u¡A¨￢I¨￢¡Æ AN¡Æe " xfId="2908" xr:uid="{FA306C20-4309-445F-BA5C-CD901B3F87E2}"/>
    <cellStyle name="Ç¥ÁØ_´çÃÊ±¸ÀÔ»ý»ê" xfId="167" xr:uid="{00000000-0005-0000-0000-0000A6000000}"/>
    <cellStyle name="C￥AØ_¿μ¾÷CoE² " xfId="168" xr:uid="{00000000-0005-0000-0000-0000A7000000}"/>
    <cellStyle name="Ç¥ÁØ_laroux" xfId="2909" xr:uid="{6A04ED5E-7968-48D4-970A-13D1AF1DC58A}"/>
    <cellStyle name="Calc Currency (0)" xfId="169" xr:uid="{00000000-0005-0000-0000-0000A8000000}"/>
    <cellStyle name="Calc Currency (0) 2" xfId="2910" xr:uid="{FDBE0D63-3342-4BA5-B28C-EDC9B6161827}"/>
    <cellStyle name="Calc Currency (2)" xfId="170" xr:uid="{00000000-0005-0000-0000-0000A9000000}"/>
    <cellStyle name="Calc Percent (0)" xfId="171" xr:uid="{00000000-0005-0000-0000-0000AA000000}"/>
    <cellStyle name="Calc Percent (1)" xfId="172" xr:uid="{00000000-0005-0000-0000-0000AB000000}"/>
    <cellStyle name="Calc Percent (2)" xfId="173" xr:uid="{00000000-0005-0000-0000-0000AC000000}"/>
    <cellStyle name="Calc Units (0)" xfId="174" xr:uid="{00000000-0005-0000-0000-0000AD000000}"/>
    <cellStyle name="Calc Units (1)" xfId="175" xr:uid="{00000000-0005-0000-0000-0000AE000000}"/>
    <cellStyle name="Calc Units (2)" xfId="176" xr:uid="{00000000-0005-0000-0000-0000AF000000}"/>
    <cellStyle name="Calculation 2" xfId="3273" xr:uid="{49F9124A-5A2B-4EEB-BB8D-64EEBF1668D3}"/>
    <cellStyle name="Calculation 3" xfId="2911" xr:uid="{5EBEBDFD-3296-4642-819F-7ABD44368E9E}"/>
    <cellStyle name="category" xfId="177" xr:uid="{00000000-0005-0000-0000-0000B0000000}"/>
    <cellStyle name="category 2" xfId="2912" xr:uid="{3A6CC4C1-7AB0-4AE2-A1E0-034E02E11AED}"/>
    <cellStyle name="Changeable" xfId="2913" xr:uid="{DAC7BEAB-79F2-482B-B9B7-B4A38FE755AE}"/>
    <cellStyle name="Chart Box" xfId="2914" xr:uid="{134C4070-7F89-41B0-8B34-E48EC17C261F}"/>
    <cellStyle name="Check Cell 2" xfId="3275" xr:uid="{7EB5C481-FB56-4632-82D2-CD7D33829F2A}"/>
    <cellStyle name="Check Cell 3" xfId="2915" xr:uid="{F7F0215D-E8D3-4B67-B6A9-4C64A6E44AA9}"/>
    <cellStyle name="CHUONG" xfId="178" xr:uid="{00000000-0005-0000-0000-0000B1000000}"/>
    <cellStyle name="Co. Names" xfId="2916" xr:uid="{FB76D50A-7642-4CBA-8455-A576424D5563}"/>
    <cellStyle name="Codes" xfId="2917" xr:uid="{40C1223D-B667-471A-B38E-F69C54B053CF}"/>
    <cellStyle name="COL HEADINGS" xfId="2918" xr:uid="{4FB982B0-2B86-45BB-A547-7D254135D8F0}"/>
    <cellStyle name="Comma" xfId="179" builtinId="3"/>
    <cellStyle name="Comma (0)" xfId="2919" xr:uid="{F5B6C406-297A-4E1C-9820-5B0E81D30471}"/>
    <cellStyle name="Comma [00]" xfId="180" xr:uid="{00000000-0005-0000-0000-0000B3000000}"/>
    <cellStyle name="Comma 10" xfId="181" xr:uid="{00000000-0005-0000-0000-0000B4000000}"/>
    <cellStyle name="Comma 10 2" xfId="477" xr:uid="{0D79FC46-9BCB-4B73-9A53-B1639EDC5500}"/>
    <cellStyle name="Comma 10 2 2" xfId="3385" xr:uid="{59315522-7961-4B32-81AB-CFE84597119F}"/>
    <cellStyle name="Comma 10 2 2 2" xfId="3817" xr:uid="{D0FC78CF-719D-47C2-827F-38AC585EB51A}"/>
    <cellStyle name="Comma 10 2 3" xfId="3728" xr:uid="{8AC646A8-8B8C-4925-B1FC-B28A6F46A2DB}"/>
    <cellStyle name="Comma 10 3" xfId="566" xr:uid="{EE0338A8-023D-480E-BA05-7594E56EAE13}"/>
    <cellStyle name="Comma 10 3 2" xfId="3428" xr:uid="{52CC5B94-075B-4ACE-BDEC-4DB2336511B4}"/>
    <cellStyle name="Comma 10 3 3" xfId="3643" xr:uid="{78BB6334-0F3A-417B-878A-CE3AB7CFA33E}"/>
    <cellStyle name="Comma 10 4" xfId="3302" xr:uid="{9FE224C3-C1B3-4CB7-A851-577EA55AAF8B}"/>
    <cellStyle name="Comma 10 4 2" xfId="3564" xr:uid="{6734B90B-CCB1-439C-AD33-8F79D9B9231C}"/>
    <cellStyle name="Comma 10 4 3" xfId="3771" xr:uid="{913D8965-E1B1-47F6-B764-E34E2CC3A9A3}"/>
    <cellStyle name="Comma 10 5" xfId="3323" xr:uid="{A39531D2-FDFB-4684-B116-122E64EDCB5B}"/>
    <cellStyle name="Comma 10 6" xfId="3581" xr:uid="{AB369505-8B85-428E-B833-D1EBE5E85DF3}"/>
    <cellStyle name="Comma 11" xfId="182" xr:uid="{00000000-0005-0000-0000-0000B5000000}"/>
    <cellStyle name="Comma 11 2" xfId="478" xr:uid="{84CA26F0-AA7B-4229-943D-7D9A74DA4C7D}"/>
    <cellStyle name="Comma 11 2 2" xfId="3386" xr:uid="{48B1AA0F-B486-4D19-83B6-F154B9D203FC}"/>
    <cellStyle name="Comma 11 2 2 2" xfId="3818" xr:uid="{84E9C3C6-221E-41A5-9D52-24FEE1FA7FF6}"/>
    <cellStyle name="Comma 11 2 3" xfId="3729" xr:uid="{D3FC4085-22D8-4DC9-9F7C-FDEA3BED1A04}"/>
    <cellStyle name="Comma 11 3" xfId="567" xr:uid="{C77EFD3D-28BC-4CF3-AC5D-F442525F342B}"/>
    <cellStyle name="Comma 11 3 2" xfId="3429" xr:uid="{3E5661F4-5454-4D0C-8A25-1D9F8CD1ECED}"/>
    <cellStyle name="Comma 11 3 3" xfId="3644" xr:uid="{FB208B54-484E-4E59-89EC-1634844FCC12}"/>
    <cellStyle name="Comma 11 4" xfId="3324" xr:uid="{05200A0E-6D83-4AE8-8FDE-652950ACF3DB}"/>
    <cellStyle name="Comma 11 4 2" xfId="3772" xr:uid="{4B8313B3-A201-4984-9B51-8F92E7B93E5D}"/>
    <cellStyle name="Comma 11 5" xfId="3582" xr:uid="{9EA27501-6B41-493A-B1A6-9C86A911E01E}"/>
    <cellStyle name="Comma 12" xfId="183" xr:uid="{00000000-0005-0000-0000-0000B6000000}"/>
    <cellStyle name="Comma 12 2" xfId="479" xr:uid="{229FA22A-32F3-474D-83CC-F68644A5D4FB}"/>
    <cellStyle name="Comma 12 2 2" xfId="3387" xr:uid="{0670CE2A-722D-46F9-8F26-F139C0C1698F}"/>
    <cellStyle name="Comma 12 2 2 2" xfId="3819" xr:uid="{51F36756-5EB1-4B0F-89B6-4FBD0ED97CDD}"/>
    <cellStyle name="Comma 12 2 3" xfId="3730" xr:uid="{3FB66FA4-3327-4ECA-A9A6-C006510AD7A4}"/>
    <cellStyle name="Comma 12 3" xfId="568" xr:uid="{626DE1D7-9DE4-487F-8826-4C36FCAFCAF8}"/>
    <cellStyle name="Comma 12 3 2" xfId="3430" xr:uid="{2EAF1B33-F92F-4C6E-8E8F-FB62DD40B9C4}"/>
    <cellStyle name="Comma 12 3 3" xfId="3645" xr:uid="{61373678-59D1-4973-BBBC-D6721D5D5936}"/>
    <cellStyle name="Comma 12 4" xfId="3325" xr:uid="{0535DC40-2845-44A1-A7B9-CDA8593E0548}"/>
    <cellStyle name="Comma 12 4 2" xfId="3773" xr:uid="{C429662E-D8EC-4243-9F4D-6782B1E938D3}"/>
    <cellStyle name="Comma 12 5" xfId="3583" xr:uid="{9A854802-3D25-4A45-AB3D-2762CB180B15}"/>
    <cellStyle name="Comma 13" xfId="184" xr:uid="{00000000-0005-0000-0000-0000B7000000}"/>
    <cellStyle name="Comma 13 2" xfId="480" xr:uid="{AB615362-4678-4647-9C74-C09FA2C4A5BE}"/>
    <cellStyle name="Comma 13 2 2" xfId="3388" xr:uid="{6F756DCF-8EE6-484B-A328-1972080CF1A4}"/>
    <cellStyle name="Comma 13 2 2 2" xfId="3820" xr:uid="{B1B70197-D7D3-4E45-A221-BA32BF3B6755}"/>
    <cellStyle name="Comma 13 2 3" xfId="3731" xr:uid="{799AB078-3923-4F25-AD6C-D56FD4BEFD82}"/>
    <cellStyle name="Comma 13 3" xfId="569" xr:uid="{6814295D-583A-4402-83F0-A7A64F3A32A2}"/>
    <cellStyle name="Comma 13 3 2" xfId="3431" xr:uid="{EFDC68E9-675C-4305-B547-A05DBAC460B7}"/>
    <cellStyle name="Comma 13 3 3" xfId="3646" xr:uid="{FAEEBB1C-C500-4AB4-AC1B-F75F63F4885A}"/>
    <cellStyle name="Comma 13 4" xfId="3326" xr:uid="{95603A8B-C3E8-4D7F-9D16-A1B211E0744F}"/>
    <cellStyle name="Comma 13 4 2" xfId="3774" xr:uid="{6CD5AD80-BC2D-4F81-A09A-B4D2B396BB46}"/>
    <cellStyle name="Comma 13 5" xfId="3584" xr:uid="{B44FCEA5-8ACF-40AC-B176-04FF0379E77A}"/>
    <cellStyle name="Comma 14" xfId="436" xr:uid="{83D3001E-A78E-462A-B6BD-DA786CF2B027}"/>
    <cellStyle name="Comma 14 2" xfId="547" xr:uid="{2079BE5F-CC0B-46DB-AE06-DAB9DFD339FB}"/>
    <cellStyle name="Comma 14 2 2" xfId="3411" xr:uid="{547ED501-1927-47EE-B8F2-573373F20D4B}"/>
    <cellStyle name="Comma 14 2 2 2" xfId="3843" xr:uid="{7438C0E7-2AA2-4660-AEF9-B974C1AB1F4A}"/>
    <cellStyle name="Comma 14 2 3" xfId="3754" xr:uid="{E7E2E882-CEF7-4AFF-91C3-A27678043756}"/>
    <cellStyle name="Comma 14 3" xfId="595" xr:uid="{E43FBC90-F170-49E4-B3E2-83CB69159930}"/>
    <cellStyle name="Comma 14 3 2" xfId="3455" xr:uid="{3B91055D-E309-4CDD-8789-89DBCFAD947D}"/>
    <cellStyle name="Comma 14 3 3" xfId="3708" xr:uid="{996E6163-EF04-4B15-B603-96215A056A7E}"/>
    <cellStyle name="Comma 14 4" xfId="3365" xr:uid="{D2E258FC-1EFF-405F-AC4E-B0FFA3F1AF48}"/>
    <cellStyle name="Comma 14 4 2" xfId="3797" xr:uid="{A7C7EA51-000F-4899-928B-1C312486D3BF}"/>
    <cellStyle name="Comma 14 5" xfId="3609" xr:uid="{A129EBAD-CD68-49D3-8E5E-F709A5661489}"/>
    <cellStyle name="Comma 15" xfId="439" xr:uid="{E3245A95-FF3C-4AC3-8054-0F5F2B49577A}"/>
    <cellStyle name="Comma 15 2" xfId="550" xr:uid="{A4D1FB87-363E-4469-908D-6F997C3866B6}"/>
    <cellStyle name="Comma 15 2 2" xfId="3414" xr:uid="{52254DF5-A316-43E1-8948-9DB5205B0940}"/>
    <cellStyle name="Comma 15 2 2 2" xfId="3846" xr:uid="{2BF2E63A-0B7B-4A00-9D6B-25E5A682E51F}"/>
    <cellStyle name="Comma 15 2 3" xfId="3757" xr:uid="{7271E633-38B1-4155-9163-3E354C771E94}"/>
    <cellStyle name="Comma 15 3" xfId="598" xr:uid="{7474215C-6754-4DCE-91C8-B8AEE461FAA2}"/>
    <cellStyle name="Comma 15 3 2" xfId="3458" xr:uid="{0D4408B1-3B68-4C5A-8E36-67A0DE1A638C}"/>
    <cellStyle name="Comma 15 3 3" xfId="3711" xr:uid="{7EF8CC85-25CD-458A-AE76-05490BF90B70}"/>
    <cellStyle name="Comma 15 4" xfId="3368" xr:uid="{06A0DA27-EBFF-489F-852C-AC3037C013C7}"/>
    <cellStyle name="Comma 15 4 2" xfId="3800" xr:uid="{CE299D91-7D76-4CF1-B957-6686F7B982A1}"/>
    <cellStyle name="Comma 15 5" xfId="3612" xr:uid="{06A4CE20-F308-42F5-9DBF-214AE20426FE}"/>
    <cellStyle name="Comma 16" xfId="443" xr:uid="{06582895-C65F-4065-B09E-558BC7312676}"/>
    <cellStyle name="Comma 16 2" xfId="553" xr:uid="{5039136F-0039-4B68-9864-54E1D65584DC}"/>
    <cellStyle name="Comma 16 2 2" xfId="3417" xr:uid="{57D4A1A0-DFE5-4CA7-9BE9-CFEE55866339}"/>
    <cellStyle name="Comma 16 2 2 2" xfId="3849" xr:uid="{A395B5C8-C312-4A0A-BB84-22D9246B4D61}"/>
    <cellStyle name="Comma 16 2 3" xfId="3760" xr:uid="{B4376A3A-7B19-4830-8BE6-13120D4A6FF5}"/>
    <cellStyle name="Comma 16 3" xfId="601" xr:uid="{8561423D-06F3-4644-A4A8-EF0A3D7C188B}"/>
    <cellStyle name="Comma 16 3 2" xfId="3461" xr:uid="{7884F8B8-0DEE-4751-9DD4-696CEA4B45CB}"/>
    <cellStyle name="Comma 16 3 3" xfId="3714" xr:uid="{CE2CFF4B-5A96-4C9E-8288-DE32748CD404}"/>
    <cellStyle name="Comma 16 4" xfId="3371" xr:uid="{34327E6B-D9CD-4129-B8DF-7D6CA78708EC}"/>
    <cellStyle name="Comma 16 4 2" xfId="3803" xr:uid="{7B9A7BA7-C5C5-4B09-AF1D-AB0AA46DA43E}"/>
    <cellStyle name="Comma 16 5" xfId="3615" xr:uid="{5E0D2725-E856-4FD1-AB70-A42D84631E5E}"/>
    <cellStyle name="Comma 17" xfId="446" xr:uid="{2C50727D-FF4C-4D29-AD22-358195D66613}"/>
    <cellStyle name="Comma 17 2" xfId="556" xr:uid="{B0B4EE79-814B-46AC-B33C-44655211F66B}"/>
    <cellStyle name="Comma 17 2 2" xfId="3420" xr:uid="{CEFA9894-12B2-45A9-8085-64CFF5E5E67C}"/>
    <cellStyle name="Comma 17 2 2 2" xfId="3852" xr:uid="{68E58EC5-45D9-47F8-B5BF-AA25F3DB638B}"/>
    <cellStyle name="Comma 17 2 3" xfId="3763" xr:uid="{FA61DE27-F632-468D-A05A-CF3E7ADB5443}"/>
    <cellStyle name="Comma 17 3" xfId="604" xr:uid="{CD3C80C7-2B6B-420B-89F4-3DE623A3788D}"/>
    <cellStyle name="Comma 17 3 2" xfId="3464" xr:uid="{059CECFB-E15E-4B80-88B4-F245E6E01E0E}"/>
    <cellStyle name="Comma 17 3 3" xfId="3717" xr:uid="{0D9AAF13-3145-4DEA-B01C-C8E80897ABB0}"/>
    <cellStyle name="Comma 17 4" xfId="3374" xr:uid="{E21E1246-452E-4860-9744-BBE5CC6FC356}"/>
    <cellStyle name="Comma 17 4 2" xfId="3806" xr:uid="{13673C94-37B4-4EED-92C3-02C90A040BA4}"/>
    <cellStyle name="Comma 17 5" xfId="3618" xr:uid="{9C42018B-7956-4E72-82AF-31D481F91491}"/>
    <cellStyle name="Comma 18" xfId="449" xr:uid="{B9BB2FA5-A62D-4131-BC65-D21C8DB442F6}"/>
    <cellStyle name="Comma 18 2" xfId="3376" xr:uid="{D34F3C09-1ABF-474E-8EA1-968B2574C5B9}"/>
    <cellStyle name="Comma 18 2 2" xfId="3719" xr:uid="{E302C1D7-CFAA-4E84-BEC0-E6A51C611823}"/>
    <cellStyle name="Comma 18 3" xfId="3808" xr:uid="{11441047-9B6C-4417-B3A8-1F8DB133A476}"/>
    <cellStyle name="Comma 18 4" xfId="3620" xr:uid="{A0D24F93-953F-4A46-8605-0487FB908FC2}"/>
    <cellStyle name="Comma 19" xfId="452" xr:uid="{76A35B44-B9FE-428E-ADAB-1066E3BA93D5}"/>
    <cellStyle name="Comma 19 2" xfId="3379" xr:uid="{CA1201F0-8BE7-4CE0-87BA-A947B5ECF45D}"/>
    <cellStyle name="Comma 19 2 2" xfId="3722" xr:uid="{04C2A1CC-D342-49C7-AB87-9CA64701BE4F}"/>
    <cellStyle name="Comma 19 3" xfId="3811" xr:uid="{EA702C85-4D16-4A7D-A9DB-0274F177A70F}"/>
    <cellStyle name="Comma 19 4" xfId="3623" xr:uid="{E488B146-3F86-401B-AA64-71D5FA90FAFD}"/>
    <cellStyle name="Comma 2" xfId="185" xr:uid="{00000000-0005-0000-0000-0000B8000000}"/>
    <cellStyle name="Comma 2 2" xfId="186" xr:uid="{00000000-0005-0000-0000-0000B9000000}"/>
    <cellStyle name="Comma 2 2 2" xfId="482" xr:uid="{39769CD8-81CA-4A05-AEFC-3F587B25351E}"/>
    <cellStyle name="Comma 2 2 3" xfId="3648" xr:uid="{A68A3323-C5AA-4524-ABE6-E4AFA6C0594F}"/>
    <cellStyle name="Comma 2 3" xfId="187" xr:uid="{00000000-0005-0000-0000-0000BA000000}"/>
    <cellStyle name="Comma 2 3 2" xfId="483" xr:uid="{AECA1A84-F41C-43BE-A3FE-C622E30C3A16}"/>
    <cellStyle name="Comma 2 3 3" xfId="3649" xr:uid="{312B3E61-1430-44FF-81B4-ED85999B6128}"/>
    <cellStyle name="Comma 2 4" xfId="440" xr:uid="{D4539DB3-FA87-410F-89E2-FBE6A4D3D6F3}"/>
    <cellStyle name="Comma 2 4 2" xfId="551" xr:uid="{60E9D58C-D0A5-4C38-B0A8-78694B95116E}"/>
    <cellStyle name="Comma 2 4 2 2" xfId="3415" xr:uid="{BF2BEDAE-7070-4C38-83F9-C0F966AC4A08}"/>
    <cellStyle name="Comma 2 4 2 2 2" xfId="3847" xr:uid="{65E455F3-30F4-4721-A2C5-F0860748F5DE}"/>
    <cellStyle name="Comma 2 4 2 3" xfId="3758" xr:uid="{619F11B5-4043-4D6B-860A-35EDBBA70B10}"/>
    <cellStyle name="Comma 2 4 3" xfId="599" xr:uid="{C4B39C37-B1AD-4D28-B62B-7EAF7FC4A6E4}"/>
    <cellStyle name="Comma 2 4 3 2" xfId="3459" xr:uid="{B0867BCA-FAC1-4779-8390-36869B6520E3}"/>
    <cellStyle name="Comma 2 4 3 3" xfId="3712" xr:uid="{5F95E999-8F9B-4B30-816B-7C3C7C048DEF}"/>
    <cellStyle name="Comma 2 4 4" xfId="3369" xr:uid="{0F837D11-4749-460C-AE04-4B16F68D203A}"/>
    <cellStyle name="Comma 2 4 4 2" xfId="3801" xr:uid="{AA08E1F8-FD26-48B8-8410-8E1405A81290}"/>
    <cellStyle name="Comma 2 4 5" xfId="3613" xr:uid="{21AC7F99-0A9E-4221-ADEF-391E836F0652}"/>
    <cellStyle name="Comma 2 5" xfId="444" xr:uid="{BA189C02-F645-4A8B-8B92-0669A87263EA}"/>
    <cellStyle name="Comma 2 5 2" xfId="554" xr:uid="{A82CF9F2-D601-4CCD-BA2C-19AA13FFBD52}"/>
    <cellStyle name="Comma 2 5 2 2" xfId="3418" xr:uid="{29EF6FA7-76DF-4992-9492-34FEF45A91A2}"/>
    <cellStyle name="Comma 2 5 2 2 2" xfId="3850" xr:uid="{12E2D429-F923-4379-BF1A-0F2A100E20DD}"/>
    <cellStyle name="Comma 2 5 2 3" xfId="3761" xr:uid="{29A651FB-C165-40BD-83B9-F64671B96E9E}"/>
    <cellStyle name="Comma 2 5 3" xfId="602" xr:uid="{D7A73368-1A37-4475-BA18-7753DBAE8D52}"/>
    <cellStyle name="Comma 2 5 3 2" xfId="3462" xr:uid="{A3E2E519-D6D7-47D7-8610-31A96546E59A}"/>
    <cellStyle name="Comma 2 5 3 3" xfId="3715" xr:uid="{7DA9B6C2-A897-4FFA-BB26-81CE8D005AC9}"/>
    <cellStyle name="Comma 2 5 4" xfId="3372" xr:uid="{4BDA46AF-8CCE-4ED1-B0A0-2B934978BC6E}"/>
    <cellStyle name="Comma 2 5 4 2" xfId="3804" xr:uid="{36AAD64E-41A7-488B-95D3-53A29F2BC492}"/>
    <cellStyle name="Comma 2 5 5" xfId="3616" xr:uid="{F1DC0206-9DDB-4D08-9336-2A5B1C688E75}"/>
    <cellStyle name="Comma 2 6" xfId="450" xr:uid="{0304FEDB-3765-41E0-9578-1D8150BC7076}"/>
    <cellStyle name="Comma 2 6 2" xfId="3377" xr:uid="{7B587D1A-3B28-4471-9D08-FDE2A239B71F}"/>
    <cellStyle name="Comma 2 6 2 2" xfId="3720" xr:uid="{01B10E87-E17D-406E-A0CC-91A36D0F7149}"/>
    <cellStyle name="Comma 2 6 3" xfId="3809" xr:uid="{8D8ACA2F-AB15-41D1-8CBA-08E79D9F59CE}"/>
    <cellStyle name="Comma 2 6 4" xfId="3621" xr:uid="{064353E5-646B-4673-99DF-8E3723BAEE0D}"/>
    <cellStyle name="Comma 2 7" xfId="481" xr:uid="{B1056781-F601-4188-8335-79459DFEBD93}"/>
    <cellStyle name="Comma 2 8" xfId="2920" xr:uid="{2F80194E-0698-4238-9F0E-5979C48B2529}"/>
    <cellStyle name="Comma 2 8 2" xfId="3647" xr:uid="{1D73E9F6-2AC7-4D91-A4BD-A2A4335F1B89}"/>
    <cellStyle name="Comma 2 9" xfId="3307" xr:uid="{1D91B2A1-F443-47A9-9E84-07E2725936CD}"/>
    <cellStyle name="Comma 2 9 2" xfId="3567" xr:uid="{9E4A16B2-5798-408D-9DF3-DC128E0D4C20}"/>
    <cellStyle name="Comma 20" xfId="476" xr:uid="{2CC5912C-4270-4A46-985E-01D71EBDCFB5}"/>
    <cellStyle name="Comma 21" xfId="501" xr:uid="{0280EA10-0F14-4FD2-B47A-6DD87290E71B}"/>
    <cellStyle name="Comma 22" xfId="565" xr:uid="{15927C3C-FA51-402E-9E8A-57A6D648CE20}"/>
    <cellStyle name="Comma 23" xfId="3304" xr:uid="{F43046E8-E50A-4F29-BA98-C21DA593ADAF}"/>
    <cellStyle name="Comma 23 2" xfId="3770" xr:uid="{50B38FF7-8238-47F3-AED2-BE23AAC4A05F}"/>
    <cellStyle name="Comma 24" xfId="3306" xr:uid="{99890EC4-7331-433A-900B-FBB05FAC1BC6}"/>
    <cellStyle name="Comma 24 2" xfId="3566" xr:uid="{3CFCA434-7153-40A6-A376-52AD1C4C8CF9}"/>
    <cellStyle name="Comma 25" xfId="3309" xr:uid="{0FC0699C-DD43-4383-9CD9-2803F394B59A}"/>
    <cellStyle name="Comma 25 2" xfId="3569" xr:uid="{7C206C45-B896-447E-BB53-D3B558D90016}"/>
    <cellStyle name="Comma 26" xfId="3310" xr:uid="{EBA66E6D-A8E9-4577-8883-D66D7395A54A}"/>
    <cellStyle name="Comma 26 2" xfId="3570" xr:uid="{A47A48A2-6142-4F04-B576-630D416941C5}"/>
    <cellStyle name="Comma 27" xfId="3313" xr:uid="{BAB6C170-BF36-4032-83D5-F410C1A4B9E2}"/>
    <cellStyle name="Comma 27 2" xfId="3573" xr:uid="{FFC1534F-03C2-4409-A189-19D7C0C43D9E}"/>
    <cellStyle name="Comma 28" xfId="3322" xr:uid="{4CB5F80F-44DB-42CC-82FC-E0CDE53C1306}"/>
    <cellStyle name="Comma 29" xfId="3580" xr:uid="{58CCD7CC-E338-4CAD-8D40-60E0386E9B2D}"/>
    <cellStyle name="Comma 3" xfId="188" xr:uid="{00000000-0005-0000-0000-0000BB000000}"/>
    <cellStyle name="Comma 3 2" xfId="189" xr:uid="{00000000-0005-0000-0000-0000BC000000}"/>
    <cellStyle name="Comma 3 2 2" xfId="485" xr:uid="{94E6D251-A0F1-43EF-88C7-EB29E93AB09D}"/>
    <cellStyle name="Comma 3 2 3" xfId="3651" xr:uid="{1EDCDD89-07C2-4003-B126-B10234022A5B}"/>
    <cellStyle name="Comma 3 3" xfId="484" xr:uid="{0D236F55-B875-4F11-AE19-0DBDAAF240DD}"/>
    <cellStyle name="Comma 3 3 2" xfId="3389" xr:uid="{26A2833D-AEFC-4644-9384-0F0E19ECEFD9}"/>
    <cellStyle name="Comma 3 3 2 2" xfId="3821" xr:uid="{60904F81-57A6-4CF3-AA07-B57B3612853C}"/>
    <cellStyle name="Comma 3 3 3" xfId="3732" xr:uid="{DA37B961-C571-4C01-9230-87937F58755E}"/>
    <cellStyle name="Comma 3 4" xfId="570" xr:uid="{00EE9C35-AB19-4DB7-9495-A59735D6BFEB}"/>
    <cellStyle name="Comma 3 4 2" xfId="3432" xr:uid="{884CAA5D-93D0-4CA1-B308-FFE469E7E3C5}"/>
    <cellStyle name="Comma 3 4 3" xfId="3650" xr:uid="{9FB3E93D-9E53-4DCE-9216-DB3C7E83150F}"/>
    <cellStyle name="Comma 3 5" xfId="2921" xr:uid="{391715F9-E8E3-40C8-9DAD-D223685B9D92}"/>
    <cellStyle name="Comma 3 5 2" xfId="3775" xr:uid="{F569659B-964C-4C70-9D21-5853C92BD6AE}"/>
    <cellStyle name="Comma 3 6" xfId="3327" xr:uid="{1B1EE3EE-3F44-43B6-B0C6-BE8895A30C2C}"/>
    <cellStyle name="Comma 3 7" xfId="3585" xr:uid="{59675DF5-A670-4C3E-A5F8-8A32E0BEC29C}"/>
    <cellStyle name="Comma 30" xfId="3854" xr:uid="{580CEBF7-9198-4D12-AC01-B0FD386188D8}"/>
    <cellStyle name="Comma 31" xfId="3857" xr:uid="{97EF7A7C-7F6B-4356-A607-81D97D3B4E2E}"/>
    <cellStyle name="Comma 4" xfId="190" xr:uid="{00000000-0005-0000-0000-0000BD000000}"/>
    <cellStyle name="Comma 4 2" xfId="486" xr:uid="{5EBA7F20-7C54-4E81-87E3-926039CD7407}"/>
    <cellStyle name="Comma 4 3" xfId="2922" xr:uid="{96DDBD03-0499-42B0-8C29-E3ADB7E85E7F}"/>
    <cellStyle name="Comma 4 3 2" xfId="3652" xr:uid="{EB8BE4C5-B1CE-43F0-81BF-70D161072BC7}"/>
    <cellStyle name="Comma 44" xfId="191" xr:uid="{00000000-0005-0000-0000-0000BE000000}"/>
    <cellStyle name="Comma 44 2" xfId="487" xr:uid="{E4560792-3482-4600-A935-048AD5E5EE50}"/>
    <cellStyle name="Comma 44 2 2" xfId="3390" xr:uid="{B967A56F-0F1E-4777-B234-0A8F5E8A2869}"/>
    <cellStyle name="Comma 44 2 2 2" xfId="3822" xr:uid="{E34C7483-B11E-4F3E-9BF7-CAE31DB43A5C}"/>
    <cellStyle name="Comma 44 2 3" xfId="3733" xr:uid="{F575B7DB-48AC-4ECF-9E0B-B6E4E69BE3A4}"/>
    <cellStyle name="Comma 44 3" xfId="571" xr:uid="{72ED1679-137A-4402-9EC4-317512A68898}"/>
    <cellStyle name="Comma 44 3 2" xfId="3433" xr:uid="{3449B94A-8819-4219-88F7-BA4D8036392D}"/>
    <cellStyle name="Comma 44 3 3" xfId="3653" xr:uid="{2B31309D-3F1A-4513-AC1A-A37997E85A75}"/>
    <cellStyle name="Comma 44 4" xfId="3328" xr:uid="{08ACB831-6788-46D4-8252-F061F153E189}"/>
    <cellStyle name="Comma 44 4 2" xfId="3776" xr:uid="{612B705C-DB0A-47CB-A3E3-1E5B8258C1E4}"/>
    <cellStyle name="Comma 44 5" xfId="3586" xr:uid="{9A5F2C1A-44D9-4138-B960-1F07034DC846}"/>
    <cellStyle name="Comma 5" xfId="192" xr:uid="{00000000-0005-0000-0000-0000BF000000}"/>
    <cellStyle name="Comma 5 2" xfId="488" xr:uid="{B5DEF331-FE80-4188-8415-A1591D1AB767}"/>
    <cellStyle name="Comma 5 2 2" xfId="3391" xr:uid="{3F45C629-FE86-4077-B953-FF8D7243CF3D}"/>
    <cellStyle name="Comma 5 2 2 2" xfId="3823" xr:uid="{C5F1C951-030F-4CBD-ACD6-0B9FB88EC2E5}"/>
    <cellStyle name="Comma 5 2 3" xfId="3734" xr:uid="{7FD78A89-BE0C-4022-8654-7DBF8EC72D0F}"/>
    <cellStyle name="Comma 5 3" xfId="572" xr:uid="{E79C1D5D-9CBF-48E2-A6CE-F9BB413BCB9D}"/>
    <cellStyle name="Comma 5 3 2" xfId="3434" xr:uid="{028ED955-84AB-46D5-ACC1-822AA462DC67}"/>
    <cellStyle name="Comma 5 3 3" xfId="3654" xr:uid="{6089F503-1AC7-4C82-882C-A9F4B15DEF34}"/>
    <cellStyle name="Comma 5 4" xfId="2923" xr:uid="{5FE8D011-E504-4A18-B87B-D70F1F1511FC}"/>
    <cellStyle name="Comma 5 4 2" xfId="3777" xr:uid="{F8C2481F-200D-4144-A33F-09784EE0A385}"/>
    <cellStyle name="Comma 5 5" xfId="3329" xr:uid="{3C913DAA-2880-4CA6-9BF7-2B65B2FAD417}"/>
    <cellStyle name="Comma 5 6" xfId="3587" xr:uid="{693796E1-C7DC-46D5-82E8-96FAB69207DF}"/>
    <cellStyle name="Comma 6" xfId="193" xr:uid="{00000000-0005-0000-0000-0000C0000000}"/>
    <cellStyle name="Comma 6 2" xfId="489" xr:uid="{71208462-F26A-4D21-B14E-E1ECF92907CE}"/>
    <cellStyle name="Comma 6 2 2" xfId="3392" xr:uid="{E6C15B77-1E69-4FDB-92E6-DED40846B8B7}"/>
    <cellStyle name="Comma 6 2 2 2" xfId="3824" xr:uid="{B63579BE-5A58-4D32-895F-E94F2C3E6EE1}"/>
    <cellStyle name="Comma 6 2 3" xfId="3735" xr:uid="{2E249DC2-FC1F-4523-A659-36BAD6C34A48}"/>
    <cellStyle name="Comma 6 3" xfId="573" xr:uid="{AADBB17A-93F7-4B9B-A08C-92A860CB9434}"/>
    <cellStyle name="Comma 6 3 2" xfId="3435" xr:uid="{E62EE4B8-FA78-48CC-8573-35D198F20291}"/>
    <cellStyle name="Comma 6 3 3" xfId="3655" xr:uid="{0A94D93A-B91D-4B09-A4E7-F03C06564DBE}"/>
    <cellStyle name="Comma 6 4" xfId="2924" xr:uid="{9FDF1269-4B95-4BBA-8254-D9226D240C50}"/>
    <cellStyle name="Comma 6 4 2" xfId="3778" xr:uid="{AF67A97A-7665-4945-BC1A-68E39861F5FA}"/>
    <cellStyle name="Comma 6 5" xfId="3330" xr:uid="{11237573-59DC-47ED-9D25-3FE7FD899A2E}"/>
    <cellStyle name="Comma 6 6" xfId="3588" xr:uid="{C8FE5B27-7F4D-42F9-A6AA-797A03634E4A}"/>
    <cellStyle name="Comma 7" xfId="194" xr:uid="{00000000-0005-0000-0000-0000C1000000}"/>
    <cellStyle name="Comma 7 2" xfId="490" xr:uid="{C93843FB-C604-4D3A-8FAC-86445193DB67}"/>
    <cellStyle name="Comma 7 2 2" xfId="3393" xr:uid="{B251EA56-1E96-4DEA-AB39-05B1CD6EA699}"/>
    <cellStyle name="Comma 7 2 2 2" xfId="3825" xr:uid="{E400728F-3C7C-440C-A13C-45AAB84DCA4F}"/>
    <cellStyle name="Comma 7 2 3" xfId="3736" xr:uid="{4DC9B9EC-0A04-47DB-8110-F8B9D3C94C78}"/>
    <cellStyle name="Comma 7 3" xfId="574" xr:uid="{BE9ECA77-DAE7-4AEC-A32B-F6053512D24C}"/>
    <cellStyle name="Comma 7 3 2" xfId="3436" xr:uid="{6A147D5B-CB6E-40E6-AE2B-7850479A338B}"/>
    <cellStyle name="Comma 7 3 3" xfId="3656" xr:uid="{D357FDC6-1AA3-4500-B9AB-9175516C3207}"/>
    <cellStyle name="Comma 7 4" xfId="2925" xr:uid="{5F4AA895-7FF7-40C9-A477-E4EC5C60280F}"/>
    <cellStyle name="Comma 7 4 2" xfId="3779" xr:uid="{9D6987F2-EA11-4221-A740-6718AB4D5092}"/>
    <cellStyle name="Comma 7 5" xfId="3331" xr:uid="{B73E178A-3066-402F-823A-FCBBB7BD62F1}"/>
    <cellStyle name="Comma 7 6" xfId="3589" xr:uid="{FA1BAC22-9172-415A-9C01-0DBB27CCDEEA}"/>
    <cellStyle name="Comma 8" xfId="195" xr:uid="{00000000-0005-0000-0000-0000C2000000}"/>
    <cellStyle name="Comma 8 2" xfId="491" xr:uid="{653B136D-D63B-4068-9AE0-052FD8F1CE02}"/>
    <cellStyle name="Comma 8 2 2" xfId="3394" xr:uid="{C9379BE5-32B9-45BA-BF68-2667AE45F6FC}"/>
    <cellStyle name="Comma 8 2 2 2" xfId="3826" xr:uid="{04F21238-A782-472B-B9BC-409BF8E358C3}"/>
    <cellStyle name="Comma 8 2 3" xfId="3737" xr:uid="{C20D907D-7BB9-4C08-A40D-CD3DC31AC7BD}"/>
    <cellStyle name="Comma 8 3" xfId="575" xr:uid="{E6B9A62A-CEF5-4D1B-921B-F09E7449EAF7}"/>
    <cellStyle name="Comma 8 3 2" xfId="3437" xr:uid="{0A9BE081-61F4-47C7-861E-86C858CC0617}"/>
    <cellStyle name="Comma 8 3 3" xfId="3657" xr:uid="{79C9D111-ECB6-4A10-84DA-8C3317D11D07}"/>
    <cellStyle name="Comma 8 4" xfId="3256" xr:uid="{D5BFD14B-9168-49D4-9F45-898B444EBEAF}"/>
    <cellStyle name="Comma 8 4 2" xfId="3545" xr:uid="{6D9AE715-F707-46EB-B94E-F341F77E30A6}"/>
    <cellStyle name="Comma 8 4 3" xfId="3780" xr:uid="{78726E3C-E464-4764-AB04-7C0630B30D36}"/>
    <cellStyle name="Comma 8 5" xfId="3332" xr:uid="{7CCCCB2D-CE08-4873-9D63-701727556AD0}"/>
    <cellStyle name="Comma 8 6" xfId="3590" xr:uid="{51BA0A1A-C1FF-4102-BE60-A61C00F8D8F0}"/>
    <cellStyle name="Comma 9" xfId="196" xr:uid="{00000000-0005-0000-0000-0000C3000000}"/>
    <cellStyle name="Comma 9 2" xfId="492" xr:uid="{FD90C51D-23B7-4A6D-957F-8529A53B536F}"/>
    <cellStyle name="Comma 9 2 2" xfId="3395" xr:uid="{9B2B0BED-D54C-44D9-8740-0ABABF229A72}"/>
    <cellStyle name="Comma 9 2 2 2" xfId="3827" xr:uid="{6ADD4369-9E55-4F76-97F5-CDECF7BFEB95}"/>
    <cellStyle name="Comma 9 2 3" xfId="3738" xr:uid="{F7A71017-C5BD-4325-BB1F-BD756C637CEA}"/>
    <cellStyle name="Comma 9 3" xfId="576" xr:uid="{DE44A016-5F51-4298-AD0C-890FAA9EC306}"/>
    <cellStyle name="Comma 9 3 2" xfId="3438" xr:uid="{0C6C730D-B323-4E48-A3C5-B7844A559F66}"/>
    <cellStyle name="Comma 9 3 3" xfId="3658" xr:uid="{6D8EADE6-24F8-45FF-8938-EB3E3EC31DAE}"/>
    <cellStyle name="Comma 9 4" xfId="3259" xr:uid="{4DF4EB2B-B882-484A-B598-AF12C9AE23AB}"/>
    <cellStyle name="Comma 9 4 2" xfId="3548" xr:uid="{8EA8FD74-23FC-401F-B1FF-8EFEA7C4DFE6}"/>
    <cellStyle name="Comma 9 4 3" xfId="3781" xr:uid="{D922B886-4469-43E2-B03E-7792990B259B}"/>
    <cellStyle name="Comma 9 5" xfId="3333" xr:uid="{AEE2DD6D-17F7-46D0-8A19-0941524951BF}"/>
    <cellStyle name="Comma 9 6" xfId="3591" xr:uid="{1349714A-D15B-4F4C-9C3A-82E62A5FB5C3}"/>
    <cellStyle name="comma zerodec" xfId="197" xr:uid="{00000000-0005-0000-0000-0000C4000000}"/>
    <cellStyle name="Comma_Stock-Beta-Calculation-Tu (May 07)" xfId="198" xr:uid="{00000000-0005-0000-0000-0000C5000000}"/>
    <cellStyle name="Comma0" xfId="199" xr:uid="{00000000-0005-0000-0000-0000C6000000}"/>
    <cellStyle name="Comma0 2" xfId="493" xr:uid="{D2665D7D-7EED-4265-B9BA-415837F1EABA}"/>
    <cellStyle name="Comma0 3" xfId="3659" xr:uid="{E251C189-F127-4640-8E65-36C67E10210C}"/>
    <cellStyle name="Company Name" xfId="2926" xr:uid="{9A1F3B6E-27F0-4635-96AA-195A49375E98}"/>
    <cellStyle name="Currency" xfId="200" builtinId="4"/>
    <cellStyle name="Currency [00]" xfId="201" xr:uid="{00000000-0005-0000-0000-0000C8000000}"/>
    <cellStyle name="Currency [2]" xfId="2927" xr:uid="{C7601A2F-1419-4ACD-BAB8-86557042DA8C}"/>
    <cellStyle name="Currency 2" xfId="202" xr:uid="{00000000-0005-0000-0000-0000C9000000}"/>
    <cellStyle name="Currency 2 2" xfId="495" xr:uid="{F9A103EE-A6AD-46E3-988E-0686A96A1225}"/>
    <cellStyle name="Currency 2 3" xfId="3660" xr:uid="{A84FD2E7-2236-4E7A-88BA-710D5282AB6C}"/>
    <cellStyle name="Currency 3" xfId="494" xr:uid="{B57DCDAC-D0C1-4E6B-8C08-79E0373AECA4}"/>
    <cellStyle name="Currency 4" xfId="475" xr:uid="{94FE4209-4F34-447A-9268-138763F22FB5}"/>
    <cellStyle name="Currency 5" xfId="577" xr:uid="{C178969B-65A0-4D14-8AD3-03E15D9AAB40}"/>
    <cellStyle name="Currency 6" xfId="3334" xr:uid="{AE0387D4-A154-4F45-BB2B-A6B230F4F361}"/>
    <cellStyle name="Currency 7" xfId="3592" xr:uid="{9E001B71-798D-43A5-8C48-25E168F205A0}"/>
    <cellStyle name="Currency0" xfId="203" xr:uid="{00000000-0005-0000-0000-0000CA000000}"/>
    <cellStyle name="Currency0 2" xfId="496" xr:uid="{D563B025-9714-4566-B934-3D3DA5C3236C}"/>
    <cellStyle name="Currency0 3" xfId="2928" xr:uid="{C6F93981-3DEF-4F6B-94F2-C65ADC2F2795}"/>
    <cellStyle name="Currency0 3 2" xfId="3661" xr:uid="{3AAEC546-7BA4-4C5C-AE21-59460A9940AE}"/>
    <cellStyle name="Currency1" xfId="204" xr:uid="{00000000-0005-0000-0000-0000CB000000}"/>
    <cellStyle name="Currency1 2" xfId="497" xr:uid="{8C806044-3D8F-4596-958F-4CF6C787DE49}"/>
    <cellStyle name="Currency1 3" xfId="2929" xr:uid="{006C8393-9B59-4290-A97C-882C81CCCEE2}"/>
    <cellStyle name="Currency1 3 2" xfId="3662" xr:uid="{278164EC-E592-49D0-A025-B3EEF1B47297}"/>
    <cellStyle name="d" xfId="2930" xr:uid="{F0EB194F-BE26-4409-9D8F-50E4F4395228}"/>
    <cellStyle name="DarkBlue" xfId="2931" xr:uid="{C2366F3D-EE1D-49D3-AE61-9A4C019F37A0}"/>
    <cellStyle name="data" xfId="2932" xr:uid="{C17ECE98-BA91-45B1-9A52-9E3F4D528D87}"/>
    <cellStyle name="Date" xfId="205" xr:uid="{00000000-0005-0000-0000-0000CC000000}"/>
    <cellStyle name="Date 2" xfId="498" xr:uid="{66401BEA-3E6C-453F-B5F1-E37CBD1CF810}"/>
    <cellStyle name="Date 3" xfId="2933" xr:uid="{841941EC-0988-423D-8534-0BBF9A6001B9}"/>
    <cellStyle name="Date 3 2" xfId="3663" xr:uid="{A38956BC-A18C-4A35-9B96-E732454A45C5}"/>
    <cellStyle name="Date Short" xfId="206" xr:uid="{00000000-0005-0000-0000-0000CD000000}"/>
    <cellStyle name="Date_12" xfId="207" xr:uid="{00000000-0005-0000-0000-0000CE000000}"/>
    <cellStyle name="DELTA" xfId="208" xr:uid="{00000000-0005-0000-0000-0000CF000000}"/>
    <cellStyle name="DELTA 2" xfId="499" xr:uid="{D63170C8-D898-4FE7-900C-D4784FA8AB5F}"/>
    <cellStyle name="DELTA 3" xfId="3664" xr:uid="{AD65F9F6-B1F4-4264-90FE-D7D0F9B43732}"/>
    <cellStyle name="Dezimal [0]_68574_Materialbedarfsliste" xfId="209" xr:uid="{00000000-0005-0000-0000-0000D0000000}"/>
    <cellStyle name="Dezimal_68574_Materialbedarfsliste" xfId="210" xr:uid="{00000000-0005-0000-0000-0000D1000000}"/>
    <cellStyle name="d-mmm-yy" xfId="2934" xr:uid="{DD57ACAA-5376-453F-9013-D1E7F349CD8F}"/>
    <cellStyle name="Dollar (zero dec)" xfId="211" xr:uid="{00000000-0005-0000-0000-0000D2000000}"/>
    <cellStyle name="Dollar (zero dec) 2" xfId="500" xr:uid="{658E41F3-1597-4490-B600-6F34F5CE4B3F}"/>
    <cellStyle name="Dollar (zero dec) 3" xfId="3665" xr:uid="{7D09764A-AA92-422A-8291-745A06118379}"/>
    <cellStyle name="EDComma0" xfId="2935" xr:uid="{DC362CFA-2C03-41F6-B6C0-D0D78D10768C}"/>
    <cellStyle name="EDComma0 2" xfId="2936" xr:uid="{0F2C71A7-8EAE-4C84-8798-DD89B3299D87}"/>
    <cellStyle name="EDComma1" xfId="2937" xr:uid="{EC682BF9-74EB-49CB-9744-49624F61AE24}"/>
    <cellStyle name="EDComma1 2" xfId="2938" xr:uid="{6E810F92-1321-4A5D-89A2-91F701AF0B6F}"/>
    <cellStyle name="EDComma2" xfId="2939" xr:uid="{B14D0B98-43CF-4098-9D5E-F46E14D0BE85}"/>
    <cellStyle name="EDComma2 2" xfId="2940" xr:uid="{7D6AB6D8-0190-49EF-BBB0-0DB631AA495B}"/>
    <cellStyle name="EDCommaB0" xfId="2941" xr:uid="{3028CC33-DA10-4302-912D-831B5D820303}"/>
    <cellStyle name="EDCommaB2" xfId="2942" xr:uid="{4F8F2926-FC9A-4AA4-9099-865753E37098}"/>
    <cellStyle name="EDDate" xfId="2943" xr:uid="{858A1AC1-2C78-4F9A-B61A-476CD60EA9B3}"/>
    <cellStyle name="EDDateB" xfId="2944" xr:uid="{68274EA8-D30A-44BA-B7F6-92A2E4223243}"/>
    <cellStyle name="EDFullDate" xfId="2945" xr:uid="{A17E25C2-C7AC-4BAA-A9EA-4B4976B07E23}"/>
    <cellStyle name="EDNormal" xfId="2946" xr:uid="{914D97C6-CD26-4EE8-AB20-E359C99BA5E3}"/>
    <cellStyle name="EDNormal 2" xfId="2947" xr:uid="{83EC93FA-252B-46FD-9D96-CFBBF4335096}"/>
    <cellStyle name="EDPercent 2" xfId="2948" xr:uid="{C3D6A589-ABFA-49C2-A479-8D92CC1D13EA}"/>
    <cellStyle name="EDPercent1" xfId="2949" xr:uid="{E43B219B-3755-4C2C-B9F6-0E2457FE8A83}"/>
    <cellStyle name="EDPercent1 2" xfId="2950" xr:uid="{619DA9EC-D254-45A4-9A94-5C0ED22B7C2F}"/>
    <cellStyle name="EDPercent2" xfId="2951" xr:uid="{C1203846-A166-4007-BD32-78068BD24A00}"/>
    <cellStyle name="EDRightText" xfId="2952" xr:uid="{39533012-5BA6-42DB-8D5A-99F9A2E083F7}"/>
    <cellStyle name="Eingabe" xfId="212" xr:uid="{00000000-0005-0000-0000-0000D3000000}"/>
    <cellStyle name="Eingabe 2" xfId="3335" xr:uid="{B3E192E6-59B3-4C44-9E3B-4413036753BC}"/>
    <cellStyle name="Emphasis 1" xfId="213" xr:uid="{00000000-0005-0000-0000-0000D4000000}"/>
    <cellStyle name="Emphasis 2" xfId="214" xr:uid="{00000000-0005-0000-0000-0000D5000000}"/>
    <cellStyle name="Emphasis 3" xfId="215" xr:uid="{00000000-0005-0000-0000-0000D6000000}"/>
    <cellStyle name="Enter Currency (0)" xfId="216" xr:uid="{00000000-0005-0000-0000-0000D7000000}"/>
    <cellStyle name="Enter Currency (2)" xfId="217" xr:uid="{00000000-0005-0000-0000-0000D8000000}"/>
    <cellStyle name="Enter Units (0)" xfId="218" xr:uid="{00000000-0005-0000-0000-0000D9000000}"/>
    <cellStyle name="Enter Units (1)" xfId="219" xr:uid="{00000000-0005-0000-0000-0000DA000000}"/>
    <cellStyle name="Enter Units (2)" xfId="220" xr:uid="{00000000-0005-0000-0000-0000DB000000}"/>
    <cellStyle name="Entered" xfId="2953" xr:uid="{98B393C3-B041-4036-AB21-7BA7F8DD14B2}"/>
    <cellStyle name="EnterpriseTable[1]" xfId="2954" xr:uid="{CFE0423F-A085-4744-A8DC-93354E27DAAB}"/>
    <cellStyle name="entry" xfId="2955" xr:uid="{905C9A88-51A9-4B02-8123-5A8F352C7AFF}"/>
    <cellStyle name="Ergebnis" xfId="221" xr:uid="{00000000-0005-0000-0000-0000DC000000}"/>
    <cellStyle name="Ergebnis 2" xfId="3336" xr:uid="{8AA719DB-817F-41C4-836B-8A2EEDD75BB6}"/>
    <cellStyle name="Erklärender Text" xfId="222" xr:uid="{00000000-0005-0000-0000-0000DD000000}"/>
    <cellStyle name="ERROR" xfId="2956" xr:uid="{489D3867-4B7B-442D-A2EF-8FB8EBBC761E}"/>
    <cellStyle name="ERROR 2" xfId="2957" xr:uid="{2D87CC7F-71B8-40A7-9AD4-A654AF7613AD}"/>
    <cellStyle name="Euro" xfId="223" xr:uid="{00000000-0005-0000-0000-0000DE000000}"/>
    <cellStyle name="Euro 2" xfId="2958" xr:uid="{262592CB-7F4F-4521-BC0C-DBE9DF317EF9}"/>
    <cellStyle name="evision Log" xfId="2959" xr:uid="{4B83DCDA-3A7C-4C6D-AC31-8D4BDE36FEA2}"/>
    <cellStyle name="Explanatory Text 2" xfId="3278" xr:uid="{86FF3F03-88A4-4FD7-B7B7-3339871CFD5B}"/>
    <cellStyle name="Explanatory Text 3" xfId="2960" xr:uid="{C899A3F6-EAD8-41ED-9FA4-FB5AD8D5BDBB}"/>
    <cellStyle name="F2" xfId="224" xr:uid="{00000000-0005-0000-0000-0000DF000000}"/>
    <cellStyle name="F2 2" xfId="2961" xr:uid="{EDEA9046-8128-489E-ABFE-3F8E5AC030A3}"/>
    <cellStyle name="F3" xfId="225" xr:uid="{00000000-0005-0000-0000-0000E0000000}"/>
    <cellStyle name="F3 2" xfId="2962" xr:uid="{DD395C8A-2878-4605-95EE-2CCD60919C9D}"/>
    <cellStyle name="F4" xfId="226" xr:uid="{00000000-0005-0000-0000-0000E1000000}"/>
    <cellStyle name="F4 2" xfId="2963" xr:uid="{4F0231D4-DB81-4512-A777-C79C618121D3}"/>
    <cellStyle name="F5" xfId="227" xr:uid="{00000000-0005-0000-0000-0000E2000000}"/>
    <cellStyle name="F5 2" xfId="2964" xr:uid="{9B00198E-C0FF-40D2-BB26-3A3C310BEA3C}"/>
    <cellStyle name="F6" xfId="228" xr:uid="{00000000-0005-0000-0000-0000E3000000}"/>
    <cellStyle name="F6 2" xfId="2965" xr:uid="{F262F25D-D200-4252-887B-BF44EA5C3212}"/>
    <cellStyle name="F7" xfId="229" xr:uid="{00000000-0005-0000-0000-0000E4000000}"/>
    <cellStyle name="F7 2" xfId="2966" xr:uid="{254E90CA-6432-4279-B0D6-B6CCB15978FD}"/>
    <cellStyle name="F8" xfId="230" xr:uid="{00000000-0005-0000-0000-0000E5000000}"/>
    <cellStyle name="F8 2" xfId="2967" xr:uid="{D18DD10F-26D3-4F7F-98F5-95A5ACC84213}"/>
    <cellStyle name="fa_data_standard_2_grouped" xfId="3303" xr:uid="{73919D8F-9585-4DCB-828F-895C27BBBC11}"/>
    <cellStyle name="Figures[0]" xfId="2968" xr:uid="{F6DD7AAB-BD9E-4D3B-8573-A51EC4D59880}"/>
    <cellStyle name="Figures[0] 2" xfId="2969" xr:uid="{34443D78-0F1D-4749-A237-D8BD10B6E5ED}"/>
    <cellStyle name="Fixed" xfId="231" xr:uid="{00000000-0005-0000-0000-0000E6000000}"/>
    <cellStyle name="Fixed 2" xfId="502" xr:uid="{733F8EE7-4E5D-40AF-80B2-91C60C54D40F}"/>
    <cellStyle name="Fixed 3" xfId="2970" xr:uid="{3377DA3D-945B-4914-88FF-93665FE11FB7}"/>
    <cellStyle name="Fixed 3 2" xfId="3666" xr:uid="{7C90FE30-647D-447D-B778-CC5D31FFA996}"/>
    <cellStyle name="Footnotes" xfId="2971" xr:uid="{A8FE5784-DFFF-4A83-9ACE-6950C49FCD58}"/>
    <cellStyle name="gfs_text_indent" xfId="2972" xr:uid="{1138B910-502A-4185-8C81-B23DAE09B562}"/>
    <cellStyle name="gfslevel1" xfId="2973" xr:uid="{D432D336-C37D-47FA-BA68-E74D3549905B}"/>
    <cellStyle name="gfslevel2" xfId="2974" xr:uid="{DFB14C95-6BEC-451E-9C2A-6E7304CFC0C2}"/>
    <cellStyle name="gfslevel2indent" xfId="2975" xr:uid="{9171E2ED-D055-49FA-8746-A5D4BD7596B8}"/>
    <cellStyle name="GFSStandard" xfId="2976" xr:uid="{FE39378C-D42B-49FB-B7CF-2268ECA4C513}"/>
    <cellStyle name="GFSStandard 2" xfId="2977" xr:uid="{6E201102-01F3-4576-B28D-E43677F29FD8}"/>
    <cellStyle name="GFSTitle" xfId="2978" xr:uid="{699660E9-A441-4406-A99C-8EB00CEEF2EC}"/>
    <cellStyle name="GFSVariableDecimals" xfId="2979" xr:uid="{35FAE7E7-1C06-4C91-8E62-34955BCF679A}"/>
    <cellStyle name="GFSVariableDecimals 2" xfId="2980" xr:uid="{6EC727B9-4006-4D38-BDED-93E917688CFE}"/>
    <cellStyle name="Good" xfId="675" builtinId="26"/>
    <cellStyle name="Good 2" xfId="3268" xr:uid="{9D197C99-AD37-41AA-9051-4B27D5DEF3D7}"/>
    <cellStyle name="Good 3" xfId="2981" xr:uid="{DB76B358-B6CF-462F-8941-160687596C6C}"/>
    <cellStyle name="Grey" xfId="232" xr:uid="{00000000-0005-0000-0000-0000E7000000}"/>
    <cellStyle name="Gut" xfId="233" xr:uid="{00000000-0005-0000-0000-0000E8000000}"/>
    <cellStyle name="ha" xfId="234" xr:uid="{00000000-0005-0000-0000-0000E9000000}"/>
    <cellStyle name="hard no." xfId="2982" xr:uid="{6B7156C3-C86C-4E24-BF6C-C1FB886F0566}"/>
    <cellStyle name="HEADER" xfId="235" xr:uid="{00000000-0005-0000-0000-0000EA000000}"/>
    <cellStyle name="HEADER 2" xfId="2983" xr:uid="{F5199C80-9337-4B23-9B1E-15FA80655D12}"/>
    <cellStyle name="Header1" xfId="236" xr:uid="{00000000-0005-0000-0000-0000EB000000}"/>
    <cellStyle name="Header2" xfId="237" xr:uid="{00000000-0005-0000-0000-0000EC000000}"/>
    <cellStyle name="Header2 2" xfId="2984" xr:uid="{4E538020-1612-423B-9176-090778CC0460}"/>
    <cellStyle name="Header2 2 2" xfId="3540" xr:uid="{BA6FCFEB-01C4-49A5-83F4-C774EDE7F899}"/>
    <cellStyle name="Header2 3" xfId="3337" xr:uid="{AA97714C-12E7-4F17-A3FB-A89D7357C445}"/>
    <cellStyle name="headers" xfId="2985" xr:uid="{5DFF95AA-6B08-40CD-9D4E-F68942E5F9A0}"/>
    <cellStyle name="heading" xfId="2986" xr:uid="{912F8E52-FD4A-45C9-95A7-8EDAB4F4E599}"/>
    <cellStyle name="Heading 1 2" xfId="2988" xr:uid="{0605CED1-89A4-47F7-ABD4-BB0E720DE6FD}"/>
    <cellStyle name="Heading 1 3" xfId="2989" xr:uid="{701741B5-BFEC-4410-A87D-1AA6CC1D1D11}"/>
    <cellStyle name="Heading 1 4" xfId="2990" xr:uid="{3D8424FB-7047-4BC8-A22D-9A98F385F4E0}"/>
    <cellStyle name="Heading 1 5" xfId="2991" xr:uid="{DFE1303B-2B1F-46FE-8514-A138ECC2EC61}"/>
    <cellStyle name="Heading 1 6" xfId="2992" xr:uid="{CA7A3A0B-D119-4208-89D5-D510CCA103B4}"/>
    <cellStyle name="Heading 1 7" xfId="2993" xr:uid="{2D151FD5-06D0-4A00-B00F-D8FACE6B900A}"/>
    <cellStyle name="Heading 1 8" xfId="3264" xr:uid="{DF799A8E-90FC-4DA2-B779-67635FCDE4D3}"/>
    <cellStyle name="Heading 1 9" xfId="2987" xr:uid="{3B5DAEDF-0B73-48C8-BEC2-E8434D910BEE}"/>
    <cellStyle name="Heading 2 2" xfId="2995" xr:uid="{6F248D0F-A25C-48F9-BBEE-E8E0BCB462F9}"/>
    <cellStyle name="Heading 2 3" xfId="2996" xr:uid="{0362D121-77E2-4611-8A6B-A26305248388}"/>
    <cellStyle name="Heading 2 4" xfId="2997" xr:uid="{416C0BDE-40FC-44FF-94B9-F87F2BE0F5F9}"/>
    <cellStyle name="Heading 2 5" xfId="2998" xr:uid="{6E200883-31C9-4F31-AE34-88D602E92333}"/>
    <cellStyle name="Heading 2 6" xfId="2999" xr:uid="{64D2B28C-0807-4784-B06B-335C34BFAB5B}"/>
    <cellStyle name="Heading 2 7" xfId="3000" xr:uid="{A1285E1B-21C1-4485-A842-DF96E33338CD}"/>
    <cellStyle name="Heading 2 8" xfId="3265" xr:uid="{C26930C4-24D4-4806-9E09-816D11761057}"/>
    <cellStyle name="Heading 2 9" xfId="2994" xr:uid="{6A5C9929-5DED-4866-B11A-E0CE8AD5CCD4}"/>
    <cellStyle name="Heading 3 2" xfId="3266" xr:uid="{D5EA1AB8-4DB6-49CD-B5A3-C6A642D164B5}"/>
    <cellStyle name="Heading 3 3" xfId="3001" xr:uid="{A669E62B-61CF-450A-8B0B-C3CCC01FFEAB}"/>
    <cellStyle name="Heading 4 2" xfId="3267" xr:uid="{48D108BF-AA78-49C2-92A1-AA41DE130025}"/>
    <cellStyle name="Heading 4 3" xfId="3002" xr:uid="{A736EC8A-DE38-46DC-8E98-955CDE66787A}"/>
    <cellStyle name="Heading1" xfId="238" xr:uid="{00000000-0005-0000-0000-0000ED000000}"/>
    <cellStyle name="Heading1 1" xfId="239" xr:uid="{00000000-0005-0000-0000-0000EE000000}"/>
    <cellStyle name="Heading1 2" xfId="3003" xr:uid="{41356DDA-2ED1-4510-BDA8-B10D5A3ED2B0}"/>
    <cellStyle name="Heading1_12" xfId="240" xr:uid="{00000000-0005-0000-0000-0000EF000000}"/>
    <cellStyle name="Heading2" xfId="241" xr:uid="{00000000-0005-0000-0000-0000F0000000}"/>
    <cellStyle name="Heading2 2" xfId="3004" xr:uid="{57F2F1E3-004E-49F5-BEAB-944AB8B93C50}"/>
    <cellStyle name="headoption" xfId="242" xr:uid="{00000000-0005-0000-0000-0000F1000000}"/>
    <cellStyle name="Hedaings" xfId="3005" xr:uid="{60357D8F-635D-4E16-9B63-3F4498FFF4E9}"/>
    <cellStyle name="Helv" xfId="3006" xr:uid="{3F8C5B52-4C63-4A44-AB46-A2C0ED63A3B1}"/>
    <cellStyle name="Hoa-Scholl" xfId="243" xr:uid="{00000000-0005-0000-0000-0000F2000000}"/>
    <cellStyle name="Hyperlink" xfId="244" builtinId="8"/>
    <cellStyle name="Hyperlink 2" xfId="245" xr:uid="{00000000-0005-0000-0000-0000F4000000}"/>
    <cellStyle name="Hyperlink 3" xfId="441" xr:uid="{19A4B6DD-0397-4EC5-8281-5D57ECD50327}"/>
    <cellStyle name="Hyperlink 4" xfId="666" xr:uid="{285001D6-0957-4FFD-A91E-08B6C8937B36}"/>
    <cellStyle name="Hyperlink_Stock-Beta-Calculation-Tu (May 07)" xfId="246" xr:uid="{00000000-0005-0000-0000-0000F5000000}"/>
    <cellStyle name="Indent 2" xfId="3007" xr:uid="{5E13ADE9-D068-4C5F-977D-A00A060BB99B}"/>
    <cellStyle name="Input [yellow]" xfId="247" xr:uid="{00000000-0005-0000-0000-0000F6000000}"/>
    <cellStyle name="Input 2" xfId="3271" xr:uid="{D03AA46F-FEE8-494F-B042-CCF887E32CC6}"/>
    <cellStyle name="INPUT 3" xfId="3008" xr:uid="{8D6DB3F0-6DE5-416B-9B51-36050E7A9D1D}"/>
    <cellStyle name="Input Link" xfId="3009" xr:uid="{38F9307D-CF47-465C-BE05-82DFE7DE454A}"/>
    <cellStyle name="Input0" xfId="3010" xr:uid="{A0725EBE-DDDF-41B8-B0DA-619B3876E1D2}"/>
    <cellStyle name="InputData" xfId="3011" xr:uid="{67A44179-0EFD-45E4-BF38-8DE7645C9BCE}"/>
    <cellStyle name="InputDate" xfId="3012" xr:uid="{1DCFC495-12F7-4D7D-B633-2CC785E10DD5}"/>
    <cellStyle name="InputInfo" xfId="3013" xr:uid="{83D89782-F5EC-4104-AF9C-CF1505A7F891}"/>
    <cellStyle name="InputPercent" xfId="3014" xr:uid="{90A2B10B-C3A5-4D81-BAD4-5956E46A12C2}"/>
    <cellStyle name="InputPercent1" xfId="3015" xr:uid="{F42BB818-79F3-48F9-8781-0E7F8C265F4A}"/>
    <cellStyle name="John" xfId="3016" xr:uid="{BBFA93BA-25CB-41A7-89CD-9CF59C05C429}"/>
    <cellStyle name="Label_Manual" xfId="3017" xr:uid="{54693614-E94A-45B7-971C-D1DC74978593}"/>
    <cellStyle name="Ledger 17 x 11 in" xfId="248" xr:uid="{00000000-0005-0000-0000-0000F7000000}"/>
    <cellStyle name="LG_View_1" xfId="3018" xr:uid="{67E2F8E8-059C-451F-AFBE-ACD7BE4DFFD1}"/>
    <cellStyle name="Line" xfId="249" xr:uid="{00000000-0005-0000-0000-0000F8000000}"/>
    <cellStyle name="Line 2" xfId="3019" xr:uid="{3A7D55DC-DCBC-4595-B1AC-A07AFE880519}"/>
    <cellStyle name="linh" xfId="250" xr:uid="{00000000-0005-0000-0000-0000F9000000}"/>
    <cellStyle name="linh 2" xfId="3338" xr:uid="{E4E8B1DA-413C-4840-AA95-29A9F44A91F6}"/>
    <cellStyle name="Link" xfId="3020" xr:uid="{8824298E-A4E0-4217-B91B-D7EE7E51D118}"/>
    <cellStyle name="Link Currency (0)" xfId="251" xr:uid="{00000000-0005-0000-0000-0000FA000000}"/>
    <cellStyle name="Link Currency (2)" xfId="252" xr:uid="{00000000-0005-0000-0000-0000FB000000}"/>
    <cellStyle name="Link Units (0)" xfId="253" xr:uid="{00000000-0005-0000-0000-0000FC000000}"/>
    <cellStyle name="Link Units (1)" xfId="254" xr:uid="{00000000-0005-0000-0000-0000FD000000}"/>
    <cellStyle name="Link Units (2)" xfId="255" xr:uid="{00000000-0005-0000-0000-0000FE000000}"/>
    <cellStyle name="Linked Cell 2" xfId="3274" xr:uid="{46988023-9FBE-4744-B124-DE6661F0F7D9}"/>
    <cellStyle name="Linked Cell 3" xfId="3021" xr:uid="{B2C42289-EBC7-43B7-9DEA-A16BA0D9C030}"/>
    <cellStyle name="Locked" xfId="3022" xr:uid="{AEC34754-AA76-440D-855B-A64D20D44327}"/>
    <cellStyle name="m" xfId="3023" xr:uid="{26D2A613-1EDE-426F-9D01-431996C45843}"/>
    <cellStyle name="Millares [0]_Well Timing" xfId="256" xr:uid="{00000000-0005-0000-0000-0000FF000000}"/>
    <cellStyle name="Millares_Well Timing" xfId="257" xr:uid="{00000000-0005-0000-0000-000000010000}"/>
    <cellStyle name="Milliers [0]_AR1194" xfId="258" xr:uid="{00000000-0005-0000-0000-000001010000}"/>
    <cellStyle name="Milliers_AR1194" xfId="259" xr:uid="{00000000-0005-0000-0000-000002010000}"/>
    <cellStyle name="mmaryInformation" xfId="3024" xr:uid="{728B2028-FBB3-4959-B5C9-43ADCA223C6B}"/>
    <cellStyle name="mmm" xfId="3025" xr:uid="{B58E840C-7ACA-4DF7-ADD0-270E29A208ED}"/>
    <cellStyle name="mmm-yy" xfId="3026" xr:uid="{178AA392-2660-4B08-8A09-60FBD1DE08A3}"/>
    <cellStyle name="mmm-yy 2" xfId="3027" xr:uid="{10B0AFE0-8C37-4EEF-8715-EF8632FFBB7E}"/>
    <cellStyle name="Model" xfId="260" xr:uid="{00000000-0005-0000-0000-000003010000}"/>
    <cellStyle name="Model 2" xfId="3028" xr:uid="{3123AE2A-C942-41F4-B796-CDB91767080A}"/>
    <cellStyle name="Moneda [0]_Well Timing" xfId="261" xr:uid="{00000000-0005-0000-0000-000004010000}"/>
    <cellStyle name="Moneda_Well Timing" xfId="262" xr:uid="{00000000-0005-0000-0000-000005010000}"/>
    <cellStyle name="Monétaire [0]_AR1194" xfId="263" xr:uid="{00000000-0005-0000-0000-000006010000}"/>
    <cellStyle name="Monétaire_AR1194" xfId="264" xr:uid="{00000000-0005-0000-0000-000007010000}"/>
    <cellStyle name="n" xfId="265" xr:uid="{00000000-0005-0000-0000-000008010000}"/>
    <cellStyle name="N/Y" xfId="3029" xr:uid="{293F6487-3D12-4588-B761-089FE13E83FF}"/>
    <cellStyle name="N/Y 2" xfId="3030" xr:uid="{B9DAB169-08C7-4DF7-AE74-562ECB29C06B}"/>
    <cellStyle name="n_12" xfId="266" xr:uid="{00000000-0005-0000-0000-000009010000}"/>
    <cellStyle name="n_12 2" xfId="503" xr:uid="{4AA08EC2-DFA6-4E1A-A6BD-321ABC25A631}"/>
    <cellStyle name="n_12 3" xfId="3667" xr:uid="{C04EC424-2F57-4A8B-91CB-9FF73CB232DF}"/>
    <cellStyle name="n_BANH MI DOT 2.04.07 CHI TRANG" xfId="267" xr:uid="{00000000-0005-0000-0000-00000A010000}"/>
    <cellStyle name="n_BANH MI DOT 2.04.07 CHI TRANG 2" xfId="504" xr:uid="{4A3DB8B6-BB78-4968-BC77-DD55CB8A9FF0}"/>
    <cellStyle name="n_BANH MI DOT 2.04.07 CHI TRANG 3" xfId="3668" xr:uid="{DF0837F1-434F-4D47-8580-2CCDFD95B50D}"/>
    <cellStyle name="n_bhxh t6" xfId="268" xr:uid="{00000000-0005-0000-0000-00000B010000}"/>
    <cellStyle name="n_bhxh t6 2" xfId="505" xr:uid="{6E2C45C1-CEEB-4731-922E-7B925F6C78C5}"/>
    <cellStyle name="n_bhxh t6 3" xfId="3669" xr:uid="{230B487E-85AE-44B1-9820-F6D483CEA610}"/>
    <cellStyle name="n_bkdvcp200705" xfId="269" xr:uid="{00000000-0005-0000-0000-00000C010000}"/>
    <cellStyle name="n_BLG TT X4 (D2_04_07)" xfId="270" xr:uid="{00000000-0005-0000-0000-00000D010000}"/>
    <cellStyle name="n_cuong" xfId="271" xr:uid="{00000000-0005-0000-0000-00000E010000}"/>
    <cellStyle name="n_CUPCAKE DOT 2.04.07 CHI TRANG" xfId="272" xr:uid="{00000000-0005-0000-0000-00000F010000}"/>
    <cellStyle name="n_CUPCAKE DOT 2.04.07 CHI TRANG 2" xfId="506" xr:uid="{061E1D5B-6E11-4F26-B7DD-0D9238635851}"/>
    <cellStyle name="n_CUPCAKE DOT 2.04.07 CHI TRANG 3" xfId="3670" xr:uid="{23BE8AF9-0DFC-4384-9F1C-99D880BA33DC}"/>
    <cellStyle name="n_DS lop MTP_tong hop_Cum" xfId="273" xr:uid="{00000000-0005-0000-0000-000010010000}"/>
    <cellStyle name="n_GIAN TIEP THANG 6.07" xfId="274" xr:uid="{00000000-0005-0000-0000-000011010000}"/>
    <cellStyle name="n_LGGFS2007_06" xfId="275" xr:uid="{00000000-0005-0000-0000-000012010000}"/>
    <cellStyle name="n_LGGFS2007_12" xfId="276" xr:uid="{00000000-0005-0000-0000-000013010000}"/>
    <cellStyle name="n_LGTaiXe2007_08" xfId="277" xr:uid="{00000000-0005-0000-0000-000014010000}"/>
    <cellStyle name="n_Luong VP-T06-07" xfId="278" xr:uid="{00000000-0005-0000-0000-000015010000}"/>
    <cellStyle name="n_Luong VP-T06-07 2" xfId="507" xr:uid="{E02DD038-F1EE-4FED-94E4-F7C2142F52AA}"/>
    <cellStyle name="n_Luong VP-T06-07 3" xfId="3671" xr:uid="{F649CD68-DCF9-40F2-9F69-A193DEDB6AAA}"/>
    <cellStyle name="n_T5T05" xfId="279" xr:uid="{00000000-0005-0000-0000-000016010000}"/>
    <cellStyle name="n_thue GTGT" xfId="280" xr:uid="{00000000-0005-0000-0000-000017010000}"/>
    <cellStyle name="n_thue GTGT 2" xfId="508" xr:uid="{F9A5DA0C-01CD-47CA-AA3C-35EC9DD52723}"/>
    <cellStyle name="n_thue GTGT 3" xfId="3672" xr:uid="{9A261BF7-907A-489F-AD97-C834D39DE30F}"/>
    <cellStyle name="Neutral 2" xfId="3270" xr:uid="{EF242670-7672-4E00-9FBC-E8DFDDEAFCD1}"/>
    <cellStyle name="Neutral 3" xfId="3031" xr:uid="{FFB7DF64-6FF4-41BB-BDCD-33765EAC5FBF}"/>
    <cellStyle name="New Times Roman" xfId="281" xr:uid="{00000000-0005-0000-0000-000018010000}"/>
    <cellStyle name="no dec" xfId="282" xr:uid="{00000000-0005-0000-0000-000019010000}"/>
    <cellStyle name="No Decimal" xfId="3032" xr:uid="{A3C45571-D1D7-4B33-85EA-82B783F84FA6}"/>
    <cellStyle name="ÑONVÒ" xfId="283" xr:uid="{00000000-0005-0000-0000-00001A010000}"/>
    <cellStyle name="Normal" xfId="0" builtinId="0"/>
    <cellStyle name="Normal - Style1" xfId="284" xr:uid="{00000000-0005-0000-0000-00001C010000}"/>
    <cellStyle name="Normal - Style1 2" xfId="3033" xr:uid="{22912A97-8A10-4FBF-83A3-C6D972FB54DB}"/>
    <cellStyle name="Normal - 유형1" xfId="285" xr:uid="{00000000-0005-0000-0000-00001D010000}"/>
    <cellStyle name="Normal 10" xfId="286" xr:uid="{00000000-0005-0000-0000-00001E010000}"/>
    <cellStyle name="Normal 10 2" xfId="509" xr:uid="{EB9455C7-904A-4215-8456-F28324857379}"/>
    <cellStyle name="Normal 10 2 2" xfId="3396" xr:uid="{036C7686-C947-4B30-A3C1-9AF950A505EE}"/>
    <cellStyle name="Normal 10 2 2 2" xfId="3828" xr:uid="{4E710BC3-2EEC-4538-BE60-8DB80775DC4C}"/>
    <cellStyle name="Normal 10 2 3" xfId="3739" xr:uid="{2B56F49A-42F6-402F-8676-D77C7913E472}"/>
    <cellStyle name="Normal 10 3" xfId="578" xr:uid="{37ED60F1-192A-4750-8131-36DE1F17DD15}"/>
    <cellStyle name="Normal 10 3 2" xfId="3439" xr:uid="{BB076D70-6E69-4075-9934-39818FEC425D}"/>
    <cellStyle name="Normal 10 3 3" xfId="3673" xr:uid="{66C02888-218B-4366-8C80-763614023F56}"/>
    <cellStyle name="Normal 10 4" xfId="3262" xr:uid="{7D125136-2885-4A7F-A26D-087BBCC25A3C}"/>
    <cellStyle name="Normal 10 4 2" xfId="3782" xr:uid="{F70D8974-0502-4262-9D7B-100322E56520}"/>
    <cellStyle name="Normal 10 5" xfId="3339" xr:uid="{DC1B37D6-1443-4A9A-A70F-DD4715944D7B}"/>
    <cellStyle name="Normal 10 6" xfId="3593" xr:uid="{6059550D-A0CB-4FF2-BDE1-427A9AC0E2FB}"/>
    <cellStyle name="Normal 100" xfId="3853" xr:uid="{FCBEF90C-40DD-4FD1-8FF6-0F1FE4FAEF10}"/>
    <cellStyle name="Normal 101" xfId="3855" xr:uid="{EA9B419E-D672-46FF-ADB0-462876B29C69}"/>
    <cellStyle name="Normal 103" xfId="287" xr:uid="{00000000-0005-0000-0000-00001F010000}"/>
    <cellStyle name="Normal 11" xfId="288" xr:uid="{00000000-0005-0000-0000-000020010000}"/>
    <cellStyle name="Normal 11 2" xfId="510" xr:uid="{FA39BADF-1FD3-45F3-8F86-5F9FC53322F3}"/>
    <cellStyle name="Normal 11 2 2" xfId="3397" xr:uid="{49EBE92E-4C39-4C27-A0D1-ADCDA786ACD8}"/>
    <cellStyle name="Normal 11 2 2 2" xfId="3829" xr:uid="{688A2ED8-ABF2-4D3C-AC2A-6FA68D471CA9}"/>
    <cellStyle name="Normal 11 2 3" xfId="3740" xr:uid="{9EEAFFC8-50F0-4CEB-97C8-922DF44FF9A1}"/>
    <cellStyle name="Normal 11 3" xfId="579" xr:uid="{7A643CA9-30D7-4C30-8B59-5B6080AA3D35}"/>
    <cellStyle name="Normal 11 3 2" xfId="3440" xr:uid="{FD99C235-5252-4637-BD2C-C75AEED9B574}"/>
    <cellStyle name="Normal 11 3 3" xfId="3674" xr:uid="{C285E367-FA74-4A8E-852A-E07B31654CF8}"/>
    <cellStyle name="Normal 11 4" xfId="3301" xr:uid="{3C7026E3-03DD-418F-A986-2AB7D7CA48A3}"/>
    <cellStyle name="Normal 11 4 2" xfId="3563" xr:uid="{8EF1DFC6-362D-4200-B606-F6D63291AAB0}"/>
    <cellStyle name="Normal 11 4 3" xfId="3783" xr:uid="{CE89BB91-B1F2-4CEA-AF4F-A98D2DA37954}"/>
    <cellStyle name="Normal 11 5" xfId="3340" xr:uid="{D9C60BAB-3416-4EBB-848C-98A3AB84FF5E}"/>
    <cellStyle name="Normal 11 6" xfId="3594" xr:uid="{C79A9B87-A7E3-4BDB-A2C5-CDFE6F2846DE}"/>
    <cellStyle name="Normal 12" xfId="289" xr:uid="{00000000-0005-0000-0000-000021010000}"/>
    <cellStyle name="Normal 12 2" xfId="511" xr:uid="{978069B7-D168-4572-A78C-400571D7152D}"/>
    <cellStyle name="Normal 12 2 2" xfId="3398" xr:uid="{68EE0670-7504-47FD-A051-6A0962618501}"/>
    <cellStyle name="Normal 12 2 2 2" xfId="3830" xr:uid="{0FDDABF5-EADA-495E-85AA-7502A8F003F3}"/>
    <cellStyle name="Normal 12 2 3" xfId="3741" xr:uid="{03A7375F-87DB-4001-BC6F-1448C0E6A4EA}"/>
    <cellStyle name="Normal 12 3" xfId="580" xr:uid="{95104909-3AE2-418A-9227-9C5C7D1BCBDC}"/>
    <cellStyle name="Normal 12 3 2" xfId="3441" xr:uid="{6086EBE4-246C-4761-9FEA-594948E33CE1}"/>
    <cellStyle name="Normal 12 3 3" xfId="3675" xr:uid="{BE20DE29-269A-421C-8FC9-F6A53122423E}"/>
    <cellStyle name="Normal 12 4" xfId="3341" xr:uid="{1507AE72-E903-486D-AC20-D99EC8C30640}"/>
    <cellStyle name="Normal 12 4 2" xfId="3784" xr:uid="{59382384-7956-4C07-A0CD-C1349B03A402}"/>
    <cellStyle name="Normal 12 5" xfId="3595" xr:uid="{548F692E-4E8E-4243-B38D-D44C3245105C}"/>
    <cellStyle name="Normal 13" xfId="290" xr:uid="{00000000-0005-0000-0000-000022010000}"/>
    <cellStyle name="Normal 13 2" xfId="512" xr:uid="{725547AD-164A-431B-8CAF-A8C9E2FAB5D6}"/>
    <cellStyle name="Normal 13 2 2" xfId="3399" xr:uid="{774746E2-04B1-447A-A9E8-F65CD4B2CE7D}"/>
    <cellStyle name="Normal 13 2 2 2" xfId="3831" xr:uid="{01F8F483-287D-44AD-A32B-ACAD49BA38FE}"/>
    <cellStyle name="Normal 13 2 3" xfId="3742" xr:uid="{A05EFD36-FFC2-4045-B403-8EEB9CC89FF2}"/>
    <cellStyle name="Normal 13 3" xfId="581" xr:uid="{4E8A12D8-CE9D-4B0B-BA44-0ACC658640E6}"/>
    <cellStyle name="Normal 13 3 2" xfId="3442" xr:uid="{4CB4B8BF-7F69-4CA7-B426-0C73E1C0388C}"/>
    <cellStyle name="Normal 13 3 3" xfId="3676" xr:uid="{7CB4829E-A39D-42ED-BD53-B0BB814E26DC}"/>
    <cellStyle name="Normal 13 4" xfId="3342" xr:uid="{F6DE4001-2A2A-480A-B513-3051F95CA3B1}"/>
    <cellStyle name="Normal 13 4 2" xfId="3785" xr:uid="{6558D190-3D32-4F87-B8D2-60A599679DCD}"/>
    <cellStyle name="Normal 13 5" xfId="3596" xr:uid="{180C1F51-7BF9-4D7C-98BC-0279E49AAEC7}"/>
    <cellStyle name="Normal 14" xfId="435" xr:uid="{7C333AD3-D0C6-4A22-92C0-0FBB3BDBD8EC}"/>
    <cellStyle name="Normal 14 2" xfId="546" xr:uid="{457095E7-9AE7-43F6-9A9E-B079E4EFEB50}"/>
    <cellStyle name="Normal 14 2 2" xfId="3410" xr:uid="{B48BCFF0-3383-4CB9-91F9-E0AE0C78C1D4}"/>
    <cellStyle name="Normal 14 2 2 2" xfId="3842" xr:uid="{3990BBE1-01FD-4DDC-97DE-6A12E74EDF5F}"/>
    <cellStyle name="Normal 14 2 3" xfId="3753" xr:uid="{FE9E73F0-EA31-436D-A764-1CDC84C183D9}"/>
    <cellStyle name="Normal 14 3" xfId="594" xr:uid="{BE2700EA-2683-4192-8521-BD0797299B1D}"/>
    <cellStyle name="Normal 14 3 2" xfId="3454" xr:uid="{840E0F49-6DC2-4B0A-BA81-CB4855DB7974}"/>
    <cellStyle name="Normal 14 3 3" xfId="3707" xr:uid="{08AD6096-9981-47A0-9206-B4EAE4ABF9D8}"/>
    <cellStyle name="Normal 14 4" xfId="3364" xr:uid="{6EBC442E-51F9-4170-8EF2-E830C69F3ABF}"/>
    <cellStyle name="Normal 14 4 2" xfId="3796" xr:uid="{DD7904A9-2AAB-4285-B006-67A41C6D9391}"/>
    <cellStyle name="Normal 14 5" xfId="3608" xr:uid="{E493AF04-F485-47F6-AD6B-82F3A367D69B}"/>
    <cellStyle name="Normal 15" xfId="438" xr:uid="{C64A82A7-E458-40B2-AAA8-741BB3C9D80F}"/>
    <cellStyle name="Normal 15 2" xfId="549" xr:uid="{67FBFD84-1751-4D33-B04F-A3D8B8F14953}"/>
    <cellStyle name="Normal 15 2 2" xfId="3413" xr:uid="{B837CD4D-BB45-42C1-8A0E-D59C219860A1}"/>
    <cellStyle name="Normal 15 2 2 2" xfId="3845" xr:uid="{7B0AEC2B-2562-424D-8D7B-8F761317DC32}"/>
    <cellStyle name="Normal 15 2 3" xfId="3756" xr:uid="{E7DE2654-03D4-4DD1-B8D7-2B98654C20C6}"/>
    <cellStyle name="Normal 15 3" xfId="597" xr:uid="{90ECD82A-B3FD-4EE0-862F-94BFAB71E2E3}"/>
    <cellStyle name="Normal 15 3 2" xfId="3457" xr:uid="{DCCEE50D-087C-438A-BB3B-738B903D7AEE}"/>
    <cellStyle name="Normal 15 3 3" xfId="3710" xr:uid="{F180916F-93EA-418C-89F7-9BAA5DF58463}"/>
    <cellStyle name="Normal 15 4" xfId="3367" xr:uid="{FA5E0A41-8F84-4B48-9359-3FA012772B5A}"/>
    <cellStyle name="Normal 15 4 2" xfId="3799" xr:uid="{5B3A7D73-054F-4287-BB62-739A3A72D4BA}"/>
    <cellStyle name="Normal 15 5" xfId="3611" xr:uid="{7AF6D4DE-85E9-4674-BA7C-2800AA7F7404}"/>
    <cellStyle name="Normal 16" xfId="442" xr:uid="{B45E4782-5017-4655-A882-0E5377003172}"/>
    <cellStyle name="Normal 16 2" xfId="552" xr:uid="{5646AD89-27D8-4242-BA5A-346C6007D7E5}"/>
    <cellStyle name="Normal 16 2 2" xfId="3416" xr:uid="{437A934D-BA28-471B-9FAD-20570D88BEA4}"/>
    <cellStyle name="Normal 16 2 2 2" xfId="3848" xr:uid="{9BD23407-A94A-4B89-B3B5-0C91660DCAA4}"/>
    <cellStyle name="Normal 16 2 3" xfId="3759" xr:uid="{0D6365DB-3AC7-48A2-8530-435522A2A9FB}"/>
    <cellStyle name="Normal 16 3" xfId="600" xr:uid="{CACF78CB-5BB4-4C0A-8677-55AA75D0C824}"/>
    <cellStyle name="Normal 16 3 2" xfId="3460" xr:uid="{A2C61C67-59FD-490E-8501-2F49A83FD7D4}"/>
    <cellStyle name="Normal 16 3 3" xfId="3713" xr:uid="{FE15B354-2ED9-4C6D-B902-147A8C663008}"/>
    <cellStyle name="Normal 16 4" xfId="3370" xr:uid="{BD22544A-AAF9-4834-A149-185D4158B36B}"/>
    <cellStyle name="Normal 16 4 2" xfId="3802" xr:uid="{619DC587-FB84-412E-911C-CFF1E9F324E0}"/>
    <cellStyle name="Normal 16 5" xfId="3614" xr:uid="{55BFEA99-DCDE-4115-8E4E-C33C0A9E23E0}"/>
    <cellStyle name="Normal 17" xfId="445" xr:uid="{E5F12CB0-E4E3-4710-A425-C1A752F8C687}"/>
    <cellStyle name="Normal 17 2" xfId="555" xr:uid="{8B38D6CF-1E74-40AF-88B8-AF80DA63D5B0}"/>
    <cellStyle name="Normal 17 2 2" xfId="3419" xr:uid="{C7DB5D36-F237-45FC-A015-DA1323850258}"/>
    <cellStyle name="Normal 17 2 2 2" xfId="3851" xr:uid="{C40A632A-D72A-4DC7-B47F-0073A4A3E9A5}"/>
    <cellStyle name="Normal 17 2 3" xfId="3762" xr:uid="{92CDD38D-0B74-463C-80AE-6E32BB7EDCFE}"/>
    <cellStyle name="Normal 17 3" xfId="603" xr:uid="{120E4894-8D4F-4444-B193-880312B2F46C}"/>
    <cellStyle name="Normal 17 3 2" xfId="3463" xr:uid="{7D857874-F172-4BA9-905C-E3A2939B97D5}"/>
    <cellStyle name="Normal 17 3 3" xfId="3716" xr:uid="{C02AC57E-56F7-4257-AA2F-8FA4DEB789A6}"/>
    <cellStyle name="Normal 17 4" xfId="3373" xr:uid="{BC56E87A-BC40-4F48-B4E3-A0490A212987}"/>
    <cellStyle name="Normal 17 4 2" xfId="3805" xr:uid="{3911B1B4-51EC-4789-9C73-CAD3DFDF5F33}"/>
    <cellStyle name="Normal 17 5" xfId="3617" xr:uid="{D8135455-91D8-4EB1-A149-84206D70E8A5}"/>
    <cellStyle name="Normal 18" xfId="448" xr:uid="{1D66F995-C6B3-4C5B-9D4A-9D577BC3D464}"/>
    <cellStyle name="Normal 18 2" xfId="605" xr:uid="{6BBB5BDF-FE86-4FDB-8896-7376B7DE5366}"/>
    <cellStyle name="Normal 18 2 2" xfId="3465" xr:uid="{E1AFEA15-6983-4470-9813-C497338A0B82}"/>
    <cellStyle name="Normal 18 2 3" xfId="3718" xr:uid="{8710D52B-6000-42AD-8D2D-B4C932747AB8}"/>
    <cellStyle name="Normal 18 3" xfId="3375" xr:uid="{22CF875C-68EB-4918-9BC2-9ABC404C3F7F}"/>
    <cellStyle name="Normal 18 3 2" xfId="3807" xr:uid="{8D725CA9-AE7C-42AE-BEA9-1C47A38A7A88}"/>
    <cellStyle name="Normal 18 4" xfId="3619" xr:uid="{CD1240B5-6FA5-45D1-8EB1-AF10B82BB713}"/>
    <cellStyle name="Normal 19" xfId="451" xr:uid="{FCD78DF2-A7F3-4EC5-8393-D6DBE1C7A8DC}"/>
    <cellStyle name="Normal 19 2" xfId="606" xr:uid="{C6EF9465-34B9-4165-AEF3-ACF7F2E94950}"/>
    <cellStyle name="Normal 19 2 2" xfId="3466" xr:uid="{BFCACCA1-A89E-4412-A3CA-F8C91510577F}"/>
    <cellStyle name="Normal 19 2 3" xfId="3721" xr:uid="{B130211B-FED4-4DA2-83B0-B10353B9FBD9}"/>
    <cellStyle name="Normal 19 3" xfId="3378" xr:uid="{D5A358D1-3BE1-49BE-9669-DF8E040A0170}"/>
    <cellStyle name="Normal 19 3 2" xfId="3810" xr:uid="{4ABD6398-9AF9-4377-BD5B-733CD585637E}"/>
    <cellStyle name="Normal 19 4" xfId="3622" xr:uid="{76D20E47-A19F-4054-A642-A06C1AD40DAE}"/>
    <cellStyle name="Normal 2" xfId="291" xr:uid="{00000000-0005-0000-0000-000023010000}"/>
    <cellStyle name="Normal 2 2" xfId="513" xr:uid="{5A4E899A-1A87-4326-B2E1-D3EEB20BCDD9}"/>
    <cellStyle name="Normal 2 3" xfId="3034" xr:uid="{17D2779B-4C7A-4EE1-8196-4C063033810E}"/>
    <cellStyle name="Normal 2 3 2" xfId="3677" xr:uid="{1400E3D3-20D6-426B-9703-4B421803907E}"/>
    <cellStyle name="Normal 20" xfId="453" xr:uid="{8EB10A29-C634-457D-872B-416A2C8FF156}"/>
    <cellStyle name="Normal 20 2" xfId="607" xr:uid="{B202530F-5EC2-4D4E-9EA5-ED7EA7BAC503}"/>
    <cellStyle name="Normal 20 2 2" xfId="3467" xr:uid="{D6118BD0-B20A-4A12-9256-9143D858DF97}"/>
    <cellStyle name="Normal 21" xfId="545" xr:uid="{52225439-4BD8-4F12-A696-C586207182F6}"/>
    <cellStyle name="Normal 21 2" xfId="608" xr:uid="{CB0C5B34-EF66-43C5-9CA2-625CB9ED1988}"/>
    <cellStyle name="Normal 21 2 2" xfId="3468" xr:uid="{F04B9097-D3DD-41FD-BC5E-9CEB59B05337}"/>
    <cellStyle name="Normal 22" xfId="557" xr:uid="{ED8F3601-BEBB-43BF-A145-C085612C7151}"/>
    <cellStyle name="Normal 22 2" xfId="609" xr:uid="{8E28E4C1-DBB7-4269-8722-D91647AAD75C}"/>
    <cellStyle name="Normal 22 2 2" xfId="3469" xr:uid="{CF2980BD-9E9F-4685-A18F-E000CB8D1BF0}"/>
    <cellStyle name="Normal 22 3" xfId="3421" xr:uid="{A7B31CCB-7982-4FBB-B936-B1F1E8845B6D}"/>
    <cellStyle name="Normal 23" xfId="558" xr:uid="{A693F73B-6A62-40EB-9FC2-6DF36A19E39F}"/>
    <cellStyle name="Normal 23 2" xfId="610" xr:uid="{A962EF8E-E28E-4255-BBAD-14E1A7CAEFDD}"/>
    <cellStyle name="Normal 23 2 2" xfId="3470" xr:uid="{5DB54F4C-EEFC-4A89-A032-DB52F7640579}"/>
    <cellStyle name="Normal 23 3" xfId="3422" xr:uid="{E280DAB5-8B67-40DC-B061-5461D5468170}"/>
    <cellStyle name="Normal 24" xfId="611" xr:uid="{4A7A7291-CFCB-4BA3-9CEE-7C264C634779}"/>
    <cellStyle name="Normal 24 2" xfId="3471" xr:uid="{39FD3FAA-FA35-444F-9380-EF9016F2C736}"/>
    <cellStyle name="Normal 25" xfId="612" xr:uid="{5A7A2C91-C70B-4E8D-ACAA-BB39983F9602}"/>
    <cellStyle name="Normal 25 2" xfId="3472" xr:uid="{024F7B02-6339-4277-A819-7F193752E92A}"/>
    <cellStyle name="Normal 26" xfId="613" xr:uid="{2561CBE7-0590-45F8-9F7A-09783AF35038}"/>
    <cellStyle name="Normal 26 2" xfId="3473" xr:uid="{AD086303-3C3D-4682-BFFF-FE3B3CDD1561}"/>
    <cellStyle name="Normal 27" xfId="614" xr:uid="{0445E256-4E92-4346-879C-8EF9C3BFB0F2}"/>
    <cellStyle name="Normal 27 2" xfId="3474" xr:uid="{16BD7458-5BEA-4036-9EC4-CA8CDE977783}"/>
    <cellStyle name="Normal 28" xfId="615" xr:uid="{512FF123-BE12-470C-8FA6-3D6F7F0D896C}"/>
    <cellStyle name="Normal 28 2" xfId="3475" xr:uid="{834679B1-9B9D-44D2-A9AD-E28F603ADB2D}"/>
    <cellStyle name="Normal 29" xfId="616" xr:uid="{3055A1A7-47BF-4BAD-AF02-08ECF9949DAC}"/>
    <cellStyle name="Normal 29 2" xfId="3476" xr:uid="{AC514452-8ACE-43C7-A21E-079F5BFDC33F}"/>
    <cellStyle name="Normal 3" xfId="292" xr:uid="{00000000-0005-0000-0000-000024010000}"/>
    <cellStyle name="Normal 3 2" xfId="293" xr:uid="{00000000-0005-0000-0000-000025010000}"/>
    <cellStyle name="Normal 3 2 2" xfId="515" xr:uid="{8D682482-BDB4-4746-AD59-F876AD0686EF}"/>
    <cellStyle name="Normal 3 2 2 2" xfId="3401" xr:uid="{54E4D8BA-BD5D-4449-A8EC-0FAAB446AFFB}"/>
    <cellStyle name="Normal 3 2 2 2 2" xfId="3833" xr:uid="{39B137E0-8A05-4C37-9D39-F58F45570F33}"/>
    <cellStyle name="Normal 3 2 2 3" xfId="3744" xr:uid="{5C23BCE9-AC1C-4A35-85FA-453DA0786918}"/>
    <cellStyle name="Normal 3 2 3" xfId="583" xr:uid="{B257588C-CC77-4BD1-8EA6-28AD5C934992}"/>
    <cellStyle name="Normal 3 2 3 2" xfId="3444" xr:uid="{F62A0887-605E-4604-A756-B3E9B92B5DAF}"/>
    <cellStyle name="Normal 3 2 3 3" xfId="3679" xr:uid="{85C40E36-416F-4922-9E92-8E3F53AEA265}"/>
    <cellStyle name="Normal 3 2 4" xfId="3344" xr:uid="{74E48F74-F1E4-430F-AA3E-2DAB6410F746}"/>
    <cellStyle name="Normal 3 2 4 2" xfId="3787" xr:uid="{EE18073D-B940-47AD-AF33-CCABDCCB3754}"/>
    <cellStyle name="Normal 3 2 5" xfId="3598" xr:uid="{2818E2FB-1ED3-4279-B3E4-70282BC72CE9}"/>
    <cellStyle name="Normal 3 3" xfId="514" xr:uid="{4EC99707-7884-461D-B39B-0BED8FB29DD0}"/>
    <cellStyle name="Normal 3 3 2" xfId="3400" xr:uid="{A5680CDA-8CB4-4B72-AF2D-E7288DFD3E9A}"/>
    <cellStyle name="Normal 3 3 2 2" xfId="3832" xr:uid="{E766D05E-588D-454A-9967-BB678EA23EEF}"/>
    <cellStyle name="Normal 3 3 3" xfId="3743" xr:uid="{5BD01DAD-1984-4C63-89A8-717B03FB8DAC}"/>
    <cellStyle name="Normal 3 4" xfId="582" xr:uid="{2C84FA3E-A998-4B1F-8E2F-9D587EAE1121}"/>
    <cellStyle name="Normal 3 4 2" xfId="3443" xr:uid="{EDA82D57-14C7-4CF2-9533-F83C617FD551}"/>
    <cellStyle name="Normal 3 4 3" xfId="3678" xr:uid="{70FAFECC-C0C6-40C2-9A03-FB71BACC8E5E}"/>
    <cellStyle name="Normal 3 5" xfId="3035" xr:uid="{628B225E-EBF7-41B3-AAA9-BFAA2831168F}"/>
    <cellStyle name="Normal 3 5 2" xfId="3786" xr:uid="{6F7275B7-377E-4562-A87B-5B75D5E4FF5B}"/>
    <cellStyle name="Normal 3 6" xfId="3343" xr:uid="{70A0411F-2501-4537-A540-BCD4A6DEF4A0}"/>
    <cellStyle name="Normal 3 7" xfId="3597" xr:uid="{C2A61837-C3A8-43E3-BEB6-98BF2C1027B1}"/>
    <cellStyle name="Normal 30" xfId="617" xr:uid="{3CC99BD6-2A11-49AE-A928-B5FA5429EDEC}"/>
    <cellStyle name="Normal 30 2" xfId="3477" xr:uid="{D56CCD7C-FF3F-4A01-8835-CADB8C3F1E9B}"/>
    <cellStyle name="Normal 31" xfId="618" xr:uid="{660A35BA-635B-4E4B-8342-5316E039A452}"/>
    <cellStyle name="Normal 31 2" xfId="3478" xr:uid="{C933F212-2AD4-4C91-A643-BAD78BEE068C}"/>
    <cellStyle name="Normal 32" xfId="619" xr:uid="{A2253589-B169-422C-809E-810C8A15B6A2}"/>
    <cellStyle name="Normal 32 2" xfId="3479" xr:uid="{98626193-479B-4016-8494-6B9AB55BC61F}"/>
    <cellStyle name="Normal 33" xfId="620" xr:uid="{FAE7EB90-4A03-4820-8FD6-6D183FCAE9F0}"/>
    <cellStyle name="Normal 33 2" xfId="3480" xr:uid="{A4F9957F-52D8-49ED-95F8-367EAA572CB2}"/>
    <cellStyle name="Normal 34" xfId="621" xr:uid="{19727843-B78D-44B2-A2B9-4B3CA0306858}"/>
    <cellStyle name="Normal 34 2" xfId="3481" xr:uid="{73951E5A-90E6-4477-B1FD-DE5B80146413}"/>
    <cellStyle name="Normal 35" xfId="622" xr:uid="{F410C4E4-A3D3-4DF9-AF37-75F0E6D39639}"/>
    <cellStyle name="Normal 35 2" xfId="3482" xr:uid="{E625950A-89DD-4CA4-A370-35604BDF5BD8}"/>
    <cellStyle name="Normal 36" xfId="623" xr:uid="{66CD144C-09CC-4743-A4C2-29777C15591E}"/>
    <cellStyle name="Normal 36 2" xfId="3483" xr:uid="{E6E01BFA-5E41-4ED2-B133-66FA26DB5A96}"/>
    <cellStyle name="Normal 37" xfId="624" xr:uid="{5725819E-5575-44AE-9934-72199A6518DE}"/>
    <cellStyle name="Normal 37 2" xfId="3484" xr:uid="{6C3D4C8D-14E8-4F00-81AE-578D1D3AE882}"/>
    <cellStyle name="Normal 38" xfId="625" xr:uid="{7564D80D-8946-47DD-BBCB-79B77E0FADC3}"/>
    <cellStyle name="Normal 38 2" xfId="3485" xr:uid="{C67A1C3F-1AEE-4A2C-9CCA-24D5F4EB88DB}"/>
    <cellStyle name="Normal 39" xfId="626" xr:uid="{95EF80DE-249B-46D2-B5BD-E9CF5683A9C7}"/>
    <cellStyle name="Normal 39 2" xfId="3486" xr:uid="{48F48AE6-2877-4A52-BFC6-CC4FB8C23C29}"/>
    <cellStyle name="Normal 4" xfId="294" xr:uid="{00000000-0005-0000-0000-000026010000}"/>
    <cellStyle name="Normal 4 2" xfId="516" xr:uid="{3EE61B4F-FF75-4FC7-AD5E-742A281427CB}"/>
    <cellStyle name="Normal 4 2 2" xfId="3402" xr:uid="{76F52129-EB4C-41EC-9F41-77564A67F694}"/>
    <cellStyle name="Normal 4 2 2 2" xfId="3834" xr:uid="{F37D5B23-ACF2-45AE-803A-C3831984D816}"/>
    <cellStyle name="Normal 4 2 3" xfId="3745" xr:uid="{D475E8B8-EF8C-4C27-B8C4-B0BA3AB2E06F}"/>
    <cellStyle name="Normal 4 3" xfId="584" xr:uid="{C8E8CCC2-CF4E-4DED-9899-83D58DC53B7E}"/>
    <cellStyle name="Normal 4 3 2" xfId="3445" xr:uid="{6B05503C-B472-487F-A6EE-A99FD241EC5B}"/>
    <cellStyle name="Normal 4 3 3" xfId="3680" xr:uid="{6F84E329-8285-4888-AB5D-1A3FB628DF14}"/>
    <cellStyle name="Normal 4 4" xfId="3036" xr:uid="{67C64ED3-2364-4D51-83E6-AFF46EDD135D}"/>
    <cellStyle name="Normal 4 4 2" xfId="3788" xr:uid="{37767A3F-1FCB-45A4-B1D0-34EB44801A1E}"/>
    <cellStyle name="Normal 4 5" xfId="3345" xr:uid="{1A7323F3-6019-4855-A2E6-C29154A27C78}"/>
    <cellStyle name="Normal 4 6" xfId="3599" xr:uid="{33E99BBE-A6BF-4E25-96A6-366165EB5626}"/>
    <cellStyle name="Normal 40" xfId="627" xr:uid="{CAD8D973-C5F6-4E88-93B5-4AA297089732}"/>
    <cellStyle name="Normal 40 2" xfId="3487" xr:uid="{3C9ADEBF-8674-4A19-9883-F6E73B618D7F}"/>
    <cellStyle name="Normal 41" xfId="628" xr:uid="{EE7805BF-95FE-450F-9B65-0DCE5E33C557}"/>
    <cellStyle name="Normal 41 2" xfId="3488" xr:uid="{453678BB-A9CF-4F28-A4F7-8BBACBC71A87}"/>
    <cellStyle name="Normal 42" xfId="629" xr:uid="{5F45DF9D-DD7A-4CEA-85A6-B7D3D2BBD86C}"/>
    <cellStyle name="Normal 42 2" xfId="3489" xr:uid="{B9F29F24-4CFE-42EA-9040-640F0BCBA9D3}"/>
    <cellStyle name="Normal 43" xfId="630" xr:uid="{719B61BA-0D67-4A0C-A441-FAB2FF0883D1}"/>
    <cellStyle name="Normal 43 2" xfId="3490" xr:uid="{7C290650-650C-4B23-BCA3-27FD57975DBB}"/>
    <cellStyle name="Normal 44" xfId="631" xr:uid="{38932E0B-0C77-40F7-9B4A-F6B6428C26FA}"/>
    <cellStyle name="Normal 44 2" xfId="3491" xr:uid="{01C41844-9D21-434E-8168-72317BBD6C36}"/>
    <cellStyle name="Normal 45" xfId="632" xr:uid="{20546CED-18E8-4151-A20D-E07BC0D2615B}"/>
    <cellStyle name="Normal 45 2" xfId="3492" xr:uid="{0FBF9122-AB99-4E2F-956D-3882B4808357}"/>
    <cellStyle name="Normal 46" xfId="633" xr:uid="{38BF2589-8468-4678-B87A-56C9F922019E}"/>
    <cellStyle name="Normal 46 2" xfId="3493" xr:uid="{640C9B58-D671-4201-9F67-120344A4796F}"/>
    <cellStyle name="Normal 47" xfId="634" xr:uid="{0BDE107D-14AD-4447-8DDF-9A2FBD020F65}"/>
    <cellStyle name="Normal 47 2" xfId="3494" xr:uid="{4DD4419A-A4C5-40C4-B9BA-3D253124C5B1}"/>
    <cellStyle name="Normal 48" xfId="635" xr:uid="{51FC83ED-1200-46C6-9AD3-AA2EC69F4A2E}"/>
    <cellStyle name="Normal 48 2" xfId="3495" xr:uid="{D8D989F6-0B16-4842-A078-2C6DE039CF9F}"/>
    <cellStyle name="Normal 49" xfId="636" xr:uid="{BB70BE11-80DA-4CF7-ABF1-CE71E7C56185}"/>
    <cellStyle name="Normal 49 2" xfId="3496" xr:uid="{C154A523-AA67-40D9-9CCB-F810E4AB6B23}"/>
    <cellStyle name="Normal 5" xfId="295" xr:uid="{00000000-0005-0000-0000-000027010000}"/>
    <cellStyle name="Normal 5 2" xfId="517" xr:uid="{60311C73-5A16-4A1F-8B64-338B3F546ACB}"/>
    <cellStyle name="Normal 5 2 2" xfId="3403" xr:uid="{F908FC0C-86FE-45B3-83CD-B6AA443529DC}"/>
    <cellStyle name="Normal 5 2 2 2" xfId="3835" xr:uid="{06BE291E-77B0-4D2C-9F95-7E5074AADB06}"/>
    <cellStyle name="Normal 5 2 3" xfId="3746" xr:uid="{F0DCC7F2-BAE7-49AD-900E-6B9BEA5D7D63}"/>
    <cellStyle name="Normal 5 3" xfId="585" xr:uid="{B9A8A1FD-9DED-435C-A647-72E03CC2E1BC}"/>
    <cellStyle name="Normal 5 3 2" xfId="3446" xr:uid="{B4F41C1C-E59C-4039-A94B-5A6518EF67C2}"/>
    <cellStyle name="Normal 5 3 3" xfId="3681" xr:uid="{6E2AC6A0-4244-4271-9A49-B3077343EEA2}"/>
    <cellStyle name="Normal 5 4" xfId="3037" xr:uid="{06260764-3C5A-4272-99DA-CDD5B93BBC2C}"/>
    <cellStyle name="Normal 5 4 2" xfId="3789" xr:uid="{53C49343-3C6F-408A-9C21-1E4BBBF6C0AD}"/>
    <cellStyle name="Normal 5 5" xfId="3346" xr:uid="{4E48F9AC-09A8-4417-81DB-FA38A9FAAF39}"/>
    <cellStyle name="Normal 5 6" xfId="3600" xr:uid="{32E2DB6D-D72B-4737-BB0D-B9A540F4E29D}"/>
    <cellStyle name="Normal 50" xfId="637" xr:uid="{B58F9A7B-894C-4F45-9D55-B3365654D407}"/>
    <cellStyle name="Normal 50 2" xfId="3497" xr:uid="{1D77BC1A-8DBE-49FD-80C4-BF4A4A92516D}"/>
    <cellStyle name="Normal 51" xfId="638" xr:uid="{A441DC9C-0F06-42AF-8801-0C2A85FC5B9E}"/>
    <cellStyle name="Normal 51 2" xfId="3498" xr:uid="{D0B4EFC0-BB01-4532-BDCB-E1C52CD2009E}"/>
    <cellStyle name="Normal 52" xfId="639" xr:uid="{739D0A8D-1DD3-4EF0-89E2-012E3957FC2A}"/>
    <cellStyle name="Normal 52 2" xfId="3499" xr:uid="{90C0252B-F115-4245-9FE6-D6A7694441F2}"/>
    <cellStyle name="Normal 53" xfId="640" xr:uid="{0F30B1FA-2437-4042-8D81-9399F4C400E3}"/>
    <cellStyle name="Normal 53 2" xfId="3500" xr:uid="{CA6D582F-58E6-4506-8396-33561B621A23}"/>
    <cellStyle name="Normal 54" xfId="641" xr:uid="{7150A95F-87E3-496C-BDAD-46403377CF91}"/>
    <cellStyle name="Normal 54 2" xfId="3501" xr:uid="{11C37641-A1AF-4DB6-AC52-132BD7970BBE}"/>
    <cellStyle name="Normal 55" xfId="642" xr:uid="{DE0506D9-DB5E-4A78-8AC4-2FCAA844F72C}"/>
    <cellStyle name="Normal 55 2" xfId="3502" xr:uid="{30A67DA8-0516-4D07-AD11-38BFA14352D7}"/>
    <cellStyle name="Normal 56" xfId="643" xr:uid="{A2896639-C34C-436F-AB31-79BA6A983D69}"/>
    <cellStyle name="Normal 56 2" xfId="3503" xr:uid="{44BA6016-84E1-4D71-B2F5-D735782700FA}"/>
    <cellStyle name="Normal 57" xfId="644" xr:uid="{4E52EAE2-2A4F-43E9-8274-2CC19581D520}"/>
    <cellStyle name="Normal 57 2" xfId="3504" xr:uid="{A7BBF1FA-8AAF-4122-8C8A-5DC3D184D6DD}"/>
    <cellStyle name="Normal 58" xfId="645" xr:uid="{3A938058-D8CC-4177-B610-959E24C827A6}"/>
    <cellStyle name="Normal 58 2" xfId="3505" xr:uid="{281EBE3E-5AFB-4D70-9217-34D9EA118D94}"/>
    <cellStyle name="Normal 59" xfId="646" xr:uid="{45BF5C37-6F87-4FA9-899E-3D481E5F124B}"/>
    <cellStyle name="Normal 59 2" xfId="3506" xr:uid="{531690C3-451B-4080-A0D8-D247D6563B6C}"/>
    <cellStyle name="Normal 6" xfId="296" xr:uid="{00000000-0005-0000-0000-000028010000}"/>
    <cellStyle name="Normal 6 2" xfId="518" xr:uid="{3676DAFD-F3F5-4FE9-885E-5577EA8FB2FE}"/>
    <cellStyle name="Normal 6 2 2" xfId="3404" xr:uid="{266E3D8B-E971-441B-95D3-CF96B0203DCB}"/>
    <cellStyle name="Normal 6 2 2 2" xfId="3836" xr:uid="{CC9F50C3-73C3-4420-9246-DDDF86226AE0}"/>
    <cellStyle name="Normal 6 2 3" xfId="3747" xr:uid="{8305E3AC-2344-417D-A449-9B77C12E1EFD}"/>
    <cellStyle name="Normal 6 3" xfId="586" xr:uid="{95746AC6-DAE1-4F23-BEE7-6251B612C357}"/>
    <cellStyle name="Normal 6 3 2" xfId="3447" xr:uid="{208BA5B3-6379-41D9-B37B-3A3018ECC995}"/>
    <cellStyle name="Normal 6 3 3" xfId="3682" xr:uid="{D0ED3873-6B40-4A4D-BE42-DBC2F06C79BA}"/>
    <cellStyle name="Normal 6 4" xfId="3038" xr:uid="{1537CABD-AA2A-4ADC-B7C2-5E071DD6EFB1}"/>
    <cellStyle name="Normal 6 4 2" xfId="3790" xr:uid="{856581B2-4031-46DB-AB6B-C49B82310F47}"/>
    <cellStyle name="Normal 6 5" xfId="3347" xr:uid="{4E10E933-CC20-4350-B55A-74A9E4EF84A9}"/>
    <cellStyle name="Normal 6 6" xfId="3601" xr:uid="{BA727052-FB2A-49BF-86E0-25F4415BB65E}"/>
    <cellStyle name="Normal 60" xfId="647" xr:uid="{F3E1D284-999B-4B3E-B1B9-9F53C249589B}"/>
    <cellStyle name="Normal 60 2" xfId="3507" xr:uid="{D8F3B39B-E6BC-4C1F-8345-BE949DBF84DE}"/>
    <cellStyle name="Normal 61" xfId="648" xr:uid="{FAE5C43E-ACFC-4E83-91AF-B381FF172291}"/>
    <cellStyle name="Normal 61 2" xfId="3508" xr:uid="{424C4491-E6F3-4236-B223-C4F366D9B57E}"/>
    <cellStyle name="Normal 62" xfId="649" xr:uid="{69BE3CF0-D28C-43DB-AAF7-A906C7380AFA}"/>
    <cellStyle name="Normal 62 2" xfId="3509" xr:uid="{53714161-249E-4216-84DE-18F6C9E0EDB0}"/>
    <cellStyle name="Normal 63" xfId="650" xr:uid="{903517BB-AED7-4FD3-B019-90FC70620FEF}"/>
    <cellStyle name="Normal 63 2" xfId="3510" xr:uid="{41A94885-1B95-426F-93E7-D8B91420B977}"/>
    <cellStyle name="Normal 64" xfId="651" xr:uid="{1A0C854B-941A-4476-9773-0AD5942B2D4F}"/>
    <cellStyle name="Normal 64 2" xfId="3511" xr:uid="{EABD0776-1C84-46C0-BAEF-7999BF7E5F36}"/>
    <cellStyle name="Normal 65" xfId="652" xr:uid="{F47739A1-6D67-41A6-9CAD-26202EB9C03A}"/>
    <cellStyle name="Normal 65 2" xfId="3512" xr:uid="{164350A9-1480-4161-AC7F-DB2DC86C781C}"/>
    <cellStyle name="Normal 66" xfId="653" xr:uid="{25032AF2-360B-4C96-8E4C-E88213A77A4C}"/>
    <cellStyle name="Normal 66 2" xfId="3513" xr:uid="{21EE32CB-9C42-4FDD-97B4-31B00A2D5012}"/>
    <cellStyle name="Normal 67" xfId="654" xr:uid="{AD62D596-AA79-415C-AE87-84F81BF11E73}"/>
    <cellStyle name="Normal 67 2" xfId="3514" xr:uid="{19217BC7-B8C9-425A-A390-62EDB8C7FA92}"/>
    <cellStyle name="Normal 68" xfId="655" xr:uid="{5A10245D-1CD9-427F-AE4D-A39A7C406FF5}"/>
    <cellStyle name="Normal 68 2" xfId="3515" xr:uid="{9F27175D-3482-4C75-A102-D729C6F98D6A}"/>
    <cellStyle name="Normal 69" xfId="656" xr:uid="{D6F00A38-01A6-433D-A3FB-0860446E2B6D}"/>
    <cellStyle name="Normal 69 2" xfId="3516" xr:uid="{27656F46-9911-4CA3-8E54-757784820B94}"/>
    <cellStyle name="Normal 7" xfId="297" xr:uid="{00000000-0005-0000-0000-000029010000}"/>
    <cellStyle name="Normal 7 2" xfId="519" xr:uid="{9CDCF06E-EA44-48A0-97F2-AFB9E14AAFD8}"/>
    <cellStyle name="Normal 7 2 2" xfId="3405" xr:uid="{CBE2601A-E022-4310-8761-4AE757077D6F}"/>
    <cellStyle name="Normal 7 2 2 2" xfId="3837" xr:uid="{451DE3D9-3256-415E-922B-9A34E4C3ACAB}"/>
    <cellStyle name="Normal 7 2 3" xfId="3748" xr:uid="{9EF7D100-E36D-4E8D-8792-E1053F9F97F8}"/>
    <cellStyle name="Normal 7 3" xfId="587" xr:uid="{97E10A8F-3B50-4471-AEC5-4FDA4EFCEDB2}"/>
    <cellStyle name="Normal 7 3 2" xfId="3448" xr:uid="{239B28A4-637F-48B2-AFF5-C63789ACD225}"/>
    <cellStyle name="Normal 7 3 3" xfId="3683" xr:uid="{60EE4645-B202-4A3F-B029-263FB5A1B027}"/>
    <cellStyle name="Normal 7 4" xfId="3039" xr:uid="{DA0D7A73-5754-4620-B518-56942971D3AB}"/>
    <cellStyle name="Normal 7 4 2" xfId="3791" xr:uid="{6A1E910E-F963-4453-9F69-86D8BD8BAFF5}"/>
    <cellStyle name="Normal 7 5" xfId="3348" xr:uid="{85BDFBBD-A843-4E2E-A1A4-9297164AC114}"/>
    <cellStyle name="Normal 7 6" xfId="3602" xr:uid="{D0908EAE-008D-4615-927A-3C0BE5EF86BD}"/>
    <cellStyle name="Normal 70" xfId="657" xr:uid="{6B0F6A83-1B6D-49B3-979C-FB66D8602637}"/>
    <cellStyle name="Normal 70 2" xfId="3517" xr:uid="{C98B9175-88CF-4DFA-B749-A99C087C35A7}"/>
    <cellStyle name="Normal 71" xfId="658" xr:uid="{20DB6E6D-C53A-45C1-A69F-6BE776672B47}"/>
    <cellStyle name="Normal 71 2" xfId="3518" xr:uid="{606E4007-C4E6-4C3C-8FEB-8B8B2B84D745}"/>
    <cellStyle name="Normal 72" xfId="593" xr:uid="{17D7A12D-C956-4D55-AF85-847EB89C0DD3}"/>
    <cellStyle name="Normal 72 2" xfId="3453" xr:uid="{FF0393D5-28FD-4AFA-9FF1-16A2AB5C4E4A}"/>
    <cellStyle name="Normal 73" xfId="659" xr:uid="{351F526A-3FBE-4CA4-AD89-D5E6AC3B5460}"/>
    <cellStyle name="Normal 73 2" xfId="3519" xr:uid="{CE84AB0E-200E-4265-9356-F04052BD7F1F}"/>
    <cellStyle name="Normal 74" xfId="660" xr:uid="{04406F89-21E7-4A88-A1AF-532B749CAFB2}"/>
    <cellStyle name="Normal 75" xfId="661" xr:uid="{0623C579-27D8-4E9A-8253-668A0869394B}"/>
    <cellStyle name="Normal 75 2" xfId="3520" xr:uid="{86507A7C-CA52-4360-8D5E-30FCD00653A9}"/>
    <cellStyle name="Normal 76" xfId="662" xr:uid="{14B2303C-36B0-45C7-B28A-C2E7294AA5D4}"/>
    <cellStyle name="Normal 76 2" xfId="3521" xr:uid="{BC295EE6-1C30-4813-9D03-6C3509555AA5}"/>
    <cellStyle name="Normal 77" xfId="663" xr:uid="{F0DD1FA4-5BCC-4687-B74D-393E136D5361}"/>
    <cellStyle name="Normal 77 2" xfId="3522" xr:uid="{D5629E44-C2BF-4F93-A01A-9C816E6D9634}"/>
    <cellStyle name="Normal 78" xfId="664" xr:uid="{CAFB6EFD-3D79-4F5A-8C9A-06520AE67CF2}"/>
    <cellStyle name="Normal 78 2" xfId="3523" xr:uid="{784C2734-E326-4758-86C3-CBC94F1BE9F6}"/>
    <cellStyle name="Normal 79" xfId="665" xr:uid="{6C988CF9-E1DC-470C-A0C3-A0421F5F5203}"/>
    <cellStyle name="Normal 79 2" xfId="3524" xr:uid="{6B826CCD-D6FD-4ABA-A560-927EBEEA143E}"/>
    <cellStyle name="Normal 8" xfId="298" xr:uid="{00000000-0005-0000-0000-00002A010000}"/>
    <cellStyle name="Normal 8 2" xfId="520" xr:uid="{92249A3B-DF66-45A6-BA21-9D9D58B023EC}"/>
    <cellStyle name="Normal 8 2 2" xfId="3406" xr:uid="{DBE24A86-4B3D-4D1A-B8D9-93806C1840F5}"/>
    <cellStyle name="Normal 8 2 2 2" xfId="3838" xr:uid="{306B87F9-F381-4A88-9082-2BC05B8156BF}"/>
    <cellStyle name="Normal 8 2 3" xfId="3749" xr:uid="{ABC97C8E-8A6E-401D-BF51-016879309F27}"/>
    <cellStyle name="Normal 8 3" xfId="588" xr:uid="{63900DB6-DB00-4255-859F-AAD39FEFEFC5}"/>
    <cellStyle name="Normal 8 3 2" xfId="3449" xr:uid="{12021548-BECA-44D1-B758-6261E8C1EFA5}"/>
    <cellStyle name="Normal 8 3 3" xfId="3684" xr:uid="{D80EC24F-76DE-4693-9193-32DE95EF99B4}"/>
    <cellStyle name="Normal 8 4" xfId="3255" xr:uid="{8DE8141D-8042-4442-97DB-5B5A4E1A6FCC}"/>
    <cellStyle name="Normal 8 4 2" xfId="3544" xr:uid="{1BF9DD7A-3308-4A19-A41A-4B4AB2B789C3}"/>
    <cellStyle name="Normal 8 4 3" xfId="3792" xr:uid="{EB0EC611-2348-486D-823D-338C2B5AADD7}"/>
    <cellStyle name="Normal 8 5" xfId="3349" xr:uid="{37AE6A0C-D76E-4F70-82CE-A09919AE0364}"/>
    <cellStyle name="Normal 8 6" xfId="3603" xr:uid="{AE03C3BF-B5F8-4D75-BC51-ACD743CEFE4D}"/>
    <cellStyle name="Normal 80" xfId="667" xr:uid="{8C74E7DE-79F1-4D59-81A5-B4E56A9DDEFE}"/>
    <cellStyle name="Normal 80 2" xfId="3525" xr:uid="{344EE824-D1DA-4E46-A1CE-4FA9EA4898E8}"/>
    <cellStyle name="Normal 80 3" xfId="3856" xr:uid="{38880E4A-91CF-4C5C-A2E1-BF229E6227BA}"/>
    <cellStyle name="Normal 81" xfId="668" xr:uid="{C1FF0AF8-0408-42FB-8F5C-CBC24CC51418}"/>
    <cellStyle name="Normal 81 2" xfId="3526" xr:uid="{E6331343-5194-4AC7-BECF-B82747A9DA95}"/>
    <cellStyle name="Normal 82" xfId="669" xr:uid="{60E8483E-C3CB-476B-AF46-2150C4881815}"/>
    <cellStyle name="Normal 82 2" xfId="3527" xr:uid="{1E9D5B82-0D6C-488D-97A5-61B53947AC34}"/>
    <cellStyle name="Normal 83" xfId="670" xr:uid="{CB0FBE42-5D7F-4C4D-A198-ADC2C180F932}"/>
    <cellStyle name="Normal 83 2" xfId="3528" xr:uid="{7D3F6AA2-3D6A-4D12-978E-AED839F80284}"/>
    <cellStyle name="Normal 84" xfId="671" xr:uid="{929D812C-D592-4D45-9CD1-FE1DA62767A1}"/>
    <cellStyle name="Normal 84 2" xfId="3529" xr:uid="{BB41576B-D137-4B8F-A940-D75EC1C7BD72}"/>
    <cellStyle name="Normal 85" xfId="672" xr:uid="{D8A50F1E-597B-4925-B4BA-DBB610800C79}"/>
    <cellStyle name="Normal 85 2" xfId="3530" xr:uid="{72AFB9D7-D8B9-4930-B976-045D535BB107}"/>
    <cellStyle name="Normal 86" xfId="673" xr:uid="{643C746B-741D-4F1C-935A-66E56CAB0744}"/>
    <cellStyle name="Normal 86 2" xfId="3531" xr:uid="{8B31C77E-C148-4946-89E9-11EEE5A2B629}"/>
    <cellStyle name="Normal 87" xfId="674" xr:uid="{C5AE2CE6-340A-4419-8E6D-C1A1BD0B1763}"/>
    <cellStyle name="Normal 87 2" xfId="3532" xr:uid="{5025B393-10F0-421E-A503-4CFE7E4CD897}"/>
    <cellStyle name="Normal 88" xfId="676" xr:uid="{E6565FEA-AD24-42C2-B5FC-8CE79C3BA99A}"/>
    <cellStyle name="Normal 88 2" xfId="3533" xr:uid="{BE52D31F-1AC3-41EC-91C6-3FC4E76697FC}"/>
    <cellStyle name="Normal 89" xfId="677" xr:uid="{0821FF27-1454-4021-B30F-81FF21C3D116}"/>
    <cellStyle name="Normal 89 2" xfId="3534" xr:uid="{E3B7442A-4F11-4F01-8A40-ED8421A09921}"/>
    <cellStyle name="Normal 9" xfId="299" xr:uid="{00000000-0005-0000-0000-00002B010000}"/>
    <cellStyle name="Normal 9 2" xfId="521" xr:uid="{7B081932-328D-4F18-981E-F86C84D4374E}"/>
    <cellStyle name="Normal 9 2 2" xfId="3407" xr:uid="{EA4B4817-F4FA-47E8-BDCD-E645499FBCA4}"/>
    <cellStyle name="Normal 9 2 2 2" xfId="3839" xr:uid="{2E8191D3-A83B-426E-99BB-E479628E4C50}"/>
    <cellStyle name="Normal 9 2 3" xfId="3750" xr:uid="{AC601961-1170-4079-8F73-8B7C19A64165}"/>
    <cellStyle name="Normal 9 3" xfId="589" xr:uid="{DCF81D31-9221-4AF9-863B-9D48848B394A}"/>
    <cellStyle name="Normal 9 3 2" xfId="3450" xr:uid="{7FC3EB34-E878-4813-8E6E-F2600ED69E06}"/>
    <cellStyle name="Normal 9 3 3" xfId="3685" xr:uid="{4E4E5539-376C-4B5B-A0A4-85CC143B60AC}"/>
    <cellStyle name="Normal 9 4" xfId="3258" xr:uid="{0A01D44B-9424-41B8-95B0-D9CD9E51B5EA}"/>
    <cellStyle name="Normal 9 4 2" xfId="3547" xr:uid="{B43F7B0B-D8A4-48EC-847F-E4A815DBECF8}"/>
    <cellStyle name="Normal 9 4 3" xfId="3793" xr:uid="{1AB080C3-64C1-4492-9075-266990B22484}"/>
    <cellStyle name="Normal 9 5" xfId="3350" xr:uid="{00B5A31D-F300-43B4-B10C-9FB5639C8F7E}"/>
    <cellStyle name="Normal 9 6" xfId="3604" xr:uid="{1C8FE33C-A5CF-4DEC-9D12-CB73C669B546}"/>
    <cellStyle name="Normal 90" xfId="678" xr:uid="{FA19943B-DA61-4EFC-BC2B-E27F674F4711}"/>
    <cellStyle name="Normal 90 2" xfId="3535" xr:uid="{27FFEA1C-2B77-441D-85DD-8AC137079A7B}"/>
    <cellStyle name="Normal 91" xfId="679" xr:uid="{616B3790-2E82-4BE0-8CD9-E43749EA723C}"/>
    <cellStyle name="Normal 91 2" xfId="3536" xr:uid="{921E0612-A3C3-4016-9179-13F51E78E4E5}"/>
    <cellStyle name="Normal 92" xfId="680" xr:uid="{C9A62F57-2D0B-4846-9147-B81A465D7AB8}"/>
    <cellStyle name="Normal 92 2" xfId="3537" xr:uid="{E36687A5-09FE-430F-8D12-AC943C35E4B1}"/>
    <cellStyle name="Normal 93" xfId="681" xr:uid="{93C86948-3A79-4F1E-8BA4-CA7A0AF66739}"/>
    <cellStyle name="Normal 93 2" xfId="3538" xr:uid="{B6C7E176-B003-42F0-8E18-780D6586D106}"/>
    <cellStyle name="Normal 94" xfId="682" xr:uid="{FF9654AF-DF9A-47B0-8E93-CE57CFB5DA2B}"/>
    <cellStyle name="Normal 94 2" xfId="3539" xr:uid="{D94B1266-CF98-42DF-AA30-AA6B7DC4D338}"/>
    <cellStyle name="Normal 95" xfId="683" xr:uid="{4C411F4B-ECAE-467B-A63C-B3E9A9428692}"/>
    <cellStyle name="Normal 96" xfId="3305" xr:uid="{71076869-3663-4EDA-9D2F-56AAEED5EB4F}"/>
    <cellStyle name="Normal 96 2" xfId="3565" xr:uid="{763D9B88-D000-4D06-A1FA-5A5CE5A2AF33}"/>
    <cellStyle name="Normal 97" xfId="3308" xr:uid="{9685BC50-3C06-485E-9CFF-076F6ADE3D4E}"/>
    <cellStyle name="Normal 97 2" xfId="3568" xr:uid="{8429CB48-01EA-49C0-9953-7A9D6CE102B0}"/>
    <cellStyle name="Normal 98" xfId="3311" xr:uid="{73CFC80F-F894-43F7-9EF8-0FFDF269F80E}"/>
    <cellStyle name="Normal 98 2" xfId="3571" xr:uid="{8806EC57-7822-4C61-AB80-399096A2495E}"/>
    <cellStyle name="Normal 99" xfId="3312" xr:uid="{8CC5A9F2-8784-4EB9-A154-616231ECD9D4}"/>
    <cellStyle name="Normal 99 2" xfId="3572" xr:uid="{DE014E12-5D62-4DD2-AA96-269D520D4FD5}"/>
    <cellStyle name="Normal_Ahold3-backup" xfId="300" xr:uid="{00000000-0005-0000-0000-00002C010000}"/>
    <cellStyle name="Normal_Stock-Beta-Calculation-Tu (May 07)" xfId="301" xr:uid="{00000000-0005-0000-0000-00002D010000}"/>
    <cellStyle name="Normal1" xfId="3040" xr:uid="{6C0BB12A-BEB0-41B3-A008-072014694635}"/>
    <cellStyle name="Normal2" xfId="3041" xr:uid="{DED6E845-6BB9-4B45-8F14-BA454B1AAB6B}"/>
    <cellStyle name="Normal3" xfId="3042" xr:uid="{FBAC6DF5-C502-40E3-800E-56A8DBFBD0FD}"/>
    <cellStyle name="Normal4" xfId="3043" xr:uid="{D6F653D5-36B0-4D8E-9327-36F28876D49C}"/>
    <cellStyle name="NormalBold" xfId="3044" xr:uid="{EB4338CB-1084-46E7-8DDB-8A27CE2EA27E}"/>
    <cellStyle name="Note" xfId="302" builtinId="10"/>
    <cellStyle name="Note 2" xfId="303" xr:uid="{00000000-0005-0000-0000-00002F010000}"/>
    <cellStyle name="Note 2 2" xfId="523" xr:uid="{F897C094-9AA6-4A13-B935-5ECC81420897}"/>
    <cellStyle name="Note 2 2 2" xfId="3408" xr:uid="{03A26955-EDEF-477E-AC68-839C3C4B8F0D}"/>
    <cellStyle name="Note 2 2 2 2" xfId="3840" xr:uid="{76FA6CB0-DACB-4096-9559-F4CC456E9D11}"/>
    <cellStyle name="Note 2 2 3" xfId="3751" xr:uid="{E0019A70-E817-4C4D-94B0-CB928578566A}"/>
    <cellStyle name="Note 2 3" xfId="590" xr:uid="{757ED06E-7F5E-44AF-A7AB-8E7738AFDF3B}"/>
    <cellStyle name="Note 2 3 2" xfId="3451" xr:uid="{08852DB5-ED41-4E46-A285-F6D8C2DF27AE}"/>
    <cellStyle name="Note 2 3 3" xfId="3687" xr:uid="{B409D539-7E09-452A-BBA0-11D8ABE46A81}"/>
    <cellStyle name="Note 2 4" xfId="3277" xr:uid="{A336A9A8-ED2D-4E5F-8741-F86B49D2A00F}"/>
    <cellStyle name="Note 2 4 2" xfId="3550" xr:uid="{27EC486F-4DCB-42D9-8974-76CE24BBD2C5}"/>
    <cellStyle name="Note 2 4 3" xfId="3794" xr:uid="{21CA25C5-8F5F-4C52-83F6-F990ECA988DB}"/>
    <cellStyle name="Note 2 5" xfId="3351" xr:uid="{E8A58782-CFEF-4BB1-A338-A1C0F05E24F3}"/>
    <cellStyle name="Note 2 6" xfId="3605" xr:uid="{2260D547-9067-4119-8417-465C4E48D32A}"/>
    <cellStyle name="Note 3" xfId="522" xr:uid="{45041C42-5060-4F2B-A382-75E1D5B4DC81}"/>
    <cellStyle name="Note 4" xfId="3045" xr:uid="{32890D47-13A6-405D-B017-BC351FE43187}"/>
    <cellStyle name="Note 4 2" xfId="3686" xr:uid="{44103DFE-68FA-4A77-B59A-FA9AA44EF57D}"/>
    <cellStyle name="Notes" xfId="3046" xr:uid="{CC784990-AE6E-4EFC-9825-DFC82AF6F781}"/>
    <cellStyle name="Notiz" xfId="304" xr:uid="{00000000-0005-0000-0000-000030010000}"/>
    <cellStyle name="Notiz 2" xfId="3352" xr:uid="{CDDF46FB-15F3-48E0-83C7-F4C00375F2D4}"/>
    <cellStyle name="Number" xfId="3047" xr:uid="{96C6365C-AF00-4E89-9F3C-F017E6C8E2AF}"/>
    <cellStyle name="Numbers" xfId="3048" xr:uid="{D725C750-9012-4424-88CA-F875A87601A0}"/>
    <cellStyle name="Numbers - Bold" xfId="3049" xr:uid="{29370355-F6FB-416A-874A-69FE2A412BF7}"/>
    <cellStyle name="Numbers_Datastream" xfId="3050" xr:uid="{491E9D30-D234-40B0-B77A-D3D665480AFB}"/>
    <cellStyle name="Œ…‹æØ‚è [0.00]_GE 3 MINIMUM" xfId="3051" xr:uid="{E1C567D2-F201-48D6-87B3-C0A11D7DDB06}"/>
    <cellStyle name="Œ…‹æØ‚è_GE 3 MINIMUM" xfId="3052" xr:uid="{8A800166-5F81-419F-A0FB-D3FF7DC4AA32}"/>
    <cellStyle name="oft Excel]_x000d__x000a_Comment=open=/f ‚ðw’è‚·‚é‚ÆAƒ†[ƒU[’è‹`ŠÖ”‚ðŠÖ”“\‚è•t‚¯‚Ìˆê——‚É“o˜^‚·‚é‚±‚Æ‚ª‚Å‚«‚Ü‚·B_x000d__x000a_Maximized" xfId="305" xr:uid="{00000000-0005-0000-0000-000031010000}"/>
    <cellStyle name="omma [0]_Mktg Prog" xfId="306" xr:uid="{00000000-0005-0000-0000-000032010000}"/>
    <cellStyle name="ormal_Sheet1_1" xfId="307" xr:uid="{00000000-0005-0000-0000-000033010000}"/>
    <cellStyle name="Output 2" xfId="3272" xr:uid="{913DDDA3-1362-4601-896B-4FD068343220}"/>
    <cellStyle name="Output 3" xfId="3053" xr:uid="{ABA7EE90-AA92-445D-A16E-CE67723D6D5C}"/>
    <cellStyle name="Output Amounts" xfId="3054" xr:uid="{028EC60E-FB2A-4873-9BCF-359101199F22}"/>
    <cellStyle name="Output Column Headings" xfId="3055" xr:uid="{4384FC5C-D63A-4D81-8056-7CB2E0EFD36D}"/>
    <cellStyle name="Output Line Items" xfId="3056" xr:uid="{19AE15BD-A9D0-4204-AD6A-163DD9A5C7D6}"/>
    <cellStyle name="Output Report Heading" xfId="3057" xr:uid="{84B93720-093C-4F2C-B17E-B1716CB6C996}"/>
    <cellStyle name="Output Report Title" xfId="3058" xr:uid="{0087DE81-F21B-4156-A9E2-4D00C87EAD5D}"/>
    <cellStyle name="p" xfId="3059" xr:uid="{042E9989-FD33-4AB6-A0C7-F3AA666301D6}"/>
    <cellStyle name="p " xfId="3060" xr:uid="{7F9B28B3-39D7-4CBA-901E-D4E62782AC92}"/>
    <cellStyle name="p_Hershey_2006 DCF sol" xfId="3061" xr:uid="{418DFA62-2AE9-4BF3-A60F-C6A8A3571C6E}"/>
    <cellStyle name="paint" xfId="308" xr:uid="{00000000-0005-0000-0000-000034010000}"/>
    <cellStyle name="Pattern" xfId="309" xr:uid="{00000000-0005-0000-0000-000035010000}"/>
    <cellStyle name="PER" xfId="3062" xr:uid="{09E1DD84-A1F3-4AA1-BC60-73B2632B928A}"/>
    <cellStyle name="PER 2" xfId="3063" xr:uid="{F4D9A302-FCD0-476B-8264-EADA9E042A49}"/>
    <cellStyle name="Percent" xfId="310" builtinId="5"/>
    <cellStyle name="Percent [0]" xfId="311" xr:uid="{00000000-0005-0000-0000-000037010000}"/>
    <cellStyle name="Percent [00]" xfId="312" xr:uid="{00000000-0005-0000-0000-000038010000}"/>
    <cellStyle name="Percent [1]" xfId="3064" xr:uid="{E3916464-1F7F-477B-B2E0-3E23F3F14E6E}"/>
    <cellStyle name="Percent [2]" xfId="313" xr:uid="{00000000-0005-0000-0000-000039010000}"/>
    <cellStyle name="Percent 10" xfId="3353" xr:uid="{72030FD0-853E-4776-9840-7EB73BD57FC2}"/>
    <cellStyle name="Percent 11" xfId="3606" xr:uid="{FE90BD04-599C-4AFB-A95D-22BA525A1DCB}"/>
    <cellStyle name="Percent 13" xfId="314" xr:uid="{00000000-0005-0000-0000-00003A010000}"/>
    <cellStyle name="Percent 13 2" xfId="525" xr:uid="{C5DDF9E2-020B-4F5C-8803-F4D0CE44EAA1}"/>
    <cellStyle name="Percent 13 3" xfId="3688" xr:uid="{8A6905CE-E222-46CE-A455-651E0DA8DBDE}"/>
    <cellStyle name="Percent 2" xfId="315" xr:uid="{00000000-0005-0000-0000-00003B010000}"/>
    <cellStyle name="Percent 2 2" xfId="316" xr:uid="{00000000-0005-0000-0000-00003C010000}"/>
    <cellStyle name="Percent 2 2 2" xfId="527" xr:uid="{4596821F-A6E8-4A55-943F-002AEE94A84E}"/>
    <cellStyle name="Percent 2 2 3" xfId="3690" xr:uid="{6FD62A5E-233F-4BEF-9F46-8071A766A4D8}"/>
    <cellStyle name="Percent 2 3" xfId="317" xr:uid="{00000000-0005-0000-0000-00003D010000}"/>
    <cellStyle name="Percent 2 3 2" xfId="528" xr:uid="{9121BB7E-DAB0-4FAA-A9E0-47CBD8ECC9BC}"/>
    <cellStyle name="Percent 2 3 3" xfId="3691" xr:uid="{127242F9-668D-4EC8-9436-FA02484535E2}"/>
    <cellStyle name="Percent 2 4" xfId="318" xr:uid="{00000000-0005-0000-0000-00003E010000}"/>
    <cellStyle name="Percent 2 4 2" xfId="529" xr:uid="{8C30A0B6-C2D0-4175-BE23-312ADFF56EF4}"/>
    <cellStyle name="Percent 2 4 3" xfId="3692" xr:uid="{86E62555-DDAC-41AA-90C8-A03E7736B495}"/>
    <cellStyle name="Percent 2 5" xfId="526" xr:uid="{B934A944-9D9A-4578-9086-807FC60DA333}"/>
    <cellStyle name="Percent 2 6" xfId="3065" xr:uid="{AB0477F5-494A-41C2-AEAF-5F6B94F72642}"/>
    <cellStyle name="Percent 2 6 2" xfId="3689" xr:uid="{509E17AC-F64B-4845-ACEA-648CE65A41CC}"/>
    <cellStyle name="Percent 3" xfId="319" xr:uid="{00000000-0005-0000-0000-00003F010000}"/>
    <cellStyle name="Percent 3 2" xfId="320" xr:uid="{00000000-0005-0000-0000-000040010000}"/>
    <cellStyle name="Percent 3 2 2" xfId="531" xr:uid="{9EFCE089-AE0A-4D59-BDA0-F2EB137D660A}"/>
    <cellStyle name="Percent 3 2 3" xfId="3694" xr:uid="{3DE0F98C-1751-4896-BB1F-190A6104E24F}"/>
    <cellStyle name="Percent 3 3" xfId="530" xr:uid="{E62ECD8E-94B0-4CCB-A863-9B440984048C}"/>
    <cellStyle name="Percent 3 4" xfId="3066" xr:uid="{7D0AE974-0188-4883-BE1E-D8A86C41B83E}"/>
    <cellStyle name="Percent 3 4 2" xfId="3693" xr:uid="{82541739-F8C1-4034-B001-1BBFFA1F006B}"/>
    <cellStyle name="Percent 4" xfId="321" xr:uid="{00000000-0005-0000-0000-000041010000}"/>
    <cellStyle name="Percent 4 2" xfId="532" xr:uid="{844BDAC3-F06B-4D50-BECE-64F5C4239358}"/>
    <cellStyle name="Percent 4 3" xfId="3067" xr:uid="{642050A0-70B8-4078-AF53-24F82A8D48C6}"/>
    <cellStyle name="Percent 4 3 2" xfId="3695" xr:uid="{7D338C7B-3A27-438F-BED2-4C07BE0A4A64}"/>
    <cellStyle name="Percent 44" xfId="322" xr:uid="{00000000-0005-0000-0000-000042010000}"/>
    <cellStyle name="Percent 44 2" xfId="533" xr:uid="{F4CA9AEF-540B-46A1-94B4-49ABCCCE3EA6}"/>
    <cellStyle name="Percent 44 2 2" xfId="3409" xr:uid="{2933285E-8BB5-41B5-981F-58E50BC821D3}"/>
    <cellStyle name="Percent 44 2 2 2" xfId="3841" xr:uid="{6CBC6B1E-4D09-4389-ACAF-D13042CDE952}"/>
    <cellStyle name="Percent 44 2 3" xfId="3752" xr:uid="{8BCF2696-A709-485E-B72C-EA87985892FA}"/>
    <cellStyle name="Percent 44 3" xfId="592" xr:uid="{24D00F4F-A6F3-4265-A863-88AF97B74681}"/>
    <cellStyle name="Percent 44 3 2" xfId="3452" xr:uid="{9BC053E9-93A3-453B-B3B2-9087CD4A5C0B}"/>
    <cellStyle name="Percent 44 3 3" xfId="3696" xr:uid="{CEA3621C-A5C9-4E6A-AFF4-81024DA7719D}"/>
    <cellStyle name="Percent 44 4" xfId="3354" xr:uid="{D2010C92-9902-4DEA-8A7E-58334838D0D6}"/>
    <cellStyle name="Percent 44 4 2" xfId="3795" xr:uid="{913AC125-7F3C-4259-B5AA-CCBF6EC4710D}"/>
    <cellStyle name="Percent 44 5" xfId="3607" xr:uid="{0193C070-2C60-45C6-BAFD-C5E49CD23271}"/>
    <cellStyle name="Percent 5" xfId="323" xr:uid="{00000000-0005-0000-0000-000043010000}"/>
    <cellStyle name="Percent 5 2" xfId="534" xr:uid="{C32C29F4-EFFC-4C2E-B777-65077614E972}"/>
    <cellStyle name="Percent 5 3" xfId="3068" xr:uid="{630D00B8-8574-4B96-81FD-0DB237A24B65}"/>
    <cellStyle name="Percent 5 3 2" xfId="3697" xr:uid="{FA3C202B-17CD-498E-B75B-8BD6C196A573}"/>
    <cellStyle name="Percent 6" xfId="437" xr:uid="{0D26F333-BDD3-47E1-B105-3E3C64EF3587}"/>
    <cellStyle name="Percent 6 2" xfId="548" xr:uid="{A95E1C40-C31D-434D-94CC-DACCA20F287D}"/>
    <cellStyle name="Percent 6 2 2" xfId="3412" xr:uid="{4E1E3BA9-EA8F-482D-AEDB-23D8F5BC9D99}"/>
    <cellStyle name="Percent 6 2 2 2" xfId="3844" xr:uid="{64202341-20A9-435A-ACD2-0ABBE299B7D5}"/>
    <cellStyle name="Percent 6 2 3" xfId="3755" xr:uid="{D006EE74-8326-419E-ADA4-2CF78795B29D}"/>
    <cellStyle name="Percent 6 3" xfId="596" xr:uid="{AF64CC72-2A02-4B70-BDB5-6D5DDFC8954E}"/>
    <cellStyle name="Percent 6 3 2" xfId="3456" xr:uid="{45A85A65-0842-44AE-A0C6-76B557CA8C58}"/>
    <cellStyle name="Percent 6 3 3" xfId="3709" xr:uid="{786BEC4D-7F85-46E4-B122-63EC8B3E72A9}"/>
    <cellStyle name="Percent 6 4" xfId="3069" xr:uid="{F25591DE-FD90-426F-9BD6-1884501EB6BE}"/>
    <cellStyle name="Percent 6 4 2" xfId="3798" xr:uid="{5CBC62A9-350F-41D8-B42D-3BB72E181436}"/>
    <cellStyle name="Percent 6 5" xfId="3366" xr:uid="{CD14A29F-69F8-47BB-9A8F-FD4FBB81C174}"/>
    <cellStyle name="Percent 6 6" xfId="3610" xr:uid="{9F62CFD3-8B30-4980-8BC2-9F768CB8F122}"/>
    <cellStyle name="Percent 7" xfId="524" xr:uid="{04AB3D35-195B-41D1-B86D-8E1E7E50E2C8}"/>
    <cellStyle name="Percent 7 2" xfId="3070" xr:uid="{C3881F9F-DEB0-4E2C-880B-859D0369CFB0}"/>
    <cellStyle name="Percent 8" xfId="469" xr:uid="{B941D575-B70B-4A0E-8165-8903DFAAC032}"/>
    <cellStyle name="Percent 8 2" xfId="3257" xr:uid="{207E2A29-54C2-45B2-8503-2B7B258ACDC7}"/>
    <cellStyle name="Percent 8 2 2" xfId="3546" xr:uid="{6128D21A-BEE1-4EE6-9D90-E3E658E599DD}"/>
    <cellStyle name="Percent 9" xfId="591" xr:uid="{03662D20-51B1-430B-84BD-EEBFCD424492}"/>
    <cellStyle name="Percent 9 2" xfId="3260" xr:uid="{F6DEEEA5-8FC1-4F58-8D4F-009D9DBCB2D0}"/>
    <cellStyle name="Percent 9 2 2" xfId="3549" xr:uid="{DC71BE61-1113-492C-888E-7CA26705E26E}"/>
    <cellStyle name="Percent_Stock-Beta-Calculation-Tu (May 07)" xfId="324" xr:uid="{00000000-0005-0000-0000-000044010000}"/>
    <cellStyle name="Percent1" xfId="3071" xr:uid="{F2F7C5E9-64FE-4926-BF9F-77EC7A701592}"/>
    <cellStyle name="PERCENTAGE" xfId="325" xr:uid="{00000000-0005-0000-0000-000045010000}"/>
    <cellStyle name="Percentage 2" xfId="3072" xr:uid="{CB87E0CD-41DE-4BF8-A8F5-B16F53F09A8F}"/>
    <cellStyle name="PETable[1]" xfId="3073" xr:uid="{C31E6422-A6F1-403D-A9BF-44D40407D698}"/>
    <cellStyle name="phat" xfId="326" xr:uid="{00000000-0005-0000-0000-000046010000}"/>
    <cellStyle name="PrePop Currency (0)" xfId="327" xr:uid="{00000000-0005-0000-0000-000047010000}"/>
    <cellStyle name="PrePop Currency (2)" xfId="328" xr:uid="{00000000-0005-0000-0000-000048010000}"/>
    <cellStyle name="PrePop Units (0)" xfId="329" xr:uid="{00000000-0005-0000-0000-000049010000}"/>
    <cellStyle name="PrePop Units (1)" xfId="330" xr:uid="{00000000-0005-0000-0000-00004A010000}"/>
    <cellStyle name="PrePop Units (2)" xfId="331" xr:uid="{00000000-0005-0000-0000-00004B010000}"/>
    <cellStyle name="Price" xfId="3074" xr:uid="{31431688-B1A9-4512-B537-D1B31385FBD9}"/>
    <cellStyle name="pricing" xfId="332" xr:uid="{00000000-0005-0000-0000-00004C010000}"/>
    <cellStyle name="Problem" xfId="3075" xr:uid="{8F0B7D2D-92EE-42FF-8253-A180FFE50304}"/>
    <cellStyle name="PSChar" xfId="333" xr:uid="{00000000-0005-0000-0000-00004D010000}"/>
    <cellStyle name="PSHeading" xfId="334" xr:uid="{00000000-0005-0000-0000-00004E010000}"/>
    <cellStyle name="r" xfId="3076" xr:uid="{E8D6248F-9C75-43B2-A098-9E7D3B65C2FD}"/>
    <cellStyle name="Ratios" xfId="3077" xr:uid="{AE319AD1-AB2D-432A-88D4-957AA4F2E1E9}"/>
    <cellStyle name="Ratios[1]" xfId="3078" xr:uid="{8008212E-5541-40E3-A07F-887FA5BBC814}"/>
    <cellStyle name="Ratios[1] 2" xfId="3079" xr:uid="{4D6CD2B9-4308-4D95-97EE-F7A3C37B920F}"/>
    <cellStyle name="Ratios_hhi_IFRS_in progress_Jul 2012" xfId="3080" xr:uid="{CAFF8926-F2D9-4BCD-B93B-154CD6C409D8}"/>
    <cellStyle name="Recommendation" xfId="3081" xr:uid="{2AC6D4B1-892A-4470-82B6-57502E74D9E5}"/>
    <cellStyle name="Ref Numbers" xfId="3082" xr:uid="{B13B6A08-6ED3-4613-8A55-B7DC515D4A14}"/>
    <cellStyle name="Report Title" xfId="3083" xr:uid="{ECF74189-78E1-4C30-8C66-84A1E916DA9A}"/>
    <cellStyle name="revised" xfId="3084" xr:uid="{F759745A-E66E-4645-8241-6C849FE612C1}"/>
    <cellStyle name="s_HardInc " xfId="3085" xr:uid="{15F140B7-F8FC-4F9D-B327-223F21FB4A55}"/>
    <cellStyle name="s_Valuation " xfId="3086" xr:uid="{F9CF24A3-7164-4F6F-A654-1E37A37F4BF2}"/>
    <cellStyle name="s1" xfId="335" xr:uid="{00000000-0005-0000-0000-00004F010000}"/>
    <cellStyle name="Schlecht" xfId="336" xr:uid="{00000000-0005-0000-0000-000050010000}"/>
    <cellStyle name="section" xfId="3087" xr:uid="{B16637F1-5B51-4397-A674-53D20CC46AA7}"/>
    <cellStyle name="Sheet Title" xfId="337" xr:uid="{00000000-0005-0000-0000-000051010000}"/>
    <cellStyle name="Source Line" xfId="3088" xr:uid="{0BE911FF-617D-4A19-B82C-4B600211FA90}"/>
    <cellStyle name="Source/note" xfId="3089" xr:uid="{3A80B2CF-123A-452D-83AD-0C20D4A83633}"/>
    <cellStyle name="ssp " xfId="3090" xr:uid="{F732BDA7-55A4-452F-8105-727F048CDDE3}"/>
    <cellStyle name="Standard_Anpassen der Amortisation" xfId="338" xr:uid="{00000000-0005-0000-0000-000052010000}"/>
    <cellStyle name="Stil 1" xfId="339" xr:uid="{00000000-0005-0000-0000-000053010000}"/>
    <cellStyle name="Stock_Symbols" xfId="3091" xr:uid="{A7A1C0B4-E2A6-488E-9EBD-0C91DA6F63E5}"/>
    <cellStyle name="Style 1" xfId="340" xr:uid="{00000000-0005-0000-0000-000054010000}"/>
    <cellStyle name="Style 1 2" xfId="3092" xr:uid="{06FA50BF-421A-4C62-8552-111308A35E88}"/>
    <cellStyle name="Style 21" xfId="3093" xr:uid="{D28595F8-2F25-44EA-88A0-F6A7236C0C9E}"/>
    <cellStyle name="Style 22" xfId="3094" xr:uid="{6ED8178E-F9C1-4301-A8CE-2FA494C8E419}"/>
    <cellStyle name="Style 23" xfId="3095" xr:uid="{4AE1E7FC-C11C-4491-B7E3-C76507033645}"/>
    <cellStyle name="Style 24" xfId="3096" xr:uid="{9DCCF80E-A9E6-414D-B16F-E24EE4741E47}"/>
    <cellStyle name="Style 25" xfId="3097" xr:uid="{A498D545-2031-48AB-AE51-DEEEE6E889CD}"/>
    <cellStyle name="Style 26" xfId="3098" xr:uid="{22BC9F56-3E42-48A5-8156-63ECB5BE6E4A}"/>
    <cellStyle name="Style 27" xfId="3099" xr:uid="{30B34827-980F-4EB7-BFEA-8AD2DE424D4B}"/>
    <cellStyle name="Style 28" xfId="3100" xr:uid="{52536C4F-67DD-4DDA-8F95-95BE422C1801}"/>
    <cellStyle name="Style 29" xfId="3101" xr:uid="{5B81699F-0F09-4ECA-970A-32A4FFB86760}"/>
    <cellStyle name="Style 30" xfId="3102" xr:uid="{FFA05221-CC23-41A1-BC8C-A11A391E6E65}"/>
    <cellStyle name="Style 31" xfId="3103" xr:uid="{29425784-049F-416C-B58E-768799063FDE}"/>
    <cellStyle name="Style 32" xfId="3104" xr:uid="{3D9A00A6-20D3-44F9-B9E3-0645594778F8}"/>
    <cellStyle name="Style 33" xfId="3105" xr:uid="{0F9366CA-0B5A-49E2-B6D6-64D1BDCEC6AC}"/>
    <cellStyle name="Style 34" xfId="3106" xr:uid="{7C67546F-0482-4D72-9548-19216C58BB29}"/>
    <cellStyle name="Style 35" xfId="3107" xr:uid="{8C557497-7908-4130-84EB-3A1589B5E7FF}"/>
    <cellStyle name="Style 36" xfId="3108" xr:uid="{F1309375-E93F-44A6-88C5-C61CFE60348F}"/>
    <cellStyle name="Style 37" xfId="3109" xr:uid="{D2003396-5A89-42C8-856B-046F65D8D1BD}"/>
    <cellStyle name="Style 38" xfId="3110" xr:uid="{9022025E-3F38-4BBD-8009-FC2985E8F558}"/>
    <cellStyle name="Style 39" xfId="3111" xr:uid="{9460446F-BFB7-44B8-A103-BDABC985C016}"/>
    <cellStyle name="Style 40" xfId="3112" xr:uid="{DEC9D7B2-DB05-4522-A2DD-F21AFDE10EC2}"/>
    <cellStyle name="Style 41" xfId="3113" xr:uid="{256BA734-F879-4F7C-99F4-5B035C0B1C0D}"/>
    <cellStyle name="Style 42" xfId="3114" xr:uid="{4616F0E3-03A3-487A-ACB9-A753602AAAF3}"/>
    <cellStyle name="Style 43" xfId="3115" xr:uid="{B2077830-FFC8-4624-9915-E408598BAC5D}"/>
    <cellStyle name="Style 44" xfId="3116" xr:uid="{A682F654-1B5B-4B18-83D0-BEE711419945}"/>
    <cellStyle name="Style 45" xfId="3117" xr:uid="{8DCE8BBE-38F3-49DE-B547-0AFA8436F1A3}"/>
    <cellStyle name="Style 46" xfId="3118" xr:uid="{3490DDA7-04A1-4CBF-85A5-6C8EF23751C7}"/>
    <cellStyle name="Style 47" xfId="3119" xr:uid="{3005241A-5670-402F-888B-D11D523768D8}"/>
    <cellStyle name="Style 48" xfId="3120" xr:uid="{8F110450-FF0A-4A2B-873A-D3FCBE6C955C}"/>
    <cellStyle name="Style 49" xfId="3121" xr:uid="{96EA383E-BE28-4E19-8C94-FD5B15357769}"/>
    <cellStyle name="Style 50" xfId="3122" xr:uid="{267E0118-E479-4784-A80C-3E2D50337C6F}"/>
    <cellStyle name="Style 51" xfId="3123" xr:uid="{0D735E1B-E6ED-4640-B953-406F9AC02DF4}"/>
    <cellStyle name="Style 52" xfId="3124" xr:uid="{0203FF89-527E-4AE4-955B-03C5E50B1204}"/>
    <cellStyle name="Style 53" xfId="3125" xr:uid="{A462446D-331F-4954-9E93-77663E0ADEEB}"/>
    <cellStyle name="Style 54" xfId="3126" xr:uid="{8A6ADB10-096F-4BF6-B4C6-7EE3BA8F74B6}"/>
    <cellStyle name="Style 55" xfId="3127" xr:uid="{BBA82AD8-B9B3-4C5E-BAA8-70D206FDBA97}"/>
    <cellStyle name="Style 56" xfId="3128" xr:uid="{EDDED582-643A-4D9C-A2C2-D318385899C6}"/>
    <cellStyle name="Style 57" xfId="3129" xr:uid="{04D9C6D6-0E2D-4853-894A-FCF4CFB6D585}"/>
    <cellStyle name="Style 58" xfId="3130" xr:uid="{F6D7AC38-73B4-44ED-8F2A-B4FAA7A438E4}"/>
    <cellStyle name="Style 59" xfId="3131" xr:uid="{521CC389-6D5A-4191-83C6-2478FA381B25}"/>
    <cellStyle name="Style 60" xfId="3132" xr:uid="{3AFC1A54-FD61-456A-A11B-A1CB233ADB51}"/>
    <cellStyle name="Style 61" xfId="3133" xr:uid="{D391F1A9-1B79-4F69-87E0-97D5B4817CD9}"/>
    <cellStyle name="Style 62" xfId="3134" xr:uid="{90ABF7D6-B250-42AF-96C6-AC439BEAC203}"/>
    <cellStyle name="Style 63" xfId="3135" xr:uid="{9EE168B3-9B4E-46A3-B142-D8CBF03BCCD5}"/>
    <cellStyle name="Style 65" xfId="3136" xr:uid="{F9C6F01E-F3DB-4295-BD41-7AB9444FDE37}"/>
    <cellStyle name="subhead" xfId="341" xr:uid="{00000000-0005-0000-0000-000055010000}"/>
    <cellStyle name="subhead 2" xfId="3137" xr:uid="{52F34358-95E8-403A-BF5A-E6E6A305C5B4}"/>
    <cellStyle name="SubTitle" xfId="3138" xr:uid="{E3F7EA12-8B24-46D4-8484-3AD561BAB93C}"/>
    <cellStyle name="SubTitle 2" xfId="3541" xr:uid="{EC69C624-BDB5-4CBA-8578-4B6E7E2C8D7C}"/>
    <cellStyle name="SubtotalData" xfId="3139" xr:uid="{CC125C7D-157A-4514-BEDC-3F23084A104F}"/>
    <cellStyle name="T" xfId="342" xr:uid="{00000000-0005-0000-0000-000056010000}"/>
    <cellStyle name="t 2" xfId="3140" xr:uid="{FD0247DD-B9E4-4C38-9109-BD7FC9DAB988}"/>
    <cellStyle name="T_12" xfId="343" xr:uid="{00000000-0005-0000-0000-000057010000}"/>
    <cellStyle name="T_12 2" xfId="3355" xr:uid="{F8A7B020-E70B-448D-A508-4C4E0C5390F3}"/>
    <cellStyle name="T_BANH MI DOT 2.04.07 CHI TRANG" xfId="344" xr:uid="{00000000-0005-0000-0000-000058010000}"/>
    <cellStyle name="T_BANH MI DOT 2.04.07 CHI TRANG 2" xfId="3356" xr:uid="{1A07D456-8138-4C3C-8D6B-20BDE194E464}"/>
    <cellStyle name="T_Bao cao kttb milk yomilkYAO-mien bac" xfId="345" xr:uid="{00000000-0005-0000-0000-000059010000}"/>
    <cellStyle name="T_bc_km_ngay" xfId="346" xr:uid="{00000000-0005-0000-0000-00005A010000}"/>
    <cellStyle name="T_bhxh t6" xfId="347" xr:uid="{00000000-0005-0000-0000-00005B010000}"/>
    <cellStyle name="T_bhxh t6 2" xfId="3357" xr:uid="{E4352914-FC61-4D66-B5BF-7664C176B221}"/>
    <cellStyle name="T_bkdvcp200705" xfId="348" xr:uid="{00000000-0005-0000-0000-00005C010000}"/>
    <cellStyle name="T_BLG TT X4 (D2_04_07)" xfId="349" xr:uid="{00000000-0005-0000-0000-00005D010000}"/>
    <cellStyle name="T_Book1" xfId="350" xr:uid="{00000000-0005-0000-0000-00005E010000}"/>
    <cellStyle name="T_Book1 2" xfId="535" xr:uid="{68481986-2BF3-4CBE-AE52-C801D00F65A5}"/>
    <cellStyle name="T_Book1 3" xfId="3698" xr:uid="{66F4991B-B6FD-4754-86F7-55BEA76ECA69}"/>
    <cellStyle name="T_Cac bao cao TB  Milk-Yomilk-co Ke- CK 1-Vinh Thang" xfId="351" xr:uid="{00000000-0005-0000-0000-00005F010000}"/>
    <cellStyle name="T_Cac bao cao TB  Milk-Yomilk-co Ke- CK 1-Vinh Thang 2" xfId="536" xr:uid="{02A1164C-CF49-4667-97BF-6D606C42EAF2}"/>
    <cellStyle name="T_Cac bao cao TB  Milk-Yomilk-co Ke- CK 1-Vinh Thang 3" xfId="3699" xr:uid="{D8186BA0-492F-480A-9603-EBEA6054E9ED}"/>
    <cellStyle name="T_cham diem Milk chu ky2-ANH MINH" xfId="352" xr:uid="{00000000-0005-0000-0000-000060010000}"/>
    <cellStyle name="T_cham trung bay ck 1 m.Bac milk co ke 2" xfId="353" xr:uid="{00000000-0005-0000-0000-000061010000}"/>
    <cellStyle name="T_cham trung bay yao smart milk ck 2 mien Bac" xfId="354" xr:uid="{00000000-0005-0000-0000-000062010000}"/>
    <cellStyle name="T_cham trung bay yao smart milk ck 2 mien Bac 2" xfId="537" xr:uid="{DAEFBA80-7FAE-4C08-B08E-39AD7E98D9AF}"/>
    <cellStyle name="T_cham trung bay yao smart milk ck 2 mien Bac 3" xfId="3700" xr:uid="{36B26A5C-FB66-447D-88AC-270163B828B4}"/>
    <cellStyle name="T_cuong" xfId="355" xr:uid="{00000000-0005-0000-0000-000063010000}"/>
    <cellStyle name="T_CUPCAKE DOT 2.04.07 CHI TRANG" xfId="356" xr:uid="{00000000-0005-0000-0000-000064010000}"/>
    <cellStyle name="T_CUPCAKE DOT 2.04.07 CHI TRANG 2" xfId="3358" xr:uid="{7377CCA0-8996-4E22-B155-B35D2678437F}"/>
    <cellStyle name="T_danh sach chua nop bcao trung bay sua chua  tinh den 1-3-06" xfId="357" xr:uid="{00000000-0005-0000-0000-000065010000}"/>
    <cellStyle name="T_danh sach chua nop bcao trung bay sua chua  tinh den 1-3-06 2" xfId="538" xr:uid="{3A2F4EEC-DB09-4E05-BEBE-B12E595FE90F}"/>
    <cellStyle name="T_danh sach chua nop bcao trung bay sua chua  tinh den 1-3-06 3" xfId="3701" xr:uid="{75FE2550-B0B1-4E67-9609-CB35C9171003}"/>
    <cellStyle name="T_Danh sach KH TB MilkYomilk Yao  Smart chu ky 2-Vinh Thang" xfId="358" xr:uid="{00000000-0005-0000-0000-000066010000}"/>
    <cellStyle name="T_Danh sach KH TB MilkYomilk Yao  Smart chu ky 2-Vinh Thang 2" xfId="539" xr:uid="{916B58A9-6C3B-4144-9296-FF96A75C1BA9}"/>
    <cellStyle name="T_Danh sach KH TB MilkYomilk Yao  Smart chu ky 2-Vinh Thang 3" xfId="3702" xr:uid="{9B372D49-7799-4576-9C03-119FC9F40D8A}"/>
    <cellStyle name="T_Danh sach KH trung bay MilkYomilk co ke chu ky 2-Vinh Thang" xfId="359" xr:uid="{00000000-0005-0000-0000-000067010000}"/>
    <cellStyle name="T_Danh sach KH trung bay MilkYomilk co ke chu ky 2-Vinh Thang 2" xfId="540" xr:uid="{C695CF8E-F072-4B18-A265-A5E30C5A0BFD}"/>
    <cellStyle name="T_Danh sach KH trung bay MilkYomilk co ke chu ky 2-Vinh Thang 3" xfId="3703" xr:uid="{B955BEDB-793C-459E-8A7E-F28EA28E1E82}"/>
    <cellStyle name="T_DS lop MTP_tong hop_Cum" xfId="360" xr:uid="{00000000-0005-0000-0000-000068010000}"/>
    <cellStyle name="T_DSACH MILK YO MILK CK 2 M.BAC" xfId="361" xr:uid="{00000000-0005-0000-0000-000069010000}"/>
    <cellStyle name="T_DSKH Tbay Milk , Yomilk CK 2 Vu Thi Hanh" xfId="362" xr:uid="{00000000-0005-0000-0000-00006A010000}"/>
    <cellStyle name="T_DSKH Tbay Milk , Yomilk CK 2 Vu Thi Hanh 2" xfId="541" xr:uid="{32A1F95C-1D62-473C-9293-0B28AF0654E6}"/>
    <cellStyle name="T_DSKH Tbay Milk , Yomilk CK 2 Vu Thi Hanh 3" xfId="3704" xr:uid="{E48C56F5-ECA7-4ECA-AC2A-927CC224A04B}"/>
    <cellStyle name="T_form ton kho CK 2 tuan 8" xfId="363" xr:uid="{00000000-0005-0000-0000-00006B010000}"/>
    <cellStyle name="T_GIAN TIEP THANG 6.07" xfId="364" xr:uid="{00000000-0005-0000-0000-00006C010000}"/>
    <cellStyle name="T_gt " xfId="365" xr:uid="{00000000-0005-0000-0000-00006D010000}"/>
    <cellStyle name="T_LGGFS2007_06" xfId="366" xr:uid="{00000000-0005-0000-0000-00006E010000}"/>
    <cellStyle name="T_LGGFS2007_12" xfId="367" xr:uid="{00000000-0005-0000-0000-00006F010000}"/>
    <cellStyle name="T_LGTaiXe2007_08" xfId="368" xr:uid="{00000000-0005-0000-0000-000070010000}"/>
    <cellStyle name="T_Luong VP-T06-07" xfId="369" xr:uid="{00000000-0005-0000-0000-000071010000}"/>
    <cellStyle name="T_Luong VP-T06-07 2" xfId="3359" xr:uid="{8614A83F-6953-41E5-9AE3-97B3A27EE8EA}"/>
    <cellStyle name="T_NPP Khanh Vinh Thai Nguyen - BC KTTB_CTrinh_TB__20_loc__Milk_Yomilk_CK1" xfId="370" xr:uid="{00000000-0005-0000-0000-000072010000}"/>
    <cellStyle name="T_NPP Khanh Vinh Thai Nguyen - BC KTTB_CTrinh_TB__20_loc__Milk_Yomilk_CK1 2" xfId="542" xr:uid="{E755D915-D72D-4299-981F-AC3866F8A2E8}"/>
    <cellStyle name="T_NPP Khanh Vinh Thai Nguyen - BC KTTB_CTrinh_TB__20_loc__Milk_Yomilk_CK1 3" xfId="3705" xr:uid="{16A38170-ED2F-4D73-B0FA-F801CA0DE25F}"/>
    <cellStyle name="T_Sheet1" xfId="371" xr:uid="{00000000-0005-0000-0000-000073010000}"/>
    <cellStyle name="T_sua chua cham trung bay  mien Bac" xfId="372" xr:uid="{00000000-0005-0000-0000-000074010000}"/>
    <cellStyle name="T_sua chua cham trung bay  mien Bac 2" xfId="543" xr:uid="{20529EA9-D959-437C-A2EC-928D33DAF328}"/>
    <cellStyle name="T_sua chua cham trung bay  mien Bac 3" xfId="3706" xr:uid="{31EBF788-08DD-4052-B2B6-12B1F707BE78}"/>
    <cellStyle name="T_T5T05" xfId="373" xr:uid="{00000000-0005-0000-0000-000075010000}"/>
    <cellStyle name="T_Theo doi nop thue" xfId="374" xr:uid="{00000000-0005-0000-0000-000076010000}"/>
    <cellStyle name="T_thue GTGT" xfId="375" xr:uid="{00000000-0005-0000-0000-000077010000}"/>
    <cellStyle name="T_thue GTGT 2" xfId="3360" xr:uid="{9E38EB64-273A-4B12-8BAA-5253DDC7DC32}"/>
    <cellStyle name="T_TX200701" xfId="376" xr:uid="{00000000-0005-0000-0000-000078010000}"/>
    <cellStyle name="T_ZCRT11" xfId="377" xr:uid="{00000000-0005-0000-0000-000079010000}"/>
    <cellStyle name="T_ZWAT11" xfId="378" xr:uid="{00000000-0005-0000-0000-00007A010000}"/>
    <cellStyle name="Table Head" xfId="3141" xr:uid="{1DD2EF33-7636-43EB-8BC2-8948B87FBD68}"/>
    <cellStyle name="Table Head Aligned" xfId="3142" xr:uid="{7BBA54C3-F1EF-4973-8E34-D50E163B868A}"/>
    <cellStyle name="Table headers" xfId="3143" xr:uid="{5526FBEE-8286-421E-8696-D987CE6C2C2C}"/>
    <cellStyle name="Table Heading" xfId="3144" xr:uid="{366B6896-73FD-4467-B68D-75CB97A3A312}"/>
    <cellStyle name="Table text" xfId="3145" xr:uid="{1E6FA57D-AC26-4CEE-9569-C748E7796D6C}"/>
    <cellStyle name="Table title" xfId="3146" xr:uid="{B2A65831-B6A6-46AA-9B3F-9FAAA667B44F}"/>
    <cellStyle name="Table Units" xfId="3147" xr:uid="{FE5925CC-C78A-4DB8-B721-4223AC3B76D7}"/>
    <cellStyle name="Table_Header" xfId="3148" xr:uid="{BF5DC231-D134-454A-AF29-2ED593E82A8A}"/>
    <cellStyle name="Text" xfId="3149" xr:uid="{72592A54-46F0-4701-804C-EC8295FA73F1}"/>
    <cellStyle name="Text _Titles" xfId="3150" xr:uid="{65D5F602-21FC-41F7-83F4-FE4C456C64D1}"/>
    <cellStyle name="Text Indent A" xfId="379" xr:uid="{00000000-0005-0000-0000-00007B010000}"/>
    <cellStyle name="Text Indent B" xfId="380" xr:uid="{00000000-0005-0000-0000-00007C010000}"/>
    <cellStyle name="Text Indent C" xfId="381" xr:uid="{00000000-0005-0000-0000-00007D010000}"/>
    <cellStyle name="Text_C3 Japan equip BtB" xfId="3151" xr:uid="{6AD1188C-2CF8-43E5-B4AF-D9D736C23300}"/>
    <cellStyle name="th" xfId="382" xr:uid="{00000000-0005-0000-0000-00007E010000}"/>
    <cellStyle name="þ_x001d_" xfId="383" xr:uid="{00000000-0005-0000-0000-00007F010000}"/>
    <cellStyle name="þ_x001d_ð¤_x000c_¯þ_x0014__x000d_¨þU_x0001_À_x0004_ _x0015__x000f__x0001__x0001_" xfId="384" xr:uid="{00000000-0005-0000-0000-000080010000}"/>
    <cellStyle name="þ_x001d_ðK_x000c_Fý_x001b__x000d_9ýU_x0001_Ð_x0008_¦)_x0007__x0001__x0001_" xfId="385" xr:uid="{00000000-0005-0000-0000-000081010000}"/>
    <cellStyle name="times" xfId="3152" xr:uid="{72158AEA-3C67-483C-8C26-BBE96E132867}"/>
    <cellStyle name="Times New Roman" xfId="3153" xr:uid="{E7541628-E23E-416A-85E9-C45A221DCD18}"/>
    <cellStyle name="tion" xfId="3154" xr:uid="{90EDDE3F-8F63-481B-9283-8B8AD380ED6F}"/>
    <cellStyle name="Title - Underline" xfId="3156" xr:uid="{70E09DE1-FCEF-4185-B205-FECBF92808F6}"/>
    <cellStyle name="Title 2" xfId="3263" xr:uid="{56C9E27C-A805-4835-A4FA-B00EF51CD8DA}"/>
    <cellStyle name="TITLE 3" xfId="3155" xr:uid="{5A76F556-C83F-4084-849B-1D4DE32D9977}"/>
    <cellStyle name="Title Box" xfId="3157" xr:uid="{B00F38BA-D459-4BE9-B7D4-B060980D8DC6}"/>
    <cellStyle name="Title Chart" xfId="3158" xr:uid="{10A30FDD-D07B-424F-836F-6F6C85A7C4B5}"/>
    <cellStyle name="Title Line" xfId="3159" xr:uid="{1119D036-BDBB-4942-8379-5F9218550859}"/>
    <cellStyle name="Title: 2 Lines" xfId="3160" xr:uid="{AD878C65-5351-4AE4-B366-3BCE6517BDD6}"/>
    <cellStyle name="Title: 2 Lines 2" xfId="3542" xr:uid="{ED3A4EDD-FF54-4F3C-BF94-D3B8C5203FD9}"/>
    <cellStyle name="title1" xfId="3161" xr:uid="{556B8877-037E-4CA7-8147-C34D28E1BF3C}"/>
    <cellStyle name="title2" xfId="3162" xr:uid="{DF2B4B2B-2CD4-46F9-8009-22B6E647E1E3}"/>
    <cellStyle name="Titles - Other" xfId="3163" xr:uid="{7EE9DCE2-AE7E-4925-9CCB-E0C63E54D8BB}"/>
    <cellStyle name="Top Row" xfId="3164" xr:uid="{6B8C76FE-D3EC-41E2-A102-13419A01FB50}"/>
    <cellStyle name="Top Row 2" xfId="3543" xr:uid="{5DC90A30-B9A9-42E7-ADF2-DD5F857E18D5}"/>
    <cellStyle name="Topline" xfId="3165" xr:uid="{29670C4B-612C-4590-98DE-3D27D71E1455}"/>
    <cellStyle name="Total 2" xfId="3167" xr:uid="{02502790-EA10-4AE6-BC61-B29E1ACDB20D}"/>
    <cellStyle name="Total 3" xfId="3168" xr:uid="{0C7FAEC8-8E34-44FA-817E-612838C72933}"/>
    <cellStyle name="Total 4" xfId="3169" xr:uid="{4D94A292-F297-4665-9C00-957396E58C11}"/>
    <cellStyle name="Total 5" xfId="3170" xr:uid="{D5F9AFB2-3B75-4422-8EFB-E4631AF1F549}"/>
    <cellStyle name="Total 6" xfId="3171" xr:uid="{022FF9E8-ADD5-4DC3-BA4D-7616C45C8076}"/>
    <cellStyle name="Total 7" xfId="3172" xr:uid="{63461CA5-D044-4166-9385-08C2AC0EE13D}"/>
    <cellStyle name="Total 8" xfId="3279" xr:uid="{2AA3DA80-5633-4496-A7F2-14F4A6857BCB}"/>
    <cellStyle name="Total 9" xfId="3166" xr:uid="{5F27101E-12A4-403B-86C1-923E26A2B9B9}"/>
    <cellStyle name="Total intermediaire" xfId="3173" xr:uid="{B68EF2C7-940B-49EC-A028-AF6E4E3582D3}"/>
    <cellStyle name="Total Row" xfId="3174" xr:uid="{40618D12-B138-4462-ACC6-D86531CB5C72}"/>
    <cellStyle name="ts" xfId="386" xr:uid="{00000000-0005-0000-0000-000082010000}"/>
    <cellStyle name="Überschrift" xfId="387" xr:uid="{00000000-0005-0000-0000-000083010000}"/>
    <cellStyle name="Überschrift 1" xfId="388" xr:uid="{00000000-0005-0000-0000-000084010000}"/>
    <cellStyle name="Überschrift 2" xfId="389" xr:uid="{00000000-0005-0000-0000-000085010000}"/>
    <cellStyle name="Überschrift 3" xfId="390" xr:uid="{00000000-0005-0000-0000-000086010000}"/>
    <cellStyle name="Überschrift 4" xfId="391" xr:uid="{00000000-0005-0000-0000-000087010000}"/>
    <cellStyle name="Überschrift_FPT- Valuation_1.1-Feb 2010" xfId="392" xr:uid="{00000000-0005-0000-0000-000088010000}"/>
    <cellStyle name="Underline_Double" xfId="3175" xr:uid="{496D8F9D-A7D3-44B8-BF7E-8E71698A68C7}"/>
    <cellStyle name="Verknüpfte Zelle" xfId="393" xr:uid="{00000000-0005-0000-0000-000089010000}"/>
    <cellStyle name="viet" xfId="394" xr:uid="{00000000-0005-0000-0000-00008A010000}"/>
    <cellStyle name="viet2" xfId="395" xr:uid="{00000000-0005-0000-0000-00008B010000}"/>
    <cellStyle name="VN new romanNormal" xfId="396" xr:uid="{00000000-0005-0000-0000-00008C010000}"/>
    <cellStyle name="VN time new roman" xfId="397" xr:uid="{00000000-0005-0000-0000-00008D010000}"/>
    <cellStyle name="vnbo" xfId="398" xr:uid="{00000000-0005-0000-0000-00008E010000}"/>
    <cellStyle name="vnbo 2" xfId="3361" xr:uid="{4DE44805-68C5-4346-80A5-C78B800083B5}"/>
    <cellStyle name="vnhead1" xfId="399" xr:uid="{00000000-0005-0000-0000-00008F010000}"/>
    <cellStyle name="vnhead2" xfId="400" xr:uid="{00000000-0005-0000-0000-000090010000}"/>
    <cellStyle name="vnhead2 2" xfId="3362" xr:uid="{E3E4E793-C227-4993-AAF6-3F407C04FFFB}"/>
    <cellStyle name="vnhead3" xfId="401" xr:uid="{00000000-0005-0000-0000-000091010000}"/>
    <cellStyle name="vnhead3 2" xfId="3363" xr:uid="{E4B9A691-BAA0-47F8-884E-CFA27BDD377D}"/>
    <cellStyle name="vnhead4" xfId="402" xr:uid="{00000000-0005-0000-0000-000092010000}"/>
    <cellStyle name="vntxt1" xfId="403" xr:uid="{00000000-0005-0000-0000-000093010000}"/>
    <cellStyle name="vntxt2" xfId="404" xr:uid="{00000000-0005-0000-0000-000094010000}"/>
    <cellStyle name="Währung [0]_68574_Materialbedarfsliste" xfId="405" xr:uid="{00000000-0005-0000-0000-000095010000}"/>
    <cellStyle name="Währung_68574_Materialbedarfsliste" xfId="406" xr:uid="{00000000-0005-0000-0000-000096010000}"/>
    <cellStyle name="Warnender Text" xfId="407" xr:uid="{00000000-0005-0000-0000-000097010000}"/>
    <cellStyle name="Warning Text 2" xfId="3276" xr:uid="{BB26B018-E547-44BB-BDB6-25FCAC84DEB9}"/>
    <cellStyle name="Warning Text 3" xfId="3176" xr:uid="{467756C3-A05E-4831-AD00-180193225778}"/>
    <cellStyle name="xuan" xfId="408" xr:uid="{00000000-0005-0000-0000-000098010000}"/>
    <cellStyle name="Y/N" xfId="3177" xr:uid="{7B583123-D075-4874-A2AC-17EAC8B1ECF4}"/>
    <cellStyle name="Y/N 2" xfId="3178" xr:uid="{EA696BD1-3EFE-4E5E-8F1A-DF8F8BC72C2C}"/>
    <cellStyle name="YearEnd" xfId="3179" xr:uid="{21B6FB89-E734-4BE8-B2C9-5735847F130D}"/>
    <cellStyle name="yellow" xfId="3180" xr:uid="{92FC0A0B-364F-4845-B511-29FA469EB31F}"/>
    <cellStyle name="yyyy" xfId="3181" xr:uid="{F00DC8B4-86B7-4ACD-9D72-9C5E78D68266}"/>
    <cellStyle name="Zelle überprüfen" xfId="409" xr:uid="{00000000-0005-0000-0000-000099010000}"/>
    <cellStyle name="ZZ_Date_d-mmm-yy" xfId="3182" xr:uid="{FF653114-465B-4525-B1F4-6877A0F6C0B7}"/>
    <cellStyle name="パーセント_QTBLNEW" xfId="3183" xr:uid="{65C3122E-E13C-4F6C-A5D2-1F8F4A429D7E}"/>
    <cellStyle name="เครื่องหมายสกุลเงิน [0]_FTC_OFFER" xfId="410" xr:uid="{00000000-0005-0000-0000-00009A010000}"/>
    <cellStyle name="เครื่องหมายสกุลเงิน_FTC_OFFER" xfId="411" xr:uid="{00000000-0005-0000-0000-00009B010000}"/>
    <cellStyle name="ปกติ_FTC_OFFER" xfId="412" xr:uid="{00000000-0005-0000-0000-00009C010000}"/>
    <cellStyle name=" [0.00]_ Att. 1- Cover" xfId="413" xr:uid="{00000000-0005-0000-0000-00009D010000}"/>
    <cellStyle name="_ Att. 1- Cover" xfId="414" xr:uid="{00000000-0005-0000-0000-00009E010000}"/>
    <cellStyle name="?_ Att. 1- Cover" xfId="415" xr:uid="{00000000-0005-0000-0000-00009F010000}"/>
    <cellStyle name="_x001d__x000a__x000c_'_x000d_ﾟV_x0001__x0012_ﾒ9_x0007__x0001__x0001_" xfId="3184" xr:uid="{EE9D2CE0-4A2A-4AA1-AF28-5759FFE9FF57}"/>
    <cellStyle name="_x001d__x000a__x000c_'_x000d_ﾟV_x0001__x0012_ﾒ9_x0007__x0001__x0001_ 2" xfId="3185" xr:uid="{731CCE65-AA47-4AA5-B924-4E8E71D68DE1}"/>
    <cellStyle name="강조색1 2" xfId="3186" xr:uid="{771EDA0D-6611-417B-884B-2A2FEDA82E9D}"/>
    <cellStyle name="강조색2 2" xfId="3187" xr:uid="{C8155D25-806F-4440-8F2A-2C788B4AB2CA}"/>
    <cellStyle name="강조색3 2" xfId="3188" xr:uid="{8B2F1A19-66E3-4BF0-927F-F4C308E749F8}"/>
    <cellStyle name="강조색4 2" xfId="3189" xr:uid="{2D99EB7F-943B-4718-9FB9-1B6435853E4E}"/>
    <cellStyle name="강조색5 2" xfId="3190" xr:uid="{AF6AD504-522E-448C-AF9A-BDEDD9B6C728}"/>
    <cellStyle name="강조색6 2" xfId="3191" xr:uid="{FD9DCCDC-FFC3-493D-906A-26DF6638DF8B}"/>
    <cellStyle name="경고문 2" xfId="3192" xr:uid="{BF538552-2559-444D-B875-D5F79DC1BFEF}"/>
    <cellStyle name="계산 2" xfId="3193" xr:uid="{98518808-B1F5-440D-8AED-376AE453D158}"/>
    <cellStyle name="금액" xfId="3195" xr:uid="{F28DB34A-3180-42B5-B070-070121C345CD}"/>
    <cellStyle name="나쁨 2" xfId="3196" xr:uid="{3EAFF21E-338A-435D-891A-EAD2870AA4B8}"/>
    <cellStyle name="뒤에 오는 하이퍼링크_2001결산방향연말up(김대진)" xfId="3197" xr:uid="{EB040A7C-3E82-40D4-A855-48112FD5BAEA}"/>
    <cellStyle name="똿뗦먛귟 [0.00]_NT Server " xfId="3198" xr:uid="{93B1C15B-3E4C-4BB8-81E0-2B90D3805228}"/>
    <cellStyle name="똿뗦먛귟_NT Server " xfId="3199" xr:uid="{F5E641F8-72ED-487D-B922-ED87E3203DF6}"/>
    <cellStyle name="메모 2" xfId="3200" xr:uid="{8205794F-EDB0-41D3-B894-16E965678CC9}"/>
    <cellStyle name="믅됞 [0.00]_NT Server " xfId="3201" xr:uid="{54E294C3-43BD-4D3F-B257-CBF2059FC8B1}"/>
    <cellStyle name="믅됞_NT Server " xfId="3202" xr:uid="{7BA8F4AA-6892-409A-A93C-9C41B73838F0}"/>
    <cellStyle name="백분율 2" xfId="3203" xr:uid="{D20D4F60-9B5B-4E52-91E5-1ACFB35BA173}"/>
    <cellStyle name="백분율_95" xfId="416" xr:uid="{00000000-0005-0000-0000-0000A4010000}"/>
    <cellStyle name="보통 2" xfId="3204" xr:uid="{E1EC2174-EFF8-460A-B4DC-B722AFE14F90}"/>
    <cellStyle name="뷭?_BOOKSHIP" xfId="417" xr:uid="{00000000-0005-0000-0000-0000A5010000}"/>
    <cellStyle name="새귑[0]_롤痰삠悧 " xfId="3205" xr:uid="{3F285798-4163-49F7-B8C3-B5FB3DB101A6}"/>
    <cellStyle name="새귑_롤痰삠悧 " xfId="3206" xr:uid="{57FF8219-4895-4190-992C-97EA062E9E34}"/>
    <cellStyle name="설명 텍스트 2" xfId="3207" xr:uid="{1D4E6FCF-11E0-4210-8F46-11276BAC396D}"/>
    <cellStyle name="셀 확인 2" xfId="3208" xr:uid="{DD611897-E070-40A1-BC9D-7BDA794371CA}"/>
    <cellStyle name="쉼표 [0] 2" xfId="3209" xr:uid="{EEFF8B0B-3769-4997-A918-D172176783C9}"/>
    <cellStyle name="쉼표 2" xfId="3210" xr:uid="{A9BBF188-A454-4F71-B652-E2FD3EEF1B51}"/>
    <cellStyle name="쉼표 3" xfId="3211" xr:uid="{6D621DF4-66A4-442E-B016-5098E91F877C}"/>
    <cellStyle name="쉼표 4" xfId="3212" xr:uid="{F8A9FDFC-3DEE-4640-B2FE-8472EF3F9CA3}"/>
    <cellStyle name="쉼표 5" xfId="3213" xr:uid="{FA2BACB9-86CC-40E4-90E6-2C5FCF5ED98E}"/>
    <cellStyle name="쉼표 6" xfId="3214" xr:uid="{85270A31-6EEE-4192-8975-D9C2FDD4CF01}"/>
    <cellStyle name="쉼표 7" xfId="3215" xr:uid="{722B46BC-91DD-4C27-AD83-FA71D76BEC1D}"/>
    <cellStyle name="쉼표 8" xfId="3216" xr:uid="{0585812A-C458-4514-92B0-8DEE89F8F9C5}"/>
    <cellStyle name="쉼표 9" xfId="3217" xr:uid="{1DD040DE-6D17-46B0-AF74-F4EFE7ACB367}"/>
    <cellStyle name="스타일 1" xfId="3218" xr:uid="{1ACD4E3C-E18D-4042-8E1F-A928AE770021}"/>
    <cellStyle name="스타일 2" xfId="3219" xr:uid="{822A78C9-6064-4D90-A5E9-F26E27570568}"/>
    <cellStyle name="스타일 3" xfId="3220" xr:uid="{130A9A52-EDDE-4181-8ABD-722AD337055E}"/>
    <cellStyle name="스타일 4" xfId="3221" xr:uid="{33ED4321-3A13-486E-81B5-E09377A01C89}"/>
    <cellStyle name="스타일 5" xfId="3222" xr:uid="{7D5EF3AC-80F4-4276-8999-1ACBF8FFCFC2}"/>
    <cellStyle name="스타일 6" xfId="3223" xr:uid="{C0F07CD6-87AA-4B2B-BE12-18C61A0E5DE6}"/>
    <cellStyle name="스타일 7" xfId="3224" xr:uid="{88A4BE1F-8176-46CC-913D-467A1ABE2F04}"/>
    <cellStyle name="스타일 8" xfId="3225" xr:uid="{055EA437-1D81-4C97-BB00-6FE0EB11BB67}"/>
    <cellStyle name="연결된 셀 2" xfId="3226" xr:uid="{0C0B528A-5CD2-4C6C-A69E-B9CB5DDE82E3}"/>
    <cellStyle name="요약 2" xfId="3227" xr:uid="{B5D9EC2B-01D1-4EC9-9332-9D5041DC8F2D}"/>
    <cellStyle name="입력 2" xfId="3228" xr:uid="{6AB6764B-0131-43EE-A8CF-5CBCDBBE1E5F}"/>
    <cellStyle name="제목 1 2" xfId="3229" xr:uid="{4C412E18-CAD1-4F6E-BBE6-9B242517960E}"/>
    <cellStyle name="제목 2 2" xfId="3230" xr:uid="{37531D5B-8647-443E-96CD-1DB4D9EDA45C}"/>
    <cellStyle name="제목 3 2" xfId="3231" xr:uid="{F36DD817-CD02-40B0-AA22-3865DCD89B79}"/>
    <cellStyle name="제목 4 2" xfId="3232" xr:uid="{F5E0C096-3FC1-471E-9436-1DE3ADCAF2A9}"/>
    <cellStyle name="제목 5" xfId="3233" xr:uid="{0B8002F6-19F5-4B3E-88A8-615215C72B6D}"/>
    <cellStyle name="좋음 2" xfId="3234" xr:uid="{6D12BACD-C8BD-44F8-A562-F0A0D6BB6AD3}"/>
    <cellStyle name="준_회의소집 (3)산)(2)(2)용 (2) (" xfId="3235" xr:uid="{A948F831-6124-487C-B2E9-D60EF63B9040}"/>
    <cellStyle name="준_회의소집 (3)산)(2)(2)용 (2) (_Doosan Engine (July12)-1 em" xfId="3236" xr:uid="{40F39129-D310-463C-BC99-D1FCAAC4AE05}"/>
    <cellStyle name="준_회의소집 (3)산)(2)(2)용 (2) (_Hi-mart model for Alison (5 July 2011)" xfId="3237" xr:uid="{ECE11394-A661-41D2-B894-D000E1301362}"/>
    <cellStyle name="준_회의소집 (3)산)(2)(2)용 (2) (2)TS_선수금 (2)_선수금" xfId="3238" xr:uid="{115F18EF-A2C5-4959-B130-0BB9E180F9E7}"/>
    <cellStyle name="준_회의소집 (3)산)(2)(2)용 (2) (2)TS_선수금 (2)_선수금 (2)∢≜尢∢≜尢∢≜尢∢≜尢∢≜尢∢≜尢∢≜尢∢≜⑜Ⱓ⌣㬰剛摥≝≜尢∢≜尢∢≜尢∢≜尢∢≜尢∢≜尢∢≜尢∢≜尢∢≜尢∢≜尢∢≜尢∢≜尢∢≜尢∢≜尢∢≜尢∢≜尢∢≜渀置ᄰ" xfId="3239" xr:uid="{B1D47E0C-870F-47D4-8E8F-F307D66D8C38}"/>
    <cellStyle name="준_회의소집 (3)산)(2)(2)용 (2) (2)TS_선수금 (2)_선수금_Doosan Engine (July12)-1 em" xfId="3240" xr:uid="{5056CEA1-D387-4849-8AFC-A7C20B733F65}"/>
    <cellStyle name="준_회의소집 (3)산)(2)(2)용 (2) (2)TS_선수금 (2)_선수금_Hi-mart model for Alison (5 July 2011)" xfId="3241" xr:uid="{46D3336F-863C-476C-8D75-C1F1D1EA8CDB}"/>
    <cellStyle name="즂" xfId="3242" xr:uid="{91E70FFD-B925-43A7-AFC0-5F78254F87FE}"/>
    <cellStyle name="지정되지 않음" xfId="3243" xr:uid="{F2902E6D-84A5-4D1C-A338-0A354D31EEB1}"/>
    <cellStyle name="쬞\?1@" xfId="3244" xr:uid="{69E1472E-3F4C-4D73-ABB6-20EC94903C18}"/>
    <cellStyle name="출력 2" xfId="3245" xr:uid="{7251EF1A-B7C7-441B-B34A-08E769846CBE}"/>
    <cellStyle name="콤마 [ - 유형1" xfId="418" xr:uid="{00000000-0005-0000-0000-0000A6010000}"/>
    <cellStyle name="콤마 [ - 유형2" xfId="419" xr:uid="{00000000-0005-0000-0000-0000A7010000}"/>
    <cellStyle name="콤마 [ - 유형3" xfId="420" xr:uid="{00000000-0005-0000-0000-0000A8010000}"/>
    <cellStyle name="콤마 [ - 유형4" xfId="421" xr:uid="{00000000-0005-0000-0000-0000A9010000}"/>
    <cellStyle name="콤마 [ - 유형5" xfId="422" xr:uid="{00000000-0005-0000-0000-0000AA010000}"/>
    <cellStyle name="콤마 [ - 유형6" xfId="423" xr:uid="{00000000-0005-0000-0000-0000AB010000}"/>
    <cellStyle name="콤마 [ - 유형7" xfId="424" xr:uid="{00000000-0005-0000-0000-0000AC010000}"/>
    <cellStyle name="콤마 [ - 유형8" xfId="425" xr:uid="{00000000-0005-0000-0000-0000AD010000}"/>
    <cellStyle name="콤마 [0]_  종  합  " xfId="3246" xr:uid="{37BC190C-515D-43AB-9609-AFD54F11F2AC}"/>
    <cellStyle name="콤마_  종  합  " xfId="3247" xr:uid="{08A5FBD0-5077-424A-9F05-16FF7D46026E}"/>
    <cellStyle name="통화 [0]_1202" xfId="426" xr:uid="{00000000-0005-0000-0000-0000B0010000}"/>
    <cellStyle name="통화_1202" xfId="427" xr:uid="{00000000-0005-0000-0000-0000B1010000}"/>
    <cellStyle name="표준 2" xfId="3250" xr:uid="{35672F86-EBEC-415B-81B2-7F7487EC5165}"/>
    <cellStyle name="표준_(정보부문)월별인원계획" xfId="428" xr:uid="{00000000-0005-0000-0000-0000B2010000}"/>
    <cellStyle name="하이퍼링쁬" xfId="3252" xr:uid="{CA0E0E98-78EE-4ABF-895D-3AA6C5F894BD}"/>
    <cellStyle name="一般_00Q3902REV.1" xfId="429" xr:uid="{00000000-0005-0000-0000-0000B3010000}"/>
    <cellStyle name="千分位[0]_00Q3902REV.1" xfId="430" xr:uid="{00000000-0005-0000-0000-0000B4010000}"/>
    <cellStyle name="千分位_00Q3902REV.1" xfId="431" xr:uid="{00000000-0005-0000-0000-0000B5010000}"/>
    <cellStyle name="咬訌裝?report-2 " xfId="3194" xr:uid="{01F47165-0949-495C-8CEA-69746272870D}"/>
    <cellStyle name="桁区切り [0.00]_Book1" xfId="3253" xr:uid="{FD73D77E-8AA0-4DC2-AF7A-38C47A88BFD2}"/>
    <cellStyle name="桁区切り_Cap Spend Master File" xfId="3254" xr:uid="{3BA9BA16-EB07-48A1-BC3F-113864DDB4C5}"/>
    <cellStyle name="標準_300mmFab 整備状況図表用 " xfId="3251" xr:uid="{598CF087-A7BE-4ADA-A29C-951DA95ACCFD}"/>
    <cellStyle name="貨幣 [0]_00Q3902REV.1" xfId="432" xr:uid="{00000000-0005-0000-0000-0000B9010000}"/>
    <cellStyle name="貨幣[0]_BRE" xfId="433" xr:uid="{00000000-0005-0000-0000-0000BA010000}"/>
    <cellStyle name="貨幣_00Q3902REV.1" xfId="434" xr:uid="{00000000-0005-0000-0000-0000BB010000}"/>
    <cellStyle name="通貨 [0.00]_Cap Spend Master File" xfId="3248" xr:uid="{DE433DDC-923A-4152-A18C-3E07C2778EF1}"/>
    <cellStyle name="通貨_Cap Spend Master File" xfId="3249" xr:uid="{8C7B507C-F230-4292-B635-AEEFFFD3A1E2}"/>
  </cellStyles>
  <dxfs count="0"/>
  <tableStyles count="0" defaultTableStyle="TableStyleMedium9" defaultPivotStyle="PivotStyleLight16"/>
  <colors>
    <mruColors>
      <color rgb="FF808080"/>
      <color rgb="FFB2B2B2"/>
      <color rgb="FF0DB34C"/>
      <color rgb="FF0066FF"/>
      <color rgb="FF558ED5"/>
      <color rgb="FFFAC2A0"/>
      <color rgb="FF82F6AE"/>
      <color rgb="FF0066B3"/>
      <color rgb="FFF37021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50.xml"/><Relationship Id="rId1" Type="http://schemas.microsoft.com/office/2011/relationships/chartStyle" Target="style50.xml"/><Relationship Id="rId4" Type="http://schemas.openxmlformats.org/officeDocument/2006/relationships/chartUserShapes" Target="../drawings/drawing3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12.xml"/><Relationship Id="rId1" Type="http://schemas.microsoft.com/office/2011/relationships/chartStyle" Target="style112.xml"/><Relationship Id="rId4" Type="http://schemas.openxmlformats.org/officeDocument/2006/relationships/chartUserShapes" Target="../drawings/drawing7.xml"/></Relationships>
</file>

<file path=xl/charts/_rels/chart1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13.xml"/><Relationship Id="rId1" Type="http://schemas.microsoft.com/office/2011/relationships/chartStyle" Target="style113.xml"/><Relationship Id="rId4" Type="http://schemas.openxmlformats.org/officeDocument/2006/relationships/chartUserShapes" Target="../drawings/drawing8.xml"/></Relationships>
</file>

<file path=xl/charts/_rels/chart1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114.xml"/><Relationship Id="rId1" Type="http://schemas.microsoft.com/office/2011/relationships/chartStyle" Target="style114.xml"/><Relationship Id="rId4" Type="http://schemas.openxmlformats.org/officeDocument/2006/relationships/chartUserShapes" Target="../drawings/drawing9.xml"/></Relationships>
</file>

<file path=xl/charts/_rels/chart1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16.xml"/><Relationship Id="rId1" Type="http://schemas.microsoft.com/office/2011/relationships/chartStyle" Target="style116.xml"/><Relationship Id="rId4" Type="http://schemas.openxmlformats.org/officeDocument/2006/relationships/chartUserShapes" Target="../drawings/drawing11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5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26.xml.rels><?xml version="1.0" encoding="UTF-8" standalone="yes"?>
<Relationships xmlns="http://schemas.openxmlformats.org/package/2006/relationships"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2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28.xml.rels><?xml version="1.0" encoding="UTF-8" standalone="yes"?>
<Relationships xmlns="http://schemas.openxmlformats.org/package/2006/relationships"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29.xml.rels><?xml version="1.0" encoding="UTF-8" standalone="yes"?>
<Relationships xmlns="http://schemas.openxmlformats.org/package/2006/relationships"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130.xml.rels><?xml version="1.0" encoding="UTF-8" standalone="yes"?>
<Relationships xmlns="http://schemas.openxmlformats.org/package/2006/relationships"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_rels/chart131.xml.rels><?xml version="1.0" encoding="UTF-8" standalone="yes"?>
<Relationships xmlns="http://schemas.openxmlformats.org/package/2006/relationships"><Relationship Id="rId2" Type="http://schemas.microsoft.com/office/2011/relationships/chartColorStyle" Target="colors128.xml"/><Relationship Id="rId1" Type="http://schemas.microsoft.com/office/2011/relationships/chartStyle" Target="style128.xml"/></Relationships>
</file>

<file path=xl/charts/_rels/chart133.xml.rels><?xml version="1.0" encoding="UTF-8" standalone="yes"?>
<Relationships xmlns="http://schemas.openxmlformats.org/package/2006/relationships"><Relationship Id="rId2" Type="http://schemas.microsoft.com/office/2011/relationships/chartColorStyle" Target="colors129.xml"/><Relationship Id="rId1" Type="http://schemas.microsoft.com/office/2011/relationships/chartStyle" Target="style129.xml"/></Relationships>
</file>

<file path=xl/charts/_rels/chart134.xml.rels><?xml version="1.0" encoding="UTF-8" standalone="yes"?>
<Relationships xmlns="http://schemas.openxmlformats.org/package/2006/relationships"><Relationship Id="rId2" Type="http://schemas.microsoft.com/office/2011/relationships/chartColorStyle" Target="colors130.xml"/><Relationship Id="rId1" Type="http://schemas.microsoft.com/office/2011/relationships/chartStyle" Target="style130.xml"/></Relationships>
</file>

<file path=xl/charts/_rels/chart135.xml.rels><?xml version="1.0" encoding="UTF-8" standalone="yes"?>
<Relationships xmlns="http://schemas.openxmlformats.org/package/2006/relationships"><Relationship Id="rId2" Type="http://schemas.microsoft.com/office/2011/relationships/chartColorStyle" Target="colors131.xml"/><Relationship Id="rId1" Type="http://schemas.microsoft.com/office/2011/relationships/chartStyle" Target="style131.xml"/></Relationships>
</file>

<file path=xl/charts/_rels/chart136.xml.rels><?xml version="1.0" encoding="UTF-8" standalone="yes"?>
<Relationships xmlns="http://schemas.openxmlformats.org/package/2006/relationships"><Relationship Id="rId2" Type="http://schemas.microsoft.com/office/2011/relationships/chartColorStyle" Target="colors132.xml"/><Relationship Id="rId1" Type="http://schemas.microsoft.com/office/2011/relationships/chartStyle" Target="style132.xml"/></Relationships>
</file>

<file path=xl/charts/_rels/chart138.xml.rels><?xml version="1.0" encoding="UTF-8" standalone="yes"?>
<Relationships xmlns="http://schemas.openxmlformats.org/package/2006/relationships"><Relationship Id="rId2" Type="http://schemas.microsoft.com/office/2011/relationships/chartColorStyle" Target="colors133.xml"/><Relationship Id="rId1" Type="http://schemas.microsoft.com/office/2011/relationships/chartStyle" Target="style133.xml"/></Relationships>
</file>

<file path=xl/charts/_rels/chart139.xml.rels><?xml version="1.0" encoding="UTF-8" standalone="yes"?>
<Relationships xmlns="http://schemas.openxmlformats.org/package/2006/relationships"><Relationship Id="rId2" Type="http://schemas.microsoft.com/office/2011/relationships/chartColorStyle" Target="colors134.xml"/><Relationship Id="rId1" Type="http://schemas.microsoft.com/office/2011/relationships/chartStyle" Target="style134.xml"/></Relationships>
</file>

<file path=xl/charts/_rels/chart140.xml.rels><?xml version="1.0" encoding="UTF-8" standalone="yes"?>
<Relationships xmlns="http://schemas.openxmlformats.org/package/2006/relationships"><Relationship Id="rId2" Type="http://schemas.microsoft.com/office/2011/relationships/chartColorStyle" Target="colors135.xml"/><Relationship Id="rId1" Type="http://schemas.microsoft.com/office/2011/relationships/chartStyle" Target="style135.xml"/></Relationships>
</file>

<file path=xl/charts/_rels/chart141.xml.rels><?xml version="1.0" encoding="UTF-8" standalone="yes"?>
<Relationships xmlns="http://schemas.openxmlformats.org/package/2006/relationships"><Relationship Id="rId2" Type="http://schemas.microsoft.com/office/2011/relationships/chartColorStyle" Target="colors136.xml"/><Relationship Id="rId1" Type="http://schemas.microsoft.com/office/2011/relationships/chartStyle" Target="style136.xml"/></Relationships>
</file>

<file path=xl/charts/_rels/chart142.xml.rels><?xml version="1.0" encoding="UTF-8" standalone="yes"?>
<Relationships xmlns="http://schemas.openxmlformats.org/package/2006/relationships"><Relationship Id="rId2" Type="http://schemas.microsoft.com/office/2011/relationships/chartColorStyle" Target="colors137.xml"/><Relationship Id="rId1" Type="http://schemas.microsoft.com/office/2011/relationships/chartStyle" Target="style137.xml"/></Relationships>
</file>

<file path=xl/charts/_rels/chart143.xml.rels><?xml version="1.0" encoding="UTF-8" standalone="yes"?>
<Relationships xmlns="http://schemas.openxmlformats.org/package/2006/relationships"><Relationship Id="rId2" Type="http://schemas.microsoft.com/office/2011/relationships/chartColorStyle" Target="colors138.xml"/><Relationship Id="rId1" Type="http://schemas.microsoft.com/office/2011/relationships/chartStyle" Target="style138.xml"/></Relationships>
</file>

<file path=xl/charts/_rels/chart144.xml.rels><?xml version="1.0" encoding="UTF-8" standalone="yes"?>
<Relationships xmlns="http://schemas.openxmlformats.org/package/2006/relationships"><Relationship Id="rId2" Type="http://schemas.microsoft.com/office/2011/relationships/chartColorStyle" Target="colors139.xml"/><Relationship Id="rId1" Type="http://schemas.microsoft.com/office/2011/relationships/chartStyle" Target="style139.xml"/></Relationships>
</file>

<file path=xl/charts/_rels/chart145.xml.rels><?xml version="1.0" encoding="UTF-8" standalone="yes"?>
<Relationships xmlns="http://schemas.openxmlformats.org/package/2006/relationships"><Relationship Id="rId2" Type="http://schemas.microsoft.com/office/2011/relationships/chartColorStyle" Target="colors140.xml"/><Relationship Id="rId1" Type="http://schemas.microsoft.com/office/2011/relationships/chartStyle" Target="style140.xml"/></Relationships>
</file>

<file path=xl/charts/_rels/chart146.xml.rels><?xml version="1.0" encoding="UTF-8" standalone="yes"?>
<Relationships xmlns="http://schemas.openxmlformats.org/package/2006/relationships"><Relationship Id="rId2" Type="http://schemas.microsoft.com/office/2011/relationships/chartColorStyle" Target="colors141.xml"/><Relationship Id="rId1" Type="http://schemas.microsoft.com/office/2011/relationships/chartStyle" Target="style141.xml"/></Relationships>
</file>

<file path=xl/charts/_rels/chart147.xml.rels><?xml version="1.0" encoding="UTF-8" standalone="yes"?>
<Relationships xmlns="http://schemas.openxmlformats.org/package/2006/relationships"><Relationship Id="rId2" Type="http://schemas.microsoft.com/office/2011/relationships/chartColorStyle" Target="colors142.xml"/><Relationship Id="rId1" Type="http://schemas.microsoft.com/office/2011/relationships/chartStyle" Target="style142.xml"/></Relationships>
</file>

<file path=xl/charts/_rels/chart148.xml.rels><?xml version="1.0" encoding="UTF-8" standalone="yes"?>
<Relationships xmlns="http://schemas.openxmlformats.org/package/2006/relationships"><Relationship Id="rId2" Type="http://schemas.microsoft.com/office/2011/relationships/chartColorStyle" Target="colors143.xml"/><Relationship Id="rId1" Type="http://schemas.microsoft.com/office/2011/relationships/chartStyle" Target="style143.xml"/></Relationships>
</file>

<file path=xl/charts/_rels/chart150.xml.rels><?xml version="1.0" encoding="UTF-8" standalone="yes"?>
<Relationships xmlns="http://schemas.openxmlformats.org/package/2006/relationships"><Relationship Id="rId2" Type="http://schemas.microsoft.com/office/2011/relationships/chartColorStyle" Target="colors144.xml"/><Relationship Id="rId1" Type="http://schemas.microsoft.com/office/2011/relationships/chartStyle" Target="style144.xml"/></Relationships>
</file>

<file path=xl/charts/_rels/chart151.xml.rels><?xml version="1.0" encoding="UTF-8" standalone="yes"?>
<Relationships xmlns="http://schemas.openxmlformats.org/package/2006/relationships"><Relationship Id="rId2" Type="http://schemas.microsoft.com/office/2011/relationships/chartColorStyle" Target="colors145.xml"/><Relationship Id="rId1" Type="http://schemas.microsoft.com/office/2011/relationships/chartStyle" Target="style145.xml"/></Relationships>
</file>

<file path=xl/charts/_rels/chart15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46.xml"/><Relationship Id="rId1" Type="http://schemas.microsoft.com/office/2011/relationships/chartStyle" Target="style146.xml"/><Relationship Id="rId4" Type="http://schemas.openxmlformats.org/officeDocument/2006/relationships/chartUserShapes" Target="../drawings/drawing14.xml"/></Relationships>
</file>

<file path=xl/charts/_rels/chart153.xml.rels><?xml version="1.0" encoding="UTF-8" standalone="yes"?>
<Relationships xmlns="http://schemas.openxmlformats.org/package/2006/relationships"><Relationship Id="rId2" Type="http://schemas.microsoft.com/office/2011/relationships/chartColorStyle" Target="colors147.xml"/><Relationship Id="rId1" Type="http://schemas.microsoft.com/office/2011/relationships/chartStyle" Target="style147.xml"/></Relationships>
</file>

<file path=xl/charts/_rels/chart154.xml.rels><?xml version="1.0" encoding="UTF-8" standalone="yes"?>
<Relationships xmlns="http://schemas.openxmlformats.org/package/2006/relationships"><Relationship Id="rId2" Type="http://schemas.microsoft.com/office/2011/relationships/chartColorStyle" Target="colors148.xml"/><Relationship Id="rId1" Type="http://schemas.microsoft.com/office/2011/relationships/chartStyle" Target="style148.xml"/></Relationships>
</file>

<file path=xl/charts/_rels/chart155.xml.rels><?xml version="1.0" encoding="UTF-8" standalone="yes"?>
<Relationships xmlns="http://schemas.openxmlformats.org/package/2006/relationships"><Relationship Id="rId2" Type="http://schemas.microsoft.com/office/2011/relationships/chartColorStyle" Target="colors149.xml"/><Relationship Id="rId1" Type="http://schemas.microsoft.com/office/2011/relationships/chartStyle" Target="style149.xml"/></Relationships>
</file>

<file path=xl/charts/_rels/chart156.xml.rels><?xml version="1.0" encoding="UTF-8" standalone="yes"?>
<Relationships xmlns="http://schemas.openxmlformats.org/package/2006/relationships"><Relationship Id="rId2" Type="http://schemas.microsoft.com/office/2011/relationships/chartColorStyle" Target="colors150.xml"/><Relationship Id="rId1" Type="http://schemas.microsoft.com/office/2011/relationships/chartStyle" Target="style150.xml"/></Relationships>
</file>

<file path=xl/charts/_rels/chart15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151.xml"/><Relationship Id="rId1" Type="http://schemas.microsoft.com/office/2011/relationships/chartStyle" Target="style151.xml"/></Relationships>
</file>

<file path=xl/charts/_rels/chart158.xml.rels><?xml version="1.0" encoding="UTF-8" standalone="yes"?>
<Relationships xmlns="http://schemas.openxmlformats.org/package/2006/relationships"><Relationship Id="rId2" Type="http://schemas.microsoft.com/office/2011/relationships/chartColorStyle" Target="colors152.xml"/><Relationship Id="rId1" Type="http://schemas.microsoft.com/office/2011/relationships/chartStyle" Target="style152.xml"/></Relationships>
</file>

<file path=xl/charts/_rels/chart159.xml.rels><?xml version="1.0" encoding="UTF-8" standalone="yes"?>
<Relationships xmlns="http://schemas.openxmlformats.org/package/2006/relationships"><Relationship Id="rId2" Type="http://schemas.microsoft.com/office/2011/relationships/chartColorStyle" Target="colors153.xml"/><Relationship Id="rId1" Type="http://schemas.microsoft.com/office/2011/relationships/chartStyle" Target="style153.xml"/></Relationships>
</file>

<file path=xl/charts/_rels/chart160.xml.rels><?xml version="1.0" encoding="UTF-8" standalone="yes"?>
<Relationships xmlns="http://schemas.openxmlformats.org/package/2006/relationships"><Relationship Id="rId2" Type="http://schemas.microsoft.com/office/2011/relationships/chartColorStyle" Target="colors154.xml"/><Relationship Id="rId1" Type="http://schemas.microsoft.com/office/2011/relationships/chartStyle" Target="style154.xml"/></Relationships>
</file>

<file path=xl/charts/_rels/chart161.xml.rels><?xml version="1.0" encoding="UTF-8" standalone="yes"?>
<Relationships xmlns="http://schemas.openxmlformats.org/package/2006/relationships"><Relationship Id="rId2" Type="http://schemas.microsoft.com/office/2011/relationships/chartColorStyle" Target="colors155.xml"/><Relationship Id="rId1" Type="http://schemas.microsoft.com/office/2011/relationships/chartStyle" Target="style155.xml"/></Relationships>
</file>

<file path=xl/charts/_rels/chart162.xml.rels><?xml version="1.0" encoding="UTF-8" standalone="yes"?>
<Relationships xmlns="http://schemas.openxmlformats.org/package/2006/relationships"><Relationship Id="rId2" Type="http://schemas.microsoft.com/office/2011/relationships/chartColorStyle" Target="colors156.xml"/><Relationship Id="rId1" Type="http://schemas.microsoft.com/office/2011/relationships/chartStyle" Target="style156.xml"/></Relationships>
</file>

<file path=xl/charts/_rels/chart163.xml.rels><?xml version="1.0" encoding="UTF-8" standalone="yes"?>
<Relationships xmlns="http://schemas.openxmlformats.org/package/2006/relationships"><Relationship Id="rId2" Type="http://schemas.microsoft.com/office/2011/relationships/chartColorStyle" Target="colors157.xml"/><Relationship Id="rId1" Type="http://schemas.microsoft.com/office/2011/relationships/chartStyle" Target="style157.xml"/></Relationships>
</file>

<file path=xl/charts/_rels/chart164.xml.rels><?xml version="1.0" encoding="UTF-8" standalone="yes"?>
<Relationships xmlns="http://schemas.openxmlformats.org/package/2006/relationships"><Relationship Id="rId2" Type="http://schemas.microsoft.com/office/2011/relationships/chartColorStyle" Target="colors158.xml"/><Relationship Id="rId1" Type="http://schemas.microsoft.com/office/2011/relationships/chartStyle" Target="style158.xml"/></Relationships>
</file>

<file path=xl/charts/_rels/chart165.xml.rels><?xml version="1.0" encoding="UTF-8" standalone="yes"?>
<Relationships xmlns="http://schemas.openxmlformats.org/package/2006/relationships"><Relationship Id="rId2" Type="http://schemas.microsoft.com/office/2011/relationships/chartColorStyle" Target="colors159.xml"/><Relationship Id="rId1" Type="http://schemas.microsoft.com/office/2011/relationships/chartStyle" Target="style159.xml"/></Relationships>
</file>

<file path=xl/charts/_rels/chart166.xml.rels><?xml version="1.0" encoding="UTF-8" standalone="yes"?>
<Relationships xmlns="http://schemas.openxmlformats.org/package/2006/relationships"><Relationship Id="rId2" Type="http://schemas.microsoft.com/office/2011/relationships/chartColorStyle" Target="colors160.xml"/><Relationship Id="rId1" Type="http://schemas.microsoft.com/office/2011/relationships/chartStyle" Target="style160.xml"/></Relationships>
</file>

<file path=xl/charts/_rels/chart167.xml.rels><?xml version="1.0" encoding="UTF-8" standalone="yes"?>
<Relationships xmlns="http://schemas.openxmlformats.org/package/2006/relationships"><Relationship Id="rId2" Type="http://schemas.microsoft.com/office/2011/relationships/chartColorStyle" Target="colors161.xml"/><Relationship Id="rId1" Type="http://schemas.microsoft.com/office/2011/relationships/chartStyle" Target="style161.xml"/></Relationships>
</file>

<file path=xl/charts/_rels/chart168.xml.rels><?xml version="1.0" encoding="UTF-8" standalone="yes"?>
<Relationships xmlns="http://schemas.openxmlformats.org/package/2006/relationships"><Relationship Id="rId2" Type="http://schemas.microsoft.com/office/2011/relationships/chartColorStyle" Target="colors162.xml"/><Relationship Id="rId1" Type="http://schemas.microsoft.com/office/2011/relationships/chartStyle" Target="style162.xml"/></Relationships>
</file>

<file path=xl/charts/_rels/chart16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163.xml"/><Relationship Id="rId1" Type="http://schemas.microsoft.com/office/2011/relationships/chartStyle" Target="style163.xml"/></Relationships>
</file>

<file path=xl/charts/_rels/chart170.xml.rels><?xml version="1.0" encoding="UTF-8" standalone="yes"?>
<Relationships xmlns="http://schemas.openxmlformats.org/package/2006/relationships"><Relationship Id="rId2" Type="http://schemas.microsoft.com/office/2011/relationships/chartColorStyle" Target="colors164.xml"/><Relationship Id="rId1" Type="http://schemas.microsoft.com/office/2011/relationships/chartStyle" Target="style16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(Scenarios!$G$76,Scenarios!$I$76,Scenarios!$K$76)</c:f>
              <c:strCache>
                <c:ptCount val="2"/>
                <c:pt idx="0">
                  <c:v>Market consensus</c:v>
                </c:pt>
                <c:pt idx="1">
                  <c:v>Company's guidance</c:v>
                </c:pt>
              </c:strCache>
            </c:strRef>
          </c:cat>
          <c:val>
            <c:numRef>
              <c:f>(Scenarios!$G$78,Scenarios!$I$78,Scenarios!$K$78)</c:f>
              <c:numCache>
                <c:formatCode>#,##0</c:formatCode>
                <c:ptCount val="2"/>
                <c:pt idx="0">
                  <c:v>75355</c:v>
                </c:pt>
                <c:pt idx="1">
                  <c:v>75400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3E-46F5-A550-C310A2224A0E}"/>
            </c:ext>
          </c:extLst>
        </c:ser>
        <c:ser>
          <c:idx val="1"/>
          <c:order val="1"/>
          <c:tx>
            <c:v>NPATMI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(Scenarios!$G$76,Scenarios!$I$76,Scenarios!$K$76)</c:f>
              <c:strCache>
                <c:ptCount val="2"/>
                <c:pt idx="0">
                  <c:v>Market consensus</c:v>
                </c:pt>
                <c:pt idx="1">
                  <c:v>Company's guidance</c:v>
                </c:pt>
              </c:strCache>
            </c:strRef>
          </c:cat>
          <c:val>
            <c:numRef>
              <c:f>(Scenarios!$G$79,Scenarios!$I$79,Scenarios!$K$79)</c:f>
              <c:numCache>
                <c:formatCode>#,##0</c:formatCode>
                <c:ptCount val="2"/>
                <c:pt idx="0">
                  <c:v>9689</c:v>
                </c:pt>
                <c:pt idx="1">
                  <c:v>10585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3E-46F5-A550-C310A2224A0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45281184"/>
        <c:axId val="145291744"/>
      </c:barChart>
      <c:catAx>
        <c:axId val="14528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91744"/>
        <c:crosses val="autoZero"/>
        <c:auto val="1"/>
        <c:lblAlgn val="ctr"/>
        <c:lblOffset val="100"/>
        <c:noMultiLvlLbl val="0"/>
      </c:catAx>
      <c:valAx>
        <c:axId val="145291744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8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Revenue!$A$240</c:f>
              <c:strCache>
                <c:ptCount val="1"/>
                <c:pt idx="0">
                  <c:v>No. of Global IT specialists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Revenue!$B$239:$G$239</c15:sqref>
                  </c15:fullRef>
                </c:ext>
              </c:extLst>
              <c:f>Revenue!$C$239:$G$239</c:f>
              <c:numCache>
                <c:formatCode>0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 formatCode="General">
                  <c:v>2023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Revenue!$B$240:$G$240</c15:sqref>
                  </c15:fullRef>
                </c:ext>
              </c:extLst>
              <c:f>Revenue!$C$240:$G$240</c:f>
              <c:numCache>
                <c:formatCode>_(* #,##0_);_(* \(#,##0\);_(* \-??_);_(@_)</c:formatCode>
                <c:ptCount val="5"/>
                <c:pt idx="0">
                  <c:v>15282</c:v>
                </c:pt>
                <c:pt idx="1" formatCode="_(* #,##0_);_(* \(#,##0\);_(* &quot;0&quot;_);_(@_)">
                  <c:v>16132</c:v>
                </c:pt>
                <c:pt idx="2" formatCode="_(* #,##0_);_(* \(#,##0\);_(* &quot;0&quot;_);_(@_)">
                  <c:v>18214</c:v>
                </c:pt>
                <c:pt idx="3" formatCode="_(* #,##0_);_(* \(#,##0\);_(* &quot;0&quot;_);_(@_)">
                  <c:v>22089</c:v>
                </c:pt>
                <c:pt idx="4" formatCode="_(* #,##0_);_(* \(#,##0\);_(* &quot;0&quot;_);_(@_)">
                  <c:v>25213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A2-4C32-95AE-0086B90B5A1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595795808"/>
        <c:axId val="595797728"/>
      </c:barChart>
      <c:lineChart>
        <c:grouping val="standard"/>
        <c:varyColors val="0"/>
        <c:ser>
          <c:idx val="2"/>
          <c:order val="1"/>
          <c:tx>
            <c:strRef>
              <c:f>Revenue!$A$242</c:f>
              <c:strCache>
                <c:ptCount val="1"/>
                <c:pt idx="0">
                  <c:v>Revenue per employee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Revenue!$B$239:$G$239</c15:sqref>
                  </c15:fullRef>
                </c:ext>
              </c:extLst>
              <c:f>Revenue!$C$239:$G$239</c:f>
              <c:numCache>
                <c:formatCode>0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 formatCode="General">
                  <c:v>2023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Revenue!$B$242:$G$242</c15:sqref>
                  </c15:fullRef>
                </c:ext>
              </c:extLst>
              <c:f>Revenue!$C$242:$G$242</c:f>
              <c:numCache>
                <c:formatCode>0</c:formatCode>
                <c:ptCount val="5"/>
                <c:pt idx="0">
                  <c:v>710</c:v>
                </c:pt>
                <c:pt idx="1" formatCode="_(* #,##0_);_(* \(#,##0\);_(* &quot;0&quot;_);_(@_)">
                  <c:v>742</c:v>
                </c:pt>
                <c:pt idx="2" formatCode="_(* #,##0_);_(* \(#,##0\);_(* &quot;0&quot;_);_(@_)">
                  <c:v>807</c:v>
                </c:pt>
                <c:pt idx="3" formatCode="_(* #,##0_);_(* \(#,##0\);_(* &quot;0&quot;_);_(@_)">
                  <c:v>854</c:v>
                </c:pt>
                <c:pt idx="4" formatCode="_(* #,##0_);_(* \(#,##0\);_(* &quot;0&quot;_);_(@_)">
                  <c:v>925.7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A2-4C32-95AE-0086B90B5A1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95805408"/>
        <c:axId val="595804928"/>
      </c:lineChart>
      <c:catAx>
        <c:axId val="59579580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797728"/>
        <c:crosses val="autoZero"/>
        <c:auto val="1"/>
        <c:lblAlgn val="ctr"/>
        <c:lblOffset val="100"/>
        <c:noMultiLvlLbl val="0"/>
      </c:catAx>
      <c:valAx>
        <c:axId val="595797728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795808"/>
        <c:crosses val="autoZero"/>
        <c:crossBetween val="between"/>
      </c:valAx>
      <c:valAx>
        <c:axId val="595804928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805408"/>
        <c:crosses val="max"/>
        <c:crossBetween val="between"/>
      </c:valAx>
      <c:catAx>
        <c:axId val="595805408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5958049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42207819647366E-2"/>
          <c:y val="0.18637849786440877"/>
          <c:w val="0.92621695595065801"/>
          <c:h val="0.78762810379919856"/>
        </c:manualLayout>
      </c:layout>
      <c:lineChart>
        <c:grouping val="standard"/>
        <c:varyColors val="0"/>
        <c:ser>
          <c:idx val="0"/>
          <c:order val="0"/>
          <c:tx>
            <c:strRef>
              <c:f>Revenue!$A$21</c:f>
              <c:strCache>
                <c:ptCount val="1"/>
                <c:pt idx="0">
                  <c:v>Global 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Revenue!$AI$1:$AV$1</c:f>
              <c:strCache>
                <c:ptCount val="14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</c:strCache>
            </c:strRef>
          </c:cat>
          <c:val>
            <c:numRef>
              <c:f>Revenue!$AI$21:$AV$21</c:f>
              <c:numCache>
                <c:formatCode>0.0%</c:formatCode>
                <c:ptCount val="14"/>
                <c:pt idx="0">
                  <c:v>9.6374014113740136E-2</c:v>
                </c:pt>
                <c:pt idx="1">
                  <c:v>0.20348295140432615</c:v>
                </c:pt>
                <c:pt idx="2">
                  <c:v>0.25711212407151729</c:v>
                </c:pt>
                <c:pt idx="3">
                  <c:v>0.28081475928624711</c:v>
                </c:pt>
                <c:pt idx="4">
                  <c:v>0.2972075454076768</c:v>
                </c:pt>
                <c:pt idx="5">
                  <c:v>0.28380989895666531</c:v>
                </c:pt>
                <c:pt idx="6">
                  <c:v>0.30158646362061825</c:v>
                </c:pt>
                <c:pt idx="7">
                  <c:v>0.31939752238606323</c:v>
                </c:pt>
                <c:pt idx="8">
                  <c:v>0.32262359453680478</c:v>
                </c:pt>
                <c:pt idx="9">
                  <c:v>0.28343346516742352</c:v>
                </c:pt>
                <c:pt idx="10">
                  <c:v>0.31746826206809398</c:v>
                </c:pt>
                <c:pt idx="11">
                  <c:v>0.22370220429875465</c:v>
                </c:pt>
                <c:pt idx="12">
                  <c:v>0.28710353156272461</c:v>
                </c:pt>
                <c:pt idx="13">
                  <c:v>0.30829617655883568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58-4D4E-A4E1-8B264F24F32E}"/>
            </c:ext>
          </c:extLst>
        </c:ser>
        <c:ser>
          <c:idx val="1"/>
          <c:order val="1"/>
          <c:tx>
            <c:strRef>
              <c:f>Revenue!$A$22</c:f>
              <c:strCache>
                <c:ptCount val="1"/>
                <c:pt idx="0">
                  <c:v>Domestic 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Revenue!$AI$1:$AV$1</c:f>
              <c:strCache>
                <c:ptCount val="14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</c:strCache>
            </c:strRef>
          </c:cat>
          <c:val>
            <c:numRef>
              <c:f>Revenue!$AI$22:$AV$22</c:f>
              <c:numCache>
                <c:formatCode>0.0%</c:formatCode>
                <c:ptCount val="14"/>
                <c:pt idx="0">
                  <c:v>0.43320702133558942</c:v>
                </c:pt>
                <c:pt idx="1">
                  <c:v>0.43600126261380789</c:v>
                </c:pt>
                <c:pt idx="2">
                  <c:v>0.23922225980136802</c:v>
                </c:pt>
                <c:pt idx="3">
                  <c:v>0.2613709434502387</c:v>
                </c:pt>
                <c:pt idx="4">
                  <c:v>0.51767493127159692</c:v>
                </c:pt>
                <c:pt idx="5">
                  <c:v>-0.17386134533152453</c:v>
                </c:pt>
                <c:pt idx="6">
                  <c:v>0.13349921210901794</c:v>
                </c:pt>
                <c:pt idx="7">
                  <c:v>1.9577050685156472E-2</c:v>
                </c:pt>
                <c:pt idx="8">
                  <c:v>-8.0238863339968325E-2</c:v>
                </c:pt>
                <c:pt idx="9">
                  <c:v>0.30376361967352694</c:v>
                </c:pt>
                <c:pt idx="10">
                  <c:v>0.12246464177794647</c:v>
                </c:pt>
                <c:pt idx="11">
                  <c:v>-5.7321888861157744E-2</c:v>
                </c:pt>
                <c:pt idx="12">
                  <c:v>4.6197583511016438E-2</c:v>
                </c:pt>
                <c:pt idx="13">
                  <c:v>0.29591836734693877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58-4D4E-A4E1-8B264F24F32E}"/>
            </c:ext>
          </c:extLst>
        </c:ser>
        <c:ser>
          <c:idx val="2"/>
          <c:order val="2"/>
          <c:tx>
            <c:strRef>
              <c:f>Revenue!$A$23</c:f>
              <c:strCache>
                <c:ptCount val="1"/>
                <c:pt idx="0">
                  <c:v>Total telecom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Revenue!$AI$1:$AV$1</c:f>
              <c:strCache>
                <c:ptCount val="14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</c:strCache>
            </c:strRef>
          </c:cat>
          <c:val>
            <c:numRef>
              <c:f>Revenue!$AI$23:$AV$23</c:f>
              <c:numCache>
                <c:formatCode>0.0%</c:formatCode>
                <c:ptCount val="14"/>
                <c:pt idx="0">
                  <c:v>9.636359547529616E-2</c:v>
                </c:pt>
                <c:pt idx="1">
                  <c:v>0.15531752324971615</c:v>
                </c:pt>
                <c:pt idx="2">
                  <c:v>8.1231121874186352E-2</c:v>
                </c:pt>
                <c:pt idx="3">
                  <c:v>9.4926504310663073E-2</c:v>
                </c:pt>
                <c:pt idx="4">
                  <c:v>0.18666140192539116</c:v>
                </c:pt>
                <c:pt idx="5">
                  <c:v>0.12637370533212278</c:v>
                </c:pt>
                <c:pt idx="6">
                  <c:v>0.20120951876196602</c:v>
                </c:pt>
                <c:pt idx="7">
                  <c:v>0.13541601535814407</c:v>
                </c:pt>
                <c:pt idx="8">
                  <c:v>9.1928932591633927E-2</c:v>
                </c:pt>
                <c:pt idx="9">
                  <c:v>7.9388429687885731E-2</c:v>
                </c:pt>
                <c:pt idx="10">
                  <c:v>7.4359740030675914E-2</c:v>
                </c:pt>
                <c:pt idx="11">
                  <c:v>4.9360211503700846E-2</c:v>
                </c:pt>
                <c:pt idx="12">
                  <c:v>5.8512636720151612E-2</c:v>
                </c:pt>
                <c:pt idx="13">
                  <c:v>8.7421269877814289E-2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58-4D4E-A4E1-8B264F24F32E}"/>
            </c:ext>
          </c:extLst>
        </c:ser>
        <c:ser>
          <c:idx val="3"/>
          <c:order val="3"/>
          <c:tx>
            <c:strRef>
              <c:f>Revenue!$A$26</c:f>
              <c:strCache>
                <c:ptCount val="1"/>
                <c:pt idx="0">
                  <c:v>Education &amp; Investments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Revenue!$AI$1:$AV$1</c:f>
              <c:strCache>
                <c:ptCount val="14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</c:strCache>
            </c:strRef>
          </c:cat>
          <c:val>
            <c:numRef>
              <c:f>Revenue!$AI$26:$AV$26</c:f>
              <c:numCache>
                <c:formatCode>0.0%</c:formatCode>
                <c:ptCount val="14"/>
                <c:pt idx="0">
                  <c:v>0.31318642445312639</c:v>
                </c:pt>
                <c:pt idx="1">
                  <c:v>0.70740874763563055</c:v>
                </c:pt>
                <c:pt idx="2">
                  <c:v>-0.23174012831354618</c:v>
                </c:pt>
                <c:pt idx="3">
                  <c:v>0.82316726951450603</c:v>
                </c:pt>
                <c:pt idx="4">
                  <c:v>0.27726842010828245</c:v>
                </c:pt>
                <c:pt idx="5">
                  <c:v>0.64864062105734321</c:v>
                </c:pt>
                <c:pt idx="6">
                  <c:v>1.2359647167800962</c:v>
                </c:pt>
                <c:pt idx="7">
                  <c:v>0.66507612039917618</c:v>
                </c:pt>
                <c:pt idx="8">
                  <c:v>0.70364192633191491</c:v>
                </c:pt>
                <c:pt idx="9">
                  <c:v>0.58033257788855042</c:v>
                </c:pt>
                <c:pt idx="10">
                  <c:v>0.68508270337334509</c:v>
                </c:pt>
                <c:pt idx="11">
                  <c:v>0.29587594976477405</c:v>
                </c:pt>
                <c:pt idx="12">
                  <c:v>0.52819515308545362</c:v>
                </c:pt>
                <c:pt idx="13">
                  <c:v>0.1464640378333133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358-4D4E-A4E1-8B264F24F32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76455296"/>
        <c:axId val="876457216"/>
      </c:lineChart>
      <c:catAx>
        <c:axId val="87645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457216"/>
        <c:crosses val="autoZero"/>
        <c:auto val="1"/>
        <c:lblAlgn val="ctr"/>
        <c:lblOffset val="100"/>
        <c:noMultiLvlLbl val="0"/>
      </c:catAx>
      <c:valAx>
        <c:axId val="87645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45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4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r>
              <a:rPr lang="en-US" sz="600"/>
              <a:t>(tỷ</a:t>
            </a:r>
            <a:r>
              <a:rPr lang="en-US" sz="600" baseline="0"/>
              <a:t> đồng</a:t>
            </a:r>
            <a:r>
              <a:rPr lang="en-US" sz="600"/>
              <a:t>)</a:t>
            </a:r>
          </a:p>
        </c:rich>
      </c:tx>
      <c:layout>
        <c:manualLayout>
          <c:xMode val="edge"/>
          <c:yMode val="edge"/>
          <c:x val="0.84245459801953837"/>
          <c:y val="7.751937984496123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4959812549382874E-2"/>
          <c:y val="0.13458951352011234"/>
          <c:w val="0.78665110632797197"/>
          <c:h val="0.663033022035036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Revenue!$E$1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>
                <a:tint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(Revenue!$A$155,Revenue!$A$159:$A$162)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(Revenue!$E$156,Revenue!$E$159:$E$162)</c:f>
              <c:numCache>
                <c:formatCode>_(* #,##0_);_(* \(#,##0\);_(* \-??_);_(@_)</c:formatCode>
                <c:ptCount val="5"/>
                <c:pt idx="0">
                  <c:v>6196</c:v>
                </c:pt>
                <c:pt idx="1">
                  <c:v>6332</c:v>
                </c:pt>
                <c:pt idx="2">
                  <c:v>4369</c:v>
                </c:pt>
                <c:pt idx="3">
                  <c:v>1144</c:v>
                </c:pt>
                <c:pt idx="4">
                  <c:v>2696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E9-4DF1-857C-66A70B6E97F3}"/>
            </c:ext>
          </c:extLst>
        </c:ser>
        <c:ser>
          <c:idx val="3"/>
          <c:order val="1"/>
          <c:tx>
            <c:strRef>
              <c:f>Revenue!$F$1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>
                <a:shade val="9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(Revenue!$A$155,Revenue!$A$159:$A$162)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(Revenue!$F$156,Revenue!$F$159:$F$162)</c:f>
              <c:numCache>
                <c:formatCode>_(* #,##0_);_(* \(#,##0\);_(* \-??_);_(@_)</c:formatCode>
                <c:ptCount val="5"/>
                <c:pt idx="0">
                  <c:v>6847</c:v>
                </c:pt>
                <c:pt idx="1">
                  <c:v>7342</c:v>
                </c:pt>
                <c:pt idx="2">
                  <c:v>6550</c:v>
                </c:pt>
                <c:pt idx="3">
                  <c:v>1366</c:v>
                </c:pt>
                <c:pt idx="4">
                  <c:v>3677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E9-4DF1-857C-66A70B6E97F3}"/>
            </c:ext>
          </c:extLst>
        </c:ser>
        <c:ser>
          <c:idx val="4"/>
          <c:order val="2"/>
          <c:tx>
            <c:strRef>
              <c:f>Revenue!$G$1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>
                <a:shade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(Revenue!$A$155,Revenue!$A$159:$A$162)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(Revenue!$G$156,Revenue!$G$159:$G$162)</c:f>
              <c:numCache>
                <c:formatCode>_(* #,##0_);_(* \(#,##0\);_(* \-??_);_(@_)</c:formatCode>
                <c:ptCount val="5"/>
                <c:pt idx="0">
                  <c:v>7161.0559999999996</c:v>
                </c:pt>
                <c:pt idx="1">
                  <c:v>9324</c:v>
                </c:pt>
                <c:pt idx="2">
                  <c:v>7115</c:v>
                </c:pt>
                <c:pt idx="3">
                  <c:v>1736</c:v>
                </c:pt>
                <c:pt idx="4">
                  <c:v>6113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E9-4DF1-857C-66A70B6E97F3}"/>
            </c:ext>
          </c:extLst>
        </c:ser>
        <c:ser>
          <c:idx val="5"/>
          <c:order val="3"/>
          <c:tx>
            <c:strRef>
              <c:f>Revenue!$H$1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>
                <a:shade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(Revenue!$A$155,Revenue!$A$159:$A$162)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(Revenue!$H$156,Revenue!$H$159:$H$162)</c:f>
              <c:numCache>
                <c:formatCode>_(* #,##0_);_(* \(#,##0\);_(* \-??_);_(@_)</c:formatCode>
                <c:ptCount val="5"/>
                <c:pt idx="0">
                  <c:v>8157</c:v>
                </c:pt>
                <c:pt idx="1">
                  <c:v>12325</c:v>
                </c:pt>
                <c:pt idx="2">
                  <c:v>7751</c:v>
                </c:pt>
                <c:pt idx="3">
                  <c:v>2636</c:v>
                </c:pt>
                <c:pt idx="4">
                  <c:v>8240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FE9-4DF1-857C-66A70B6E97F3}"/>
            </c:ext>
          </c:extLst>
        </c:ser>
        <c:ser>
          <c:idx val="1"/>
          <c:order val="4"/>
          <c:tx>
            <c:strRef>
              <c:f>Revenue!$N$1</c:f>
              <c:strCache>
                <c:ptCount val="1"/>
                <c:pt idx="0">
                  <c:v>2025F</c:v>
                </c:pt>
              </c:strCache>
            </c:strRef>
          </c:tx>
          <c:spPr>
            <a:solidFill>
              <a:schemeClr val="accent2">
                <a:tint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(Revenue!$A$155,Revenue!$A$159:$A$162)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(Revenue!$N$156,Revenue!$N$159:$N$162)</c:f>
              <c:numCache>
                <c:formatCode>_(* #,##0_);_(* \(#,##0\);_(* \-??_);_(@_)</c:formatCode>
                <c:ptCount val="5"/>
                <c:pt idx="0">
                  <c:v>8617</c:v>
                </c:pt>
                <c:pt idx="1">
                  <c:v>12325</c:v>
                </c:pt>
                <c:pt idx="2">
                  <c:v>7751</c:v>
                </c:pt>
                <c:pt idx="3">
                  <c:v>2636</c:v>
                </c:pt>
                <c:pt idx="4">
                  <c:v>8240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8A-46B4-8FA8-F2D59C791A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998981119"/>
        <c:axId val="1998981599"/>
      </c:barChart>
      <c:catAx>
        <c:axId val="1998981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998981599"/>
        <c:crosses val="autoZero"/>
        <c:auto val="1"/>
        <c:lblAlgn val="ctr"/>
        <c:lblOffset val="100"/>
        <c:noMultiLvlLbl val="0"/>
      </c:catAx>
      <c:valAx>
        <c:axId val="1998981599"/>
        <c:scaling>
          <c:orientation val="minMax"/>
        </c:scaling>
        <c:delete val="1"/>
        <c:axPos val="l"/>
        <c:numFmt formatCode="_(* #,##0_);_(* \(#,##0\);_(* \-??_);_(@_)" sourceLinked="1"/>
        <c:majorTickMark val="none"/>
        <c:minorTickMark val="none"/>
        <c:tickLblPos val="nextTo"/>
        <c:crossAx val="1998981119"/>
        <c:crosses val="autoZero"/>
        <c:crossBetween val="between"/>
        <c:majorUnit val="20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882424372026246E-2"/>
          <c:y val="2.9491199963640909E-2"/>
          <c:w val="0.89670971535929478"/>
          <c:h val="0.6446944131983503"/>
        </c:manualLayout>
      </c:layout>
      <c:lineChart>
        <c:grouping val="standard"/>
        <c:varyColors val="0"/>
        <c:ser>
          <c:idx val="1"/>
          <c:order val="0"/>
          <c:tx>
            <c:strRef>
              <c:f>Revenue!$A$136</c:f>
              <c:strCache>
                <c:ptCount val="1"/>
                <c:pt idx="0">
                  <c:v>Global IT</c:v>
                </c:pt>
              </c:strCache>
            </c:strRef>
          </c:tx>
          <c:spPr>
            <a:ln w="19050" cap="rnd">
              <a:solidFill>
                <a:srgbClr val="0086B8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86B8"/>
              </a:solidFill>
              <a:ln w="19050">
                <a:solidFill>
                  <a:srgbClr val="0086B8"/>
                </a:solidFill>
              </a:ln>
              <a:effectLst/>
            </c:spPr>
          </c:marker>
          <c:cat>
            <c:strRef>
              <c:f>Revenue!$AM$1:$AQ$1</c:f>
              <c:strCache>
                <c:ptCount val="5"/>
                <c:pt idx="0">
                  <c:v>1Q22</c:v>
                </c:pt>
                <c:pt idx="1">
                  <c:v>2Q22</c:v>
                </c:pt>
                <c:pt idx="2">
                  <c:v>3Q22</c:v>
                </c:pt>
                <c:pt idx="3">
                  <c:v>4Q22</c:v>
                </c:pt>
                <c:pt idx="4">
                  <c:v>1Q23</c:v>
                </c:pt>
              </c:strCache>
            </c:strRef>
          </c:cat>
          <c:val>
            <c:numRef>
              <c:f>Revenue!$AM$136:$AQ$136</c:f>
              <c:numCache>
                <c:formatCode>0.0%</c:formatCode>
                <c:ptCount val="5"/>
                <c:pt idx="0">
                  <c:v>0.1623031950200505</c:v>
                </c:pt>
                <c:pt idx="1">
                  <c:v>0.1550932001986379</c:v>
                </c:pt>
                <c:pt idx="2">
                  <c:v>0.1755286086616899</c:v>
                </c:pt>
                <c:pt idx="3">
                  <c:v>0.14180085541596593</c:v>
                </c:pt>
                <c:pt idx="4">
                  <c:v>0.16336431466380374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00-4EE4-BB17-64A88056F7AB}"/>
            </c:ext>
          </c:extLst>
        </c:ser>
        <c:ser>
          <c:idx val="2"/>
          <c:order val="1"/>
          <c:tx>
            <c:strRef>
              <c:f>Revenue!$A$137</c:f>
              <c:strCache>
                <c:ptCount val="1"/>
                <c:pt idx="0">
                  <c:v>Domestic IT</c:v>
                </c:pt>
              </c:strCache>
            </c:strRef>
          </c:tx>
          <c:spPr>
            <a:ln w="19050" cap="rnd">
              <a:solidFill>
                <a:srgbClr val="7E9FC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19050">
                <a:solidFill>
                  <a:srgbClr val="7E9FC3"/>
                </a:solidFill>
              </a:ln>
              <a:effectLst/>
            </c:spPr>
          </c:marker>
          <c:cat>
            <c:strRef>
              <c:f>Revenue!$AM$1:$AQ$1</c:f>
              <c:strCache>
                <c:ptCount val="5"/>
                <c:pt idx="0">
                  <c:v>1Q22</c:v>
                </c:pt>
                <c:pt idx="1">
                  <c:v>2Q22</c:v>
                </c:pt>
                <c:pt idx="2">
                  <c:v>3Q22</c:v>
                </c:pt>
                <c:pt idx="3">
                  <c:v>4Q22</c:v>
                </c:pt>
                <c:pt idx="4">
                  <c:v>1Q23</c:v>
                </c:pt>
              </c:strCache>
            </c:strRef>
          </c:cat>
          <c:val>
            <c:numRef>
              <c:f>Revenue!$AM$137:$AQ$137</c:f>
              <c:numCache>
                <c:formatCode>0.0%</c:formatCode>
                <c:ptCount val="5"/>
                <c:pt idx="0">
                  <c:v>5.948180905967989E-2</c:v>
                </c:pt>
                <c:pt idx="1">
                  <c:v>0.11183348410871793</c:v>
                </c:pt>
                <c:pt idx="2">
                  <c:v>9.0321495900895013E-2</c:v>
                </c:pt>
                <c:pt idx="3">
                  <c:v>1.2503981465370382E-3</c:v>
                </c:pt>
                <c:pt idx="4">
                  <c:v>1.2241648898365317E-2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00-4EE4-BB17-64A88056F7AB}"/>
            </c:ext>
          </c:extLst>
        </c:ser>
        <c:ser>
          <c:idx val="3"/>
          <c:order val="2"/>
          <c:tx>
            <c:strRef>
              <c:f>Revenue!$A$138</c:f>
              <c:strCache>
                <c:ptCount val="1"/>
                <c:pt idx="0">
                  <c:v>Total communication</c:v>
                </c:pt>
              </c:strCache>
            </c:strRef>
          </c:tx>
          <c:spPr>
            <a:ln w="19050" cap="rnd">
              <a:solidFill>
                <a:srgbClr val="CB601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CB6015"/>
              </a:solidFill>
              <a:ln w="19050">
                <a:solidFill>
                  <a:srgbClr val="CB6015"/>
                </a:solidFill>
              </a:ln>
              <a:effectLst/>
            </c:spPr>
          </c:marker>
          <c:cat>
            <c:strRef>
              <c:f>Revenue!$AM$1:$AQ$1</c:f>
              <c:strCache>
                <c:ptCount val="5"/>
                <c:pt idx="0">
                  <c:v>1Q22</c:v>
                </c:pt>
                <c:pt idx="1">
                  <c:v>2Q22</c:v>
                </c:pt>
                <c:pt idx="2">
                  <c:v>3Q22</c:v>
                </c:pt>
                <c:pt idx="3">
                  <c:v>4Q22</c:v>
                </c:pt>
                <c:pt idx="4">
                  <c:v>1Q23</c:v>
                </c:pt>
              </c:strCache>
            </c:strRef>
          </c:cat>
          <c:val>
            <c:numRef>
              <c:f>Revenue!#REF!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00-4EE4-BB17-64A88056F7AB}"/>
            </c:ext>
          </c:extLst>
        </c:ser>
        <c:ser>
          <c:idx val="6"/>
          <c:order val="3"/>
          <c:tx>
            <c:strRef>
              <c:f>Revenue!$A$141</c:f>
              <c:strCache>
                <c:ptCount val="1"/>
                <c:pt idx="0">
                  <c:v>Investment, education &amp; others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84888B"/>
              </a:solidFill>
              <a:ln w="19050">
                <a:solidFill>
                  <a:schemeClr val="accent3"/>
                </a:solidFill>
              </a:ln>
              <a:effectLst/>
            </c:spPr>
          </c:marker>
          <c:cat>
            <c:strRef>
              <c:f>Revenue!$AM$1:$AQ$1</c:f>
              <c:strCache>
                <c:ptCount val="5"/>
                <c:pt idx="0">
                  <c:v>1Q22</c:v>
                </c:pt>
                <c:pt idx="1">
                  <c:v>2Q22</c:v>
                </c:pt>
                <c:pt idx="2">
                  <c:v>3Q22</c:v>
                </c:pt>
                <c:pt idx="3">
                  <c:v>4Q22</c:v>
                </c:pt>
                <c:pt idx="4">
                  <c:v>1Q23</c:v>
                </c:pt>
              </c:strCache>
            </c:strRef>
          </c:cat>
          <c:val>
            <c:numRef>
              <c:f>Revenue!$AM$140:$AQ$140</c:f>
              <c:numCache>
                <c:formatCode>0.0%</c:formatCode>
                <c:ptCount val="5"/>
                <c:pt idx="0">
                  <c:v>0.45069004794574979</c:v>
                </c:pt>
                <c:pt idx="1">
                  <c:v>0.44674481913429576</c:v>
                </c:pt>
                <c:pt idx="2">
                  <c:v>0.39058714583703569</c:v>
                </c:pt>
                <c:pt idx="3">
                  <c:v>0.32501548368185423</c:v>
                </c:pt>
                <c:pt idx="4">
                  <c:v>7.0672491284076121E-3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900-4EE4-BB17-64A88056F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7239535"/>
        <c:axId val="1117240015"/>
      </c:lineChart>
      <c:catAx>
        <c:axId val="1117239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117240015"/>
        <c:crosses val="autoZero"/>
        <c:auto val="1"/>
        <c:lblAlgn val="ctr"/>
        <c:lblOffset val="100"/>
        <c:noMultiLvlLbl val="0"/>
      </c:catAx>
      <c:valAx>
        <c:axId val="1117240015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117239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777978889002511"/>
          <c:w val="1"/>
          <c:h val="0.222021110997488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6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2"/>
          <c:order val="2"/>
          <c:tx>
            <c:v>CNTT nước ngoài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(Revenue!$F$1,Revenue!$AQ$1:$AX$1)</c:f>
              <c:strCache>
                <c:ptCount val="9"/>
                <c:pt idx="0">
                  <c:v>2022</c:v>
                </c:pt>
                <c:pt idx="1">
                  <c:v>1Q23</c:v>
                </c:pt>
                <c:pt idx="2">
                  <c:v>2Q23</c:v>
                </c:pt>
                <c:pt idx="3">
                  <c:v>3Q23</c:v>
                </c:pt>
                <c:pt idx="4">
                  <c:v>4Q23</c:v>
                </c:pt>
                <c:pt idx="5">
                  <c:v>1Q24</c:v>
                </c:pt>
                <c:pt idx="6">
                  <c:v>2Q24</c:v>
                </c:pt>
                <c:pt idx="7">
                  <c:v>3Q24</c:v>
                </c:pt>
                <c:pt idx="8">
                  <c:v>4Q24</c:v>
                </c:pt>
              </c:strCache>
            </c:strRef>
          </c:cat>
          <c:val>
            <c:numRef>
              <c:f>(Revenue!$F$137,Revenue!$AQ$136:$AX$136)</c:f>
              <c:numCache>
                <c:formatCode>0.0%</c:formatCode>
                <c:ptCount val="9"/>
                <c:pt idx="0">
                  <c:v>5.6878164701154074E-2</c:v>
                </c:pt>
                <c:pt idx="1">
                  <c:v>0.16336431466380374</c:v>
                </c:pt>
                <c:pt idx="2">
                  <c:v>0.16334856799953154</c:v>
                </c:pt>
                <c:pt idx="3">
                  <c:v>0.1631504922644163</c:v>
                </c:pt>
                <c:pt idx="4">
                  <c:v>0.13569498649054335</c:v>
                </c:pt>
                <c:pt idx="5">
                  <c:v>0.15930847263894843</c:v>
                </c:pt>
                <c:pt idx="6">
                  <c:v>0.15566411407446529</c:v>
                </c:pt>
                <c:pt idx="7">
                  <c:v>0.16306361951822113</c:v>
                </c:pt>
                <c:pt idx="8">
                  <c:v>0.13952926976463489</c:v>
                </c:pt>
              </c:numCache>
              <c:extLst/>
            </c:numRef>
          </c:val>
          <c:smooth val="1"/>
          <c:extLst>
            <c:ext xmlns:c16="http://schemas.microsoft.com/office/drawing/2014/chart" uri="{C3380CC4-5D6E-409C-BE32-E72D297353CC}">
              <c16:uniqueId val="{00000002-F1A7-4F1E-B271-4FDD6E6926D5}"/>
            </c:ext>
          </c:extLst>
        </c:ser>
        <c:ser>
          <c:idx val="3"/>
          <c:order val="3"/>
          <c:tx>
            <c:v>CNTT trong nước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(Revenue!$F$1,Revenue!$AQ$1:$AX$1)</c:f>
              <c:strCache>
                <c:ptCount val="9"/>
                <c:pt idx="0">
                  <c:v>2022</c:v>
                </c:pt>
                <c:pt idx="1">
                  <c:v>1Q23</c:v>
                </c:pt>
                <c:pt idx="2">
                  <c:v>2Q23</c:v>
                </c:pt>
                <c:pt idx="3">
                  <c:v>3Q23</c:v>
                </c:pt>
                <c:pt idx="4">
                  <c:v>4Q23</c:v>
                </c:pt>
                <c:pt idx="5">
                  <c:v>1Q24</c:v>
                </c:pt>
                <c:pt idx="6">
                  <c:v>2Q24</c:v>
                </c:pt>
                <c:pt idx="7">
                  <c:v>3Q24</c:v>
                </c:pt>
                <c:pt idx="8">
                  <c:v>4Q24</c:v>
                </c:pt>
              </c:strCache>
            </c:strRef>
          </c:cat>
          <c:val>
            <c:numRef>
              <c:f>(Revenue!$F$138,Revenue!$AQ$137:$AX$137)</c:f>
              <c:numCache>
                <c:formatCode>0.0%</c:formatCode>
                <c:ptCount val="9"/>
                <c:pt idx="0">
                  <c:v>0.1912874502304841</c:v>
                </c:pt>
                <c:pt idx="1">
                  <c:v>1.2241648898365317E-2</c:v>
                </c:pt>
                <c:pt idx="2">
                  <c:v>9.8071428571428573E-2</c:v>
                </c:pt>
                <c:pt idx="3">
                  <c:v>4.1231732776617944E-2</c:v>
                </c:pt>
                <c:pt idx="4">
                  <c:v>5.6828193832599121E-2</c:v>
                </c:pt>
                <c:pt idx="5">
                  <c:v>2.7853260869565216E-2</c:v>
                </c:pt>
                <c:pt idx="6">
                  <c:v>5.7086614173228349E-2</c:v>
                </c:pt>
                <c:pt idx="7">
                  <c:v>2.2321428571428572E-2</c:v>
                </c:pt>
                <c:pt idx="8">
                  <c:v>9.1925900034952809E-2</c:v>
                </c:pt>
              </c:numCache>
              <c:extLst/>
            </c:numRef>
          </c:val>
          <c:smooth val="1"/>
          <c:extLst>
            <c:ext xmlns:c16="http://schemas.microsoft.com/office/drawing/2014/chart" uri="{C3380CC4-5D6E-409C-BE32-E72D297353CC}">
              <c16:uniqueId val="{00000003-F1A7-4F1E-B271-4FDD6E6926D5}"/>
            </c:ext>
          </c:extLst>
        </c:ser>
        <c:ser>
          <c:idx val="4"/>
          <c:order val="4"/>
          <c:tx>
            <c:v>Viễn thông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(Revenue!$F$1,Revenue!$AQ$1:$AX$1)</c:f>
              <c:strCache>
                <c:ptCount val="9"/>
                <c:pt idx="0">
                  <c:v>2022</c:v>
                </c:pt>
                <c:pt idx="1">
                  <c:v>1Q23</c:v>
                </c:pt>
                <c:pt idx="2">
                  <c:v>2Q23</c:v>
                </c:pt>
                <c:pt idx="3">
                  <c:v>3Q23</c:v>
                </c:pt>
                <c:pt idx="4">
                  <c:v>4Q23</c:v>
                </c:pt>
                <c:pt idx="5">
                  <c:v>1Q24</c:v>
                </c:pt>
                <c:pt idx="6">
                  <c:v>2Q24</c:v>
                </c:pt>
                <c:pt idx="7">
                  <c:v>3Q24</c:v>
                </c:pt>
                <c:pt idx="8">
                  <c:v>4Q24</c:v>
                </c:pt>
              </c:strCache>
            </c:strRef>
          </c:cat>
          <c:val>
            <c:numRef>
              <c:f>(Revenue!$F$139,Revenue!$AQ$138:$AX$138)</c:f>
              <c:numCache>
                <c:formatCode>0.0%</c:formatCode>
                <c:ptCount val="9"/>
                <c:pt idx="0">
                  <c:v>0.17975472652717242</c:v>
                </c:pt>
                <c:pt idx="1">
                  <c:v>0.19093568084630352</c:v>
                </c:pt>
                <c:pt idx="2">
                  <c:v>0.20307206786824319</c:v>
                </c:pt>
                <c:pt idx="3">
                  <c:v>0.19585828343313372</c:v>
                </c:pt>
                <c:pt idx="4">
                  <c:v>0.17905733722060249</c:v>
                </c:pt>
                <c:pt idx="5">
                  <c:v>0.20563310069790627</c:v>
                </c:pt>
                <c:pt idx="6">
                  <c:v>0.22069943289224953</c:v>
                </c:pt>
                <c:pt idx="7">
                  <c:v>0.19907813871817384</c:v>
                </c:pt>
                <c:pt idx="8">
                  <c:v>0.19168399168399169</c:v>
                </c:pt>
              </c:numCache>
              <c:extLst/>
            </c:numRef>
          </c:val>
          <c:smooth val="1"/>
          <c:extLst>
            <c:ext xmlns:c16="http://schemas.microsoft.com/office/drawing/2014/chart" uri="{C3380CC4-5D6E-409C-BE32-E72D297353CC}">
              <c16:uniqueId val="{00000004-F1A7-4F1E-B271-4FDD6E692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5760559"/>
        <c:axId val="186577831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FPT</c:v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(Revenue!$F$1,Revenue!$AQ$1:$AX$1)</c15:sqref>
                        </c15:formulaRef>
                      </c:ext>
                    </c:extLst>
                    <c:strCache>
                      <c:ptCount val="9"/>
                      <c:pt idx="0">
                        <c:v>2022</c:v>
                      </c:pt>
                      <c:pt idx="1">
                        <c:v>1Q23</c:v>
                      </c:pt>
                      <c:pt idx="2">
                        <c:v>2Q23</c:v>
                      </c:pt>
                      <c:pt idx="3">
                        <c:v>3Q23</c:v>
                      </c:pt>
                      <c:pt idx="4">
                        <c:v>4Q23</c:v>
                      </c:pt>
                      <c:pt idx="5">
                        <c:v>1Q24</c:v>
                      </c:pt>
                      <c:pt idx="6">
                        <c:v>2Q24</c:v>
                      </c:pt>
                      <c:pt idx="7">
                        <c:v>3Q24</c:v>
                      </c:pt>
                      <c:pt idx="8">
                        <c:v>4Q24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Revenue!$AU$134:$AX$134</c15:sqref>
                        </c15:formulaRef>
                      </c:ext>
                    </c:extLst>
                    <c:numCache>
                      <c:formatCode>0.0%</c:formatCode>
                      <c:ptCount val="4"/>
                      <c:pt idx="0">
                        <c:v>0.1798183366449049</c:v>
                      </c:pt>
                      <c:pt idx="1">
                        <c:v>0.17466876557785649</c:v>
                      </c:pt>
                      <c:pt idx="2">
                        <c:v>0.18323586744639375</c:v>
                      </c:pt>
                      <c:pt idx="3">
                        <c:v>0.16810540663334847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1A7-4F1E-B271-4FDD6E6926D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v>CNTT</c:v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(Revenue!$F$1,Revenue!$AQ$1:$AX$1)</c15:sqref>
                        </c15:formulaRef>
                      </c:ext>
                    </c:extLst>
                    <c:strCache>
                      <c:ptCount val="9"/>
                      <c:pt idx="0">
                        <c:v>2022</c:v>
                      </c:pt>
                      <c:pt idx="1">
                        <c:v>1Q23</c:v>
                      </c:pt>
                      <c:pt idx="2">
                        <c:v>2Q23</c:v>
                      </c:pt>
                      <c:pt idx="3">
                        <c:v>3Q23</c:v>
                      </c:pt>
                      <c:pt idx="4">
                        <c:v>4Q23</c:v>
                      </c:pt>
                      <c:pt idx="5">
                        <c:v>1Q24</c:v>
                      </c:pt>
                      <c:pt idx="6">
                        <c:v>2Q24</c:v>
                      </c:pt>
                      <c:pt idx="7">
                        <c:v>3Q24</c:v>
                      </c:pt>
                      <c:pt idx="8">
                        <c:v>4Q24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Revenue!$AU$135:$AX$135</c15:sqref>
                        </c15:formulaRef>
                      </c:ext>
                    </c:extLst>
                    <c:numCache>
                      <c:formatCode>0.0%</c:formatCode>
                      <c:ptCount val="4"/>
                      <c:pt idx="0">
                        <c:v>0.13646558847833787</c:v>
                      </c:pt>
                      <c:pt idx="1">
                        <c:v>0.13481157609827191</c:v>
                      </c:pt>
                      <c:pt idx="2">
                        <c:v>0.1376555072317184</c:v>
                      </c:pt>
                      <c:pt idx="3">
                        <c:v>0.12713080925892697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F1A7-4F1E-B271-4FDD6E6926D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Viễn thông</c:v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(Revenue!$F$1,Revenue!$AQ$1:$AX$1)</c15:sqref>
                        </c15:formulaRef>
                      </c:ext>
                    </c:extLst>
                    <c:strCache>
                      <c:ptCount val="9"/>
                      <c:pt idx="0">
                        <c:v>2022</c:v>
                      </c:pt>
                      <c:pt idx="1">
                        <c:v>1Q23</c:v>
                      </c:pt>
                      <c:pt idx="2">
                        <c:v>2Q23</c:v>
                      </c:pt>
                      <c:pt idx="3">
                        <c:v>3Q23</c:v>
                      </c:pt>
                      <c:pt idx="4">
                        <c:v>4Q23</c:v>
                      </c:pt>
                      <c:pt idx="5">
                        <c:v>1Q24</c:v>
                      </c:pt>
                      <c:pt idx="6">
                        <c:v>2Q24</c:v>
                      </c:pt>
                      <c:pt idx="7">
                        <c:v>3Q24</c:v>
                      </c:pt>
                      <c:pt idx="8">
                        <c:v>4Q24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Revenue!$AU$139:$AX$139</c15:sqref>
                        </c15:formulaRef>
                      </c:ext>
                    </c:extLst>
                    <c:numCache>
                      <c:formatCode>0.0%</c:formatCode>
                      <c:ptCount val="4"/>
                      <c:pt idx="0">
                        <c:v>0.2072072072072072</c:v>
                      </c:pt>
                      <c:pt idx="1">
                        <c:v>0.21857387895123745</c:v>
                      </c:pt>
                      <c:pt idx="2">
                        <c:v>0.19522278364722095</c:v>
                      </c:pt>
                      <c:pt idx="3">
                        <c:v>0.19036197121674661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1A7-4F1E-B271-4FDD6E6926D5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Nội dung online</c:v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(Revenue!$F$1,Revenue!$AQ$1:$AX$1)</c15:sqref>
                        </c15:formulaRef>
                      </c:ext>
                    </c:extLst>
                    <c:strCache>
                      <c:ptCount val="9"/>
                      <c:pt idx="0">
                        <c:v>2022</c:v>
                      </c:pt>
                      <c:pt idx="1">
                        <c:v>1Q23</c:v>
                      </c:pt>
                      <c:pt idx="2">
                        <c:v>2Q23</c:v>
                      </c:pt>
                      <c:pt idx="3">
                        <c:v>3Q23</c:v>
                      </c:pt>
                      <c:pt idx="4">
                        <c:v>4Q23</c:v>
                      </c:pt>
                      <c:pt idx="5">
                        <c:v>1Q24</c:v>
                      </c:pt>
                      <c:pt idx="6">
                        <c:v>2Q24</c:v>
                      </c:pt>
                      <c:pt idx="7">
                        <c:v>3Q24</c:v>
                      </c:pt>
                      <c:pt idx="8">
                        <c:v>4Q24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Revenue!$AU$140:$AX$140</c15:sqref>
                        </c15:formulaRef>
                      </c:ext>
                    </c:extLst>
                    <c:numCache>
                      <c:formatCode>0.0%</c:formatCode>
                      <c:ptCount val="4"/>
                      <c:pt idx="0">
                        <c:v>0.15748031496062992</c:v>
                      </c:pt>
                      <c:pt idx="1">
                        <c:v>0.27814569536423839</c:v>
                      </c:pt>
                      <c:pt idx="2">
                        <c:v>0.28217821782178215</c:v>
                      </c:pt>
                      <c:pt idx="3">
                        <c:v>0.21333333333333335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1A7-4F1E-B271-4FDD6E6926D5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v>Giáo dục</c:v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(Revenue!$F$1,Revenue!$AQ$1:$AX$1)</c15:sqref>
                        </c15:formulaRef>
                      </c:ext>
                    </c:extLst>
                    <c:strCache>
                      <c:ptCount val="9"/>
                      <c:pt idx="0">
                        <c:v>2022</c:v>
                      </c:pt>
                      <c:pt idx="1">
                        <c:v>1Q23</c:v>
                      </c:pt>
                      <c:pt idx="2">
                        <c:v>2Q23</c:v>
                      </c:pt>
                      <c:pt idx="3">
                        <c:v>3Q23</c:v>
                      </c:pt>
                      <c:pt idx="4">
                        <c:v>4Q23</c:v>
                      </c:pt>
                      <c:pt idx="5">
                        <c:v>1Q24</c:v>
                      </c:pt>
                      <c:pt idx="6">
                        <c:v>2Q24</c:v>
                      </c:pt>
                      <c:pt idx="7">
                        <c:v>3Q24</c:v>
                      </c:pt>
                      <c:pt idx="8">
                        <c:v>4Q24</c:v>
                      </c:pt>
                    </c:strCache>
                  </c:strRef>
                </c:cat>
                <c:val>
                  <c:numLit>
                    <c:ptCount val="0"/>
                  </c:numLit>
                </c: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1A7-4F1E-B271-4FDD6E6926D5}"/>
                  </c:ext>
                </c:extLst>
              </c15:ser>
            </c15:filteredLineSeries>
          </c:ext>
        </c:extLst>
      </c:lineChart>
      <c:catAx>
        <c:axId val="1865760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778319"/>
        <c:crosses val="autoZero"/>
        <c:auto val="1"/>
        <c:lblAlgn val="ctr"/>
        <c:lblOffset val="100"/>
        <c:noMultiLvlLbl val="0"/>
      </c:catAx>
      <c:valAx>
        <c:axId val="1865778319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760559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2"/>
          <c:order val="0"/>
          <c:tx>
            <c:v>Biên LNHĐKD</c:v>
          </c:tx>
          <c:spPr>
            <a:ln w="28575" cap="rnd">
              <a:solidFill>
                <a:srgbClr val="7E9FC3"/>
              </a:solidFill>
              <a:round/>
            </a:ln>
            <a:effectLst/>
          </c:spPr>
          <c:marker>
            <c:symbol val="none"/>
          </c:marker>
          <c:cat>
            <c:multiLvlStrRef>
              <c:f>(PL!$K$4:$M$4,PL!$CA$2:$CH$2)</c:f>
            </c:multiLvlStrRef>
          </c:cat>
          <c:val>
            <c:numRef>
              <c:f>(PL!$K$26:$M$26,PL!$CA$26:$CH$26)</c:f>
            </c:numRef>
          </c:val>
          <c:smooth val="0"/>
          <c:extLst>
            <c:ext xmlns:c16="http://schemas.microsoft.com/office/drawing/2014/chart" uri="{C3380CC4-5D6E-409C-BE32-E72D297353CC}">
              <c16:uniqueId val="{00000005-C852-4398-8913-4B6369D1C52C}"/>
            </c:ext>
          </c:extLst>
        </c:ser>
        <c:ser>
          <c:idx val="4"/>
          <c:order val="1"/>
          <c:tx>
            <c:v>Biên LN gộp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(PL!$K$4:$M$4,PL!$CA$2:$CH$2)</c:f>
            </c:multiLvlStrRef>
          </c:cat>
          <c:val>
            <c:numRef>
              <c:f>(PL!$K$14:$M$14,PL!$CA$14:$CH$14)</c:f>
            </c:numRef>
          </c:val>
          <c:smooth val="0"/>
          <c:extLst>
            <c:ext xmlns:c16="http://schemas.microsoft.com/office/drawing/2014/chart" uri="{C3380CC4-5D6E-409C-BE32-E72D297353CC}">
              <c16:uniqueId val="{00000008-C852-4398-8913-4B6369D1C52C}"/>
            </c:ext>
          </c:extLst>
        </c:ser>
        <c:ser>
          <c:idx val="3"/>
          <c:order val="2"/>
          <c:tx>
            <c:v>Biên LN ròng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(PL!$K$4:$M$4,PL!$CA$2:$CH$2)</c:f>
            </c:multiLvlStrRef>
          </c:cat>
          <c:val>
            <c:numRef>
              <c:f>(PL!$K$57:$M$57,PL!$CA$57:$CH$57)</c:f>
            </c:numRef>
          </c:val>
          <c:smooth val="0"/>
          <c:extLst>
            <c:ext xmlns:c16="http://schemas.microsoft.com/office/drawing/2014/chart" uri="{C3380CC4-5D6E-409C-BE32-E72D297353CC}">
              <c16:uniqueId val="{00000007-C852-4398-8913-4B6369D1C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463840"/>
        <c:axId val="179444160"/>
      </c:lineChart>
      <c:catAx>
        <c:axId val="17946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US"/>
          </a:p>
        </c:txPr>
        <c:crossAx val="179444160"/>
        <c:crosses val="autoZero"/>
        <c:auto val="1"/>
        <c:lblAlgn val="ctr"/>
        <c:lblOffset val="100"/>
        <c:noMultiLvlLbl val="0"/>
      </c:catAx>
      <c:valAx>
        <c:axId val="17944416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US"/>
          </a:p>
        </c:txPr>
        <c:crossAx val="17946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Chi phí bán hàng/Doanh thu</c:v>
          </c:tx>
          <c:spPr>
            <a:ln w="28575" cap="rnd">
              <a:solidFill>
                <a:srgbClr val="84888B"/>
              </a:solidFill>
              <a:round/>
            </a:ln>
            <a:effectLst/>
          </c:spPr>
          <c:marker>
            <c:symbol val="none"/>
          </c:marker>
          <c:cat>
            <c:multiLvlStrRef>
              <c:f>(PL!$K$4:$M$4,PL!$CA$2:$CH$2)</c:f>
            </c:multiLvlStrRef>
          </c:cat>
          <c:val>
            <c:numRef>
              <c:f>(PL!$K$19:$M$19,PL!$CA$19:$CH$19)</c:f>
            </c:numRef>
          </c:val>
          <c:smooth val="0"/>
          <c:extLst>
            <c:ext xmlns:c16="http://schemas.microsoft.com/office/drawing/2014/chart" uri="{C3380CC4-5D6E-409C-BE32-E72D297353CC}">
              <c16:uniqueId val="{00000001-9697-4ABB-8473-C026E111020F}"/>
            </c:ext>
          </c:extLst>
        </c:ser>
        <c:ser>
          <c:idx val="1"/>
          <c:order val="1"/>
          <c:tx>
            <c:v>Chi phí quản lý/Doanh thu</c:v>
          </c:tx>
          <c:spPr>
            <a:ln w="28575" cap="rnd">
              <a:solidFill>
                <a:srgbClr val="F0B26B"/>
              </a:solidFill>
              <a:round/>
            </a:ln>
            <a:effectLst/>
          </c:spPr>
          <c:marker>
            <c:symbol val="none"/>
          </c:marker>
          <c:cat>
            <c:multiLvlStrRef>
              <c:f>(PL!$K$4:$M$4,PL!$CA$2:$CH$2)</c:f>
            </c:multiLvlStrRef>
          </c:cat>
          <c:val>
            <c:numRef>
              <c:f>(PL!$K$22:$M$22,PL!$CA$22:$CH$22)</c:f>
            </c:numRef>
          </c:val>
          <c:smooth val="0"/>
          <c:extLst>
            <c:ext xmlns:c16="http://schemas.microsoft.com/office/drawing/2014/chart" uri="{C3380CC4-5D6E-409C-BE32-E72D297353CC}">
              <c16:uniqueId val="{00000002-9697-4ABB-8473-C026E1110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463840"/>
        <c:axId val="179444160"/>
      </c:lineChart>
      <c:catAx>
        <c:axId val="17946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US"/>
          </a:p>
        </c:txPr>
        <c:crossAx val="179444160"/>
        <c:crosses val="autoZero"/>
        <c:auto val="1"/>
        <c:lblAlgn val="ctr"/>
        <c:lblOffset val="100"/>
        <c:noMultiLvlLbl val="0"/>
      </c:catAx>
      <c:valAx>
        <c:axId val="17944416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US"/>
          </a:p>
        </c:txPr>
        <c:crossAx val="17946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373112098011969"/>
          <c:y val="0.2073821414906257"/>
          <c:w val="0.82397745264540889"/>
          <c:h val="0.6379397668002496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Revenue!$A$11</c:f>
              <c:strCache>
                <c:ptCount val="1"/>
                <c:pt idx="0">
                  <c:v>Total IT services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Revenue!$F$1:$N$1</c:f>
              <c:strCach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2026F</c:v>
                </c:pt>
                <c:pt idx="5">
                  <c:v>2027F</c:v>
                </c:pt>
                <c:pt idx="6">
                  <c:v>2028F</c:v>
                </c:pt>
                <c:pt idx="8">
                  <c:v>2025F</c:v>
                </c:pt>
              </c:strCache>
            </c:strRef>
          </c:cat>
          <c:val>
            <c:numRef>
              <c:f>Revenue!$F$11:$N$11</c:f>
              <c:numCache>
                <c:formatCode>_(* #,##0_);_(* \(#,##0\);_(* \-??_);_(@_)</c:formatCode>
                <c:ptCount val="9"/>
                <c:pt idx="0">
                  <c:v>25762.901999999998</c:v>
                </c:pt>
                <c:pt idx="1">
                  <c:v>31449</c:v>
                </c:pt>
                <c:pt idx="2">
                  <c:v>39110</c:v>
                </c:pt>
                <c:pt idx="3">
                  <c:v>44475</c:v>
                </c:pt>
                <c:pt idx="4">
                  <c:v>50756.006680421699</c:v>
                </c:pt>
                <c:pt idx="5">
                  <c:v>58733.788200000003</c:v>
                </c:pt>
                <c:pt idx="6">
                  <c:v>68460.16002000001</c:v>
                </c:pt>
                <c:pt idx="7">
                  <c:v>57194.606680421697</c:v>
                </c:pt>
                <c:pt idx="8">
                  <c:v>39843.130000000005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CA-4A56-B9C4-B75CB2FDFB7C}"/>
            </c:ext>
          </c:extLst>
        </c:ser>
        <c:ser>
          <c:idx val="3"/>
          <c:order val="1"/>
          <c:tx>
            <c:strRef>
              <c:f>Revenue!$A$14</c:f>
              <c:strCache>
                <c:ptCount val="1"/>
                <c:pt idx="0">
                  <c:v>Total telecom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Revenue!$F$1:$N$1</c:f>
              <c:strCach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2026F</c:v>
                </c:pt>
                <c:pt idx="5">
                  <c:v>2027F</c:v>
                </c:pt>
                <c:pt idx="6">
                  <c:v>2028F</c:v>
                </c:pt>
                <c:pt idx="8">
                  <c:v>2025F</c:v>
                </c:pt>
              </c:strCache>
            </c:strRef>
          </c:cat>
          <c:val>
            <c:numRef>
              <c:f>Revenue!$F$14:$N$14</c:f>
              <c:numCache>
                <c:formatCode>_(* #,##0_);_(* \(#,##0\);_(* \-??_);_(@_)</c:formatCode>
                <c:ptCount val="9"/>
                <c:pt idx="0">
                  <c:v>14729.648999999999</c:v>
                </c:pt>
                <c:pt idx="1">
                  <c:v>15806</c:v>
                </c:pt>
                <c:pt idx="2">
                  <c:v>17610</c:v>
                </c:pt>
                <c:pt idx="3" formatCode="#,##0">
                  <c:v>19507</c:v>
                </c:pt>
                <c:pt idx="4">
                  <c:v>21750.305</c:v>
                </c:pt>
                <c:pt idx="5">
                  <c:v>24360.341600000003</c:v>
                </c:pt>
                <c:pt idx="6">
                  <c:v>27283.582592000006</c:v>
                </c:pt>
                <c:pt idx="8">
                  <c:v>19723.2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9CA-4A56-B9C4-B75CB2FDFB7C}"/>
            </c:ext>
          </c:extLst>
        </c:ser>
        <c:ser>
          <c:idx val="6"/>
          <c:order val="2"/>
          <c:tx>
            <c:strRef>
              <c:f>Revenue!$A$17</c:f>
              <c:strCache>
                <c:ptCount val="1"/>
                <c:pt idx="0">
                  <c:v>Education, Investments and others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Revenue!$F$1:$N$1</c:f>
              <c:strCach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2026F</c:v>
                </c:pt>
                <c:pt idx="5">
                  <c:v>2027F</c:v>
                </c:pt>
                <c:pt idx="6">
                  <c:v>2028F</c:v>
                </c:pt>
                <c:pt idx="8">
                  <c:v>2025F</c:v>
                </c:pt>
              </c:strCache>
            </c:strRef>
          </c:cat>
          <c:val>
            <c:numRef>
              <c:f>Revenue!$F$17:$N$17</c:f>
              <c:numCache>
                <c:formatCode>_(* #,##0_);_(* \(#,##0\);_(* \-??_);_(@_)</c:formatCode>
                <c:ptCount val="9"/>
                <c:pt idx="0">
                  <c:v>3516.9766809110006</c:v>
                </c:pt>
                <c:pt idx="1">
                  <c:v>5363</c:v>
                </c:pt>
                <c:pt idx="2">
                  <c:v>6129</c:v>
                </c:pt>
                <c:pt idx="3">
                  <c:v>6132</c:v>
                </c:pt>
                <c:pt idx="4">
                  <c:v>6438.6</c:v>
                </c:pt>
                <c:pt idx="5">
                  <c:v>7211.2320000000009</c:v>
                </c:pt>
                <c:pt idx="6">
                  <c:v>8076.5798400000022</c:v>
                </c:pt>
                <c:pt idx="8">
                  <c:v>6741.9000000000005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9CA-4A56-B9C4-B75CB2FDFB7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100"/>
        <c:axId val="260826608"/>
        <c:axId val="260817488"/>
        <c:extLst>
          <c:ext xmlns:c15="http://schemas.microsoft.com/office/drawing/2012/chart" uri="{02D57815-91ED-43cb-92C2-25804820EDAC}">
            <c15:filteredBarSeries>
              <c15:ser>
                <c:idx val="1"/>
                <c:order val="3"/>
                <c:tx>
                  <c:v>LNTT IT</c:v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7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Noto Sans" panose="020B0502040504020204" pitchFamily="34" charset="0"/>
                          <a:ea typeface="Noto Sans" panose="020B0502040504020204" pitchFamily="34" charset="0"/>
                          <a:cs typeface="Noto Sans" panose="020B0502040504020204" pitchFamily="34" charset="0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Revenue!$F$1:$N$1</c15:sqref>
                        </c15:formulaRef>
                      </c:ext>
                    </c:extLst>
                    <c:strCache>
                      <c:ptCount val="9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  <c:pt idx="3">
                        <c:v>2025</c:v>
                      </c:pt>
                      <c:pt idx="4">
                        <c:v>2026F</c:v>
                      </c:pt>
                      <c:pt idx="5">
                        <c:v>2027F</c:v>
                      </c:pt>
                      <c:pt idx="6">
                        <c:v>2028F</c:v>
                      </c:pt>
                      <c:pt idx="8">
                        <c:v>2025F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Revenue!$F$116:$N$116</c15:sqref>
                        </c15:formulaRef>
                      </c:ext>
                    </c:extLst>
                    <c:numCache>
                      <c:formatCode>_(* #,##0_);_(* \(#,##0\);_(* \-??_);_(@_)</c:formatCode>
                      <c:ptCount val="9"/>
                      <c:pt idx="0">
                        <c:v>3366.1969999999997</c:v>
                      </c:pt>
                      <c:pt idx="1">
                        <c:v>4162</c:v>
                      </c:pt>
                      <c:pt idx="2">
                        <c:v>5229</c:v>
                      </c:pt>
                      <c:pt idx="3">
                        <c:v>5883</c:v>
                      </c:pt>
                      <c:pt idx="8">
                        <c:v>5617.8813300000002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1-F9CA-4A56-B9C4-B75CB2FDFB7C}"/>
                  </c:ext>
                </c:extLst>
              </c15:ser>
            </c15:filteredBarSeries>
            <c15:filteredBarSeries>
              <c15:ser>
                <c:idx val="2"/>
                <c:order val="4"/>
                <c:tx>
                  <c:v>LNTT Viễn thông</c:v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7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Noto Sans" panose="020B0502040504020204" pitchFamily="34" charset="0"/>
                          <a:ea typeface="Noto Sans" panose="020B0502040504020204" pitchFamily="34" charset="0"/>
                          <a:cs typeface="Noto Sans" panose="020B0502040504020204" pitchFamily="34" charset="0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Revenue!$F$1:$N$1</c15:sqref>
                        </c15:formulaRef>
                      </c:ext>
                    </c:extLst>
                    <c:strCache>
                      <c:ptCount val="9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  <c:pt idx="3">
                        <c:v>2025</c:v>
                      </c:pt>
                      <c:pt idx="4">
                        <c:v>2026F</c:v>
                      </c:pt>
                      <c:pt idx="5">
                        <c:v>2027F</c:v>
                      </c:pt>
                      <c:pt idx="6">
                        <c:v>2028F</c:v>
                      </c:pt>
                      <c:pt idx="8">
                        <c:v>2025F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Revenue!$F$119:$N$119</c15:sqref>
                        </c15:formulaRef>
                      </c:ext>
                    </c:extLst>
                    <c:numCache>
                      <c:formatCode>_(* #,##0_);_(* \(#,##0\);_(* \-??_);_(@_)</c:formatCode>
                      <c:ptCount val="9"/>
                      <c:pt idx="0">
                        <c:v>2817.5969999999998</c:v>
                      </c:pt>
                      <c:pt idx="1">
                        <c:v>3036</c:v>
                      </c:pt>
                      <c:pt idx="2">
                        <c:v>3588</c:v>
                      </c:pt>
                      <c:pt idx="3">
                        <c:v>4363</c:v>
                      </c:pt>
                      <c:pt idx="8">
                        <c:v>4043.2559999999999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F9CA-4A56-B9C4-B75CB2FDFB7C}"/>
                  </c:ext>
                </c:extLst>
              </c15:ser>
            </c15:filteredBarSeries>
            <c15:filteredBarSeries>
              <c15:ser>
                <c:idx val="4"/>
                <c:order val="5"/>
                <c:tx>
                  <c:v>LNTT Giáo dục</c:v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7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Noto Sans" panose="020B0502040504020204" pitchFamily="34" charset="0"/>
                          <a:ea typeface="Noto Sans" panose="020B0502040504020204" pitchFamily="34" charset="0"/>
                          <a:cs typeface="Noto Sans" panose="020B0502040504020204" pitchFamily="34" charset="0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Revenue!$F$1:$N$1</c15:sqref>
                        </c15:formulaRef>
                      </c:ext>
                    </c:extLst>
                    <c:strCache>
                      <c:ptCount val="9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  <c:pt idx="3">
                        <c:v>2025</c:v>
                      </c:pt>
                      <c:pt idx="4">
                        <c:v>2026F</c:v>
                      </c:pt>
                      <c:pt idx="5">
                        <c:v>2027F</c:v>
                      </c:pt>
                      <c:pt idx="6">
                        <c:v>2028F</c:v>
                      </c:pt>
                      <c:pt idx="8">
                        <c:v>2025F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Revenue!$F$122:$N$122</c15:sqref>
                        </c15:formulaRef>
                      </c:ext>
                    </c:extLst>
                    <c:numCache>
                      <c:formatCode>_(* #,##0_);_(* \(#,##0\);_(* \-??_);_(@_)</c:formatCode>
                      <c:ptCount val="9"/>
                      <c:pt idx="0">
                        <c:v>1478.48895988</c:v>
                      </c:pt>
                      <c:pt idx="1">
                        <c:v>2005</c:v>
                      </c:pt>
                      <c:pt idx="2">
                        <c:v>2254</c:v>
                      </c:pt>
                      <c:pt idx="3">
                        <c:v>2792</c:v>
                      </c:pt>
                      <c:pt idx="8">
                        <c:v>2479.4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F9CA-4A56-B9C4-B75CB2FDFB7C}"/>
                  </c:ext>
                </c:extLst>
              </c15:ser>
            </c15:filteredBarSeries>
          </c:ext>
        </c:extLst>
      </c:barChart>
      <c:catAx>
        <c:axId val="260826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r>
                  <a:rPr lang="en-US" sz="700"/>
                  <a:t>(tỷ</a:t>
                </a:r>
                <a:r>
                  <a:rPr lang="en-US" sz="700" baseline="0"/>
                  <a:t> đồng)</a:t>
                </a:r>
                <a:endParaRPr lang="en-US" sz="700"/>
              </a:p>
            </c:rich>
          </c:tx>
          <c:layout>
            <c:manualLayout>
              <c:xMode val="edge"/>
              <c:yMode val="edge"/>
              <c:x val="3.524386441314213E-3"/>
              <c:y val="7.589514066496164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" panose="020B0502040504020204" pitchFamily="34" charset="0"/>
                  <a:ea typeface="Noto Sans" panose="020B0502040504020204" pitchFamily="34" charset="0"/>
                  <a:cs typeface="Noto Sans" panose="020B0502040504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260817488"/>
        <c:crosses val="autoZero"/>
        <c:auto val="1"/>
        <c:lblAlgn val="ctr"/>
        <c:lblOffset val="100"/>
        <c:noMultiLvlLbl val="0"/>
      </c:catAx>
      <c:valAx>
        <c:axId val="260817488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260826608"/>
        <c:crosses val="autoZero"/>
        <c:crossBetween val="between"/>
        <c:majorUnit val="20000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.13136679714343666"/>
          <c:y val="0"/>
          <c:w val="0.81043757962439911"/>
          <c:h val="6.63852116212982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373112098011969"/>
          <c:y val="0.2073821414906257"/>
          <c:w val="0.82397745264540889"/>
          <c:h val="0.637939766800249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Revenue!$A$11</c:f>
              <c:strCache>
                <c:ptCount val="1"/>
                <c:pt idx="0">
                  <c:v>Total IT services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Revenue!$F$1:$N$1</c:f>
              <c:strCach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2026F</c:v>
                </c:pt>
                <c:pt idx="5">
                  <c:v>2027F</c:v>
                </c:pt>
                <c:pt idx="6">
                  <c:v>2028F</c:v>
                </c:pt>
                <c:pt idx="8">
                  <c:v>2025F</c:v>
                </c:pt>
              </c:strCache>
            </c:strRef>
          </c:cat>
          <c:val>
            <c:numRef>
              <c:f>Revenue!$F$11:$N$11</c:f>
              <c:numCache>
                <c:formatCode>_(* #,##0_);_(* \(#,##0\);_(* \-??_);_(@_)</c:formatCode>
                <c:ptCount val="9"/>
                <c:pt idx="0">
                  <c:v>25762.901999999998</c:v>
                </c:pt>
                <c:pt idx="1">
                  <c:v>31449</c:v>
                </c:pt>
                <c:pt idx="2">
                  <c:v>39110</c:v>
                </c:pt>
                <c:pt idx="3">
                  <c:v>44475</c:v>
                </c:pt>
                <c:pt idx="4">
                  <c:v>50756.006680421699</c:v>
                </c:pt>
                <c:pt idx="5">
                  <c:v>58733.788200000003</c:v>
                </c:pt>
                <c:pt idx="6">
                  <c:v>68460.16002000001</c:v>
                </c:pt>
                <c:pt idx="7">
                  <c:v>57194.606680421697</c:v>
                </c:pt>
                <c:pt idx="8">
                  <c:v>39843.130000000005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B1-41C4-945A-852BA2CE57DE}"/>
            </c:ext>
          </c:extLst>
        </c:ser>
        <c:ser>
          <c:idx val="3"/>
          <c:order val="1"/>
          <c:tx>
            <c:strRef>
              <c:f>Revenue!$A$14</c:f>
              <c:strCache>
                <c:ptCount val="1"/>
                <c:pt idx="0">
                  <c:v>Total telecom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Revenue!$F$1:$N$1</c:f>
              <c:strCach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2026F</c:v>
                </c:pt>
                <c:pt idx="5">
                  <c:v>2027F</c:v>
                </c:pt>
                <c:pt idx="6">
                  <c:v>2028F</c:v>
                </c:pt>
                <c:pt idx="8">
                  <c:v>2025F</c:v>
                </c:pt>
              </c:strCache>
            </c:strRef>
          </c:cat>
          <c:val>
            <c:numRef>
              <c:f>Revenue!$F$14:$N$14</c:f>
              <c:numCache>
                <c:formatCode>_(* #,##0_);_(* \(#,##0\);_(* \-??_);_(@_)</c:formatCode>
                <c:ptCount val="9"/>
                <c:pt idx="0">
                  <c:v>14729.648999999999</c:v>
                </c:pt>
                <c:pt idx="1">
                  <c:v>15806</c:v>
                </c:pt>
                <c:pt idx="2">
                  <c:v>17610</c:v>
                </c:pt>
                <c:pt idx="3" formatCode="#,##0">
                  <c:v>19507</c:v>
                </c:pt>
                <c:pt idx="4">
                  <c:v>21750.305</c:v>
                </c:pt>
                <c:pt idx="5">
                  <c:v>24360.341600000003</c:v>
                </c:pt>
                <c:pt idx="6">
                  <c:v>27283.582592000006</c:v>
                </c:pt>
                <c:pt idx="8">
                  <c:v>19723.2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B1-41C4-945A-852BA2CE57DE}"/>
            </c:ext>
          </c:extLst>
        </c:ser>
        <c:ser>
          <c:idx val="6"/>
          <c:order val="2"/>
          <c:tx>
            <c:strRef>
              <c:f>Revenue!$A$17</c:f>
              <c:strCache>
                <c:ptCount val="1"/>
                <c:pt idx="0">
                  <c:v>Education, Investments and others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Revenue!$F$1:$N$1</c:f>
              <c:strCach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2026F</c:v>
                </c:pt>
                <c:pt idx="5">
                  <c:v>2027F</c:v>
                </c:pt>
                <c:pt idx="6">
                  <c:v>2028F</c:v>
                </c:pt>
                <c:pt idx="8">
                  <c:v>2025F</c:v>
                </c:pt>
              </c:strCache>
            </c:strRef>
          </c:cat>
          <c:val>
            <c:numRef>
              <c:f>Revenue!$F$17:$N$17</c:f>
              <c:numCache>
                <c:formatCode>_(* #,##0_);_(* \(#,##0\);_(* \-??_);_(@_)</c:formatCode>
                <c:ptCount val="9"/>
                <c:pt idx="0">
                  <c:v>3516.9766809110006</c:v>
                </c:pt>
                <c:pt idx="1">
                  <c:v>5363</c:v>
                </c:pt>
                <c:pt idx="2">
                  <c:v>6129</c:v>
                </c:pt>
                <c:pt idx="3">
                  <c:v>6132</c:v>
                </c:pt>
                <c:pt idx="4">
                  <c:v>6438.6</c:v>
                </c:pt>
                <c:pt idx="5">
                  <c:v>7211.2320000000009</c:v>
                </c:pt>
                <c:pt idx="6">
                  <c:v>8076.5798400000022</c:v>
                </c:pt>
                <c:pt idx="8">
                  <c:v>6741.9000000000005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B1-41C4-945A-852BA2CE57DE}"/>
            </c:ext>
          </c:extLst>
        </c:ser>
        <c:ser>
          <c:idx val="1"/>
          <c:order val="3"/>
          <c:tx>
            <c:v>LNTT IT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Revenue!$F$1:$N$1</c:f>
              <c:strCach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2026F</c:v>
                </c:pt>
                <c:pt idx="5">
                  <c:v>2027F</c:v>
                </c:pt>
                <c:pt idx="6">
                  <c:v>2028F</c:v>
                </c:pt>
                <c:pt idx="8">
                  <c:v>2025F</c:v>
                </c:pt>
              </c:strCache>
            </c:strRef>
          </c:cat>
          <c:val>
            <c:numRef>
              <c:f>Revenue!$F$116:$N$116</c:f>
              <c:numCache>
                <c:formatCode>_(* #,##0_);_(* \(#,##0\);_(* \-??_);_(@_)</c:formatCode>
                <c:ptCount val="9"/>
                <c:pt idx="0">
                  <c:v>3366.1969999999997</c:v>
                </c:pt>
                <c:pt idx="1">
                  <c:v>4162</c:v>
                </c:pt>
                <c:pt idx="2">
                  <c:v>5229</c:v>
                </c:pt>
                <c:pt idx="3">
                  <c:v>5883</c:v>
                </c:pt>
                <c:pt idx="8">
                  <c:v>5617.8813300000002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B1-41C4-945A-852BA2CE57DE}"/>
            </c:ext>
          </c:extLst>
        </c:ser>
        <c:ser>
          <c:idx val="2"/>
          <c:order val="4"/>
          <c:tx>
            <c:v>LNTT Viễn thông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Revenue!$F$1:$N$1</c:f>
              <c:strCach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2026F</c:v>
                </c:pt>
                <c:pt idx="5">
                  <c:v>2027F</c:v>
                </c:pt>
                <c:pt idx="6">
                  <c:v>2028F</c:v>
                </c:pt>
                <c:pt idx="8">
                  <c:v>2025F</c:v>
                </c:pt>
              </c:strCache>
            </c:strRef>
          </c:cat>
          <c:val>
            <c:numRef>
              <c:f>Revenue!$F$119:$N$119</c:f>
              <c:numCache>
                <c:formatCode>_(* #,##0_);_(* \(#,##0\);_(* \-??_);_(@_)</c:formatCode>
                <c:ptCount val="9"/>
                <c:pt idx="0">
                  <c:v>2817.5969999999998</c:v>
                </c:pt>
                <c:pt idx="1">
                  <c:v>3036</c:v>
                </c:pt>
                <c:pt idx="2">
                  <c:v>3588</c:v>
                </c:pt>
                <c:pt idx="3">
                  <c:v>4363</c:v>
                </c:pt>
                <c:pt idx="8">
                  <c:v>4043.2559999999999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B1-41C4-945A-852BA2CE57DE}"/>
            </c:ext>
          </c:extLst>
        </c:ser>
        <c:ser>
          <c:idx val="4"/>
          <c:order val="5"/>
          <c:tx>
            <c:v>LNTT Giáo dục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Revenue!$F$1:$N$1</c:f>
              <c:strCach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2026F</c:v>
                </c:pt>
                <c:pt idx="5">
                  <c:v>2027F</c:v>
                </c:pt>
                <c:pt idx="6">
                  <c:v>2028F</c:v>
                </c:pt>
                <c:pt idx="8">
                  <c:v>2025F</c:v>
                </c:pt>
              </c:strCache>
            </c:strRef>
          </c:cat>
          <c:val>
            <c:numRef>
              <c:f>Revenue!$F$122:$N$122</c:f>
              <c:numCache>
                <c:formatCode>_(* #,##0_);_(* \(#,##0\);_(* \-??_);_(@_)</c:formatCode>
                <c:ptCount val="9"/>
                <c:pt idx="0">
                  <c:v>1478.48895988</c:v>
                </c:pt>
                <c:pt idx="1">
                  <c:v>2005</c:v>
                </c:pt>
                <c:pt idx="2">
                  <c:v>2254</c:v>
                </c:pt>
                <c:pt idx="3">
                  <c:v>2792</c:v>
                </c:pt>
                <c:pt idx="8">
                  <c:v>2479.4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B1-41C4-945A-852BA2CE57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444"/>
        <c:axId val="260826608"/>
        <c:axId val="260817488"/>
      </c:barChart>
      <c:catAx>
        <c:axId val="260826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r>
                  <a:rPr lang="en-US" sz="700"/>
                  <a:t>(tỷ</a:t>
                </a:r>
                <a:r>
                  <a:rPr lang="en-US" sz="700" baseline="0"/>
                  <a:t> đồng)</a:t>
                </a:r>
                <a:endParaRPr lang="en-US" sz="700"/>
              </a:p>
            </c:rich>
          </c:tx>
          <c:layout>
            <c:manualLayout>
              <c:xMode val="edge"/>
              <c:yMode val="edge"/>
              <c:x val="3.524386441314213E-3"/>
              <c:y val="7.589514066496164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" panose="020B0502040504020204" pitchFamily="34" charset="0"/>
                  <a:ea typeface="Noto Sans" panose="020B0502040504020204" pitchFamily="34" charset="0"/>
                  <a:cs typeface="Noto Sans" panose="020B0502040504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260817488"/>
        <c:crosses val="autoZero"/>
        <c:auto val="1"/>
        <c:lblAlgn val="ctr"/>
        <c:lblOffset val="100"/>
        <c:noMultiLvlLbl val="0"/>
      </c:catAx>
      <c:valAx>
        <c:axId val="260817488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260826608"/>
        <c:crosses val="autoZero"/>
        <c:crossBetween val="between"/>
        <c:majorUnit val="20000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.13136679714343666"/>
          <c:y val="0"/>
          <c:w val="0.70058537236771767"/>
          <c:h val="0.192704024145618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16598669311285"/>
          <c:y val="7.0394670641627591E-2"/>
          <c:w val="0.83686653273140588"/>
          <c:h val="0.69094906171706716"/>
        </c:manualLayout>
      </c:layout>
      <c:lineChart>
        <c:grouping val="standard"/>
        <c:varyColors val="0"/>
        <c:ser>
          <c:idx val="0"/>
          <c:order val="0"/>
          <c:tx>
            <c:strRef>
              <c:f>Revenue!$A$136</c:f>
              <c:strCache>
                <c:ptCount val="1"/>
                <c:pt idx="0">
                  <c:v>Global 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Revenue!$AU$1:$AZ$1</c:f>
              <c:strCache>
                <c:ptCount val="6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</c:strCache>
            </c:strRef>
          </c:cat>
          <c:val>
            <c:numRef>
              <c:f>Revenue!$AU$136:$AZ$136</c:f>
              <c:numCache>
                <c:formatCode>0.0%</c:formatCode>
                <c:ptCount val="6"/>
                <c:pt idx="0">
                  <c:v>0.15930847263894843</c:v>
                </c:pt>
                <c:pt idx="1">
                  <c:v>0.15566411407446529</c:v>
                </c:pt>
                <c:pt idx="2">
                  <c:v>0.16306361951822113</c:v>
                </c:pt>
                <c:pt idx="3">
                  <c:v>0.13952926976463489</c:v>
                </c:pt>
                <c:pt idx="4">
                  <c:v>0.16992426093330076</c:v>
                </c:pt>
                <c:pt idx="5">
                  <c:v>0.15206884356949193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FF-48CE-8C93-EF0B29245C8E}"/>
            </c:ext>
          </c:extLst>
        </c:ser>
        <c:ser>
          <c:idx val="1"/>
          <c:order val="1"/>
          <c:tx>
            <c:strRef>
              <c:f>Revenue!$A$137</c:f>
              <c:strCache>
                <c:ptCount val="1"/>
                <c:pt idx="0">
                  <c:v>Domestic 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Revenue!$AU$1:$AZ$1</c:f>
              <c:strCache>
                <c:ptCount val="6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</c:strCache>
            </c:strRef>
          </c:cat>
          <c:val>
            <c:numRef>
              <c:f>Revenue!$AU$137:$AZ$137</c:f>
              <c:numCache>
                <c:formatCode>0.0%</c:formatCode>
                <c:ptCount val="6"/>
                <c:pt idx="0">
                  <c:v>2.7853260869565216E-2</c:v>
                </c:pt>
                <c:pt idx="1">
                  <c:v>5.7086614173228349E-2</c:v>
                </c:pt>
                <c:pt idx="2">
                  <c:v>2.2321428571428572E-2</c:v>
                </c:pt>
                <c:pt idx="3">
                  <c:v>9.1925900034952809E-2</c:v>
                </c:pt>
                <c:pt idx="4">
                  <c:v>1.5161086544535692E-2</c:v>
                </c:pt>
                <c:pt idx="5">
                  <c:v>6.9296375266524518E-2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FF-48CE-8C93-EF0B29245C8E}"/>
            </c:ext>
          </c:extLst>
        </c:ser>
        <c:ser>
          <c:idx val="2"/>
          <c:order val="2"/>
          <c:tx>
            <c:v>Telecom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Revenue!$AU$1:$AZ$1</c:f>
              <c:strCache>
                <c:ptCount val="6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</c:strCache>
            </c:strRef>
          </c:cat>
          <c:val>
            <c:numRef>
              <c:f>Revenue!$AU$138:$AZ$138</c:f>
              <c:numCache>
                <c:formatCode>0.0%</c:formatCode>
                <c:ptCount val="6"/>
                <c:pt idx="0">
                  <c:v>0.20563310069790627</c:v>
                </c:pt>
                <c:pt idx="1">
                  <c:v>0.22069943289224953</c:v>
                </c:pt>
                <c:pt idx="2">
                  <c:v>0.19907813871817384</c:v>
                </c:pt>
                <c:pt idx="3">
                  <c:v>0.19168399168399169</c:v>
                </c:pt>
                <c:pt idx="4">
                  <c:v>0.21104321257092973</c:v>
                </c:pt>
                <c:pt idx="5">
                  <c:v>0.23643979057591624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FF-48CE-8C93-EF0B29245C8E}"/>
            </c:ext>
          </c:extLst>
        </c:ser>
        <c:ser>
          <c:idx val="3"/>
          <c:order val="3"/>
          <c:tx>
            <c:v>Education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Revenue!$AU$1:$AZ$1</c:f>
              <c:strCache>
                <c:ptCount val="6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</c:strCache>
            </c:strRef>
          </c:cat>
          <c:val>
            <c:numRef>
              <c:f>Revenue!$AU$141:$AZ$141</c:f>
              <c:numCache>
                <c:formatCode>0.0%</c:formatCode>
                <c:ptCount val="6"/>
                <c:pt idx="0">
                  <c:v>0.34369173399627095</c:v>
                </c:pt>
                <c:pt idx="1">
                  <c:v>0.30823863636363635</c:v>
                </c:pt>
                <c:pt idx="2">
                  <c:v>0.44246575342465755</c:v>
                </c:pt>
                <c:pt idx="3">
                  <c:v>0.37590799031476996</c:v>
                </c:pt>
                <c:pt idx="4">
                  <c:v>0.37609841827768015</c:v>
                </c:pt>
                <c:pt idx="5">
                  <c:v>0.39839034205231388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6FF-48CE-8C93-EF0B29245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9530703"/>
        <c:axId val="1399548463"/>
      </c:lineChart>
      <c:catAx>
        <c:axId val="1399530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548463"/>
        <c:crosses val="autoZero"/>
        <c:auto val="1"/>
        <c:lblAlgn val="ctr"/>
        <c:lblOffset val="100"/>
        <c:noMultiLvlLbl val="0"/>
      </c:catAx>
      <c:valAx>
        <c:axId val="1399548463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530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6M24 YoY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Revenue!$A$143:$A$150</c15:sqref>
                  </c15:fullRef>
                </c:ext>
              </c:extLst>
              <c:f>(Revenue!$A$143,Revenue!$A$145:$A$146,Revenue!$A$148:$A$150)</c:f>
              <c:strCache>
                <c:ptCount val="6"/>
                <c:pt idx="0">
                  <c:v>Pre-tax profit</c:v>
                </c:pt>
                <c:pt idx="1">
                  <c:v>Global IT</c:v>
                </c:pt>
                <c:pt idx="2">
                  <c:v>Domestic IT</c:v>
                </c:pt>
                <c:pt idx="3">
                  <c:v>Telecom</c:v>
                </c:pt>
                <c:pt idx="4">
                  <c:v>Digital content</c:v>
                </c:pt>
                <c:pt idx="5">
                  <c:v>Investment, education &amp; others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Revenue!$BE$143:$BE$150</c15:sqref>
                  </c15:fullRef>
                </c:ext>
              </c:extLst>
              <c:f>(Revenue!$BE$143,Revenue!$BE$145:$BE$146,Revenue!$BE$148:$BE$150)</c:f>
              <c:numCache>
                <c:formatCode>0.0%</c:formatCode>
                <c:ptCount val="6"/>
                <c:pt idx="0">
                  <c:v>0.19774141507259735</c:v>
                </c:pt>
                <c:pt idx="1">
                  <c:v>0.25081788440567077</c:v>
                </c:pt>
                <c:pt idx="2">
                  <c:v>-8.1871345029239762E-2</c:v>
                </c:pt>
                <c:pt idx="3">
                  <c:v>0.15050847457627126</c:v>
                </c:pt>
                <c:pt idx="4">
                  <c:v>0.55000000000000004</c:v>
                </c:pt>
                <c:pt idx="5">
                  <c:v>0.20365853658536581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80-4CCC-B2A1-07C336B8A450}"/>
            </c:ext>
          </c:extLst>
        </c:ser>
        <c:ser>
          <c:idx val="1"/>
          <c:order val="1"/>
          <c:tx>
            <c:v>6M25 YoY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1.1111111111111059E-2"/>
                  <c:y val="0.1203703703703704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B80-4CCC-B2A1-07C336B8A4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Revenue!$A$143:$A$150</c15:sqref>
                  </c15:fullRef>
                </c:ext>
              </c:extLst>
              <c:f>(Revenue!$A$143,Revenue!$A$145:$A$146,Revenue!$A$148:$A$150)</c:f>
              <c:strCache>
                <c:ptCount val="6"/>
                <c:pt idx="0">
                  <c:v>Pre-tax profit</c:v>
                </c:pt>
                <c:pt idx="1">
                  <c:v>Global IT</c:v>
                </c:pt>
                <c:pt idx="2">
                  <c:v>Domestic IT</c:v>
                </c:pt>
                <c:pt idx="3">
                  <c:v>Telecom</c:v>
                </c:pt>
                <c:pt idx="4">
                  <c:v>Digital content</c:v>
                </c:pt>
                <c:pt idx="5">
                  <c:v>Investment, education &amp; others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Revenue!$BI$143:$BI$150</c15:sqref>
                  </c15:fullRef>
                </c:ext>
              </c:extLst>
              <c:f>(Revenue!$BI$143,Revenue!$BI$145:$BI$146,Revenue!$BI$148:$BI$150)</c:f>
              <c:numCache>
                <c:formatCode>0.0%</c:formatCode>
                <c:ptCount val="6"/>
                <c:pt idx="0">
                  <c:v>0.18645372330190502</c:v>
                </c:pt>
                <c:pt idx="1">
                  <c:v>0.16870095902353976</c:v>
                </c:pt>
                <c:pt idx="2">
                  <c:v>-1.9108280254777066E-2</c:v>
                </c:pt>
                <c:pt idx="3">
                  <c:v>0.18856806128461989</c:v>
                </c:pt>
                <c:pt idx="4">
                  <c:v>0.27419354838709675</c:v>
                </c:pt>
                <c:pt idx="5">
                  <c:v>0.25227963525835873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80-4CCC-B2A1-07C336B8A45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399542223"/>
        <c:axId val="1399532623"/>
      </c:barChart>
      <c:catAx>
        <c:axId val="139954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532623"/>
        <c:crosses val="autoZero"/>
        <c:auto val="1"/>
        <c:lblAlgn val="ctr"/>
        <c:lblOffset val="100"/>
        <c:noMultiLvlLbl val="0"/>
      </c:catAx>
      <c:valAx>
        <c:axId val="1399532623"/>
        <c:scaling>
          <c:orientation val="minMax"/>
        </c:scaling>
        <c:delete val="1"/>
        <c:axPos val="l"/>
        <c:numFmt formatCode="0%" sourceLinked="0"/>
        <c:majorTickMark val="none"/>
        <c:minorTickMark val="none"/>
        <c:tickLblPos val="nextTo"/>
        <c:crossAx val="1399542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2"/>
          <c:tx>
            <c:strRef>
              <c:f>Revenue!$A$12</c:f>
              <c:strCache>
                <c:ptCount val="1"/>
                <c:pt idx="0">
                  <c:v>Global 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Revenue!$AU$1:$AZ$1</c:f>
              <c:strCache>
                <c:ptCount val="6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</c:strCache>
            </c:strRef>
          </c:cat>
          <c:val>
            <c:numRef>
              <c:f>Revenue!$AU$12:$AZ$12</c:f>
              <c:numCache>
                <c:formatCode>_(* #,##0_);_(* \(#,##0\);_(* \-??_);_(@_)</c:formatCode>
                <c:ptCount val="6"/>
                <c:pt idx="0">
                  <c:v>6999</c:v>
                </c:pt>
                <c:pt idx="1">
                  <c:v>7574</c:v>
                </c:pt>
                <c:pt idx="2">
                  <c:v>8095</c:v>
                </c:pt>
                <c:pt idx="3">
                  <c:v>8285</c:v>
                </c:pt>
                <c:pt idx="4">
                  <c:v>8186</c:v>
                </c:pt>
                <c:pt idx="5">
                  <c:v>8483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E2-47F4-ABCD-BF0DD1D4C326}"/>
            </c:ext>
          </c:extLst>
        </c:ser>
        <c:ser>
          <c:idx val="3"/>
          <c:order val="3"/>
          <c:tx>
            <c:strRef>
              <c:f>Revenue!$A$13</c:f>
              <c:strCache>
                <c:ptCount val="1"/>
                <c:pt idx="0">
                  <c:v>Domestic IT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Revenue!$AU$1:$AZ$1</c:f>
              <c:strCache>
                <c:ptCount val="6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</c:strCache>
            </c:strRef>
          </c:cat>
          <c:val>
            <c:numRef>
              <c:f>Revenue!$AU$13:$AZ$13</c:f>
              <c:numCache>
                <c:formatCode>_(* #,##0_);_(* \(#,##0\);_(* \-??_);_(@_)</c:formatCode>
                <c:ptCount val="6"/>
                <c:pt idx="0">
                  <c:v>1472</c:v>
                </c:pt>
                <c:pt idx="1">
                  <c:v>2032</c:v>
                </c:pt>
                <c:pt idx="2">
                  <c:v>1792</c:v>
                </c:pt>
                <c:pt idx="3">
                  <c:v>2861</c:v>
                </c:pt>
                <c:pt idx="4">
                  <c:v>1583</c:v>
                </c:pt>
                <c:pt idx="5">
                  <c:v>1876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9E2-47F4-ABCD-BF0DD1D4C326}"/>
            </c:ext>
          </c:extLst>
        </c:ser>
        <c:ser>
          <c:idx val="4"/>
          <c:order val="4"/>
          <c:tx>
            <c:strRef>
              <c:f>Revenue!$A$15</c:f>
              <c:strCache>
                <c:ptCount val="1"/>
                <c:pt idx="0">
                  <c:v>Communication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Revenue!$AU$1:$AZ$1</c:f>
              <c:strCache>
                <c:ptCount val="6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</c:strCache>
            </c:strRef>
          </c:cat>
          <c:val>
            <c:numRef>
              <c:f>Revenue!$AU$14:$AZ$14</c:f>
              <c:numCache>
                <c:formatCode>_(* #,##0_);_(* \(#,##0\);_(* \-??_);_(@_)</c:formatCode>
                <c:ptCount val="6"/>
                <c:pt idx="0">
                  <c:v>4012</c:v>
                </c:pt>
                <c:pt idx="1">
                  <c:v>4232</c:v>
                </c:pt>
                <c:pt idx="2">
                  <c:v>4556</c:v>
                </c:pt>
                <c:pt idx="3">
                  <c:v>4810</c:v>
                </c:pt>
                <c:pt idx="4">
                  <c:v>4582</c:v>
                </c:pt>
                <c:pt idx="5">
                  <c:v>4775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9E2-47F4-ABCD-BF0DD1D4C326}"/>
            </c:ext>
          </c:extLst>
        </c:ser>
        <c:ser>
          <c:idx val="7"/>
          <c:order val="7"/>
          <c:tx>
            <c:strRef>
              <c:f>Revenue!$A$17</c:f>
              <c:strCache>
                <c:ptCount val="1"/>
                <c:pt idx="0">
                  <c:v>Education, Investments and others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Revenue!$AU$1:$AZ$1</c:f>
              <c:strCache>
                <c:ptCount val="6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</c:strCache>
            </c:strRef>
          </c:cat>
          <c:val>
            <c:numRef>
              <c:f>Revenue!$AU$17:$AZ$17</c:f>
              <c:numCache>
                <c:formatCode>_(* #,##0_);_(* \(#,##0\);_(* \-??_);_(@_)</c:formatCode>
                <c:ptCount val="6"/>
                <c:pt idx="0">
                  <c:v>1609</c:v>
                </c:pt>
                <c:pt idx="1">
                  <c:v>1408</c:v>
                </c:pt>
                <c:pt idx="2">
                  <c:v>1460</c:v>
                </c:pt>
                <c:pt idx="3">
                  <c:v>1652</c:v>
                </c:pt>
                <c:pt idx="4">
                  <c:v>1707</c:v>
                </c:pt>
                <c:pt idx="5">
                  <c:v>1491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9E2-47F4-ABCD-BF0DD1D4C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399508143"/>
        <c:axId val="13995235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Revenue!$A$10</c15:sqref>
                        </c15:formulaRef>
                      </c:ext>
                    </c:extLst>
                    <c:strCache>
                      <c:ptCount val="1"/>
                      <c:pt idx="0">
                        <c:v>Net revenue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Revenue!$AU$1:$AZ$1</c15:sqref>
                        </c15:formulaRef>
                      </c:ext>
                    </c:extLst>
                    <c:strCache>
                      <c:ptCount val="6"/>
                      <c:pt idx="0">
                        <c:v>1Q24</c:v>
                      </c:pt>
                      <c:pt idx="1">
                        <c:v>2Q24</c:v>
                      </c:pt>
                      <c:pt idx="2">
                        <c:v>3Q24</c:v>
                      </c:pt>
                      <c:pt idx="3">
                        <c:v>4Q24</c:v>
                      </c:pt>
                      <c:pt idx="4">
                        <c:v>1Q25</c:v>
                      </c:pt>
                      <c:pt idx="5">
                        <c:v>2Q25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Revenue!$AU$10:$AZ$10</c15:sqref>
                        </c15:formulaRef>
                      </c:ext>
                    </c:extLst>
                    <c:numCache>
                      <c:formatCode>_(* #,##0_);_(* \(#,##0\);_(* \-??_);_(@_)</c:formatCode>
                      <c:ptCount val="6"/>
                      <c:pt idx="0">
                        <c:v>14092</c:v>
                      </c:pt>
                      <c:pt idx="1">
                        <c:v>15246</c:v>
                      </c:pt>
                      <c:pt idx="2">
                        <c:v>15903</c:v>
                      </c:pt>
                      <c:pt idx="3">
                        <c:v>17608</c:v>
                      </c:pt>
                      <c:pt idx="4">
                        <c:v>16058</c:v>
                      </c:pt>
                      <c:pt idx="5">
                        <c:v>16625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9E2-47F4-ABCD-BF0DD1D4C326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Revenue!$A$11</c15:sqref>
                        </c15:formulaRef>
                      </c:ext>
                    </c:extLst>
                    <c:strCache>
                      <c:ptCount val="1"/>
                      <c:pt idx="0">
                        <c:v>Total IT services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Revenue!$AU$1:$AZ$1</c15:sqref>
                        </c15:formulaRef>
                      </c:ext>
                    </c:extLst>
                    <c:strCache>
                      <c:ptCount val="6"/>
                      <c:pt idx="0">
                        <c:v>1Q24</c:v>
                      </c:pt>
                      <c:pt idx="1">
                        <c:v>2Q24</c:v>
                      </c:pt>
                      <c:pt idx="2">
                        <c:v>3Q24</c:v>
                      </c:pt>
                      <c:pt idx="3">
                        <c:v>4Q24</c:v>
                      </c:pt>
                      <c:pt idx="4">
                        <c:v>1Q25</c:v>
                      </c:pt>
                      <c:pt idx="5">
                        <c:v>2Q25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Revenue!$AU$11:$AZ$11</c15:sqref>
                        </c15:formulaRef>
                      </c:ext>
                    </c:extLst>
                    <c:numCache>
                      <c:formatCode>_(* #,##0_);_(* \(#,##0\);_(* \-??_);_(@_)</c:formatCode>
                      <c:ptCount val="6"/>
                      <c:pt idx="0">
                        <c:v>8471</c:v>
                      </c:pt>
                      <c:pt idx="1">
                        <c:v>9606</c:v>
                      </c:pt>
                      <c:pt idx="2">
                        <c:v>9887</c:v>
                      </c:pt>
                      <c:pt idx="3">
                        <c:v>11146</c:v>
                      </c:pt>
                      <c:pt idx="4">
                        <c:v>9769</c:v>
                      </c:pt>
                      <c:pt idx="5">
                        <c:v>10359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99E2-47F4-ABCD-BF0DD1D4C326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Revenue!$A$15</c15:sqref>
                        </c15:formulaRef>
                      </c:ext>
                    </c:extLst>
                    <c:strCache>
                      <c:ptCount val="1"/>
                      <c:pt idx="0">
                        <c:v>Communication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Revenue!$AU$1:$AZ$1</c15:sqref>
                        </c15:formulaRef>
                      </c:ext>
                    </c:extLst>
                    <c:strCache>
                      <c:ptCount val="6"/>
                      <c:pt idx="0">
                        <c:v>1Q24</c:v>
                      </c:pt>
                      <c:pt idx="1">
                        <c:v>2Q24</c:v>
                      </c:pt>
                      <c:pt idx="2">
                        <c:v>3Q24</c:v>
                      </c:pt>
                      <c:pt idx="3">
                        <c:v>4Q24</c:v>
                      </c:pt>
                      <c:pt idx="4">
                        <c:v>1Q25</c:v>
                      </c:pt>
                      <c:pt idx="5">
                        <c:v>2Q25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Revenue!$AU$15:$AZ$15</c15:sqref>
                        </c15:formulaRef>
                      </c:ext>
                    </c:extLst>
                    <c:numCache>
                      <c:formatCode>_(* #,##0_);_(* \(#,##0\);_(* \-??_);_(@_)</c:formatCode>
                      <c:ptCount val="6"/>
                      <c:pt idx="0">
                        <c:v>3885</c:v>
                      </c:pt>
                      <c:pt idx="1">
                        <c:v>4081</c:v>
                      </c:pt>
                      <c:pt idx="2">
                        <c:v>4354</c:v>
                      </c:pt>
                      <c:pt idx="3">
                        <c:v>4586</c:v>
                      </c:pt>
                      <c:pt idx="4">
                        <c:v>4465</c:v>
                      </c:pt>
                      <c:pt idx="5">
                        <c:v>4565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9E2-47F4-ABCD-BF0DD1D4C32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Revenue!$A$16</c15:sqref>
                        </c15:formulaRef>
                      </c:ext>
                    </c:extLst>
                    <c:strCache>
                      <c:ptCount val="1"/>
                      <c:pt idx="0">
                        <c:v>Digital content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Revenue!$AU$1:$AZ$1</c15:sqref>
                        </c15:formulaRef>
                      </c:ext>
                    </c:extLst>
                    <c:strCache>
                      <c:ptCount val="6"/>
                      <c:pt idx="0">
                        <c:v>1Q24</c:v>
                      </c:pt>
                      <c:pt idx="1">
                        <c:v>2Q24</c:v>
                      </c:pt>
                      <c:pt idx="2">
                        <c:v>3Q24</c:v>
                      </c:pt>
                      <c:pt idx="3">
                        <c:v>4Q24</c:v>
                      </c:pt>
                      <c:pt idx="4">
                        <c:v>1Q25</c:v>
                      </c:pt>
                      <c:pt idx="5">
                        <c:v>2Q25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Revenue!$AU$16:$AZ$16</c15:sqref>
                        </c15:formulaRef>
                      </c:ext>
                    </c:extLst>
                    <c:numCache>
                      <c:formatCode>_(* #,##0_);_(* \(#,##0\);_(* \-??_);_(@_)</c:formatCode>
                      <c:ptCount val="6"/>
                      <c:pt idx="0">
                        <c:v>127</c:v>
                      </c:pt>
                      <c:pt idx="1">
                        <c:v>151</c:v>
                      </c:pt>
                      <c:pt idx="2">
                        <c:v>202</c:v>
                      </c:pt>
                      <c:pt idx="3">
                        <c:v>225</c:v>
                      </c:pt>
                      <c:pt idx="4">
                        <c:v>117</c:v>
                      </c:pt>
                      <c:pt idx="5">
                        <c:v>210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9E2-47F4-ABCD-BF0DD1D4C326}"/>
                  </c:ext>
                </c:extLst>
              </c15:ser>
            </c15:filteredBarSeries>
            <c15:filteredBarSeries>
              <c15:ser>
                <c:idx val="8"/>
                <c:order val="8"/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Revenue!$AU$1:$AZ$1</c15:sqref>
                        </c15:formulaRef>
                      </c:ext>
                    </c:extLst>
                    <c:strCache>
                      <c:ptCount val="6"/>
                      <c:pt idx="0">
                        <c:v>1Q24</c:v>
                      </c:pt>
                      <c:pt idx="1">
                        <c:v>2Q24</c:v>
                      </c:pt>
                      <c:pt idx="2">
                        <c:v>3Q24</c:v>
                      </c:pt>
                      <c:pt idx="3">
                        <c:v>4Q24</c:v>
                      </c:pt>
                      <c:pt idx="4">
                        <c:v>1Q25</c:v>
                      </c:pt>
                      <c:pt idx="5">
                        <c:v>2Q25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Revenue!$AU$115:$AZ$115</c15:sqref>
                        </c15:formulaRef>
                      </c:ext>
                    </c:extLst>
                    <c:numCache>
                      <c:formatCode>_(* #,##0_);_(* \(#,##0\);_(* \-??_);_(@_)</c:formatCode>
                      <c:ptCount val="6"/>
                      <c:pt idx="0">
                        <c:v>2534</c:v>
                      </c:pt>
                      <c:pt idx="1">
                        <c:v>2663</c:v>
                      </c:pt>
                      <c:pt idx="2">
                        <c:v>2914</c:v>
                      </c:pt>
                      <c:pt idx="3">
                        <c:v>2960</c:v>
                      </c:pt>
                      <c:pt idx="4">
                        <c:v>3025</c:v>
                      </c:pt>
                      <c:pt idx="5">
                        <c:v>3141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9E2-47F4-ABCD-BF0DD1D4C326}"/>
                  </c:ext>
                </c:extLst>
              </c15:ser>
            </c15:filteredBarSeries>
            <c15:filteredBarSeries>
              <c15:ser>
                <c:idx val="9"/>
                <c:order val="9"/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Revenue!$AU$1:$AZ$1</c15:sqref>
                        </c15:formulaRef>
                      </c:ext>
                    </c:extLst>
                    <c:strCache>
                      <c:ptCount val="6"/>
                      <c:pt idx="0">
                        <c:v>1Q24</c:v>
                      </c:pt>
                      <c:pt idx="1">
                        <c:v>2Q24</c:v>
                      </c:pt>
                      <c:pt idx="2">
                        <c:v>3Q24</c:v>
                      </c:pt>
                      <c:pt idx="3">
                        <c:v>4Q24</c:v>
                      </c:pt>
                      <c:pt idx="4">
                        <c:v>1Q25</c:v>
                      </c:pt>
                      <c:pt idx="5">
                        <c:v>2Q25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Revenue!$AU$116:$AZ$116</c15:sqref>
                        </c15:formulaRef>
                      </c:ext>
                    </c:extLst>
                    <c:numCache>
                      <c:formatCode>_(* #,##0_);_(* \(#,##0\);_(* \-??_);_(@_)</c:formatCode>
                      <c:ptCount val="6"/>
                      <c:pt idx="0">
                        <c:v>1156</c:v>
                      </c:pt>
                      <c:pt idx="1">
                        <c:v>1295</c:v>
                      </c:pt>
                      <c:pt idx="2">
                        <c:v>1361</c:v>
                      </c:pt>
                      <c:pt idx="3">
                        <c:v>1417</c:v>
                      </c:pt>
                      <c:pt idx="4">
                        <c:v>1416</c:v>
                      </c:pt>
                      <c:pt idx="5">
                        <c:v>1418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99E2-47F4-ABCD-BF0DD1D4C326}"/>
                  </c:ext>
                </c:extLst>
              </c15:ser>
            </c15:filteredBarSeries>
            <c15:filteredBarSeries>
              <c15:ser>
                <c:idx val="10"/>
                <c:order val="10"/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Revenue!$AU$1:$AZ$1</c15:sqref>
                        </c15:formulaRef>
                      </c:ext>
                    </c:extLst>
                    <c:strCache>
                      <c:ptCount val="6"/>
                      <c:pt idx="0">
                        <c:v>1Q24</c:v>
                      </c:pt>
                      <c:pt idx="1">
                        <c:v>2Q24</c:v>
                      </c:pt>
                      <c:pt idx="2">
                        <c:v>3Q24</c:v>
                      </c:pt>
                      <c:pt idx="3">
                        <c:v>4Q24</c:v>
                      </c:pt>
                      <c:pt idx="4">
                        <c:v>1Q25</c:v>
                      </c:pt>
                      <c:pt idx="5">
                        <c:v>2Q25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Revenue!$AU$117:$AZ$117</c15:sqref>
                        </c15:formulaRef>
                      </c:ext>
                    </c:extLst>
                    <c:numCache>
                      <c:formatCode>_(* #,##0_);_(* \(#,##0\);_(* \-??_);_(@_)</c:formatCode>
                      <c:ptCount val="6"/>
                      <c:pt idx="0">
                        <c:v>1115</c:v>
                      </c:pt>
                      <c:pt idx="1">
                        <c:v>1179</c:v>
                      </c:pt>
                      <c:pt idx="2">
                        <c:v>1320</c:v>
                      </c:pt>
                      <c:pt idx="3">
                        <c:v>1156</c:v>
                      </c:pt>
                      <c:pt idx="4">
                        <c:v>1391</c:v>
                      </c:pt>
                      <c:pt idx="5">
                        <c:v>1290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9E2-47F4-ABCD-BF0DD1D4C326}"/>
                  </c:ext>
                </c:extLst>
              </c15:ser>
            </c15:filteredBarSeries>
            <c15:filteredBarSeries>
              <c15:ser>
                <c:idx val="11"/>
                <c:order val="11"/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Revenue!$AU$1:$AZ$1</c15:sqref>
                        </c15:formulaRef>
                      </c:ext>
                    </c:extLst>
                    <c:strCache>
                      <c:ptCount val="6"/>
                      <c:pt idx="0">
                        <c:v>1Q24</c:v>
                      </c:pt>
                      <c:pt idx="1">
                        <c:v>2Q24</c:v>
                      </c:pt>
                      <c:pt idx="2">
                        <c:v>3Q24</c:v>
                      </c:pt>
                      <c:pt idx="3">
                        <c:v>4Q24</c:v>
                      </c:pt>
                      <c:pt idx="4">
                        <c:v>1Q25</c:v>
                      </c:pt>
                      <c:pt idx="5">
                        <c:v>2Q25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Revenue!$AU$118:$AZ$118</c15:sqref>
                        </c15:formulaRef>
                      </c:ext>
                    </c:extLst>
                    <c:numCache>
                      <c:formatCode>_(* #,##0_);_(* \(#,##0\);_(* \-??_);_(@_)</c:formatCode>
                      <c:ptCount val="6"/>
                      <c:pt idx="0">
                        <c:v>41</c:v>
                      </c:pt>
                      <c:pt idx="1">
                        <c:v>116</c:v>
                      </c:pt>
                      <c:pt idx="2">
                        <c:v>40</c:v>
                      </c:pt>
                      <c:pt idx="3">
                        <c:v>263</c:v>
                      </c:pt>
                      <c:pt idx="4">
                        <c:v>24</c:v>
                      </c:pt>
                      <c:pt idx="5">
                        <c:v>130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99E2-47F4-ABCD-BF0DD1D4C326}"/>
                  </c:ext>
                </c:extLst>
              </c15:ser>
            </c15:filteredBarSeries>
            <c15:filteredBarSeries>
              <c15:ser>
                <c:idx val="12"/>
                <c:order val="12"/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Revenue!$AU$1:$AZ$1</c15:sqref>
                        </c15:formulaRef>
                      </c:ext>
                    </c:extLst>
                    <c:strCache>
                      <c:ptCount val="6"/>
                      <c:pt idx="0">
                        <c:v>1Q24</c:v>
                      </c:pt>
                      <c:pt idx="1">
                        <c:v>2Q24</c:v>
                      </c:pt>
                      <c:pt idx="2">
                        <c:v>3Q24</c:v>
                      </c:pt>
                      <c:pt idx="3">
                        <c:v>4Q24</c:v>
                      </c:pt>
                      <c:pt idx="4">
                        <c:v>1Q25</c:v>
                      </c:pt>
                      <c:pt idx="5">
                        <c:v>2Q25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Revenue!$AU$119:$AZ$119</c15:sqref>
                        </c15:formulaRef>
                      </c:ext>
                    </c:extLst>
                    <c:numCache>
                      <c:formatCode>_(* #,##0_);_(* \(#,##0\);_(* \-??_);_(@_)</c:formatCode>
                      <c:ptCount val="6"/>
                      <c:pt idx="0">
                        <c:v>825</c:v>
                      </c:pt>
                      <c:pt idx="1">
                        <c:v>934</c:v>
                      </c:pt>
                      <c:pt idx="2">
                        <c:v>907</c:v>
                      </c:pt>
                      <c:pt idx="3">
                        <c:v>922</c:v>
                      </c:pt>
                      <c:pt idx="4">
                        <c:v>967</c:v>
                      </c:pt>
                      <c:pt idx="5">
                        <c:v>1129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9E2-47F4-ABCD-BF0DD1D4C326}"/>
                  </c:ext>
                </c:extLst>
              </c15:ser>
            </c15:filteredBarSeries>
            <c15:filteredBarSeries>
              <c15:ser>
                <c:idx val="13"/>
                <c:order val="13"/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Revenue!$AU$1:$AZ$1</c15:sqref>
                        </c15:formulaRef>
                      </c:ext>
                    </c:extLst>
                    <c:strCache>
                      <c:ptCount val="6"/>
                      <c:pt idx="0">
                        <c:v>1Q24</c:v>
                      </c:pt>
                      <c:pt idx="1">
                        <c:v>2Q24</c:v>
                      </c:pt>
                      <c:pt idx="2">
                        <c:v>3Q24</c:v>
                      </c:pt>
                      <c:pt idx="3">
                        <c:v>4Q24</c:v>
                      </c:pt>
                      <c:pt idx="4">
                        <c:v>1Q25</c:v>
                      </c:pt>
                      <c:pt idx="5">
                        <c:v>2Q25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Revenue!$AU$120:$AZ$120</c15:sqref>
                        </c15:formulaRef>
                      </c:ext>
                    </c:extLst>
                    <c:numCache>
                      <c:formatCode>_(* #,##0_);_(* \(#,##0\);_(* \-??_);_(@_)</c:formatCode>
                      <c:ptCount val="6"/>
                      <c:pt idx="0">
                        <c:v>805</c:v>
                      </c:pt>
                      <c:pt idx="1">
                        <c:v>892</c:v>
                      </c:pt>
                      <c:pt idx="2">
                        <c:v>850</c:v>
                      </c:pt>
                      <c:pt idx="3">
                        <c:v>873</c:v>
                      </c:pt>
                      <c:pt idx="4">
                        <c:v>943</c:v>
                      </c:pt>
                      <c:pt idx="5">
                        <c:v>1074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99E2-47F4-ABCD-BF0DD1D4C326}"/>
                  </c:ext>
                </c:extLst>
              </c15:ser>
            </c15:filteredBarSeries>
            <c15:filteredBarSeries>
              <c15:ser>
                <c:idx val="14"/>
                <c:order val="14"/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Revenue!$AU$1:$AZ$1</c15:sqref>
                        </c15:formulaRef>
                      </c:ext>
                    </c:extLst>
                    <c:strCache>
                      <c:ptCount val="6"/>
                      <c:pt idx="0">
                        <c:v>1Q24</c:v>
                      </c:pt>
                      <c:pt idx="1">
                        <c:v>2Q24</c:v>
                      </c:pt>
                      <c:pt idx="2">
                        <c:v>3Q24</c:v>
                      </c:pt>
                      <c:pt idx="3">
                        <c:v>4Q24</c:v>
                      </c:pt>
                      <c:pt idx="4">
                        <c:v>1Q25</c:v>
                      </c:pt>
                      <c:pt idx="5">
                        <c:v>2Q25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Revenue!$AU$121:$AZ$121</c15:sqref>
                        </c15:formulaRef>
                      </c:ext>
                    </c:extLst>
                    <c:numCache>
                      <c:formatCode>_(* #,##0_);_(* \(#,##0\);_(* \-??_);_(@_)</c:formatCode>
                      <c:ptCount val="6"/>
                      <c:pt idx="0">
                        <c:v>20</c:v>
                      </c:pt>
                      <c:pt idx="1">
                        <c:v>42</c:v>
                      </c:pt>
                      <c:pt idx="2">
                        <c:v>57</c:v>
                      </c:pt>
                      <c:pt idx="3">
                        <c:v>48</c:v>
                      </c:pt>
                      <c:pt idx="4">
                        <c:v>23</c:v>
                      </c:pt>
                      <c:pt idx="5">
                        <c:v>56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99E2-47F4-ABCD-BF0DD1D4C326}"/>
                  </c:ext>
                </c:extLst>
              </c15:ser>
            </c15:filteredBarSeries>
            <c15:filteredBarSeries>
              <c15:ser>
                <c:idx val="15"/>
                <c:order val="15"/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Revenue!$AU$1:$AZ$1</c15:sqref>
                        </c15:formulaRef>
                      </c:ext>
                    </c:extLst>
                    <c:strCache>
                      <c:ptCount val="6"/>
                      <c:pt idx="0">
                        <c:v>1Q24</c:v>
                      </c:pt>
                      <c:pt idx="1">
                        <c:v>2Q24</c:v>
                      </c:pt>
                      <c:pt idx="2">
                        <c:v>3Q24</c:v>
                      </c:pt>
                      <c:pt idx="3">
                        <c:v>4Q24</c:v>
                      </c:pt>
                      <c:pt idx="4">
                        <c:v>1Q25</c:v>
                      </c:pt>
                      <c:pt idx="5">
                        <c:v>2Q25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Revenue!$AU$122:$AZ$122</c15:sqref>
                        </c15:formulaRef>
                      </c:ext>
                    </c:extLst>
                    <c:numCache>
                      <c:formatCode>_(* #,##0_);_(* \(#,##0\);_(* \-??_);_(@_)</c:formatCode>
                      <c:ptCount val="6"/>
                      <c:pt idx="0">
                        <c:v>553</c:v>
                      </c:pt>
                      <c:pt idx="1">
                        <c:v>434</c:v>
                      </c:pt>
                      <c:pt idx="2">
                        <c:v>646</c:v>
                      </c:pt>
                      <c:pt idx="3">
                        <c:v>621</c:v>
                      </c:pt>
                      <c:pt idx="4">
                        <c:v>642</c:v>
                      </c:pt>
                      <c:pt idx="5">
                        <c:v>594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99E2-47F4-ABCD-BF0DD1D4C326}"/>
                  </c:ext>
                </c:extLst>
              </c15:ser>
            </c15:filteredBarSeries>
          </c:ext>
        </c:extLst>
      </c:barChart>
      <c:catAx>
        <c:axId val="1399508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523503"/>
        <c:crosses val="autoZero"/>
        <c:auto val="1"/>
        <c:lblAlgn val="ctr"/>
        <c:lblOffset val="100"/>
        <c:noMultiLvlLbl val="0"/>
      </c:catAx>
      <c:valAx>
        <c:axId val="1399523503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508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r>
              <a:rPr lang="en-US" sz="600"/>
              <a:t>(VNDbn)</a:t>
            </a:r>
          </a:p>
        </c:rich>
      </c:tx>
      <c:layout>
        <c:manualLayout>
          <c:xMode val="edge"/>
          <c:yMode val="edge"/>
          <c:x val="3.5072821779630496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52344192270085"/>
          <c:y val="8.8077581289218498E-2"/>
          <c:w val="0.78665110632797197"/>
          <c:h val="0.460280464086313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Revenue!$B$255</c:f>
              <c:strCache>
                <c:ptCount val="1"/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numRef>
              <c:f>(Revenue!$A$258,Revenue!$A$260,Revenue!$A$262,Revenue!$A$264,Revenue!$A$266)</c:f>
              <c:numCache>
                <c:formatCode>General</c:formatCode>
                <c:ptCount val="5"/>
              </c:numCache>
            </c:numRef>
          </c:cat>
          <c:val>
            <c:numRef>
              <c:f>(Revenue!$B$258,Revenue!$B$260,Revenue!$B$262,Revenue!$B$264,Revenue!$B$266)</c:f>
              <c:numCache>
                <c:formatCode>_(* #,##0_);_(* \(#,##0\);_(* "0"_);_(@_)</c:formatCode>
                <c:ptCount val="5"/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BA18-45A0-95B2-D37447507345}"/>
            </c:ext>
          </c:extLst>
        </c:ser>
        <c:ser>
          <c:idx val="1"/>
          <c:order val="1"/>
          <c:tx>
            <c:strRef>
              <c:f>Revenue!$C$255</c:f>
              <c:strCache>
                <c:ptCount val="1"/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numRef>
              <c:f>(Revenue!$A$258,Revenue!$A$260,Revenue!$A$262,Revenue!$A$264,Revenue!$A$266)</c:f>
              <c:numCache>
                <c:formatCode>General</c:formatCode>
                <c:ptCount val="5"/>
              </c:numCache>
            </c:numRef>
          </c:cat>
          <c:val>
            <c:numRef>
              <c:f>(Revenue!$C$258,Revenue!$C$260,Revenue!$C$262,Revenue!$C$264,Revenue!$C$266)</c:f>
              <c:numCache>
                <c:formatCode>_(* #,##0.0_);_(* \(#,##0.0\);_(* "0"_);_(@_)</c:formatCode>
                <c:ptCount val="5"/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1-BA18-45A0-95B2-D37447507345}"/>
            </c:ext>
          </c:extLst>
        </c:ser>
        <c:ser>
          <c:idx val="2"/>
          <c:order val="2"/>
          <c:tx>
            <c:strRef>
              <c:f>Revenue!$D$255</c:f>
              <c:strCache>
                <c:ptCount val="1"/>
              </c:strCache>
            </c:strRef>
          </c:tx>
          <c:spPr>
            <a:solidFill>
              <a:schemeClr val="accent3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numRef>
              <c:f>(Revenue!$A$258,Revenue!$A$260,Revenue!$A$262,Revenue!$A$264,Revenue!$A$266)</c:f>
              <c:numCache>
                <c:formatCode>General</c:formatCode>
                <c:ptCount val="5"/>
              </c:numCache>
            </c:numRef>
          </c:cat>
          <c:val>
            <c:numRef>
              <c:f>(Revenue!$D$258,Revenue!$D$260,Revenue!$D$262,Revenue!$D$264,Revenue!$D$266)</c:f>
              <c:numCache>
                <c:formatCode>0.0%</c:formatCode>
                <c:ptCount val="5"/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2-BA18-45A0-95B2-D37447507345}"/>
            </c:ext>
          </c:extLst>
        </c:ser>
        <c:ser>
          <c:idx val="3"/>
          <c:order val="3"/>
          <c:tx>
            <c:strRef>
              <c:f>Revenue!$E$255</c:f>
              <c:strCache>
                <c:ptCount val="1"/>
              </c:strCache>
            </c:strRef>
          </c:tx>
          <c:spPr>
            <a:solidFill>
              <a:schemeClr val="accent4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numRef>
              <c:f>(Revenue!$A$258,Revenue!$A$260,Revenue!$A$262,Revenue!$A$264,Revenue!$A$266)</c:f>
              <c:numCache>
                <c:formatCode>General</c:formatCode>
                <c:ptCount val="5"/>
              </c:numCache>
            </c:numRef>
          </c:cat>
          <c:val>
            <c:numRef>
              <c:f>(Revenue!$E$258,Revenue!$E$260,Revenue!$E$262,Revenue!$E$264,Revenue!$E$266)</c:f>
              <c:numCache>
                <c:formatCode>0.0%</c:formatCode>
                <c:ptCount val="5"/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3-BA18-45A0-95B2-D37447507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8981119"/>
        <c:axId val="1998981599"/>
      </c:barChart>
      <c:catAx>
        <c:axId val="199898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998981599"/>
        <c:crosses val="autoZero"/>
        <c:auto val="1"/>
        <c:lblAlgn val="ctr"/>
        <c:lblOffset val="100"/>
        <c:noMultiLvlLbl val="0"/>
      </c:catAx>
      <c:valAx>
        <c:axId val="1998981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998981119"/>
        <c:crosses val="autoZero"/>
        <c:crossBetween val="between"/>
        <c:majorUnit val="2000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Revenue!$A$159</c:f>
              <c:strCache>
                <c:ptCount val="1"/>
                <c:pt idx="0">
                  <c:v>Japan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Revenue!$AQ$1:$AZ$1</c:f>
              <c:strCache>
                <c:ptCount val="10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  <c:pt idx="6">
                  <c:v>3Q24</c:v>
                </c:pt>
                <c:pt idx="7">
                  <c:v>4Q24</c:v>
                </c:pt>
                <c:pt idx="8">
                  <c:v>1Q25</c:v>
                </c:pt>
                <c:pt idx="9">
                  <c:v>2Q25</c:v>
                </c:pt>
              </c:strCache>
            </c:strRef>
          </c:cat>
          <c:val>
            <c:numRef>
              <c:f>Revenue!$AQ$159:$AZ$159</c:f>
              <c:numCache>
                <c:formatCode>_(* #,##0_);_(* \(#,##0\);_(* \-??_);_(@_)</c:formatCode>
                <c:ptCount val="10"/>
                <c:pt idx="0">
                  <c:v>2019</c:v>
                </c:pt>
                <c:pt idx="1">
                  <c:v>2204</c:v>
                </c:pt>
                <c:pt idx="2">
                  <c:v>2612</c:v>
                </c:pt>
                <c:pt idx="3">
                  <c:v>2489</c:v>
                </c:pt>
                <c:pt idx="4">
                  <c:v>2695</c:v>
                </c:pt>
                <c:pt idx="5">
                  <c:v>3017</c:v>
                </c:pt>
                <c:pt idx="6">
                  <c:v>3205</c:v>
                </c:pt>
                <c:pt idx="7">
                  <c:v>3408</c:v>
                </c:pt>
                <c:pt idx="8">
                  <c:v>3514</c:v>
                </c:pt>
                <c:pt idx="9">
                  <c:v>3806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B8-4EAB-8772-800E1DE817BB}"/>
            </c:ext>
          </c:extLst>
        </c:ser>
        <c:ser>
          <c:idx val="2"/>
          <c:order val="2"/>
          <c:tx>
            <c:strRef>
              <c:f>Revenue!$A$160</c:f>
              <c:strCache>
                <c:ptCount val="1"/>
                <c:pt idx="0">
                  <c:v>US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Revenue!$AQ$1:$AZ$1</c:f>
              <c:strCache>
                <c:ptCount val="10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  <c:pt idx="6">
                  <c:v>3Q24</c:v>
                </c:pt>
                <c:pt idx="7">
                  <c:v>4Q24</c:v>
                </c:pt>
                <c:pt idx="8">
                  <c:v>1Q25</c:v>
                </c:pt>
                <c:pt idx="9">
                  <c:v>2Q25</c:v>
                </c:pt>
              </c:strCache>
            </c:strRef>
          </c:cat>
          <c:val>
            <c:numRef>
              <c:f>Revenue!$AQ$160:$AZ$160</c:f>
              <c:numCache>
                <c:formatCode>_(* #,##0_);_(* \(#,##0\);_(* \-??_);_(@_)</c:formatCode>
                <c:ptCount val="10"/>
                <c:pt idx="0">
                  <c:v>1606</c:v>
                </c:pt>
                <c:pt idx="1">
                  <c:v>1633</c:v>
                </c:pt>
                <c:pt idx="2">
                  <c:v>1776</c:v>
                </c:pt>
                <c:pt idx="3">
                  <c:v>2100</c:v>
                </c:pt>
                <c:pt idx="4">
                  <c:v>1858</c:v>
                </c:pt>
                <c:pt idx="5">
                  <c:v>1861</c:v>
                </c:pt>
                <c:pt idx="6">
                  <c:v>1944</c:v>
                </c:pt>
                <c:pt idx="7">
                  <c:v>2088</c:v>
                </c:pt>
                <c:pt idx="8">
                  <c:v>2002</c:v>
                </c:pt>
                <c:pt idx="9">
                  <c:v>2023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B8-4EAB-8772-800E1DE817BB}"/>
            </c:ext>
          </c:extLst>
        </c:ser>
        <c:ser>
          <c:idx val="3"/>
          <c:order val="3"/>
          <c:tx>
            <c:strRef>
              <c:f>Revenue!$A$161</c:f>
              <c:strCache>
                <c:ptCount val="1"/>
                <c:pt idx="0">
                  <c:v>EU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Revenue!$AQ$1:$AZ$1</c:f>
              <c:strCache>
                <c:ptCount val="10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  <c:pt idx="6">
                  <c:v>3Q24</c:v>
                </c:pt>
                <c:pt idx="7">
                  <c:v>4Q24</c:v>
                </c:pt>
                <c:pt idx="8">
                  <c:v>1Q25</c:v>
                </c:pt>
                <c:pt idx="9">
                  <c:v>2Q25</c:v>
                </c:pt>
              </c:strCache>
            </c:strRef>
          </c:cat>
          <c:val>
            <c:numRef>
              <c:f>Revenue!$AQ$161:$AZ$161</c:f>
              <c:numCache>
                <c:formatCode>_(* #,##0_);_(* \(#,##0\);_(* \-??_);_(@_)</c:formatCode>
                <c:ptCount val="10"/>
                <c:pt idx="0">
                  <c:v>384</c:v>
                </c:pt>
                <c:pt idx="1">
                  <c:v>425</c:v>
                </c:pt>
                <c:pt idx="2">
                  <c:v>451</c:v>
                </c:pt>
                <c:pt idx="3">
                  <c:v>476</c:v>
                </c:pt>
                <c:pt idx="4">
                  <c:v>552</c:v>
                </c:pt>
                <c:pt idx="5">
                  <c:v>692</c:v>
                </c:pt>
                <c:pt idx="6">
                  <c:v>690</c:v>
                </c:pt>
                <c:pt idx="7">
                  <c:v>702</c:v>
                </c:pt>
                <c:pt idx="8">
                  <c:v>688</c:v>
                </c:pt>
                <c:pt idx="9">
                  <c:v>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B8-4EAB-8772-800E1DE817BB}"/>
            </c:ext>
          </c:extLst>
        </c:ser>
        <c:ser>
          <c:idx val="4"/>
          <c:order val="4"/>
          <c:tx>
            <c:strRef>
              <c:f>Revenue!$A$162</c:f>
              <c:strCache>
                <c:ptCount val="1"/>
                <c:pt idx="0">
                  <c:v>APAC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Revenue!$AQ$1:$AZ$1</c:f>
              <c:strCache>
                <c:ptCount val="10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  <c:pt idx="6">
                  <c:v>3Q24</c:v>
                </c:pt>
                <c:pt idx="7">
                  <c:v>4Q24</c:v>
                </c:pt>
                <c:pt idx="8">
                  <c:v>1Q25</c:v>
                </c:pt>
                <c:pt idx="9">
                  <c:v>2Q25</c:v>
                </c:pt>
              </c:strCache>
            </c:strRef>
          </c:cat>
          <c:val>
            <c:numRef>
              <c:f>Revenue!$AQ$162:$AZ$162</c:f>
              <c:numCache>
                <c:formatCode>_(* #,##0_);_(* \(#,##0\);_(* \-??_);_(@_)</c:formatCode>
                <c:ptCount val="10"/>
                <c:pt idx="0">
                  <c:v>1426</c:v>
                </c:pt>
                <c:pt idx="1">
                  <c:v>1530</c:v>
                </c:pt>
                <c:pt idx="2">
                  <c:v>1561</c:v>
                </c:pt>
                <c:pt idx="3">
                  <c:v>1596</c:v>
                </c:pt>
                <c:pt idx="4">
                  <c:v>1895</c:v>
                </c:pt>
                <c:pt idx="5">
                  <c:v>2003</c:v>
                </c:pt>
                <c:pt idx="6">
                  <c:v>2256</c:v>
                </c:pt>
                <c:pt idx="7">
                  <c:v>2086</c:v>
                </c:pt>
                <c:pt idx="8">
                  <c:v>1982</c:v>
                </c:pt>
                <c:pt idx="9">
                  <c:v>1784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EB8-4EAB-8772-800E1DE817BB}"/>
            </c:ext>
          </c:extLst>
        </c:ser>
        <c:ser>
          <c:idx val="5"/>
          <c:order val="5"/>
          <c:tx>
            <c:v>Vietnam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Revenue!$AQ$1:$AZ$1</c:f>
              <c:strCache>
                <c:ptCount val="10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  <c:pt idx="6">
                  <c:v>3Q24</c:v>
                </c:pt>
                <c:pt idx="7">
                  <c:v>4Q24</c:v>
                </c:pt>
                <c:pt idx="8">
                  <c:v>1Q25</c:v>
                </c:pt>
                <c:pt idx="9">
                  <c:v>2Q25</c:v>
                </c:pt>
              </c:strCache>
            </c:strRef>
          </c:cat>
          <c:val>
            <c:numRef>
              <c:f>Revenue!$AQ$156:$AZ$156</c:f>
              <c:numCache>
                <c:formatCode>_(* #,##0_);_(* \(#,##0\);_(* \-??_);_(@_)</c:formatCode>
                <c:ptCount val="10"/>
                <c:pt idx="0">
                  <c:v>1407</c:v>
                </c:pt>
                <c:pt idx="1">
                  <c:v>1568</c:v>
                </c:pt>
                <c:pt idx="2">
                  <c:v>1916</c:v>
                </c:pt>
                <c:pt idx="3">
                  <c:v>2270</c:v>
                </c:pt>
                <c:pt idx="4">
                  <c:v>1472</c:v>
                </c:pt>
                <c:pt idx="5">
                  <c:v>2032</c:v>
                </c:pt>
                <c:pt idx="6">
                  <c:v>1792</c:v>
                </c:pt>
                <c:pt idx="7">
                  <c:v>2861</c:v>
                </c:pt>
                <c:pt idx="8">
                  <c:v>1583</c:v>
                </c:pt>
                <c:pt idx="9">
                  <c:v>1876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EB8-4EAB-8772-800E1DE81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5403807"/>
        <c:axId val="172541004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Revenue!$A$158</c15:sqref>
                        </c15:formulaRef>
                      </c:ext>
                    </c:extLst>
                    <c:strCache>
                      <c:ptCount val="1"/>
                      <c:pt idx="0">
                        <c:v>Global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Revenue!$AQ$1:$AZ$1</c15:sqref>
                        </c15:formulaRef>
                      </c:ext>
                    </c:extLst>
                    <c:strCache>
                      <c:ptCount val="10"/>
                      <c:pt idx="0">
                        <c:v>1Q23</c:v>
                      </c:pt>
                      <c:pt idx="1">
                        <c:v>2Q23</c:v>
                      </c:pt>
                      <c:pt idx="2">
                        <c:v>3Q23</c:v>
                      </c:pt>
                      <c:pt idx="3">
                        <c:v>4Q23</c:v>
                      </c:pt>
                      <c:pt idx="4">
                        <c:v>1Q24</c:v>
                      </c:pt>
                      <c:pt idx="5">
                        <c:v>2Q24</c:v>
                      </c:pt>
                      <c:pt idx="6">
                        <c:v>3Q24</c:v>
                      </c:pt>
                      <c:pt idx="7">
                        <c:v>4Q24</c:v>
                      </c:pt>
                      <c:pt idx="8">
                        <c:v>1Q25</c:v>
                      </c:pt>
                      <c:pt idx="9">
                        <c:v>2Q25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Revenue!$AQ$158:$AZ$158</c15:sqref>
                        </c15:formulaRef>
                      </c:ext>
                    </c:extLst>
                    <c:numCache>
                      <c:formatCode>_(* #,##0_);_(* \(#,##0\);_(* \-??_);_(@_)</c:formatCode>
                      <c:ptCount val="10"/>
                      <c:pt idx="0">
                        <c:v>5435</c:v>
                      </c:pt>
                      <c:pt idx="1">
                        <c:v>5792</c:v>
                      </c:pt>
                      <c:pt idx="2">
                        <c:v>6399</c:v>
                      </c:pt>
                      <c:pt idx="3">
                        <c:v>6661</c:v>
                      </c:pt>
                      <c:pt idx="4">
                        <c:v>7000</c:v>
                      </c:pt>
                      <c:pt idx="5">
                        <c:v>7573</c:v>
                      </c:pt>
                      <c:pt idx="6">
                        <c:v>8095</c:v>
                      </c:pt>
                      <c:pt idx="7">
                        <c:v>8284</c:v>
                      </c:pt>
                      <c:pt idx="8">
                        <c:v>8186</c:v>
                      </c:pt>
                      <c:pt idx="9">
                        <c:v>8483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EB8-4EAB-8772-800E1DE817BB}"/>
                  </c:ext>
                </c:extLst>
              </c15:ser>
            </c15:filteredBarSeries>
          </c:ext>
        </c:extLst>
      </c:barChart>
      <c:catAx>
        <c:axId val="172540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410047"/>
        <c:crosses val="autoZero"/>
        <c:auto val="1"/>
        <c:lblAlgn val="ctr"/>
        <c:lblOffset val="100"/>
        <c:noMultiLvlLbl val="0"/>
      </c:catAx>
      <c:valAx>
        <c:axId val="1725410047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403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4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r>
              <a:rPr lang="en-US" sz="600" cap="none"/>
              <a:t>(VNDbn)</a:t>
            </a:r>
          </a:p>
        </c:rich>
      </c:tx>
      <c:layout>
        <c:manualLayout>
          <c:xMode val="edge"/>
          <c:yMode val="edge"/>
          <c:x val="0.7075449140740967"/>
          <c:y val="0.225114642245541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KR"/>
        </a:p>
      </c:txPr>
    </c:title>
    <c:autoTitleDeleted val="0"/>
    <c:plotArea>
      <c:layout>
        <c:manualLayout>
          <c:layoutTarget val="inner"/>
          <c:xMode val="edge"/>
          <c:yMode val="edge"/>
          <c:x val="6.7251238923854248E-2"/>
          <c:y val="0.26521045980363567"/>
          <c:w val="0.90182162759740991"/>
          <c:h val="0.59182981756910014"/>
        </c:manualLayout>
      </c:layout>
      <c:barChart>
        <c:barDir val="col"/>
        <c:grouping val="clustered"/>
        <c:varyColors val="0"/>
        <c:ser>
          <c:idx val="3"/>
          <c:order val="1"/>
          <c:tx>
            <c:strRef>
              <c:f>Revenue!$F$1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>
                <a:shade val="9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(Revenue!$A$155,Revenue!$A$159:$A$162)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(Revenue!$F$156,Revenue!$F$159:$F$162)</c:f>
              <c:numCache>
                <c:formatCode>_(* #,##0_);_(* \(#,##0\);_(* \-??_);_(@_)</c:formatCode>
                <c:ptCount val="5"/>
                <c:pt idx="0">
                  <c:v>6847</c:v>
                </c:pt>
                <c:pt idx="1">
                  <c:v>7342</c:v>
                </c:pt>
                <c:pt idx="2">
                  <c:v>6550</c:v>
                </c:pt>
                <c:pt idx="3">
                  <c:v>1366</c:v>
                </c:pt>
                <c:pt idx="4">
                  <c:v>3677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97-4FA8-8820-7FD4769BFC5B}"/>
            </c:ext>
          </c:extLst>
        </c:ser>
        <c:ser>
          <c:idx val="4"/>
          <c:order val="2"/>
          <c:tx>
            <c:strRef>
              <c:f>Revenue!$G$1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>
                <a:shade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(Revenue!$A$155,Revenue!$A$159:$A$162)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(Revenue!$G$156,Revenue!$G$159:$G$162)</c:f>
              <c:numCache>
                <c:formatCode>_(* #,##0_);_(* \(#,##0\);_(* \-??_);_(@_)</c:formatCode>
                <c:ptCount val="5"/>
                <c:pt idx="0">
                  <c:v>7161.0559999999996</c:v>
                </c:pt>
                <c:pt idx="1">
                  <c:v>9324</c:v>
                </c:pt>
                <c:pt idx="2">
                  <c:v>7115</c:v>
                </c:pt>
                <c:pt idx="3">
                  <c:v>1736</c:v>
                </c:pt>
                <c:pt idx="4">
                  <c:v>6113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97-4FA8-8820-7FD4769BFC5B}"/>
            </c:ext>
          </c:extLst>
        </c:ser>
        <c:ser>
          <c:idx val="5"/>
          <c:order val="3"/>
          <c:tx>
            <c:strRef>
              <c:f>Revenue!$H$1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>
                <a:shade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(Revenue!$A$155,Revenue!$A$159:$A$162)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(Revenue!$H$156,Revenue!$H$159:$H$162)</c:f>
              <c:numCache>
                <c:formatCode>_(* #,##0_);_(* \(#,##0\);_(* \-??_);_(@_)</c:formatCode>
                <c:ptCount val="5"/>
                <c:pt idx="0">
                  <c:v>8157</c:v>
                </c:pt>
                <c:pt idx="1">
                  <c:v>12325</c:v>
                </c:pt>
                <c:pt idx="2">
                  <c:v>7751</c:v>
                </c:pt>
                <c:pt idx="3">
                  <c:v>2636</c:v>
                </c:pt>
                <c:pt idx="4">
                  <c:v>8240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97-4FA8-8820-7FD4769BFC5B}"/>
            </c:ext>
          </c:extLst>
        </c:ser>
        <c:ser>
          <c:idx val="1"/>
          <c:order val="4"/>
          <c:tx>
            <c:strRef>
              <c:f>Revenue!$N$1</c:f>
              <c:strCache>
                <c:ptCount val="1"/>
                <c:pt idx="0">
                  <c:v>2025F</c:v>
                </c:pt>
              </c:strCache>
            </c:strRef>
          </c:tx>
          <c:spPr>
            <a:solidFill>
              <a:schemeClr val="accent2">
                <a:tint val="7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2.469135802469135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D97-4FA8-8820-7FD4769BFC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(Revenue!$A$155,Revenue!$A$159:$A$162)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(Revenue!$N$156,Revenue!$N$159:$N$162)</c:f>
              <c:numCache>
                <c:formatCode>_(* #,##0_);_(* \(#,##0\);_(* \-??_);_(@_)</c:formatCode>
                <c:ptCount val="5"/>
                <c:pt idx="0">
                  <c:v>8617</c:v>
                </c:pt>
                <c:pt idx="1">
                  <c:v>12325</c:v>
                </c:pt>
                <c:pt idx="2">
                  <c:v>7751</c:v>
                </c:pt>
                <c:pt idx="3">
                  <c:v>2636</c:v>
                </c:pt>
                <c:pt idx="4">
                  <c:v>8240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97-4FA8-8820-7FD4769BFC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998981119"/>
        <c:axId val="199898159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Revenue!$E$1</c15:sqref>
                        </c15:formulaRef>
                      </c:ext>
                    </c:extLst>
                    <c:strCache>
                      <c:ptCount val="1"/>
                      <c:pt idx="0">
                        <c:v>2021</c:v>
                      </c:pt>
                    </c:strCache>
                  </c:strRef>
                </c:tx>
                <c:spPr>
                  <a:solidFill>
                    <a:schemeClr val="accent2">
                      <a:tint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7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Noto Sans" panose="020B0502040504020204" pitchFamily="34" charset="0"/>
                          <a:ea typeface="Noto Sans" panose="020B0502040504020204" pitchFamily="34" charset="0"/>
                          <a:cs typeface="Noto Sans" panose="020B0502040504020204" pitchFamily="34" charset="0"/>
                        </a:defRPr>
                      </a:pPr>
                      <a:endParaRPr lang="en-K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(Revenue!$A$155,Revenue!$A$159:$A$162)</c15:sqref>
                        </c15:formulaRef>
                      </c:ext>
                    </c:extLst>
                    <c:strCache>
                      <c:ptCount val="5"/>
                      <c:pt idx="0">
                        <c:v>Vietnam</c:v>
                      </c:pt>
                      <c:pt idx="1">
                        <c:v>Japan</c:v>
                      </c:pt>
                      <c:pt idx="2">
                        <c:v>US</c:v>
                      </c:pt>
                      <c:pt idx="3">
                        <c:v>EU</c:v>
                      </c:pt>
                      <c:pt idx="4">
                        <c:v>APAC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(Revenue!$E$156,Revenue!$E$159:$E$162)</c15:sqref>
                        </c15:formulaRef>
                      </c:ext>
                    </c:extLst>
                    <c:numCache>
                      <c:formatCode>_(* #,##0_);_(* \(#,##0\);_(* \-??_);_(@_)</c:formatCode>
                      <c:ptCount val="5"/>
                      <c:pt idx="0">
                        <c:v>6196</c:v>
                      </c:pt>
                      <c:pt idx="1">
                        <c:v>6332</c:v>
                      </c:pt>
                      <c:pt idx="2">
                        <c:v>4369</c:v>
                      </c:pt>
                      <c:pt idx="3">
                        <c:v>1144</c:v>
                      </c:pt>
                      <c:pt idx="4">
                        <c:v>2696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1D97-4FA8-8820-7FD4769BFC5B}"/>
                  </c:ext>
                </c:extLst>
              </c15:ser>
            </c15:filteredBarSeries>
          </c:ext>
        </c:extLst>
      </c:barChart>
      <c:catAx>
        <c:axId val="1998981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1998981599"/>
        <c:crosses val="autoZero"/>
        <c:auto val="1"/>
        <c:lblAlgn val="ctr"/>
        <c:lblOffset val="100"/>
        <c:noMultiLvlLbl val="0"/>
      </c:catAx>
      <c:valAx>
        <c:axId val="1998981599"/>
        <c:scaling>
          <c:orientation val="minMax"/>
        </c:scaling>
        <c:delete val="1"/>
        <c:axPos val="l"/>
        <c:numFmt formatCode="_(* #,##0_);_(* \(#,##0\);_(* \-??_);_(@_)" sourceLinked="1"/>
        <c:majorTickMark val="none"/>
        <c:minorTickMark val="none"/>
        <c:tickLblPos val="nextTo"/>
        <c:crossAx val="1998981119"/>
        <c:crosses val="autoZero"/>
        <c:crossBetween val="between"/>
        <c:majorUnit val="2000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701883285350577"/>
          <c:y val="1.0400437913175233E-3"/>
          <c:w val="0.4596233429298846"/>
          <c:h val="9.17086567387632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K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04707704711119E-2"/>
          <c:y val="0.19449869587111035"/>
          <c:w val="0.86007398342876151"/>
          <c:h val="0.6822408059541673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Charts!$B$39</c:f>
              <c:strCache>
                <c:ptCount val="1"/>
                <c:pt idx="0">
                  <c:v>Semimega deals ($500k+)</c:v>
                </c:pt>
              </c:strCache>
            </c:strRef>
          </c:tx>
          <c:spPr>
            <a:solidFill>
              <a:srgbClr val="F7941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Charts!$A$41:$A$44</c:f>
              <c:strCache>
                <c:ptCount val="4"/>
                <c:pt idx="0">
                  <c:v>12M22</c:v>
                </c:pt>
                <c:pt idx="1">
                  <c:v>12M23</c:v>
                </c:pt>
                <c:pt idx="2">
                  <c:v>12M24</c:v>
                </c:pt>
                <c:pt idx="3">
                  <c:v>6M25</c:v>
                </c:pt>
              </c:strCache>
            </c:strRef>
          </c:cat>
          <c:val>
            <c:numRef>
              <c:f>Charts!$B$41:$B$44</c:f>
              <c:numCache>
                <c:formatCode>General</c:formatCode>
                <c:ptCount val="4"/>
                <c:pt idx="0">
                  <c:v>411</c:v>
                </c:pt>
                <c:pt idx="1">
                  <c:v>217</c:v>
                </c:pt>
                <c:pt idx="2">
                  <c:v>238</c:v>
                </c:pt>
                <c:pt idx="3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C5-4EF1-8896-36E2BA5EC3DA}"/>
            </c:ext>
          </c:extLst>
        </c:ser>
        <c:ser>
          <c:idx val="2"/>
          <c:order val="1"/>
          <c:tx>
            <c:strRef>
              <c:f>Charts!$C$39</c:f>
              <c:strCache>
                <c:ptCount val="1"/>
                <c:pt idx="0">
                  <c:v>Mega deals ($1M+)</c:v>
                </c:pt>
              </c:strCache>
            </c:strRef>
          </c:tx>
          <c:spPr>
            <a:solidFill>
              <a:srgbClr val="6C757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Charts!$A$41:$A$44</c:f>
              <c:strCache>
                <c:ptCount val="4"/>
                <c:pt idx="0">
                  <c:v>12M22</c:v>
                </c:pt>
                <c:pt idx="1">
                  <c:v>12M23</c:v>
                </c:pt>
                <c:pt idx="2">
                  <c:v>12M24</c:v>
                </c:pt>
                <c:pt idx="3">
                  <c:v>6M25</c:v>
                </c:pt>
              </c:strCache>
            </c:strRef>
          </c:cat>
          <c:val>
            <c:numRef>
              <c:f>Charts!$C$41:$C$44</c:f>
              <c:numCache>
                <c:formatCode>General</c:formatCode>
                <c:ptCount val="4"/>
                <c:pt idx="0">
                  <c:v>204</c:v>
                </c:pt>
                <c:pt idx="1">
                  <c:v>162</c:v>
                </c:pt>
                <c:pt idx="2">
                  <c:v>223</c:v>
                </c:pt>
                <c:pt idx="3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C5-4EF1-8896-36E2BA5EC3DA}"/>
            </c:ext>
          </c:extLst>
        </c:ser>
        <c:ser>
          <c:idx val="3"/>
          <c:order val="2"/>
          <c:tx>
            <c:strRef>
              <c:f>Charts!$D$39</c:f>
              <c:strCache>
                <c:ptCount val="1"/>
                <c:pt idx="0">
                  <c:v>Large deals ($5M+)</c:v>
                </c:pt>
              </c:strCache>
            </c:strRef>
          </c:tx>
          <c:spPr>
            <a:solidFill>
              <a:srgbClr val="5DADE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Charts!$A$41:$A$44</c:f>
              <c:strCache>
                <c:ptCount val="4"/>
                <c:pt idx="0">
                  <c:v>12M22</c:v>
                </c:pt>
                <c:pt idx="1">
                  <c:v>12M23</c:v>
                </c:pt>
                <c:pt idx="2">
                  <c:v>12M24</c:v>
                </c:pt>
                <c:pt idx="3">
                  <c:v>6M25</c:v>
                </c:pt>
              </c:strCache>
            </c:strRef>
          </c:cat>
          <c:val>
            <c:numRef>
              <c:f>Charts!$D$41:$D$44</c:f>
              <c:numCache>
                <c:formatCode>General</c:formatCode>
                <c:ptCount val="4"/>
                <c:pt idx="0">
                  <c:v>31</c:v>
                </c:pt>
                <c:pt idx="1">
                  <c:v>37</c:v>
                </c:pt>
                <c:pt idx="2">
                  <c:v>48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C5-4EF1-8896-36E2BA5EC3D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77428559"/>
        <c:axId val="377427119"/>
      </c:barChart>
      <c:catAx>
        <c:axId val="377428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377427119"/>
        <c:crosses val="autoZero"/>
        <c:auto val="1"/>
        <c:lblAlgn val="ctr"/>
        <c:lblOffset val="100"/>
        <c:noMultiLvlLbl val="0"/>
      </c:catAx>
      <c:valAx>
        <c:axId val="377427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377428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5.2375607931163484E-2"/>
          <c:y val="4.1698447562954852E-3"/>
          <c:w val="0.89999998202802589"/>
          <c:h val="0.100373556772394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K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(Revenue!$B$156,Revenue!$B$159:$B$162)</c:f>
              <c:numCache>
                <c:formatCode>_(* #,##0_);_(* \(#,##0\);_(* \-??_);_(@_)</c:formatCode>
                <c:ptCount val="5"/>
                <c:pt idx="0">
                  <c:v>4958.1019999999999</c:v>
                </c:pt>
                <c:pt idx="1">
                  <c:v>4645.59</c:v>
                </c:pt>
                <c:pt idx="2">
                  <c:v>1821.8000000000002</c:v>
                </c:pt>
                <c:pt idx="3">
                  <c:v>819.81</c:v>
                </c:pt>
                <c:pt idx="4">
                  <c:v>1184.17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49-4686-8CD2-6FE2B0090F2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(Revenue!$C$156,Revenue!$C$159:$C$162)</c:f>
              <c:numCache>
                <c:formatCode>_(* #,##0_);_(* \(#,##0\);_(* \-??_);_(@_)</c:formatCode>
                <c:ptCount val="5"/>
                <c:pt idx="0">
                  <c:v>4935.3580000000002</c:v>
                </c:pt>
                <c:pt idx="1">
                  <c:v>5496.96</c:v>
                </c:pt>
                <c:pt idx="2">
                  <c:v>2633.96</c:v>
                </c:pt>
                <c:pt idx="3">
                  <c:v>1030.68</c:v>
                </c:pt>
                <c:pt idx="4">
                  <c:v>1717.8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49-4686-8CD2-6FE2B0090F22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(Revenue!$D$156,Revenue!$D$159:$D$162)</c:f>
              <c:numCache>
                <c:formatCode>_(* #,##0_);_(* \(#,##0\);_(* \-??_);_(@_)</c:formatCode>
                <c:ptCount val="5"/>
                <c:pt idx="0">
                  <c:v>4804.6719999999996</c:v>
                </c:pt>
                <c:pt idx="1">
                  <c:v>6011</c:v>
                </c:pt>
                <c:pt idx="2">
                  <c:v>2878</c:v>
                </c:pt>
                <c:pt idx="3">
                  <c:v>993</c:v>
                </c:pt>
                <c:pt idx="4">
                  <c:v>2119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49-4686-8CD2-6FE2B0090F22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(Revenue!$E$156,Revenue!$E$159:$E$162)</c:f>
              <c:numCache>
                <c:formatCode>_(* #,##0_);_(* \(#,##0\);_(* \-??_);_(@_)</c:formatCode>
                <c:ptCount val="5"/>
                <c:pt idx="0">
                  <c:v>6196</c:v>
                </c:pt>
                <c:pt idx="1">
                  <c:v>6332</c:v>
                </c:pt>
                <c:pt idx="2">
                  <c:v>4369</c:v>
                </c:pt>
                <c:pt idx="3">
                  <c:v>1144</c:v>
                </c:pt>
                <c:pt idx="4">
                  <c:v>2696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49-4686-8CD2-6FE2B0090F22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(Revenue!$F$156,Revenue!$F$159:$F$162)</c:f>
              <c:numCache>
                <c:formatCode>_(* #,##0_);_(* \(#,##0\);_(* \-??_);_(@_)</c:formatCode>
                <c:ptCount val="5"/>
                <c:pt idx="0">
                  <c:v>6847</c:v>
                </c:pt>
                <c:pt idx="1">
                  <c:v>7342</c:v>
                </c:pt>
                <c:pt idx="2">
                  <c:v>6550</c:v>
                </c:pt>
                <c:pt idx="3">
                  <c:v>1366</c:v>
                </c:pt>
                <c:pt idx="4">
                  <c:v>3677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49-4686-8CD2-6FE2B0090F22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(Revenue!$G$156,Revenue!$G$159:$G$162)</c:f>
              <c:numCache>
                <c:formatCode>_(* #,##0_);_(* \(#,##0\);_(* \-??_);_(@_)</c:formatCode>
                <c:ptCount val="5"/>
                <c:pt idx="0">
                  <c:v>7161.0559999999996</c:v>
                </c:pt>
                <c:pt idx="1">
                  <c:v>9324</c:v>
                </c:pt>
                <c:pt idx="2">
                  <c:v>7115</c:v>
                </c:pt>
                <c:pt idx="3">
                  <c:v>1736</c:v>
                </c:pt>
                <c:pt idx="4">
                  <c:v>6113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649-4686-8CD2-6FE2B0090F22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(Revenue!$H$156,Revenue!$H$159:$H$162)</c:f>
              <c:numCache>
                <c:formatCode>_(* #,##0_);_(* \(#,##0\);_(* \-??_);_(@_)</c:formatCode>
                <c:ptCount val="5"/>
                <c:pt idx="0">
                  <c:v>8157</c:v>
                </c:pt>
                <c:pt idx="1">
                  <c:v>12325</c:v>
                </c:pt>
                <c:pt idx="2">
                  <c:v>7751</c:v>
                </c:pt>
                <c:pt idx="3">
                  <c:v>2636</c:v>
                </c:pt>
                <c:pt idx="4">
                  <c:v>8240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649-4686-8CD2-6FE2B0090F22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(Revenue!$N$156,Revenue!$N$159:$N$162)</c:f>
              <c:numCache>
                <c:formatCode>_(* #,##0_);_(* \(#,##0\);_(* \-??_);_(@_)</c:formatCode>
                <c:ptCount val="5"/>
                <c:pt idx="0">
                  <c:v>8617</c:v>
                </c:pt>
                <c:pt idx="1">
                  <c:v>12325</c:v>
                </c:pt>
                <c:pt idx="2">
                  <c:v>7751</c:v>
                </c:pt>
                <c:pt idx="3">
                  <c:v>2636</c:v>
                </c:pt>
                <c:pt idx="4">
                  <c:v>8240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649-4686-8CD2-6FE2B0090F22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(Revenue!$J$156,Revenue!$J$159:$J$162)</c:f>
              <c:numCache>
                <c:formatCode>_(* #,##0_);_(* \(#,##0\);_(* \-??_);_(@_)</c:formatCode>
                <c:ptCount val="5"/>
                <c:pt idx="0">
                  <c:v>10184.160000000002</c:v>
                </c:pt>
                <c:pt idx="1">
                  <c:v>18851.439999999999</c:v>
                </c:pt>
                <c:pt idx="2">
                  <c:v>8734.41</c:v>
                </c:pt>
                <c:pt idx="3">
                  <c:v>4239.74</c:v>
                </c:pt>
                <c:pt idx="4">
                  <c:v>8745.11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649-4686-8CD2-6FE2B0090F22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(Revenue!$K$156,Revenue!$K$159:$K$162)</c:f>
              <c:numCache>
                <c:formatCode>_(* #,##0_);_(* \(#,##0\);_(* \-??_);_(@_)</c:formatCode>
                <c:ptCount val="5"/>
                <c:pt idx="0">
                  <c:v>11406.259200000002</c:v>
                </c:pt>
                <c:pt idx="1">
                  <c:v>23187.271199999999</c:v>
                </c:pt>
                <c:pt idx="2">
                  <c:v>9607.8510000000006</c:v>
                </c:pt>
                <c:pt idx="3">
                  <c:v>5087.6879999999992</c:v>
                </c:pt>
                <c:pt idx="4">
                  <c:v>9444.7188000000006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649-4686-8CD2-6FE2B0090F22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(Revenue!$L$156,Revenue!$L$159:$L$162)</c:f>
              <c:numCache>
                <c:formatCode>_(* #,##0_);_(* \(#,##0\);_(* \-??_);_(@_)</c:formatCode>
                <c:ptCount val="5"/>
                <c:pt idx="0">
                  <c:v>12775.010304000003</c:v>
                </c:pt>
                <c:pt idx="1">
                  <c:v>28520.343575999999</c:v>
                </c:pt>
                <c:pt idx="2">
                  <c:v>10568.636100000002</c:v>
                </c:pt>
                <c:pt idx="3">
                  <c:v>6206.9793599999985</c:v>
                </c:pt>
                <c:pt idx="4">
                  <c:v>10389.190680000002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649-4686-8CD2-6FE2B0090F22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(Revenue!$M$156,Revenue!$M$159:$M$162)</c:f>
              <c:numCache>
                <c:formatCode>_(* #,##0_);_(* \(#,##0\);_(* \-??_);_(@_)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B-3649-4686-8CD2-6FE2B0090F22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(Revenue!#REF!,Revenue!#REF!)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649-4686-8CD2-6FE2B0090F22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(Revenue!#REF!,Revenue!#REF!)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649-4686-8CD2-6FE2B0090F22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(Revenue!$O$156,Revenue!$O$159:$O$162)</c:f>
              <c:numCache>
                <c:formatCode>_(* #,##0_);_(* \(#,##0\);_(* \-??_);_(@_)</c:formatCode>
                <c:ptCount val="5"/>
                <c:pt idx="1">
                  <c:v>9324</c:v>
                </c:pt>
                <c:pt idx="2">
                  <c:v>7115</c:v>
                </c:pt>
                <c:pt idx="3">
                  <c:v>1736</c:v>
                </c:pt>
                <c:pt idx="4">
                  <c:v>6113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649-4686-8CD2-6FE2B0090F22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(Revenue!$P$156,Revenue!$P$159:$P$162)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F-3649-4686-8CD2-6FE2B0090F22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(Revenue!$Q$156,Revenue!$Q$159:$Q$162)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0-3649-4686-8CD2-6FE2B0090F22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(Revenue!$R$156,Revenue!$R$159:$R$162)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1-3649-4686-8CD2-6FE2B0090F22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(Revenue!$S$156,Revenue!$S$159:$S$162)</c:f>
              <c:numCache>
                <c:formatCode>_(* #,##0_);_(* \(#,##0\);_(* \-??_);_(@_)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2-3649-4686-8CD2-6FE2B0090F22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(Revenue!$T$156,Revenue!$T$159:$T$162)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3649-4686-8CD2-6FE2B0090F22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(Revenue!$U$156,Revenue!$U$159:$U$162)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4-3649-4686-8CD2-6FE2B0090F22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(Revenue!$V$156,Revenue!$V$159:$V$162)</c:f>
              <c:numCache>
                <c:formatCode>_(* #,##0_);_(* \(#,##0\);_(* \-??_);_(@_)</c:formatCode>
                <c:ptCount val="5"/>
                <c:pt idx="0" formatCode="General">
                  <c:v>0</c:v>
                </c:pt>
                <c:pt idx="1">
                  <c:v>4223</c:v>
                </c:pt>
                <c:pt idx="2">
                  <c:v>3239</c:v>
                </c:pt>
                <c:pt idx="3">
                  <c:v>809</c:v>
                </c:pt>
                <c:pt idx="4">
                  <c:v>2956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3649-4686-8CD2-6FE2B0090F22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(Revenue!$W$156,Revenue!$W$159:$W$162)</c:f>
              <c:numCache>
                <c:formatCode>0.0%</c:formatCode>
                <c:ptCount val="5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649-4686-8CD2-6FE2B0090F22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(Revenue!$X$156,Revenue!$X$159:$X$162)</c:f>
              <c:numCache>
                <c:formatCode>_(* #,##0_);_(* \(#,##0\);_(* \-??_);_(@_)</c:formatCode>
                <c:ptCount val="5"/>
                <c:pt idx="0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649-4686-8CD2-6FE2B0090F22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(Revenue!$Y$156,Revenue!$Y$159:$Y$162)</c:f>
              <c:numCache>
                <c:formatCode>0.0%</c:formatCode>
                <c:ptCount val="5"/>
                <c:pt idx="0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649-4686-8CD2-6FE2B0090F22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(Revenue!$Z$156,Revenue!$Z$159:$Z$162)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9-3649-4686-8CD2-6FE2B0090F22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(Revenue!$AA$156,Revenue!$AA$159:$AA$162)</c:f>
              <c:numCache>
                <c:formatCode>_(* #,##0_);_(* \(#,##0\);_(* \-??_);_(@_)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A-3649-4686-8CD2-6FE2B0090F22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(Revenue!$AB$156,Revenue!$AB$159:$AB$162)</c:f>
              <c:numCache>
                <c:formatCode>_(* #,##0_);_(* \(#,##0\);_(* \-??_);_(@_)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B-3649-4686-8CD2-6FE2B0090F22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(Revenue!$AC$156,Revenue!$AC$159:$AC$162)</c:f>
              <c:numCache>
                <c:formatCode>_(* #,##0_);_(* \(#,##0\);_(* \-??_);_(@_)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C-3649-4686-8CD2-6FE2B0090F22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(Revenue!$AD$156,Revenue!$AD$159:$AD$162)</c:f>
              <c:numCache>
                <c:formatCode>_(* #,##0_);_(* \(#,##0\);_(* \-??_);_(@_)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D-3649-4686-8CD2-6FE2B0090F22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(Revenue!$AE$156,Revenue!$AE$159:$AE$162)</c:f>
              <c:numCache>
                <c:formatCode>_(* #,##0_);_(* \(#,##0\);_(* \-??_);_(@_)</c:formatCode>
                <c:ptCount val="5"/>
                <c:pt idx="0">
                  <c:v>703.28499999999997</c:v>
                </c:pt>
                <c:pt idx="1">
                  <c:v>1518</c:v>
                </c:pt>
                <c:pt idx="2">
                  <c:v>675</c:v>
                </c:pt>
                <c:pt idx="3">
                  <c:v>248</c:v>
                </c:pt>
                <c:pt idx="4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3649-4686-8CD2-6FE2B0090F22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(Revenue!$AF$156,Revenue!$AF$159:$AF$162)</c:f>
              <c:numCache>
                <c:formatCode>_(* #,##0_);_(* \(#,##0\);_(* \-??_);_(@_)</c:formatCode>
                <c:ptCount val="5"/>
                <c:pt idx="0">
                  <c:v>1013.7700000000001</c:v>
                </c:pt>
                <c:pt idx="1">
                  <c:v>1514</c:v>
                </c:pt>
                <c:pt idx="2">
                  <c:v>668</c:v>
                </c:pt>
                <c:pt idx="3">
                  <c:v>259</c:v>
                </c:pt>
                <c:pt idx="4">
                  <c:v>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3649-4686-8CD2-6FE2B0090F22}"/>
            </c:ext>
          </c:extLst>
        </c:ser>
        <c:ser>
          <c:idx val="32"/>
          <c:order val="32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(Revenue!$AG$156,Revenue!$AG$159:$AG$162)</c:f>
              <c:numCache>
                <c:formatCode>_(* #,##0_);_(* \(#,##0\);_(* \-??_);_(@_)</c:formatCode>
                <c:ptCount val="5"/>
                <c:pt idx="0">
                  <c:v>1215.213</c:v>
                </c:pt>
                <c:pt idx="1">
                  <c:v>1493</c:v>
                </c:pt>
                <c:pt idx="2">
                  <c:v>727</c:v>
                </c:pt>
                <c:pt idx="3">
                  <c:v>227</c:v>
                </c:pt>
                <c:pt idx="4">
                  <c:v>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3649-4686-8CD2-6FE2B0090F22}"/>
            </c:ext>
          </c:extLst>
        </c:ser>
        <c:ser>
          <c:idx val="33"/>
          <c:order val="33"/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(Revenue!$AH$156,Revenue!$AH$159:$AH$162)</c:f>
              <c:numCache>
                <c:formatCode>_(* #,##0_);_(* \(#,##0\);_(* \-??_);_(@_)</c:formatCode>
                <c:ptCount val="5"/>
                <c:pt idx="0">
                  <c:v>1872.4039999999995</c:v>
                </c:pt>
                <c:pt idx="1">
                  <c:v>1486</c:v>
                </c:pt>
                <c:pt idx="2">
                  <c:v>808</c:v>
                </c:pt>
                <c:pt idx="3">
                  <c:v>259</c:v>
                </c:pt>
                <c:pt idx="4">
                  <c:v>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3649-4686-8CD2-6FE2B0090F22}"/>
            </c:ext>
          </c:extLst>
        </c:ser>
        <c:ser>
          <c:idx val="34"/>
          <c:order val="34"/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(Revenue!$AI$156,Revenue!$AI$159:$AI$162)</c:f>
              <c:numCache>
                <c:formatCode>_(* #,##0_);_(* \(#,##0\);_(* \-??_);_(@_)</c:formatCode>
                <c:ptCount val="5"/>
                <c:pt idx="0">
                  <c:v>1007.953</c:v>
                </c:pt>
                <c:pt idx="1">
                  <c:v>1553.0050200000001</c:v>
                </c:pt>
                <c:pt idx="2">
                  <c:v>855.73746000000006</c:v>
                </c:pt>
                <c:pt idx="3">
                  <c:v>253.55184</c:v>
                </c:pt>
                <c:pt idx="4">
                  <c:v>507.10367999999994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3649-4686-8CD2-6FE2B0090F22}"/>
            </c:ext>
          </c:extLst>
        </c:ser>
        <c:ser>
          <c:idx val="35"/>
          <c:order val="35"/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(Revenue!$AJ$156,Revenue!$AJ$159:$AJ$162)</c:f>
              <c:numCache>
                <c:formatCode>_(* #,##0_);_(* \(#,##0\);_(* \-??_);_(@_)</c:formatCode>
                <c:ptCount val="5"/>
                <c:pt idx="0">
                  <c:v>1455.7750000000001</c:v>
                </c:pt>
                <c:pt idx="1">
                  <c:v>1560.9949799999999</c:v>
                </c:pt>
                <c:pt idx="2">
                  <c:v>1038.2625399999999</c:v>
                </c:pt>
                <c:pt idx="3">
                  <c:v>283.44816000000003</c:v>
                </c:pt>
                <c:pt idx="4">
                  <c:v>630.89632000000006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3649-4686-8CD2-6FE2B0090F22}"/>
            </c:ext>
          </c:extLst>
        </c:ser>
        <c:ser>
          <c:idx val="36"/>
          <c:order val="36"/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(Revenue!$AK$156,Revenue!$AK$159:$AK$162)</c:f>
              <c:numCache>
                <c:formatCode>_(* #,##0_);_(* \(#,##0\);_(* \-??_);_(@_)</c:formatCode>
                <c:ptCount val="5"/>
                <c:pt idx="0">
                  <c:v>1505.9189999999999</c:v>
                </c:pt>
                <c:pt idx="1">
                  <c:v>1634</c:v>
                </c:pt>
                <c:pt idx="2">
                  <c:v>1191</c:v>
                </c:pt>
                <c:pt idx="3">
                  <c:v>283</c:v>
                </c:pt>
                <c:pt idx="4">
                  <c:v>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3649-4686-8CD2-6FE2B0090F22}"/>
            </c:ext>
          </c:extLst>
        </c:ser>
        <c:ser>
          <c:idx val="37"/>
          <c:order val="37"/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(Revenue!$AL$156,Revenue!$AL$159:$AL$162)</c:f>
              <c:numCache>
                <c:formatCode>_(* #,##0_);_(* \(#,##0\);_(* \-??_);_(@_)</c:formatCode>
                <c:ptCount val="5"/>
                <c:pt idx="0">
                  <c:v>2361.7960000000003</c:v>
                </c:pt>
                <c:pt idx="1">
                  <c:v>1584</c:v>
                </c:pt>
                <c:pt idx="2">
                  <c:v>1284</c:v>
                </c:pt>
                <c:pt idx="3">
                  <c:v>324</c:v>
                </c:pt>
                <c:pt idx="4">
                  <c:v>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3649-4686-8CD2-6FE2B0090F22}"/>
            </c:ext>
          </c:extLst>
        </c:ser>
        <c:ser>
          <c:idx val="38"/>
          <c:order val="38"/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(Revenue!$AM$156,Revenue!$AM$159:$AM$162)</c:f>
              <c:numCache>
                <c:formatCode>_(* #,##0_);_(* \(#,##0\);_(* \-??_);_(@_)</c:formatCode>
                <c:ptCount val="5"/>
                <c:pt idx="0">
                  <c:v>1529.7449999999999</c:v>
                </c:pt>
                <c:pt idx="1">
                  <c:v>1692</c:v>
                </c:pt>
                <c:pt idx="2">
                  <c:v>1363</c:v>
                </c:pt>
                <c:pt idx="3">
                  <c:v>325</c:v>
                </c:pt>
                <c:pt idx="4">
                  <c:v>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3649-4686-8CD2-6FE2B0090F22}"/>
            </c:ext>
          </c:extLst>
        </c:ser>
        <c:ser>
          <c:idx val="39"/>
          <c:order val="39"/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(Revenue!$AN$156,Revenue!$AN$159:$AN$162)</c:f>
              <c:numCache>
                <c:formatCode>_(* #,##0_);_(* \(#,##0\);_(* \-??_);_(@_)</c:formatCode>
                <c:ptCount val="5"/>
                <c:pt idx="0">
                  <c:v>1202.672</c:v>
                </c:pt>
                <c:pt idx="1">
                  <c:v>1683</c:v>
                </c:pt>
                <c:pt idx="2">
                  <c:v>1448</c:v>
                </c:pt>
                <c:pt idx="3">
                  <c:v>341</c:v>
                </c:pt>
                <c:pt idx="4">
                  <c:v>1039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3649-4686-8CD2-6FE2B0090F22}"/>
            </c:ext>
          </c:extLst>
        </c:ser>
        <c:ser>
          <c:idx val="40"/>
          <c:order val="40"/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(Revenue!$AO$156,Revenue!$AO$159:$AO$162)</c:f>
              <c:numCache>
                <c:formatCode>_(* #,##0_);_(* \(#,##0\);_(* \-??_);_(@_)</c:formatCode>
                <c:ptCount val="5"/>
                <c:pt idx="0">
                  <c:v>1706.9580000000001</c:v>
                </c:pt>
                <c:pt idx="1">
                  <c:v>1945</c:v>
                </c:pt>
                <c:pt idx="2">
                  <c:v>1581</c:v>
                </c:pt>
                <c:pt idx="3">
                  <c:v>346</c:v>
                </c:pt>
                <c:pt idx="4">
                  <c:v>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3649-4686-8CD2-6FE2B0090F22}"/>
            </c:ext>
          </c:extLst>
        </c:ser>
        <c:ser>
          <c:idx val="41"/>
          <c:order val="41"/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(Revenue!$AP$156,Revenue!$AP$159:$AP$162)</c:f>
              <c:numCache>
                <c:formatCode>_(* #,##0_);_(* \(#,##0\);_(* \-??_);_(@_)</c:formatCode>
                <c:ptCount val="5"/>
                <c:pt idx="0">
                  <c:v>2408.0330000000004</c:v>
                </c:pt>
                <c:pt idx="1">
                  <c:v>2022</c:v>
                </c:pt>
                <c:pt idx="2">
                  <c:v>2158</c:v>
                </c:pt>
                <c:pt idx="3">
                  <c:v>354</c:v>
                </c:pt>
                <c:pt idx="4">
                  <c:v>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3649-4686-8CD2-6FE2B0090F22}"/>
            </c:ext>
          </c:extLst>
        </c:ser>
        <c:ser>
          <c:idx val="42"/>
          <c:order val="42"/>
          <c:tx>
            <c:strRef>
              <c:f>Revenue!$AQ$1</c:f>
              <c:strCache>
                <c:ptCount val="1"/>
                <c:pt idx="0">
                  <c:v>1Q23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(Revenue!$AQ$156,Revenue!$AQ$159:$AQ$162)</c:f>
              <c:numCache>
                <c:formatCode>_(* #,##0_);_(* \(#,##0\);_(* \-??_);_(@_)</c:formatCode>
                <c:ptCount val="5"/>
                <c:pt idx="0">
                  <c:v>1407</c:v>
                </c:pt>
                <c:pt idx="1">
                  <c:v>2019</c:v>
                </c:pt>
                <c:pt idx="2">
                  <c:v>1606</c:v>
                </c:pt>
                <c:pt idx="3">
                  <c:v>384</c:v>
                </c:pt>
                <c:pt idx="4">
                  <c:v>1426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3649-4686-8CD2-6FE2B0090F22}"/>
            </c:ext>
          </c:extLst>
        </c:ser>
        <c:ser>
          <c:idx val="43"/>
          <c:order val="43"/>
          <c:tx>
            <c:strRef>
              <c:f>Revenue!$AR$1</c:f>
              <c:strCache>
                <c:ptCount val="1"/>
                <c:pt idx="0">
                  <c:v>2Q23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(Revenue!$AR$156,Revenue!$AR$159:$AR$162)</c:f>
              <c:numCache>
                <c:formatCode>_(* #,##0_);_(* \(#,##0\);_(* \-??_);_(@_)</c:formatCode>
                <c:ptCount val="5"/>
                <c:pt idx="0">
                  <c:v>1568</c:v>
                </c:pt>
                <c:pt idx="1">
                  <c:v>2204</c:v>
                </c:pt>
                <c:pt idx="2">
                  <c:v>1633</c:v>
                </c:pt>
                <c:pt idx="3">
                  <c:v>425</c:v>
                </c:pt>
                <c:pt idx="4">
                  <c:v>1530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3649-4686-8CD2-6FE2B0090F22}"/>
            </c:ext>
          </c:extLst>
        </c:ser>
        <c:ser>
          <c:idx val="44"/>
          <c:order val="44"/>
          <c:tx>
            <c:strRef>
              <c:f>Revenue!$AS$1</c:f>
              <c:strCache>
                <c:ptCount val="1"/>
                <c:pt idx="0">
                  <c:v>3Q23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(Revenue!$AS$156,Revenue!$AS$159:$AS$162)</c:f>
              <c:numCache>
                <c:formatCode>_(* #,##0_);_(* \(#,##0\);_(* \-??_);_(@_)</c:formatCode>
                <c:ptCount val="5"/>
                <c:pt idx="0">
                  <c:v>1916</c:v>
                </c:pt>
                <c:pt idx="1">
                  <c:v>2612</c:v>
                </c:pt>
                <c:pt idx="2">
                  <c:v>1776</c:v>
                </c:pt>
                <c:pt idx="3">
                  <c:v>451</c:v>
                </c:pt>
                <c:pt idx="4">
                  <c:v>1561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3649-4686-8CD2-6FE2B0090F22}"/>
            </c:ext>
          </c:extLst>
        </c:ser>
        <c:ser>
          <c:idx val="45"/>
          <c:order val="45"/>
          <c:tx>
            <c:strRef>
              <c:f>Revenue!$AT$1</c:f>
              <c:strCache>
                <c:ptCount val="1"/>
                <c:pt idx="0">
                  <c:v>4Q23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(Revenue!$AT$156,Revenue!$AT$159:$AT$162)</c:f>
              <c:numCache>
                <c:formatCode>_(* #,##0_);_(* \(#,##0\);_(* \-??_);_(@_)</c:formatCode>
                <c:ptCount val="5"/>
                <c:pt idx="0">
                  <c:v>2270</c:v>
                </c:pt>
                <c:pt idx="1">
                  <c:v>2489</c:v>
                </c:pt>
                <c:pt idx="2">
                  <c:v>2100</c:v>
                </c:pt>
                <c:pt idx="3">
                  <c:v>476</c:v>
                </c:pt>
                <c:pt idx="4">
                  <c:v>1596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3649-4686-8CD2-6FE2B0090F22}"/>
            </c:ext>
          </c:extLst>
        </c:ser>
        <c:ser>
          <c:idx val="46"/>
          <c:order val="46"/>
          <c:tx>
            <c:strRef>
              <c:f>Revenue!$AU$1</c:f>
              <c:strCache>
                <c:ptCount val="1"/>
                <c:pt idx="0">
                  <c:v>1Q24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(Revenue!$AU$156,Revenue!$AU$159:$AU$162)</c:f>
              <c:numCache>
                <c:formatCode>_(* #,##0_);_(* \(#,##0\);_(* \-??_);_(@_)</c:formatCode>
                <c:ptCount val="5"/>
                <c:pt idx="0">
                  <c:v>1472</c:v>
                </c:pt>
                <c:pt idx="1">
                  <c:v>2695</c:v>
                </c:pt>
                <c:pt idx="2">
                  <c:v>1858</c:v>
                </c:pt>
                <c:pt idx="3">
                  <c:v>552</c:v>
                </c:pt>
                <c:pt idx="4">
                  <c:v>1895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3649-4686-8CD2-6FE2B0090F22}"/>
            </c:ext>
          </c:extLst>
        </c:ser>
        <c:ser>
          <c:idx val="47"/>
          <c:order val="47"/>
          <c:tx>
            <c:strRef>
              <c:f>Revenue!$AV$1</c:f>
              <c:strCache>
                <c:ptCount val="1"/>
                <c:pt idx="0">
                  <c:v>2Q24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(Revenue!$AV$156,Revenue!$AV$159:$AV$162)</c:f>
              <c:numCache>
                <c:formatCode>_(* #,##0_);_(* \(#,##0\);_(* \-??_);_(@_)</c:formatCode>
                <c:ptCount val="5"/>
                <c:pt idx="0">
                  <c:v>2032</c:v>
                </c:pt>
                <c:pt idx="1">
                  <c:v>3017</c:v>
                </c:pt>
                <c:pt idx="2">
                  <c:v>1861</c:v>
                </c:pt>
                <c:pt idx="3">
                  <c:v>692</c:v>
                </c:pt>
                <c:pt idx="4">
                  <c:v>2003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3649-4686-8CD2-6FE2B0090F22}"/>
            </c:ext>
          </c:extLst>
        </c:ser>
        <c:ser>
          <c:idx val="48"/>
          <c:order val="48"/>
          <c:tx>
            <c:strRef>
              <c:f>Revenue!$AW$1</c:f>
              <c:strCache>
                <c:ptCount val="1"/>
                <c:pt idx="0">
                  <c:v>3Q24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(Revenue!$AW$156,Revenue!$AW$159:$AW$162)</c:f>
              <c:numCache>
                <c:formatCode>_(* #,##0_);_(* \(#,##0\);_(* \-??_);_(@_)</c:formatCode>
                <c:ptCount val="5"/>
                <c:pt idx="0">
                  <c:v>1792</c:v>
                </c:pt>
                <c:pt idx="1">
                  <c:v>3205</c:v>
                </c:pt>
                <c:pt idx="2">
                  <c:v>1944</c:v>
                </c:pt>
                <c:pt idx="3">
                  <c:v>690</c:v>
                </c:pt>
                <c:pt idx="4">
                  <c:v>2256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3649-4686-8CD2-6FE2B0090F22}"/>
            </c:ext>
          </c:extLst>
        </c:ser>
        <c:ser>
          <c:idx val="49"/>
          <c:order val="49"/>
          <c:tx>
            <c:strRef>
              <c:f>Revenue!$AX$1</c:f>
              <c:strCache>
                <c:ptCount val="1"/>
                <c:pt idx="0">
                  <c:v>4Q24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(Revenue!$AX$156,Revenue!$AX$159:$AX$162)</c:f>
              <c:numCache>
                <c:formatCode>_(* #,##0_);_(* \(#,##0\);_(* \-??_);_(@_)</c:formatCode>
                <c:ptCount val="5"/>
                <c:pt idx="0">
                  <c:v>2861</c:v>
                </c:pt>
                <c:pt idx="1">
                  <c:v>3408</c:v>
                </c:pt>
                <c:pt idx="2">
                  <c:v>2088</c:v>
                </c:pt>
                <c:pt idx="3">
                  <c:v>702</c:v>
                </c:pt>
                <c:pt idx="4">
                  <c:v>2086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3649-4686-8CD2-6FE2B0090F22}"/>
            </c:ext>
          </c:extLst>
        </c:ser>
        <c:ser>
          <c:idx val="50"/>
          <c:order val="50"/>
          <c:tx>
            <c:strRef>
              <c:f>Revenue!$AY$1</c:f>
              <c:strCache>
                <c:ptCount val="1"/>
                <c:pt idx="0">
                  <c:v>1Q25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(Revenue!$AY$156,Revenue!$AY$159:$AY$162)</c:f>
              <c:numCache>
                <c:formatCode>_(* #,##0_);_(* \(#,##0\);_(* \-??_);_(@_)</c:formatCode>
                <c:ptCount val="5"/>
                <c:pt idx="0">
                  <c:v>1583</c:v>
                </c:pt>
                <c:pt idx="1">
                  <c:v>3514</c:v>
                </c:pt>
                <c:pt idx="2">
                  <c:v>2002</c:v>
                </c:pt>
                <c:pt idx="3">
                  <c:v>688</c:v>
                </c:pt>
                <c:pt idx="4">
                  <c:v>1982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3649-4686-8CD2-6FE2B0090F22}"/>
            </c:ext>
          </c:extLst>
        </c:ser>
        <c:ser>
          <c:idx val="51"/>
          <c:order val="51"/>
          <c:tx>
            <c:strRef>
              <c:f>Revenue!$AZ$1</c:f>
              <c:strCache>
                <c:ptCount val="1"/>
                <c:pt idx="0">
                  <c:v>2Q25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(Revenue!$AZ$156,Revenue!$AZ$159:$AZ$162)</c:f>
              <c:numCache>
                <c:formatCode>_(* #,##0_);_(* \(#,##0\);_(* \-??_);_(@_)</c:formatCode>
                <c:ptCount val="5"/>
                <c:pt idx="0">
                  <c:v>1876</c:v>
                </c:pt>
                <c:pt idx="1">
                  <c:v>3806</c:v>
                </c:pt>
                <c:pt idx="2">
                  <c:v>2023</c:v>
                </c:pt>
                <c:pt idx="3">
                  <c:v>870</c:v>
                </c:pt>
                <c:pt idx="4">
                  <c:v>1784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3649-4686-8CD2-6FE2B0090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5684783"/>
        <c:axId val="1455682863"/>
      </c:barChart>
      <c:catAx>
        <c:axId val="1455684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682863"/>
        <c:crosses val="autoZero"/>
        <c:auto val="1"/>
        <c:lblAlgn val="ctr"/>
        <c:lblOffset val="100"/>
        <c:noMultiLvlLbl val="0"/>
      </c:catAx>
      <c:valAx>
        <c:axId val="1455682863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684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03105407671793"/>
          <c:y val="3.4908556968667924E-2"/>
          <c:w val="0.73179425236205331"/>
          <c:h val="0.568514533248226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Revenue!$A$199</c:f>
              <c:strCache>
                <c:ptCount val="1"/>
                <c:pt idx="0">
                  <c:v>Broadband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(Revenue!$E$1:$H$1,Revenue!$AY$1:$AZ$1)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1Q25</c:v>
                </c:pt>
                <c:pt idx="5">
                  <c:v>2Q25</c:v>
                </c:pt>
              </c:strCache>
            </c:strRef>
          </c:cat>
          <c:val>
            <c:numRef>
              <c:f>(Revenue!$E$199:$H$199,Revenue!$AY$199:$AZ$199)</c:f>
              <c:numCache>
                <c:formatCode>_(* #,##0_);_(* \(#,##0\);_(* \-??_);_(@_)</c:formatCode>
                <c:ptCount val="6"/>
                <c:pt idx="0">
                  <c:v>6787</c:v>
                </c:pt>
                <c:pt idx="1">
                  <c:v>7404</c:v>
                </c:pt>
                <c:pt idx="2">
                  <c:v>7838</c:v>
                </c:pt>
                <c:pt idx="3">
                  <c:v>8800</c:v>
                </c:pt>
                <c:pt idx="4">
                  <c:v>2397</c:v>
                </c:pt>
                <c:pt idx="5">
                  <c:v>2460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1C-4681-905E-47104F420209}"/>
            </c:ext>
          </c:extLst>
        </c:ser>
        <c:ser>
          <c:idx val="2"/>
          <c:order val="1"/>
          <c:tx>
            <c:strRef>
              <c:f>Revenue!$A$201</c:f>
              <c:strCache>
                <c:ptCount val="1"/>
                <c:pt idx="0">
                  <c:v>Non-broadband (Data centers, FPT play, Smarthome)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(Revenue!$E$1:$H$1,Revenue!$AY$1:$AZ$1)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1Q25</c:v>
                </c:pt>
                <c:pt idx="5">
                  <c:v>2Q25</c:v>
                </c:pt>
              </c:strCache>
            </c:strRef>
          </c:cat>
          <c:val>
            <c:numRef>
              <c:f>(Revenue!$E$201:$H$201,Revenue!$AY$201:$AZ$201)</c:f>
              <c:numCache>
                <c:formatCode>_(* #,##0_);_(* \(#,##0\);_(* \-??_);_(@_)</c:formatCode>
                <c:ptCount val="6"/>
                <c:pt idx="0">
                  <c:v>5292</c:v>
                </c:pt>
                <c:pt idx="1">
                  <c:v>6550</c:v>
                </c:pt>
                <c:pt idx="2">
                  <c:v>7348</c:v>
                </c:pt>
                <c:pt idx="3">
                  <c:v>8106</c:v>
                </c:pt>
                <c:pt idx="4">
                  <c:v>2068</c:v>
                </c:pt>
                <c:pt idx="5">
                  <c:v>2105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1C-4681-905E-47104F420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28982064"/>
        <c:axId val="628972464"/>
      </c:barChart>
      <c:lineChart>
        <c:grouping val="standard"/>
        <c:varyColors val="0"/>
        <c:ser>
          <c:idx val="1"/>
          <c:order val="2"/>
          <c:tx>
            <c:strRef>
              <c:f>Revenue!$A$200</c:f>
              <c:strCache>
                <c:ptCount val="1"/>
                <c:pt idx="0">
                  <c:v>% Broadband revenue growth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(Revenue!$E$1:$H$1,Revenue!$AY$1:$AZ$1)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1Q25</c:v>
                </c:pt>
                <c:pt idx="5">
                  <c:v>2Q25</c:v>
                </c:pt>
              </c:strCache>
            </c:strRef>
          </c:cat>
          <c:val>
            <c:numRef>
              <c:f>(Revenue!$E$200:$H$200,Revenue!$AY$200:$AZ$200)</c:f>
              <c:numCache>
                <c:formatCode>0.0%</c:formatCode>
                <c:ptCount val="6"/>
                <c:pt idx="0">
                  <c:v>8.9192805113720297E-3</c:v>
                </c:pt>
                <c:pt idx="1">
                  <c:v>9.0909090909090828E-2</c:v>
                </c:pt>
                <c:pt idx="2">
                  <c:v>5.8616963803349575E-2</c:v>
                </c:pt>
                <c:pt idx="3">
                  <c:v>0.12273539168155145</c:v>
                </c:pt>
                <c:pt idx="4">
                  <c:v>0.15573770491803285</c:v>
                </c:pt>
                <c:pt idx="5">
                  <c:v>0.16642958748221903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1C-4681-905E-47104F420209}"/>
            </c:ext>
          </c:extLst>
        </c:ser>
        <c:ser>
          <c:idx val="3"/>
          <c:order val="3"/>
          <c:tx>
            <c:strRef>
              <c:f>Revenue!$A$202</c:f>
              <c:strCache>
                <c:ptCount val="1"/>
                <c:pt idx="0">
                  <c:v>% non-broadband revenue growth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(Revenue!$E$1:$H$1,Revenue!$AY$1:$AZ$1)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1Q25</c:v>
                </c:pt>
                <c:pt idx="5">
                  <c:v>2Q25</c:v>
                </c:pt>
              </c:strCache>
            </c:strRef>
          </c:cat>
          <c:val>
            <c:numRef>
              <c:f>(Revenue!$AY$202:$AZ$202,Revenue!$E$202:$H$202)</c:f>
              <c:numCache>
                <c:formatCode>0.0%</c:formatCode>
                <c:ptCount val="6"/>
                <c:pt idx="0">
                  <c:v>0.14191054665930425</c:v>
                </c:pt>
                <c:pt idx="1">
                  <c:v>6.7985794013191381E-2</c:v>
                </c:pt>
                <c:pt idx="2">
                  <c:v>0.27826086956521734</c:v>
                </c:pt>
                <c:pt idx="3">
                  <c:v>0.23771730914588063</c:v>
                </c:pt>
                <c:pt idx="4">
                  <c:v>0.12183206106870226</c:v>
                </c:pt>
                <c:pt idx="5">
                  <c:v>0.10315732172019598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1C-4681-905E-47104F420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8886544"/>
        <c:axId val="628868304"/>
      </c:lineChart>
      <c:catAx>
        <c:axId val="62898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628972464"/>
        <c:crosses val="autoZero"/>
        <c:auto val="1"/>
        <c:lblAlgn val="ctr"/>
        <c:lblOffset val="100"/>
        <c:noMultiLvlLbl val="0"/>
      </c:catAx>
      <c:valAx>
        <c:axId val="628972464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628982064"/>
        <c:crosses val="autoZero"/>
        <c:crossBetween val="between"/>
      </c:valAx>
      <c:valAx>
        <c:axId val="628868304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628886544"/>
        <c:crosses val="max"/>
        <c:crossBetween val="between"/>
      </c:valAx>
      <c:catAx>
        <c:axId val="6288865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288683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74855323475465918"/>
          <c:w val="1"/>
          <c:h val="0.225813955248544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03105407671793"/>
          <c:y val="3.4908556968667924E-2"/>
          <c:w val="0.73179425236205331"/>
          <c:h val="0.568514533248226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Revenue!$A$199</c:f>
              <c:strCache>
                <c:ptCount val="1"/>
                <c:pt idx="0">
                  <c:v>Broadband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Revenue!$AQ$1:$AZ$1</c:f>
              <c:strCache>
                <c:ptCount val="10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  <c:pt idx="6">
                  <c:v>3Q24</c:v>
                </c:pt>
                <c:pt idx="7">
                  <c:v>4Q24</c:v>
                </c:pt>
                <c:pt idx="8">
                  <c:v>1Q25</c:v>
                </c:pt>
                <c:pt idx="9">
                  <c:v>2Q25</c:v>
                </c:pt>
              </c:strCache>
            </c:strRef>
          </c:cat>
          <c:val>
            <c:numRef>
              <c:f>Revenue!$AQ$199:$AZ$199</c:f>
              <c:numCache>
                <c:formatCode>_(* #,##0_);_(* \(#,##0\);_(* \-??_);_(@_)</c:formatCode>
                <c:ptCount val="10"/>
                <c:pt idx="0">
                  <c:v>1906</c:v>
                </c:pt>
                <c:pt idx="1">
                  <c:v>1918</c:v>
                </c:pt>
                <c:pt idx="2">
                  <c:v>1962</c:v>
                </c:pt>
                <c:pt idx="3">
                  <c:v>2052</c:v>
                </c:pt>
                <c:pt idx="4">
                  <c:v>2074</c:v>
                </c:pt>
                <c:pt idx="5">
                  <c:v>2109</c:v>
                </c:pt>
                <c:pt idx="6">
                  <c:v>2243</c:v>
                </c:pt>
                <c:pt idx="7">
                  <c:v>2374</c:v>
                </c:pt>
                <c:pt idx="8">
                  <c:v>2397</c:v>
                </c:pt>
                <c:pt idx="9">
                  <c:v>2460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B3-4E88-B66E-0A4FAA132287}"/>
            </c:ext>
          </c:extLst>
        </c:ser>
        <c:ser>
          <c:idx val="2"/>
          <c:order val="1"/>
          <c:tx>
            <c:strRef>
              <c:f>Revenue!$A$201</c:f>
              <c:strCache>
                <c:ptCount val="1"/>
                <c:pt idx="0">
                  <c:v>Non-broadband (Data centers, FPT play, Smarthome)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Revenue!$AQ$1:$AZ$1</c:f>
              <c:strCache>
                <c:ptCount val="10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  <c:pt idx="6">
                  <c:v>3Q24</c:v>
                </c:pt>
                <c:pt idx="7">
                  <c:v>4Q24</c:v>
                </c:pt>
                <c:pt idx="8">
                  <c:v>1Q25</c:v>
                </c:pt>
                <c:pt idx="9">
                  <c:v>2Q25</c:v>
                </c:pt>
              </c:strCache>
            </c:strRef>
          </c:cat>
          <c:val>
            <c:numRef>
              <c:f>Revenue!$AQ$201:$AZ$201</c:f>
              <c:numCache>
                <c:formatCode>_(* #,##0_);_(* \(#,##0\);_(* \-??_);_(@_)</c:formatCode>
                <c:ptCount val="10"/>
                <c:pt idx="0">
                  <c:v>1789</c:v>
                </c:pt>
                <c:pt idx="1">
                  <c:v>1810</c:v>
                </c:pt>
                <c:pt idx="2">
                  <c:v>1892</c:v>
                </c:pt>
                <c:pt idx="3">
                  <c:v>1856</c:v>
                </c:pt>
                <c:pt idx="4">
                  <c:v>1811</c:v>
                </c:pt>
                <c:pt idx="5">
                  <c:v>1971</c:v>
                </c:pt>
                <c:pt idx="6">
                  <c:v>2112</c:v>
                </c:pt>
                <c:pt idx="7">
                  <c:v>2212</c:v>
                </c:pt>
                <c:pt idx="8">
                  <c:v>2068</c:v>
                </c:pt>
                <c:pt idx="9">
                  <c:v>2105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B3-4E88-B66E-0A4FAA132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28982064"/>
        <c:axId val="628972464"/>
      </c:barChart>
      <c:lineChart>
        <c:grouping val="standard"/>
        <c:varyColors val="0"/>
        <c:ser>
          <c:idx val="1"/>
          <c:order val="2"/>
          <c:tx>
            <c:v>Broadband YoY growth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Revenue!$AQ$1:$AZ$1</c:f>
              <c:strCache>
                <c:ptCount val="10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  <c:pt idx="6">
                  <c:v>3Q24</c:v>
                </c:pt>
                <c:pt idx="7">
                  <c:v>4Q24</c:v>
                </c:pt>
                <c:pt idx="8">
                  <c:v>1Q25</c:v>
                </c:pt>
                <c:pt idx="9">
                  <c:v>2Q25</c:v>
                </c:pt>
              </c:strCache>
            </c:strRef>
          </c:cat>
          <c:val>
            <c:numRef>
              <c:f>Revenue!$AQ$200:$AZ$200</c:f>
              <c:numCache>
                <c:formatCode>0.0%</c:formatCode>
                <c:ptCount val="10"/>
                <c:pt idx="0">
                  <c:v>7.0786516853932557E-2</c:v>
                </c:pt>
                <c:pt idx="1">
                  <c:v>4.9808429118773923E-2</c:v>
                </c:pt>
                <c:pt idx="2">
                  <c:v>5.2575107296137347E-2</c:v>
                </c:pt>
                <c:pt idx="3">
                  <c:v>6.1562338334195443E-2</c:v>
                </c:pt>
                <c:pt idx="4">
                  <c:v>8.8142707240293827E-2</c:v>
                </c:pt>
                <c:pt idx="5">
                  <c:v>9.9582898852971891E-2</c:v>
                </c:pt>
                <c:pt idx="6">
                  <c:v>0.14322120285423035</c:v>
                </c:pt>
                <c:pt idx="7">
                  <c:v>0.15692007797270957</c:v>
                </c:pt>
                <c:pt idx="8">
                  <c:v>0.15573770491803285</c:v>
                </c:pt>
                <c:pt idx="9">
                  <c:v>0.16642958748221903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B3-4E88-B66E-0A4FAA132287}"/>
            </c:ext>
          </c:extLst>
        </c:ser>
        <c:ser>
          <c:idx val="3"/>
          <c:order val="3"/>
          <c:tx>
            <c:v>Non-broadband YoY growth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Revenue!$AQ$1:$AZ$1</c:f>
              <c:strCache>
                <c:ptCount val="10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  <c:pt idx="6">
                  <c:v>3Q24</c:v>
                </c:pt>
                <c:pt idx="7">
                  <c:v>4Q24</c:v>
                </c:pt>
                <c:pt idx="8">
                  <c:v>1Q25</c:v>
                </c:pt>
                <c:pt idx="9">
                  <c:v>2Q25</c:v>
                </c:pt>
              </c:strCache>
            </c:strRef>
          </c:cat>
          <c:val>
            <c:numRef>
              <c:f>Revenue!$AQ$202:$AZ$202</c:f>
              <c:numCache>
                <c:formatCode>0.0%</c:formatCode>
                <c:ptCount val="10"/>
                <c:pt idx="0">
                  <c:v>0.16168831168831166</c:v>
                </c:pt>
                <c:pt idx="1">
                  <c:v>0.14629512349588336</c:v>
                </c:pt>
                <c:pt idx="2">
                  <c:v>0.14389359129383306</c:v>
                </c:pt>
                <c:pt idx="3">
                  <c:v>4.4456949915588018E-2</c:v>
                </c:pt>
                <c:pt idx="4">
                  <c:v>1.2297372833985465E-2</c:v>
                </c:pt>
                <c:pt idx="5">
                  <c:v>8.8950276243093818E-2</c:v>
                </c:pt>
                <c:pt idx="6">
                  <c:v>0.11627906976744184</c:v>
                </c:pt>
                <c:pt idx="7">
                  <c:v>0.1918103448275863</c:v>
                </c:pt>
                <c:pt idx="8">
                  <c:v>0.14191054665930425</c:v>
                </c:pt>
                <c:pt idx="9">
                  <c:v>6.7985794013191381E-2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B3-4E88-B66E-0A4FAA132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8886544"/>
        <c:axId val="628868304"/>
      </c:lineChart>
      <c:catAx>
        <c:axId val="62898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628972464"/>
        <c:crosses val="autoZero"/>
        <c:auto val="1"/>
        <c:lblAlgn val="ctr"/>
        <c:lblOffset val="100"/>
        <c:noMultiLvlLbl val="0"/>
      </c:catAx>
      <c:valAx>
        <c:axId val="628972464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628982064"/>
        <c:crosses val="autoZero"/>
        <c:crossBetween val="between"/>
      </c:valAx>
      <c:valAx>
        <c:axId val="628868304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628886544"/>
        <c:crosses val="max"/>
        <c:crossBetween val="between"/>
      </c:valAx>
      <c:catAx>
        <c:axId val="6288865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288683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74855323475465918"/>
          <c:w val="1"/>
          <c:h val="0.225813955248544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(Revenue!$B$156,Revenue!$B$159:$B$162)</c:f>
              <c:numCache>
                <c:formatCode>_(* #,##0_);_(* \(#,##0\);_(* \-??_);_(@_)</c:formatCode>
                <c:ptCount val="5"/>
                <c:pt idx="0">
                  <c:v>4958.1019999999999</c:v>
                </c:pt>
                <c:pt idx="1">
                  <c:v>4645.59</c:v>
                </c:pt>
                <c:pt idx="2">
                  <c:v>1821.8000000000002</c:v>
                </c:pt>
                <c:pt idx="3">
                  <c:v>819.81</c:v>
                </c:pt>
                <c:pt idx="4">
                  <c:v>1184.17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10-4574-A4C9-F8ABBE711BA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(Revenue!$C$156,Revenue!$C$159:$C$162)</c:f>
              <c:numCache>
                <c:formatCode>_(* #,##0_);_(* \(#,##0\);_(* \-??_);_(@_)</c:formatCode>
                <c:ptCount val="5"/>
                <c:pt idx="0">
                  <c:v>4935.3580000000002</c:v>
                </c:pt>
                <c:pt idx="1">
                  <c:v>5496.96</c:v>
                </c:pt>
                <c:pt idx="2">
                  <c:v>2633.96</c:v>
                </c:pt>
                <c:pt idx="3">
                  <c:v>1030.68</c:v>
                </c:pt>
                <c:pt idx="4">
                  <c:v>1717.8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10-4574-A4C9-F8ABBE711BA9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(Revenue!$D$156,Revenue!$D$159:$D$162)</c:f>
              <c:numCache>
                <c:formatCode>_(* #,##0_);_(* \(#,##0\);_(* \-??_);_(@_)</c:formatCode>
                <c:ptCount val="5"/>
                <c:pt idx="0">
                  <c:v>4804.6719999999996</c:v>
                </c:pt>
                <c:pt idx="1">
                  <c:v>6011</c:v>
                </c:pt>
                <c:pt idx="2">
                  <c:v>2878</c:v>
                </c:pt>
                <c:pt idx="3">
                  <c:v>993</c:v>
                </c:pt>
                <c:pt idx="4">
                  <c:v>2119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10-4574-A4C9-F8ABBE711BA9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(Revenue!$E$156,Revenue!$E$159:$E$162)</c:f>
              <c:numCache>
                <c:formatCode>_(* #,##0_);_(* \(#,##0\);_(* \-??_);_(@_)</c:formatCode>
                <c:ptCount val="5"/>
                <c:pt idx="0">
                  <c:v>6196</c:v>
                </c:pt>
                <c:pt idx="1">
                  <c:v>6332</c:v>
                </c:pt>
                <c:pt idx="2">
                  <c:v>4369</c:v>
                </c:pt>
                <c:pt idx="3">
                  <c:v>1144</c:v>
                </c:pt>
                <c:pt idx="4">
                  <c:v>2696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10-4574-A4C9-F8ABBE711BA9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(Revenue!$F$156,Revenue!$F$159:$F$162)</c:f>
              <c:numCache>
                <c:formatCode>_(* #,##0_);_(* \(#,##0\);_(* \-??_);_(@_)</c:formatCode>
                <c:ptCount val="5"/>
                <c:pt idx="0">
                  <c:v>6847</c:v>
                </c:pt>
                <c:pt idx="1">
                  <c:v>7342</c:v>
                </c:pt>
                <c:pt idx="2">
                  <c:v>6550</c:v>
                </c:pt>
                <c:pt idx="3">
                  <c:v>1366</c:v>
                </c:pt>
                <c:pt idx="4">
                  <c:v>3677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10-4574-A4C9-F8ABBE711BA9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(Revenue!$G$156,Revenue!$G$159:$G$162)</c:f>
              <c:numCache>
                <c:formatCode>_(* #,##0_);_(* \(#,##0\);_(* \-??_);_(@_)</c:formatCode>
                <c:ptCount val="5"/>
                <c:pt idx="0">
                  <c:v>7161.0559999999996</c:v>
                </c:pt>
                <c:pt idx="1">
                  <c:v>9324</c:v>
                </c:pt>
                <c:pt idx="2">
                  <c:v>7115</c:v>
                </c:pt>
                <c:pt idx="3">
                  <c:v>1736</c:v>
                </c:pt>
                <c:pt idx="4">
                  <c:v>6113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10-4574-A4C9-F8ABBE711BA9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(Revenue!$H$156,Revenue!$H$159:$H$162)</c:f>
              <c:numCache>
                <c:formatCode>_(* #,##0_);_(* \(#,##0\);_(* \-??_);_(@_)</c:formatCode>
                <c:ptCount val="5"/>
                <c:pt idx="0">
                  <c:v>8157</c:v>
                </c:pt>
                <c:pt idx="1">
                  <c:v>12325</c:v>
                </c:pt>
                <c:pt idx="2">
                  <c:v>7751</c:v>
                </c:pt>
                <c:pt idx="3">
                  <c:v>2636</c:v>
                </c:pt>
                <c:pt idx="4">
                  <c:v>8240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010-4574-A4C9-F8ABBE711BA9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(Revenue!$N$156,Revenue!$N$159:$N$162)</c:f>
              <c:numCache>
                <c:formatCode>_(* #,##0_);_(* \(#,##0\);_(* \-??_);_(@_)</c:formatCode>
                <c:ptCount val="5"/>
                <c:pt idx="0">
                  <c:v>8617</c:v>
                </c:pt>
                <c:pt idx="1">
                  <c:v>12325</c:v>
                </c:pt>
                <c:pt idx="2">
                  <c:v>7751</c:v>
                </c:pt>
                <c:pt idx="3">
                  <c:v>2636</c:v>
                </c:pt>
                <c:pt idx="4">
                  <c:v>8240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010-4574-A4C9-F8ABBE711BA9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(Revenue!$J$156,Revenue!$J$159:$J$162)</c:f>
              <c:numCache>
                <c:formatCode>_(* #,##0_);_(* \(#,##0\);_(* \-??_);_(@_)</c:formatCode>
                <c:ptCount val="5"/>
                <c:pt idx="0">
                  <c:v>10184.160000000002</c:v>
                </c:pt>
                <c:pt idx="1">
                  <c:v>18851.439999999999</c:v>
                </c:pt>
                <c:pt idx="2">
                  <c:v>8734.41</c:v>
                </c:pt>
                <c:pt idx="3">
                  <c:v>4239.74</c:v>
                </c:pt>
                <c:pt idx="4">
                  <c:v>8745.11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010-4574-A4C9-F8ABBE711BA9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(Revenue!$K$156,Revenue!$K$159:$K$162)</c:f>
              <c:numCache>
                <c:formatCode>_(* #,##0_);_(* \(#,##0\);_(* \-??_);_(@_)</c:formatCode>
                <c:ptCount val="5"/>
                <c:pt idx="0">
                  <c:v>11406.259200000002</c:v>
                </c:pt>
                <c:pt idx="1">
                  <c:v>23187.271199999999</c:v>
                </c:pt>
                <c:pt idx="2">
                  <c:v>9607.8510000000006</c:v>
                </c:pt>
                <c:pt idx="3">
                  <c:v>5087.6879999999992</c:v>
                </c:pt>
                <c:pt idx="4">
                  <c:v>9444.7188000000006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010-4574-A4C9-F8ABBE711BA9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(Revenue!$L$156,Revenue!$L$159:$L$162)</c:f>
              <c:numCache>
                <c:formatCode>_(* #,##0_);_(* \(#,##0\);_(* \-??_);_(@_)</c:formatCode>
                <c:ptCount val="5"/>
                <c:pt idx="0">
                  <c:v>12775.010304000003</c:v>
                </c:pt>
                <c:pt idx="1">
                  <c:v>28520.343575999999</c:v>
                </c:pt>
                <c:pt idx="2">
                  <c:v>10568.636100000002</c:v>
                </c:pt>
                <c:pt idx="3">
                  <c:v>6206.9793599999985</c:v>
                </c:pt>
                <c:pt idx="4">
                  <c:v>10389.190680000002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010-4574-A4C9-F8ABBE711BA9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(Revenue!$M$156,Revenue!$M$159:$M$162)</c:f>
              <c:numCache>
                <c:formatCode>_(* #,##0_);_(* \(#,##0\);_(* \-??_);_(@_)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B-C010-4574-A4C9-F8ABBE711BA9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(Revenue!#REF!,Revenue!#REF!)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010-4574-A4C9-F8ABBE711BA9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(Revenue!#REF!,Revenue!#REF!)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010-4574-A4C9-F8ABBE711BA9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(Revenue!$O$156,Revenue!$O$159:$O$162)</c:f>
              <c:numCache>
                <c:formatCode>_(* #,##0_);_(* \(#,##0\);_(* \-??_);_(@_)</c:formatCode>
                <c:ptCount val="5"/>
                <c:pt idx="1">
                  <c:v>9324</c:v>
                </c:pt>
                <c:pt idx="2">
                  <c:v>7115</c:v>
                </c:pt>
                <c:pt idx="3">
                  <c:v>1736</c:v>
                </c:pt>
                <c:pt idx="4">
                  <c:v>6113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010-4574-A4C9-F8ABBE711BA9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(Revenue!$P$156,Revenue!$P$159:$P$162)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F-C010-4574-A4C9-F8ABBE711BA9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(Revenue!$Q$156,Revenue!$Q$159:$Q$162)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0-C010-4574-A4C9-F8ABBE711BA9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(Revenue!$R$156,Revenue!$R$159:$R$162)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1-C010-4574-A4C9-F8ABBE711BA9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(Revenue!$S$156,Revenue!$S$159:$S$162)</c:f>
              <c:numCache>
                <c:formatCode>_(* #,##0_);_(* \(#,##0\);_(* \-??_);_(@_)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2-C010-4574-A4C9-F8ABBE711BA9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(Revenue!$T$156,Revenue!$T$159:$T$162)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010-4574-A4C9-F8ABBE711BA9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(Revenue!$U$156,Revenue!$U$159:$U$162)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4-C010-4574-A4C9-F8ABBE711BA9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(Revenue!$V$156,Revenue!$V$159:$V$162)</c:f>
              <c:numCache>
                <c:formatCode>_(* #,##0_);_(* \(#,##0\);_(* \-??_);_(@_)</c:formatCode>
                <c:ptCount val="5"/>
                <c:pt idx="0" formatCode="General">
                  <c:v>0</c:v>
                </c:pt>
                <c:pt idx="1">
                  <c:v>4223</c:v>
                </c:pt>
                <c:pt idx="2">
                  <c:v>3239</c:v>
                </c:pt>
                <c:pt idx="3">
                  <c:v>809</c:v>
                </c:pt>
                <c:pt idx="4">
                  <c:v>2956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C010-4574-A4C9-F8ABBE711BA9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(Revenue!$W$156,Revenue!$W$159:$W$162)</c:f>
              <c:numCache>
                <c:formatCode>0.0%</c:formatCode>
                <c:ptCount val="5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010-4574-A4C9-F8ABBE711BA9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(Revenue!$X$156,Revenue!$X$159:$X$162)</c:f>
              <c:numCache>
                <c:formatCode>_(* #,##0_);_(* \(#,##0\);_(* \-??_);_(@_)</c:formatCode>
                <c:ptCount val="5"/>
                <c:pt idx="0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C010-4574-A4C9-F8ABBE711BA9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(Revenue!$Y$156,Revenue!$Y$159:$Y$162)</c:f>
              <c:numCache>
                <c:formatCode>0.0%</c:formatCode>
                <c:ptCount val="5"/>
                <c:pt idx="0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10-4574-A4C9-F8ABBE711BA9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(Revenue!$Z$156,Revenue!$Z$159:$Z$162)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9-C010-4574-A4C9-F8ABBE711BA9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(Revenue!$AA$156,Revenue!$AA$159:$AA$162)</c:f>
              <c:numCache>
                <c:formatCode>_(* #,##0_);_(* \(#,##0\);_(* \-??_);_(@_)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A-C010-4574-A4C9-F8ABBE711BA9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(Revenue!$AB$156,Revenue!$AB$159:$AB$162)</c:f>
              <c:numCache>
                <c:formatCode>_(* #,##0_);_(* \(#,##0\);_(* \-??_);_(@_)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B-C010-4574-A4C9-F8ABBE711BA9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(Revenue!$AC$156,Revenue!$AC$159:$AC$162)</c:f>
              <c:numCache>
                <c:formatCode>_(* #,##0_);_(* \(#,##0\);_(* \-??_);_(@_)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C-C010-4574-A4C9-F8ABBE711BA9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(Revenue!$AD$156,Revenue!$AD$159:$AD$162)</c:f>
              <c:numCache>
                <c:formatCode>_(* #,##0_);_(* \(#,##0\);_(* \-??_);_(@_)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D-C010-4574-A4C9-F8ABBE711BA9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(Revenue!$AE$156,Revenue!$AE$159:$AE$162)</c:f>
              <c:numCache>
                <c:formatCode>_(* #,##0_);_(* \(#,##0\);_(* \-??_);_(@_)</c:formatCode>
                <c:ptCount val="5"/>
                <c:pt idx="0">
                  <c:v>703.28499999999997</c:v>
                </c:pt>
                <c:pt idx="1">
                  <c:v>1518</c:v>
                </c:pt>
                <c:pt idx="2">
                  <c:v>675</c:v>
                </c:pt>
                <c:pt idx="3">
                  <c:v>248</c:v>
                </c:pt>
                <c:pt idx="4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C010-4574-A4C9-F8ABBE711BA9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(Revenue!$AF$156,Revenue!$AF$159:$AF$162)</c:f>
              <c:numCache>
                <c:formatCode>_(* #,##0_);_(* \(#,##0\);_(* \-??_);_(@_)</c:formatCode>
                <c:ptCount val="5"/>
                <c:pt idx="0">
                  <c:v>1013.7700000000001</c:v>
                </c:pt>
                <c:pt idx="1">
                  <c:v>1514</c:v>
                </c:pt>
                <c:pt idx="2">
                  <c:v>668</c:v>
                </c:pt>
                <c:pt idx="3">
                  <c:v>259</c:v>
                </c:pt>
                <c:pt idx="4">
                  <c:v>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C010-4574-A4C9-F8ABBE711BA9}"/>
            </c:ext>
          </c:extLst>
        </c:ser>
        <c:ser>
          <c:idx val="32"/>
          <c:order val="32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(Revenue!$AG$156,Revenue!$AG$159:$AG$162)</c:f>
              <c:numCache>
                <c:formatCode>_(* #,##0_);_(* \(#,##0\);_(* \-??_);_(@_)</c:formatCode>
                <c:ptCount val="5"/>
                <c:pt idx="0">
                  <c:v>1215.213</c:v>
                </c:pt>
                <c:pt idx="1">
                  <c:v>1493</c:v>
                </c:pt>
                <c:pt idx="2">
                  <c:v>727</c:v>
                </c:pt>
                <c:pt idx="3">
                  <c:v>227</c:v>
                </c:pt>
                <c:pt idx="4">
                  <c:v>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C010-4574-A4C9-F8ABBE711BA9}"/>
            </c:ext>
          </c:extLst>
        </c:ser>
        <c:ser>
          <c:idx val="33"/>
          <c:order val="33"/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(Revenue!$AH$156,Revenue!$AH$159:$AH$162)</c:f>
              <c:numCache>
                <c:formatCode>_(* #,##0_);_(* \(#,##0\);_(* \-??_);_(@_)</c:formatCode>
                <c:ptCount val="5"/>
                <c:pt idx="0">
                  <c:v>1872.4039999999995</c:v>
                </c:pt>
                <c:pt idx="1">
                  <c:v>1486</c:v>
                </c:pt>
                <c:pt idx="2">
                  <c:v>808</c:v>
                </c:pt>
                <c:pt idx="3">
                  <c:v>259</c:v>
                </c:pt>
                <c:pt idx="4">
                  <c:v>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C010-4574-A4C9-F8ABBE711BA9}"/>
            </c:ext>
          </c:extLst>
        </c:ser>
        <c:ser>
          <c:idx val="34"/>
          <c:order val="34"/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(Revenue!$AI$156,Revenue!$AI$159:$AI$162)</c:f>
              <c:numCache>
                <c:formatCode>_(* #,##0_);_(* \(#,##0\);_(* \-??_);_(@_)</c:formatCode>
                <c:ptCount val="5"/>
                <c:pt idx="0">
                  <c:v>1007.953</c:v>
                </c:pt>
                <c:pt idx="1">
                  <c:v>1553.0050200000001</c:v>
                </c:pt>
                <c:pt idx="2">
                  <c:v>855.73746000000006</c:v>
                </c:pt>
                <c:pt idx="3">
                  <c:v>253.55184</c:v>
                </c:pt>
                <c:pt idx="4">
                  <c:v>507.10367999999994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C010-4574-A4C9-F8ABBE711BA9}"/>
            </c:ext>
          </c:extLst>
        </c:ser>
        <c:ser>
          <c:idx val="35"/>
          <c:order val="35"/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(Revenue!$AJ$156,Revenue!$AJ$159:$AJ$162)</c:f>
              <c:numCache>
                <c:formatCode>_(* #,##0_);_(* \(#,##0\);_(* \-??_);_(@_)</c:formatCode>
                <c:ptCount val="5"/>
                <c:pt idx="0">
                  <c:v>1455.7750000000001</c:v>
                </c:pt>
                <c:pt idx="1">
                  <c:v>1560.9949799999999</c:v>
                </c:pt>
                <c:pt idx="2">
                  <c:v>1038.2625399999999</c:v>
                </c:pt>
                <c:pt idx="3">
                  <c:v>283.44816000000003</c:v>
                </c:pt>
                <c:pt idx="4">
                  <c:v>630.89632000000006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C010-4574-A4C9-F8ABBE711BA9}"/>
            </c:ext>
          </c:extLst>
        </c:ser>
        <c:ser>
          <c:idx val="36"/>
          <c:order val="36"/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(Revenue!$AK$156,Revenue!$AK$159:$AK$162)</c:f>
              <c:numCache>
                <c:formatCode>_(* #,##0_);_(* \(#,##0\);_(* \-??_);_(@_)</c:formatCode>
                <c:ptCount val="5"/>
                <c:pt idx="0">
                  <c:v>1505.9189999999999</c:v>
                </c:pt>
                <c:pt idx="1">
                  <c:v>1634</c:v>
                </c:pt>
                <c:pt idx="2">
                  <c:v>1191</c:v>
                </c:pt>
                <c:pt idx="3">
                  <c:v>283</c:v>
                </c:pt>
                <c:pt idx="4">
                  <c:v>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C010-4574-A4C9-F8ABBE711BA9}"/>
            </c:ext>
          </c:extLst>
        </c:ser>
        <c:ser>
          <c:idx val="37"/>
          <c:order val="37"/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(Revenue!$AL$156,Revenue!$AL$159:$AL$162)</c:f>
              <c:numCache>
                <c:formatCode>_(* #,##0_);_(* \(#,##0\);_(* \-??_);_(@_)</c:formatCode>
                <c:ptCount val="5"/>
                <c:pt idx="0">
                  <c:v>2361.7960000000003</c:v>
                </c:pt>
                <c:pt idx="1">
                  <c:v>1584</c:v>
                </c:pt>
                <c:pt idx="2">
                  <c:v>1284</c:v>
                </c:pt>
                <c:pt idx="3">
                  <c:v>324</c:v>
                </c:pt>
                <c:pt idx="4">
                  <c:v>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C010-4574-A4C9-F8ABBE711BA9}"/>
            </c:ext>
          </c:extLst>
        </c:ser>
        <c:ser>
          <c:idx val="38"/>
          <c:order val="38"/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(Revenue!$AM$156,Revenue!$AM$159:$AM$162)</c:f>
              <c:numCache>
                <c:formatCode>_(* #,##0_);_(* \(#,##0\);_(* \-??_);_(@_)</c:formatCode>
                <c:ptCount val="5"/>
                <c:pt idx="0">
                  <c:v>1529.7449999999999</c:v>
                </c:pt>
                <c:pt idx="1">
                  <c:v>1692</c:v>
                </c:pt>
                <c:pt idx="2">
                  <c:v>1363</c:v>
                </c:pt>
                <c:pt idx="3">
                  <c:v>325</c:v>
                </c:pt>
                <c:pt idx="4">
                  <c:v>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C010-4574-A4C9-F8ABBE711BA9}"/>
            </c:ext>
          </c:extLst>
        </c:ser>
        <c:ser>
          <c:idx val="39"/>
          <c:order val="39"/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(Revenue!$AN$156,Revenue!$AN$159:$AN$162)</c:f>
              <c:numCache>
                <c:formatCode>_(* #,##0_);_(* \(#,##0\);_(* \-??_);_(@_)</c:formatCode>
                <c:ptCount val="5"/>
                <c:pt idx="0">
                  <c:v>1202.672</c:v>
                </c:pt>
                <c:pt idx="1">
                  <c:v>1683</c:v>
                </c:pt>
                <c:pt idx="2">
                  <c:v>1448</c:v>
                </c:pt>
                <c:pt idx="3">
                  <c:v>341</c:v>
                </c:pt>
                <c:pt idx="4">
                  <c:v>1039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C010-4574-A4C9-F8ABBE711BA9}"/>
            </c:ext>
          </c:extLst>
        </c:ser>
        <c:ser>
          <c:idx val="40"/>
          <c:order val="40"/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(Revenue!$AO$156,Revenue!$AO$159:$AO$162)</c:f>
              <c:numCache>
                <c:formatCode>_(* #,##0_);_(* \(#,##0\);_(* \-??_);_(@_)</c:formatCode>
                <c:ptCount val="5"/>
                <c:pt idx="0">
                  <c:v>1706.9580000000001</c:v>
                </c:pt>
                <c:pt idx="1">
                  <c:v>1945</c:v>
                </c:pt>
                <c:pt idx="2">
                  <c:v>1581</c:v>
                </c:pt>
                <c:pt idx="3">
                  <c:v>346</c:v>
                </c:pt>
                <c:pt idx="4">
                  <c:v>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C010-4574-A4C9-F8ABBE711BA9}"/>
            </c:ext>
          </c:extLst>
        </c:ser>
        <c:ser>
          <c:idx val="41"/>
          <c:order val="41"/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(Revenue!$AP$156,Revenue!$AP$159:$AP$162)</c:f>
              <c:numCache>
                <c:formatCode>_(* #,##0_);_(* \(#,##0\);_(* \-??_);_(@_)</c:formatCode>
                <c:ptCount val="5"/>
                <c:pt idx="0">
                  <c:v>2408.0330000000004</c:v>
                </c:pt>
                <c:pt idx="1">
                  <c:v>2022</c:v>
                </c:pt>
                <c:pt idx="2">
                  <c:v>2158</c:v>
                </c:pt>
                <c:pt idx="3">
                  <c:v>354</c:v>
                </c:pt>
                <c:pt idx="4">
                  <c:v>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C010-4574-A4C9-F8ABBE711BA9}"/>
            </c:ext>
          </c:extLst>
        </c:ser>
        <c:ser>
          <c:idx val="42"/>
          <c:order val="42"/>
          <c:tx>
            <c:strRef>
              <c:f>Revenue!$AQ$1</c:f>
              <c:strCache>
                <c:ptCount val="1"/>
                <c:pt idx="0">
                  <c:v>1Q23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(Revenue!$AQ$156,Revenue!$AQ$159:$AQ$162)</c:f>
              <c:numCache>
                <c:formatCode>_(* #,##0_);_(* \(#,##0\);_(* \-??_);_(@_)</c:formatCode>
                <c:ptCount val="5"/>
                <c:pt idx="0">
                  <c:v>1407</c:v>
                </c:pt>
                <c:pt idx="1">
                  <c:v>2019</c:v>
                </c:pt>
                <c:pt idx="2">
                  <c:v>1606</c:v>
                </c:pt>
                <c:pt idx="3">
                  <c:v>384</c:v>
                </c:pt>
                <c:pt idx="4">
                  <c:v>1426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C010-4574-A4C9-F8ABBE711BA9}"/>
            </c:ext>
          </c:extLst>
        </c:ser>
        <c:ser>
          <c:idx val="43"/>
          <c:order val="43"/>
          <c:tx>
            <c:strRef>
              <c:f>Revenue!$AR$1</c:f>
              <c:strCache>
                <c:ptCount val="1"/>
                <c:pt idx="0">
                  <c:v>2Q23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(Revenue!$AR$156,Revenue!$AR$159:$AR$162)</c:f>
              <c:numCache>
                <c:formatCode>_(* #,##0_);_(* \(#,##0\);_(* \-??_);_(@_)</c:formatCode>
                <c:ptCount val="5"/>
                <c:pt idx="0">
                  <c:v>1568</c:v>
                </c:pt>
                <c:pt idx="1">
                  <c:v>2204</c:v>
                </c:pt>
                <c:pt idx="2">
                  <c:v>1633</c:v>
                </c:pt>
                <c:pt idx="3">
                  <c:v>425</c:v>
                </c:pt>
                <c:pt idx="4">
                  <c:v>1530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C010-4574-A4C9-F8ABBE711BA9}"/>
            </c:ext>
          </c:extLst>
        </c:ser>
        <c:ser>
          <c:idx val="44"/>
          <c:order val="44"/>
          <c:tx>
            <c:strRef>
              <c:f>Revenue!$AS$1</c:f>
              <c:strCache>
                <c:ptCount val="1"/>
                <c:pt idx="0">
                  <c:v>3Q23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(Revenue!$AS$156,Revenue!$AS$159:$AS$162)</c:f>
              <c:numCache>
                <c:formatCode>_(* #,##0_);_(* \(#,##0\);_(* \-??_);_(@_)</c:formatCode>
                <c:ptCount val="5"/>
                <c:pt idx="0">
                  <c:v>1916</c:v>
                </c:pt>
                <c:pt idx="1">
                  <c:v>2612</c:v>
                </c:pt>
                <c:pt idx="2">
                  <c:v>1776</c:v>
                </c:pt>
                <c:pt idx="3">
                  <c:v>451</c:v>
                </c:pt>
                <c:pt idx="4">
                  <c:v>1561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C010-4574-A4C9-F8ABBE711BA9}"/>
            </c:ext>
          </c:extLst>
        </c:ser>
        <c:ser>
          <c:idx val="45"/>
          <c:order val="45"/>
          <c:tx>
            <c:strRef>
              <c:f>Revenue!$AT$1</c:f>
              <c:strCache>
                <c:ptCount val="1"/>
                <c:pt idx="0">
                  <c:v>4Q23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(Revenue!$AT$156,Revenue!$AT$159:$AT$162)</c:f>
              <c:numCache>
                <c:formatCode>_(* #,##0_);_(* \(#,##0\);_(* \-??_);_(@_)</c:formatCode>
                <c:ptCount val="5"/>
                <c:pt idx="0">
                  <c:v>2270</c:v>
                </c:pt>
                <c:pt idx="1">
                  <c:v>2489</c:v>
                </c:pt>
                <c:pt idx="2">
                  <c:v>2100</c:v>
                </c:pt>
                <c:pt idx="3">
                  <c:v>476</c:v>
                </c:pt>
                <c:pt idx="4">
                  <c:v>1596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C010-4574-A4C9-F8ABBE711BA9}"/>
            </c:ext>
          </c:extLst>
        </c:ser>
        <c:ser>
          <c:idx val="46"/>
          <c:order val="46"/>
          <c:tx>
            <c:strRef>
              <c:f>Revenue!$AU$1</c:f>
              <c:strCache>
                <c:ptCount val="1"/>
                <c:pt idx="0">
                  <c:v>1Q24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(Revenue!$AU$156,Revenue!$AU$159:$AU$162)</c:f>
              <c:numCache>
                <c:formatCode>_(* #,##0_);_(* \(#,##0\);_(* \-??_);_(@_)</c:formatCode>
                <c:ptCount val="5"/>
                <c:pt idx="0">
                  <c:v>1472</c:v>
                </c:pt>
                <c:pt idx="1">
                  <c:v>2695</c:v>
                </c:pt>
                <c:pt idx="2">
                  <c:v>1858</c:v>
                </c:pt>
                <c:pt idx="3">
                  <c:v>552</c:v>
                </c:pt>
                <c:pt idx="4">
                  <c:v>1895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C010-4574-A4C9-F8ABBE711BA9}"/>
            </c:ext>
          </c:extLst>
        </c:ser>
        <c:ser>
          <c:idx val="47"/>
          <c:order val="47"/>
          <c:tx>
            <c:strRef>
              <c:f>Revenue!$AV$1</c:f>
              <c:strCache>
                <c:ptCount val="1"/>
                <c:pt idx="0">
                  <c:v>2Q24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(Revenue!$AV$156,Revenue!$AV$159:$AV$162)</c:f>
              <c:numCache>
                <c:formatCode>_(* #,##0_);_(* \(#,##0\);_(* \-??_);_(@_)</c:formatCode>
                <c:ptCount val="5"/>
                <c:pt idx="0">
                  <c:v>2032</c:v>
                </c:pt>
                <c:pt idx="1">
                  <c:v>3017</c:v>
                </c:pt>
                <c:pt idx="2">
                  <c:v>1861</c:v>
                </c:pt>
                <c:pt idx="3">
                  <c:v>692</c:v>
                </c:pt>
                <c:pt idx="4">
                  <c:v>2003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C010-4574-A4C9-F8ABBE711BA9}"/>
            </c:ext>
          </c:extLst>
        </c:ser>
        <c:ser>
          <c:idx val="48"/>
          <c:order val="48"/>
          <c:tx>
            <c:strRef>
              <c:f>Revenue!$AW$1</c:f>
              <c:strCache>
                <c:ptCount val="1"/>
                <c:pt idx="0">
                  <c:v>3Q24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(Revenue!$AW$156,Revenue!$AW$159:$AW$162)</c:f>
              <c:numCache>
                <c:formatCode>_(* #,##0_);_(* \(#,##0\);_(* \-??_);_(@_)</c:formatCode>
                <c:ptCount val="5"/>
                <c:pt idx="0">
                  <c:v>1792</c:v>
                </c:pt>
                <c:pt idx="1">
                  <c:v>3205</c:v>
                </c:pt>
                <c:pt idx="2">
                  <c:v>1944</c:v>
                </c:pt>
                <c:pt idx="3">
                  <c:v>690</c:v>
                </c:pt>
                <c:pt idx="4">
                  <c:v>2256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C010-4574-A4C9-F8ABBE711BA9}"/>
            </c:ext>
          </c:extLst>
        </c:ser>
        <c:ser>
          <c:idx val="49"/>
          <c:order val="49"/>
          <c:tx>
            <c:strRef>
              <c:f>Revenue!$AX$1</c:f>
              <c:strCache>
                <c:ptCount val="1"/>
                <c:pt idx="0">
                  <c:v>4Q24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(Revenue!$AX$156,Revenue!$AX$159:$AX$162)</c:f>
              <c:numCache>
                <c:formatCode>_(* #,##0_);_(* \(#,##0\);_(* \-??_);_(@_)</c:formatCode>
                <c:ptCount val="5"/>
                <c:pt idx="0">
                  <c:v>2861</c:v>
                </c:pt>
                <c:pt idx="1">
                  <c:v>3408</c:v>
                </c:pt>
                <c:pt idx="2">
                  <c:v>2088</c:v>
                </c:pt>
                <c:pt idx="3">
                  <c:v>702</c:v>
                </c:pt>
                <c:pt idx="4">
                  <c:v>2086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C010-4574-A4C9-F8ABBE711BA9}"/>
            </c:ext>
          </c:extLst>
        </c:ser>
        <c:ser>
          <c:idx val="50"/>
          <c:order val="50"/>
          <c:tx>
            <c:strRef>
              <c:f>Revenue!$AY$1</c:f>
              <c:strCache>
                <c:ptCount val="1"/>
                <c:pt idx="0">
                  <c:v>1Q25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(Revenue!$AY$156,Revenue!$AY$159:$AY$162)</c:f>
              <c:numCache>
                <c:formatCode>_(* #,##0_);_(* \(#,##0\);_(* \-??_);_(@_)</c:formatCode>
                <c:ptCount val="5"/>
                <c:pt idx="0">
                  <c:v>1583</c:v>
                </c:pt>
                <c:pt idx="1">
                  <c:v>3514</c:v>
                </c:pt>
                <c:pt idx="2">
                  <c:v>2002</c:v>
                </c:pt>
                <c:pt idx="3">
                  <c:v>688</c:v>
                </c:pt>
                <c:pt idx="4">
                  <c:v>1982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C010-4574-A4C9-F8ABBE711BA9}"/>
            </c:ext>
          </c:extLst>
        </c:ser>
        <c:ser>
          <c:idx val="51"/>
          <c:order val="51"/>
          <c:tx>
            <c:strRef>
              <c:f>Revenue!$AZ$1</c:f>
              <c:strCache>
                <c:ptCount val="1"/>
                <c:pt idx="0">
                  <c:v>2Q25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(Revenue!$AZ$156,Revenue!$AZ$159:$AZ$162)</c:f>
              <c:numCache>
                <c:formatCode>_(* #,##0_);_(* \(#,##0\);_(* \-??_);_(@_)</c:formatCode>
                <c:ptCount val="5"/>
                <c:pt idx="0">
                  <c:v>1876</c:v>
                </c:pt>
                <c:pt idx="1">
                  <c:v>3806</c:v>
                </c:pt>
                <c:pt idx="2">
                  <c:v>2023</c:v>
                </c:pt>
                <c:pt idx="3">
                  <c:v>870</c:v>
                </c:pt>
                <c:pt idx="4">
                  <c:v>1784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C010-4574-A4C9-F8ABBE711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5684783"/>
        <c:axId val="1455682863"/>
      </c:barChart>
      <c:catAx>
        <c:axId val="1455684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1455682863"/>
        <c:crosses val="autoZero"/>
        <c:auto val="1"/>
        <c:lblAlgn val="ctr"/>
        <c:lblOffset val="100"/>
        <c:noMultiLvlLbl val="0"/>
      </c:catAx>
      <c:valAx>
        <c:axId val="1455682863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1455684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071561341027655"/>
          <c:y val="0.77949417794097431"/>
          <c:w val="0.62489873950941321"/>
          <c:h val="0.183099338268501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6.0773480662983423E-2"/>
          <c:w val="0.95957615520789774"/>
          <c:h val="0.69100235421391998"/>
        </c:manualLayout>
      </c:layout>
      <c:barChart>
        <c:barDir val="col"/>
        <c:grouping val="clustered"/>
        <c:varyColors val="0"/>
        <c:ser>
          <c:idx val="0"/>
          <c:order val="0"/>
          <c:tx>
            <c:v>6M24 YoY</c:v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(Revenue!$B$19,Revenue!$B$21:$B$22,Revenue!$B$24:$B$26)</c:f>
              <c:strCache>
                <c:ptCount val="6"/>
                <c:pt idx="0">
                  <c:v> Tổng </c:v>
                </c:pt>
                <c:pt idx="1">
                  <c:v> CNTT nước ngoài </c:v>
                </c:pt>
                <c:pt idx="2">
                  <c:v> CNTT trong nước </c:v>
                </c:pt>
                <c:pt idx="3">
                  <c:v> Viễn thông </c:v>
                </c:pt>
                <c:pt idx="4">
                  <c:v> Quảng cáo online </c:v>
                </c:pt>
                <c:pt idx="5">
                  <c:v> Giáo dục </c:v>
                </c:pt>
              </c:strCache>
            </c:strRef>
          </c:cat>
          <c:val>
            <c:numRef>
              <c:f>(Revenue!$BE$19,Revenue!$BE$21:$BE$22,Revenue!$BE$24:$BE$26)</c:f>
              <c:numCache>
                <c:formatCode>0.0%</c:formatCode>
                <c:ptCount val="6"/>
                <c:pt idx="0">
                  <c:v>0.21401969709509228</c:v>
                </c:pt>
                <c:pt idx="1">
                  <c:v>0.29803153113031078</c:v>
                </c:pt>
                <c:pt idx="2">
                  <c:v>0.17781512605042016</c:v>
                </c:pt>
                <c:pt idx="3">
                  <c:v>7.3151017108985528E-2</c:v>
                </c:pt>
                <c:pt idx="4">
                  <c:v>7.3359073359073435E-2</c:v>
                </c:pt>
                <c:pt idx="5">
                  <c:v>0.32266549758877683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5629-4C92-B022-525DC508984E}"/>
            </c:ext>
          </c:extLst>
        </c:ser>
        <c:ser>
          <c:idx val="1"/>
          <c:order val="1"/>
          <c:tx>
            <c:v>6M25 YoY</c:v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5.9970071081182193E-2"/>
                  <c:y val="-8.40496802540567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629-4C92-B022-525DC50898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(Revenue!$B$19,Revenue!$B$21:$B$22,Revenue!$B$24:$B$26)</c:f>
              <c:strCache>
                <c:ptCount val="6"/>
                <c:pt idx="0">
                  <c:v> Tổng </c:v>
                </c:pt>
                <c:pt idx="1">
                  <c:v> CNTT nước ngoài </c:v>
                </c:pt>
                <c:pt idx="2">
                  <c:v> CNTT trong nước </c:v>
                </c:pt>
                <c:pt idx="3">
                  <c:v> Viễn thông </c:v>
                </c:pt>
                <c:pt idx="4">
                  <c:v> Quảng cáo online </c:v>
                </c:pt>
                <c:pt idx="5">
                  <c:v> Giáo dục </c:v>
                </c:pt>
              </c:strCache>
            </c:strRef>
          </c:cat>
          <c:val>
            <c:numRef>
              <c:f>(Revenue!$BI$19,Revenue!$BI$21:$BI$22,Revenue!$BI$24:$BI$26)</c:f>
              <c:numCache>
                <c:formatCode>0.0%</c:formatCode>
                <c:ptCount val="6"/>
                <c:pt idx="0">
                  <c:v>0.11401595200763515</c:v>
                </c:pt>
                <c:pt idx="1">
                  <c:v>0.14382762643244362</c:v>
                </c:pt>
                <c:pt idx="2">
                  <c:v>-1.2842465753424626E-2</c:v>
                </c:pt>
                <c:pt idx="3">
                  <c:v>0.13356766256590502</c:v>
                </c:pt>
                <c:pt idx="4">
                  <c:v>0.17625899280575541</c:v>
                </c:pt>
                <c:pt idx="5">
                  <c:v>5.9993370898243192E-2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2-5629-4C92-B022-525DC508984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99542223"/>
        <c:axId val="1399532623"/>
      </c:barChart>
      <c:catAx>
        <c:axId val="139954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KR"/>
          </a:p>
        </c:txPr>
        <c:crossAx val="1399532623"/>
        <c:crosses val="autoZero"/>
        <c:auto val="1"/>
        <c:lblAlgn val="ctr"/>
        <c:lblOffset val="100"/>
        <c:noMultiLvlLbl val="0"/>
      </c:catAx>
      <c:valAx>
        <c:axId val="1399532623"/>
        <c:scaling>
          <c:orientation val="minMax"/>
        </c:scaling>
        <c:delete val="1"/>
        <c:axPos val="l"/>
        <c:numFmt formatCode="0%" sourceLinked="0"/>
        <c:majorTickMark val="none"/>
        <c:minorTickMark val="none"/>
        <c:tickLblPos val="nextTo"/>
        <c:crossAx val="1399542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860760480325452"/>
          <c:y val="0.89238046063914145"/>
          <c:w val="0.55232600493756101"/>
          <c:h val="0.107619539360858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+mn-cs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Noto Sans" panose="020B0502040504020204" pitchFamily="34" charset="0"/>
          <a:ea typeface="Noto Sans" panose="020B0502040504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071101100389714E-2"/>
          <c:y val="3.4679241881184122E-3"/>
          <c:w val="0.9691951795765813"/>
          <c:h val="0.80707635588188664"/>
        </c:manualLayout>
      </c:layout>
      <c:barChart>
        <c:barDir val="col"/>
        <c:grouping val="clustered"/>
        <c:varyColors val="0"/>
        <c:ser>
          <c:idx val="0"/>
          <c:order val="0"/>
          <c:tx>
            <c:v>6M24 YoY</c:v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2963568354839779E-2"/>
                      <c:h val="9.893407027240426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C623-4B13-AB23-10EC47AC4F93}"/>
                </c:ext>
              </c:extLst>
            </c:dLbl>
            <c:dLbl>
              <c:idx val="1"/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2963568354839779E-2"/>
                      <c:h val="9.893407027240426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C623-4B13-AB23-10EC47AC4F93}"/>
                </c:ext>
              </c:extLst>
            </c:dLbl>
            <c:dLbl>
              <c:idx val="2"/>
              <c:layout>
                <c:manualLayout>
                  <c:x val="-1.4735678762202983E-2"/>
                  <c:y val="0.2044527201569207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7529931847485726E-2"/>
                      <c:h val="9.893407027240426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C623-4B13-AB23-10EC47AC4F93}"/>
                </c:ext>
              </c:extLst>
            </c:dLbl>
            <c:dLbl>
              <c:idx val="3"/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2963568354839779E-2"/>
                      <c:h val="9.893407027240426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C623-4B13-AB23-10EC47AC4F93}"/>
                </c:ext>
              </c:extLst>
            </c:dLbl>
            <c:dLbl>
              <c:idx val="4"/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2963568354839779E-2"/>
                      <c:h val="9.893407027240426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C623-4B13-AB23-10EC47AC4F93}"/>
                </c:ext>
              </c:extLst>
            </c:dLbl>
            <c:dLbl>
              <c:idx val="5"/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2963568354839779E-2"/>
                      <c:h val="9.893407027240426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C623-4B13-AB23-10EC47AC4F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0" anchor="ctr" anchorCtr="0">
                <a:no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K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(Revenue!$B$19,Revenue!$B$21:$B$22,Revenue!$B$24:$B$26)</c:f>
              <c:strCache>
                <c:ptCount val="6"/>
                <c:pt idx="0">
                  <c:v> Tổng </c:v>
                </c:pt>
                <c:pt idx="1">
                  <c:v> CNTT nước ngoài </c:v>
                </c:pt>
                <c:pt idx="2">
                  <c:v> CNTT trong nước </c:v>
                </c:pt>
                <c:pt idx="3">
                  <c:v> Viễn thông </c:v>
                </c:pt>
                <c:pt idx="4">
                  <c:v> Quảng cáo online </c:v>
                </c:pt>
                <c:pt idx="5">
                  <c:v> Giáo dục </c:v>
                </c:pt>
              </c:strCache>
            </c:strRef>
          </c:cat>
          <c:val>
            <c:numRef>
              <c:f>(Revenue!$BE$143,Revenue!$BE$145:$BE$146,Revenue!$BE$148:$BE$150)</c:f>
              <c:numCache>
                <c:formatCode>0.0%</c:formatCode>
                <c:ptCount val="6"/>
                <c:pt idx="0">
                  <c:v>0.19774141507259735</c:v>
                </c:pt>
                <c:pt idx="1">
                  <c:v>0.25081788440567077</c:v>
                </c:pt>
                <c:pt idx="2">
                  <c:v>-8.1871345029239762E-2</c:v>
                </c:pt>
                <c:pt idx="3">
                  <c:v>0.15050847457627126</c:v>
                </c:pt>
                <c:pt idx="4">
                  <c:v>0.55000000000000004</c:v>
                </c:pt>
                <c:pt idx="5">
                  <c:v>0.20365853658536581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6-C623-4B13-AB23-10EC47AC4F93}"/>
            </c:ext>
          </c:extLst>
        </c:ser>
        <c:ser>
          <c:idx val="1"/>
          <c:order val="1"/>
          <c:tx>
            <c:v>6M25 YoY</c:v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7.3678393811014917E-3"/>
                  <c:y val="0.1500197394393999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623-4B13-AB23-10EC47AC4F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(Revenue!$B$19,Revenue!$B$21:$B$22,Revenue!$B$24:$B$26)</c:f>
              <c:strCache>
                <c:ptCount val="6"/>
                <c:pt idx="0">
                  <c:v> Tổng </c:v>
                </c:pt>
                <c:pt idx="1">
                  <c:v> CNTT nước ngoài </c:v>
                </c:pt>
                <c:pt idx="2">
                  <c:v> CNTT trong nước </c:v>
                </c:pt>
                <c:pt idx="3">
                  <c:v> Viễn thông </c:v>
                </c:pt>
                <c:pt idx="4">
                  <c:v> Quảng cáo online </c:v>
                </c:pt>
                <c:pt idx="5">
                  <c:v> Giáo dục </c:v>
                </c:pt>
              </c:strCache>
            </c:strRef>
          </c:cat>
          <c:val>
            <c:numRef>
              <c:f>(Revenue!$BI$143,Revenue!$BI$145:$BI$146,Revenue!$BI$148:$BI$150)</c:f>
              <c:numCache>
                <c:formatCode>0.0%</c:formatCode>
                <c:ptCount val="6"/>
                <c:pt idx="0">
                  <c:v>0.18645372330190502</c:v>
                </c:pt>
                <c:pt idx="1">
                  <c:v>0.16870095902353976</c:v>
                </c:pt>
                <c:pt idx="2">
                  <c:v>-1.9108280254777066E-2</c:v>
                </c:pt>
                <c:pt idx="3">
                  <c:v>0.18856806128461989</c:v>
                </c:pt>
                <c:pt idx="4">
                  <c:v>0.27419354838709675</c:v>
                </c:pt>
                <c:pt idx="5">
                  <c:v>0.25227963525835873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8-C623-4B13-AB23-10EC47AC4F9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99542223"/>
        <c:axId val="1399532623"/>
      </c:barChart>
      <c:catAx>
        <c:axId val="139954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KR"/>
          </a:p>
        </c:txPr>
        <c:crossAx val="1399532623"/>
        <c:crosses val="autoZero"/>
        <c:auto val="1"/>
        <c:lblAlgn val="ctr"/>
        <c:lblOffset val="100"/>
        <c:noMultiLvlLbl val="0"/>
      </c:catAx>
      <c:valAx>
        <c:axId val="1399532623"/>
        <c:scaling>
          <c:orientation val="minMax"/>
        </c:scaling>
        <c:delete val="1"/>
        <c:axPos val="l"/>
        <c:numFmt formatCode="0%" sourceLinked="0"/>
        <c:majorTickMark val="none"/>
        <c:minorTickMark val="none"/>
        <c:tickLblPos val="nextTo"/>
        <c:crossAx val="1399542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736054405982452"/>
          <c:y val="0.87879611179672423"/>
          <c:w val="0.54271764009296819"/>
          <c:h val="0.103000705646101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+mn-cs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Noto Sans" panose="020B0502040504020204" pitchFamily="34" charset="0"/>
          <a:ea typeface="Noto Sans" panose="020B0502040504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PL!$BO$2</c:f>
              <c:strCache>
                <c:ptCount val="1"/>
                <c:pt idx="0">
                  <c:v>1Q20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(PL!$BO$39,PL!$BO$45)</c:f>
              <c:extLst/>
            </c:numRef>
          </c:val>
          <c:extLst>
            <c:ext xmlns:c16="http://schemas.microsoft.com/office/drawing/2014/chart" uri="{C3380CC4-5D6E-409C-BE32-E72D297353CC}">
              <c16:uniqueId val="{00000000-506B-4D02-BBB6-559480636091}"/>
            </c:ext>
          </c:extLst>
        </c:ser>
        <c:ser>
          <c:idx val="1"/>
          <c:order val="1"/>
          <c:tx>
            <c:strRef>
              <c:f>PL!$BP$2</c:f>
              <c:strCache>
                <c:ptCount val="1"/>
                <c:pt idx="0">
                  <c:v>2Q20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(PL!$BP$39,PL!$BP$45)</c:f>
              <c:extLst/>
            </c:numRef>
          </c:val>
          <c:extLst>
            <c:ext xmlns:c16="http://schemas.microsoft.com/office/drawing/2014/chart" uri="{C3380CC4-5D6E-409C-BE32-E72D297353CC}">
              <c16:uniqueId val="{00000001-506B-4D02-BBB6-559480636091}"/>
            </c:ext>
          </c:extLst>
        </c:ser>
        <c:ser>
          <c:idx val="2"/>
          <c:order val="2"/>
          <c:tx>
            <c:strRef>
              <c:f>PL!$BQ$2</c:f>
              <c:strCache>
                <c:ptCount val="1"/>
                <c:pt idx="0">
                  <c:v>3Q20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(PL!$BQ$39,PL!$BQ$45)</c:f>
              <c:extLst/>
            </c:numRef>
          </c:val>
          <c:extLst>
            <c:ext xmlns:c16="http://schemas.microsoft.com/office/drawing/2014/chart" uri="{C3380CC4-5D6E-409C-BE32-E72D297353CC}">
              <c16:uniqueId val="{00000002-506B-4D02-BBB6-559480636091}"/>
            </c:ext>
          </c:extLst>
        </c:ser>
        <c:ser>
          <c:idx val="3"/>
          <c:order val="3"/>
          <c:tx>
            <c:strRef>
              <c:f>PL!$BR$2</c:f>
              <c:strCache>
                <c:ptCount val="1"/>
                <c:pt idx="0">
                  <c:v>4Q20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(PL!$BR$39,PL!$BR$45)</c:f>
              <c:extLst/>
            </c:numRef>
          </c:val>
          <c:extLst>
            <c:ext xmlns:c16="http://schemas.microsoft.com/office/drawing/2014/chart" uri="{C3380CC4-5D6E-409C-BE32-E72D297353CC}">
              <c16:uniqueId val="{00000003-506B-4D02-BBB6-559480636091}"/>
            </c:ext>
          </c:extLst>
        </c:ser>
        <c:ser>
          <c:idx val="4"/>
          <c:order val="4"/>
          <c:tx>
            <c:strRef>
              <c:f>PL!$BS$2</c:f>
              <c:strCache>
                <c:ptCount val="1"/>
                <c:pt idx="0">
                  <c:v>1Q21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(PL!$BS$39,PL!$BS$45)</c:f>
              <c:extLst/>
            </c:numRef>
          </c:val>
          <c:extLst>
            <c:ext xmlns:c16="http://schemas.microsoft.com/office/drawing/2014/chart" uri="{C3380CC4-5D6E-409C-BE32-E72D297353CC}">
              <c16:uniqueId val="{00000004-506B-4D02-BBB6-559480636091}"/>
            </c:ext>
          </c:extLst>
        </c:ser>
        <c:ser>
          <c:idx val="5"/>
          <c:order val="5"/>
          <c:tx>
            <c:strRef>
              <c:f>PL!$BT$2</c:f>
              <c:strCache>
                <c:ptCount val="1"/>
                <c:pt idx="0">
                  <c:v>2Q21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(PL!$BT$39,PL!$BT$45)</c:f>
              <c:extLst/>
            </c:numRef>
          </c:val>
          <c:extLst>
            <c:ext xmlns:c16="http://schemas.microsoft.com/office/drawing/2014/chart" uri="{C3380CC4-5D6E-409C-BE32-E72D297353CC}">
              <c16:uniqueId val="{00000005-506B-4D02-BBB6-559480636091}"/>
            </c:ext>
          </c:extLst>
        </c:ser>
        <c:ser>
          <c:idx val="6"/>
          <c:order val="6"/>
          <c:tx>
            <c:strRef>
              <c:f>PL!$BU$2</c:f>
              <c:strCache>
                <c:ptCount val="1"/>
                <c:pt idx="0">
                  <c:v>3Q21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(PL!$BU$39,PL!$BU$45)</c:f>
              <c:extLst/>
            </c:numRef>
          </c:val>
          <c:extLst>
            <c:ext xmlns:c16="http://schemas.microsoft.com/office/drawing/2014/chart" uri="{C3380CC4-5D6E-409C-BE32-E72D297353CC}">
              <c16:uniqueId val="{00000006-506B-4D02-BBB6-559480636091}"/>
            </c:ext>
          </c:extLst>
        </c:ser>
        <c:ser>
          <c:idx val="7"/>
          <c:order val="7"/>
          <c:tx>
            <c:strRef>
              <c:f>PL!$BV$2</c:f>
              <c:strCache>
                <c:ptCount val="1"/>
                <c:pt idx="0">
                  <c:v>4Q21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(PL!$BV$39,PL!$BV$45)</c:f>
              <c:extLst/>
            </c:numRef>
          </c:val>
          <c:extLst>
            <c:ext xmlns:c16="http://schemas.microsoft.com/office/drawing/2014/chart" uri="{C3380CC4-5D6E-409C-BE32-E72D297353CC}">
              <c16:uniqueId val="{00000007-506B-4D02-BBB6-559480636091}"/>
            </c:ext>
          </c:extLst>
        </c:ser>
        <c:ser>
          <c:idx val="8"/>
          <c:order val="8"/>
          <c:tx>
            <c:strRef>
              <c:f>PL!$BW$2</c:f>
              <c:strCache>
                <c:ptCount val="1"/>
                <c:pt idx="0">
                  <c:v>1Q22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(PL!$BW$39,PL!$BW$45)</c:f>
              <c:extLst/>
            </c:numRef>
          </c:val>
          <c:extLst>
            <c:ext xmlns:c16="http://schemas.microsoft.com/office/drawing/2014/chart" uri="{C3380CC4-5D6E-409C-BE32-E72D297353CC}">
              <c16:uniqueId val="{00000008-506B-4D02-BBB6-559480636091}"/>
            </c:ext>
          </c:extLst>
        </c:ser>
        <c:ser>
          <c:idx val="9"/>
          <c:order val="9"/>
          <c:tx>
            <c:strRef>
              <c:f>PL!$BX$2</c:f>
              <c:strCache>
                <c:ptCount val="1"/>
                <c:pt idx="0">
                  <c:v>2Q22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(PL!$BX$39,PL!$BX$45)</c:f>
              <c:extLst/>
            </c:numRef>
          </c:val>
          <c:extLst>
            <c:ext xmlns:c16="http://schemas.microsoft.com/office/drawing/2014/chart" uri="{C3380CC4-5D6E-409C-BE32-E72D297353CC}">
              <c16:uniqueId val="{00000009-506B-4D02-BBB6-559480636091}"/>
            </c:ext>
          </c:extLst>
        </c:ser>
        <c:ser>
          <c:idx val="10"/>
          <c:order val="10"/>
          <c:tx>
            <c:strRef>
              <c:f>PL!$BY$2</c:f>
              <c:strCache>
                <c:ptCount val="1"/>
                <c:pt idx="0">
                  <c:v>3Q22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(PL!$BY$39,PL!$BY$45)</c:f>
              <c:extLst/>
            </c:numRef>
          </c:val>
          <c:extLst>
            <c:ext xmlns:c16="http://schemas.microsoft.com/office/drawing/2014/chart" uri="{C3380CC4-5D6E-409C-BE32-E72D297353CC}">
              <c16:uniqueId val="{0000000A-506B-4D02-BBB6-559480636091}"/>
            </c:ext>
          </c:extLst>
        </c:ser>
        <c:ser>
          <c:idx val="11"/>
          <c:order val="11"/>
          <c:tx>
            <c:strRef>
              <c:f>PL!$BZ$2</c:f>
              <c:strCache>
                <c:ptCount val="1"/>
                <c:pt idx="0">
                  <c:v>4Q22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(PL!$BZ$39,PL!$BZ$45)</c:f>
              <c:extLst/>
            </c:numRef>
          </c:val>
          <c:extLst>
            <c:ext xmlns:c16="http://schemas.microsoft.com/office/drawing/2014/chart" uri="{C3380CC4-5D6E-409C-BE32-E72D297353CC}">
              <c16:uniqueId val="{0000000B-506B-4D02-BBB6-559480636091}"/>
            </c:ext>
          </c:extLst>
        </c:ser>
        <c:ser>
          <c:idx val="12"/>
          <c:order val="12"/>
          <c:tx>
            <c:strRef>
              <c:f>PL!$CA$2</c:f>
              <c:strCache>
                <c:ptCount val="1"/>
                <c:pt idx="0">
                  <c:v>1Q23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(PL!$CA$39,PL!$CA$45)</c:f>
              <c:extLst/>
            </c:numRef>
          </c:val>
          <c:extLst>
            <c:ext xmlns:c16="http://schemas.microsoft.com/office/drawing/2014/chart" uri="{C3380CC4-5D6E-409C-BE32-E72D297353CC}">
              <c16:uniqueId val="{0000000C-506B-4D02-BBB6-559480636091}"/>
            </c:ext>
          </c:extLst>
        </c:ser>
        <c:ser>
          <c:idx val="13"/>
          <c:order val="13"/>
          <c:tx>
            <c:strRef>
              <c:f>PL!$CB$2</c:f>
              <c:strCache>
                <c:ptCount val="1"/>
                <c:pt idx="0">
                  <c:v>2Q23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(PL!$CB$39,PL!$CB$45)</c:f>
              <c:extLst/>
            </c:numRef>
          </c:val>
          <c:extLst>
            <c:ext xmlns:c16="http://schemas.microsoft.com/office/drawing/2014/chart" uri="{C3380CC4-5D6E-409C-BE32-E72D297353CC}">
              <c16:uniqueId val="{0000000D-506B-4D02-BBB6-559480636091}"/>
            </c:ext>
          </c:extLst>
        </c:ser>
        <c:ser>
          <c:idx val="14"/>
          <c:order val="14"/>
          <c:tx>
            <c:strRef>
              <c:f>PL!$CC$2</c:f>
              <c:strCache>
                <c:ptCount val="1"/>
                <c:pt idx="0">
                  <c:v>3Q23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(PL!$CC$39,PL!$CC$45)</c:f>
              <c:extLst/>
            </c:numRef>
          </c:val>
          <c:extLst>
            <c:ext xmlns:c16="http://schemas.microsoft.com/office/drawing/2014/chart" uri="{C3380CC4-5D6E-409C-BE32-E72D297353CC}">
              <c16:uniqueId val="{0000000E-506B-4D02-BBB6-559480636091}"/>
            </c:ext>
          </c:extLst>
        </c:ser>
        <c:ser>
          <c:idx val="15"/>
          <c:order val="15"/>
          <c:tx>
            <c:strRef>
              <c:f>PL!$CD$2</c:f>
              <c:strCache>
                <c:ptCount val="1"/>
                <c:pt idx="0">
                  <c:v>4Q23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(PL!$CD$39,PL!$CD$45)</c:f>
              <c:extLst/>
            </c:numRef>
          </c:val>
          <c:extLst>
            <c:ext xmlns:c16="http://schemas.microsoft.com/office/drawing/2014/chart" uri="{C3380CC4-5D6E-409C-BE32-E72D297353CC}">
              <c16:uniqueId val="{0000000F-506B-4D02-BBB6-559480636091}"/>
            </c:ext>
          </c:extLst>
        </c:ser>
        <c:ser>
          <c:idx val="16"/>
          <c:order val="16"/>
          <c:tx>
            <c:strRef>
              <c:f>PL!$CE$2</c:f>
              <c:strCache>
                <c:ptCount val="1"/>
                <c:pt idx="0">
                  <c:v>1Q24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(PL!$CE$39,PL!$CE$45)</c:f>
              <c:extLst/>
            </c:numRef>
          </c:val>
          <c:extLst>
            <c:ext xmlns:c16="http://schemas.microsoft.com/office/drawing/2014/chart" uri="{C3380CC4-5D6E-409C-BE32-E72D297353CC}">
              <c16:uniqueId val="{00000010-506B-4D02-BBB6-559480636091}"/>
            </c:ext>
          </c:extLst>
        </c:ser>
        <c:ser>
          <c:idx val="17"/>
          <c:order val="17"/>
          <c:tx>
            <c:strRef>
              <c:f>PL!$CF$2</c:f>
              <c:strCache>
                <c:ptCount val="1"/>
                <c:pt idx="0">
                  <c:v>2Q24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(PL!$CF$39,PL!$CF$45)</c:f>
              <c:extLst/>
            </c:numRef>
          </c:val>
          <c:extLst>
            <c:ext xmlns:c16="http://schemas.microsoft.com/office/drawing/2014/chart" uri="{C3380CC4-5D6E-409C-BE32-E72D297353CC}">
              <c16:uniqueId val="{00000011-506B-4D02-BBB6-559480636091}"/>
            </c:ext>
          </c:extLst>
        </c:ser>
        <c:ser>
          <c:idx val="18"/>
          <c:order val="18"/>
          <c:tx>
            <c:strRef>
              <c:f>PL!$CG$2</c:f>
              <c:strCache>
                <c:ptCount val="1"/>
                <c:pt idx="0">
                  <c:v>3Q24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(PL!$CG$39,PL!$CG$45)</c:f>
              <c:extLst/>
            </c:numRef>
          </c:val>
          <c:extLst>
            <c:ext xmlns:c16="http://schemas.microsoft.com/office/drawing/2014/chart" uri="{C3380CC4-5D6E-409C-BE32-E72D297353CC}">
              <c16:uniqueId val="{00000012-506B-4D02-BBB6-559480636091}"/>
            </c:ext>
          </c:extLst>
        </c:ser>
        <c:ser>
          <c:idx val="19"/>
          <c:order val="19"/>
          <c:tx>
            <c:strRef>
              <c:f>PL!$CH$2</c:f>
              <c:strCache>
                <c:ptCount val="1"/>
                <c:pt idx="0">
                  <c:v>4Q24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(PL!$CH$39,PL!$CH$45)</c:f>
              <c:extLst/>
            </c:numRef>
          </c:val>
          <c:extLst>
            <c:ext xmlns:c16="http://schemas.microsoft.com/office/drawing/2014/chart" uri="{C3380CC4-5D6E-409C-BE32-E72D297353CC}">
              <c16:uniqueId val="{00000013-506B-4D02-BBB6-559480636091}"/>
            </c:ext>
          </c:extLst>
        </c:ser>
        <c:ser>
          <c:idx val="20"/>
          <c:order val="20"/>
          <c:tx>
            <c:strRef>
              <c:f>PL!$CI$2</c:f>
              <c:strCache>
                <c:ptCount val="1"/>
                <c:pt idx="0">
                  <c:v>1Q25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(PL!$CI$39,PL!$CI$45)</c:f>
              <c:extLst/>
            </c:numRef>
          </c:val>
          <c:extLst>
            <c:ext xmlns:c16="http://schemas.microsoft.com/office/drawing/2014/chart" uri="{C3380CC4-5D6E-409C-BE32-E72D297353CC}">
              <c16:uniqueId val="{00000014-506B-4D02-BBB6-559480636091}"/>
            </c:ext>
          </c:extLst>
        </c:ser>
        <c:ser>
          <c:idx val="21"/>
          <c:order val="21"/>
          <c:tx>
            <c:strRef>
              <c:f>PL!$CJ$2</c:f>
              <c:strCache>
                <c:ptCount val="1"/>
                <c:pt idx="0">
                  <c:v>2Q25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(PL!$CJ$39,PL!$CJ$45)</c:f>
              <c:extLst/>
            </c:numRef>
          </c:val>
          <c:extLst>
            <c:ext xmlns:c16="http://schemas.microsoft.com/office/drawing/2014/chart" uri="{C3380CC4-5D6E-409C-BE32-E72D297353CC}">
              <c16:uniqueId val="{00000015-506B-4D02-BBB6-559480636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8946064"/>
        <c:axId val="628936464"/>
      </c:barChart>
      <c:catAx>
        <c:axId val="628946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628936464"/>
        <c:crosses val="autoZero"/>
        <c:auto val="1"/>
        <c:lblAlgn val="ctr"/>
        <c:lblOffset val="100"/>
        <c:noMultiLvlLbl val="0"/>
      </c:catAx>
      <c:valAx>
        <c:axId val="628936464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628946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7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r>
              <a:rPr lang="en-US" sz="700"/>
              <a:t>(VNDbn)</a:t>
            </a:r>
          </a:p>
        </c:rich>
      </c:tx>
      <c:layout>
        <c:manualLayout>
          <c:xMode val="edge"/>
          <c:yMode val="edge"/>
          <c:x val="1.4150545996565246E-2"/>
          <c:y val="8.82028665931642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KR"/>
        </a:p>
      </c:txPr>
    </c:title>
    <c:autoTitleDeleted val="0"/>
    <c:plotArea>
      <c:layout>
        <c:manualLayout>
          <c:layoutTarget val="inner"/>
          <c:xMode val="edge"/>
          <c:yMode val="edge"/>
          <c:x val="0.1417664542773904"/>
          <c:y val="0.21613464248611705"/>
          <c:w val="0.71893622724768835"/>
          <c:h val="0.61335254813104256"/>
        </c:manualLayout>
      </c:layout>
      <c:barChart>
        <c:barDir val="col"/>
        <c:grouping val="clustered"/>
        <c:varyColors val="0"/>
        <c:ser>
          <c:idx val="1"/>
          <c:order val="0"/>
          <c:tx>
            <c:v>Doanh thu ký mới (tỷ)</c:v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Charts!$D$47:$H$47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7M25</c:v>
                </c:pt>
              </c:strCache>
            </c:strRef>
          </c:cat>
          <c:val>
            <c:numRef>
              <c:f>Charts!$D$48:$H$48</c:f>
              <c:numCache>
                <c:formatCode>#,##0</c:formatCode>
                <c:ptCount val="5"/>
                <c:pt idx="0">
                  <c:v>15541</c:v>
                </c:pt>
                <c:pt idx="1">
                  <c:v>21594</c:v>
                </c:pt>
                <c:pt idx="2">
                  <c:v>29717</c:v>
                </c:pt>
                <c:pt idx="3">
                  <c:v>33592</c:v>
                </c:pt>
                <c:pt idx="4">
                  <c:v>23370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1F-4DC4-8DD1-D9555B7F2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66310896"/>
        <c:axId val="966333456"/>
      </c:barChart>
      <c:lineChart>
        <c:grouping val="standard"/>
        <c:varyColors val="0"/>
        <c:ser>
          <c:idx val="2"/>
          <c:order val="1"/>
          <c:tx>
            <c:v>Tăng svck (%)</c:v>
          </c:tx>
          <c:spPr>
            <a:ln w="28575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Charts!$D$47:$H$47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7M25</c:v>
                </c:pt>
              </c:strCache>
            </c:strRef>
          </c:cat>
          <c:val>
            <c:numRef>
              <c:f>Charts!$D$49:$H$49</c:f>
              <c:numCache>
                <c:formatCode>0.0%</c:formatCode>
                <c:ptCount val="5"/>
                <c:pt idx="0">
                  <c:v>0.18678885070637641</c:v>
                </c:pt>
                <c:pt idx="1">
                  <c:v>0.38948587606975105</c:v>
                </c:pt>
                <c:pt idx="2">
                  <c:v>0.37616930628878387</c:v>
                </c:pt>
                <c:pt idx="3">
                  <c:v>0.13039674260524281</c:v>
                </c:pt>
                <c:pt idx="4">
                  <c:v>7.6999999999999999E-2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1F-4DC4-8DD1-D9555B7F2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6359856"/>
        <c:axId val="966358896"/>
      </c:lineChart>
      <c:catAx>
        <c:axId val="96631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966333456"/>
        <c:crosses val="autoZero"/>
        <c:auto val="1"/>
        <c:lblAlgn val="ctr"/>
        <c:lblOffset val="100"/>
        <c:noMultiLvlLbl val="0"/>
      </c:catAx>
      <c:valAx>
        <c:axId val="966333456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966310896"/>
        <c:crosses val="autoZero"/>
        <c:crossBetween val="between"/>
        <c:majorUnit val="10000"/>
      </c:valAx>
      <c:valAx>
        <c:axId val="966358896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966359856"/>
        <c:crosses val="max"/>
        <c:crossBetween val="between"/>
      </c:valAx>
      <c:catAx>
        <c:axId val="9663598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663588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6639595134783236"/>
          <c:y val="3.8956266078647574E-3"/>
          <c:w val="0.64371330688041095"/>
          <c:h val="0.113447753981138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Tài chính &amp; ngân hàng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'[1]Market RS_Global tech firms'!$I$127:$I$130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cat>
          <c:val>
            <c:numRef>
              <c:f>'[1]Market RS_Global tech firms'!$J$127:$J$130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679B-42CB-A18B-10F7AF0E2706}"/>
            </c:ext>
          </c:extLst>
        </c:ser>
        <c:ser>
          <c:idx val="1"/>
          <c:order val="1"/>
          <c:tx>
            <c:v>Sản xuất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'[1]Market RS_Global tech firms'!$I$127:$I$130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cat>
          <c:val>
            <c:numRef>
              <c:f>'[1]Market RS_Global tech firms'!$K$127:$K$130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1-679B-42CB-A18B-10F7AF0E2706}"/>
            </c:ext>
          </c:extLst>
        </c:ser>
        <c:ser>
          <c:idx val="2"/>
          <c:order val="2"/>
          <c:tx>
            <c:v>Hàng tiêu dùng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'[1]Market RS_Global tech firms'!$I$127:$I$130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cat>
          <c:val>
            <c:numRef>
              <c:f>'[1]Market RS_Global tech firms'!$L$127:$L$130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2-679B-42CB-A18B-10F7AF0E2706}"/>
            </c:ext>
          </c:extLst>
        </c:ser>
        <c:ser>
          <c:idx val="3"/>
          <c:order val="3"/>
          <c:tx>
            <c:v>Truyền thông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'[1]Market RS_Global tech firms'!$I$127:$I$130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cat>
          <c:val>
            <c:numRef>
              <c:f>'[1]Market RS_Global tech firms'!$M$127:$M$130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3-679B-42CB-A18B-10F7AF0E27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465359423"/>
        <c:axId val="465364703"/>
      </c:barChart>
      <c:catAx>
        <c:axId val="465359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465364703"/>
        <c:crosses val="autoZero"/>
        <c:auto val="1"/>
        <c:lblAlgn val="ctr"/>
        <c:lblOffset val="100"/>
        <c:noMultiLvlLbl val="0"/>
      </c:catAx>
      <c:valAx>
        <c:axId val="465364703"/>
        <c:scaling>
          <c:orientation val="minMax"/>
        </c:scaling>
        <c:delete val="1"/>
        <c:axPos val="l"/>
        <c:numFmt formatCode="0%" sourceLinked="0"/>
        <c:majorTickMark val="none"/>
        <c:minorTickMark val="none"/>
        <c:tickLblPos val="nextTo"/>
        <c:crossAx val="465359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4.5592705167173252E-2"/>
          <c:w val="1"/>
          <c:h val="0.106173605471969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K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Tăng trưởng doanh thu mảng viễn thông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Revenue!$C$1:$N$1</c:f>
              <c:strCache>
                <c:ptCount val="1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2026F</c:v>
                </c:pt>
                <c:pt idx="8">
                  <c:v>2027F</c:v>
                </c:pt>
                <c:pt idx="9">
                  <c:v>2028F</c:v>
                </c:pt>
                <c:pt idx="11">
                  <c:v>2025F</c:v>
                </c:pt>
              </c:strCache>
            </c:strRef>
          </c:cat>
          <c:val>
            <c:numRef>
              <c:f>Revenue!$C$23:$N$23</c:f>
              <c:numCache>
                <c:formatCode>0.0%</c:formatCode>
                <c:ptCount val="12"/>
                <c:pt idx="0">
                  <c:v>0.17749105056356562</c:v>
                </c:pt>
                <c:pt idx="1">
                  <c:v>0.1026815882825356</c:v>
                </c:pt>
                <c:pt idx="2">
                  <c:v>0.10642295577052252</c:v>
                </c:pt>
                <c:pt idx="3">
                  <c:v>0.16105675550919973</c:v>
                </c:pt>
                <c:pt idx="4">
                  <c:v>7.3073771140099941E-2</c:v>
                </c:pt>
                <c:pt idx="5">
                  <c:v>0.11413387321270396</c:v>
                </c:pt>
                <c:pt idx="6">
                  <c:v>0.10772288472458835</c:v>
                </c:pt>
                <c:pt idx="7">
                  <c:v>0.11499999999999999</c:v>
                </c:pt>
                <c:pt idx="8">
                  <c:v>0.12000000000000011</c:v>
                </c:pt>
                <c:pt idx="9">
                  <c:v>0.12000000000000011</c:v>
                </c:pt>
                <c:pt idx="11">
                  <c:v>0.12000000000000011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61A3-44D2-B242-833A94D0C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8973424"/>
        <c:axId val="62898494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v>Education revenue YoY growth</c:v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Revenue!$C$1:$N$1</c15:sqref>
                        </c15:formulaRef>
                      </c:ext>
                    </c:extLst>
                    <c:strCache>
                      <c:ptCount val="12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  <c:pt idx="5">
                        <c:v>2024</c:v>
                      </c:pt>
                      <c:pt idx="6">
                        <c:v>2025</c:v>
                      </c:pt>
                      <c:pt idx="7">
                        <c:v>2026F</c:v>
                      </c:pt>
                      <c:pt idx="8">
                        <c:v>2027F</c:v>
                      </c:pt>
                      <c:pt idx="9">
                        <c:v>2028F</c:v>
                      </c:pt>
                      <c:pt idx="11">
                        <c:v>2025F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Revenue!$C$26:$N$26</c15:sqref>
                        </c15:formulaRef>
                      </c:ext>
                    </c:extLst>
                    <c:numCache>
                      <c:formatCode>0.0%</c:formatCode>
                      <c:ptCount val="12"/>
                      <c:pt idx="0">
                        <c:v>0.56490822757534787</c:v>
                      </c:pt>
                      <c:pt idx="1">
                        <c:v>1.5765867342744988E-2</c:v>
                      </c:pt>
                      <c:pt idx="2">
                        <c:v>0.34584941583365492</c:v>
                      </c:pt>
                      <c:pt idx="3">
                        <c:v>0.67586601343120711</c:v>
                      </c:pt>
                      <c:pt idx="4">
                        <c:v>0.52488926898736921</c:v>
                      </c:pt>
                      <c:pt idx="5">
                        <c:v>0.14283050531418984</c:v>
                      </c:pt>
                      <c:pt idx="6">
                        <c:v>4.8947626040130032E-4</c:v>
                      </c:pt>
                      <c:pt idx="7">
                        <c:v>5.0000000000000044E-2</c:v>
                      </c:pt>
                      <c:pt idx="8">
                        <c:v>0.12000000000000011</c:v>
                      </c:pt>
                      <c:pt idx="9">
                        <c:v>0.12000000000000011</c:v>
                      </c:pt>
                      <c:pt idx="11">
                        <c:v>0.10000000000000009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61A3-44D2-B242-833A94D0C754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v>Biên LNTT mảng viễn thông</c:v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3"/>
              </a:solidFill>
              <a:ln w="12700">
                <a:solidFill>
                  <a:schemeClr val="accent3"/>
                </a:solidFill>
              </a:ln>
              <a:effectLst/>
            </c:spPr>
          </c:marker>
          <c:cat>
            <c:strRef>
              <c:f>Revenue!$C$1:$N$1</c:f>
              <c:strCache>
                <c:ptCount val="1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2026F</c:v>
                </c:pt>
                <c:pt idx="8">
                  <c:v>2027F</c:v>
                </c:pt>
                <c:pt idx="9">
                  <c:v>2028F</c:v>
                </c:pt>
                <c:pt idx="11">
                  <c:v>2025F</c:v>
                </c:pt>
              </c:strCache>
            </c:strRef>
          </c:cat>
          <c:val>
            <c:numRef>
              <c:f>Revenue!$C$138:$N$138</c:f>
              <c:numCache>
                <c:formatCode>0.0%</c:formatCode>
                <c:ptCount val="12"/>
                <c:pt idx="0">
                  <c:v>0.17388716581844543</c:v>
                </c:pt>
                <c:pt idx="1">
                  <c:v>0.18088331972516677</c:v>
                </c:pt>
                <c:pt idx="2">
                  <c:v>0.18877900582796592</c:v>
                </c:pt>
                <c:pt idx="3">
                  <c:v>0.1912874502304841</c:v>
                </c:pt>
                <c:pt idx="4">
                  <c:v>0.19207895735796532</c:v>
                </c:pt>
                <c:pt idx="5">
                  <c:v>0.20374787052810903</c:v>
                </c:pt>
                <c:pt idx="6">
                  <c:v>0.22366330035371917</c:v>
                </c:pt>
                <c:pt idx="7">
                  <c:v>0.22366330035371917</c:v>
                </c:pt>
                <c:pt idx="8">
                  <c:v>0.22366330035371917</c:v>
                </c:pt>
                <c:pt idx="9">
                  <c:v>0.22366330035371917</c:v>
                </c:pt>
                <c:pt idx="11">
                  <c:v>0.20499999999999999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61A3-44D2-B242-833A94D0C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8974384"/>
        <c:axId val="628958544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v>Education PBT margin</c:v>
                </c:tx>
                <c:spPr>
                  <a:ln w="1270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3"/>
                  <c:spPr>
                    <a:solidFill>
                      <a:schemeClr val="accent4"/>
                    </a:solidFill>
                    <a:ln w="12700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Revenue!$C$1:$N$1</c15:sqref>
                        </c15:formulaRef>
                      </c:ext>
                    </c:extLst>
                    <c:strCache>
                      <c:ptCount val="12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  <c:pt idx="5">
                        <c:v>2024</c:v>
                      </c:pt>
                      <c:pt idx="6">
                        <c:v>2025</c:v>
                      </c:pt>
                      <c:pt idx="7">
                        <c:v>2026F</c:v>
                      </c:pt>
                      <c:pt idx="8">
                        <c:v>2027F</c:v>
                      </c:pt>
                      <c:pt idx="9">
                        <c:v>2028F</c:v>
                      </c:pt>
                      <c:pt idx="11">
                        <c:v>2025F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Revenue!$C$141:$N$141</c15:sqref>
                        </c15:formulaRef>
                      </c:ext>
                    </c:extLst>
                    <c:numCache>
                      <c:formatCode>0.0%</c:formatCode>
                      <c:ptCount val="12"/>
                      <c:pt idx="0">
                        <c:v>0.5757002902988454</c:v>
                      </c:pt>
                      <c:pt idx="1">
                        <c:v>0.61041477751488549</c:v>
                      </c:pt>
                      <c:pt idx="2">
                        <c:v>0.56788001319357118</c:v>
                      </c:pt>
                      <c:pt idx="3">
                        <c:v>0.42038634145763737</c:v>
                      </c:pt>
                      <c:pt idx="4">
                        <c:v>0.37385791534588847</c:v>
                      </c:pt>
                      <c:pt idx="5">
                        <c:v>0.3677598303148964</c:v>
                      </c:pt>
                      <c:pt idx="6">
                        <c:v>0.45531637312459228</c:v>
                      </c:pt>
                      <c:pt idx="7">
                        <c:v>0.45531637312459228</c:v>
                      </c:pt>
                      <c:pt idx="8">
                        <c:v>0.45531637312459228</c:v>
                      </c:pt>
                      <c:pt idx="9">
                        <c:v>0.45531637312459228</c:v>
                      </c:pt>
                      <c:pt idx="11">
                        <c:v>0.3677598303148964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61A3-44D2-B242-833A94D0C754}"/>
                  </c:ext>
                </c:extLst>
              </c15:ser>
            </c15:filteredLineSeries>
          </c:ext>
        </c:extLst>
      </c:lineChart>
      <c:catAx>
        <c:axId val="62897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628984944"/>
        <c:crosses val="autoZero"/>
        <c:auto val="1"/>
        <c:lblAlgn val="ctr"/>
        <c:lblOffset val="100"/>
        <c:noMultiLvlLbl val="0"/>
      </c:catAx>
      <c:valAx>
        <c:axId val="628984944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628973424"/>
        <c:crosses val="autoZero"/>
        <c:crossBetween val="between"/>
      </c:valAx>
      <c:valAx>
        <c:axId val="628958544"/>
        <c:scaling>
          <c:orientation val="minMax"/>
          <c:max val="0.25"/>
          <c:min val="0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628974384"/>
        <c:crosses val="max"/>
        <c:crossBetween val="between"/>
        <c:majorUnit val="5.000000000000001E-2"/>
      </c:valAx>
      <c:catAx>
        <c:axId val="6289743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289585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9855078148904217E-3"/>
          <c:y val="0.72987398674613169"/>
          <c:w val="0.95162391951690439"/>
          <c:h val="0.229225214251533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7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r>
              <a:rPr lang="en-US" sz="700"/>
              <a:t>(VNDbn)</a:t>
            </a:r>
          </a:p>
        </c:rich>
      </c:tx>
      <c:layout>
        <c:manualLayout>
          <c:xMode val="edge"/>
          <c:yMode val="edge"/>
          <c:x val="1.2036905272013241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108915367106818E-2"/>
          <c:y val="0.11776396019331234"/>
          <c:w val="0.8111761572920736"/>
          <c:h val="0.530273558061456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Revenue!$A$199</c:f>
              <c:strCache>
                <c:ptCount val="1"/>
                <c:pt idx="0">
                  <c:v>Broadband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Revenue!$AQ$1:$AZ$1</c:f>
              <c:strCache>
                <c:ptCount val="10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  <c:pt idx="6">
                  <c:v>3Q24</c:v>
                </c:pt>
                <c:pt idx="7">
                  <c:v>4Q24</c:v>
                </c:pt>
                <c:pt idx="8">
                  <c:v>1Q25</c:v>
                </c:pt>
                <c:pt idx="9">
                  <c:v>2Q25</c:v>
                </c:pt>
              </c:strCache>
            </c:strRef>
          </c:cat>
          <c:val>
            <c:numRef>
              <c:f>Revenue!$AQ$199:$AZ$199</c:f>
              <c:numCache>
                <c:formatCode>_(* #,##0_);_(* \(#,##0\);_(* \-??_);_(@_)</c:formatCode>
                <c:ptCount val="10"/>
                <c:pt idx="0">
                  <c:v>1906</c:v>
                </c:pt>
                <c:pt idx="1">
                  <c:v>1918</c:v>
                </c:pt>
                <c:pt idx="2">
                  <c:v>1962</c:v>
                </c:pt>
                <c:pt idx="3">
                  <c:v>2052</c:v>
                </c:pt>
                <c:pt idx="4">
                  <c:v>2074</c:v>
                </c:pt>
                <c:pt idx="5">
                  <c:v>2109</c:v>
                </c:pt>
                <c:pt idx="6">
                  <c:v>2243</c:v>
                </c:pt>
                <c:pt idx="7">
                  <c:v>2374</c:v>
                </c:pt>
                <c:pt idx="8">
                  <c:v>2397</c:v>
                </c:pt>
                <c:pt idx="9">
                  <c:v>2460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FD-4342-B50C-BBEE5E1385C1}"/>
            </c:ext>
          </c:extLst>
        </c:ser>
        <c:ser>
          <c:idx val="2"/>
          <c:order val="1"/>
          <c:tx>
            <c:v>Ngoài Broadband (Data Center, FPT Play...)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Revenue!$AQ$1:$AZ$1</c:f>
              <c:strCache>
                <c:ptCount val="10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  <c:pt idx="6">
                  <c:v>3Q24</c:v>
                </c:pt>
                <c:pt idx="7">
                  <c:v>4Q24</c:v>
                </c:pt>
                <c:pt idx="8">
                  <c:v>1Q25</c:v>
                </c:pt>
                <c:pt idx="9">
                  <c:v>2Q25</c:v>
                </c:pt>
              </c:strCache>
            </c:strRef>
          </c:cat>
          <c:val>
            <c:numRef>
              <c:f>Revenue!$AQ$201:$AZ$201</c:f>
              <c:numCache>
                <c:formatCode>_(* #,##0_);_(* \(#,##0\);_(* \-??_);_(@_)</c:formatCode>
                <c:ptCount val="10"/>
                <c:pt idx="0">
                  <c:v>1789</c:v>
                </c:pt>
                <c:pt idx="1">
                  <c:v>1810</c:v>
                </c:pt>
                <c:pt idx="2">
                  <c:v>1892</c:v>
                </c:pt>
                <c:pt idx="3">
                  <c:v>1856</c:v>
                </c:pt>
                <c:pt idx="4">
                  <c:v>1811</c:v>
                </c:pt>
                <c:pt idx="5">
                  <c:v>1971</c:v>
                </c:pt>
                <c:pt idx="6">
                  <c:v>2112</c:v>
                </c:pt>
                <c:pt idx="7">
                  <c:v>2212</c:v>
                </c:pt>
                <c:pt idx="8">
                  <c:v>2068</c:v>
                </c:pt>
                <c:pt idx="9">
                  <c:v>2105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FD-4342-B50C-BBEE5E1385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28982064"/>
        <c:axId val="628972464"/>
      </c:barChart>
      <c:lineChart>
        <c:grouping val="standard"/>
        <c:varyColors val="0"/>
        <c:ser>
          <c:idx val="1"/>
          <c:order val="2"/>
          <c:tx>
            <c:v>Tăng trưởng Broadband svck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Revenue!$AQ$1:$AZ$1</c:f>
              <c:strCache>
                <c:ptCount val="10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  <c:pt idx="6">
                  <c:v>3Q24</c:v>
                </c:pt>
                <c:pt idx="7">
                  <c:v>4Q24</c:v>
                </c:pt>
                <c:pt idx="8">
                  <c:v>1Q25</c:v>
                </c:pt>
                <c:pt idx="9">
                  <c:v>2Q25</c:v>
                </c:pt>
              </c:strCache>
            </c:strRef>
          </c:cat>
          <c:val>
            <c:numRef>
              <c:f>Revenue!$AQ$200:$AZ$200</c:f>
              <c:numCache>
                <c:formatCode>0.0%</c:formatCode>
                <c:ptCount val="10"/>
                <c:pt idx="0">
                  <c:v>7.0786516853932557E-2</c:v>
                </c:pt>
                <c:pt idx="1">
                  <c:v>4.9808429118773923E-2</c:v>
                </c:pt>
                <c:pt idx="2">
                  <c:v>5.2575107296137347E-2</c:v>
                </c:pt>
                <c:pt idx="3">
                  <c:v>6.1562338334195443E-2</c:v>
                </c:pt>
                <c:pt idx="4">
                  <c:v>8.8142707240293827E-2</c:v>
                </c:pt>
                <c:pt idx="5">
                  <c:v>9.9582898852971891E-2</c:v>
                </c:pt>
                <c:pt idx="6">
                  <c:v>0.14322120285423035</c:v>
                </c:pt>
                <c:pt idx="7">
                  <c:v>0.15692007797270957</c:v>
                </c:pt>
                <c:pt idx="8">
                  <c:v>0.15573770491803285</c:v>
                </c:pt>
                <c:pt idx="9">
                  <c:v>0.16642958748221903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FD-4342-B50C-BBEE5E1385C1}"/>
            </c:ext>
          </c:extLst>
        </c:ser>
        <c:ser>
          <c:idx val="3"/>
          <c:order val="3"/>
          <c:tx>
            <c:v>Tăng trưởng ngoài Broadband svck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Revenue!$AQ$1:$AZ$1</c:f>
              <c:strCache>
                <c:ptCount val="10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  <c:pt idx="6">
                  <c:v>3Q24</c:v>
                </c:pt>
                <c:pt idx="7">
                  <c:v>4Q24</c:v>
                </c:pt>
                <c:pt idx="8">
                  <c:v>1Q25</c:v>
                </c:pt>
                <c:pt idx="9">
                  <c:v>2Q25</c:v>
                </c:pt>
              </c:strCache>
            </c:strRef>
          </c:cat>
          <c:val>
            <c:numRef>
              <c:f>Revenue!$AQ$202:$AZ$202</c:f>
              <c:numCache>
                <c:formatCode>0.0%</c:formatCode>
                <c:ptCount val="10"/>
                <c:pt idx="0">
                  <c:v>0.16168831168831166</c:v>
                </c:pt>
                <c:pt idx="1">
                  <c:v>0.14629512349588336</c:v>
                </c:pt>
                <c:pt idx="2">
                  <c:v>0.14389359129383306</c:v>
                </c:pt>
                <c:pt idx="3">
                  <c:v>4.4456949915588018E-2</c:v>
                </c:pt>
                <c:pt idx="4">
                  <c:v>1.2297372833985465E-2</c:v>
                </c:pt>
                <c:pt idx="5">
                  <c:v>8.8950276243093818E-2</c:v>
                </c:pt>
                <c:pt idx="6">
                  <c:v>0.11627906976744184</c:v>
                </c:pt>
                <c:pt idx="7">
                  <c:v>0.1918103448275863</c:v>
                </c:pt>
                <c:pt idx="8">
                  <c:v>0.14191054665930425</c:v>
                </c:pt>
                <c:pt idx="9">
                  <c:v>6.7985794013191381E-2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FD-4342-B50C-BBEE5E1385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8886544"/>
        <c:axId val="628868304"/>
      </c:lineChart>
      <c:catAx>
        <c:axId val="62898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628972464"/>
        <c:crosses val="autoZero"/>
        <c:auto val="1"/>
        <c:lblAlgn val="ctr"/>
        <c:lblOffset val="100"/>
        <c:noMultiLvlLbl val="0"/>
      </c:catAx>
      <c:valAx>
        <c:axId val="628972464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628982064"/>
        <c:crosses val="autoZero"/>
        <c:crossBetween val="between"/>
      </c:valAx>
      <c:valAx>
        <c:axId val="628868304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628886544"/>
        <c:crosses val="max"/>
        <c:crossBetween val="between"/>
      </c:valAx>
      <c:catAx>
        <c:axId val="6288865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288683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1248394912174438"/>
          <c:w val="1"/>
          <c:h val="0.161883706844336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03105407671793"/>
          <c:y val="3.4908556968667924E-2"/>
          <c:w val="0.73179425236205331"/>
          <c:h val="0.56851453324822698"/>
        </c:manualLayout>
      </c:layout>
      <c:barChart>
        <c:barDir val="col"/>
        <c:grouping val="clustered"/>
        <c:varyColors val="0"/>
        <c:ser>
          <c:idx val="0"/>
          <c:order val="0"/>
          <c:tx>
            <c:v>Băng thông internet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Revenue!$AQ$1:$AZ$1</c:f>
              <c:strCache>
                <c:ptCount val="10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  <c:pt idx="6">
                  <c:v>3Q24</c:v>
                </c:pt>
                <c:pt idx="7">
                  <c:v>4Q24</c:v>
                </c:pt>
                <c:pt idx="8">
                  <c:v>1Q25</c:v>
                </c:pt>
                <c:pt idx="9">
                  <c:v>2Q25</c:v>
                </c:pt>
              </c:strCache>
            </c:strRef>
          </c:cat>
          <c:val>
            <c:numRef>
              <c:f>Revenue!$AQ$199:$AZ$199</c:f>
              <c:numCache>
                <c:formatCode>_(* #,##0_);_(* \(#,##0\);_(* \-??_);_(@_)</c:formatCode>
                <c:ptCount val="10"/>
                <c:pt idx="0">
                  <c:v>1906</c:v>
                </c:pt>
                <c:pt idx="1">
                  <c:v>1918</c:v>
                </c:pt>
                <c:pt idx="2">
                  <c:v>1962</c:v>
                </c:pt>
                <c:pt idx="3">
                  <c:v>2052</c:v>
                </c:pt>
                <c:pt idx="4">
                  <c:v>2074</c:v>
                </c:pt>
                <c:pt idx="5">
                  <c:v>2109</c:v>
                </c:pt>
                <c:pt idx="6">
                  <c:v>2243</c:v>
                </c:pt>
                <c:pt idx="7">
                  <c:v>2374</c:v>
                </c:pt>
                <c:pt idx="8">
                  <c:v>2397</c:v>
                </c:pt>
                <c:pt idx="9">
                  <c:v>2460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BE-44F5-8BE7-CD3456E9DA0D}"/>
            </c:ext>
          </c:extLst>
        </c:ser>
        <c:ser>
          <c:idx val="2"/>
          <c:order val="1"/>
          <c:tx>
            <c:strRef>
              <c:f>Revenue!$A$201</c:f>
              <c:strCache>
                <c:ptCount val="1"/>
                <c:pt idx="0">
                  <c:v>Non-broadband (Data centers, FPT play, Smarthome)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Revenue!$AQ$1:$AZ$1</c:f>
              <c:strCache>
                <c:ptCount val="10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  <c:pt idx="6">
                  <c:v>3Q24</c:v>
                </c:pt>
                <c:pt idx="7">
                  <c:v>4Q24</c:v>
                </c:pt>
                <c:pt idx="8">
                  <c:v>1Q25</c:v>
                </c:pt>
                <c:pt idx="9">
                  <c:v>2Q25</c:v>
                </c:pt>
              </c:strCache>
            </c:strRef>
          </c:cat>
          <c:val>
            <c:numRef>
              <c:f>Revenue!$AQ$201:$AZ$201</c:f>
              <c:numCache>
                <c:formatCode>_(* #,##0_);_(* \(#,##0\);_(* \-??_);_(@_)</c:formatCode>
                <c:ptCount val="10"/>
                <c:pt idx="0">
                  <c:v>1789</c:v>
                </c:pt>
                <c:pt idx="1">
                  <c:v>1810</c:v>
                </c:pt>
                <c:pt idx="2">
                  <c:v>1892</c:v>
                </c:pt>
                <c:pt idx="3">
                  <c:v>1856</c:v>
                </c:pt>
                <c:pt idx="4">
                  <c:v>1811</c:v>
                </c:pt>
                <c:pt idx="5">
                  <c:v>1971</c:v>
                </c:pt>
                <c:pt idx="6">
                  <c:v>2112</c:v>
                </c:pt>
                <c:pt idx="7">
                  <c:v>2212</c:v>
                </c:pt>
                <c:pt idx="8">
                  <c:v>2068</c:v>
                </c:pt>
                <c:pt idx="9">
                  <c:v>2105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BE-44F5-8BE7-CD3456E9D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28982064"/>
        <c:axId val="628972464"/>
      </c:barChart>
      <c:lineChart>
        <c:grouping val="standard"/>
        <c:varyColors val="0"/>
        <c:ser>
          <c:idx val="1"/>
          <c:order val="2"/>
          <c:tx>
            <c:v>Tăng trưởng mảng broadband svck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Revenue!$AQ$1:$AZ$1</c:f>
              <c:strCache>
                <c:ptCount val="10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  <c:pt idx="6">
                  <c:v>3Q24</c:v>
                </c:pt>
                <c:pt idx="7">
                  <c:v>4Q24</c:v>
                </c:pt>
                <c:pt idx="8">
                  <c:v>1Q25</c:v>
                </c:pt>
                <c:pt idx="9">
                  <c:v>2Q25</c:v>
                </c:pt>
              </c:strCache>
            </c:strRef>
          </c:cat>
          <c:val>
            <c:numRef>
              <c:f>Revenue!$AQ$200:$AZ$200</c:f>
              <c:numCache>
                <c:formatCode>0.0%</c:formatCode>
                <c:ptCount val="10"/>
                <c:pt idx="0">
                  <c:v>7.0786516853932557E-2</c:v>
                </c:pt>
                <c:pt idx="1">
                  <c:v>4.9808429118773923E-2</c:v>
                </c:pt>
                <c:pt idx="2">
                  <c:v>5.2575107296137347E-2</c:v>
                </c:pt>
                <c:pt idx="3">
                  <c:v>6.1562338334195443E-2</c:v>
                </c:pt>
                <c:pt idx="4">
                  <c:v>8.8142707240293827E-2</c:v>
                </c:pt>
                <c:pt idx="5">
                  <c:v>9.9582898852971891E-2</c:v>
                </c:pt>
                <c:pt idx="6">
                  <c:v>0.14322120285423035</c:v>
                </c:pt>
                <c:pt idx="7">
                  <c:v>0.15692007797270957</c:v>
                </c:pt>
                <c:pt idx="8">
                  <c:v>0.15573770491803285</c:v>
                </c:pt>
                <c:pt idx="9">
                  <c:v>0.16642958748221903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BE-44F5-8BE7-CD3456E9DA0D}"/>
            </c:ext>
          </c:extLst>
        </c:ser>
        <c:ser>
          <c:idx val="3"/>
          <c:order val="3"/>
          <c:tx>
            <c:v>Tăng trưởng các mảng khác svck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Revenue!$AQ$1:$AZ$1</c:f>
              <c:strCache>
                <c:ptCount val="10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  <c:pt idx="6">
                  <c:v>3Q24</c:v>
                </c:pt>
                <c:pt idx="7">
                  <c:v>4Q24</c:v>
                </c:pt>
                <c:pt idx="8">
                  <c:v>1Q25</c:v>
                </c:pt>
                <c:pt idx="9">
                  <c:v>2Q25</c:v>
                </c:pt>
              </c:strCache>
            </c:strRef>
          </c:cat>
          <c:val>
            <c:numRef>
              <c:f>Revenue!$AQ$202:$AZ$202</c:f>
              <c:numCache>
                <c:formatCode>0.0%</c:formatCode>
                <c:ptCount val="10"/>
                <c:pt idx="0">
                  <c:v>0.16168831168831166</c:v>
                </c:pt>
                <c:pt idx="1">
                  <c:v>0.14629512349588336</c:v>
                </c:pt>
                <c:pt idx="2">
                  <c:v>0.14389359129383306</c:v>
                </c:pt>
                <c:pt idx="3">
                  <c:v>4.4456949915588018E-2</c:v>
                </c:pt>
                <c:pt idx="4">
                  <c:v>1.2297372833985465E-2</c:v>
                </c:pt>
                <c:pt idx="5">
                  <c:v>8.8950276243093818E-2</c:v>
                </c:pt>
                <c:pt idx="6">
                  <c:v>0.11627906976744184</c:v>
                </c:pt>
                <c:pt idx="7">
                  <c:v>0.1918103448275863</c:v>
                </c:pt>
                <c:pt idx="8">
                  <c:v>0.14191054665930425</c:v>
                </c:pt>
                <c:pt idx="9">
                  <c:v>6.7985794013191381E-2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BE-44F5-8BE7-CD3456E9D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8886544"/>
        <c:axId val="628868304"/>
      </c:lineChart>
      <c:catAx>
        <c:axId val="62898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628972464"/>
        <c:crosses val="autoZero"/>
        <c:auto val="1"/>
        <c:lblAlgn val="ctr"/>
        <c:lblOffset val="100"/>
        <c:noMultiLvlLbl val="0"/>
      </c:catAx>
      <c:valAx>
        <c:axId val="628972464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628982064"/>
        <c:crosses val="autoZero"/>
        <c:crossBetween val="between"/>
      </c:valAx>
      <c:valAx>
        <c:axId val="628868304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628886544"/>
        <c:crosses val="max"/>
        <c:crossBetween val="between"/>
      </c:valAx>
      <c:catAx>
        <c:axId val="6288865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288683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74855323475465918"/>
          <c:w val="1"/>
          <c:h val="0.225813955248544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v>Tăng trưởng doanh thu mảng giáo dục svck</c:v>
          </c:tx>
          <c:spPr>
            <a:solidFill>
              <a:schemeClr val="accent2"/>
            </a:solidFill>
            <a:ln w="127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Revenue!$C$1:$N$1</c:f>
              <c:strCache>
                <c:ptCount val="1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2026F</c:v>
                </c:pt>
                <c:pt idx="8">
                  <c:v>2027F</c:v>
                </c:pt>
                <c:pt idx="9">
                  <c:v>2028F</c:v>
                </c:pt>
                <c:pt idx="11">
                  <c:v>2025F</c:v>
                </c:pt>
              </c:strCache>
            </c:strRef>
          </c:cat>
          <c:val>
            <c:numRef>
              <c:f>Revenue!$C$26:$N$26</c:f>
              <c:numCache>
                <c:formatCode>0.0%</c:formatCode>
                <c:ptCount val="12"/>
                <c:pt idx="0">
                  <c:v>0.56490822757534787</c:v>
                </c:pt>
                <c:pt idx="1">
                  <c:v>1.5765867342744988E-2</c:v>
                </c:pt>
                <c:pt idx="2">
                  <c:v>0.34584941583365492</c:v>
                </c:pt>
                <c:pt idx="3">
                  <c:v>0.67586601343120711</c:v>
                </c:pt>
                <c:pt idx="4">
                  <c:v>0.52488926898736921</c:v>
                </c:pt>
                <c:pt idx="5">
                  <c:v>0.14283050531418984</c:v>
                </c:pt>
                <c:pt idx="6">
                  <c:v>4.8947626040130032E-4</c:v>
                </c:pt>
                <c:pt idx="7">
                  <c:v>5.0000000000000044E-2</c:v>
                </c:pt>
                <c:pt idx="8">
                  <c:v>0.12000000000000011</c:v>
                </c:pt>
                <c:pt idx="9">
                  <c:v>0.12000000000000011</c:v>
                </c:pt>
                <c:pt idx="11">
                  <c:v>0.10000000000000009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B8-43E4-A39B-165C5C0059E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628973424"/>
        <c:axId val="62898494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v>Telecom</c:v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7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Noto Sans" panose="020B0502040504020204" pitchFamily="34" charset="0"/>
                          <a:ea typeface="Noto Sans" panose="020B0502040504020204" pitchFamily="34" charset="0"/>
                          <a:cs typeface="Noto Sans" panose="020B0502040504020204" pitchFamily="34" charset="0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Revenue!$C$1:$N$1</c15:sqref>
                        </c15:formulaRef>
                      </c:ext>
                    </c:extLst>
                    <c:strCache>
                      <c:ptCount val="12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  <c:pt idx="5">
                        <c:v>2024</c:v>
                      </c:pt>
                      <c:pt idx="6">
                        <c:v>2025</c:v>
                      </c:pt>
                      <c:pt idx="7">
                        <c:v>2026F</c:v>
                      </c:pt>
                      <c:pt idx="8">
                        <c:v>2027F</c:v>
                      </c:pt>
                      <c:pt idx="9">
                        <c:v>2028F</c:v>
                      </c:pt>
                      <c:pt idx="11">
                        <c:v>2025F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Revenue!$C$23:$N$23</c15:sqref>
                        </c15:formulaRef>
                      </c:ext>
                    </c:extLst>
                    <c:numCache>
                      <c:formatCode>0.0%</c:formatCode>
                      <c:ptCount val="12"/>
                      <c:pt idx="0">
                        <c:v>0.17749105056356562</c:v>
                      </c:pt>
                      <c:pt idx="1">
                        <c:v>0.1026815882825356</c:v>
                      </c:pt>
                      <c:pt idx="2">
                        <c:v>0.10642295577052252</c:v>
                      </c:pt>
                      <c:pt idx="3">
                        <c:v>0.16105675550919973</c:v>
                      </c:pt>
                      <c:pt idx="4">
                        <c:v>7.3073771140099941E-2</c:v>
                      </c:pt>
                      <c:pt idx="5">
                        <c:v>0.11413387321270396</c:v>
                      </c:pt>
                      <c:pt idx="6">
                        <c:v>0.10772288472458835</c:v>
                      </c:pt>
                      <c:pt idx="7">
                        <c:v>0.11499999999999999</c:v>
                      </c:pt>
                      <c:pt idx="8">
                        <c:v>0.12000000000000011</c:v>
                      </c:pt>
                      <c:pt idx="9">
                        <c:v>0.12000000000000011</c:v>
                      </c:pt>
                      <c:pt idx="11">
                        <c:v>0.12000000000000011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81B8-43E4-A39B-165C5C0059E0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v>Telecom PBT margin</c:v>
                </c:tx>
                <c:spPr>
                  <a:solidFill>
                    <a:schemeClr val="accent3"/>
                  </a:solidFill>
                  <a:ln w="12700"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7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Noto Sans" panose="020B0502040504020204" pitchFamily="34" charset="0"/>
                          <a:ea typeface="Noto Sans" panose="020B0502040504020204" pitchFamily="34" charset="0"/>
                          <a:cs typeface="Noto Sans" panose="020B0502040504020204" pitchFamily="34" charset="0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Revenue!$C$1:$N$1</c15:sqref>
                        </c15:formulaRef>
                      </c:ext>
                    </c:extLst>
                    <c:strCache>
                      <c:ptCount val="12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  <c:pt idx="5">
                        <c:v>2024</c:v>
                      </c:pt>
                      <c:pt idx="6">
                        <c:v>2025</c:v>
                      </c:pt>
                      <c:pt idx="7">
                        <c:v>2026F</c:v>
                      </c:pt>
                      <c:pt idx="8">
                        <c:v>2027F</c:v>
                      </c:pt>
                      <c:pt idx="9">
                        <c:v>2028F</c:v>
                      </c:pt>
                      <c:pt idx="11">
                        <c:v>2025F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Revenue!$C$138:$N$138</c15:sqref>
                        </c15:formulaRef>
                      </c:ext>
                    </c:extLst>
                    <c:numCache>
                      <c:formatCode>0.0%</c:formatCode>
                      <c:ptCount val="12"/>
                      <c:pt idx="0">
                        <c:v>0.17388716581844543</c:v>
                      </c:pt>
                      <c:pt idx="1">
                        <c:v>0.18088331972516677</c:v>
                      </c:pt>
                      <c:pt idx="2">
                        <c:v>0.18877900582796592</c:v>
                      </c:pt>
                      <c:pt idx="3">
                        <c:v>0.1912874502304841</c:v>
                      </c:pt>
                      <c:pt idx="4">
                        <c:v>0.19207895735796532</c:v>
                      </c:pt>
                      <c:pt idx="5">
                        <c:v>0.20374787052810903</c:v>
                      </c:pt>
                      <c:pt idx="6">
                        <c:v>0.22366330035371917</c:v>
                      </c:pt>
                      <c:pt idx="7">
                        <c:v>0.22366330035371917</c:v>
                      </c:pt>
                      <c:pt idx="8">
                        <c:v>0.22366330035371917</c:v>
                      </c:pt>
                      <c:pt idx="9">
                        <c:v>0.22366330035371917</c:v>
                      </c:pt>
                      <c:pt idx="11">
                        <c:v>0.20499999999999999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1B8-43E4-A39B-165C5C0059E0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v>Biên LNTT</c:v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Revenue!$C$1:$N$1</c:f>
              <c:strCache>
                <c:ptCount val="1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2026F</c:v>
                </c:pt>
                <c:pt idx="8">
                  <c:v>2027F</c:v>
                </c:pt>
                <c:pt idx="9">
                  <c:v>2028F</c:v>
                </c:pt>
                <c:pt idx="11">
                  <c:v>2025F</c:v>
                </c:pt>
              </c:strCache>
            </c:strRef>
          </c:cat>
          <c:val>
            <c:numRef>
              <c:f>Revenue!$C$141:$N$141</c:f>
              <c:numCache>
                <c:formatCode>0.0%</c:formatCode>
                <c:ptCount val="12"/>
                <c:pt idx="0">
                  <c:v>0.5757002902988454</c:v>
                </c:pt>
                <c:pt idx="1">
                  <c:v>0.61041477751488549</c:v>
                </c:pt>
                <c:pt idx="2">
                  <c:v>0.56788001319357118</c:v>
                </c:pt>
                <c:pt idx="3">
                  <c:v>0.42038634145763737</c:v>
                </c:pt>
                <c:pt idx="4">
                  <c:v>0.37385791534588847</c:v>
                </c:pt>
                <c:pt idx="5">
                  <c:v>0.3677598303148964</c:v>
                </c:pt>
                <c:pt idx="6">
                  <c:v>0.45531637312459228</c:v>
                </c:pt>
                <c:pt idx="7">
                  <c:v>0.45531637312459228</c:v>
                </c:pt>
                <c:pt idx="8">
                  <c:v>0.45531637312459228</c:v>
                </c:pt>
                <c:pt idx="9">
                  <c:v>0.45531637312459228</c:v>
                </c:pt>
                <c:pt idx="11">
                  <c:v>0.3677598303148964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B8-43E4-A39B-165C5C0059E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28973424"/>
        <c:axId val="628984944"/>
      </c:lineChart>
      <c:catAx>
        <c:axId val="62897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628984944"/>
        <c:crosses val="autoZero"/>
        <c:auto val="1"/>
        <c:lblAlgn val="ctr"/>
        <c:lblOffset val="100"/>
        <c:noMultiLvlLbl val="0"/>
      </c:catAx>
      <c:valAx>
        <c:axId val="628984944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628973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4"/>
          <c:order val="1"/>
          <c:tx>
            <c:v>Tăng trưởng doanh thu mảng giáo dục svck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Revenue!$AI$1:$AZ$1</c:f>
              <c:strCache>
                <c:ptCount val="18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</c:strCache>
              <c:extLst/>
            </c:strRef>
          </c:cat>
          <c:val>
            <c:numRef>
              <c:f>Revenue!$AI$17:$AZ$17</c:f>
              <c:numCache>
                <c:formatCode>_(* #,##0_);_(* \(#,##0\);_(* \-??_);_(@_)</c:formatCode>
                <c:ptCount val="18"/>
                <c:pt idx="0">
                  <c:v>483.85666995399896</c:v>
                </c:pt>
                <c:pt idx="1">
                  <c:v>471.37628482100206</c:v>
                </c:pt>
                <c:pt idx="2">
                  <c:v>381.92195697200003</c:v>
                </c:pt>
                <c:pt idx="3">
                  <c:v>761.44763328000306</c:v>
                </c:pt>
                <c:pt idx="4">
                  <c:v>618.01484439099886</c:v>
                </c:pt>
                <c:pt idx="5">
                  <c:v>777.13009095899997</c:v>
                </c:pt>
                <c:pt idx="6">
                  <c:v>853.96402035299809</c:v>
                </c:pt>
                <c:pt idx="7">
                  <c:v>1267.8682711090021</c:v>
                </c:pt>
                <c:pt idx="8">
                  <c:v>1052.876</c:v>
                </c:pt>
                <c:pt idx="9">
                  <c:v>1228.124</c:v>
                </c:pt>
                <c:pt idx="10">
                  <c:v>1439.0000000000002</c:v>
                </c:pt>
                <c:pt idx="11">
                  <c:v>1643.0000000000002</c:v>
                </c:pt>
                <c:pt idx="12">
                  <c:v>1609</c:v>
                </c:pt>
                <c:pt idx="13">
                  <c:v>1408</c:v>
                </c:pt>
                <c:pt idx="14">
                  <c:v>1460</c:v>
                </c:pt>
                <c:pt idx="15">
                  <c:v>1652</c:v>
                </c:pt>
                <c:pt idx="16">
                  <c:v>1707</c:v>
                </c:pt>
                <c:pt idx="17">
                  <c:v>1491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140B-4E3E-86FF-69E502682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28908144"/>
        <c:axId val="628903344"/>
        <c:extLst>
          <c:ext xmlns:c15="http://schemas.microsoft.com/office/drawing/2012/chart" uri="{02D57815-91ED-43cb-92C2-25804820EDAC}">
            <c15:filteredBarSeries>
              <c15:ser>
                <c:idx val="3"/>
                <c:order val="0"/>
                <c:tx>
                  <c:v>Telecom revenue</c:v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Revenue!$AI$1:$AZ$1</c15:sqref>
                        </c15:formulaRef>
                      </c:ext>
                    </c:extLst>
                    <c:strCache>
                      <c:ptCount val="18"/>
                      <c:pt idx="0">
                        <c:v>1Q21</c:v>
                      </c:pt>
                      <c:pt idx="1">
                        <c:v>2Q21</c:v>
                      </c:pt>
                      <c:pt idx="2">
                        <c:v>3Q21</c:v>
                      </c:pt>
                      <c:pt idx="3">
                        <c:v>4Q21</c:v>
                      </c:pt>
                      <c:pt idx="4">
                        <c:v>1Q22</c:v>
                      </c:pt>
                      <c:pt idx="5">
                        <c:v>2Q22</c:v>
                      </c:pt>
                      <c:pt idx="6">
                        <c:v>3Q22</c:v>
                      </c:pt>
                      <c:pt idx="7">
                        <c:v>4Q22</c:v>
                      </c:pt>
                      <c:pt idx="8">
                        <c:v>1Q23</c:v>
                      </c:pt>
                      <c:pt idx="9">
                        <c:v>2Q23</c:v>
                      </c:pt>
                      <c:pt idx="10">
                        <c:v>3Q23</c:v>
                      </c:pt>
                      <c:pt idx="11">
                        <c:v>4Q23</c:v>
                      </c:pt>
                      <c:pt idx="12">
                        <c:v>1Q24</c:v>
                      </c:pt>
                      <c:pt idx="13">
                        <c:v>2Q24</c:v>
                      </c:pt>
                      <c:pt idx="14">
                        <c:v>3Q24</c:v>
                      </c:pt>
                      <c:pt idx="15">
                        <c:v>4Q24</c:v>
                      </c:pt>
                      <c:pt idx="16">
                        <c:v>1Q25</c:v>
                      </c:pt>
                      <c:pt idx="17">
                        <c:v>2Q25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Revenue!$AI$14:$AZ$14</c15:sqref>
                        </c15:formulaRef>
                      </c:ext>
                    </c:extLst>
                    <c:numCache>
                      <c:formatCode>_(* #,##0_);_(* \(#,##0\);_(* \-??_);_(@_)</c:formatCode>
                      <c:ptCount val="18"/>
                      <c:pt idx="0">
                        <c:v>2925.12</c:v>
                      </c:pt>
                      <c:pt idx="1">
                        <c:v>3201.0140000000001</c:v>
                      </c:pt>
                      <c:pt idx="2">
                        <c:v>3105.6980000000003</c:v>
                      </c:pt>
                      <c:pt idx="3">
                        <c:v>3454.5839999999998</c:v>
                      </c:pt>
                      <c:pt idx="4">
                        <c:v>3471.127</c:v>
                      </c:pt>
                      <c:pt idx="5">
                        <c:v>3605.538</c:v>
                      </c:pt>
                      <c:pt idx="6">
                        <c:v>3730.594000000001</c:v>
                      </c:pt>
                      <c:pt idx="7">
                        <c:v>3922.3899999999985</c:v>
                      </c:pt>
                      <c:pt idx="8">
                        <c:v>3790.2240000000002</c:v>
                      </c:pt>
                      <c:pt idx="9">
                        <c:v>3891.7759999999998</c:v>
                      </c:pt>
                      <c:pt idx="10">
                        <c:v>4008</c:v>
                      </c:pt>
                      <c:pt idx="11">
                        <c:v>4116</c:v>
                      </c:pt>
                      <c:pt idx="12">
                        <c:v>4012</c:v>
                      </c:pt>
                      <c:pt idx="13">
                        <c:v>4232</c:v>
                      </c:pt>
                      <c:pt idx="14">
                        <c:v>4556</c:v>
                      </c:pt>
                      <c:pt idx="15">
                        <c:v>4810</c:v>
                      </c:pt>
                      <c:pt idx="16">
                        <c:v>4582</c:v>
                      </c:pt>
                      <c:pt idx="17">
                        <c:v>4775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140B-4E3E-86FF-69E502682E1E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"/>
          <c:order val="3"/>
          <c:tx>
            <c:v>Biên LNTT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Revenue!$AI$1:$AZ$1</c:f>
              <c:strCache>
                <c:ptCount val="18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  <c:pt idx="10">
                  <c:v>3Q23</c:v>
                </c:pt>
                <c:pt idx="11">
                  <c:v>4Q23</c:v>
                </c:pt>
                <c:pt idx="12">
                  <c:v>1Q24</c:v>
                </c:pt>
                <c:pt idx="13">
                  <c:v>2Q24</c:v>
                </c:pt>
                <c:pt idx="14">
                  <c:v>3Q24</c:v>
                </c:pt>
                <c:pt idx="15">
                  <c:v>4Q24</c:v>
                </c:pt>
                <c:pt idx="16">
                  <c:v>1Q25</c:v>
                </c:pt>
                <c:pt idx="17">
                  <c:v>2Q25</c:v>
                </c:pt>
              </c:strCache>
              <c:extLst/>
            </c:strRef>
          </c:cat>
          <c:val>
            <c:numRef>
              <c:f>Revenue!$AI$141:$AZ$141</c:f>
              <c:numCache>
                <c:formatCode>0.0%</c:formatCode>
                <c:ptCount val="18"/>
                <c:pt idx="0">
                  <c:v>0.57751856838837523</c:v>
                </c:pt>
                <c:pt idx="1">
                  <c:v>0.38151371688605457</c:v>
                </c:pt>
                <c:pt idx="2">
                  <c:v>0.7039076098568231</c:v>
                </c:pt>
                <c:pt idx="3">
                  <c:v>0.60941712231491219</c:v>
                </c:pt>
                <c:pt idx="4">
                  <c:v>0.51745010590340734</c:v>
                </c:pt>
                <c:pt idx="5">
                  <c:v>0.35963943442481661</c:v>
                </c:pt>
                <c:pt idx="6">
                  <c:v>0.34888216929894145</c:v>
                </c:pt>
                <c:pt idx="7">
                  <c:v>0.44567534639836459</c:v>
                </c:pt>
                <c:pt idx="8">
                  <c:v>0.46671117966408215</c:v>
                </c:pt>
                <c:pt idx="9">
                  <c:v>0.26757151557985992</c:v>
                </c:pt>
                <c:pt idx="10">
                  <c:v>0.36205698401667818</c:v>
                </c:pt>
                <c:pt idx="11">
                  <c:v>0.40413877054169195</c:v>
                </c:pt>
                <c:pt idx="12">
                  <c:v>0.34369173399627095</c:v>
                </c:pt>
                <c:pt idx="13">
                  <c:v>0.30823863636363635</c:v>
                </c:pt>
                <c:pt idx="14">
                  <c:v>0.44246575342465755</c:v>
                </c:pt>
                <c:pt idx="15">
                  <c:v>0.37590799031476996</c:v>
                </c:pt>
                <c:pt idx="16">
                  <c:v>0.37609841827768015</c:v>
                </c:pt>
                <c:pt idx="17">
                  <c:v>0.39839034205231388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1-140B-4E3E-86FF-69E502682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8889424"/>
        <c:axId val="628879824"/>
        <c:extLst>
          <c:ext xmlns:c15="http://schemas.microsoft.com/office/drawing/2012/chart" uri="{02D57815-91ED-43cb-92C2-25804820EDAC}">
            <c15:filteredLineSeries>
              <c15:ser>
                <c:idx val="0"/>
                <c:order val="2"/>
                <c:tx>
                  <c:v>Telecom PBT margin</c:v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Revenue!$AI$1:$AZ$1</c15:sqref>
                        </c15:formulaRef>
                      </c:ext>
                    </c:extLst>
                    <c:strCache>
                      <c:ptCount val="18"/>
                      <c:pt idx="0">
                        <c:v>1Q21</c:v>
                      </c:pt>
                      <c:pt idx="1">
                        <c:v>2Q21</c:v>
                      </c:pt>
                      <c:pt idx="2">
                        <c:v>3Q21</c:v>
                      </c:pt>
                      <c:pt idx="3">
                        <c:v>4Q21</c:v>
                      </c:pt>
                      <c:pt idx="4">
                        <c:v>1Q22</c:v>
                      </c:pt>
                      <c:pt idx="5">
                        <c:v>2Q22</c:v>
                      </c:pt>
                      <c:pt idx="6">
                        <c:v>3Q22</c:v>
                      </c:pt>
                      <c:pt idx="7">
                        <c:v>4Q22</c:v>
                      </c:pt>
                      <c:pt idx="8">
                        <c:v>1Q23</c:v>
                      </c:pt>
                      <c:pt idx="9">
                        <c:v>2Q23</c:v>
                      </c:pt>
                      <c:pt idx="10">
                        <c:v>3Q23</c:v>
                      </c:pt>
                      <c:pt idx="11">
                        <c:v>4Q23</c:v>
                      </c:pt>
                      <c:pt idx="12">
                        <c:v>1Q24</c:v>
                      </c:pt>
                      <c:pt idx="13">
                        <c:v>2Q24</c:v>
                      </c:pt>
                      <c:pt idx="14">
                        <c:v>3Q24</c:v>
                      </c:pt>
                      <c:pt idx="15">
                        <c:v>4Q24</c:v>
                      </c:pt>
                      <c:pt idx="16">
                        <c:v>1Q25</c:v>
                      </c:pt>
                      <c:pt idx="17">
                        <c:v>2Q25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Revenue!$AI$138:$AZ$138</c15:sqref>
                        </c15:formulaRef>
                      </c:ext>
                    </c:extLst>
                    <c:numCache>
                      <c:formatCode>0.0%</c:formatCode>
                      <c:ptCount val="18"/>
                      <c:pt idx="0">
                        <c:v>0.1968527786894213</c:v>
                      </c:pt>
                      <c:pt idx="1">
                        <c:v>0.19401289716321143</c:v>
                      </c:pt>
                      <c:pt idx="2">
                        <c:v>0.1887450099784331</c:v>
                      </c:pt>
                      <c:pt idx="3">
                        <c:v>0.17712349735887159</c:v>
                      </c:pt>
                      <c:pt idx="4">
                        <c:v>0.20194478623225254</c:v>
                      </c:pt>
                      <c:pt idx="5">
                        <c:v>0.20642605902364641</c:v>
                      </c:pt>
                      <c:pt idx="6">
                        <c:v>0.1939012929308308</c:v>
                      </c:pt>
                      <c:pt idx="7">
                        <c:v>0.16545448055904696</c:v>
                      </c:pt>
                      <c:pt idx="8">
                        <c:v>0.19093568084630352</c:v>
                      </c:pt>
                      <c:pt idx="9">
                        <c:v>0.20307206786824319</c:v>
                      </c:pt>
                      <c:pt idx="10">
                        <c:v>0.19585828343313372</c:v>
                      </c:pt>
                      <c:pt idx="11">
                        <c:v>0.17905733722060249</c:v>
                      </c:pt>
                      <c:pt idx="12">
                        <c:v>0.20563310069790627</c:v>
                      </c:pt>
                      <c:pt idx="13">
                        <c:v>0.22069943289224953</c:v>
                      </c:pt>
                      <c:pt idx="14">
                        <c:v>0.19907813871817384</c:v>
                      </c:pt>
                      <c:pt idx="15">
                        <c:v>0.19168399168399169</c:v>
                      </c:pt>
                      <c:pt idx="16">
                        <c:v>0.21104321257092973</c:v>
                      </c:pt>
                      <c:pt idx="17">
                        <c:v>0.23643979057591624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140B-4E3E-86FF-69E502682E1E}"/>
                  </c:ext>
                </c:extLst>
              </c15:ser>
            </c15:filteredLineSeries>
          </c:ext>
        </c:extLst>
      </c:lineChart>
      <c:catAx>
        <c:axId val="62890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628903344"/>
        <c:crosses val="autoZero"/>
        <c:auto val="1"/>
        <c:lblAlgn val="ctr"/>
        <c:lblOffset val="100"/>
        <c:noMultiLvlLbl val="0"/>
      </c:catAx>
      <c:valAx>
        <c:axId val="628903344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628908144"/>
        <c:crosses val="autoZero"/>
        <c:crossBetween val="between"/>
        <c:majorUnit val="500"/>
      </c:valAx>
      <c:valAx>
        <c:axId val="628879824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628889424"/>
        <c:crosses val="max"/>
        <c:crossBetween val="between"/>
      </c:valAx>
      <c:catAx>
        <c:axId val="6288894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288798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720268097975642E-2"/>
          <c:y val="0.87791677530374912"/>
          <c:w val="0.84097333854029488"/>
          <c:h val="0.102215675027376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Telecom YoY revenue growth (%)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Revenue!$C$1:$J$1</c:f>
              <c:strCach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2026F</c:v>
                </c:pt>
              </c:strCache>
            </c:strRef>
          </c:cat>
          <c:val>
            <c:numRef>
              <c:f>Revenue!$C$23:$J$23</c:f>
              <c:numCache>
                <c:formatCode>0.0%</c:formatCode>
                <c:ptCount val="8"/>
                <c:pt idx="0">
                  <c:v>0.17749105056356562</c:v>
                </c:pt>
                <c:pt idx="1">
                  <c:v>0.1026815882825356</c:v>
                </c:pt>
                <c:pt idx="2">
                  <c:v>0.10642295577052252</c:v>
                </c:pt>
                <c:pt idx="3">
                  <c:v>0.16105675550919973</c:v>
                </c:pt>
                <c:pt idx="4">
                  <c:v>7.3073771140099941E-2</c:v>
                </c:pt>
                <c:pt idx="5">
                  <c:v>0.11413387321270396</c:v>
                </c:pt>
                <c:pt idx="6">
                  <c:v>0.10772288472458835</c:v>
                </c:pt>
                <c:pt idx="7">
                  <c:v>0.11499999999999999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64-4D60-A7D5-6FD56B8FF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12704960"/>
        <c:axId val="612712640"/>
      </c:barChart>
      <c:lineChart>
        <c:grouping val="standard"/>
        <c:varyColors val="0"/>
        <c:ser>
          <c:idx val="1"/>
          <c:order val="1"/>
          <c:tx>
            <c:v>Telecom PBT margin (%)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Revenue!$B$1:$J$1</c:f>
              <c:strCach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2026F</c:v>
                </c:pt>
              </c:strCache>
            </c:strRef>
          </c:cat>
          <c:val>
            <c:numRef>
              <c:f>Revenue!$C$138:$J$138</c:f>
              <c:numCache>
                <c:formatCode>0.0%</c:formatCode>
                <c:ptCount val="8"/>
                <c:pt idx="0">
                  <c:v>0.17388716581844543</c:v>
                </c:pt>
                <c:pt idx="1">
                  <c:v>0.18088331972516677</c:v>
                </c:pt>
                <c:pt idx="2">
                  <c:v>0.18877900582796592</c:v>
                </c:pt>
                <c:pt idx="3">
                  <c:v>0.1912874502304841</c:v>
                </c:pt>
                <c:pt idx="4">
                  <c:v>0.19207895735796532</c:v>
                </c:pt>
                <c:pt idx="5">
                  <c:v>0.20374787052810903</c:v>
                </c:pt>
                <c:pt idx="6">
                  <c:v>0.22366330035371917</c:v>
                </c:pt>
                <c:pt idx="7">
                  <c:v>0.22366330035371917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64-4D60-A7D5-6FD56B8FF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2692960"/>
        <c:axId val="612690080"/>
      </c:lineChart>
      <c:catAx>
        <c:axId val="61270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12640"/>
        <c:crosses val="autoZero"/>
        <c:auto val="1"/>
        <c:lblAlgn val="ctr"/>
        <c:lblOffset val="100"/>
        <c:noMultiLvlLbl val="0"/>
      </c:catAx>
      <c:valAx>
        <c:axId val="612712640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04960"/>
        <c:crosses val="autoZero"/>
        <c:crossBetween val="between"/>
      </c:valAx>
      <c:valAx>
        <c:axId val="612690080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692960"/>
        <c:crosses val="max"/>
        <c:crossBetween val="between"/>
      </c:valAx>
      <c:catAx>
        <c:axId val="6126929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126900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500538344303316"/>
          <c:y val="5.942754117679646E-2"/>
          <c:w val="0.8279251292443649"/>
          <c:h val="0.78968949636012475"/>
        </c:manualLayout>
      </c:layout>
      <c:bubbleChart>
        <c:varyColors val="0"/>
        <c:ser>
          <c:idx val="0"/>
          <c:order val="0"/>
          <c:tx>
            <c:strRef>
              <c:f>Charts!$B$481:$B$489</c:f>
              <c:strCache>
                <c:ptCount val="9"/>
                <c:pt idx="1">
                  <c:v>FY24</c:v>
                </c:pt>
                <c:pt idx="2">
                  <c:v>Software</c:v>
                </c:pt>
                <c:pt idx="3">
                  <c:v>Infosys IN</c:v>
                </c:pt>
                <c:pt idx="4">
                  <c:v>FPT VN</c:v>
                </c:pt>
                <c:pt idx="5">
                  <c:v>CMG VN</c:v>
                </c:pt>
                <c:pt idx="6">
                  <c:v>HCLT IN</c:v>
                </c:pt>
                <c:pt idx="7">
                  <c:v>IBM US</c:v>
                </c:pt>
                <c:pt idx="8">
                  <c:v>WIPRO IN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  <a:ln w="25400"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B72-4D5D-AE27-3728D8C6D59E}"/>
              </c:ext>
            </c:extLst>
          </c:dPt>
          <c:dLbls>
            <c:dLbl>
              <c:idx val="0"/>
              <c:layout>
                <c:manualLayout>
                  <c:x val="-1.3853137824123951E-2"/>
                  <c:y val="3.2360630114132087E-2"/>
                </c:manualLayout>
              </c:layout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2-5B72-4D5D-AE27-3728D8C6D59E}"/>
                </c:ext>
              </c:extLst>
            </c:dLbl>
            <c:dLbl>
              <c:idx val="1"/>
              <c:layout>
                <c:manualLayout>
                  <c:x val="-6.3446444342769859E-3"/>
                  <c:y val="-6.0335699691990347E-2"/>
                </c:manualLayout>
              </c:layout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1-5B72-4D5D-AE27-3728D8C6D59E}"/>
                </c:ext>
              </c:extLst>
            </c:dLbl>
            <c:dLbl>
              <c:idx val="2"/>
              <c:layout>
                <c:manualLayout>
                  <c:x val="-0.12292370508006867"/>
                  <c:y val="-0.25060848847787137"/>
                </c:manualLayout>
              </c:layout>
              <c:tx>
                <c:rich>
                  <a:bodyPr/>
                  <a:lstStyle/>
                  <a:p>
                    <a:fld id="{1F4CE1FF-F7DB-48D8-8614-494E25018B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5B72-4D5D-AE27-3728D8C6D59E}"/>
                </c:ext>
              </c:extLst>
            </c:dLbl>
            <c:dLbl>
              <c:idx val="3"/>
              <c:layout>
                <c:manualLayout>
                  <c:x val="-0.11302402487677472"/>
                  <c:y val="-6.0084806178108935E-2"/>
                </c:manualLayout>
              </c:layout>
              <c:tx>
                <c:rich>
                  <a:bodyPr/>
                  <a:lstStyle/>
                  <a:p>
                    <a:fld id="{8A28679B-0A02-48D1-8B7F-E7ECDF542F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5B72-4D5D-AE27-3728D8C6D59E}"/>
                </c:ext>
              </c:extLst>
            </c:dLbl>
            <c:dLbl>
              <c:idx val="4"/>
              <c:layout>
                <c:manualLayout>
                  <c:x val="2.1071639300901262E-2"/>
                  <c:y val="9.6030370076109345E-2"/>
                </c:manualLayout>
              </c:layout>
              <c:tx>
                <c:rich>
                  <a:bodyPr/>
                  <a:lstStyle/>
                  <a:p>
                    <a:fld id="{D3ABB247-CAD6-4CB7-9846-836D70A1A4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5B72-4D5D-AE27-3728D8C6D59E}"/>
                </c:ext>
              </c:extLst>
            </c:dLbl>
            <c:dLbl>
              <c:idx val="5"/>
              <c:layout>
                <c:manualLayout>
                  <c:x val="-2.8313531239001006E-2"/>
                  <c:y val="3.5804281836597736E-2"/>
                </c:manualLayout>
              </c:layout>
              <c:tx>
                <c:rich>
                  <a:bodyPr/>
                  <a:lstStyle/>
                  <a:p>
                    <a:fld id="{D6C28936-6ED4-40B2-88AB-C0FA135FEE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5B72-4D5D-AE27-3728D8C6D59E}"/>
                </c:ext>
              </c:extLst>
            </c:dLbl>
            <c:dLbl>
              <c:idx val="6"/>
              <c:layout>
                <c:manualLayout>
                  <c:x val="-7.3739241825335278E-3"/>
                  <c:y val="-7.6071038039907335E-2"/>
                </c:manualLayout>
              </c:layout>
              <c:tx>
                <c:rich>
                  <a:bodyPr/>
                  <a:lstStyle/>
                  <a:p>
                    <a:fld id="{80626E7A-AE10-4F59-A946-7BD89967D5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5B72-4D5D-AE27-3728D8C6D59E}"/>
                </c:ext>
              </c:extLst>
            </c:dLbl>
            <c:dLbl>
              <c:idx val="7"/>
              <c:layout>
                <c:manualLayout>
                  <c:x val="-0.14724174235309503"/>
                  <c:y val="-5.0186760711930921E-2"/>
                </c:manualLayout>
              </c:layout>
              <c:tx>
                <c:rich>
                  <a:bodyPr/>
                  <a:lstStyle/>
                  <a:p>
                    <a:fld id="{9D200501-51CE-4CDA-AF57-30E47A4F43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5B72-4D5D-AE27-3728D8C6D59E}"/>
                </c:ext>
              </c:extLst>
            </c:dLbl>
            <c:dLbl>
              <c:idx val="8"/>
              <c:layout>
                <c:manualLayout>
                  <c:x val="-0.11250031795668002"/>
                  <c:y val="-0.3299918443304084"/>
                </c:manualLayout>
              </c:layout>
              <c:tx>
                <c:rich>
                  <a:bodyPr/>
                  <a:lstStyle/>
                  <a:p>
                    <a:fld id="{95D31874-1190-4C07-90B0-EBF4B5B94A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5B72-4D5D-AE27-3728D8C6D59E}"/>
                </c:ext>
              </c:extLst>
            </c:dLbl>
            <c:dLbl>
              <c:idx val="9"/>
              <c:layout>
                <c:manualLayout>
                  <c:x val="2.3563129701825985E-2"/>
                  <c:y val="7.3560124101541488E-3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A-5B72-4D5D-AE27-3728D8C6D5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Charts!$E$481:$E$489</c:f>
              <c:strCache>
                <c:ptCount val="9"/>
                <c:pt idx="2">
                  <c:v>RETURN_COM_EQY</c:v>
                </c:pt>
                <c:pt idx="3">
                  <c:v>30.632</c:v>
                </c:pt>
                <c:pt idx="4">
                  <c:v>28.343</c:v>
                </c:pt>
                <c:pt idx="5">
                  <c:v>12.5387</c:v>
                </c:pt>
                <c:pt idx="6">
                  <c:v>24.6067</c:v>
                </c:pt>
                <c:pt idx="7">
                  <c:v>22.6409</c:v>
                </c:pt>
                <c:pt idx="8">
                  <c:v>16.3282</c:v>
                </c:pt>
              </c:strCache>
            </c:strRef>
          </c:xVal>
          <c:yVal>
            <c:numRef>
              <c:f>Charts!$C$481:$C$489</c:f>
              <c:numCache>
                <c:formatCode>General</c:formatCode>
                <c:ptCount val="9"/>
                <c:pt idx="2">
                  <c:v>0</c:v>
                </c:pt>
                <c:pt idx="3" formatCode="0.00">
                  <c:v>2.23</c:v>
                </c:pt>
                <c:pt idx="4" formatCode="0.00">
                  <c:v>1.02</c:v>
                </c:pt>
                <c:pt idx="5" formatCode="0.00">
                  <c:v>1.8</c:v>
                </c:pt>
                <c:pt idx="6" formatCode="0.00">
                  <c:v>3.1</c:v>
                </c:pt>
                <c:pt idx="7" formatCode="0.00">
                  <c:v>1.65</c:v>
                </c:pt>
                <c:pt idx="8" formatCode="0.00">
                  <c:v>2.39</c:v>
                </c:pt>
              </c:numCache>
            </c:numRef>
          </c:yVal>
          <c:bubbleSize>
            <c:numRef>
              <c:f>Charts!$G$481:$G$489</c:f>
              <c:numCache>
                <c:formatCode>General</c:formatCode>
                <c:ptCount val="9"/>
                <c:pt idx="2">
                  <c:v>0</c:v>
                </c:pt>
                <c:pt idx="3" formatCode="_(* #,##0_);_(* \(#,##0\);_(* \-??_);_(@_)">
                  <c:v>77657.778526315786</c:v>
                </c:pt>
                <c:pt idx="4" formatCode="_(* #,##0_);_(* \(#,##0\);_(* \-??_);_(@_)">
                  <c:v>6734.354631553846</c:v>
                </c:pt>
                <c:pt idx="5" formatCode="_(* #,##0_);_(* \(#,##0\);_(* \-??_);_(@_)">
                  <c:v>308.82425638461541</c:v>
                </c:pt>
                <c:pt idx="6" formatCode="_(* #,##0_);_(* \(#,##0\);_(* \-??_);_(@_)">
                  <c:v>54865.569361403512</c:v>
                </c:pt>
                <c:pt idx="7" formatCode="_(* #,##0_);_(* \(#,##0\);_(* \-??_);_(@_)">
                  <c:v>203626</c:v>
                </c:pt>
                <c:pt idx="8" formatCode="_(* #,##0_);_(* \(#,##0\);_(* \-??_);_(@_)">
                  <c:v>32609.204399999999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Charts!$B$481:$B$489</c15:f>
                <c15:dlblRangeCache>
                  <c:ptCount val="9"/>
                  <c:pt idx="1">
                    <c:v>FY24</c:v>
                  </c:pt>
                  <c:pt idx="2">
                    <c:v>Software</c:v>
                  </c:pt>
                  <c:pt idx="3">
                    <c:v>Infosys IN</c:v>
                  </c:pt>
                  <c:pt idx="4">
                    <c:v>FPT VN</c:v>
                  </c:pt>
                  <c:pt idx="5">
                    <c:v>CMG VN</c:v>
                  </c:pt>
                  <c:pt idx="6">
                    <c:v>HCLT IN</c:v>
                  </c:pt>
                  <c:pt idx="7">
                    <c:v>IBM US</c:v>
                  </c:pt>
                  <c:pt idx="8">
                    <c:v>WIPRO IN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5B72-4D5D-AE27-3728D8C6D59E}"/>
            </c:ext>
          </c:extLst>
        </c:ser>
        <c:ser>
          <c:idx val="1"/>
          <c:order val="1"/>
          <c:tx>
            <c:strRef>
              <c:f>Charts!$B$495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solidFill>
                <a:srgbClr val="B2B2B2"/>
              </a:solidFill>
            </a:ln>
            <a:effectLst/>
          </c:spPr>
          <c:invertIfNegative val="0"/>
          <c:errBars>
            <c:errDir val="y"/>
            <c:errBarType val="both"/>
            <c:errValType val="stdErr"/>
            <c:noEndCap val="1"/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round/>
              </a:ln>
              <a:effectLst/>
            </c:spPr>
          </c:errBars>
          <c:xVal>
            <c:numRef>
              <c:f>Charts!$C$495:$C$496</c:f>
              <c:numCache>
                <c:formatCode>General</c:formatCode>
                <c:ptCount val="2"/>
              </c:numCache>
            </c:numRef>
          </c:xVal>
          <c:yVal>
            <c:numRef>
              <c:f>Charts!$D$495:$D$496</c:f>
              <c:numCache>
                <c:formatCode>General</c:formatCode>
                <c:ptCount val="2"/>
              </c:numCache>
            </c:numRef>
          </c:yVal>
          <c:bubbleSize>
            <c:numLit>
              <c:formatCode>General</c:formatCode>
              <c:ptCount val="9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C-5B72-4D5D-AE27-3728D8C6D59E}"/>
            </c:ext>
          </c:extLst>
        </c:ser>
        <c:ser>
          <c:idx val="2"/>
          <c:order val="2"/>
          <c:tx>
            <c:strRef>
              <c:f>Charts!$B$497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Dir val="x"/>
            <c:errBarType val="both"/>
            <c:errValType val="stdErr"/>
            <c:noEndCap val="1"/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Charts!$C$497:$C$498</c:f>
              <c:numCache>
                <c:formatCode>0</c:formatCode>
                <c:ptCount val="2"/>
                <c:pt idx="1">
                  <c:v>25</c:v>
                </c:pt>
              </c:numCache>
            </c:numRef>
          </c:xVal>
          <c:yVal>
            <c:numRef>
              <c:f>Charts!$D$497:$D$498</c:f>
              <c:numCache>
                <c:formatCode>0</c:formatCode>
                <c:ptCount val="2"/>
                <c:pt idx="1">
                  <c:v>-10</c:v>
                </c:pt>
              </c:numCache>
            </c:numRef>
          </c:yVal>
          <c:bubbleSize>
            <c:numLit>
              <c:formatCode>General</c:formatCode>
              <c:ptCount val="9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D-5B72-4D5D-AE27-3728D8C6D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30"/>
        <c:showNegBubbles val="0"/>
        <c:axId val="1365636256"/>
        <c:axId val="1419829424"/>
      </c:bubbleChart>
      <c:valAx>
        <c:axId val="1365636256"/>
        <c:scaling>
          <c:orientation val="minMax"/>
          <c:max val="5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r>
                  <a:rPr lang="en-US" b="1" dirty="0"/>
                  <a:t>TTM ROE (%)</a:t>
                </a:r>
              </a:p>
            </c:rich>
          </c:tx>
          <c:layout>
            <c:manualLayout>
              <c:xMode val="edge"/>
              <c:yMode val="edge"/>
              <c:x val="0.44651234411964003"/>
              <c:y val="0.871837088922190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" panose="020B0502040504020204" pitchFamily="34" charset="0"/>
                  <a:ea typeface="Noto Sans" panose="020B0502040504020204" pitchFamily="34" charset="0"/>
                  <a:cs typeface="Noto Sans" panose="020B0502040504020204" pitchFamily="34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419829424"/>
        <c:crosses val="autoZero"/>
        <c:crossBetween val="midCat"/>
      </c:valAx>
      <c:valAx>
        <c:axId val="1419829424"/>
        <c:scaling>
          <c:orientation val="minMax"/>
          <c:max val="15"/>
          <c:min val="-5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r>
                  <a:rPr lang="en-US" b="1"/>
                  <a:t>TTM P/E/G (%)</a:t>
                </a:r>
              </a:p>
            </c:rich>
          </c:tx>
          <c:layout>
            <c:manualLayout>
              <c:xMode val="edge"/>
              <c:yMode val="edge"/>
              <c:x val="6.4814984834548851E-3"/>
              <c:y val="2.087533270045753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" panose="020B0502040504020204" pitchFamily="34" charset="0"/>
                  <a:ea typeface="Noto Sans" panose="020B0502040504020204" pitchFamily="34" charset="0"/>
                  <a:cs typeface="Noto Sans" panose="020B0502040504020204" pitchFamily="34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365636256"/>
        <c:crosses val="autoZero"/>
        <c:crossBetween val="midCat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VN-Gilroy" panose="00000500000000000000" pitchFamily="50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r>
              <a:rPr lang="en-US" sz="2400" dirty="0"/>
              <a:t>(VNDbn)</a:t>
            </a:r>
          </a:p>
        </c:rich>
      </c:tx>
      <c:layout>
        <c:manualLayout>
          <c:xMode val="edge"/>
          <c:yMode val="edge"/>
          <c:x val="1.6427280245279268E-2"/>
          <c:y val="2.22263892657992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VN-Gilroy" panose="00000500000000000000" pitchFamily="50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115613295279592"/>
          <c:y val="9.2747034184380822E-2"/>
          <c:w val="0.69914290365902398"/>
          <c:h val="0.73673996910434836"/>
        </c:manualLayout>
      </c:layout>
      <c:barChart>
        <c:barDir val="col"/>
        <c:grouping val="clustered"/>
        <c:varyColors val="0"/>
        <c:ser>
          <c:idx val="1"/>
          <c:order val="0"/>
          <c:tx>
            <c:v>Doanh thu ký trước (tỷ)</c:v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Charts!$D$47:$I$47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7M25</c:v>
                </c:pt>
                <c:pt idx="5">
                  <c:v>8M25</c:v>
                </c:pt>
              </c:strCache>
            </c:strRef>
          </c:cat>
          <c:val>
            <c:numRef>
              <c:f>Charts!$D$48:$I$48</c:f>
              <c:numCache>
                <c:formatCode>#,##0</c:formatCode>
                <c:ptCount val="6"/>
                <c:pt idx="0">
                  <c:v>15541</c:v>
                </c:pt>
                <c:pt idx="1">
                  <c:v>21594</c:v>
                </c:pt>
                <c:pt idx="2">
                  <c:v>29717</c:v>
                </c:pt>
                <c:pt idx="3">
                  <c:v>33592</c:v>
                </c:pt>
                <c:pt idx="4">
                  <c:v>23370</c:v>
                </c:pt>
                <c:pt idx="5">
                  <c:v>25970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FC-49C0-B301-9BFD1A973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66310896"/>
        <c:axId val="966333456"/>
      </c:barChart>
      <c:lineChart>
        <c:grouping val="standard"/>
        <c:varyColors val="0"/>
        <c:ser>
          <c:idx val="2"/>
          <c:order val="1"/>
          <c:tx>
            <c:v>Tăng svck (%) - RHS</c:v>
          </c:tx>
          <c:spPr>
            <a:ln w="28575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cat>
            <c:strRef>
              <c:f>Charts!$D$47:$I$47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7M25</c:v>
                </c:pt>
                <c:pt idx="5">
                  <c:v>8M25</c:v>
                </c:pt>
              </c:strCache>
            </c:strRef>
          </c:cat>
          <c:val>
            <c:numRef>
              <c:f>Charts!$D$49:$I$49</c:f>
              <c:numCache>
                <c:formatCode>0.0%</c:formatCode>
                <c:ptCount val="6"/>
                <c:pt idx="0">
                  <c:v>0.18678885070637641</c:v>
                </c:pt>
                <c:pt idx="1">
                  <c:v>0.38948587606975105</c:v>
                </c:pt>
                <c:pt idx="2">
                  <c:v>0.37616930628878387</c:v>
                </c:pt>
                <c:pt idx="3">
                  <c:v>0.13039674260524281</c:v>
                </c:pt>
                <c:pt idx="4">
                  <c:v>7.6999999999999999E-2</c:v>
                </c:pt>
                <c:pt idx="5" formatCode="0.00%">
                  <c:v>0.122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FC-49C0-B301-9BFD1A973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6359856"/>
        <c:axId val="966358896"/>
      </c:lineChart>
      <c:catAx>
        <c:axId val="96631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VN-Gilroy" panose="00000500000000000000" pitchFamily="50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966333456"/>
        <c:crosses val="autoZero"/>
        <c:auto val="1"/>
        <c:lblAlgn val="ctr"/>
        <c:lblOffset val="100"/>
        <c:noMultiLvlLbl val="0"/>
      </c:catAx>
      <c:valAx>
        <c:axId val="966333456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VN-Gilroy" panose="00000500000000000000" pitchFamily="50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966310896"/>
        <c:crosses val="autoZero"/>
        <c:crossBetween val="between"/>
      </c:valAx>
      <c:valAx>
        <c:axId val="966358896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VN-Gilroy" panose="00000500000000000000" pitchFamily="50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966359856"/>
        <c:crosses val="max"/>
        <c:crossBetween val="between"/>
      </c:valAx>
      <c:catAx>
        <c:axId val="9663598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663588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861107041612548"/>
          <c:y val="0.92421538904722378"/>
          <c:w val="0.76277785916774909"/>
          <c:h val="6.83887556599645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VN-Gilroy" panose="00000500000000000000" pitchFamily="50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2400">
          <a:latin typeface="SVN-Gilroy" panose="00000500000000000000" pitchFamily="50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Revenue!$A$249</c:f>
              <c:strCache>
                <c:ptCount val="1"/>
                <c:pt idx="0">
                  <c:v>Global IT Revenue YoY% growth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Revenue!$AM$1:$AZ$1</c:f>
              <c:strCache>
                <c:ptCount val="14"/>
                <c:pt idx="0">
                  <c:v>1Q22</c:v>
                </c:pt>
                <c:pt idx="1">
                  <c:v>2Q22</c:v>
                </c:pt>
                <c:pt idx="2">
                  <c:v>3Q22</c:v>
                </c:pt>
                <c:pt idx="3">
                  <c:v>4Q22</c:v>
                </c:pt>
                <c:pt idx="4">
                  <c:v>1Q23</c:v>
                </c:pt>
                <c:pt idx="5">
                  <c:v>2Q23</c:v>
                </c:pt>
                <c:pt idx="6">
                  <c:v>3Q23</c:v>
                </c:pt>
                <c:pt idx="7">
                  <c:v>4Q23</c:v>
                </c:pt>
                <c:pt idx="8">
                  <c:v>1Q24</c:v>
                </c:pt>
                <c:pt idx="9">
                  <c:v>2Q24</c:v>
                </c:pt>
                <c:pt idx="10">
                  <c:v>3Q24</c:v>
                </c:pt>
                <c:pt idx="11">
                  <c:v>4Q24</c:v>
                </c:pt>
                <c:pt idx="12">
                  <c:v>1Q25</c:v>
                </c:pt>
                <c:pt idx="13">
                  <c:v>2Q25</c:v>
                </c:pt>
              </c:strCache>
            </c:strRef>
          </c:cat>
          <c:val>
            <c:numRef>
              <c:f>Revenue!$AM$249:$AZ$249</c:f>
              <c:numCache>
                <c:formatCode>0.00%</c:formatCode>
                <c:ptCount val="14"/>
                <c:pt idx="0">
                  <c:v>0.2972075454076768</c:v>
                </c:pt>
                <c:pt idx="1">
                  <c:v>0.28380989895666531</c:v>
                </c:pt>
                <c:pt idx="2">
                  <c:v>0.30158646362061825</c:v>
                </c:pt>
                <c:pt idx="3">
                  <c:v>0.31939752238606323</c:v>
                </c:pt>
                <c:pt idx="4">
                  <c:v>0.32262359453680478</c:v>
                </c:pt>
                <c:pt idx="5">
                  <c:v>0.28343346516742352</c:v>
                </c:pt>
                <c:pt idx="6">
                  <c:v>0.31746826206809398</c:v>
                </c:pt>
                <c:pt idx="7">
                  <c:v>0.22370220429875465</c:v>
                </c:pt>
                <c:pt idx="8">
                  <c:v>0.28710353156272461</c:v>
                </c:pt>
                <c:pt idx="9">
                  <c:v>0.30829617655883568</c:v>
                </c:pt>
                <c:pt idx="10">
                  <c:v>0.26504141272073745</c:v>
                </c:pt>
                <c:pt idx="11">
                  <c:v>0.24362053437406161</c:v>
                </c:pt>
                <c:pt idx="12">
                  <c:v>0.16959565652236042</c:v>
                </c:pt>
                <c:pt idx="13">
                  <c:v>0.12001584367573281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02-4297-A762-766B04956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60131376"/>
        <c:axId val="1460130896"/>
      </c:barChart>
      <c:lineChart>
        <c:grouping val="standard"/>
        <c:varyColors val="0"/>
        <c:ser>
          <c:idx val="1"/>
          <c:order val="1"/>
          <c:tx>
            <c:strRef>
              <c:f>Revenue!$A$254</c:f>
              <c:strCache>
                <c:ptCount val="1"/>
                <c:pt idx="0">
                  <c:v>Signed revenue YoY% growth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Revenue!$AM$1:$AZ$1</c:f>
              <c:strCache>
                <c:ptCount val="14"/>
                <c:pt idx="0">
                  <c:v>1Q22</c:v>
                </c:pt>
                <c:pt idx="1">
                  <c:v>2Q22</c:v>
                </c:pt>
                <c:pt idx="2">
                  <c:v>3Q22</c:v>
                </c:pt>
                <c:pt idx="3">
                  <c:v>4Q22</c:v>
                </c:pt>
                <c:pt idx="4">
                  <c:v>1Q23</c:v>
                </c:pt>
                <c:pt idx="5">
                  <c:v>2Q23</c:v>
                </c:pt>
                <c:pt idx="6">
                  <c:v>3Q23</c:v>
                </c:pt>
                <c:pt idx="7">
                  <c:v>4Q23</c:v>
                </c:pt>
                <c:pt idx="8">
                  <c:v>1Q24</c:v>
                </c:pt>
                <c:pt idx="9">
                  <c:v>2Q24</c:v>
                </c:pt>
                <c:pt idx="10">
                  <c:v>3Q24</c:v>
                </c:pt>
                <c:pt idx="11">
                  <c:v>4Q24</c:v>
                </c:pt>
                <c:pt idx="12">
                  <c:v>1Q25</c:v>
                </c:pt>
                <c:pt idx="13">
                  <c:v>2Q25</c:v>
                </c:pt>
              </c:strCache>
            </c:strRef>
          </c:cat>
          <c:val>
            <c:numRef>
              <c:f>Revenue!$AM$254:$AZ$254</c:f>
              <c:numCache>
                <c:formatCode>0.0%</c:formatCode>
                <c:ptCount val="14"/>
                <c:pt idx="0">
                  <c:v>0.57206504789485413</c:v>
                </c:pt>
                <c:pt idx="1">
                  <c:v>0.20010381520892806</c:v>
                </c:pt>
                <c:pt idx="2">
                  <c:v>0.14624860022396424</c:v>
                </c:pt>
                <c:pt idx="3">
                  <c:v>0.75384052670080459</c:v>
                </c:pt>
                <c:pt idx="4">
                  <c:v>0.44041377355816924</c:v>
                </c:pt>
                <c:pt idx="5">
                  <c:v>4.9307958477508684E-2</c:v>
                </c:pt>
                <c:pt idx="6">
                  <c:v>0.11039468542399367</c:v>
                </c:pt>
                <c:pt idx="7">
                  <c:v>0.88050052137643386</c:v>
                </c:pt>
                <c:pt idx="8">
                  <c:v>-3.4136743728480079E-2</c:v>
                </c:pt>
                <c:pt idx="9">
                  <c:v>0.82460840890354503</c:v>
                </c:pt>
                <c:pt idx="10">
                  <c:v>0.1349639275030794</c:v>
                </c:pt>
                <c:pt idx="11">
                  <c:v>-6.0552290118664698E-2</c:v>
                </c:pt>
                <c:pt idx="12">
                  <c:v>0.17182725606029736</c:v>
                </c:pt>
                <c:pt idx="13">
                  <c:v>-5.0717270981588181E-2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02-4297-A762-766B04956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0136176"/>
        <c:axId val="1460114576"/>
      </c:lineChart>
      <c:catAx>
        <c:axId val="146013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130896"/>
        <c:crosses val="autoZero"/>
        <c:auto val="1"/>
        <c:lblAlgn val="ctr"/>
        <c:lblOffset val="100"/>
        <c:noMultiLvlLbl val="0"/>
      </c:catAx>
      <c:valAx>
        <c:axId val="1460130896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131376"/>
        <c:crosses val="autoZero"/>
        <c:crossBetween val="between"/>
      </c:valAx>
      <c:valAx>
        <c:axId val="1460114576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136176"/>
        <c:crosses val="max"/>
        <c:crossBetween val="between"/>
      </c:valAx>
      <c:catAx>
        <c:axId val="14601361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601145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456036745406818E-2"/>
          <c:y val="5.0925925925925923E-2"/>
          <c:w val="0.88498840769903764"/>
          <c:h val="0.68021580635753864"/>
        </c:manualLayout>
      </c:layout>
      <c:lineChart>
        <c:grouping val="standard"/>
        <c:varyColors val="0"/>
        <c:ser>
          <c:idx val="1"/>
          <c:order val="1"/>
          <c:tx>
            <c:strRef>
              <c:f>Revenue!$A$216</c:f>
              <c:strCache>
                <c:ptCount val="1"/>
                <c:pt idx="0">
                  <c:v>Education &amp; others segment revenue YoY% growth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Revenue!$B$1:$J$1</c15:sqref>
                  </c15:fullRef>
                </c:ext>
              </c:extLst>
              <c:f>Revenue!$D$1:$J$1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Revenue!$B$216:$J$216</c15:sqref>
                  </c15:fullRef>
                </c:ext>
              </c:extLst>
              <c:f>Revenue!$D$216:$J$216</c:f>
              <c:numCache>
                <c:formatCode>0.0%</c:formatCode>
                <c:ptCount val="7"/>
                <c:pt idx="0">
                  <c:v>1.5765867342744988E-2</c:v>
                </c:pt>
                <c:pt idx="1">
                  <c:v>0.34584941583365492</c:v>
                </c:pt>
                <c:pt idx="2">
                  <c:v>0.67586601343120711</c:v>
                </c:pt>
                <c:pt idx="3">
                  <c:v>0.52488926898736921</c:v>
                </c:pt>
                <c:pt idx="4">
                  <c:v>0.14283050531418984</c:v>
                </c:pt>
                <c:pt idx="5">
                  <c:v>4.8947626040130032E-4</c:v>
                </c:pt>
                <c:pt idx="6">
                  <c:v>5.0000000000000044E-2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A6-4952-9A36-70AB331EF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0195216"/>
        <c:axId val="146017697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Revenue!$A$214</c15:sqref>
                        </c15:formulaRef>
                      </c:ext>
                    </c:extLst>
                    <c:strCache>
                      <c:ptCount val="1"/>
                      <c:pt idx="0">
                        <c:v>Full-time students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Revenue!$B$1:$J$1</c15:sqref>
                        </c15:fullRef>
                        <c15:formulaRef>
                          <c15:sqref>Revenue!$D$1:$J$1</c15:sqref>
                        </c15:formulaRef>
                      </c:ext>
                    </c:extLst>
                    <c:strCache>
                      <c:ptCount val="7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>
                        <c:v>2026F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Revenue!$B$214:$J$214</c15:sqref>
                        </c15:fullRef>
                        <c15:formulaRef>
                          <c15:sqref>Revenue!$D$214:$J$214</c15:sqref>
                        </c15:formulaRef>
                      </c:ext>
                    </c:extLst>
                    <c:numCache>
                      <c:formatCode>_(* #,##0_);_(* \(#,##0\);_(* \-??_);_(@_)</c:formatCode>
                      <c:ptCount val="7"/>
                      <c:pt idx="0">
                        <c:v>52005</c:v>
                      </c:pt>
                      <c:pt idx="1">
                        <c:v>74313</c:v>
                      </c:pt>
                      <c:pt idx="2">
                        <c:v>108100</c:v>
                      </c:pt>
                      <c:pt idx="3">
                        <c:v>145000</c:v>
                      </c:pt>
                      <c:pt idx="4">
                        <c:v>152000</c:v>
                      </c:pt>
                      <c:pt idx="5">
                        <c:v>160000</c:v>
                      </c:pt>
                      <c:pt idx="6" formatCode="#,##0">
                        <c:v>175000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9A6-4952-9A36-70AB331EF81B}"/>
                  </c:ext>
                </c:extLst>
              </c15:ser>
            </c15:filteredLineSeries>
          </c:ext>
        </c:extLst>
      </c:lineChart>
      <c:catAx>
        <c:axId val="146019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176976"/>
        <c:crosses val="autoZero"/>
        <c:auto val="1"/>
        <c:lblAlgn val="ctr"/>
        <c:lblOffset val="100"/>
        <c:noMultiLvlLbl val="0"/>
      </c:catAx>
      <c:valAx>
        <c:axId val="1460176976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195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621847879907374"/>
          <c:y val="5.7774988128281184E-2"/>
          <c:w val="0.76624092352485962"/>
          <c:h val="0.753604896803195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Revenue!$A$249</c:f>
              <c:strCache>
                <c:ptCount val="1"/>
                <c:pt idx="0">
                  <c:v>Global IT Revenue YoY% growth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Revenue!$AM$1:$AZ$1</c:f>
              <c:strCache>
                <c:ptCount val="14"/>
                <c:pt idx="0">
                  <c:v>1Q22</c:v>
                </c:pt>
                <c:pt idx="1">
                  <c:v>2Q22</c:v>
                </c:pt>
                <c:pt idx="2">
                  <c:v>3Q22</c:v>
                </c:pt>
                <c:pt idx="3">
                  <c:v>4Q22</c:v>
                </c:pt>
                <c:pt idx="4">
                  <c:v>1Q23</c:v>
                </c:pt>
                <c:pt idx="5">
                  <c:v>2Q23</c:v>
                </c:pt>
                <c:pt idx="6">
                  <c:v>3Q23</c:v>
                </c:pt>
                <c:pt idx="7">
                  <c:v>4Q23</c:v>
                </c:pt>
                <c:pt idx="8">
                  <c:v>1Q24</c:v>
                </c:pt>
                <c:pt idx="9">
                  <c:v>2Q24</c:v>
                </c:pt>
                <c:pt idx="10">
                  <c:v>3Q24</c:v>
                </c:pt>
                <c:pt idx="11">
                  <c:v>4Q24</c:v>
                </c:pt>
                <c:pt idx="12">
                  <c:v>1Q25</c:v>
                </c:pt>
                <c:pt idx="13">
                  <c:v>2Q25</c:v>
                </c:pt>
              </c:strCache>
            </c:strRef>
          </c:cat>
          <c:val>
            <c:numRef>
              <c:f>Revenue!$AM$249:$AZ$249</c:f>
              <c:numCache>
                <c:formatCode>0.00%</c:formatCode>
                <c:ptCount val="14"/>
                <c:pt idx="0">
                  <c:v>0.2972075454076768</c:v>
                </c:pt>
                <c:pt idx="1">
                  <c:v>0.28380989895666531</c:v>
                </c:pt>
                <c:pt idx="2">
                  <c:v>0.30158646362061825</c:v>
                </c:pt>
                <c:pt idx="3">
                  <c:v>0.31939752238606323</c:v>
                </c:pt>
                <c:pt idx="4">
                  <c:v>0.32262359453680478</c:v>
                </c:pt>
                <c:pt idx="5">
                  <c:v>0.28343346516742352</c:v>
                </c:pt>
                <c:pt idx="6">
                  <c:v>0.31746826206809398</c:v>
                </c:pt>
                <c:pt idx="7">
                  <c:v>0.22370220429875465</c:v>
                </c:pt>
                <c:pt idx="8">
                  <c:v>0.28710353156272461</c:v>
                </c:pt>
                <c:pt idx="9">
                  <c:v>0.30829617655883568</c:v>
                </c:pt>
                <c:pt idx="10">
                  <c:v>0.26504141272073745</c:v>
                </c:pt>
                <c:pt idx="11">
                  <c:v>0.24362053437406161</c:v>
                </c:pt>
                <c:pt idx="12">
                  <c:v>0.16959565652236042</c:v>
                </c:pt>
                <c:pt idx="13">
                  <c:v>0.12001584367573281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12-46AF-A09B-C6F71EED4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60131376"/>
        <c:axId val="1460130896"/>
      </c:barChart>
      <c:lineChart>
        <c:grouping val="standard"/>
        <c:varyColors val="0"/>
        <c:ser>
          <c:idx val="1"/>
          <c:order val="1"/>
          <c:tx>
            <c:strRef>
              <c:f>Revenue!$A$254</c:f>
              <c:strCache>
                <c:ptCount val="1"/>
                <c:pt idx="0">
                  <c:v>Signed revenue YoY% growth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Revenue!$AM$1:$AZ$1</c:f>
              <c:strCache>
                <c:ptCount val="14"/>
                <c:pt idx="0">
                  <c:v>1Q22</c:v>
                </c:pt>
                <c:pt idx="1">
                  <c:v>2Q22</c:v>
                </c:pt>
                <c:pt idx="2">
                  <c:v>3Q22</c:v>
                </c:pt>
                <c:pt idx="3">
                  <c:v>4Q22</c:v>
                </c:pt>
                <c:pt idx="4">
                  <c:v>1Q23</c:v>
                </c:pt>
                <c:pt idx="5">
                  <c:v>2Q23</c:v>
                </c:pt>
                <c:pt idx="6">
                  <c:v>3Q23</c:v>
                </c:pt>
                <c:pt idx="7">
                  <c:v>4Q23</c:v>
                </c:pt>
                <c:pt idx="8">
                  <c:v>1Q24</c:v>
                </c:pt>
                <c:pt idx="9">
                  <c:v>2Q24</c:v>
                </c:pt>
                <c:pt idx="10">
                  <c:v>3Q24</c:v>
                </c:pt>
                <c:pt idx="11">
                  <c:v>4Q24</c:v>
                </c:pt>
                <c:pt idx="12">
                  <c:v>1Q25</c:v>
                </c:pt>
                <c:pt idx="13">
                  <c:v>2Q25</c:v>
                </c:pt>
              </c:strCache>
            </c:strRef>
          </c:cat>
          <c:val>
            <c:numRef>
              <c:f>Revenue!$AM$254:$AZ$254</c:f>
              <c:numCache>
                <c:formatCode>0.0%</c:formatCode>
                <c:ptCount val="14"/>
                <c:pt idx="0">
                  <c:v>0.57206504789485413</c:v>
                </c:pt>
                <c:pt idx="1">
                  <c:v>0.20010381520892806</c:v>
                </c:pt>
                <c:pt idx="2">
                  <c:v>0.14624860022396424</c:v>
                </c:pt>
                <c:pt idx="3">
                  <c:v>0.75384052670080459</c:v>
                </c:pt>
                <c:pt idx="4">
                  <c:v>0.44041377355816924</c:v>
                </c:pt>
                <c:pt idx="5">
                  <c:v>4.9307958477508684E-2</c:v>
                </c:pt>
                <c:pt idx="6">
                  <c:v>0.11039468542399367</c:v>
                </c:pt>
                <c:pt idx="7">
                  <c:v>0.88050052137643386</c:v>
                </c:pt>
                <c:pt idx="8">
                  <c:v>-3.4136743728480079E-2</c:v>
                </c:pt>
                <c:pt idx="9">
                  <c:v>0.82460840890354503</c:v>
                </c:pt>
                <c:pt idx="10">
                  <c:v>0.1349639275030794</c:v>
                </c:pt>
                <c:pt idx="11">
                  <c:v>-6.0552290118664698E-2</c:v>
                </c:pt>
                <c:pt idx="12">
                  <c:v>0.17182725606029736</c:v>
                </c:pt>
                <c:pt idx="13">
                  <c:v>-5.0717270981588181E-2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12-46AF-A09B-C6F71EED4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0136176"/>
        <c:axId val="1460114576"/>
      </c:lineChart>
      <c:catAx>
        <c:axId val="146013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460130896"/>
        <c:crosses val="autoZero"/>
        <c:auto val="1"/>
        <c:lblAlgn val="ctr"/>
        <c:lblOffset val="100"/>
        <c:noMultiLvlLbl val="0"/>
      </c:catAx>
      <c:valAx>
        <c:axId val="1460130896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460131376"/>
        <c:crosses val="autoZero"/>
        <c:crossBetween val="between"/>
      </c:valAx>
      <c:valAx>
        <c:axId val="1460114576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460136176"/>
        <c:crosses val="max"/>
        <c:crossBetween val="between"/>
      </c:valAx>
      <c:catAx>
        <c:axId val="14601361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601145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08114610673665"/>
          <c:y val="0.14460038986354776"/>
          <c:w val="0.85836329833770775"/>
          <c:h val="0.68434651808874769"/>
        </c:manualLayout>
      </c:layout>
      <c:lineChart>
        <c:grouping val="standard"/>
        <c:varyColors val="0"/>
        <c:ser>
          <c:idx val="3"/>
          <c:order val="2"/>
          <c:tx>
            <c:v>Technology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(Revenue!$C$1:$H$1,Revenue!$BK$1)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8M25</c:v>
                </c:pt>
              </c:strCache>
            </c:strRef>
          </c:cat>
          <c:val>
            <c:numRef>
              <c:f>(Revenue!$C$144:$H$144,Revenue!$BK$144)</c:f>
              <c:numCache>
                <c:formatCode>0.0%</c:formatCode>
                <c:ptCount val="7"/>
                <c:pt idx="0">
                  <c:v>0.29852690643769142</c:v>
                </c:pt>
                <c:pt idx="1">
                  <c:v>0.13432893324742334</c:v>
                </c:pt>
                <c:pt idx="2">
                  <c:v>0.22923347956195772</c:v>
                </c:pt>
                <c:pt idx="3">
                  <c:v>0.22383888445942834</c:v>
                </c:pt>
                <c:pt idx="4">
                  <c:v>0.23641010909343696</c:v>
                </c:pt>
                <c:pt idx="5">
                  <c:v>0.25636713118692933</c:v>
                </c:pt>
                <c:pt idx="6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06-4F4E-B148-E292F3C07486}"/>
            </c:ext>
          </c:extLst>
        </c:ser>
        <c:ser>
          <c:idx val="0"/>
          <c:order val="3"/>
          <c:tx>
            <c:v>Telecom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(Revenue!$C$1:$H$1,Revenue!$BK$1)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8M25</c:v>
                </c:pt>
              </c:strCache>
            </c:strRef>
          </c:cat>
          <c:val>
            <c:numRef>
              <c:f>(Revenue!$C$147:$H$147,Revenue!$BK$147)</c:f>
              <c:numCache>
                <c:formatCode>0.0%</c:formatCode>
                <c:ptCount val="7"/>
                <c:pt idx="0">
                  <c:v>0.24055630949260887</c:v>
                </c:pt>
                <c:pt idx="1">
                  <c:v>0.14704673774840948</c:v>
                </c:pt>
                <c:pt idx="2">
                  <c:v>0.15471910805791222</c:v>
                </c:pt>
                <c:pt idx="3">
                  <c:v>0.17648456384301991</c:v>
                </c:pt>
                <c:pt idx="4">
                  <c:v>7.7513924099152698E-2</c:v>
                </c:pt>
                <c:pt idx="5">
                  <c:v>0.18181818181818188</c:v>
                </c:pt>
                <c:pt idx="6">
                  <c:v>0.19900000000000001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9A-4D5B-8DCF-9ED9915B56AE}"/>
            </c:ext>
          </c:extLst>
        </c:ser>
        <c:ser>
          <c:idx val="2"/>
          <c:order val="4"/>
          <c:tx>
            <c:v>Education &amp; others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(Revenue!$C$1:$H$1,Revenue!$BK$1)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8M25</c:v>
                </c:pt>
              </c:strCache>
            </c:strRef>
          </c:cat>
          <c:val>
            <c:numRef>
              <c:f>(Revenue!$C$150:$H$150,Revenue!$BK$150)</c:f>
              <c:numCache>
                <c:formatCode>0.0%</c:formatCode>
                <c:ptCount val="7"/>
                <c:pt idx="0">
                  <c:v>3.1919499902492987E-3</c:v>
                </c:pt>
                <c:pt idx="1">
                  <c:v>7.7016125177520989E-2</c:v>
                </c:pt>
                <c:pt idx="2">
                  <c:v>0.25206828565276385</c:v>
                </c:pt>
                <c:pt idx="3">
                  <c:v>0.24059865780026457</c:v>
                </c:pt>
                <c:pt idx="4">
                  <c:v>0.35611428587382465</c:v>
                </c:pt>
                <c:pt idx="5">
                  <c:v>0.12418952618453871</c:v>
                </c:pt>
                <c:pt idx="6">
                  <c:v>0.246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9A-4D5B-8DCF-9ED9915B5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6915967"/>
        <c:axId val="1206916447"/>
        <c:extLst>
          <c:ext xmlns:c15="http://schemas.microsoft.com/office/drawing/2012/chart" uri="{02D57815-91ED-43cb-92C2-25804820EDAC}">
            <c15:filteredLineSeries>
              <c15:ser>
                <c:idx val="4"/>
                <c:order val="0"/>
                <c:tx>
                  <c:strRef>
                    <c:extLst>
                      <c:ext uri="{02D57815-91ED-43cb-92C2-25804820EDAC}">
                        <c15:formulaRef>
                          <c15:sqref>Revenue!$A$145</c15:sqref>
                        </c15:formulaRef>
                      </c:ext>
                    </c:extLst>
                    <c:strCache>
                      <c:ptCount val="1"/>
                      <c:pt idx="0">
                        <c:v>Global IT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(Revenue!$C$1:$H$1,Revenue!$BK$1)</c15:sqref>
                        </c15:formulaRef>
                      </c:ext>
                    </c:extLst>
                    <c:strCache>
                      <c:ptCount val="7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  <c:pt idx="5">
                        <c:v>2024</c:v>
                      </c:pt>
                      <c:pt idx="6">
                        <c:v>8M25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(Revenue!$C$145:$H$145,Revenue!$BK$145)</c15:sqref>
                        </c15:formulaRef>
                      </c:ext>
                    </c:extLst>
                    <c:numCache>
                      <c:formatCode>0.0%</c:formatCode>
                      <c:ptCount val="7"/>
                      <c:pt idx="0">
                        <c:v>0.26642530583074642</c:v>
                      </c:pt>
                      <c:pt idx="1">
                        <c:v>0.14383583117261622</c:v>
                      </c:pt>
                      <c:pt idx="2">
                        <c:v>0.23028696029983231</c:v>
                      </c:pt>
                      <c:pt idx="3">
                        <c:v>0.22808836440208058</c:v>
                      </c:pt>
                      <c:pt idx="4">
                        <c:v>0.27052210664793486</c:v>
                      </c:pt>
                      <c:pt idx="5">
                        <c:v>0.26123744050766784</c:v>
                      </c:pt>
                      <c:pt idx="6">
                        <c:v>0.123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5D9A-4D5B-8DCF-9ED9915B56A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Revenue!$A$146</c15:sqref>
                        </c15:formulaRef>
                      </c:ext>
                    </c:extLst>
                    <c:strCache>
                      <c:ptCount val="1"/>
                      <c:pt idx="0">
                        <c:v>Domestic IT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(Revenue!$C$1:$H$1,Revenue!$BK$1)</c15:sqref>
                        </c15:formulaRef>
                      </c:ext>
                    </c:extLst>
                    <c:strCache>
                      <c:ptCount val="7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  <c:pt idx="5">
                        <c:v>2024</c:v>
                      </c:pt>
                      <c:pt idx="6">
                        <c:v>8M25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(Revenue!$C$146:$H$146,Revenue!$BK$146)</c15:sqref>
                        </c15:formulaRef>
                      </c:ext>
                    </c:extLst>
                    <c:numCache>
                      <c:formatCode>0.0%</c:formatCode>
                      <c:ptCount val="7"/>
                      <c:pt idx="0">
                        <c:v>0.57303363722099965</c:v>
                      </c:pt>
                      <c:pt idx="1">
                        <c:v>6.8879376156616212E-2</c:v>
                      </c:pt>
                      <c:pt idx="2">
                        <c:v>0.22147226875673098</c:v>
                      </c:pt>
                      <c:pt idx="3">
                        <c:v>0.19230616162203695</c:v>
                      </c:pt>
                      <c:pt idx="4">
                        <c:v>-2.431008452555794E-2</c:v>
                      </c:pt>
                      <c:pt idx="5">
                        <c:v>0.21052631578947367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D9A-4D5B-8DCF-9ED9915B56AE}"/>
                  </c:ext>
                </c:extLst>
              </c15:ser>
            </c15:filteredLineSeries>
          </c:ext>
        </c:extLst>
      </c:lineChart>
      <c:catAx>
        <c:axId val="1206915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916447"/>
        <c:crosses val="autoZero"/>
        <c:auto val="1"/>
        <c:lblAlgn val="ctr"/>
        <c:lblOffset val="100"/>
        <c:noMultiLvlLbl val="0"/>
      </c:catAx>
      <c:valAx>
        <c:axId val="1206916447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915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898264163782322"/>
          <c:y val="0.92496101484865545"/>
          <c:w val="0.7074307922819737"/>
          <c:h val="7.32636521595974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Revenue!$A$251</c:f>
              <c:strCache>
                <c:ptCount val="1"/>
                <c:pt idx="0">
                  <c:v>Global IT TTM %growth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Revenue!$AP$1:$BA$1</c:f>
              <c:strCache>
                <c:ptCount val="12"/>
                <c:pt idx="0">
                  <c:v>4Q22</c:v>
                </c:pt>
                <c:pt idx="1">
                  <c:v>1Q23</c:v>
                </c:pt>
                <c:pt idx="2">
                  <c:v>2Q23</c:v>
                </c:pt>
                <c:pt idx="3">
                  <c:v>3Q23</c:v>
                </c:pt>
                <c:pt idx="4">
                  <c:v>4Q23</c:v>
                </c:pt>
                <c:pt idx="5">
                  <c:v>1Q24</c:v>
                </c:pt>
                <c:pt idx="6">
                  <c:v>2Q24</c:v>
                </c:pt>
                <c:pt idx="7">
                  <c:v>3Q24</c:v>
                </c:pt>
                <c:pt idx="8">
                  <c:v>4Q24</c:v>
                </c:pt>
                <c:pt idx="9">
                  <c:v>1Q25</c:v>
                </c:pt>
                <c:pt idx="10">
                  <c:v>2Q25</c:v>
                </c:pt>
                <c:pt idx="11">
                  <c:v>3Q25</c:v>
                </c:pt>
              </c:strCache>
            </c:strRef>
          </c:cat>
          <c:val>
            <c:numRef>
              <c:f>Revenue!$AP$251:$BA$251</c:f>
              <c:numCache>
                <c:formatCode>0.0%</c:formatCode>
                <c:ptCount val="12"/>
                <c:pt idx="0">
                  <c:v>0.30139082434317066</c:v>
                </c:pt>
                <c:pt idx="1">
                  <c:v>0.30788541068555575</c:v>
                </c:pt>
                <c:pt idx="2">
                  <c:v>0.30632560248369711</c:v>
                </c:pt>
                <c:pt idx="3">
                  <c:v>0.31040419626797711</c:v>
                </c:pt>
                <c:pt idx="4">
                  <c:v>0.28349943838972846</c:v>
                </c:pt>
                <c:pt idx="5">
                  <c:v>0.27652375303146637</c:v>
                </c:pt>
                <c:pt idx="6">
                  <c:v>0.28362000722959468</c:v>
                </c:pt>
                <c:pt idx="7">
                  <c:v>0.27134063151342613</c:v>
                </c:pt>
                <c:pt idx="8">
                  <c:v>0.27441534914360988</c:v>
                </c:pt>
                <c:pt idx="9">
                  <c:v>0.24336493236601564</c:v>
                </c:pt>
                <c:pt idx="10">
                  <c:v>0.19595425924585652</c:v>
                </c:pt>
                <c:pt idx="11">
                  <c:v>0.15441527446300718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34-4C70-B00C-CD5E7F5E8174}"/>
            </c:ext>
          </c:extLst>
        </c:ser>
        <c:ser>
          <c:idx val="1"/>
          <c:order val="1"/>
          <c:tx>
            <c:strRef>
              <c:f>Revenue!$A$254</c:f>
              <c:strCache>
                <c:ptCount val="1"/>
                <c:pt idx="0">
                  <c:v>Signed revenue YoY% growth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Revenue!$AP$1:$BA$1</c:f>
              <c:strCache>
                <c:ptCount val="12"/>
                <c:pt idx="0">
                  <c:v>4Q22</c:v>
                </c:pt>
                <c:pt idx="1">
                  <c:v>1Q23</c:v>
                </c:pt>
                <c:pt idx="2">
                  <c:v>2Q23</c:v>
                </c:pt>
                <c:pt idx="3">
                  <c:v>3Q23</c:v>
                </c:pt>
                <c:pt idx="4">
                  <c:v>4Q23</c:v>
                </c:pt>
                <c:pt idx="5">
                  <c:v>1Q24</c:v>
                </c:pt>
                <c:pt idx="6">
                  <c:v>2Q24</c:v>
                </c:pt>
                <c:pt idx="7">
                  <c:v>3Q24</c:v>
                </c:pt>
                <c:pt idx="8">
                  <c:v>4Q24</c:v>
                </c:pt>
                <c:pt idx="9">
                  <c:v>1Q25</c:v>
                </c:pt>
                <c:pt idx="10">
                  <c:v>2Q25</c:v>
                </c:pt>
                <c:pt idx="11">
                  <c:v>3Q25</c:v>
                </c:pt>
              </c:strCache>
            </c:strRef>
          </c:cat>
          <c:val>
            <c:numRef>
              <c:f>Revenue!$AP$257:$BA$257</c:f>
              <c:numCache>
                <c:formatCode>0.0%</c:formatCode>
                <c:ptCount val="12"/>
                <c:pt idx="0">
                  <c:v>0.38948587606975105</c:v>
                </c:pt>
                <c:pt idx="1">
                  <c:v>0.3640731128168313</c:v>
                </c:pt>
                <c:pt idx="2">
                  <c:v>0.32044491525423724</c:v>
                </c:pt>
                <c:pt idx="3">
                  <c:v>0.3052270516561717</c:v>
                </c:pt>
                <c:pt idx="4">
                  <c:v>0.37616930628878387</c:v>
                </c:pt>
                <c:pt idx="5">
                  <c:v>0.18897255282973036</c:v>
                </c:pt>
                <c:pt idx="6">
                  <c:v>0.33858804653028485</c:v>
                </c:pt>
                <c:pt idx="7">
                  <c:v>0.33900764855854093</c:v>
                </c:pt>
                <c:pt idx="8">
                  <c:v>0.13039674260524281</c:v>
                </c:pt>
                <c:pt idx="9">
                  <c:v>0.20119169220292821</c:v>
                </c:pt>
                <c:pt idx="10">
                  <c:v>4.3720595726828737E-2</c:v>
                </c:pt>
                <c:pt idx="11">
                  <c:v>0.10826644794656981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34-4C70-B00C-CD5E7F5E8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6978367"/>
        <c:axId val="1206974527"/>
      </c:lineChart>
      <c:catAx>
        <c:axId val="1206978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974527"/>
        <c:crosses val="autoZero"/>
        <c:auto val="1"/>
        <c:lblAlgn val="ctr"/>
        <c:lblOffset val="100"/>
        <c:noMultiLvlLbl val="0"/>
      </c:catAx>
      <c:valAx>
        <c:axId val="1206974527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978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Revenue!$A$307</c:f>
              <c:strCache>
                <c:ptCount val="1"/>
                <c:pt idx="0">
                  <c:v>Infosys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Revenue!$F$306:$J$306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4">
                  <c:v>2026F</c:v>
                </c:pt>
              </c:strCache>
            </c:strRef>
          </c:cat>
          <c:val>
            <c:numRef>
              <c:f>Revenue!$F$307:$J$307</c:f>
              <c:numCache>
                <c:formatCode>0.0%</c:formatCode>
                <c:ptCount val="5"/>
                <c:pt idx="0">
                  <c:v>0.20655864387829759</c:v>
                </c:pt>
                <c:pt idx="1">
                  <c:v>4.7033733741236095E-2</c:v>
                </c:pt>
                <c:pt idx="2">
                  <c:v>6.0649443612936782E-2</c:v>
                </c:pt>
                <c:pt idx="4">
                  <c:v>6.938575233245281E-2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CF-4754-939F-BEDCFC1A063C}"/>
            </c:ext>
          </c:extLst>
        </c:ser>
        <c:ser>
          <c:idx val="1"/>
          <c:order val="1"/>
          <c:tx>
            <c:strRef>
              <c:f>Revenue!$A$308</c:f>
              <c:strCache>
                <c:ptCount val="1"/>
                <c:pt idx="0">
                  <c:v>TCS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Revenue!$F$306:$J$306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4">
                  <c:v>2026F</c:v>
                </c:pt>
              </c:strCache>
            </c:strRef>
          </c:cat>
          <c:val>
            <c:numRef>
              <c:f>Revenue!$F$308:$J$308</c:f>
              <c:numCache>
                <c:formatCode>0.0%</c:formatCode>
                <c:ptCount val="5"/>
                <c:pt idx="0">
                  <c:v>0.17576686796624852</c:v>
                </c:pt>
                <c:pt idx="1">
                  <c:v>6.8460644554639849E-2</c:v>
                </c:pt>
                <c:pt idx="2">
                  <c:v>5.9906265437351891E-2</c:v>
                </c:pt>
                <c:pt idx="4">
                  <c:v>6.34177904529869E-2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CF-4754-939F-BEDCFC1A063C}"/>
            </c:ext>
          </c:extLst>
        </c:ser>
        <c:ser>
          <c:idx val="2"/>
          <c:order val="2"/>
          <c:tx>
            <c:strRef>
              <c:f>Revenue!$A$309</c:f>
              <c:strCache>
                <c:ptCount val="1"/>
                <c:pt idx="0">
                  <c:v>HCLT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Revenue!$F$306:$J$306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4">
                  <c:v>2026F</c:v>
                </c:pt>
              </c:strCache>
            </c:strRef>
          </c:cat>
          <c:val>
            <c:numRef>
              <c:f>Revenue!$F$309:$J$309</c:f>
              <c:numCache>
                <c:formatCode>0.0%</c:formatCode>
                <c:ptCount val="5"/>
                <c:pt idx="0">
                  <c:v>0.18222986455382961</c:v>
                </c:pt>
                <c:pt idx="1">
                  <c:v>8.5925797020055095E-2</c:v>
                </c:pt>
                <c:pt idx="2">
                  <c:v>6.5431504111492345E-2</c:v>
                </c:pt>
                <c:pt idx="4">
                  <c:v>7.361339446238091E-2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CF-4754-939F-BEDCFC1A063C}"/>
            </c:ext>
          </c:extLst>
        </c:ser>
        <c:ser>
          <c:idx val="3"/>
          <c:order val="3"/>
          <c:tx>
            <c:strRef>
              <c:f>Revenue!$A$310</c:f>
              <c:strCache>
                <c:ptCount val="1"/>
                <c:pt idx="0">
                  <c:v>FPT VN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Revenue!$F$306:$J$306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4">
                  <c:v>2026F</c:v>
                </c:pt>
              </c:strCache>
            </c:strRef>
          </c:cat>
          <c:val>
            <c:numRef>
              <c:f>Revenue!$F$310:$J$310</c:f>
              <c:numCache>
                <c:formatCode>0.0%</c:formatCode>
                <c:ptCount val="5"/>
                <c:pt idx="0">
                  <c:v>0.30085639711319878</c:v>
                </c:pt>
                <c:pt idx="1">
                  <c:v>0.28402673490843022</c:v>
                </c:pt>
                <c:pt idx="2">
                  <c:v>0.2744153491436101</c:v>
                </c:pt>
                <c:pt idx="4">
                  <c:v>0.31079887181512333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FCF-4754-939F-BEDCFC1A0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2006560"/>
        <c:axId val="751990240"/>
      </c:lineChart>
      <c:catAx>
        <c:axId val="75200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990240"/>
        <c:crosses val="autoZero"/>
        <c:auto val="1"/>
        <c:lblAlgn val="ctr"/>
        <c:lblOffset val="100"/>
        <c:noMultiLvlLbl val="0"/>
      </c:catAx>
      <c:valAx>
        <c:axId val="751990240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006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r>
              <a:rPr lang="en-US" sz="1200"/>
              <a:t>(VNDbn)</a:t>
            </a:r>
          </a:p>
        </c:rich>
      </c:tx>
      <c:layout>
        <c:manualLayout>
          <c:xMode val="edge"/>
          <c:yMode val="edge"/>
          <c:x val="1.642732670711243E-2"/>
          <c:y val="1.97610713237501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17664542773904"/>
          <c:y val="9.7677579771401846E-2"/>
          <c:w val="0.71893622724768835"/>
          <c:h val="0.7216057715928060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Charts!$A$48</c:f>
              <c:strCache>
                <c:ptCount val="1"/>
                <c:pt idx="0">
                  <c:v>Signed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Charts!$D$47:$I$47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7M25</c:v>
                </c:pt>
                <c:pt idx="5">
                  <c:v>8M25</c:v>
                </c:pt>
              </c:strCache>
            </c:strRef>
          </c:cat>
          <c:val>
            <c:numRef>
              <c:f>Charts!$D$48:$I$48</c:f>
              <c:numCache>
                <c:formatCode>#,##0</c:formatCode>
                <c:ptCount val="6"/>
                <c:pt idx="0">
                  <c:v>15541</c:v>
                </c:pt>
                <c:pt idx="1">
                  <c:v>21594</c:v>
                </c:pt>
                <c:pt idx="2">
                  <c:v>29717</c:v>
                </c:pt>
                <c:pt idx="3">
                  <c:v>33592</c:v>
                </c:pt>
                <c:pt idx="4">
                  <c:v>23370</c:v>
                </c:pt>
                <c:pt idx="5">
                  <c:v>25970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37-4131-9BA3-DAB36A272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66310896"/>
        <c:axId val="966333456"/>
      </c:barChart>
      <c:lineChart>
        <c:grouping val="standard"/>
        <c:varyColors val="0"/>
        <c:ser>
          <c:idx val="2"/>
          <c:order val="1"/>
          <c:tx>
            <c:strRef>
              <c:f>Charts!$A$49</c:f>
              <c:strCache>
                <c:ptCount val="1"/>
                <c:pt idx="0">
                  <c:v>YoY (%) RHS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cat>
            <c:strRef>
              <c:f>Charts!$D$47:$I$47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7M25</c:v>
                </c:pt>
                <c:pt idx="5">
                  <c:v>8M25</c:v>
                </c:pt>
              </c:strCache>
            </c:strRef>
          </c:cat>
          <c:val>
            <c:numRef>
              <c:f>Charts!$D$49:$I$49</c:f>
              <c:numCache>
                <c:formatCode>0.0%</c:formatCode>
                <c:ptCount val="6"/>
                <c:pt idx="0">
                  <c:v>0.18678885070637641</c:v>
                </c:pt>
                <c:pt idx="1">
                  <c:v>0.38948587606975105</c:v>
                </c:pt>
                <c:pt idx="2">
                  <c:v>0.37616930628878387</c:v>
                </c:pt>
                <c:pt idx="3">
                  <c:v>0.13039674260524281</c:v>
                </c:pt>
                <c:pt idx="4">
                  <c:v>7.6999999999999999E-2</c:v>
                </c:pt>
                <c:pt idx="5" formatCode="0.00%">
                  <c:v>0.122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37-4131-9BA3-DAB36A272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6359856"/>
        <c:axId val="966358896"/>
      </c:lineChart>
      <c:catAx>
        <c:axId val="96631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966333456"/>
        <c:crosses val="autoZero"/>
        <c:auto val="1"/>
        <c:lblAlgn val="ctr"/>
        <c:lblOffset val="100"/>
        <c:noMultiLvlLbl val="0"/>
      </c:catAx>
      <c:valAx>
        <c:axId val="966333456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966310896"/>
        <c:crosses val="autoZero"/>
        <c:crossBetween val="between"/>
      </c:valAx>
      <c:valAx>
        <c:axId val="966358896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966359856"/>
        <c:crosses val="max"/>
        <c:crossBetween val="between"/>
      </c:valAx>
      <c:catAx>
        <c:axId val="9663598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663588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618490311661861"/>
          <c:y val="0.94342917504169355"/>
          <c:w val="0.50763001448589418"/>
          <c:h val="5.65708249583064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753217911530095E-2"/>
          <c:y val="8.8636847948077357E-2"/>
          <c:w val="0.9265187190171067"/>
          <c:h val="0.7983752246794352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Charts!$A$7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lt1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(Charts!$B$6,Charts!$D$6)</c:f>
              <c:strCache>
                <c:ptCount val="2"/>
                <c:pt idx="0">
                  <c:v>Revenue 9M25(%)</c:v>
                </c:pt>
                <c:pt idx="1">
                  <c:v>PBT 9M25 (%)</c:v>
                </c:pt>
              </c:strCache>
            </c:strRef>
          </c:cat>
          <c:val>
            <c:numRef>
              <c:f>(Charts!$C$7,Charts!$E$7)</c:f>
              <c:numCache>
                <c:formatCode>0.0%</c:formatCode>
                <c:ptCount val="2"/>
                <c:pt idx="0">
                  <c:v>0.62038206346342739</c:v>
                </c:pt>
                <c:pt idx="1">
                  <c:v>0.45419287211740039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81-42E0-B0F2-0357B851ABBC}"/>
            </c:ext>
          </c:extLst>
        </c:ser>
        <c:ser>
          <c:idx val="1"/>
          <c:order val="1"/>
          <c:tx>
            <c:strRef>
              <c:f>Charts!$A$8</c:f>
              <c:strCache>
                <c:ptCount val="1"/>
                <c:pt idx="0">
                  <c:v>Telecom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lt1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(Charts!$B$6,Charts!$D$6)</c:f>
              <c:strCache>
                <c:ptCount val="2"/>
                <c:pt idx="0">
                  <c:v>Revenue 9M25(%)</c:v>
                </c:pt>
                <c:pt idx="1">
                  <c:v>PBT 9M25 (%)</c:v>
                </c:pt>
              </c:strCache>
            </c:strRef>
          </c:cat>
          <c:val>
            <c:numRef>
              <c:f>(Charts!$C$8,Charts!$E$8)</c:f>
              <c:numCache>
                <c:formatCode>0.0%</c:formatCode>
                <c:ptCount val="2"/>
                <c:pt idx="0">
                  <c:v>0.28638723515144227</c:v>
                </c:pt>
                <c:pt idx="1">
                  <c:v>0.33836477987421382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81-42E0-B0F2-0357B851ABBC}"/>
            </c:ext>
          </c:extLst>
        </c:ser>
        <c:ser>
          <c:idx val="2"/>
          <c:order val="2"/>
          <c:tx>
            <c:strRef>
              <c:f>Charts!$A$9</c:f>
              <c:strCache>
                <c:ptCount val="1"/>
                <c:pt idx="0">
                  <c:v>Education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lt1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(Charts!$B$6,Charts!$D$6)</c:f>
              <c:strCache>
                <c:ptCount val="2"/>
                <c:pt idx="0">
                  <c:v>Revenue 9M25(%)</c:v>
                </c:pt>
                <c:pt idx="1">
                  <c:v>PBT 9M25 (%)</c:v>
                </c:pt>
              </c:strCache>
            </c:strRef>
          </c:cat>
          <c:val>
            <c:numRef>
              <c:f>(Charts!$C$9,Charts!$E$9)</c:f>
              <c:numCache>
                <c:formatCode>0.0%</c:formatCode>
                <c:ptCount val="2"/>
                <c:pt idx="0">
                  <c:v>9.3230701385130399E-2</c:v>
                </c:pt>
                <c:pt idx="1">
                  <c:v>0.20744234800838574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81-42E0-B0F2-0357B851ABB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540110735"/>
        <c:axId val="540127535"/>
      </c:barChart>
      <c:catAx>
        <c:axId val="540110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cap="none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40127535"/>
        <c:crosses val="autoZero"/>
        <c:auto val="1"/>
        <c:lblAlgn val="ctr"/>
        <c:lblOffset val="100"/>
        <c:noMultiLvlLbl val="0"/>
      </c:catAx>
      <c:valAx>
        <c:axId val="540127535"/>
        <c:scaling>
          <c:orientation val="minMax"/>
          <c:max val="1"/>
        </c:scaling>
        <c:delete val="1"/>
        <c:axPos val="l"/>
        <c:numFmt formatCode="0%" sourceLinked="0"/>
        <c:majorTickMark val="none"/>
        <c:minorTickMark val="none"/>
        <c:tickLblPos val="nextTo"/>
        <c:crossAx val="540110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7220429236018E-2"/>
          <c:y val="2.338485153125568E-2"/>
          <c:w val="0.8780321812259978"/>
          <c:h val="0.81002935997649617"/>
        </c:manualLayout>
      </c:layout>
      <c:barChart>
        <c:barDir val="col"/>
        <c:grouping val="clustered"/>
        <c:varyColors val="0"/>
        <c:ser>
          <c:idx val="0"/>
          <c:order val="0"/>
          <c:tx>
            <c:v>Technology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(Revenue!$D$1:$H$1,Revenue!$BL$1)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9M25</c:v>
                </c:pt>
              </c:strCache>
            </c:strRef>
          </c:cat>
          <c:val>
            <c:numRef>
              <c:f>(Revenue!$D$20:$H$20,Revenue!$BL$20)</c:f>
              <c:numCache>
                <c:formatCode>0.0%</c:formatCode>
                <c:ptCount val="6"/>
                <c:pt idx="0">
                  <c:v>6.4720506409858825E-2</c:v>
                </c:pt>
                <c:pt idx="1">
                  <c:v>0.24203085141909519</c:v>
                </c:pt>
                <c:pt idx="2">
                  <c:v>0.23431395301818059</c:v>
                </c:pt>
                <c:pt idx="3">
                  <c:v>0.22070875400605106</c:v>
                </c:pt>
                <c:pt idx="4">
                  <c:v>0.24360075042131712</c:v>
                </c:pt>
                <c:pt idx="5">
                  <c:v>0.107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33-4954-BB96-E486FFCD25D5}"/>
            </c:ext>
          </c:extLst>
        </c:ser>
        <c:ser>
          <c:idx val="1"/>
          <c:order val="1"/>
          <c:tx>
            <c:v>Telecom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(Revenue!$D$1:$H$1,Revenue!$BL$1)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9M25</c:v>
                </c:pt>
              </c:strCache>
            </c:strRef>
          </c:cat>
          <c:val>
            <c:numRef>
              <c:f>(Revenue!$D$23:$H$23,Revenue!$BL$23)</c:f>
              <c:numCache>
                <c:formatCode>0.0%</c:formatCode>
                <c:ptCount val="6"/>
                <c:pt idx="0">
                  <c:v>0.1026815882825356</c:v>
                </c:pt>
                <c:pt idx="1">
                  <c:v>0.10642295577052252</c:v>
                </c:pt>
                <c:pt idx="2">
                  <c:v>0.16105675550919973</c:v>
                </c:pt>
                <c:pt idx="3">
                  <c:v>7.3073771140099941E-2</c:v>
                </c:pt>
                <c:pt idx="4">
                  <c:v>0.11413387321270396</c:v>
                </c:pt>
                <c:pt idx="5">
                  <c:v>0.11600000000000001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33-4954-BB96-E486FFCD25D5}"/>
            </c:ext>
          </c:extLst>
        </c:ser>
        <c:ser>
          <c:idx val="2"/>
          <c:order val="2"/>
          <c:tx>
            <c:v>Education &amp; others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(Revenue!$D$1:$H$1,Revenue!$BL$1)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9M25</c:v>
                </c:pt>
              </c:strCache>
            </c:strRef>
          </c:cat>
          <c:val>
            <c:numRef>
              <c:f>(Revenue!$D$26:$H$26,Revenue!$BL$26)</c:f>
              <c:numCache>
                <c:formatCode>0.0%</c:formatCode>
                <c:ptCount val="6"/>
                <c:pt idx="0">
                  <c:v>1.5765867342744988E-2</c:v>
                </c:pt>
                <c:pt idx="1">
                  <c:v>0.34584941583365492</c:v>
                </c:pt>
                <c:pt idx="2">
                  <c:v>0.67586601343120711</c:v>
                </c:pt>
                <c:pt idx="3">
                  <c:v>0.52488926898736921</c:v>
                </c:pt>
                <c:pt idx="4">
                  <c:v>0.14283050531418984</c:v>
                </c:pt>
                <c:pt idx="5">
                  <c:v>3.9E-2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33-4954-BB96-E486FFCD2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96735"/>
        <c:axId val="6197695"/>
      </c:barChart>
      <c:catAx>
        <c:axId val="619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6197695"/>
        <c:crosses val="autoZero"/>
        <c:auto val="1"/>
        <c:lblAlgn val="ctr"/>
        <c:lblOffset val="100"/>
        <c:noMultiLvlLbl val="0"/>
      </c:catAx>
      <c:valAx>
        <c:axId val="6197695"/>
        <c:scaling>
          <c:orientation val="minMax"/>
          <c:max val="0.15000000000000002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6196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6160879480229"/>
          <c:y val="3.1635489154150591E-2"/>
          <c:w val="0.86533837471135777"/>
          <c:h val="0.73750140603946801"/>
        </c:manualLayout>
      </c:layout>
      <c:lineChart>
        <c:grouping val="standard"/>
        <c:varyColors val="0"/>
        <c:ser>
          <c:idx val="0"/>
          <c:order val="0"/>
          <c:tx>
            <c:strRef>
              <c:f>Revenue!$A$307</c:f>
              <c:strCache>
                <c:ptCount val="1"/>
                <c:pt idx="0">
                  <c:v>Infosys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Revenue!$F$306:$J$306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4">
                  <c:v>2026F</c:v>
                </c:pt>
              </c:strCache>
            </c:strRef>
          </c:cat>
          <c:val>
            <c:numRef>
              <c:f>Revenue!$F$307:$J$307</c:f>
              <c:numCache>
                <c:formatCode>0.0%</c:formatCode>
                <c:ptCount val="5"/>
                <c:pt idx="0">
                  <c:v>0.20655864387829759</c:v>
                </c:pt>
                <c:pt idx="1">
                  <c:v>4.7033733741236095E-2</c:v>
                </c:pt>
                <c:pt idx="2">
                  <c:v>6.0649443612936782E-2</c:v>
                </c:pt>
                <c:pt idx="4">
                  <c:v>6.938575233245281E-2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56-4EAA-86D1-DADC496EE8B4}"/>
            </c:ext>
          </c:extLst>
        </c:ser>
        <c:ser>
          <c:idx val="1"/>
          <c:order val="1"/>
          <c:tx>
            <c:strRef>
              <c:f>Revenue!$A$308</c:f>
              <c:strCache>
                <c:ptCount val="1"/>
                <c:pt idx="0">
                  <c:v>TCS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Revenue!$F$306:$J$306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4">
                  <c:v>2026F</c:v>
                </c:pt>
              </c:strCache>
            </c:strRef>
          </c:cat>
          <c:val>
            <c:numRef>
              <c:f>Revenue!$F$308:$J$308</c:f>
              <c:numCache>
                <c:formatCode>0.0%</c:formatCode>
                <c:ptCount val="5"/>
                <c:pt idx="0">
                  <c:v>0.17576686796624852</c:v>
                </c:pt>
                <c:pt idx="1">
                  <c:v>6.8460644554639849E-2</c:v>
                </c:pt>
                <c:pt idx="2">
                  <c:v>5.9906265437351891E-2</c:v>
                </c:pt>
                <c:pt idx="4">
                  <c:v>6.34177904529869E-2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56-4EAA-86D1-DADC496EE8B4}"/>
            </c:ext>
          </c:extLst>
        </c:ser>
        <c:ser>
          <c:idx val="2"/>
          <c:order val="2"/>
          <c:tx>
            <c:strRef>
              <c:f>Revenue!$A$309</c:f>
              <c:strCache>
                <c:ptCount val="1"/>
                <c:pt idx="0">
                  <c:v>HCLT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Revenue!$F$306:$J$306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4">
                  <c:v>2026F</c:v>
                </c:pt>
              </c:strCache>
            </c:strRef>
          </c:cat>
          <c:val>
            <c:numRef>
              <c:f>Revenue!$F$309:$J$309</c:f>
              <c:numCache>
                <c:formatCode>0.0%</c:formatCode>
                <c:ptCount val="5"/>
                <c:pt idx="0">
                  <c:v>0.18222986455382961</c:v>
                </c:pt>
                <c:pt idx="1">
                  <c:v>8.5925797020055095E-2</c:v>
                </c:pt>
                <c:pt idx="2">
                  <c:v>6.5431504111492345E-2</c:v>
                </c:pt>
                <c:pt idx="4">
                  <c:v>7.361339446238091E-2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56-4EAA-86D1-DADC496EE8B4}"/>
            </c:ext>
          </c:extLst>
        </c:ser>
        <c:ser>
          <c:idx val="3"/>
          <c:order val="3"/>
          <c:tx>
            <c:strRef>
              <c:f>Revenue!$A$310</c:f>
              <c:strCache>
                <c:ptCount val="1"/>
                <c:pt idx="0">
                  <c:v>FPT VN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Revenue!$F$306:$J$306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4">
                  <c:v>2026F</c:v>
                </c:pt>
              </c:strCache>
            </c:strRef>
          </c:cat>
          <c:val>
            <c:numRef>
              <c:f>Revenue!$F$310:$J$310</c:f>
              <c:numCache>
                <c:formatCode>0.0%</c:formatCode>
                <c:ptCount val="5"/>
                <c:pt idx="0">
                  <c:v>0.30085639711319878</c:v>
                </c:pt>
                <c:pt idx="1">
                  <c:v>0.28402673490843022</c:v>
                </c:pt>
                <c:pt idx="2">
                  <c:v>0.2744153491436101</c:v>
                </c:pt>
                <c:pt idx="4">
                  <c:v>0.31079887181512333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E56-4EAA-86D1-DADC496EE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2006560"/>
        <c:axId val="751990240"/>
      </c:lineChart>
      <c:catAx>
        <c:axId val="75200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751990240"/>
        <c:crosses val="autoZero"/>
        <c:auto val="1"/>
        <c:lblAlgn val="ctr"/>
        <c:lblOffset val="100"/>
        <c:noMultiLvlLbl val="0"/>
      </c:catAx>
      <c:valAx>
        <c:axId val="75199024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752006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9076452533597238"/>
          <c:y val="0.89317231223090798"/>
          <c:w val="0.61847094932805535"/>
          <c:h val="5.61703792756563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64023528200843"/>
          <c:y val="6.6465256797583083E-2"/>
          <c:w val="0.74579613534467359"/>
          <c:h val="0.71328591478935222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Charts!$A$1613</c:f>
              <c:strCache>
                <c:ptCount val="1"/>
                <c:pt idx="0">
                  <c:v>Domestic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Charts!$E$1612:$J$1612</c:f>
              <c:numCache>
                <c:formatCode>_(* #,##0_);_(* \(#,##0\);_(* \-??_);_(@_)</c:formatCode>
                <c:ptCount val="6"/>
                <c:pt idx="0">
                  <c:v>3677</c:v>
                </c:pt>
                <c:pt idx="1">
                  <c:v>5682.7332893575795</c:v>
                </c:pt>
                <c:pt idx="2">
                  <c:v>8240</c:v>
                </c:pt>
                <c:pt idx="3">
                  <c:v>5694</c:v>
                </c:pt>
                <c:pt idx="5">
                  <c:v>3766</c:v>
                </c:pt>
              </c:numCache>
            </c:numRef>
          </c:cat>
          <c:val>
            <c:numRef>
              <c:f>Charts!$E$1613:$J$1613</c:f>
              <c:numCache>
                <c:formatCode>_(* #,##0_);_(* \(#,##0\);_(* \-??_);_(@_)</c:formatCode>
                <c:ptCount val="6"/>
                <c:pt idx="0">
                  <c:v>6827.9019999999982</c:v>
                </c:pt>
                <c:pt idx="1">
                  <c:v>6981.6761152659747</c:v>
                </c:pt>
                <c:pt idx="2">
                  <c:v>8157</c:v>
                </c:pt>
                <c:pt idx="3" formatCode="#,##0">
                  <c:v>5376</c:v>
                </c:pt>
                <c:pt idx="5" formatCode="#,##0">
                  <c:v>3459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07C3-4D0F-B2AB-44DC4EF25888}"/>
            </c:ext>
          </c:extLst>
        </c:ser>
        <c:ser>
          <c:idx val="1"/>
          <c:order val="1"/>
          <c:tx>
            <c:strRef>
              <c:f>Charts!$A$1614</c:f>
              <c:strCache>
                <c:ptCount val="1"/>
              </c:strCache>
            </c:strRef>
          </c:tx>
          <c:spPr>
            <a:solidFill>
              <a:srgbClr val="FFC000"/>
            </a:solidFill>
            <a:ln w="254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Charts!$E$1612:$J$1612</c:f>
              <c:numCache>
                <c:formatCode>_(* #,##0_);_(* \(#,##0\);_(* \-??_);_(@_)</c:formatCode>
                <c:ptCount val="6"/>
                <c:pt idx="0">
                  <c:v>3677</c:v>
                </c:pt>
                <c:pt idx="1">
                  <c:v>5682.7332893575795</c:v>
                </c:pt>
                <c:pt idx="2">
                  <c:v>8240</c:v>
                </c:pt>
                <c:pt idx="3">
                  <c:v>5694</c:v>
                </c:pt>
                <c:pt idx="5">
                  <c:v>3766</c:v>
                </c:pt>
              </c:numCache>
            </c:numRef>
          </c:cat>
          <c:val>
            <c:numRef>
              <c:f>Charts!$E$1614:$J$1614</c:f>
              <c:numCache>
                <c:formatCode>General</c:formatCode>
                <c:ptCount val="6"/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1-07C3-4D0F-B2AB-44DC4EF25888}"/>
            </c:ext>
          </c:extLst>
        </c:ser>
        <c:ser>
          <c:idx val="2"/>
          <c:order val="2"/>
          <c:tx>
            <c:strRef>
              <c:f>Charts!$A$1615</c:f>
              <c:strCache>
                <c:ptCount val="1"/>
                <c:pt idx="0">
                  <c:v>Total IT portion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Charts!$E$1612:$J$1612</c:f>
              <c:numCache>
                <c:formatCode>_(* #,##0_);_(* \(#,##0\);_(* \-??_);_(@_)</c:formatCode>
                <c:ptCount val="6"/>
                <c:pt idx="0">
                  <c:v>3677</c:v>
                </c:pt>
                <c:pt idx="1">
                  <c:v>5682.7332893575795</c:v>
                </c:pt>
                <c:pt idx="2">
                  <c:v>8240</c:v>
                </c:pt>
                <c:pt idx="3">
                  <c:v>5694</c:v>
                </c:pt>
                <c:pt idx="5">
                  <c:v>3766</c:v>
                </c:pt>
              </c:numCache>
            </c:numRef>
          </c:cat>
          <c:val>
            <c:numRef>
              <c:f>Charts!$E$1615:$J$1615</c:f>
              <c:numCache>
                <c:formatCode>General</c:formatCode>
                <c:ptCount val="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0</c:v>
                </c:pt>
                <c:pt idx="5">
                  <c:v>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2-07C3-4D0F-B2AB-44DC4EF25888}"/>
            </c:ext>
          </c:extLst>
        </c:ser>
        <c:ser>
          <c:idx val="3"/>
          <c:order val="3"/>
          <c:tx>
            <c:strRef>
              <c:f>Charts!$A$1616</c:f>
              <c:strCache>
                <c:ptCount val="1"/>
                <c:pt idx="0">
                  <c:v>Japan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Charts!$E$1612:$J$1612</c:f>
              <c:numCache>
                <c:formatCode>_(* #,##0_);_(* \(#,##0\);_(* \-??_);_(@_)</c:formatCode>
                <c:ptCount val="6"/>
                <c:pt idx="0">
                  <c:v>3677</c:v>
                </c:pt>
                <c:pt idx="1">
                  <c:v>5682.7332893575795</c:v>
                </c:pt>
                <c:pt idx="2">
                  <c:v>8240</c:v>
                </c:pt>
                <c:pt idx="3">
                  <c:v>5694</c:v>
                </c:pt>
                <c:pt idx="5">
                  <c:v>3766</c:v>
                </c:pt>
              </c:numCache>
            </c:numRef>
          </c:cat>
          <c:val>
            <c:numRef>
              <c:f>Charts!$E$1616:$J$1616</c:f>
              <c:numCache>
                <c:formatCode>0.0%</c:formatCode>
                <c:ptCount val="6"/>
                <c:pt idx="0">
                  <c:v>0.28498342306313162</c:v>
                </c:pt>
                <c:pt idx="1">
                  <c:v>0.28108389261981875</c:v>
                </c:pt>
                <c:pt idx="2">
                  <c:v>0.31513679365891079</c:v>
                </c:pt>
                <c:pt idx="3">
                  <c:v>0.36395360108565705</c:v>
                </c:pt>
                <c:pt idx="5">
                  <c:v>0.36367249602543722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3-07C3-4D0F-B2AB-44DC4EF25888}"/>
            </c:ext>
          </c:extLst>
        </c:ser>
        <c:ser>
          <c:idx val="4"/>
          <c:order val="4"/>
          <c:tx>
            <c:strRef>
              <c:f>Charts!$A$1617</c:f>
              <c:strCache>
                <c:ptCount val="1"/>
                <c:pt idx="0">
                  <c:v>US</c:v>
                </c:pt>
              </c:strCache>
            </c:strRef>
          </c:tx>
          <c:spPr>
            <a:solidFill>
              <a:srgbClr val="002060"/>
            </a:solidFill>
            <a:ln w="25400">
              <a:noFill/>
            </a:ln>
          </c:spPr>
          <c:invertIfNegative val="0"/>
          <c:dLbls>
            <c:dLbl>
              <c:idx val="3"/>
              <c:layout>
                <c:manualLayout>
                  <c:x val="1.5927624872579E-3"/>
                  <c:y val="2.971505369299637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7C3-4D0F-B2AB-44DC4EF258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Charts!$E$1612:$J$1612</c:f>
              <c:numCache>
                <c:formatCode>_(* #,##0_);_(* \(#,##0\);_(* \-??_);_(@_)</c:formatCode>
                <c:ptCount val="6"/>
                <c:pt idx="0">
                  <c:v>3677</c:v>
                </c:pt>
                <c:pt idx="1">
                  <c:v>5682.7332893575795</c:v>
                </c:pt>
                <c:pt idx="2">
                  <c:v>8240</c:v>
                </c:pt>
                <c:pt idx="3">
                  <c:v>5694</c:v>
                </c:pt>
                <c:pt idx="5">
                  <c:v>3766</c:v>
                </c:pt>
              </c:numCache>
            </c:numRef>
          </c:cat>
          <c:val>
            <c:numRef>
              <c:f>Charts!$E$1617:$J$1617</c:f>
              <c:numCache>
                <c:formatCode>0.0%</c:formatCode>
                <c:ptCount val="6"/>
                <c:pt idx="0">
                  <c:v>0.25424154468312615</c:v>
                </c:pt>
                <c:pt idx="1">
                  <c:v>0.2342365771831823</c:v>
                </c:pt>
                <c:pt idx="2">
                  <c:v>0.19818460751725903</c:v>
                </c:pt>
                <c:pt idx="3">
                  <c:v>0.19667840641054637</c:v>
                </c:pt>
                <c:pt idx="5">
                  <c:v>0.19997019077901432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5-07C3-4D0F-B2AB-44DC4EF2588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93424928"/>
        <c:axId val="1"/>
      </c:barChart>
      <c:catAx>
        <c:axId val="1093424928"/>
        <c:scaling>
          <c:orientation val="minMax"/>
        </c:scaling>
        <c:delete val="0"/>
        <c:axPos val="b"/>
        <c:numFmt formatCode="_(* #,##0_);_(* \(#,##0\);_(* \-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093424928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17522031199387275"/>
          <c:y val="0.90673977686323948"/>
          <c:w val="0.61111232203241039"/>
          <c:h val="9.3260223136760467E-2"/>
        </c:manualLayout>
      </c:layout>
      <c:overlay val="0"/>
      <c:spPr>
        <a:noFill/>
        <a:ln w="25400">
          <a:noFill/>
        </a:ln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20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685657224326067E-2"/>
          <c:y val="3.4280292301591797E-2"/>
          <c:w val="0.70934627829837715"/>
          <c:h val="0.77135557695575818"/>
        </c:manualLayout>
      </c:layout>
      <c:lineChart>
        <c:grouping val="standard"/>
        <c:varyColors val="0"/>
        <c:ser>
          <c:idx val="0"/>
          <c:order val="0"/>
          <c:tx>
            <c:strRef>
              <c:f>Revenue!$A$136</c:f>
              <c:strCache>
                <c:ptCount val="1"/>
                <c:pt idx="0">
                  <c:v>Global IT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7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Noto Sans" panose="020B0502040504020204" pitchFamily="34" charset="0"/>
                      <a:ea typeface="Noto Sans" panose="020B0502040504020204" pitchFamily="34" charset="0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336322502353129"/>
                      <c:h val="0.1828436125199652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467A-459C-8C0A-9E3AE7E311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Revenue!$AU$1:$BA$1</c:f>
              <c:strCache>
                <c:ptCount val="7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</c:strCache>
            </c:strRef>
          </c:cat>
          <c:val>
            <c:numRef>
              <c:f>Revenue!$AU$136:$BA$136</c:f>
              <c:numCache>
                <c:formatCode>0.0%</c:formatCode>
                <c:ptCount val="7"/>
                <c:pt idx="0">
                  <c:v>0.15930847263894843</c:v>
                </c:pt>
                <c:pt idx="1">
                  <c:v>0.15566411407446529</c:v>
                </c:pt>
                <c:pt idx="2">
                  <c:v>0.16306361951822113</c:v>
                </c:pt>
                <c:pt idx="3">
                  <c:v>0.13952926976463489</c:v>
                </c:pt>
                <c:pt idx="4">
                  <c:v>0.16992426093330076</c:v>
                </c:pt>
                <c:pt idx="5">
                  <c:v>0.15206884356949193</c:v>
                </c:pt>
                <c:pt idx="6">
                  <c:v>0.15631667602470523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7A-459C-8C0A-9E3AE7E31186}"/>
            </c:ext>
          </c:extLst>
        </c:ser>
        <c:ser>
          <c:idx val="1"/>
          <c:order val="1"/>
          <c:tx>
            <c:strRef>
              <c:f>Revenue!$A$137</c:f>
              <c:strCache>
                <c:ptCount val="1"/>
                <c:pt idx="0">
                  <c:v>Domestic IT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layout>
                <c:manualLayout>
                  <c:x val="1.4872652909462726E-2"/>
                  <c:y val="2.099370188943317E-2"/>
                </c:manualLayout>
              </c:layout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67A-459C-8C0A-9E3AE7E311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Revenue!$AU$1:$BA$1</c:f>
              <c:strCache>
                <c:ptCount val="7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</c:strCache>
            </c:strRef>
          </c:cat>
          <c:val>
            <c:numRef>
              <c:f>Revenue!$AU$137:$BA$137</c:f>
              <c:numCache>
                <c:formatCode>0.0%</c:formatCode>
                <c:ptCount val="7"/>
                <c:pt idx="0">
                  <c:v>2.7853260869565216E-2</c:v>
                </c:pt>
                <c:pt idx="1">
                  <c:v>5.7086614173228349E-2</c:v>
                </c:pt>
                <c:pt idx="2">
                  <c:v>2.2321428571428572E-2</c:v>
                </c:pt>
                <c:pt idx="3">
                  <c:v>9.1925900034952809E-2</c:v>
                </c:pt>
                <c:pt idx="4">
                  <c:v>1.5161086544535692E-2</c:v>
                </c:pt>
                <c:pt idx="5">
                  <c:v>6.9296375266524518E-2</c:v>
                </c:pt>
                <c:pt idx="6">
                  <c:v>5.5294731351069382E-2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7A-459C-8C0A-9E3AE7E31186}"/>
            </c:ext>
          </c:extLst>
        </c:ser>
        <c:ser>
          <c:idx val="2"/>
          <c:order val="2"/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layout>
                <c:manualLayout>
                  <c:x val="-1.4638437903014494E-7"/>
                  <c:y val="-4.210664948020287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7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Noto Sans" panose="020B0502040504020204" pitchFamily="34" charset="0"/>
                        <a:ea typeface="Noto Sans" panose="020B0502040504020204" pitchFamily="34" charset="0"/>
                        <a:cs typeface="+mn-cs"/>
                      </a:defRPr>
                    </a:pPr>
                    <a:fld id="{C805A881-88C8-495E-9160-C3EFC97DFA87}" type="CELLREF">
                      <a:rPr lang="en-US"/>
                      <a:pPr>
                        <a:defRPr/>
                      </a:pPr>
                      <a:t>[CELLREF]</a:t>
                    </a:fld>
                    <a:r>
                      <a:rPr lang="en-US" baseline="0"/>
                      <a:t>, </a:t>
                    </a:r>
                    <a:fld id="{87F9D4AF-83FF-438B-B887-DC2EFECDE26C}" type="VALUE">
                      <a:rPr lang="en-US" baseline="0"/>
                      <a:pPr>
                        <a:defRPr/>
                      </a:pPr>
                      <a:t>[VALUE]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7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Noto Sans" panose="020B0502040504020204" pitchFamily="34" charset="0"/>
                      <a:ea typeface="Noto Sans" panose="020B0502040504020204" pitchFamily="34" charset="0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417682940218081"/>
                      <c:h val="0.21131336340964496"/>
                    </c:manualLayout>
                  </c15:layout>
                  <c15:dlblFieldTable>
                    <c15:dlblFTEntry>
                      <c15:txfldGUID>{C805A881-88C8-495E-9160-C3EFC97DFA87}</c15:txfldGUID>
                      <c15:f>Revenue!$A$138</c15:f>
                      <c15:dlblFieldTableCache>
                        <c:ptCount val="1"/>
                        <c:pt idx="0">
                          <c:v>Total communication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467A-459C-8C0A-9E3AE7E311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Revenue!$AU$1:$BA$1</c:f>
              <c:strCache>
                <c:ptCount val="7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</c:strCache>
            </c:strRef>
          </c:cat>
          <c:val>
            <c:numRef>
              <c:f>Revenue!$AU$138:$BA$138</c:f>
              <c:numCache>
                <c:formatCode>0.0%</c:formatCode>
                <c:ptCount val="7"/>
                <c:pt idx="0">
                  <c:v>0.20563310069790627</c:v>
                </c:pt>
                <c:pt idx="1">
                  <c:v>0.22069943289224953</c:v>
                </c:pt>
                <c:pt idx="2">
                  <c:v>0.19907813871817384</c:v>
                </c:pt>
                <c:pt idx="3">
                  <c:v>0.19168399168399169</c:v>
                </c:pt>
                <c:pt idx="4">
                  <c:v>0.21104321257092973</c:v>
                </c:pt>
                <c:pt idx="5">
                  <c:v>0.23643979057591624</c:v>
                </c:pt>
                <c:pt idx="6">
                  <c:v>0.22961460446247464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7A-459C-8C0A-9E3AE7E31186}"/>
            </c:ext>
          </c:extLst>
        </c:ser>
        <c:ser>
          <c:idx val="3"/>
          <c:order val="3"/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tx>
                <c:rich>
                  <a:bodyPr/>
                  <a:lstStyle/>
                  <a:p>
                    <a:fld id="{61CE1107-B2F5-4295-9777-B280D44DE8FE}" type="CELLREF">
                      <a:rPr lang="en-US"/>
                      <a:pPr/>
                      <a:t>[CELLREF]</a:t>
                    </a:fld>
                    <a:r>
                      <a:rPr lang="en-US" baseline="0"/>
                      <a:t>, </a:t>
                    </a:r>
                    <a:fld id="{4120D29A-C97A-4FBC-AFBF-2E8BA14EB7DC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{61CE1107-B2F5-4295-9777-B280D44DE8FE}</c15:txfldGUID>
                      <c15:f>Revenue!$A$141</c15:f>
                      <c15:dlblFieldTableCache>
                        <c:ptCount val="1"/>
                        <c:pt idx="0">
                          <c:v>Investment, education &amp; others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467A-459C-8C0A-9E3AE7E311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Revenue!$AU$1:$BA$1</c:f>
              <c:strCache>
                <c:ptCount val="7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</c:strCache>
            </c:strRef>
          </c:cat>
          <c:val>
            <c:numRef>
              <c:f>Revenue!$AU$141:$BA$141</c:f>
              <c:numCache>
                <c:formatCode>0.0%</c:formatCode>
                <c:ptCount val="7"/>
                <c:pt idx="0">
                  <c:v>0.34369173399627095</c:v>
                </c:pt>
                <c:pt idx="1">
                  <c:v>0.30823863636363635</c:v>
                </c:pt>
                <c:pt idx="2">
                  <c:v>0.44246575342465755</c:v>
                </c:pt>
                <c:pt idx="3">
                  <c:v>0.37590799031476996</c:v>
                </c:pt>
                <c:pt idx="4">
                  <c:v>0.37609841827768015</c:v>
                </c:pt>
                <c:pt idx="5">
                  <c:v>0.39839034205231388</c:v>
                </c:pt>
                <c:pt idx="6">
                  <c:v>0.51135581555402621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7A-459C-8C0A-9E3AE7E3118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99530703"/>
        <c:axId val="1399548463"/>
      </c:lineChart>
      <c:catAx>
        <c:axId val="1399530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KR"/>
          </a:p>
        </c:txPr>
        <c:crossAx val="1399548463"/>
        <c:crosses val="autoZero"/>
        <c:auto val="1"/>
        <c:lblAlgn val="ctr"/>
        <c:lblOffset val="100"/>
        <c:noMultiLvlLbl val="0"/>
      </c:catAx>
      <c:valAx>
        <c:axId val="1399548463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KR"/>
          </a:p>
        </c:txPr>
        <c:crossAx val="1399530703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971266490375383"/>
          <c:y val="5.3571428571428568E-2"/>
          <c:w val="0.82901153772288783"/>
          <c:h val="0.4965558211473565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(Revenue!$B$156,Revenue!$B$159:$B$162)</c:f>
              <c:numCache>
                <c:formatCode>_(* #,##0_);_(* \(#,##0\);_(* \-??_);_(@_)</c:formatCode>
                <c:ptCount val="5"/>
                <c:pt idx="0">
                  <c:v>4958.1019999999999</c:v>
                </c:pt>
                <c:pt idx="1">
                  <c:v>4645.59</c:v>
                </c:pt>
                <c:pt idx="2">
                  <c:v>1821.8000000000002</c:v>
                </c:pt>
                <c:pt idx="3">
                  <c:v>819.81</c:v>
                </c:pt>
                <c:pt idx="4">
                  <c:v>1184.17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34-40E1-BE84-D6E0E13C41D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(Revenue!$C$156,Revenue!$C$159:$C$162)</c:f>
              <c:numCache>
                <c:formatCode>_(* #,##0_);_(* \(#,##0\);_(* \-??_);_(@_)</c:formatCode>
                <c:ptCount val="5"/>
                <c:pt idx="0">
                  <c:v>4935.3580000000002</c:v>
                </c:pt>
                <c:pt idx="1">
                  <c:v>5496.96</c:v>
                </c:pt>
                <c:pt idx="2">
                  <c:v>2633.96</c:v>
                </c:pt>
                <c:pt idx="3">
                  <c:v>1030.68</c:v>
                </c:pt>
                <c:pt idx="4">
                  <c:v>1717.8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34-40E1-BE84-D6E0E13C41D8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(Revenue!$D$156,Revenue!$D$159:$D$162)</c:f>
              <c:numCache>
                <c:formatCode>_(* #,##0_);_(* \(#,##0\);_(* \-??_);_(@_)</c:formatCode>
                <c:ptCount val="5"/>
                <c:pt idx="0">
                  <c:v>4804.6719999999996</c:v>
                </c:pt>
                <c:pt idx="1">
                  <c:v>6011</c:v>
                </c:pt>
                <c:pt idx="2">
                  <c:v>2878</c:v>
                </c:pt>
                <c:pt idx="3">
                  <c:v>993</c:v>
                </c:pt>
                <c:pt idx="4">
                  <c:v>2119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34-40E1-BE84-D6E0E13C41D8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(Revenue!$E$156,Revenue!$E$159:$E$162)</c:f>
              <c:numCache>
                <c:formatCode>_(* #,##0_);_(* \(#,##0\);_(* \-??_);_(@_)</c:formatCode>
                <c:ptCount val="5"/>
                <c:pt idx="0">
                  <c:v>6196</c:v>
                </c:pt>
                <c:pt idx="1">
                  <c:v>6332</c:v>
                </c:pt>
                <c:pt idx="2">
                  <c:v>4369</c:v>
                </c:pt>
                <c:pt idx="3">
                  <c:v>1144</c:v>
                </c:pt>
                <c:pt idx="4">
                  <c:v>2696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34-40E1-BE84-D6E0E13C41D8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(Revenue!$F$156,Revenue!$F$159:$F$162)</c:f>
              <c:numCache>
                <c:formatCode>_(* #,##0_);_(* \(#,##0\);_(* \-??_);_(@_)</c:formatCode>
                <c:ptCount val="5"/>
                <c:pt idx="0">
                  <c:v>6847</c:v>
                </c:pt>
                <c:pt idx="1">
                  <c:v>7342</c:v>
                </c:pt>
                <c:pt idx="2">
                  <c:v>6550</c:v>
                </c:pt>
                <c:pt idx="3">
                  <c:v>1366</c:v>
                </c:pt>
                <c:pt idx="4">
                  <c:v>3677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34-40E1-BE84-D6E0E13C41D8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(Revenue!$G$156,Revenue!$G$159:$G$162)</c:f>
              <c:numCache>
                <c:formatCode>_(* #,##0_);_(* \(#,##0\);_(* \-??_);_(@_)</c:formatCode>
                <c:ptCount val="5"/>
                <c:pt idx="0">
                  <c:v>7161.0559999999996</c:v>
                </c:pt>
                <c:pt idx="1">
                  <c:v>9324</c:v>
                </c:pt>
                <c:pt idx="2">
                  <c:v>7115</c:v>
                </c:pt>
                <c:pt idx="3">
                  <c:v>1736</c:v>
                </c:pt>
                <c:pt idx="4">
                  <c:v>6113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634-40E1-BE84-D6E0E13C41D8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(Revenue!$H$156,Revenue!$H$159:$H$162)</c:f>
              <c:numCache>
                <c:formatCode>_(* #,##0_);_(* \(#,##0\);_(* \-??_);_(@_)</c:formatCode>
                <c:ptCount val="5"/>
                <c:pt idx="0">
                  <c:v>8157</c:v>
                </c:pt>
                <c:pt idx="1">
                  <c:v>12325</c:v>
                </c:pt>
                <c:pt idx="2">
                  <c:v>7751</c:v>
                </c:pt>
                <c:pt idx="3">
                  <c:v>2636</c:v>
                </c:pt>
                <c:pt idx="4">
                  <c:v>8240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634-40E1-BE84-D6E0E13C41D8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(Revenue!$N$156,Revenue!$N$159:$N$162)</c:f>
              <c:numCache>
                <c:formatCode>_(* #,##0_);_(* \(#,##0\);_(* \-??_);_(@_)</c:formatCode>
                <c:ptCount val="5"/>
                <c:pt idx="0">
                  <c:v>8617</c:v>
                </c:pt>
                <c:pt idx="1">
                  <c:v>12325</c:v>
                </c:pt>
                <c:pt idx="2">
                  <c:v>7751</c:v>
                </c:pt>
                <c:pt idx="3">
                  <c:v>2636</c:v>
                </c:pt>
                <c:pt idx="4">
                  <c:v>8240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634-40E1-BE84-D6E0E13C41D8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(Revenue!$J$156,Revenue!$J$159:$J$162)</c:f>
              <c:numCache>
                <c:formatCode>_(* #,##0_);_(* \(#,##0\);_(* \-??_);_(@_)</c:formatCode>
                <c:ptCount val="5"/>
                <c:pt idx="0">
                  <c:v>10184.160000000002</c:v>
                </c:pt>
                <c:pt idx="1">
                  <c:v>18851.439999999999</c:v>
                </c:pt>
                <c:pt idx="2">
                  <c:v>8734.41</c:v>
                </c:pt>
                <c:pt idx="3">
                  <c:v>4239.74</c:v>
                </c:pt>
                <c:pt idx="4">
                  <c:v>8745.11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634-40E1-BE84-D6E0E13C41D8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(Revenue!$K$156,Revenue!$K$159:$K$162)</c:f>
              <c:numCache>
                <c:formatCode>_(* #,##0_);_(* \(#,##0\);_(* \-??_);_(@_)</c:formatCode>
                <c:ptCount val="5"/>
                <c:pt idx="0">
                  <c:v>11406.259200000002</c:v>
                </c:pt>
                <c:pt idx="1">
                  <c:v>23187.271199999999</c:v>
                </c:pt>
                <c:pt idx="2">
                  <c:v>9607.8510000000006</c:v>
                </c:pt>
                <c:pt idx="3">
                  <c:v>5087.6879999999992</c:v>
                </c:pt>
                <c:pt idx="4">
                  <c:v>9444.7188000000006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634-40E1-BE84-D6E0E13C41D8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(Revenue!$L$156,Revenue!$L$159:$L$162)</c:f>
              <c:numCache>
                <c:formatCode>_(* #,##0_);_(* \(#,##0\);_(* \-??_);_(@_)</c:formatCode>
                <c:ptCount val="5"/>
                <c:pt idx="0">
                  <c:v>12775.010304000003</c:v>
                </c:pt>
                <c:pt idx="1">
                  <c:v>28520.343575999999</c:v>
                </c:pt>
                <c:pt idx="2">
                  <c:v>10568.636100000002</c:v>
                </c:pt>
                <c:pt idx="3">
                  <c:v>6206.9793599999985</c:v>
                </c:pt>
                <c:pt idx="4">
                  <c:v>10389.190680000002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634-40E1-BE84-D6E0E13C41D8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(Revenue!$M$156,Revenue!$M$159:$M$162)</c:f>
              <c:numCache>
                <c:formatCode>_(* #,##0_);_(* \(#,##0\);_(* \-??_);_(@_)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B-F634-40E1-BE84-D6E0E13C41D8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(Revenue!#REF!,Revenue!#REF!)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634-40E1-BE84-D6E0E13C41D8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(Revenue!$O$156,Revenue!$O$159:$O$162)</c:f>
              <c:numCache>
                <c:formatCode>_(* #,##0_);_(* \(#,##0\);_(* \-??_);_(@_)</c:formatCode>
                <c:ptCount val="5"/>
                <c:pt idx="1">
                  <c:v>9324</c:v>
                </c:pt>
                <c:pt idx="2">
                  <c:v>7115</c:v>
                </c:pt>
                <c:pt idx="3">
                  <c:v>1736</c:v>
                </c:pt>
                <c:pt idx="4">
                  <c:v>6113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634-40E1-BE84-D6E0E13C41D8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(Revenue!$P$156,Revenue!$P$159:$P$162)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E-F634-40E1-BE84-D6E0E13C41D8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(Revenue!$Q$156,Revenue!$Q$159:$Q$162)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F-F634-40E1-BE84-D6E0E13C41D8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(Revenue!$R$156,Revenue!$R$159:$R$162)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0-F634-40E1-BE84-D6E0E13C41D8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(Revenue!$S$156,Revenue!$S$159:$S$162)</c:f>
              <c:numCache>
                <c:formatCode>_(* #,##0_);_(* \(#,##0\);_(* \-??_);_(@_)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1-F634-40E1-BE84-D6E0E13C41D8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(Revenue!$T$156,Revenue!$T$159:$T$162)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F634-40E1-BE84-D6E0E13C41D8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(Revenue!$U$156,Revenue!$U$159:$U$162)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3-F634-40E1-BE84-D6E0E13C41D8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(Revenue!$V$156,Revenue!$V$159:$V$162)</c:f>
              <c:numCache>
                <c:formatCode>_(* #,##0_);_(* \(#,##0\);_(* \-??_);_(@_)</c:formatCode>
                <c:ptCount val="5"/>
                <c:pt idx="0" formatCode="General">
                  <c:v>0</c:v>
                </c:pt>
                <c:pt idx="1">
                  <c:v>4223</c:v>
                </c:pt>
                <c:pt idx="2">
                  <c:v>3239</c:v>
                </c:pt>
                <c:pt idx="3">
                  <c:v>809</c:v>
                </c:pt>
                <c:pt idx="4">
                  <c:v>2956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634-40E1-BE84-D6E0E13C41D8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(Revenue!$W$156,Revenue!$W$159:$W$162)</c:f>
              <c:numCache>
                <c:formatCode>0.0%</c:formatCode>
                <c:ptCount val="5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F634-40E1-BE84-D6E0E13C41D8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(Revenue!$X$156,Revenue!$X$159:$X$162)</c:f>
              <c:numCache>
                <c:formatCode>_(* #,##0_);_(* \(#,##0\);_(* \-??_);_(@_)</c:formatCode>
                <c:ptCount val="5"/>
                <c:pt idx="0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634-40E1-BE84-D6E0E13C41D8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(Revenue!$Y$156,Revenue!$Y$159:$Y$162)</c:f>
              <c:numCache>
                <c:formatCode>0.0%</c:formatCode>
                <c:ptCount val="5"/>
                <c:pt idx="0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F634-40E1-BE84-D6E0E13C41D8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(Revenue!$Z$156,Revenue!$Z$159:$Z$162)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8-F634-40E1-BE84-D6E0E13C41D8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(Revenue!$AA$156,Revenue!$AA$159:$AA$162)</c:f>
              <c:numCache>
                <c:formatCode>_(* #,##0_);_(* \(#,##0\);_(* \-??_);_(@_)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9-F634-40E1-BE84-D6E0E13C41D8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(Revenue!$AB$156,Revenue!$AB$159:$AB$162)</c:f>
              <c:numCache>
                <c:formatCode>_(* #,##0_);_(* \(#,##0\);_(* \-??_);_(@_)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A-F634-40E1-BE84-D6E0E13C41D8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(Revenue!$AC$156,Revenue!$AC$159:$AC$162)</c:f>
              <c:numCache>
                <c:formatCode>_(* #,##0_);_(* \(#,##0\);_(* \-??_);_(@_)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B-F634-40E1-BE84-D6E0E13C41D8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(Revenue!$AD$156,Revenue!$AD$159:$AD$162)</c:f>
              <c:numCache>
                <c:formatCode>_(* #,##0_);_(* \(#,##0\);_(* \-??_);_(@_)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C-F634-40E1-BE84-D6E0E13C41D8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(Revenue!$AE$156,Revenue!$AE$159:$AE$162)</c:f>
              <c:numCache>
                <c:formatCode>_(* #,##0_);_(* \(#,##0\);_(* \-??_);_(@_)</c:formatCode>
                <c:ptCount val="5"/>
                <c:pt idx="0">
                  <c:v>703.28499999999997</c:v>
                </c:pt>
                <c:pt idx="1">
                  <c:v>1518</c:v>
                </c:pt>
                <c:pt idx="2">
                  <c:v>675</c:v>
                </c:pt>
                <c:pt idx="3">
                  <c:v>248</c:v>
                </c:pt>
                <c:pt idx="4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F634-40E1-BE84-D6E0E13C41D8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(Revenue!$AF$156,Revenue!$AF$159:$AF$162)</c:f>
              <c:numCache>
                <c:formatCode>_(* #,##0_);_(* \(#,##0\);_(* \-??_);_(@_)</c:formatCode>
                <c:ptCount val="5"/>
                <c:pt idx="0">
                  <c:v>1013.7700000000001</c:v>
                </c:pt>
                <c:pt idx="1">
                  <c:v>1514</c:v>
                </c:pt>
                <c:pt idx="2">
                  <c:v>668</c:v>
                </c:pt>
                <c:pt idx="3">
                  <c:v>259</c:v>
                </c:pt>
                <c:pt idx="4">
                  <c:v>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F634-40E1-BE84-D6E0E13C41D8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(Revenue!$AG$156,Revenue!$AG$159:$AG$162)</c:f>
              <c:numCache>
                <c:formatCode>_(* #,##0_);_(* \(#,##0\);_(* \-??_);_(@_)</c:formatCode>
                <c:ptCount val="5"/>
                <c:pt idx="0">
                  <c:v>1215.213</c:v>
                </c:pt>
                <c:pt idx="1">
                  <c:v>1493</c:v>
                </c:pt>
                <c:pt idx="2">
                  <c:v>727</c:v>
                </c:pt>
                <c:pt idx="3">
                  <c:v>227</c:v>
                </c:pt>
                <c:pt idx="4">
                  <c:v>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F634-40E1-BE84-D6E0E13C41D8}"/>
            </c:ext>
          </c:extLst>
        </c:ser>
        <c:ser>
          <c:idx val="32"/>
          <c:order val="32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(Revenue!$AH$156,Revenue!$AH$159:$AH$162)</c:f>
              <c:numCache>
                <c:formatCode>_(* #,##0_);_(* \(#,##0\);_(* \-??_);_(@_)</c:formatCode>
                <c:ptCount val="5"/>
                <c:pt idx="0">
                  <c:v>1872.4039999999995</c:v>
                </c:pt>
                <c:pt idx="1">
                  <c:v>1486</c:v>
                </c:pt>
                <c:pt idx="2">
                  <c:v>808</c:v>
                </c:pt>
                <c:pt idx="3">
                  <c:v>259</c:v>
                </c:pt>
                <c:pt idx="4">
                  <c:v>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F634-40E1-BE84-D6E0E13C41D8}"/>
            </c:ext>
          </c:extLst>
        </c:ser>
        <c:ser>
          <c:idx val="33"/>
          <c:order val="33"/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(Revenue!$AI$156,Revenue!$AI$159:$AI$162)</c:f>
              <c:numCache>
                <c:formatCode>_(* #,##0_);_(* \(#,##0\);_(* \-??_);_(@_)</c:formatCode>
                <c:ptCount val="5"/>
                <c:pt idx="0">
                  <c:v>1007.953</c:v>
                </c:pt>
                <c:pt idx="1">
                  <c:v>1553.0050200000001</c:v>
                </c:pt>
                <c:pt idx="2">
                  <c:v>855.73746000000006</c:v>
                </c:pt>
                <c:pt idx="3">
                  <c:v>253.55184</c:v>
                </c:pt>
                <c:pt idx="4">
                  <c:v>507.10367999999994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F634-40E1-BE84-D6E0E13C41D8}"/>
            </c:ext>
          </c:extLst>
        </c:ser>
        <c:ser>
          <c:idx val="34"/>
          <c:order val="34"/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(Revenue!$AJ$156,Revenue!$AJ$159:$AJ$162)</c:f>
              <c:numCache>
                <c:formatCode>_(* #,##0_);_(* \(#,##0\);_(* \-??_);_(@_)</c:formatCode>
                <c:ptCount val="5"/>
                <c:pt idx="0">
                  <c:v>1455.7750000000001</c:v>
                </c:pt>
                <c:pt idx="1">
                  <c:v>1560.9949799999999</c:v>
                </c:pt>
                <c:pt idx="2">
                  <c:v>1038.2625399999999</c:v>
                </c:pt>
                <c:pt idx="3">
                  <c:v>283.44816000000003</c:v>
                </c:pt>
                <c:pt idx="4">
                  <c:v>630.89632000000006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F634-40E1-BE84-D6E0E13C41D8}"/>
            </c:ext>
          </c:extLst>
        </c:ser>
        <c:ser>
          <c:idx val="35"/>
          <c:order val="35"/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(Revenue!$AK$156,Revenue!$AK$159:$AK$162)</c:f>
              <c:numCache>
                <c:formatCode>_(* #,##0_);_(* \(#,##0\);_(* \-??_);_(@_)</c:formatCode>
                <c:ptCount val="5"/>
                <c:pt idx="0">
                  <c:v>1505.9189999999999</c:v>
                </c:pt>
                <c:pt idx="1">
                  <c:v>1634</c:v>
                </c:pt>
                <c:pt idx="2">
                  <c:v>1191</c:v>
                </c:pt>
                <c:pt idx="3">
                  <c:v>283</c:v>
                </c:pt>
                <c:pt idx="4">
                  <c:v>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F634-40E1-BE84-D6E0E13C41D8}"/>
            </c:ext>
          </c:extLst>
        </c:ser>
        <c:ser>
          <c:idx val="36"/>
          <c:order val="36"/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(Revenue!$AL$156,Revenue!$AL$159:$AL$162)</c:f>
              <c:numCache>
                <c:formatCode>_(* #,##0_);_(* \(#,##0\);_(* \-??_);_(@_)</c:formatCode>
                <c:ptCount val="5"/>
                <c:pt idx="0">
                  <c:v>2361.7960000000003</c:v>
                </c:pt>
                <c:pt idx="1">
                  <c:v>1584</c:v>
                </c:pt>
                <c:pt idx="2">
                  <c:v>1284</c:v>
                </c:pt>
                <c:pt idx="3">
                  <c:v>324</c:v>
                </c:pt>
                <c:pt idx="4">
                  <c:v>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F634-40E1-BE84-D6E0E13C41D8}"/>
            </c:ext>
          </c:extLst>
        </c:ser>
        <c:ser>
          <c:idx val="37"/>
          <c:order val="37"/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(Revenue!$AM$156,Revenue!$AM$159:$AM$162)</c:f>
              <c:numCache>
                <c:formatCode>_(* #,##0_);_(* \(#,##0\);_(* \-??_);_(@_)</c:formatCode>
                <c:ptCount val="5"/>
                <c:pt idx="0">
                  <c:v>1529.7449999999999</c:v>
                </c:pt>
                <c:pt idx="1">
                  <c:v>1692</c:v>
                </c:pt>
                <c:pt idx="2">
                  <c:v>1363</c:v>
                </c:pt>
                <c:pt idx="3">
                  <c:v>325</c:v>
                </c:pt>
                <c:pt idx="4">
                  <c:v>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F634-40E1-BE84-D6E0E13C41D8}"/>
            </c:ext>
          </c:extLst>
        </c:ser>
        <c:ser>
          <c:idx val="38"/>
          <c:order val="38"/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(Revenue!$AN$156,Revenue!$AN$159:$AN$162)</c:f>
              <c:numCache>
                <c:formatCode>_(* #,##0_);_(* \(#,##0\);_(* \-??_);_(@_)</c:formatCode>
                <c:ptCount val="5"/>
                <c:pt idx="0">
                  <c:v>1202.672</c:v>
                </c:pt>
                <c:pt idx="1">
                  <c:v>1683</c:v>
                </c:pt>
                <c:pt idx="2">
                  <c:v>1448</c:v>
                </c:pt>
                <c:pt idx="3">
                  <c:v>341</c:v>
                </c:pt>
                <c:pt idx="4">
                  <c:v>1039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F634-40E1-BE84-D6E0E13C41D8}"/>
            </c:ext>
          </c:extLst>
        </c:ser>
        <c:ser>
          <c:idx val="39"/>
          <c:order val="39"/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(Revenue!$AO$156,Revenue!$AO$159:$AO$162)</c:f>
              <c:numCache>
                <c:formatCode>_(* #,##0_);_(* \(#,##0\);_(* \-??_);_(@_)</c:formatCode>
                <c:ptCount val="5"/>
                <c:pt idx="0">
                  <c:v>1706.9580000000001</c:v>
                </c:pt>
                <c:pt idx="1">
                  <c:v>1945</c:v>
                </c:pt>
                <c:pt idx="2">
                  <c:v>1581</c:v>
                </c:pt>
                <c:pt idx="3">
                  <c:v>346</c:v>
                </c:pt>
                <c:pt idx="4">
                  <c:v>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F634-40E1-BE84-D6E0E13C41D8}"/>
            </c:ext>
          </c:extLst>
        </c:ser>
        <c:ser>
          <c:idx val="40"/>
          <c:order val="40"/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(Revenue!$AP$156,Revenue!$AP$159:$AP$162)</c:f>
              <c:numCache>
                <c:formatCode>_(* #,##0_);_(* \(#,##0\);_(* \-??_);_(@_)</c:formatCode>
                <c:ptCount val="5"/>
                <c:pt idx="0">
                  <c:v>2408.0330000000004</c:v>
                </c:pt>
                <c:pt idx="1">
                  <c:v>2022</c:v>
                </c:pt>
                <c:pt idx="2">
                  <c:v>2158</c:v>
                </c:pt>
                <c:pt idx="3">
                  <c:v>354</c:v>
                </c:pt>
                <c:pt idx="4">
                  <c:v>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F634-40E1-BE84-D6E0E13C41D8}"/>
            </c:ext>
          </c:extLst>
        </c:ser>
        <c:ser>
          <c:idx val="41"/>
          <c:order val="41"/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(Revenue!$AQ$156,Revenue!$AQ$159:$AQ$162)</c:f>
              <c:numCache>
                <c:formatCode>_(* #,##0_);_(* \(#,##0\);_(* \-??_);_(@_)</c:formatCode>
                <c:ptCount val="5"/>
                <c:pt idx="0">
                  <c:v>1407</c:v>
                </c:pt>
                <c:pt idx="1">
                  <c:v>2019</c:v>
                </c:pt>
                <c:pt idx="2">
                  <c:v>1606</c:v>
                </c:pt>
                <c:pt idx="3">
                  <c:v>384</c:v>
                </c:pt>
                <c:pt idx="4">
                  <c:v>1426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F634-40E1-BE84-D6E0E13C41D8}"/>
            </c:ext>
          </c:extLst>
        </c:ser>
        <c:ser>
          <c:idx val="42"/>
          <c:order val="42"/>
          <c:tx>
            <c:strRef>
              <c:f>Revenue!$AR$1</c:f>
              <c:strCache>
                <c:ptCount val="1"/>
                <c:pt idx="0">
                  <c:v>2Q23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(Revenue!$AR$156,Revenue!$AR$159:$AR$162)</c:f>
              <c:numCache>
                <c:formatCode>_(* #,##0_);_(* \(#,##0\);_(* \-??_);_(@_)</c:formatCode>
                <c:ptCount val="5"/>
                <c:pt idx="0">
                  <c:v>1568</c:v>
                </c:pt>
                <c:pt idx="1">
                  <c:v>2204</c:v>
                </c:pt>
                <c:pt idx="2">
                  <c:v>1633</c:v>
                </c:pt>
                <c:pt idx="3">
                  <c:v>425</c:v>
                </c:pt>
                <c:pt idx="4">
                  <c:v>1530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F634-40E1-BE84-D6E0E13C41D8}"/>
            </c:ext>
          </c:extLst>
        </c:ser>
        <c:ser>
          <c:idx val="43"/>
          <c:order val="43"/>
          <c:tx>
            <c:strRef>
              <c:f>Revenue!$AS$1</c:f>
              <c:strCache>
                <c:ptCount val="1"/>
                <c:pt idx="0">
                  <c:v>3Q23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(Revenue!$AS$156,Revenue!$AS$159:$AS$162)</c:f>
              <c:numCache>
                <c:formatCode>_(* #,##0_);_(* \(#,##0\);_(* \-??_);_(@_)</c:formatCode>
                <c:ptCount val="5"/>
                <c:pt idx="0">
                  <c:v>1916</c:v>
                </c:pt>
                <c:pt idx="1">
                  <c:v>2612</c:v>
                </c:pt>
                <c:pt idx="2">
                  <c:v>1776</c:v>
                </c:pt>
                <c:pt idx="3">
                  <c:v>451</c:v>
                </c:pt>
                <c:pt idx="4">
                  <c:v>1561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F634-40E1-BE84-D6E0E13C41D8}"/>
            </c:ext>
          </c:extLst>
        </c:ser>
        <c:ser>
          <c:idx val="44"/>
          <c:order val="44"/>
          <c:tx>
            <c:strRef>
              <c:f>Revenue!$AT$1</c:f>
              <c:strCache>
                <c:ptCount val="1"/>
                <c:pt idx="0">
                  <c:v>4Q23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(Revenue!$AT$156,Revenue!$AT$159:$AT$162)</c:f>
              <c:numCache>
                <c:formatCode>_(* #,##0_);_(* \(#,##0\);_(* \-??_);_(@_)</c:formatCode>
                <c:ptCount val="5"/>
                <c:pt idx="0">
                  <c:v>2270</c:v>
                </c:pt>
                <c:pt idx="1">
                  <c:v>2489</c:v>
                </c:pt>
                <c:pt idx="2">
                  <c:v>2100</c:v>
                </c:pt>
                <c:pt idx="3">
                  <c:v>476</c:v>
                </c:pt>
                <c:pt idx="4">
                  <c:v>1596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F634-40E1-BE84-D6E0E13C41D8}"/>
            </c:ext>
          </c:extLst>
        </c:ser>
        <c:ser>
          <c:idx val="45"/>
          <c:order val="45"/>
          <c:tx>
            <c:strRef>
              <c:f>Revenue!$AU$1</c:f>
              <c:strCache>
                <c:ptCount val="1"/>
                <c:pt idx="0">
                  <c:v>1Q24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(Revenue!$AU$156,Revenue!$AU$159:$AU$162)</c:f>
              <c:numCache>
                <c:formatCode>_(* #,##0_);_(* \(#,##0\);_(* \-??_);_(@_)</c:formatCode>
                <c:ptCount val="5"/>
                <c:pt idx="0">
                  <c:v>1472</c:v>
                </c:pt>
                <c:pt idx="1">
                  <c:v>2695</c:v>
                </c:pt>
                <c:pt idx="2">
                  <c:v>1858</c:v>
                </c:pt>
                <c:pt idx="3">
                  <c:v>552</c:v>
                </c:pt>
                <c:pt idx="4">
                  <c:v>1895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F634-40E1-BE84-D6E0E13C41D8}"/>
            </c:ext>
          </c:extLst>
        </c:ser>
        <c:ser>
          <c:idx val="46"/>
          <c:order val="46"/>
          <c:tx>
            <c:strRef>
              <c:f>Revenue!$AV$1</c:f>
              <c:strCache>
                <c:ptCount val="1"/>
                <c:pt idx="0">
                  <c:v>2Q24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(Revenue!$AV$156,Revenue!$AV$159:$AV$162)</c:f>
              <c:numCache>
                <c:formatCode>_(* #,##0_);_(* \(#,##0\);_(* \-??_);_(@_)</c:formatCode>
                <c:ptCount val="5"/>
                <c:pt idx="0">
                  <c:v>2032</c:v>
                </c:pt>
                <c:pt idx="1">
                  <c:v>3017</c:v>
                </c:pt>
                <c:pt idx="2">
                  <c:v>1861</c:v>
                </c:pt>
                <c:pt idx="3">
                  <c:v>692</c:v>
                </c:pt>
                <c:pt idx="4">
                  <c:v>2003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F634-40E1-BE84-D6E0E13C41D8}"/>
            </c:ext>
          </c:extLst>
        </c:ser>
        <c:ser>
          <c:idx val="47"/>
          <c:order val="47"/>
          <c:tx>
            <c:strRef>
              <c:f>Revenue!$AW$1</c:f>
              <c:strCache>
                <c:ptCount val="1"/>
                <c:pt idx="0">
                  <c:v>3Q24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(Revenue!$AW$156,Revenue!$AW$159:$AW$162)</c:f>
              <c:numCache>
                <c:formatCode>_(* #,##0_);_(* \(#,##0\);_(* \-??_);_(@_)</c:formatCode>
                <c:ptCount val="5"/>
                <c:pt idx="0">
                  <c:v>1792</c:v>
                </c:pt>
                <c:pt idx="1">
                  <c:v>3205</c:v>
                </c:pt>
                <c:pt idx="2">
                  <c:v>1944</c:v>
                </c:pt>
                <c:pt idx="3">
                  <c:v>690</c:v>
                </c:pt>
                <c:pt idx="4">
                  <c:v>2256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F634-40E1-BE84-D6E0E13C41D8}"/>
            </c:ext>
          </c:extLst>
        </c:ser>
        <c:ser>
          <c:idx val="48"/>
          <c:order val="48"/>
          <c:tx>
            <c:strRef>
              <c:f>Revenue!$AX$1</c:f>
              <c:strCache>
                <c:ptCount val="1"/>
                <c:pt idx="0">
                  <c:v>4Q24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(Revenue!$AX$156,Revenue!$AX$159:$AX$162)</c:f>
              <c:numCache>
                <c:formatCode>_(* #,##0_);_(* \(#,##0\);_(* \-??_);_(@_)</c:formatCode>
                <c:ptCount val="5"/>
                <c:pt idx="0">
                  <c:v>2861</c:v>
                </c:pt>
                <c:pt idx="1">
                  <c:v>3408</c:v>
                </c:pt>
                <c:pt idx="2">
                  <c:v>2088</c:v>
                </c:pt>
                <c:pt idx="3">
                  <c:v>702</c:v>
                </c:pt>
                <c:pt idx="4">
                  <c:v>2086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F634-40E1-BE84-D6E0E13C41D8}"/>
            </c:ext>
          </c:extLst>
        </c:ser>
        <c:ser>
          <c:idx val="49"/>
          <c:order val="49"/>
          <c:tx>
            <c:strRef>
              <c:f>Revenue!$AY$1</c:f>
              <c:strCache>
                <c:ptCount val="1"/>
                <c:pt idx="0">
                  <c:v>1Q25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(Revenue!$AY$156,Revenue!$AY$159:$AY$162)</c:f>
              <c:numCache>
                <c:formatCode>_(* #,##0_);_(* \(#,##0\);_(* \-??_);_(@_)</c:formatCode>
                <c:ptCount val="5"/>
                <c:pt idx="0">
                  <c:v>1583</c:v>
                </c:pt>
                <c:pt idx="1">
                  <c:v>3514</c:v>
                </c:pt>
                <c:pt idx="2">
                  <c:v>2002</c:v>
                </c:pt>
                <c:pt idx="3">
                  <c:v>688</c:v>
                </c:pt>
                <c:pt idx="4">
                  <c:v>1982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F634-40E1-BE84-D6E0E13C41D8}"/>
            </c:ext>
          </c:extLst>
        </c:ser>
        <c:ser>
          <c:idx val="50"/>
          <c:order val="50"/>
          <c:tx>
            <c:strRef>
              <c:f>Revenue!$AZ$1</c:f>
              <c:strCache>
                <c:ptCount val="1"/>
                <c:pt idx="0">
                  <c:v>2Q25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(Revenue!$AZ$156,Revenue!$AZ$159:$AZ$162)</c:f>
              <c:numCache>
                <c:formatCode>_(* #,##0_);_(* \(#,##0\);_(* \-??_);_(@_)</c:formatCode>
                <c:ptCount val="5"/>
                <c:pt idx="0">
                  <c:v>1876</c:v>
                </c:pt>
                <c:pt idx="1">
                  <c:v>3806</c:v>
                </c:pt>
                <c:pt idx="2">
                  <c:v>2023</c:v>
                </c:pt>
                <c:pt idx="3">
                  <c:v>870</c:v>
                </c:pt>
                <c:pt idx="4">
                  <c:v>1784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F634-40E1-BE84-D6E0E13C41D8}"/>
            </c:ext>
          </c:extLst>
        </c:ser>
        <c:ser>
          <c:idx val="51"/>
          <c:order val="51"/>
          <c:tx>
            <c:strRef>
              <c:f>Revenue!$BA$1</c:f>
              <c:strCache>
                <c:ptCount val="1"/>
                <c:pt idx="0">
                  <c:v>3Q25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(Revenue!$A$156,Revenue!$A$159:$A$162)</c:f>
              <c:strCache>
                <c:ptCount val="5"/>
                <c:pt idx="0">
                  <c:v>Vietnam</c:v>
                </c:pt>
                <c:pt idx="1">
                  <c:v>Japan</c:v>
                </c:pt>
                <c:pt idx="2">
                  <c:v>US</c:v>
                </c:pt>
                <c:pt idx="3">
                  <c:v>EU</c:v>
                </c:pt>
                <c:pt idx="4">
                  <c:v>APAC</c:v>
                </c:pt>
              </c:strCache>
            </c:strRef>
          </c:cat>
          <c:val>
            <c:numRef>
              <c:f>(Revenue!$BA$156,Revenue!$BA$159:$BA$162)</c:f>
              <c:numCache>
                <c:formatCode>_(* #,##0_);_(* \(#,##0\);_(* \-??_);_(@_)</c:formatCode>
                <c:ptCount val="5"/>
                <c:pt idx="0">
                  <c:v>1917</c:v>
                </c:pt>
                <c:pt idx="1">
                  <c:v>3944</c:v>
                </c:pt>
                <c:pt idx="2">
                  <c:v>2062</c:v>
                </c:pt>
                <c:pt idx="3">
                  <c:v>970</c:v>
                </c:pt>
                <c:pt idx="4">
                  <c:v>1928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F634-40E1-BE84-D6E0E13C4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5684783"/>
        <c:axId val="1455682863"/>
      </c:barChart>
      <c:catAx>
        <c:axId val="1455684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1455682863"/>
        <c:crosses val="autoZero"/>
        <c:auto val="1"/>
        <c:lblAlgn val="ctr"/>
        <c:lblOffset val="100"/>
        <c:noMultiLvlLbl val="0"/>
      </c:catAx>
      <c:valAx>
        <c:axId val="1455682863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1455684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071561341027655"/>
          <c:y val="0.77949417794097431"/>
          <c:w val="0.68118390923461025"/>
          <c:h val="0.183099338268501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Revenue!$A$170</c:f>
              <c:strCache>
                <c:ptCount val="1"/>
                <c:pt idx="0">
                  <c:v>Japan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Revenue!$AU$1:$BA$1</c:f>
              <c:strCache>
                <c:ptCount val="7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</c:strCache>
            </c:strRef>
          </c:cat>
          <c:val>
            <c:numRef>
              <c:f>Revenue!$AU$170:$BA$170</c:f>
              <c:numCache>
                <c:formatCode>0.0%</c:formatCode>
                <c:ptCount val="7"/>
                <c:pt idx="0">
                  <c:v>0.33481921743437337</c:v>
                </c:pt>
                <c:pt idx="1">
                  <c:v>0.36887477313974593</c:v>
                </c:pt>
                <c:pt idx="2">
                  <c:v>0.22702909647779479</c:v>
                </c:pt>
                <c:pt idx="3">
                  <c:v>0.36922458818802739</c:v>
                </c:pt>
                <c:pt idx="4">
                  <c:v>0.30389610389610389</c:v>
                </c:pt>
                <c:pt idx="5">
                  <c:v>0.26151806430228697</c:v>
                </c:pt>
                <c:pt idx="6">
                  <c:v>0.23057722308892359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568-4880-A823-216176DF87C4}"/>
            </c:ext>
          </c:extLst>
        </c:ser>
        <c:ser>
          <c:idx val="2"/>
          <c:order val="1"/>
          <c:tx>
            <c:strRef>
              <c:f>Revenue!$A$172</c:f>
              <c:strCache>
                <c:ptCount val="1"/>
                <c:pt idx="0">
                  <c:v>EU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Revenue!$AU$1:$BA$1</c:f>
              <c:strCache>
                <c:ptCount val="7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</c:strCache>
            </c:strRef>
          </c:cat>
          <c:val>
            <c:numRef>
              <c:f>Revenue!$AU$172:$BA$172</c:f>
              <c:numCache>
                <c:formatCode>0.0%</c:formatCode>
                <c:ptCount val="7"/>
                <c:pt idx="0">
                  <c:v>0.4375</c:v>
                </c:pt>
                <c:pt idx="1">
                  <c:v>0.628235294117647</c:v>
                </c:pt>
                <c:pt idx="2">
                  <c:v>0.52993348115299344</c:v>
                </c:pt>
                <c:pt idx="3">
                  <c:v>0.47478991596638664</c:v>
                </c:pt>
                <c:pt idx="4">
                  <c:v>0.24637681159420288</c:v>
                </c:pt>
                <c:pt idx="5">
                  <c:v>0.25722543352601157</c:v>
                </c:pt>
                <c:pt idx="6">
                  <c:v>0.40579710144927539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568-4880-A823-216176DF87C4}"/>
            </c:ext>
          </c:extLst>
        </c:ser>
        <c:ser>
          <c:idx val="1"/>
          <c:order val="2"/>
          <c:tx>
            <c:strRef>
              <c:f>Revenue!$A$171</c:f>
              <c:strCache>
                <c:ptCount val="1"/>
                <c:pt idx="0">
                  <c:v>US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Revenue!$AU$1:$BA$1</c:f>
              <c:strCache>
                <c:ptCount val="7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</c:strCache>
            </c:strRef>
          </c:cat>
          <c:val>
            <c:numRef>
              <c:f>Revenue!$AU$171:$BA$171</c:f>
              <c:numCache>
                <c:formatCode>0.0%</c:formatCode>
                <c:ptCount val="7"/>
                <c:pt idx="0">
                  <c:v>0.15691158156911578</c:v>
                </c:pt>
                <c:pt idx="1">
                  <c:v>0.13962033067973056</c:v>
                </c:pt>
                <c:pt idx="2">
                  <c:v>9.4594594594594517E-2</c:v>
                </c:pt>
                <c:pt idx="3">
                  <c:v>-5.7142857142856718E-3</c:v>
                </c:pt>
                <c:pt idx="4">
                  <c:v>7.7502691065661988E-2</c:v>
                </c:pt>
                <c:pt idx="5">
                  <c:v>8.7049973132724334E-2</c:v>
                </c:pt>
                <c:pt idx="6">
                  <c:v>6.0699588477366229E-2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568-4880-A823-216176DF87C4}"/>
            </c:ext>
          </c:extLst>
        </c:ser>
        <c:ser>
          <c:idx val="3"/>
          <c:order val="3"/>
          <c:tx>
            <c:strRef>
              <c:f>Revenue!$A$173</c:f>
              <c:strCache>
                <c:ptCount val="1"/>
                <c:pt idx="0">
                  <c:v>APAC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Revenue!$AU$1:$BA$1</c:f>
              <c:strCache>
                <c:ptCount val="7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</c:strCache>
            </c:strRef>
          </c:cat>
          <c:val>
            <c:numRef>
              <c:f>Revenue!$AU$173:$BA$173</c:f>
              <c:numCache>
                <c:formatCode>0.0%</c:formatCode>
                <c:ptCount val="7"/>
                <c:pt idx="0">
                  <c:v>0.32889200561009813</c:v>
                </c:pt>
                <c:pt idx="1">
                  <c:v>0.30915032679738563</c:v>
                </c:pt>
                <c:pt idx="2">
                  <c:v>0.44522741832158874</c:v>
                </c:pt>
                <c:pt idx="3">
                  <c:v>0.30701754385964919</c:v>
                </c:pt>
                <c:pt idx="4">
                  <c:v>4.5910290237467066E-2</c:v>
                </c:pt>
                <c:pt idx="5">
                  <c:v>-0.10933599600599098</c:v>
                </c:pt>
                <c:pt idx="6">
                  <c:v>-0.14539007092198586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4568-4880-A823-216176DF8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2342576"/>
        <c:axId val="1002344496"/>
      </c:lineChart>
      <c:catAx>
        <c:axId val="100234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344496"/>
        <c:crosses val="autoZero"/>
        <c:auto val="1"/>
        <c:lblAlgn val="ctr"/>
        <c:lblOffset val="100"/>
        <c:noMultiLvlLbl val="0"/>
      </c:catAx>
      <c:valAx>
        <c:axId val="1002344496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342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Revenue!$A$199</c:f>
              <c:strCache>
                <c:ptCount val="1"/>
                <c:pt idx="0">
                  <c:v>Broadband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Revenue!$AU$1:$BA$1</c:f>
              <c:strCache>
                <c:ptCount val="7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</c:strCache>
            </c:strRef>
          </c:cat>
          <c:val>
            <c:numRef>
              <c:f>Revenue!$AU$199:$BA$199</c:f>
              <c:numCache>
                <c:formatCode>_(* #,##0_);_(* \(#,##0\);_(* \-??_);_(@_)</c:formatCode>
                <c:ptCount val="7"/>
                <c:pt idx="0">
                  <c:v>2074</c:v>
                </c:pt>
                <c:pt idx="1">
                  <c:v>2109</c:v>
                </c:pt>
                <c:pt idx="2">
                  <c:v>2243</c:v>
                </c:pt>
                <c:pt idx="3">
                  <c:v>2374</c:v>
                </c:pt>
                <c:pt idx="4">
                  <c:v>2397</c:v>
                </c:pt>
                <c:pt idx="5">
                  <c:v>2460</c:v>
                </c:pt>
                <c:pt idx="6">
                  <c:v>2532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4A-4FF9-A271-4EC7C0B67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60709632"/>
        <c:axId val="1960726912"/>
      </c:barChart>
      <c:lineChart>
        <c:grouping val="standard"/>
        <c:varyColors val="0"/>
        <c:ser>
          <c:idx val="1"/>
          <c:order val="1"/>
          <c:tx>
            <c:strRef>
              <c:f>Revenue!$A$200</c:f>
              <c:strCache>
                <c:ptCount val="1"/>
                <c:pt idx="0">
                  <c:v>% Broadband revenue growth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Revenue!$AU$1:$BA$1</c:f>
              <c:strCache>
                <c:ptCount val="7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</c:strCache>
            </c:strRef>
          </c:cat>
          <c:val>
            <c:numRef>
              <c:f>Revenue!$AU$200:$BA$200</c:f>
              <c:numCache>
                <c:formatCode>0.0%</c:formatCode>
                <c:ptCount val="7"/>
                <c:pt idx="0">
                  <c:v>8.8142707240293827E-2</c:v>
                </c:pt>
                <c:pt idx="1">
                  <c:v>9.9582898852971891E-2</c:v>
                </c:pt>
                <c:pt idx="2">
                  <c:v>0.14322120285423035</c:v>
                </c:pt>
                <c:pt idx="3">
                  <c:v>0.15692007797270957</c:v>
                </c:pt>
                <c:pt idx="4">
                  <c:v>0.15573770491803285</c:v>
                </c:pt>
                <c:pt idx="5">
                  <c:v>0.16642958748221903</c:v>
                </c:pt>
                <c:pt idx="6">
                  <c:v>0.12884529647793141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4A-4FF9-A271-4EC7C0B67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0725952"/>
        <c:axId val="1960727392"/>
      </c:lineChart>
      <c:catAx>
        <c:axId val="196070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726912"/>
        <c:crosses val="autoZero"/>
        <c:auto val="1"/>
        <c:lblAlgn val="ctr"/>
        <c:lblOffset val="100"/>
        <c:noMultiLvlLbl val="0"/>
      </c:catAx>
      <c:valAx>
        <c:axId val="1960726912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709632"/>
        <c:crosses val="autoZero"/>
        <c:crossBetween val="between"/>
      </c:valAx>
      <c:valAx>
        <c:axId val="1960727392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725952"/>
        <c:crosses val="max"/>
        <c:crossBetween val="between"/>
      </c:valAx>
      <c:catAx>
        <c:axId val="19607259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607273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Revenue!$A$201</c:f>
              <c:strCache>
                <c:ptCount val="1"/>
                <c:pt idx="0">
                  <c:v>Non-broadband (Data centers, FPT play, Smarthome)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Revenue!$AU$1:$BA$1</c:f>
              <c:strCache>
                <c:ptCount val="7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</c:strCache>
            </c:strRef>
          </c:cat>
          <c:val>
            <c:numRef>
              <c:f>Revenue!$AU$201:$BA$201</c:f>
              <c:numCache>
                <c:formatCode>_(* #,##0_);_(* \(#,##0\);_(* \-??_);_(@_)</c:formatCode>
                <c:ptCount val="7"/>
                <c:pt idx="0">
                  <c:v>1811</c:v>
                </c:pt>
                <c:pt idx="1">
                  <c:v>1971</c:v>
                </c:pt>
                <c:pt idx="2">
                  <c:v>2112</c:v>
                </c:pt>
                <c:pt idx="3">
                  <c:v>2212</c:v>
                </c:pt>
                <c:pt idx="4">
                  <c:v>2068</c:v>
                </c:pt>
                <c:pt idx="5">
                  <c:v>2105</c:v>
                </c:pt>
                <c:pt idx="6">
                  <c:v>2177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61-45E4-A926-4BD35DACF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60709632"/>
        <c:axId val="1960726912"/>
      </c:barChart>
      <c:lineChart>
        <c:grouping val="standard"/>
        <c:varyColors val="0"/>
        <c:ser>
          <c:idx val="1"/>
          <c:order val="1"/>
          <c:tx>
            <c:strRef>
              <c:f>Revenue!$A$202</c:f>
              <c:strCache>
                <c:ptCount val="1"/>
                <c:pt idx="0">
                  <c:v>% non-broadband revenue growth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Revenue!$AU$1:$BA$1</c:f>
              <c:strCache>
                <c:ptCount val="7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</c:strCache>
            </c:strRef>
          </c:cat>
          <c:val>
            <c:numRef>
              <c:f>Revenue!$AU$202:$BA$202</c:f>
              <c:numCache>
                <c:formatCode>0.0%</c:formatCode>
                <c:ptCount val="7"/>
                <c:pt idx="0">
                  <c:v>1.2297372833985465E-2</c:v>
                </c:pt>
                <c:pt idx="1">
                  <c:v>8.8950276243093818E-2</c:v>
                </c:pt>
                <c:pt idx="2">
                  <c:v>0.11627906976744184</c:v>
                </c:pt>
                <c:pt idx="3">
                  <c:v>0.1918103448275863</c:v>
                </c:pt>
                <c:pt idx="4">
                  <c:v>0.14191054665930425</c:v>
                </c:pt>
                <c:pt idx="5">
                  <c:v>6.7985794013191381E-2</c:v>
                </c:pt>
                <c:pt idx="6">
                  <c:v>3.0776515151515138E-2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61-45E4-A926-4BD35DACF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0725952"/>
        <c:axId val="1960727392"/>
      </c:lineChart>
      <c:catAx>
        <c:axId val="196070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726912"/>
        <c:crosses val="autoZero"/>
        <c:auto val="1"/>
        <c:lblAlgn val="ctr"/>
        <c:lblOffset val="100"/>
        <c:noMultiLvlLbl val="0"/>
      </c:catAx>
      <c:valAx>
        <c:axId val="1960726912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709632"/>
        <c:crosses val="autoZero"/>
        <c:crossBetween val="between"/>
      </c:valAx>
      <c:valAx>
        <c:axId val="1960727392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725952"/>
        <c:crosses val="max"/>
        <c:crossBetween val="between"/>
      </c:valAx>
      <c:catAx>
        <c:axId val="19607259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607273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638641481290254E-2"/>
          <c:y val="0.10200167738881852"/>
          <c:w val="0.7664002552959569"/>
          <c:h val="0.77701977318613769"/>
        </c:manualLayout>
      </c:layout>
      <c:lineChart>
        <c:grouping val="standard"/>
        <c:varyColors val="0"/>
        <c:ser>
          <c:idx val="1"/>
          <c:order val="0"/>
          <c:tx>
            <c:strRef>
              <c:f>'FX Data'!$I$956</c:f>
              <c:strCache>
                <c:ptCount val="1"/>
                <c:pt idx="0">
                  <c:v>=-2sd</c:v>
                </c:pt>
              </c:strCache>
            </c:strRef>
          </c:tx>
          <c:spPr>
            <a:ln w="19050" cap="rnd">
              <a:solidFill>
                <a:sysClr val="window" lastClr="FFFFFF">
                  <a:lumMod val="75000"/>
                </a:sysClr>
              </a:solidFill>
              <a:round/>
            </a:ln>
            <a:effectLst/>
          </c:spPr>
          <c:marker>
            <c:symbol val="none"/>
          </c:marker>
          <c:cat>
            <c:numRef>
              <c:f>'FX Data'!$B$957:$B$2203</c:f>
              <c:numCache>
                <c:formatCode>m/d/yyyy</c:formatCode>
                <c:ptCount val="1247"/>
                <c:pt idx="0">
                  <c:v>44263</c:v>
                </c:pt>
                <c:pt idx="1">
                  <c:v>44264</c:v>
                </c:pt>
                <c:pt idx="2">
                  <c:v>44265</c:v>
                </c:pt>
                <c:pt idx="3">
                  <c:v>44266</c:v>
                </c:pt>
                <c:pt idx="4">
                  <c:v>44267</c:v>
                </c:pt>
                <c:pt idx="5">
                  <c:v>44270</c:v>
                </c:pt>
                <c:pt idx="6">
                  <c:v>44271</c:v>
                </c:pt>
                <c:pt idx="7">
                  <c:v>44272</c:v>
                </c:pt>
                <c:pt idx="8">
                  <c:v>44273</c:v>
                </c:pt>
                <c:pt idx="9">
                  <c:v>44274</c:v>
                </c:pt>
                <c:pt idx="10">
                  <c:v>44277</c:v>
                </c:pt>
                <c:pt idx="11">
                  <c:v>44278</c:v>
                </c:pt>
                <c:pt idx="12">
                  <c:v>44279</c:v>
                </c:pt>
                <c:pt idx="13">
                  <c:v>44280</c:v>
                </c:pt>
                <c:pt idx="14">
                  <c:v>44281</c:v>
                </c:pt>
                <c:pt idx="15">
                  <c:v>44284</c:v>
                </c:pt>
                <c:pt idx="16">
                  <c:v>44285</c:v>
                </c:pt>
                <c:pt idx="17">
                  <c:v>44286</c:v>
                </c:pt>
                <c:pt idx="18">
                  <c:v>44287</c:v>
                </c:pt>
                <c:pt idx="19">
                  <c:v>44288</c:v>
                </c:pt>
                <c:pt idx="20">
                  <c:v>44291</c:v>
                </c:pt>
                <c:pt idx="21">
                  <c:v>44292</c:v>
                </c:pt>
                <c:pt idx="22">
                  <c:v>44293</c:v>
                </c:pt>
                <c:pt idx="23">
                  <c:v>44294</c:v>
                </c:pt>
                <c:pt idx="24">
                  <c:v>44295</c:v>
                </c:pt>
                <c:pt idx="25">
                  <c:v>44298</c:v>
                </c:pt>
                <c:pt idx="26">
                  <c:v>44299</c:v>
                </c:pt>
                <c:pt idx="27">
                  <c:v>44300</c:v>
                </c:pt>
                <c:pt idx="28">
                  <c:v>44301</c:v>
                </c:pt>
                <c:pt idx="29">
                  <c:v>44302</c:v>
                </c:pt>
                <c:pt idx="30">
                  <c:v>44305</c:v>
                </c:pt>
                <c:pt idx="31">
                  <c:v>44306</c:v>
                </c:pt>
                <c:pt idx="32">
                  <c:v>44308</c:v>
                </c:pt>
                <c:pt idx="33">
                  <c:v>44309</c:v>
                </c:pt>
                <c:pt idx="34">
                  <c:v>44312</c:v>
                </c:pt>
                <c:pt idx="35">
                  <c:v>44313</c:v>
                </c:pt>
                <c:pt idx="36">
                  <c:v>44314</c:v>
                </c:pt>
                <c:pt idx="37">
                  <c:v>44315</c:v>
                </c:pt>
                <c:pt idx="38">
                  <c:v>44320</c:v>
                </c:pt>
                <c:pt idx="39">
                  <c:v>44321</c:v>
                </c:pt>
                <c:pt idx="40">
                  <c:v>44322</c:v>
                </c:pt>
                <c:pt idx="41">
                  <c:v>44323</c:v>
                </c:pt>
                <c:pt idx="42">
                  <c:v>44326</c:v>
                </c:pt>
                <c:pt idx="43">
                  <c:v>44327</c:v>
                </c:pt>
                <c:pt idx="44">
                  <c:v>44328</c:v>
                </c:pt>
                <c:pt idx="45">
                  <c:v>44329</c:v>
                </c:pt>
                <c:pt idx="46">
                  <c:v>44330</c:v>
                </c:pt>
                <c:pt idx="47">
                  <c:v>44333</c:v>
                </c:pt>
                <c:pt idx="48">
                  <c:v>44334</c:v>
                </c:pt>
                <c:pt idx="49">
                  <c:v>44335</c:v>
                </c:pt>
                <c:pt idx="50">
                  <c:v>44336</c:v>
                </c:pt>
                <c:pt idx="51">
                  <c:v>44337</c:v>
                </c:pt>
                <c:pt idx="52">
                  <c:v>44340</c:v>
                </c:pt>
                <c:pt idx="53">
                  <c:v>44341</c:v>
                </c:pt>
                <c:pt idx="54">
                  <c:v>44342</c:v>
                </c:pt>
                <c:pt idx="55">
                  <c:v>44343</c:v>
                </c:pt>
                <c:pt idx="56">
                  <c:v>44344</c:v>
                </c:pt>
                <c:pt idx="57">
                  <c:v>44347</c:v>
                </c:pt>
                <c:pt idx="58">
                  <c:v>44348</c:v>
                </c:pt>
                <c:pt idx="59">
                  <c:v>44349</c:v>
                </c:pt>
                <c:pt idx="60">
                  <c:v>44350</c:v>
                </c:pt>
                <c:pt idx="61">
                  <c:v>44351</c:v>
                </c:pt>
                <c:pt idx="62">
                  <c:v>44354</c:v>
                </c:pt>
                <c:pt idx="63">
                  <c:v>44355</c:v>
                </c:pt>
                <c:pt idx="64">
                  <c:v>44356</c:v>
                </c:pt>
                <c:pt idx="65">
                  <c:v>44357</c:v>
                </c:pt>
                <c:pt idx="66">
                  <c:v>44358</c:v>
                </c:pt>
                <c:pt idx="67">
                  <c:v>44361</c:v>
                </c:pt>
                <c:pt idx="68">
                  <c:v>44362</c:v>
                </c:pt>
                <c:pt idx="69">
                  <c:v>44363</c:v>
                </c:pt>
                <c:pt idx="70">
                  <c:v>44364</c:v>
                </c:pt>
                <c:pt idx="71">
                  <c:v>44365</c:v>
                </c:pt>
                <c:pt idx="72">
                  <c:v>44368</c:v>
                </c:pt>
                <c:pt idx="73">
                  <c:v>44369</c:v>
                </c:pt>
                <c:pt idx="74">
                  <c:v>44370</c:v>
                </c:pt>
                <c:pt idx="75">
                  <c:v>44371</c:v>
                </c:pt>
                <c:pt idx="76">
                  <c:v>44372</c:v>
                </c:pt>
                <c:pt idx="77">
                  <c:v>44375</c:v>
                </c:pt>
                <c:pt idx="78">
                  <c:v>44376</c:v>
                </c:pt>
                <c:pt idx="79">
                  <c:v>44377</c:v>
                </c:pt>
                <c:pt idx="80">
                  <c:v>44378</c:v>
                </c:pt>
                <c:pt idx="81">
                  <c:v>44379</c:v>
                </c:pt>
                <c:pt idx="82">
                  <c:v>44382</c:v>
                </c:pt>
                <c:pt idx="83">
                  <c:v>44383</c:v>
                </c:pt>
                <c:pt idx="84">
                  <c:v>44384</c:v>
                </c:pt>
                <c:pt idx="85">
                  <c:v>44385</c:v>
                </c:pt>
                <c:pt idx="86">
                  <c:v>44386</c:v>
                </c:pt>
                <c:pt idx="87">
                  <c:v>44389</c:v>
                </c:pt>
                <c:pt idx="88">
                  <c:v>44390</c:v>
                </c:pt>
                <c:pt idx="89">
                  <c:v>44391</c:v>
                </c:pt>
                <c:pt idx="90">
                  <c:v>44392</c:v>
                </c:pt>
                <c:pt idx="91">
                  <c:v>44393</c:v>
                </c:pt>
                <c:pt idx="92">
                  <c:v>44396</c:v>
                </c:pt>
                <c:pt idx="93">
                  <c:v>44397</c:v>
                </c:pt>
                <c:pt idx="94">
                  <c:v>44398</c:v>
                </c:pt>
                <c:pt idx="95">
                  <c:v>44399</c:v>
                </c:pt>
                <c:pt idx="96">
                  <c:v>44400</c:v>
                </c:pt>
                <c:pt idx="97">
                  <c:v>44403</c:v>
                </c:pt>
                <c:pt idx="98">
                  <c:v>44404</c:v>
                </c:pt>
                <c:pt idx="99">
                  <c:v>44405</c:v>
                </c:pt>
                <c:pt idx="100">
                  <c:v>44406</c:v>
                </c:pt>
                <c:pt idx="101">
                  <c:v>44407</c:v>
                </c:pt>
                <c:pt idx="102">
                  <c:v>44410</c:v>
                </c:pt>
                <c:pt idx="103">
                  <c:v>44411</c:v>
                </c:pt>
                <c:pt idx="104">
                  <c:v>44412</c:v>
                </c:pt>
                <c:pt idx="105">
                  <c:v>44413</c:v>
                </c:pt>
                <c:pt idx="106">
                  <c:v>44414</c:v>
                </c:pt>
                <c:pt idx="107">
                  <c:v>44417</c:v>
                </c:pt>
                <c:pt idx="108">
                  <c:v>44418</c:v>
                </c:pt>
                <c:pt idx="109">
                  <c:v>44419</c:v>
                </c:pt>
                <c:pt idx="110">
                  <c:v>44420</c:v>
                </c:pt>
                <c:pt idx="111">
                  <c:v>44421</c:v>
                </c:pt>
                <c:pt idx="112">
                  <c:v>44424</c:v>
                </c:pt>
                <c:pt idx="113">
                  <c:v>44425</c:v>
                </c:pt>
                <c:pt idx="114">
                  <c:v>44426</c:v>
                </c:pt>
                <c:pt idx="115">
                  <c:v>44427</c:v>
                </c:pt>
                <c:pt idx="116">
                  <c:v>44428</c:v>
                </c:pt>
                <c:pt idx="117">
                  <c:v>44431</c:v>
                </c:pt>
                <c:pt idx="118">
                  <c:v>44432</c:v>
                </c:pt>
                <c:pt idx="119">
                  <c:v>44433</c:v>
                </c:pt>
                <c:pt idx="120">
                  <c:v>44434</c:v>
                </c:pt>
                <c:pt idx="121">
                  <c:v>44435</c:v>
                </c:pt>
                <c:pt idx="122">
                  <c:v>44438</c:v>
                </c:pt>
                <c:pt idx="123">
                  <c:v>44439</c:v>
                </c:pt>
                <c:pt idx="124">
                  <c:v>44440</c:v>
                </c:pt>
                <c:pt idx="125">
                  <c:v>44445</c:v>
                </c:pt>
                <c:pt idx="126">
                  <c:v>44446</c:v>
                </c:pt>
                <c:pt idx="127">
                  <c:v>44447</c:v>
                </c:pt>
                <c:pt idx="128">
                  <c:v>44448</c:v>
                </c:pt>
                <c:pt idx="129">
                  <c:v>44449</c:v>
                </c:pt>
                <c:pt idx="130">
                  <c:v>44452</c:v>
                </c:pt>
                <c:pt idx="131">
                  <c:v>44453</c:v>
                </c:pt>
                <c:pt idx="132">
                  <c:v>44454</c:v>
                </c:pt>
                <c:pt idx="133">
                  <c:v>44455</c:v>
                </c:pt>
                <c:pt idx="134">
                  <c:v>44456</c:v>
                </c:pt>
                <c:pt idx="135">
                  <c:v>44459</c:v>
                </c:pt>
                <c:pt idx="136">
                  <c:v>44460</c:v>
                </c:pt>
                <c:pt idx="137">
                  <c:v>44461</c:v>
                </c:pt>
                <c:pt idx="138">
                  <c:v>44462</c:v>
                </c:pt>
                <c:pt idx="139">
                  <c:v>44463</c:v>
                </c:pt>
                <c:pt idx="140">
                  <c:v>44466</c:v>
                </c:pt>
                <c:pt idx="141">
                  <c:v>44467</c:v>
                </c:pt>
                <c:pt idx="142">
                  <c:v>44468</c:v>
                </c:pt>
                <c:pt idx="143">
                  <c:v>44469</c:v>
                </c:pt>
                <c:pt idx="144">
                  <c:v>44470</c:v>
                </c:pt>
                <c:pt idx="145">
                  <c:v>44473</c:v>
                </c:pt>
                <c:pt idx="146">
                  <c:v>44474</c:v>
                </c:pt>
                <c:pt idx="147">
                  <c:v>44475</c:v>
                </c:pt>
                <c:pt idx="148">
                  <c:v>44476</c:v>
                </c:pt>
                <c:pt idx="149">
                  <c:v>44477</c:v>
                </c:pt>
                <c:pt idx="150">
                  <c:v>44480</c:v>
                </c:pt>
                <c:pt idx="151">
                  <c:v>44481</c:v>
                </c:pt>
                <c:pt idx="152">
                  <c:v>44482</c:v>
                </c:pt>
                <c:pt idx="153">
                  <c:v>44483</c:v>
                </c:pt>
                <c:pt idx="154">
                  <c:v>44484</c:v>
                </c:pt>
                <c:pt idx="155">
                  <c:v>44487</c:v>
                </c:pt>
                <c:pt idx="156">
                  <c:v>44488</c:v>
                </c:pt>
                <c:pt idx="157">
                  <c:v>44489</c:v>
                </c:pt>
                <c:pt idx="158">
                  <c:v>44490</c:v>
                </c:pt>
                <c:pt idx="159">
                  <c:v>44491</c:v>
                </c:pt>
                <c:pt idx="160">
                  <c:v>44494</c:v>
                </c:pt>
                <c:pt idx="161">
                  <c:v>44495</c:v>
                </c:pt>
                <c:pt idx="162">
                  <c:v>44496</c:v>
                </c:pt>
                <c:pt idx="163">
                  <c:v>44497</c:v>
                </c:pt>
                <c:pt idx="164">
                  <c:v>44498</c:v>
                </c:pt>
                <c:pt idx="165">
                  <c:v>44501</c:v>
                </c:pt>
                <c:pt idx="166">
                  <c:v>44502</c:v>
                </c:pt>
                <c:pt idx="167">
                  <c:v>44503</c:v>
                </c:pt>
                <c:pt idx="168">
                  <c:v>44504</c:v>
                </c:pt>
                <c:pt idx="169">
                  <c:v>44505</c:v>
                </c:pt>
                <c:pt idx="170">
                  <c:v>44508</c:v>
                </c:pt>
                <c:pt idx="171">
                  <c:v>44509</c:v>
                </c:pt>
                <c:pt idx="172">
                  <c:v>44510</c:v>
                </c:pt>
                <c:pt idx="173">
                  <c:v>44511</c:v>
                </c:pt>
                <c:pt idx="174">
                  <c:v>44512</c:v>
                </c:pt>
                <c:pt idx="175">
                  <c:v>44515</c:v>
                </c:pt>
                <c:pt idx="176">
                  <c:v>44516</c:v>
                </c:pt>
                <c:pt idx="177">
                  <c:v>44517</c:v>
                </c:pt>
                <c:pt idx="178">
                  <c:v>44518</c:v>
                </c:pt>
                <c:pt idx="179">
                  <c:v>44519</c:v>
                </c:pt>
                <c:pt idx="180">
                  <c:v>44522</c:v>
                </c:pt>
                <c:pt idx="181">
                  <c:v>44523</c:v>
                </c:pt>
                <c:pt idx="182">
                  <c:v>44524</c:v>
                </c:pt>
                <c:pt idx="183">
                  <c:v>44525</c:v>
                </c:pt>
                <c:pt idx="184">
                  <c:v>44526</c:v>
                </c:pt>
                <c:pt idx="185">
                  <c:v>44529</c:v>
                </c:pt>
                <c:pt idx="186">
                  <c:v>44530</c:v>
                </c:pt>
                <c:pt idx="187">
                  <c:v>44531</c:v>
                </c:pt>
                <c:pt idx="188">
                  <c:v>44532</c:v>
                </c:pt>
                <c:pt idx="189">
                  <c:v>44533</c:v>
                </c:pt>
                <c:pt idx="190">
                  <c:v>44536</c:v>
                </c:pt>
                <c:pt idx="191">
                  <c:v>44537</c:v>
                </c:pt>
                <c:pt idx="192">
                  <c:v>44538</c:v>
                </c:pt>
                <c:pt idx="193">
                  <c:v>44539</c:v>
                </c:pt>
                <c:pt idx="194">
                  <c:v>44540</c:v>
                </c:pt>
                <c:pt idx="195">
                  <c:v>44543</c:v>
                </c:pt>
                <c:pt idx="196">
                  <c:v>44544</c:v>
                </c:pt>
                <c:pt idx="197">
                  <c:v>44545</c:v>
                </c:pt>
                <c:pt idx="198">
                  <c:v>44546</c:v>
                </c:pt>
                <c:pt idx="199">
                  <c:v>44547</c:v>
                </c:pt>
                <c:pt idx="200">
                  <c:v>44550</c:v>
                </c:pt>
                <c:pt idx="201">
                  <c:v>44551</c:v>
                </c:pt>
                <c:pt idx="202">
                  <c:v>44552</c:v>
                </c:pt>
                <c:pt idx="203">
                  <c:v>44553</c:v>
                </c:pt>
                <c:pt idx="204">
                  <c:v>44554</c:v>
                </c:pt>
                <c:pt idx="205">
                  <c:v>44557</c:v>
                </c:pt>
                <c:pt idx="206">
                  <c:v>44558</c:v>
                </c:pt>
                <c:pt idx="207">
                  <c:v>44559</c:v>
                </c:pt>
                <c:pt idx="208">
                  <c:v>44560</c:v>
                </c:pt>
                <c:pt idx="209">
                  <c:v>44561</c:v>
                </c:pt>
                <c:pt idx="210">
                  <c:v>44565</c:v>
                </c:pt>
                <c:pt idx="211">
                  <c:v>44566</c:v>
                </c:pt>
                <c:pt idx="212">
                  <c:v>44567</c:v>
                </c:pt>
                <c:pt idx="213">
                  <c:v>44568</c:v>
                </c:pt>
                <c:pt idx="214">
                  <c:v>44571</c:v>
                </c:pt>
                <c:pt idx="215">
                  <c:v>44572</c:v>
                </c:pt>
                <c:pt idx="216">
                  <c:v>44573</c:v>
                </c:pt>
                <c:pt idx="217">
                  <c:v>44574</c:v>
                </c:pt>
                <c:pt idx="218">
                  <c:v>44575</c:v>
                </c:pt>
                <c:pt idx="219">
                  <c:v>44578</c:v>
                </c:pt>
                <c:pt idx="220">
                  <c:v>44579</c:v>
                </c:pt>
                <c:pt idx="221">
                  <c:v>44580</c:v>
                </c:pt>
                <c:pt idx="222">
                  <c:v>44581</c:v>
                </c:pt>
                <c:pt idx="223">
                  <c:v>44582</c:v>
                </c:pt>
                <c:pt idx="224">
                  <c:v>44585</c:v>
                </c:pt>
                <c:pt idx="225">
                  <c:v>44586</c:v>
                </c:pt>
                <c:pt idx="226">
                  <c:v>44587</c:v>
                </c:pt>
                <c:pt idx="227">
                  <c:v>44588</c:v>
                </c:pt>
                <c:pt idx="228">
                  <c:v>44589</c:v>
                </c:pt>
                <c:pt idx="229">
                  <c:v>44599</c:v>
                </c:pt>
                <c:pt idx="230">
                  <c:v>44600</c:v>
                </c:pt>
                <c:pt idx="231">
                  <c:v>44601</c:v>
                </c:pt>
                <c:pt idx="232">
                  <c:v>44602</c:v>
                </c:pt>
                <c:pt idx="233">
                  <c:v>44603</c:v>
                </c:pt>
                <c:pt idx="234">
                  <c:v>44606</c:v>
                </c:pt>
                <c:pt idx="235">
                  <c:v>44607</c:v>
                </c:pt>
                <c:pt idx="236">
                  <c:v>44608</c:v>
                </c:pt>
                <c:pt idx="237">
                  <c:v>44609</c:v>
                </c:pt>
                <c:pt idx="238">
                  <c:v>44610</c:v>
                </c:pt>
                <c:pt idx="239">
                  <c:v>44613</c:v>
                </c:pt>
                <c:pt idx="240">
                  <c:v>44614</c:v>
                </c:pt>
                <c:pt idx="241">
                  <c:v>44615</c:v>
                </c:pt>
                <c:pt idx="242">
                  <c:v>44616</c:v>
                </c:pt>
                <c:pt idx="243">
                  <c:v>44617</c:v>
                </c:pt>
                <c:pt idx="244">
                  <c:v>44620</c:v>
                </c:pt>
                <c:pt idx="245">
                  <c:v>44621</c:v>
                </c:pt>
                <c:pt idx="246">
                  <c:v>44622</c:v>
                </c:pt>
                <c:pt idx="247">
                  <c:v>44623</c:v>
                </c:pt>
                <c:pt idx="248">
                  <c:v>44624</c:v>
                </c:pt>
                <c:pt idx="249">
                  <c:v>44627</c:v>
                </c:pt>
                <c:pt idx="250">
                  <c:v>44628</c:v>
                </c:pt>
                <c:pt idx="251">
                  <c:v>44629</c:v>
                </c:pt>
                <c:pt idx="252">
                  <c:v>44630</c:v>
                </c:pt>
                <c:pt idx="253">
                  <c:v>44631</c:v>
                </c:pt>
                <c:pt idx="254">
                  <c:v>44634</c:v>
                </c:pt>
                <c:pt idx="255">
                  <c:v>44635</c:v>
                </c:pt>
                <c:pt idx="256">
                  <c:v>44636</c:v>
                </c:pt>
                <c:pt idx="257">
                  <c:v>44637</c:v>
                </c:pt>
                <c:pt idx="258">
                  <c:v>44638</c:v>
                </c:pt>
                <c:pt idx="259">
                  <c:v>44641</c:v>
                </c:pt>
                <c:pt idx="260">
                  <c:v>44642</c:v>
                </c:pt>
                <c:pt idx="261">
                  <c:v>44643</c:v>
                </c:pt>
                <c:pt idx="262">
                  <c:v>44644</c:v>
                </c:pt>
                <c:pt idx="263">
                  <c:v>44645</c:v>
                </c:pt>
                <c:pt idx="264">
                  <c:v>44648</c:v>
                </c:pt>
                <c:pt idx="265">
                  <c:v>44649</c:v>
                </c:pt>
                <c:pt idx="266">
                  <c:v>44650</c:v>
                </c:pt>
                <c:pt idx="267">
                  <c:v>44651</c:v>
                </c:pt>
                <c:pt idx="268">
                  <c:v>44652</c:v>
                </c:pt>
                <c:pt idx="269">
                  <c:v>44655</c:v>
                </c:pt>
                <c:pt idx="270">
                  <c:v>44656</c:v>
                </c:pt>
                <c:pt idx="271">
                  <c:v>44657</c:v>
                </c:pt>
                <c:pt idx="272">
                  <c:v>44658</c:v>
                </c:pt>
                <c:pt idx="273">
                  <c:v>44659</c:v>
                </c:pt>
                <c:pt idx="274">
                  <c:v>44663</c:v>
                </c:pt>
                <c:pt idx="275">
                  <c:v>44664</c:v>
                </c:pt>
                <c:pt idx="276">
                  <c:v>44665</c:v>
                </c:pt>
                <c:pt idx="277">
                  <c:v>44666</c:v>
                </c:pt>
                <c:pt idx="278">
                  <c:v>44669</c:v>
                </c:pt>
                <c:pt idx="279">
                  <c:v>44670</c:v>
                </c:pt>
                <c:pt idx="280">
                  <c:v>44671</c:v>
                </c:pt>
                <c:pt idx="281">
                  <c:v>44672</c:v>
                </c:pt>
                <c:pt idx="282">
                  <c:v>44673</c:v>
                </c:pt>
                <c:pt idx="283">
                  <c:v>44676</c:v>
                </c:pt>
                <c:pt idx="284">
                  <c:v>44677</c:v>
                </c:pt>
                <c:pt idx="285">
                  <c:v>44678</c:v>
                </c:pt>
                <c:pt idx="286">
                  <c:v>44679</c:v>
                </c:pt>
                <c:pt idx="287">
                  <c:v>44680</c:v>
                </c:pt>
                <c:pt idx="288">
                  <c:v>44685</c:v>
                </c:pt>
                <c:pt idx="289">
                  <c:v>44686</c:v>
                </c:pt>
                <c:pt idx="290">
                  <c:v>44687</c:v>
                </c:pt>
                <c:pt idx="291">
                  <c:v>44690</c:v>
                </c:pt>
                <c:pt idx="292">
                  <c:v>44691</c:v>
                </c:pt>
                <c:pt idx="293">
                  <c:v>44692</c:v>
                </c:pt>
                <c:pt idx="294">
                  <c:v>44693</c:v>
                </c:pt>
                <c:pt idx="295">
                  <c:v>44694</c:v>
                </c:pt>
                <c:pt idx="296">
                  <c:v>44697</c:v>
                </c:pt>
                <c:pt idx="297">
                  <c:v>44698</c:v>
                </c:pt>
                <c:pt idx="298">
                  <c:v>44699</c:v>
                </c:pt>
                <c:pt idx="299">
                  <c:v>44700</c:v>
                </c:pt>
                <c:pt idx="300">
                  <c:v>44701</c:v>
                </c:pt>
                <c:pt idx="301">
                  <c:v>44704</c:v>
                </c:pt>
                <c:pt idx="302">
                  <c:v>44705</c:v>
                </c:pt>
                <c:pt idx="303">
                  <c:v>44706</c:v>
                </c:pt>
                <c:pt idx="304">
                  <c:v>44707</c:v>
                </c:pt>
                <c:pt idx="305">
                  <c:v>44708</c:v>
                </c:pt>
                <c:pt idx="306">
                  <c:v>44711</c:v>
                </c:pt>
                <c:pt idx="307">
                  <c:v>44712</c:v>
                </c:pt>
                <c:pt idx="308">
                  <c:v>44713</c:v>
                </c:pt>
                <c:pt idx="309">
                  <c:v>44714</c:v>
                </c:pt>
                <c:pt idx="310">
                  <c:v>44715</c:v>
                </c:pt>
                <c:pt idx="311">
                  <c:v>44718</c:v>
                </c:pt>
                <c:pt idx="312">
                  <c:v>44719</c:v>
                </c:pt>
                <c:pt idx="313">
                  <c:v>44720</c:v>
                </c:pt>
                <c:pt idx="314">
                  <c:v>44721</c:v>
                </c:pt>
                <c:pt idx="315">
                  <c:v>44722</c:v>
                </c:pt>
                <c:pt idx="316">
                  <c:v>44725</c:v>
                </c:pt>
                <c:pt idx="317">
                  <c:v>44726</c:v>
                </c:pt>
                <c:pt idx="318">
                  <c:v>44727</c:v>
                </c:pt>
                <c:pt idx="319">
                  <c:v>44728</c:v>
                </c:pt>
                <c:pt idx="320">
                  <c:v>44729</c:v>
                </c:pt>
                <c:pt idx="321">
                  <c:v>44732</c:v>
                </c:pt>
                <c:pt idx="322">
                  <c:v>44733</c:v>
                </c:pt>
                <c:pt idx="323">
                  <c:v>44734</c:v>
                </c:pt>
                <c:pt idx="324">
                  <c:v>44735</c:v>
                </c:pt>
                <c:pt idx="325">
                  <c:v>44736</c:v>
                </c:pt>
                <c:pt idx="326">
                  <c:v>44739</c:v>
                </c:pt>
                <c:pt idx="327">
                  <c:v>44740</c:v>
                </c:pt>
                <c:pt idx="328">
                  <c:v>44741</c:v>
                </c:pt>
                <c:pt idx="329">
                  <c:v>44742</c:v>
                </c:pt>
                <c:pt idx="330">
                  <c:v>44743</c:v>
                </c:pt>
                <c:pt idx="331">
                  <c:v>44746</c:v>
                </c:pt>
                <c:pt idx="332">
                  <c:v>44747</c:v>
                </c:pt>
                <c:pt idx="333">
                  <c:v>44748</c:v>
                </c:pt>
                <c:pt idx="334">
                  <c:v>44749</c:v>
                </c:pt>
                <c:pt idx="335">
                  <c:v>44750</c:v>
                </c:pt>
                <c:pt idx="336">
                  <c:v>44753</c:v>
                </c:pt>
                <c:pt idx="337">
                  <c:v>44754</c:v>
                </c:pt>
                <c:pt idx="338">
                  <c:v>44755</c:v>
                </c:pt>
                <c:pt idx="339">
                  <c:v>44756</c:v>
                </c:pt>
                <c:pt idx="340">
                  <c:v>44757</c:v>
                </c:pt>
                <c:pt idx="341">
                  <c:v>44760</c:v>
                </c:pt>
                <c:pt idx="342">
                  <c:v>44761</c:v>
                </c:pt>
                <c:pt idx="343">
                  <c:v>44762</c:v>
                </c:pt>
                <c:pt idx="344">
                  <c:v>44763</c:v>
                </c:pt>
                <c:pt idx="345">
                  <c:v>44764</c:v>
                </c:pt>
                <c:pt idx="346">
                  <c:v>44767</c:v>
                </c:pt>
                <c:pt idx="347">
                  <c:v>44768</c:v>
                </c:pt>
                <c:pt idx="348">
                  <c:v>44769</c:v>
                </c:pt>
                <c:pt idx="349">
                  <c:v>44770</c:v>
                </c:pt>
                <c:pt idx="350">
                  <c:v>44771</c:v>
                </c:pt>
                <c:pt idx="351">
                  <c:v>44774</c:v>
                </c:pt>
                <c:pt idx="352">
                  <c:v>44775</c:v>
                </c:pt>
                <c:pt idx="353">
                  <c:v>44776</c:v>
                </c:pt>
                <c:pt idx="354">
                  <c:v>44777</c:v>
                </c:pt>
                <c:pt idx="355">
                  <c:v>44778</c:v>
                </c:pt>
                <c:pt idx="356">
                  <c:v>44781</c:v>
                </c:pt>
                <c:pt idx="357">
                  <c:v>44782</c:v>
                </c:pt>
                <c:pt idx="358">
                  <c:v>44783</c:v>
                </c:pt>
                <c:pt idx="359">
                  <c:v>44784</c:v>
                </c:pt>
                <c:pt idx="360">
                  <c:v>44785</c:v>
                </c:pt>
                <c:pt idx="361">
                  <c:v>44788</c:v>
                </c:pt>
                <c:pt idx="362">
                  <c:v>44789</c:v>
                </c:pt>
                <c:pt idx="363">
                  <c:v>44790</c:v>
                </c:pt>
                <c:pt idx="364">
                  <c:v>44791</c:v>
                </c:pt>
                <c:pt idx="365">
                  <c:v>44792</c:v>
                </c:pt>
                <c:pt idx="366">
                  <c:v>44795</c:v>
                </c:pt>
                <c:pt idx="367">
                  <c:v>44796</c:v>
                </c:pt>
                <c:pt idx="368">
                  <c:v>44797</c:v>
                </c:pt>
                <c:pt idx="369">
                  <c:v>44798</c:v>
                </c:pt>
                <c:pt idx="370">
                  <c:v>44799</c:v>
                </c:pt>
                <c:pt idx="371">
                  <c:v>44802</c:v>
                </c:pt>
                <c:pt idx="372">
                  <c:v>44803</c:v>
                </c:pt>
                <c:pt idx="373">
                  <c:v>44804</c:v>
                </c:pt>
                <c:pt idx="374">
                  <c:v>44809</c:v>
                </c:pt>
                <c:pt idx="375">
                  <c:v>44810</c:v>
                </c:pt>
                <c:pt idx="376">
                  <c:v>44811</c:v>
                </c:pt>
                <c:pt idx="377">
                  <c:v>44812</c:v>
                </c:pt>
                <c:pt idx="378">
                  <c:v>44813</c:v>
                </c:pt>
                <c:pt idx="379">
                  <c:v>44816</c:v>
                </c:pt>
                <c:pt idx="380">
                  <c:v>44817</c:v>
                </c:pt>
                <c:pt idx="381">
                  <c:v>44818</c:v>
                </c:pt>
                <c:pt idx="382">
                  <c:v>44819</c:v>
                </c:pt>
                <c:pt idx="383">
                  <c:v>44820</c:v>
                </c:pt>
                <c:pt idx="384">
                  <c:v>44823</c:v>
                </c:pt>
                <c:pt idx="385">
                  <c:v>44824</c:v>
                </c:pt>
                <c:pt idx="386">
                  <c:v>44825</c:v>
                </c:pt>
                <c:pt idx="387">
                  <c:v>44826</c:v>
                </c:pt>
                <c:pt idx="388">
                  <c:v>44827</c:v>
                </c:pt>
                <c:pt idx="389">
                  <c:v>44830</c:v>
                </c:pt>
                <c:pt idx="390">
                  <c:v>44831</c:v>
                </c:pt>
                <c:pt idx="391">
                  <c:v>44832</c:v>
                </c:pt>
                <c:pt idx="392">
                  <c:v>44833</c:v>
                </c:pt>
                <c:pt idx="393">
                  <c:v>44834</c:v>
                </c:pt>
                <c:pt idx="394">
                  <c:v>44837</c:v>
                </c:pt>
                <c:pt idx="395">
                  <c:v>44838</c:v>
                </c:pt>
                <c:pt idx="396">
                  <c:v>44839</c:v>
                </c:pt>
                <c:pt idx="397">
                  <c:v>44840</c:v>
                </c:pt>
                <c:pt idx="398">
                  <c:v>44841</c:v>
                </c:pt>
                <c:pt idx="399">
                  <c:v>44844</c:v>
                </c:pt>
                <c:pt idx="400">
                  <c:v>44845</c:v>
                </c:pt>
                <c:pt idx="401">
                  <c:v>44846</c:v>
                </c:pt>
                <c:pt idx="402">
                  <c:v>44847</c:v>
                </c:pt>
                <c:pt idx="403">
                  <c:v>44848</c:v>
                </c:pt>
                <c:pt idx="404">
                  <c:v>44851</c:v>
                </c:pt>
                <c:pt idx="405">
                  <c:v>44852</c:v>
                </c:pt>
                <c:pt idx="406">
                  <c:v>44853</c:v>
                </c:pt>
                <c:pt idx="407">
                  <c:v>44854</c:v>
                </c:pt>
                <c:pt idx="408">
                  <c:v>44855</c:v>
                </c:pt>
                <c:pt idx="409">
                  <c:v>44858</c:v>
                </c:pt>
                <c:pt idx="410">
                  <c:v>44859</c:v>
                </c:pt>
                <c:pt idx="411">
                  <c:v>44860</c:v>
                </c:pt>
                <c:pt idx="412">
                  <c:v>44861</c:v>
                </c:pt>
                <c:pt idx="413">
                  <c:v>44862</c:v>
                </c:pt>
                <c:pt idx="414">
                  <c:v>44865</c:v>
                </c:pt>
                <c:pt idx="415">
                  <c:v>44866</c:v>
                </c:pt>
                <c:pt idx="416">
                  <c:v>44867</c:v>
                </c:pt>
                <c:pt idx="417">
                  <c:v>44868</c:v>
                </c:pt>
                <c:pt idx="418">
                  <c:v>44869</c:v>
                </c:pt>
                <c:pt idx="419">
                  <c:v>44872</c:v>
                </c:pt>
                <c:pt idx="420">
                  <c:v>44873</c:v>
                </c:pt>
                <c:pt idx="421">
                  <c:v>44874</c:v>
                </c:pt>
                <c:pt idx="422">
                  <c:v>44875</c:v>
                </c:pt>
                <c:pt idx="423">
                  <c:v>44876</c:v>
                </c:pt>
                <c:pt idx="424">
                  <c:v>44879</c:v>
                </c:pt>
                <c:pt idx="425">
                  <c:v>44880</c:v>
                </c:pt>
                <c:pt idx="426">
                  <c:v>44881</c:v>
                </c:pt>
                <c:pt idx="427">
                  <c:v>44882</c:v>
                </c:pt>
                <c:pt idx="428">
                  <c:v>44883</c:v>
                </c:pt>
                <c:pt idx="429">
                  <c:v>44886</c:v>
                </c:pt>
                <c:pt idx="430">
                  <c:v>44887</c:v>
                </c:pt>
                <c:pt idx="431">
                  <c:v>44888</c:v>
                </c:pt>
                <c:pt idx="432">
                  <c:v>44889</c:v>
                </c:pt>
                <c:pt idx="433">
                  <c:v>44890</c:v>
                </c:pt>
                <c:pt idx="434">
                  <c:v>44893</c:v>
                </c:pt>
                <c:pt idx="435">
                  <c:v>44894</c:v>
                </c:pt>
                <c:pt idx="436">
                  <c:v>44895</c:v>
                </c:pt>
                <c:pt idx="437">
                  <c:v>44896</c:v>
                </c:pt>
                <c:pt idx="438">
                  <c:v>44897</c:v>
                </c:pt>
                <c:pt idx="439">
                  <c:v>44900</c:v>
                </c:pt>
                <c:pt idx="440">
                  <c:v>44901</c:v>
                </c:pt>
                <c:pt idx="441">
                  <c:v>44902</c:v>
                </c:pt>
                <c:pt idx="442">
                  <c:v>44903</c:v>
                </c:pt>
                <c:pt idx="443">
                  <c:v>44904</c:v>
                </c:pt>
                <c:pt idx="444">
                  <c:v>44907</c:v>
                </c:pt>
                <c:pt idx="445">
                  <c:v>44908</c:v>
                </c:pt>
                <c:pt idx="446">
                  <c:v>44909</c:v>
                </c:pt>
                <c:pt idx="447">
                  <c:v>44910</c:v>
                </c:pt>
                <c:pt idx="448">
                  <c:v>44911</c:v>
                </c:pt>
                <c:pt idx="449">
                  <c:v>44914</c:v>
                </c:pt>
                <c:pt idx="450">
                  <c:v>44915</c:v>
                </c:pt>
                <c:pt idx="451">
                  <c:v>44916</c:v>
                </c:pt>
                <c:pt idx="452">
                  <c:v>44917</c:v>
                </c:pt>
                <c:pt idx="453">
                  <c:v>44918</c:v>
                </c:pt>
                <c:pt idx="454">
                  <c:v>44921</c:v>
                </c:pt>
                <c:pt idx="455">
                  <c:v>44922</c:v>
                </c:pt>
                <c:pt idx="456">
                  <c:v>44923</c:v>
                </c:pt>
                <c:pt idx="457">
                  <c:v>44924</c:v>
                </c:pt>
                <c:pt idx="458">
                  <c:v>44925</c:v>
                </c:pt>
                <c:pt idx="459">
                  <c:v>44929</c:v>
                </c:pt>
                <c:pt idx="460">
                  <c:v>44930</c:v>
                </c:pt>
                <c:pt idx="461">
                  <c:v>44931</c:v>
                </c:pt>
                <c:pt idx="462">
                  <c:v>44932</c:v>
                </c:pt>
                <c:pt idx="463">
                  <c:v>44935</c:v>
                </c:pt>
                <c:pt idx="464">
                  <c:v>44936</c:v>
                </c:pt>
                <c:pt idx="465">
                  <c:v>44937</c:v>
                </c:pt>
                <c:pt idx="466">
                  <c:v>44938</c:v>
                </c:pt>
                <c:pt idx="467">
                  <c:v>44939</c:v>
                </c:pt>
                <c:pt idx="468">
                  <c:v>44942</c:v>
                </c:pt>
                <c:pt idx="469">
                  <c:v>44943</c:v>
                </c:pt>
                <c:pt idx="470">
                  <c:v>44944</c:v>
                </c:pt>
                <c:pt idx="471">
                  <c:v>44945</c:v>
                </c:pt>
                <c:pt idx="472">
                  <c:v>44953</c:v>
                </c:pt>
                <c:pt idx="473">
                  <c:v>44956</c:v>
                </c:pt>
                <c:pt idx="474">
                  <c:v>44957</c:v>
                </c:pt>
                <c:pt idx="475">
                  <c:v>44958</c:v>
                </c:pt>
                <c:pt idx="476">
                  <c:v>44959</c:v>
                </c:pt>
                <c:pt idx="477">
                  <c:v>44960</c:v>
                </c:pt>
                <c:pt idx="478">
                  <c:v>44963</c:v>
                </c:pt>
                <c:pt idx="479">
                  <c:v>44964</c:v>
                </c:pt>
                <c:pt idx="480">
                  <c:v>44965</c:v>
                </c:pt>
                <c:pt idx="481">
                  <c:v>44966</c:v>
                </c:pt>
                <c:pt idx="482">
                  <c:v>44967</c:v>
                </c:pt>
                <c:pt idx="483">
                  <c:v>44970</c:v>
                </c:pt>
                <c:pt idx="484">
                  <c:v>44971</c:v>
                </c:pt>
                <c:pt idx="485">
                  <c:v>44972</c:v>
                </c:pt>
                <c:pt idx="486">
                  <c:v>44973</c:v>
                </c:pt>
                <c:pt idx="487">
                  <c:v>44974</c:v>
                </c:pt>
                <c:pt idx="488">
                  <c:v>44977</c:v>
                </c:pt>
                <c:pt idx="489">
                  <c:v>44978</c:v>
                </c:pt>
                <c:pt idx="490">
                  <c:v>44979</c:v>
                </c:pt>
                <c:pt idx="491">
                  <c:v>44980</c:v>
                </c:pt>
                <c:pt idx="492">
                  <c:v>44981</c:v>
                </c:pt>
                <c:pt idx="493">
                  <c:v>44984</c:v>
                </c:pt>
                <c:pt idx="494">
                  <c:v>44985</c:v>
                </c:pt>
                <c:pt idx="495">
                  <c:v>44986</c:v>
                </c:pt>
                <c:pt idx="496">
                  <c:v>44987</c:v>
                </c:pt>
                <c:pt idx="497">
                  <c:v>44988</c:v>
                </c:pt>
                <c:pt idx="498">
                  <c:v>44991</c:v>
                </c:pt>
                <c:pt idx="499">
                  <c:v>44992</c:v>
                </c:pt>
                <c:pt idx="500">
                  <c:v>44993</c:v>
                </c:pt>
                <c:pt idx="501">
                  <c:v>44994</c:v>
                </c:pt>
                <c:pt idx="502">
                  <c:v>44995</c:v>
                </c:pt>
                <c:pt idx="503">
                  <c:v>44998</c:v>
                </c:pt>
                <c:pt idx="504">
                  <c:v>44999</c:v>
                </c:pt>
                <c:pt idx="505">
                  <c:v>45000</c:v>
                </c:pt>
                <c:pt idx="506">
                  <c:v>45001</c:v>
                </c:pt>
                <c:pt idx="507">
                  <c:v>45002</c:v>
                </c:pt>
                <c:pt idx="508">
                  <c:v>45005</c:v>
                </c:pt>
                <c:pt idx="509">
                  <c:v>45006</c:v>
                </c:pt>
                <c:pt idx="510">
                  <c:v>45007</c:v>
                </c:pt>
                <c:pt idx="511">
                  <c:v>45008</c:v>
                </c:pt>
                <c:pt idx="512">
                  <c:v>45009</c:v>
                </c:pt>
                <c:pt idx="513">
                  <c:v>45012</c:v>
                </c:pt>
                <c:pt idx="514">
                  <c:v>45013</c:v>
                </c:pt>
                <c:pt idx="515">
                  <c:v>45014</c:v>
                </c:pt>
                <c:pt idx="516">
                  <c:v>45015</c:v>
                </c:pt>
                <c:pt idx="517">
                  <c:v>45016</c:v>
                </c:pt>
                <c:pt idx="518">
                  <c:v>45019</c:v>
                </c:pt>
                <c:pt idx="519">
                  <c:v>45020</c:v>
                </c:pt>
                <c:pt idx="520">
                  <c:v>45021</c:v>
                </c:pt>
                <c:pt idx="521">
                  <c:v>45022</c:v>
                </c:pt>
                <c:pt idx="522">
                  <c:v>45023</c:v>
                </c:pt>
                <c:pt idx="523">
                  <c:v>45026</c:v>
                </c:pt>
                <c:pt idx="524">
                  <c:v>45027</c:v>
                </c:pt>
                <c:pt idx="525">
                  <c:v>45028</c:v>
                </c:pt>
                <c:pt idx="526">
                  <c:v>45029</c:v>
                </c:pt>
                <c:pt idx="527">
                  <c:v>45030</c:v>
                </c:pt>
                <c:pt idx="528">
                  <c:v>45033</c:v>
                </c:pt>
                <c:pt idx="529">
                  <c:v>45034</c:v>
                </c:pt>
                <c:pt idx="530">
                  <c:v>45035</c:v>
                </c:pt>
                <c:pt idx="531">
                  <c:v>45036</c:v>
                </c:pt>
                <c:pt idx="532">
                  <c:v>45037</c:v>
                </c:pt>
                <c:pt idx="533">
                  <c:v>45040</c:v>
                </c:pt>
                <c:pt idx="534">
                  <c:v>45041</c:v>
                </c:pt>
                <c:pt idx="535">
                  <c:v>45042</c:v>
                </c:pt>
                <c:pt idx="536">
                  <c:v>45043</c:v>
                </c:pt>
                <c:pt idx="537">
                  <c:v>45044</c:v>
                </c:pt>
                <c:pt idx="538">
                  <c:v>45050</c:v>
                </c:pt>
                <c:pt idx="539">
                  <c:v>45051</c:v>
                </c:pt>
                <c:pt idx="540">
                  <c:v>45054</c:v>
                </c:pt>
                <c:pt idx="541">
                  <c:v>45055</c:v>
                </c:pt>
                <c:pt idx="542">
                  <c:v>45056</c:v>
                </c:pt>
                <c:pt idx="543">
                  <c:v>45057</c:v>
                </c:pt>
                <c:pt idx="544">
                  <c:v>45058</c:v>
                </c:pt>
                <c:pt idx="545">
                  <c:v>45061</c:v>
                </c:pt>
                <c:pt idx="546">
                  <c:v>45062</c:v>
                </c:pt>
                <c:pt idx="547">
                  <c:v>45063</c:v>
                </c:pt>
                <c:pt idx="548">
                  <c:v>45064</c:v>
                </c:pt>
                <c:pt idx="549">
                  <c:v>45065</c:v>
                </c:pt>
                <c:pt idx="550">
                  <c:v>45068</c:v>
                </c:pt>
                <c:pt idx="551">
                  <c:v>45069</c:v>
                </c:pt>
                <c:pt idx="552">
                  <c:v>45070</c:v>
                </c:pt>
                <c:pt idx="553">
                  <c:v>45071</c:v>
                </c:pt>
                <c:pt idx="554">
                  <c:v>45072</c:v>
                </c:pt>
                <c:pt idx="555">
                  <c:v>45075</c:v>
                </c:pt>
                <c:pt idx="556">
                  <c:v>45076</c:v>
                </c:pt>
                <c:pt idx="557">
                  <c:v>45077</c:v>
                </c:pt>
                <c:pt idx="558">
                  <c:v>45078</c:v>
                </c:pt>
                <c:pt idx="559">
                  <c:v>45079</c:v>
                </c:pt>
                <c:pt idx="560">
                  <c:v>45082</c:v>
                </c:pt>
                <c:pt idx="561">
                  <c:v>45083</c:v>
                </c:pt>
                <c:pt idx="562">
                  <c:v>45084</c:v>
                </c:pt>
                <c:pt idx="563">
                  <c:v>45085</c:v>
                </c:pt>
                <c:pt idx="564">
                  <c:v>45086</c:v>
                </c:pt>
                <c:pt idx="565">
                  <c:v>45089</c:v>
                </c:pt>
                <c:pt idx="566">
                  <c:v>45090</c:v>
                </c:pt>
                <c:pt idx="567">
                  <c:v>45091</c:v>
                </c:pt>
                <c:pt idx="568">
                  <c:v>45092</c:v>
                </c:pt>
                <c:pt idx="569">
                  <c:v>45093</c:v>
                </c:pt>
                <c:pt idx="570">
                  <c:v>45096</c:v>
                </c:pt>
                <c:pt idx="571">
                  <c:v>45097</c:v>
                </c:pt>
                <c:pt idx="572">
                  <c:v>45098</c:v>
                </c:pt>
                <c:pt idx="573">
                  <c:v>45099</c:v>
                </c:pt>
                <c:pt idx="574">
                  <c:v>45100</c:v>
                </c:pt>
                <c:pt idx="575">
                  <c:v>45103</c:v>
                </c:pt>
                <c:pt idx="576">
                  <c:v>45104</c:v>
                </c:pt>
                <c:pt idx="577">
                  <c:v>45105</c:v>
                </c:pt>
                <c:pt idx="578">
                  <c:v>45106</c:v>
                </c:pt>
                <c:pt idx="579">
                  <c:v>45107</c:v>
                </c:pt>
                <c:pt idx="580">
                  <c:v>45110</c:v>
                </c:pt>
                <c:pt idx="581">
                  <c:v>45111</c:v>
                </c:pt>
                <c:pt idx="582">
                  <c:v>45112</c:v>
                </c:pt>
                <c:pt idx="583">
                  <c:v>45113</c:v>
                </c:pt>
                <c:pt idx="584">
                  <c:v>45114</c:v>
                </c:pt>
                <c:pt idx="585">
                  <c:v>45117</c:v>
                </c:pt>
                <c:pt idx="586">
                  <c:v>45118</c:v>
                </c:pt>
                <c:pt idx="587">
                  <c:v>45119</c:v>
                </c:pt>
                <c:pt idx="588">
                  <c:v>45120</c:v>
                </c:pt>
                <c:pt idx="589">
                  <c:v>45121</c:v>
                </c:pt>
                <c:pt idx="590">
                  <c:v>45124</c:v>
                </c:pt>
                <c:pt idx="591">
                  <c:v>45125</c:v>
                </c:pt>
                <c:pt idx="592">
                  <c:v>45126</c:v>
                </c:pt>
                <c:pt idx="593">
                  <c:v>45127</c:v>
                </c:pt>
                <c:pt idx="594">
                  <c:v>45128</c:v>
                </c:pt>
                <c:pt idx="595">
                  <c:v>45131</c:v>
                </c:pt>
                <c:pt idx="596">
                  <c:v>45132</c:v>
                </c:pt>
                <c:pt idx="597">
                  <c:v>45133</c:v>
                </c:pt>
                <c:pt idx="598">
                  <c:v>45134</c:v>
                </c:pt>
                <c:pt idx="599">
                  <c:v>45135</c:v>
                </c:pt>
                <c:pt idx="600">
                  <c:v>45138</c:v>
                </c:pt>
                <c:pt idx="601">
                  <c:v>45139</c:v>
                </c:pt>
                <c:pt idx="602">
                  <c:v>45140</c:v>
                </c:pt>
                <c:pt idx="603">
                  <c:v>45141</c:v>
                </c:pt>
                <c:pt idx="604">
                  <c:v>45142</c:v>
                </c:pt>
                <c:pt idx="605">
                  <c:v>45145</c:v>
                </c:pt>
                <c:pt idx="606">
                  <c:v>45146</c:v>
                </c:pt>
                <c:pt idx="607">
                  <c:v>45147</c:v>
                </c:pt>
                <c:pt idx="608">
                  <c:v>45148</c:v>
                </c:pt>
                <c:pt idx="609">
                  <c:v>45149</c:v>
                </c:pt>
                <c:pt idx="610">
                  <c:v>45152</c:v>
                </c:pt>
                <c:pt idx="611">
                  <c:v>45153</c:v>
                </c:pt>
                <c:pt idx="612">
                  <c:v>45154</c:v>
                </c:pt>
                <c:pt idx="613">
                  <c:v>45155</c:v>
                </c:pt>
                <c:pt idx="614">
                  <c:v>45156</c:v>
                </c:pt>
                <c:pt idx="615">
                  <c:v>45159</c:v>
                </c:pt>
                <c:pt idx="616">
                  <c:v>45160</c:v>
                </c:pt>
                <c:pt idx="617">
                  <c:v>45161</c:v>
                </c:pt>
                <c:pt idx="618">
                  <c:v>45162</c:v>
                </c:pt>
                <c:pt idx="619">
                  <c:v>45163</c:v>
                </c:pt>
                <c:pt idx="620">
                  <c:v>45166</c:v>
                </c:pt>
                <c:pt idx="621">
                  <c:v>45167</c:v>
                </c:pt>
                <c:pt idx="622">
                  <c:v>45168</c:v>
                </c:pt>
                <c:pt idx="623">
                  <c:v>45169</c:v>
                </c:pt>
                <c:pt idx="624">
                  <c:v>45174</c:v>
                </c:pt>
                <c:pt idx="625">
                  <c:v>45175</c:v>
                </c:pt>
                <c:pt idx="626">
                  <c:v>45176</c:v>
                </c:pt>
                <c:pt idx="627">
                  <c:v>45177</c:v>
                </c:pt>
                <c:pt idx="628">
                  <c:v>45180</c:v>
                </c:pt>
                <c:pt idx="629">
                  <c:v>45181</c:v>
                </c:pt>
                <c:pt idx="630">
                  <c:v>45182</c:v>
                </c:pt>
                <c:pt idx="631">
                  <c:v>45183</c:v>
                </c:pt>
                <c:pt idx="632">
                  <c:v>45184</c:v>
                </c:pt>
                <c:pt idx="633">
                  <c:v>45187</c:v>
                </c:pt>
                <c:pt idx="634">
                  <c:v>45188</c:v>
                </c:pt>
                <c:pt idx="635">
                  <c:v>45189</c:v>
                </c:pt>
                <c:pt idx="636">
                  <c:v>45190</c:v>
                </c:pt>
                <c:pt idx="637">
                  <c:v>45191</c:v>
                </c:pt>
                <c:pt idx="638">
                  <c:v>45194</c:v>
                </c:pt>
                <c:pt idx="639">
                  <c:v>45195</c:v>
                </c:pt>
                <c:pt idx="640">
                  <c:v>45196</c:v>
                </c:pt>
                <c:pt idx="641">
                  <c:v>45197</c:v>
                </c:pt>
                <c:pt idx="642">
                  <c:v>45198</c:v>
                </c:pt>
                <c:pt idx="643">
                  <c:v>45201</c:v>
                </c:pt>
                <c:pt idx="644">
                  <c:v>45202</c:v>
                </c:pt>
                <c:pt idx="645">
                  <c:v>45203</c:v>
                </c:pt>
                <c:pt idx="646">
                  <c:v>45204</c:v>
                </c:pt>
                <c:pt idx="647">
                  <c:v>45205</c:v>
                </c:pt>
                <c:pt idx="648">
                  <c:v>45208</c:v>
                </c:pt>
                <c:pt idx="649">
                  <c:v>45209</c:v>
                </c:pt>
                <c:pt idx="650">
                  <c:v>45210</c:v>
                </c:pt>
                <c:pt idx="651">
                  <c:v>45211</c:v>
                </c:pt>
                <c:pt idx="652">
                  <c:v>45212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45222</c:v>
                </c:pt>
                <c:pt idx="659">
                  <c:v>45223</c:v>
                </c:pt>
                <c:pt idx="660">
                  <c:v>45224</c:v>
                </c:pt>
                <c:pt idx="661">
                  <c:v>45225</c:v>
                </c:pt>
                <c:pt idx="662">
                  <c:v>45226</c:v>
                </c:pt>
                <c:pt idx="663">
                  <c:v>45229</c:v>
                </c:pt>
                <c:pt idx="664">
                  <c:v>45230</c:v>
                </c:pt>
                <c:pt idx="665">
                  <c:v>45231</c:v>
                </c:pt>
                <c:pt idx="666">
                  <c:v>45232</c:v>
                </c:pt>
                <c:pt idx="667">
                  <c:v>45233</c:v>
                </c:pt>
                <c:pt idx="668">
                  <c:v>45236</c:v>
                </c:pt>
                <c:pt idx="669">
                  <c:v>45237</c:v>
                </c:pt>
                <c:pt idx="670">
                  <c:v>45238</c:v>
                </c:pt>
                <c:pt idx="671">
                  <c:v>45239</c:v>
                </c:pt>
                <c:pt idx="672">
                  <c:v>45240</c:v>
                </c:pt>
                <c:pt idx="673">
                  <c:v>45243</c:v>
                </c:pt>
                <c:pt idx="674">
                  <c:v>45244</c:v>
                </c:pt>
                <c:pt idx="675">
                  <c:v>45245</c:v>
                </c:pt>
                <c:pt idx="676">
                  <c:v>45246</c:v>
                </c:pt>
                <c:pt idx="677">
                  <c:v>45247</c:v>
                </c:pt>
                <c:pt idx="678">
                  <c:v>45250</c:v>
                </c:pt>
                <c:pt idx="679">
                  <c:v>45251</c:v>
                </c:pt>
                <c:pt idx="680">
                  <c:v>45252</c:v>
                </c:pt>
                <c:pt idx="681">
                  <c:v>45253</c:v>
                </c:pt>
                <c:pt idx="682">
                  <c:v>45254</c:v>
                </c:pt>
                <c:pt idx="683">
                  <c:v>45257</c:v>
                </c:pt>
                <c:pt idx="684">
                  <c:v>45258</c:v>
                </c:pt>
                <c:pt idx="685">
                  <c:v>45259</c:v>
                </c:pt>
                <c:pt idx="686">
                  <c:v>45260</c:v>
                </c:pt>
                <c:pt idx="687">
                  <c:v>45261</c:v>
                </c:pt>
                <c:pt idx="688">
                  <c:v>45264</c:v>
                </c:pt>
                <c:pt idx="689">
                  <c:v>45265</c:v>
                </c:pt>
                <c:pt idx="690">
                  <c:v>45266</c:v>
                </c:pt>
                <c:pt idx="691">
                  <c:v>45267</c:v>
                </c:pt>
                <c:pt idx="692">
                  <c:v>45268</c:v>
                </c:pt>
                <c:pt idx="693">
                  <c:v>45271</c:v>
                </c:pt>
                <c:pt idx="694">
                  <c:v>45272</c:v>
                </c:pt>
                <c:pt idx="695">
                  <c:v>45273</c:v>
                </c:pt>
                <c:pt idx="696">
                  <c:v>45274</c:v>
                </c:pt>
                <c:pt idx="697">
                  <c:v>45275</c:v>
                </c:pt>
                <c:pt idx="698">
                  <c:v>45278</c:v>
                </c:pt>
                <c:pt idx="699">
                  <c:v>45279</c:v>
                </c:pt>
                <c:pt idx="700">
                  <c:v>45280</c:v>
                </c:pt>
                <c:pt idx="701">
                  <c:v>45281</c:v>
                </c:pt>
                <c:pt idx="702">
                  <c:v>45282</c:v>
                </c:pt>
                <c:pt idx="703">
                  <c:v>45285</c:v>
                </c:pt>
                <c:pt idx="704">
                  <c:v>45286</c:v>
                </c:pt>
                <c:pt idx="705">
                  <c:v>45287</c:v>
                </c:pt>
                <c:pt idx="706">
                  <c:v>45288</c:v>
                </c:pt>
                <c:pt idx="707">
                  <c:v>45289</c:v>
                </c:pt>
                <c:pt idx="708">
                  <c:v>45293</c:v>
                </c:pt>
                <c:pt idx="709">
                  <c:v>45294</c:v>
                </c:pt>
                <c:pt idx="710">
                  <c:v>45295</c:v>
                </c:pt>
                <c:pt idx="711">
                  <c:v>45296</c:v>
                </c:pt>
                <c:pt idx="712">
                  <c:v>45299</c:v>
                </c:pt>
                <c:pt idx="713">
                  <c:v>45300</c:v>
                </c:pt>
                <c:pt idx="714">
                  <c:v>45301</c:v>
                </c:pt>
                <c:pt idx="715">
                  <c:v>45302</c:v>
                </c:pt>
                <c:pt idx="716">
                  <c:v>45303</c:v>
                </c:pt>
                <c:pt idx="717">
                  <c:v>45306</c:v>
                </c:pt>
                <c:pt idx="718">
                  <c:v>45307</c:v>
                </c:pt>
                <c:pt idx="719">
                  <c:v>45308</c:v>
                </c:pt>
                <c:pt idx="720">
                  <c:v>45309</c:v>
                </c:pt>
                <c:pt idx="721">
                  <c:v>45310</c:v>
                </c:pt>
                <c:pt idx="722">
                  <c:v>45313</c:v>
                </c:pt>
                <c:pt idx="723">
                  <c:v>45314</c:v>
                </c:pt>
                <c:pt idx="724">
                  <c:v>45315</c:v>
                </c:pt>
                <c:pt idx="725">
                  <c:v>45316</c:v>
                </c:pt>
                <c:pt idx="726">
                  <c:v>45317</c:v>
                </c:pt>
                <c:pt idx="727">
                  <c:v>45320</c:v>
                </c:pt>
                <c:pt idx="728">
                  <c:v>45321</c:v>
                </c:pt>
                <c:pt idx="729">
                  <c:v>45322</c:v>
                </c:pt>
                <c:pt idx="730">
                  <c:v>45323</c:v>
                </c:pt>
                <c:pt idx="731">
                  <c:v>45324</c:v>
                </c:pt>
                <c:pt idx="732">
                  <c:v>45327</c:v>
                </c:pt>
                <c:pt idx="733">
                  <c:v>45328</c:v>
                </c:pt>
                <c:pt idx="734">
                  <c:v>45329</c:v>
                </c:pt>
                <c:pt idx="735">
                  <c:v>45337</c:v>
                </c:pt>
                <c:pt idx="736">
                  <c:v>45338</c:v>
                </c:pt>
                <c:pt idx="737">
                  <c:v>45341</c:v>
                </c:pt>
                <c:pt idx="738">
                  <c:v>45342</c:v>
                </c:pt>
                <c:pt idx="739">
                  <c:v>45343</c:v>
                </c:pt>
                <c:pt idx="740">
                  <c:v>45344</c:v>
                </c:pt>
                <c:pt idx="741">
                  <c:v>45345</c:v>
                </c:pt>
                <c:pt idx="742">
                  <c:v>45348</c:v>
                </c:pt>
                <c:pt idx="743">
                  <c:v>45349</c:v>
                </c:pt>
                <c:pt idx="744">
                  <c:v>45350</c:v>
                </c:pt>
                <c:pt idx="745">
                  <c:v>45351</c:v>
                </c:pt>
                <c:pt idx="746">
                  <c:v>45352</c:v>
                </c:pt>
                <c:pt idx="747">
                  <c:v>45355</c:v>
                </c:pt>
                <c:pt idx="748">
                  <c:v>45356</c:v>
                </c:pt>
                <c:pt idx="749">
                  <c:v>45357</c:v>
                </c:pt>
                <c:pt idx="750">
                  <c:v>45358</c:v>
                </c:pt>
                <c:pt idx="751">
                  <c:v>45359</c:v>
                </c:pt>
                <c:pt idx="752">
                  <c:v>45362</c:v>
                </c:pt>
                <c:pt idx="753">
                  <c:v>45363</c:v>
                </c:pt>
                <c:pt idx="754">
                  <c:v>45364</c:v>
                </c:pt>
                <c:pt idx="755">
                  <c:v>45365</c:v>
                </c:pt>
                <c:pt idx="756">
                  <c:v>45366</c:v>
                </c:pt>
                <c:pt idx="757">
                  <c:v>45369</c:v>
                </c:pt>
                <c:pt idx="758">
                  <c:v>45370</c:v>
                </c:pt>
                <c:pt idx="759">
                  <c:v>45371</c:v>
                </c:pt>
                <c:pt idx="760">
                  <c:v>45372</c:v>
                </c:pt>
                <c:pt idx="761">
                  <c:v>45373</c:v>
                </c:pt>
                <c:pt idx="762">
                  <c:v>45376</c:v>
                </c:pt>
                <c:pt idx="763">
                  <c:v>45377</c:v>
                </c:pt>
                <c:pt idx="764">
                  <c:v>45378</c:v>
                </c:pt>
                <c:pt idx="765">
                  <c:v>45379</c:v>
                </c:pt>
                <c:pt idx="766">
                  <c:v>45380</c:v>
                </c:pt>
                <c:pt idx="767">
                  <c:v>45383</c:v>
                </c:pt>
                <c:pt idx="768">
                  <c:v>45384</c:v>
                </c:pt>
                <c:pt idx="769">
                  <c:v>45385</c:v>
                </c:pt>
                <c:pt idx="770">
                  <c:v>45386</c:v>
                </c:pt>
                <c:pt idx="771">
                  <c:v>45387</c:v>
                </c:pt>
                <c:pt idx="772">
                  <c:v>45390</c:v>
                </c:pt>
                <c:pt idx="773">
                  <c:v>45391</c:v>
                </c:pt>
                <c:pt idx="774">
                  <c:v>45392</c:v>
                </c:pt>
                <c:pt idx="775">
                  <c:v>45393</c:v>
                </c:pt>
                <c:pt idx="776">
                  <c:v>45394</c:v>
                </c:pt>
                <c:pt idx="777">
                  <c:v>45397</c:v>
                </c:pt>
                <c:pt idx="778">
                  <c:v>45398</c:v>
                </c:pt>
                <c:pt idx="779">
                  <c:v>45399</c:v>
                </c:pt>
                <c:pt idx="780">
                  <c:v>45401</c:v>
                </c:pt>
                <c:pt idx="781">
                  <c:v>45404</c:v>
                </c:pt>
                <c:pt idx="782">
                  <c:v>45405</c:v>
                </c:pt>
                <c:pt idx="783">
                  <c:v>45406</c:v>
                </c:pt>
                <c:pt idx="784">
                  <c:v>45407</c:v>
                </c:pt>
                <c:pt idx="785">
                  <c:v>45408</c:v>
                </c:pt>
                <c:pt idx="786">
                  <c:v>45414</c:v>
                </c:pt>
                <c:pt idx="787">
                  <c:v>45415</c:v>
                </c:pt>
                <c:pt idx="788">
                  <c:v>45418</c:v>
                </c:pt>
                <c:pt idx="789">
                  <c:v>45419</c:v>
                </c:pt>
                <c:pt idx="790">
                  <c:v>45420</c:v>
                </c:pt>
                <c:pt idx="791">
                  <c:v>45421</c:v>
                </c:pt>
                <c:pt idx="792">
                  <c:v>45422</c:v>
                </c:pt>
                <c:pt idx="793">
                  <c:v>45425</c:v>
                </c:pt>
                <c:pt idx="794">
                  <c:v>45426</c:v>
                </c:pt>
                <c:pt idx="795">
                  <c:v>45427</c:v>
                </c:pt>
                <c:pt idx="796">
                  <c:v>45428</c:v>
                </c:pt>
                <c:pt idx="797">
                  <c:v>45429</c:v>
                </c:pt>
                <c:pt idx="798">
                  <c:v>45432</c:v>
                </c:pt>
                <c:pt idx="799">
                  <c:v>45433</c:v>
                </c:pt>
                <c:pt idx="800">
                  <c:v>45434</c:v>
                </c:pt>
                <c:pt idx="801">
                  <c:v>45435</c:v>
                </c:pt>
                <c:pt idx="802">
                  <c:v>45436</c:v>
                </c:pt>
                <c:pt idx="803">
                  <c:v>45439</c:v>
                </c:pt>
                <c:pt idx="804">
                  <c:v>45440</c:v>
                </c:pt>
                <c:pt idx="805">
                  <c:v>45441</c:v>
                </c:pt>
                <c:pt idx="806">
                  <c:v>45442</c:v>
                </c:pt>
                <c:pt idx="807">
                  <c:v>45443</c:v>
                </c:pt>
                <c:pt idx="808">
                  <c:v>45446</c:v>
                </c:pt>
                <c:pt idx="809">
                  <c:v>45447</c:v>
                </c:pt>
                <c:pt idx="810">
                  <c:v>45448</c:v>
                </c:pt>
                <c:pt idx="811">
                  <c:v>45449</c:v>
                </c:pt>
                <c:pt idx="812">
                  <c:v>45450</c:v>
                </c:pt>
                <c:pt idx="813">
                  <c:v>45453</c:v>
                </c:pt>
                <c:pt idx="814">
                  <c:v>45454</c:v>
                </c:pt>
                <c:pt idx="815">
                  <c:v>45455</c:v>
                </c:pt>
                <c:pt idx="816">
                  <c:v>45456</c:v>
                </c:pt>
                <c:pt idx="817">
                  <c:v>45457</c:v>
                </c:pt>
                <c:pt idx="818">
                  <c:v>45460</c:v>
                </c:pt>
                <c:pt idx="819">
                  <c:v>45461</c:v>
                </c:pt>
                <c:pt idx="820">
                  <c:v>45462</c:v>
                </c:pt>
                <c:pt idx="821">
                  <c:v>45463</c:v>
                </c:pt>
                <c:pt idx="822">
                  <c:v>45464</c:v>
                </c:pt>
                <c:pt idx="823">
                  <c:v>45467</c:v>
                </c:pt>
                <c:pt idx="824">
                  <c:v>45468</c:v>
                </c:pt>
                <c:pt idx="825">
                  <c:v>45469</c:v>
                </c:pt>
                <c:pt idx="826">
                  <c:v>45470</c:v>
                </c:pt>
                <c:pt idx="827">
                  <c:v>45471</c:v>
                </c:pt>
                <c:pt idx="828">
                  <c:v>45474</c:v>
                </c:pt>
                <c:pt idx="829">
                  <c:v>45475</c:v>
                </c:pt>
                <c:pt idx="830">
                  <c:v>45476</c:v>
                </c:pt>
                <c:pt idx="831">
                  <c:v>45477</c:v>
                </c:pt>
                <c:pt idx="832">
                  <c:v>45478</c:v>
                </c:pt>
                <c:pt idx="833">
                  <c:v>45481</c:v>
                </c:pt>
                <c:pt idx="834">
                  <c:v>45482</c:v>
                </c:pt>
                <c:pt idx="835">
                  <c:v>45483</c:v>
                </c:pt>
                <c:pt idx="836">
                  <c:v>45484</c:v>
                </c:pt>
                <c:pt idx="837">
                  <c:v>45485</c:v>
                </c:pt>
                <c:pt idx="838">
                  <c:v>45488</c:v>
                </c:pt>
                <c:pt idx="839">
                  <c:v>45489</c:v>
                </c:pt>
                <c:pt idx="840">
                  <c:v>45490</c:v>
                </c:pt>
                <c:pt idx="841">
                  <c:v>45491</c:v>
                </c:pt>
                <c:pt idx="842">
                  <c:v>45492</c:v>
                </c:pt>
                <c:pt idx="843">
                  <c:v>45495</c:v>
                </c:pt>
                <c:pt idx="844">
                  <c:v>45496</c:v>
                </c:pt>
                <c:pt idx="845">
                  <c:v>45497</c:v>
                </c:pt>
                <c:pt idx="846">
                  <c:v>45498</c:v>
                </c:pt>
                <c:pt idx="847">
                  <c:v>45499</c:v>
                </c:pt>
                <c:pt idx="848">
                  <c:v>45502</c:v>
                </c:pt>
                <c:pt idx="849">
                  <c:v>45503</c:v>
                </c:pt>
                <c:pt idx="850">
                  <c:v>45504</c:v>
                </c:pt>
                <c:pt idx="851">
                  <c:v>45505</c:v>
                </c:pt>
                <c:pt idx="852">
                  <c:v>45506</c:v>
                </c:pt>
                <c:pt idx="853">
                  <c:v>45509</c:v>
                </c:pt>
                <c:pt idx="854">
                  <c:v>45510</c:v>
                </c:pt>
                <c:pt idx="855">
                  <c:v>45511</c:v>
                </c:pt>
                <c:pt idx="856">
                  <c:v>45512</c:v>
                </c:pt>
                <c:pt idx="857">
                  <c:v>45513</c:v>
                </c:pt>
                <c:pt idx="858">
                  <c:v>45516</c:v>
                </c:pt>
                <c:pt idx="859">
                  <c:v>45517</c:v>
                </c:pt>
                <c:pt idx="860">
                  <c:v>45518</c:v>
                </c:pt>
                <c:pt idx="861">
                  <c:v>45519</c:v>
                </c:pt>
                <c:pt idx="862">
                  <c:v>45520</c:v>
                </c:pt>
                <c:pt idx="863">
                  <c:v>45523</c:v>
                </c:pt>
                <c:pt idx="864">
                  <c:v>45524</c:v>
                </c:pt>
                <c:pt idx="865">
                  <c:v>45525</c:v>
                </c:pt>
                <c:pt idx="866">
                  <c:v>45526</c:v>
                </c:pt>
                <c:pt idx="867">
                  <c:v>45527</c:v>
                </c:pt>
                <c:pt idx="868">
                  <c:v>45530</c:v>
                </c:pt>
                <c:pt idx="869">
                  <c:v>45531</c:v>
                </c:pt>
                <c:pt idx="870">
                  <c:v>45532</c:v>
                </c:pt>
                <c:pt idx="871">
                  <c:v>45533</c:v>
                </c:pt>
                <c:pt idx="872">
                  <c:v>45534</c:v>
                </c:pt>
                <c:pt idx="873">
                  <c:v>45539</c:v>
                </c:pt>
                <c:pt idx="874">
                  <c:v>45540</c:v>
                </c:pt>
                <c:pt idx="875">
                  <c:v>45541</c:v>
                </c:pt>
                <c:pt idx="876">
                  <c:v>45544</c:v>
                </c:pt>
                <c:pt idx="877">
                  <c:v>45545</c:v>
                </c:pt>
                <c:pt idx="878">
                  <c:v>45546</c:v>
                </c:pt>
                <c:pt idx="879">
                  <c:v>45547</c:v>
                </c:pt>
                <c:pt idx="880">
                  <c:v>45548</c:v>
                </c:pt>
                <c:pt idx="881">
                  <c:v>45551</c:v>
                </c:pt>
                <c:pt idx="882">
                  <c:v>45552</c:v>
                </c:pt>
                <c:pt idx="883">
                  <c:v>45553</c:v>
                </c:pt>
                <c:pt idx="884">
                  <c:v>45554</c:v>
                </c:pt>
                <c:pt idx="885">
                  <c:v>45555</c:v>
                </c:pt>
                <c:pt idx="886">
                  <c:v>45558</c:v>
                </c:pt>
                <c:pt idx="887">
                  <c:v>45559</c:v>
                </c:pt>
                <c:pt idx="888">
                  <c:v>45560</c:v>
                </c:pt>
                <c:pt idx="889">
                  <c:v>45561</c:v>
                </c:pt>
                <c:pt idx="890">
                  <c:v>45562</c:v>
                </c:pt>
                <c:pt idx="891">
                  <c:v>45565</c:v>
                </c:pt>
                <c:pt idx="892">
                  <c:v>45566</c:v>
                </c:pt>
                <c:pt idx="893">
                  <c:v>45567</c:v>
                </c:pt>
                <c:pt idx="894">
                  <c:v>45568</c:v>
                </c:pt>
                <c:pt idx="895">
                  <c:v>45569</c:v>
                </c:pt>
                <c:pt idx="896">
                  <c:v>45572</c:v>
                </c:pt>
                <c:pt idx="897">
                  <c:v>45573</c:v>
                </c:pt>
                <c:pt idx="898">
                  <c:v>45574</c:v>
                </c:pt>
                <c:pt idx="899">
                  <c:v>45575</c:v>
                </c:pt>
                <c:pt idx="900">
                  <c:v>45576</c:v>
                </c:pt>
                <c:pt idx="901">
                  <c:v>45579</c:v>
                </c:pt>
                <c:pt idx="902">
                  <c:v>45580</c:v>
                </c:pt>
                <c:pt idx="903">
                  <c:v>45581</c:v>
                </c:pt>
                <c:pt idx="904">
                  <c:v>45582</c:v>
                </c:pt>
                <c:pt idx="905">
                  <c:v>45583</c:v>
                </c:pt>
                <c:pt idx="906">
                  <c:v>45586</c:v>
                </c:pt>
                <c:pt idx="907">
                  <c:v>45587</c:v>
                </c:pt>
                <c:pt idx="908">
                  <c:v>45588</c:v>
                </c:pt>
                <c:pt idx="909">
                  <c:v>45589</c:v>
                </c:pt>
                <c:pt idx="910">
                  <c:v>45590</c:v>
                </c:pt>
                <c:pt idx="911">
                  <c:v>45593</c:v>
                </c:pt>
                <c:pt idx="912">
                  <c:v>45594</c:v>
                </c:pt>
                <c:pt idx="913">
                  <c:v>45595</c:v>
                </c:pt>
                <c:pt idx="914">
                  <c:v>45596</c:v>
                </c:pt>
                <c:pt idx="915">
                  <c:v>45597</c:v>
                </c:pt>
                <c:pt idx="916">
                  <c:v>45600</c:v>
                </c:pt>
                <c:pt idx="917">
                  <c:v>45601</c:v>
                </c:pt>
                <c:pt idx="918">
                  <c:v>45602</c:v>
                </c:pt>
                <c:pt idx="919">
                  <c:v>45603</c:v>
                </c:pt>
                <c:pt idx="920">
                  <c:v>45604</c:v>
                </c:pt>
                <c:pt idx="921">
                  <c:v>45607</c:v>
                </c:pt>
                <c:pt idx="922">
                  <c:v>45608</c:v>
                </c:pt>
                <c:pt idx="923">
                  <c:v>45609</c:v>
                </c:pt>
                <c:pt idx="924">
                  <c:v>45610</c:v>
                </c:pt>
                <c:pt idx="925">
                  <c:v>45611</c:v>
                </c:pt>
                <c:pt idx="926">
                  <c:v>45614</c:v>
                </c:pt>
                <c:pt idx="927">
                  <c:v>45615</c:v>
                </c:pt>
                <c:pt idx="928">
                  <c:v>45616</c:v>
                </c:pt>
                <c:pt idx="929">
                  <c:v>45617</c:v>
                </c:pt>
                <c:pt idx="930">
                  <c:v>45618</c:v>
                </c:pt>
                <c:pt idx="931">
                  <c:v>45621</c:v>
                </c:pt>
                <c:pt idx="932">
                  <c:v>45622</c:v>
                </c:pt>
                <c:pt idx="933">
                  <c:v>45623</c:v>
                </c:pt>
                <c:pt idx="934">
                  <c:v>45624</c:v>
                </c:pt>
                <c:pt idx="935">
                  <c:v>45625</c:v>
                </c:pt>
                <c:pt idx="936">
                  <c:v>45628</c:v>
                </c:pt>
                <c:pt idx="937">
                  <c:v>45629</c:v>
                </c:pt>
                <c:pt idx="938">
                  <c:v>45630</c:v>
                </c:pt>
                <c:pt idx="939">
                  <c:v>45631</c:v>
                </c:pt>
                <c:pt idx="940">
                  <c:v>45632</c:v>
                </c:pt>
                <c:pt idx="941">
                  <c:v>45635</c:v>
                </c:pt>
                <c:pt idx="942">
                  <c:v>45636</c:v>
                </c:pt>
                <c:pt idx="943">
                  <c:v>45637</c:v>
                </c:pt>
                <c:pt idx="944">
                  <c:v>45638</c:v>
                </c:pt>
                <c:pt idx="945">
                  <c:v>45639</c:v>
                </c:pt>
                <c:pt idx="946">
                  <c:v>45642</c:v>
                </c:pt>
                <c:pt idx="947">
                  <c:v>45643</c:v>
                </c:pt>
                <c:pt idx="948">
                  <c:v>45644</c:v>
                </c:pt>
                <c:pt idx="949">
                  <c:v>45645</c:v>
                </c:pt>
                <c:pt idx="950">
                  <c:v>45646</c:v>
                </c:pt>
                <c:pt idx="951">
                  <c:v>45649</c:v>
                </c:pt>
                <c:pt idx="952">
                  <c:v>45650</c:v>
                </c:pt>
                <c:pt idx="953">
                  <c:v>45651</c:v>
                </c:pt>
                <c:pt idx="954">
                  <c:v>45652</c:v>
                </c:pt>
                <c:pt idx="955">
                  <c:v>45653</c:v>
                </c:pt>
                <c:pt idx="956">
                  <c:v>45656</c:v>
                </c:pt>
                <c:pt idx="957">
                  <c:v>45657</c:v>
                </c:pt>
                <c:pt idx="958">
                  <c:v>45659</c:v>
                </c:pt>
                <c:pt idx="959">
                  <c:v>45660</c:v>
                </c:pt>
                <c:pt idx="960">
                  <c:v>45663</c:v>
                </c:pt>
                <c:pt idx="961">
                  <c:v>45664</c:v>
                </c:pt>
                <c:pt idx="962">
                  <c:v>45665</c:v>
                </c:pt>
                <c:pt idx="963">
                  <c:v>45666</c:v>
                </c:pt>
                <c:pt idx="964">
                  <c:v>45667</c:v>
                </c:pt>
                <c:pt idx="965">
                  <c:v>45670</c:v>
                </c:pt>
                <c:pt idx="966">
                  <c:v>45671</c:v>
                </c:pt>
                <c:pt idx="967">
                  <c:v>45672</c:v>
                </c:pt>
                <c:pt idx="968">
                  <c:v>45673</c:v>
                </c:pt>
                <c:pt idx="969">
                  <c:v>45674</c:v>
                </c:pt>
                <c:pt idx="970">
                  <c:v>45677</c:v>
                </c:pt>
                <c:pt idx="971">
                  <c:v>45678</c:v>
                </c:pt>
                <c:pt idx="972">
                  <c:v>45679</c:v>
                </c:pt>
                <c:pt idx="973">
                  <c:v>45680</c:v>
                </c:pt>
                <c:pt idx="974">
                  <c:v>45681</c:v>
                </c:pt>
                <c:pt idx="975">
                  <c:v>45691</c:v>
                </c:pt>
                <c:pt idx="976">
                  <c:v>45692</c:v>
                </c:pt>
                <c:pt idx="977">
                  <c:v>45693</c:v>
                </c:pt>
                <c:pt idx="978">
                  <c:v>45694</c:v>
                </c:pt>
                <c:pt idx="979">
                  <c:v>45695</c:v>
                </c:pt>
                <c:pt idx="980">
                  <c:v>45698</c:v>
                </c:pt>
                <c:pt idx="981">
                  <c:v>45699</c:v>
                </c:pt>
                <c:pt idx="982">
                  <c:v>45700</c:v>
                </c:pt>
                <c:pt idx="983">
                  <c:v>45701</c:v>
                </c:pt>
                <c:pt idx="984">
                  <c:v>45702</c:v>
                </c:pt>
                <c:pt idx="985">
                  <c:v>45705</c:v>
                </c:pt>
                <c:pt idx="986">
                  <c:v>45706</c:v>
                </c:pt>
                <c:pt idx="987">
                  <c:v>45707</c:v>
                </c:pt>
                <c:pt idx="988">
                  <c:v>45708</c:v>
                </c:pt>
                <c:pt idx="989">
                  <c:v>45709</c:v>
                </c:pt>
                <c:pt idx="990">
                  <c:v>45712</c:v>
                </c:pt>
                <c:pt idx="991">
                  <c:v>45713</c:v>
                </c:pt>
                <c:pt idx="992">
                  <c:v>45714</c:v>
                </c:pt>
                <c:pt idx="993">
                  <c:v>45715</c:v>
                </c:pt>
                <c:pt idx="994">
                  <c:v>45716</c:v>
                </c:pt>
                <c:pt idx="995">
                  <c:v>45719</c:v>
                </c:pt>
                <c:pt idx="996">
                  <c:v>45720</c:v>
                </c:pt>
                <c:pt idx="997">
                  <c:v>45721</c:v>
                </c:pt>
                <c:pt idx="998">
                  <c:v>45722</c:v>
                </c:pt>
                <c:pt idx="999">
                  <c:v>45723</c:v>
                </c:pt>
                <c:pt idx="1000">
                  <c:v>45726</c:v>
                </c:pt>
                <c:pt idx="1001">
                  <c:v>45727</c:v>
                </c:pt>
                <c:pt idx="1002">
                  <c:v>45728</c:v>
                </c:pt>
                <c:pt idx="1003">
                  <c:v>45729</c:v>
                </c:pt>
                <c:pt idx="1004">
                  <c:v>45730</c:v>
                </c:pt>
                <c:pt idx="1005">
                  <c:v>45733</c:v>
                </c:pt>
                <c:pt idx="1006">
                  <c:v>45734</c:v>
                </c:pt>
                <c:pt idx="1007">
                  <c:v>45735</c:v>
                </c:pt>
                <c:pt idx="1008">
                  <c:v>45736</c:v>
                </c:pt>
                <c:pt idx="1009">
                  <c:v>45737</c:v>
                </c:pt>
                <c:pt idx="1010">
                  <c:v>45740</c:v>
                </c:pt>
                <c:pt idx="1011">
                  <c:v>45741</c:v>
                </c:pt>
                <c:pt idx="1012">
                  <c:v>45742</c:v>
                </c:pt>
                <c:pt idx="1013">
                  <c:v>45743</c:v>
                </c:pt>
                <c:pt idx="1014">
                  <c:v>45744</c:v>
                </c:pt>
                <c:pt idx="1015">
                  <c:v>45747</c:v>
                </c:pt>
                <c:pt idx="1016">
                  <c:v>45748</c:v>
                </c:pt>
                <c:pt idx="1017">
                  <c:v>45749</c:v>
                </c:pt>
                <c:pt idx="1018">
                  <c:v>45750</c:v>
                </c:pt>
                <c:pt idx="1019">
                  <c:v>45751</c:v>
                </c:pt>
                <c:pt idx="1020">
                  <c:v>45755</c:v>
                </c:pt>
                <c:pt idx="1021">
                  <c:v>45756</c:v>
                </c:pt>
                <c:pt idx="1022">
                  <c:v>45757</c:v>
                </c:pt>
                <c:pt idx="1023">
                  <c:v>45758</c:v>
                </c:pt>
                <c:pt idx="1024">
                  <c:v>45761</c:v>
                </c:pt>
                <c:pt idx="1025">
                  <c:v>45762</c:v>
                </c:pt>
                <c:pt idx="1026">
                  <c:v>45763</c:v>
                </c:pt>
                <c:pt idx="1027">
                  <c:v>45764</c:v>
                </c:pt>
                <c:pt idx="1028">
                  <c:v>45765</c:v>
                </c:pt>
                <c:pt idx="1029">
                  <c:v>45768</c:v>
                </c:pt>
                <c:pt idx="1030">
                  <c:v>45769</c:v>
                </c:pt>
                <c:pt idx="1031">
                  <c:v>45770</c:v>
                </c:pt>
                <c:pt idx="1032">
                  <c:v>45771</c:v>
                </c:pt>
                <c:pt idx="1033">
                  <c:v>45772</c:v>
                </c:pt>
                <c:pt idx="1034">
                  <c:v>45775</c:v>
                </c:pt>
                <c:pt idx="1035">
                  <c:v>45776</c:v>
                </c:pt>
                <c:pt idx="1036">
                  <c:v>45782</c:v>
                </c:pt>
                <c:pt idx="1037">
                  <c:v>45783</c:v>
                </c:pt>
                <c:pt idx="1038">
                  <c:v>45784</c:v>
                </c:pt>
                <c:pt idx="1039">
                  <c:v>45785</c:v>
                </c:pt>
                <c:pt idx="1040">
                  <c:v>45786</c:v>
                </c:pt>
                <c:pt idx="1041">
                  <c:v>45789</c:v>
                </c:pt>
                <c:pt idx="1042">
                  <c:v>45790</c:v>
                </c:pt>
                <c:pt idx="1043">
                  <c:v>45791</c:v>
                </c:pt>
                <c:pt idx="1044">
                  <c:v>45792</c:v>
                </c:pt>
                <c:pt idx="1045">
                  <c:v>45793</c:v>
                </c:pt>
                <c:pt idx="1046">
                  <c:v>45796</c:v>
                </c:pt>
                <c:pt idx="1047">
                  <c:v>45797</c:v>
                </c:pt>
                <c:pt idx="1048">
                  <c:v>45798</c:v>
                </c:pt>
                <c:pt idx="1049">
                  <c:v>45799</c:v>
                </c:pt>
                <c:pt idx="1050">
                  <c:v>45800</c:v>
                </c:pt>
                <c:pt idx="1051">
                  <c:v>45803</c:v>
                </c:pt>
                <c:pt idx="1052">
                  <c:v>45804</c:v>
                </c:pt>
                <c:pt idx="1053">
                  <c:v>45805</c:v>
                </c:pt>
                <c:pt idx="1054">
                  <c:v>45806</c:v>
                </c:pt>
                <c:pt idx="1055">
                  <c:v>45807</c:v>
                </c:pt>
                <c:pt idx="1056">
                  <c:v>45810</c:v>
                </c:pt>
                <c:pt idx="1057">
                  <c:v>45811</c:v>
                </c:pt>
                <c:pt idx="1058">
                  <c:v>45812</c:v>
                </c:pt>
                <c:pt idx="1059">
                  <c:v>45813</c:v>
                </c:pt>
                <c:pt idx="1060">
                  <c:v>45814</c:v>
                </c:pt>
                <c:pt idx="1061">
                  <c:v>45817</c:v>
                </c:pt>
                <c:pt idx="1062">
                  <c:v>45818</c:v>
                </c:pt>
                <c:pt idx="1063">
                  <c:v>45819</c:v>
                </c:pt>
                <c:pt idx="1064">
                  <c:v>45820</c:v>
                </c:pt>
                <c:pt idx="1065">
                  <c:v>45821</c:v>
                </c:pt>
                <c:pt idx="1066">
                  <c:v>45824</c:v>
                </c:pt>
                <c:pt idx="1067">
                  <c:v>45825</c:v>
                </c:pt>
                <c:pt idx="1068">
                  <c:v>45826</c:v>
                </c:pt>
                <c:pt idx="1069">
                  <c:v>45827</c:v>
                </c:pt>
                <c:pt idx="1070">
                  <c:v>45828</c:v>
                </c:pt>
                <c:pt idx="1071">
                  <c:v>45831</c:v>
                </c:pt>
                <c:pt idx="1072">
                  <c:v>45832</c:v>
                </c:pt>
                <c:pt idx="1073">
                  <c:v>45833</c:v>
                </c:pt>
                <c:pt idx="1074">
                  <c:v>45834</c:v>
                </c:pt>
                <c:pt idx="1075">
                  <c:v>45835</c:v>
                </c:pt>
                <c:pt idx="1076">
                  <c:v>45838</c:v>
                </c:pt>
                <c:pt idx="1077">
                  <c:v>45839</c:v>
                </c:pt>
                <c:pt idx="1078">
                  <c:v>45840</c:v>
                </c:pt>
                <c:pt idx="1079">
                  <c:v>45841</c:v>
                </c:pt>
                <c:pt idx="1080">
                  <c:v>45842</c:v>
                </c:pt>
                <c:pt idx="1081">
                  <c:v>45845</c:v>
                </c:pt>
                <c:pt idx="1082">
                  <c:v>45846</c:v>
                </c:pt>
                <c:pt idx="1083">
                  <c:v>45847</c:v>
                </c:pt>
                <c:pt idx="1084">
                  <c:v>45848</c:v>
                </c:pt>
                <c:pt idx="1085">
                  <c:v>45849</c:v>
                </c:pt>
                <c:pt idx="1086">
                  <c:v>45852</c:v>
                </c:pt>
                <c:pt idx="1087">
                  <c:v>45853</c:v>
                </c:pt>
                <c:pt idx="1088">
                  <c:v>45854</c:v>
                </c:pt>
                <c:pt idx="1089">
                  <c:v>45855</c:v>
                </c:pt>
                <c:pt idx="1090">
                  <c:v>45856</c:v>
                </c:pt>
                <c:pt idx="1091">
                  <c:v>45859</c:v>
                </c:pt>
                <c:pt idx="1092">
                  <c:v>45860</c:v>
                </c:pt>
                <c:pt idx="1093">
                  <c:v>45861</c:v>
                </c:pt>
                <c:pt idx="1094">
                  <c:v>45862</c:v>
                </c:pt>
                <c:pt idx="1095">
                  <c:v>45863</c:v>
                </c:pt>
                <c:pt idx="1096">
                  <c:v>45866</c:v>
                </c:pt>
                <c:pt idx="1097">
                  <c:v>45867</c:v>
                </c:pt>
                <c:pt idx="1098">
                  <c:v>45868</c:v>
                </c:pt>
                <c:pt idx="1099">
                  <c:v>45869</c:v>
                </c:pt>
                <c:pt idx="1100">
                  <c:v>45870</c:v>
                </c:pt>
                <c:pt idx="1101">
                  <c:v>45873</c:v>
                </c:pt>
                <c:pt idx="1102">
                  <c:v>45874</c:v>
                </c:pt>
                <c:pt idx="1103">
                  <c:v>45875</c:v>
                </c:pt>
                <c:pt idx="1104">
                  <c:v>45876</c:v>
                </c:pt>
                <c:pt idx="1105">
                  <c:v>45877</c:v>
                </c:pt>
                <c:pt idx="1106">
                  <c:v>45880</c:v>
                </c:pt>
                <c:pt idx="1107">
                  <c:v>45881</c:v>
                </c:pt>
                <c:pt idx="1108">
                  <c:v>45882</c:v>
                </c:pt>
                <c:pt idx="1109">
                  <c:v>45883</c:v>
                </c:pt>
                <c:pt idx="1110">
                  <c:v>45884</c:v>
                </c:pt>
                <c:pt idx="1111">
                  <c:v>45887</c:v>
                </c:pt>
                <c:pt idx="1112">
                  <c:v>45888</c:v>
                </c:pt>
                <c:pt idx="1113">
                  <c:v>45889</c:v>
                </c:pt>
                <c:pt idx="1114">
                  <c:v>45890</c:v>
                </c:pt>
                <c:pt idx="1115">
                  <c:v>45891</c:v>
                </c:pt>
                <c:pt idx="1116">
                  <c:v>45894</c:v>
                </c:pt>
                <c:pt idx="1117">
                  <c:v>45895</c:v>
                </c:pt>
                <c:pt idx="1118">
                  <c:v>45896</c:v>
                </c:pt>
                <c:pt idx="1119">
                  <c:v>45897</c:v>
                </c:pt>
                <c:pt idx="1120">
                  <c:v>45898</c:v>
                </c:pt>
                <c:pt idx="1121">
                  <c:v>45903</c:v>
                </c:pt>
                <c:pt idx="1122">
                  <c:v>45904</c:v>
                </c:pt>
                <c:pt idx="1123">
                  <c:v>45905</c:v>
                </c:pt>
                <c:pt idx="1124">
                  <c:v>45908</c:v>
                </c:pt>
                <c:pt idx="1125">
                  <c:v>45909</c:v>
                </c:pt>
                <c:pt idx="1126">
                  <c:v>45910</c:v>
                </c:pt>
                <c:pt idx="1127">
                  <c:v>45911</c:v>
                </c:pt>
                <c:pt idx="1128">
                  <c:v>45912</c:v>
                </c:pt>
                <c:pt idx="1129">
                  <c:v>45915</c:v>
                </c:pt>
                <c:pt idx="1130">
                  <c:v>45916</c:v>
                </c:pt>
                <c:pt idx="1131">
                  <c:v>45917</c:v>
                </c:pt>
                <c:pt idx="1132">
                  <c:v>45918</c:v>
                </c:pt>
                <c:pt idx="1133">
                  <c:v>45919</c:v>
                </c:pt>
                <c:pt idx="1134">
                  <c:v>45922</c:v>
                </c:pt>
                <c:pt idx="1135">
                  <c:v>45923</c:v>
                </c:pt>
                <c:pt idx="1136">
                  <c:v>45924</c:v>
                </c:pt>
                <c:pt idx="1137">
                  <c:v>45925</c:v>
                </c:pt>
                <c:pt idx="1138">
                  <c:v>45926</c:v>
                </c:pt>
                <c:pt idx="1139">
                  <c:v>45929</c:v>
                </c:pt>
                <c:pt idx="1140">
                  <c:v>45930</c:v>
                </c:pt>
                <c:pt idx="1141">
                  <c:v>45931</c:v>
                </c:pt>
                <c:pt idx="1142">
                  <c:v>45932</c:v>
                </c:pt>
                <c:pt idx="1143">
                  <c:v>45933</c:v>
                </c:pt>
                <c:pt idx="1144">
                  <c:v>45936</c:v>
                </c:pt>
                <c:pt idx="1145">
                  <c:v>45937</c:v>
                </c:pt>
                <c:pt idx="1146">
                  <c:v>45938</c:v>
                </c:pt>
                <c:pt idx="1147">
                  <c:v>45939</c:v>
                </c:pt>
                <c:pt idx="1148">
                  <c:v>45940</c:v>
                </c:pt>
                <c:pt idx="1149">
                  <c:v>45943</c:v>
                </c:pt>
                <c:pt idx="1150">
                  <c:v>45944</c:v>
                </c:pt>
                <c:pt idx="1151">
                  <c:v>45945</c:v>
                </c:pt>
                <c:pt idx="1152">
                  <c:v>45946</c:v>
                </c:pt>
                <c:pt idx="1153">
                  <c:v>45947</c:v>
                </c:pt>
                <c:pt idx="1154">
                  <c:v>45950</c:v>
                </c:pt>
                <c:pt idx="1155">
                  <c:v>45951</c:v>
                </c:pt>
                <c:pt idx="1156">
                  <c:v>45952</c:v>
                </c:pt>
                <c:pt idx="1157">
                  <c:v>45953</c:v>
                </c:pt>
                <c:pt idx="1158">
                  <c:v>45954</c:v>
                </c:pt>
                <c:pt idx="1159">
                  <c:v>45957</c:v>
                </c:pt>
                <c:pt idx="1160">
                  <c:v>45958</c:v>
                </c:pt>
                <c:pt idx="1161">
                  <c:v>45959</c:v>
                </c:pt>
                <c:pt idx="1162">
                  <c:v>45960</c:v>
                </c:pt>
                <c:pt idx="1163">
                  <c:v>45961</c:v>
                </c:pt>
                <c:pt idx="1164">
                  <c:v>45964</c:v>
                </c:pt>
                <c:pt idx="1165">
                  <c:v>45965</c:v>
                </c:pt>
                <c:pt idx="1166">
                  <c:v>45966</c:v>
                </c:pt>
                <c:pt idx="1167">
                  <c:v>45967</c:v>
                </c:pt>
                <c:pt idx="1168">
                  <c:v>45968</c:v>
                </c:pt>
                <c:pt idx="1169">
                  <c:v>45971</c:v>
                </c:pt>
                <c:pt idx="1170">
                  <c:v>45972</c:v>
                </c:pt>
                <c:pt idx="1171">
                  <c:v>45973</c:v>
                </c:pt>
                <c:pt idx="1172">
                  <c:v>45974</c:v>
                </c:pt>
                <c:pt idx="1173">
                  <c:v>45975</c:v>
                </c:pt>
                <c:pt idx="1174">
                  <c:v>45978</c:v>
                </c:pt>
                <c:pt idx="1175">
                  <c:v>45979</c:v>
                </c:pt>
                <c:pt idx="1176">
                  <c:v>45980</c:v>
                </c:pt>
                <c:pt idx="1177">
                  <c:v>45981</c:v>
                </c:pt>
                <c:pt idx="1178">
                  <c:v>45982</c:v>
                </c:pt>
                <c:pt idx="1179">
                  <c:v>45985</c:v>
                </c:pt>
                <c:pt idx="1180">
                  <c:v>45986</c:v>
                </c:pt>
                <c:pt idx="1181">
                  <c:v>45987</c:v>
                </c:pt>
                <c:pt idx="1182">
                  <c:v>45988</c:v>
                </c:pt>
                <c:pt idx="1183">
                  <c:v>45989</c:v>
                </c:pt>
                <c:pt idx="1184">
                  <c:v>45992</c:v>
                </c:pt>
                <c:pt idx="1185">
                  <c:v>45993</c:v>
                </c:pt>
                <c:pt idx="1186">
                  <c:v>45994</c:v>
                </c:pt>
                <c:pt idx="1187">
                  <c:v>45995</c:v>
                </c:pt>
                <c:pt idx="1188">
                  <c:v>45996</c:v>
                </c:pt>
                <c:pt idx="1189">
                  <c:v>45999</c:v>
                </c:pt>
                <c:pt idx="1190">
                  <c:v>46000</c:v>
                </c:pt>
                <c:pt idx="1191">
                  <c:v>46001</c:v>
                </c:pt>
                <c:pt idx="1192">
                  <c:v>46002</c:v>
                </c:pt>
                <c:pt idx="1193">
                  <c:v>46003</c:v>
                </c:pt>
                <c:pt idx="1194">
                  <c:v>46006</c:v>
                </c:pt>
                <c:pt idx="1195">
                  <c:v>46007</c:v>
                </c:pt>
                <c:pt idx="1196">
                  <c:v>46008</c:v>
                </c:pt>
                <c:pt idx="1197">
                  <c:v>46009</c:v>
                </c:pt>
                <c:pt idx="1198">
                  <c:v>46010</c:v>
                </c:pt>
                <c:pt idx="1199">
                  <c:v>46013</c:v>
                </c:pt>
                <c:pt idx="1200">
                  <c:v>46014</c:v>
                </c:pt>
                <c:pt idx="1201">
                  <c:v>46015</c:v>
                </c:pt>
                <c:pt idx="1202">
                  <c:v>46016</c:v>
                </c:pt>
                <c:pt idx="1203">
                  <c:v>46017</c:v>
                </c:pt>
                <c:pt idx="1204">
                  <c:v>46020</c:v>
                </c:pt>
                <c:pt idx="1205">
                  <c:v>46021</c:v>
                </c:pt>
                <c:pt idx="1206">
                  <c:v>46022</c:v>
                </c:pt>
                <c:pt idx="1207">
                  <c:v>46027</c:v>
                </c:pt>
                <c:pt idx="1208">
                  <c:v>46028</c:v>
                </c:pt>
                <c:pt idx="1209">
                  <c:v>46029</c:v>
                </c:pt>
                <c:pt idx="1210">
                  <c:v>46030</c:v>
                </c:pt>
                <c:pt idx="1211">
                  <c:v>46031</c:v>
                </c:pt>
                <c:pt idx="1212">
                  <c:v>46034</c:v>
                </c:pt>
                <c:pt idx="1213">
                  <c:v>46035</c:v>
                </c:pt>
                <c:pt idx="1214">
                  <c:v>46036</c:v>
                </c:pt>
                <c:pt idx="1215">
                  <c:v>46037</c:v>
                </c:pt>
                <c:pt idx="1216">
                  <c:v>46038</c:v>
                </c:pt>
                <c:pt idx="1217">
                  <c:v>46041</c:v>
                </c:pt>
                <c:pt idx="1218">
                  <c:v>46042</c:v>
                </c:pt>
                <c:pt idx="1219">
                  <c:v>46043</c:v>
                </c:pt>
                <c:pt idx="1220">
                  <c:v>46044</c:v>
                </c:pt>
                <c:pt idx="1221">
                  <c:v>46045</c:v>
                </c:pt>
                <c:pt idx="1222">
                  <c:v>46048</c:v>
                </c:pt>
                <c:pt idx="1223">
                  <c:v>46049</c:v>
                </c:pt>
                <c:pt idx="1224">
                  <c:v>46050</c:v>
                </c:pt>
                <c:pt idx="1225">
                  <c:v>46051</c:v>
                </c:pt>
                <c:pt idx="1226">
                  <c:v>46052</c:v>
                </c:pt>
                <c:pt idx="1227">
                  <c:v>46055</c:v>
                </c:pt>
                <c:pt idx="1228">
                  <c:v>46056</c:v>
                </c:pt>
                <c:pt idx="1229">
                  <c:v>46057</c:v>
                </c:pt>
                <c:pt idx="1230">
                  <c:v>46058</c:v>
                </c:pt>
                <c:pt idx="1231">
                  <c:v>46059</c:v>
                </c:pt>
                <c:pt idx="1232">
                  <c:v>46062</c:v>
                </c:pt>
                <c:pt idx="1233">
                  <c:v>46063</c:v>
                </c:pt>
                <c:pt idx="1234">
                  <c:v>46064</c:v>
                </c:pt>
                <c:pt idx="1235">
                  <c:v>46065</c:v>
                </c:pt>
                <c:pt idx="1236">
                  <c:v>46066</c:v>
                </c:pt>
                <c:pt idx="1237">
                  <c:v>46076</c:v>
                </c:pt>
                <c:pt idx="1238">
                  <c:v>46077</c:v>
                </c:pt>
                <c:pt idx="1239">
                  <c:v>46078</c:v>
                </c:pt>
                <c:pt idx="1240">
                  <c:v>46079</c:v>
                </c:pt>
                <c:pt idx="1241">
                  <c:v>46080</c:v>
                </c:pt>
                <c:pt idx="1242">
                  <c:v>46083</c:v>
                </c:pt>
                <c:pt idx="1243">
                  <c:v>46084</c:v>
                </c:pt>
                <c:pt idx="1244">
                  <c:v>46085</c:v>
                </c:pt>
                <c:pt idx="1245">
                  <c:v>46086</c:v>
                </c:pt>
                <c:pt idx="1246">
                  <c:v>46087</c:v>
                </c:pt>
              </c:numCache>
            </c:numRef>
          </c:cat>
          <c:val>
            <c:numRef>
              <c:f>'FX Data'!$I$957:$I$2203</c:f>
              <c:numCache>
                <c:formatCode>0.0</c:formatCode>
                <c:ptCount val="1247"/>
                <c:pt idx="0">
                  <c:v>13.423522048155872</c:v>
                </c:pt>
                <c:pt idx="1">
                  <c:v>13.423522048155872</c:v>
                </c:pt>
                <c:pt idx="2">
                  <c:v>13.423522048155872</c:v>
                </c:pt>
                <c:pt idx="3">
                  <c:v>13.423522048155872</c:v>
                </c:pt>
                <c:pt idx="4">
                  <c:v>13.423522048155872</c:v>
                </c:pt>
                <c:pt idx="5">
                  <c:v>13.423522048155872</c:v>
                </c:pt>
                <c:pt idx="6">
                  <c:v>13.423522048155872</c:v>
                </c:pt>
                <c:pt idx="7">
                  <c:v>13.423522048155872</c:v>
                </c:pt>
                <c:pt idx="8">
                  <c:v>13.423522048155872</c:v>
                </c:pt>
                <c:pt idx="9">
                  <c:v>13.423522048155872</c:v>
                </c:pt>
                <c:pt idx="10">
                  <c:v>13.423522048155872</c:v>
                </c:pt>
                <c:pt idx="11">
                  <c:v>13.423522048155872</c:v>
                </c:pt>
                <c:pt idx="12">
                  <c:v>13.423522048155872</c:v>
                </c:pt>
                <c:pt idx="13">
                  <c:v>13.423522048155872</c:v>
                </c:pt>
                <c:pt idx="14">
                  <c:v>13.423522048155872</c:v>
                </c:pt>
                <c:pt idx="15">
                  <c:v>13.423522048155872</c:v>
                </c:pt>
                <c:pt idx="16">
                  <c:v>13.423522048155872</c:v>
                </c:pt>
                <c:pt idx="17">
                  <c:v>13.423522048155872</c:v>
                </c:pt>
                <c:pt idx="18">
                  <c:v>13.423522048155872</c:v>
                </c:pt>
                <c:pt idx="19">
                  <c:v>13.423522048155872</c:v>
                </c:pt>
                <c:pt idx="20">
                  <c:v>13.423522048155872</c:v>
                </c:pt>
                <c:pt idx="21">
                  <c:v>13.423522048155872</c:v>
                </c:pt>
                <c:pt idx="22">
                  <c:v>13.423522048155872</c:v>
                </c:pt>
                <c:pt idx="23">
                  <c:v>13.423522048155872</c:v>
                </c:pt>
                <c:pt idx="24">
                  <c:v>13.423522048155872</c:v>
                </c:pt>
                <c:pt idx="25">
                  <c:v>13.423522048155872</c:v>
                </c:pt>
                <c:pt idx="26">
                  <c:v>13.423522048155872</c:v>
                </c:pt>
                <c:pt idx="27">
                  <c:v>13.423522048155872</c:v>
                </c:pt>
                <c:pt idx="28">
                  <c:v>13.423522048155872</c:v>
                </c:pt>
                <c:pt idx="29">
                  <c:v>13.423522048155872</c:v>
                </c:pt>
                <c:pt idx="30">
                  <c:v>13.423522048155872</c:v>
                </c:pt>
                <c:pt idx="31">
                  <c:v>13.423522048155872</c:v>
                </c:pt>
                <c:pt idx="32">
                  <c:v>13.423522048155872</c:v>
                </c:pt>
                <c:pt idx="33">
                  <c:v>13.423522048155872</c:v>
                </c:pt>
                <c:pt idx="34">
                  <c:v>13.423522048155872</c:v>
                </c:pt>
                <c:pt idx="35">
                  <c:v>13.423522048155872</c:v>
                </c:pt>
                <c:pt idx="36">
                  <c:v>13.423522048155872</c:v>
                </c:pt>
                <c:pt idx="37">
                  <c:v>13.423522048155872</c:v>
                </c:pt>
                <c:pt idx="38">
                  <c:v>13.423522048155872</c:v>
                </c:pt>
                <c:pt idx="39">
                  <c:v>13.423522048155872</c:v>
                </c:pt>
                <c:pt idx="40">
                  <c:v>13.423522048155872</c:v>
                </c:pt>
                <c:pt idx="41">
                  <c:v>13.423522048155872</c:v>
                </c:pt>
                <c:pt idx="42">
                  <c:v>13.423522048155872</c:v>
                </c:pt>
                <c:pt idx="43">
                  <c:v>13.423522048155872</c:v>
                </c:pt>
                <c:pt idx="44">
                  <c:v>13.423522048155872</c:v>
                </c:pt>
                <c:pt idx="45">
                  <c:v>13.423522048155872</c:v>
                </c:pt>
                <c:pt idx="46">
                  <c:v>13.423522048155872</c:v>
                </c:pt>
                <c:pt idx="47">
                  <c:v>13.423522048155872</c:v>
                </c:pt>
                <c:pt idx="48">
                  <c:v>13.423522048155872</c:v>
                </c:pt>
                <c:pt idx="49">
                  <c:v>13.423522048155872</c:v>
                </c:pt>
                <c:pt idx="50">
                  <c:v>13.423522048155872</c:v>
                </c:pt>
                <c:pt idx="51">
                  <c:v>13.423522048155872</c:v>
                </c:pt>
                <c:pt idx="52">
                  <c:v>13.423522048155872</c:v>
                </c:pt>
                <c:pt idx="53">
                  <c:v>13.423522048155872</c:v>
                </c:pt>
                <c:pt idx="54">
                  <c:v>13.423522048155872</c:v>
                </c:pt>
                <c:pt idx="55">
                  <c:v>13.423522048155872</c:v>
                </c:pt>
                <c:pt idx="56">
                  <c:v>13.423522048155872</c:v>
                </c:pt>
                <c:pt idx="57">
                  <c:v>13.423522048155872</c:v>
                </c:pt>
                <c:pt idx="58">
                  <c:v>13.423522048155872</c:v>
                </c:pt>
                <c:pt idx="59">
                  <c:v>13.423522048155872</c:v>
                </c:pt>
                <c:pt idx="60">
                  <c:v>13.423522048155872</c:v>
                </c:pt>
                <c:pt idx="61">
                  <c:v>13.423522048155872</c:v>
                </c:pt>
                <c:pt idx="62">
                  <c:v>13.423522048155872</c:v>
                </c:pt>
                <c:pt idx="63">
                  <c:v>13.423522048155872</c:v>
                </c:pt>
                <c:pt idx="64">
                  <c:v>13.423522048155872</c:v>
                </c:pt>
                <c:pt idx="65">
                  <c:v>13.423522048155872</c:v>
                </c:pt>
                <c:pt idx="66">
                  <c:v>13.423522048155872</c:v>
                </c:pt>
                <c:pt idx="67">
                  <c:v>13.423522048155872</c:v>
                </c:pt>
                <c:pt idx="68">
                  <c:v>13.423522048155872</c:v>
                </c:pt>
                <c:pt idx="69">
                  <c:v>13.423522048155872</c:v>
                </c:pt>
                <c:pt idx="70">
                  <c:v>13.423522048155872</c:v>
                </c:pt>
                <c:pt idx="71">
                  <c:v>13.423522048155872</c:v>
                </c:pt>
                <c:pt idx="72">
                  <c:v>13.423522048155872</c:v>
                </c:pt>
                <c:pt idx="73">
                  <c:v>13.423522048155872</c:v>
                </c:pt>
                <c:pt idx="74">
                  <c:v>13.423522048155872</c:v>
                </c:pt>
                <c:pt idx="75">
                  <c:v>13.423522048155872</c:v>
                </c:pt>
                <c:pt idx="76">
                  <c:v>13.423522048155872</c:v>
                </c:pt>
                <c:pt idx="77">
                  <c:v>13.423522048155872</c:v>
                </c:pt>
                <c:pt idx="78">
                  <c:v>13.423522048155872</c:v>
                </c:pt>
                <c:pt idx="79">
                  <c:v>13.423522048155872</c:v>
                </c:pt>
                <c:pt idx="80">
                  <c:v>13.423522048155872</c:v>
                </c:pt>
                <c:pt idx="81">
                  <c:v>13.423522048155872</c:v>
                </c:pt>
                <c:pt idx="82">
                  <c:v>13.423522048155872</c:v>
                </c:pt>
                <c:pt idx="83">
                  <c:v>13.423522048155872</c:v>
                </c:pt>
                <c:pt idx="84">
                  <c:v>13.423522048155872</c:v>
                </c:pt>
                <c:pt idx="85">
                  <c:v>13.423522048155872</c:v>
                </c:pt>
                <c:pt idx="86">
                  <c:v>13.423522048155872</c:v>
                </c:pt>
                <c:pt idx="87">
                  <c:v>13.423522048155872</c:v>
                </c:pt>
                <c:pt idx="88">
                  <c:v>13.423522048155872</c:v>
                </c:pt>
                <c:pt idx="89">
                  <c:v>13.423522048155872</c:v>
                </c:pt>
                <c:pt idx="90">
                  <c:v>13.423522048155872</c:v>
                </c:pt>
                <c:pt idx="91">
                  <c:v>13.423522048155872</c:v>
                </c:pt>
                <c:pt idx="92">
                  <c:v>13.423522048155872</c:v>
                </c:pt>
                <c:pt idx="93">
                  <c:v>13.423522048155872</c:v>
                </c:pt>
                <c:pt idx="94">
                  <c:v>13.423522048155872</c:v>
                </c:pt>
                <c:pt idx="95">
                  <c:v>13.423522048155872</c:v>
                </c:pt>
                <c:pt idx="96">
                  <c:v>13.423522048155872</c:v>
                </c:pt>
                <c:pt idx="97">
                  <c:v>13.423522048155872</c:v>
                </c:pt>
                <c:pt idx="98">
                  <c:v>13.423522048155872</c:v>
                </c:pt>
                <c:pt idx="99">
                  <c:v>13.423522048155872</c:v>
                </c:pt>
                <c:pt idx="100">
                  <c:v>13.423522048155872</c:v>
                </c:pt>
                <c:pt idx="101">
                  <c:v>13.423522048155872</c:v>
                </c:pt>
                <c:pt idx="102">
                  <c:v>13.423522048155872</c:v>
                </c:pt>
                <c:pt idx="103">
                  <c:v>13.423522048155872</c:v>
                </c:pt>
                <c:pt idx="104">
                  <c:v>13.423522048155872</c:v>
                </c:pt>
                <c:pt idx="105">
                  <c:v>13.423522048155872</c:v>
                </c:pt>
                <c:pt idx="106">
                  <c:v>13.423522048155872</c:v>
                </c:pt>
                <c:pt idx="107">
                  <c:v>13.423522048155872</c:v>
                </c:pt>
                <c:pt idx="108">
                  <c:v>13.423522048155872</c:v>
                </c:pt>
                <c:pt idx="109">
                  <c:v>13.423522048155872</c:v>
                </c:pt>
                <c:pt idx="110">
                  <c:v>13.423522048155872</c:v>
                </c:pt>
                <c:pt idx="111">
                  <c:v>13.423522048155872</c:v>
                </c:pt>
                <c:pt idx="112">
                  <c:v>13.423522048155872</c:v>
                </c:pt>
                <c:pt idx="113">
                  <c:v>13.423522048155872</c:v>
                </c:pt>
                <c:pt idx="114">
                  <c:v>13.423522048155872</c:v>
                </c:pt>
                <c:pt idx="115">
                  <c:v>13.423522048155872</c:v>
                </c:pt>
                <c:pt idx="116">
                  <c:v>13.423522048155872</c:v>
                </c:pt>
                <c:pt idx="117">
                  <c:v>13.423522048155872</c:v>
                </c:pt>
                <c:pt idx="118">
                  <c:v>13.423522048155872</c:v>
                </c:pt>
                <c:pt idx="119">
                  <c:v>13.423522048155872</c:v>
                </c:pt>
                <c:pt idx="120">
                  <c:v>13.423522048155872</c:v>
                </c:pt>
                <c:pt idx="121">
                  <c:v>13.423522048155872</c:v>
                </c:pt>
                <c:pt idx="122">
                  <c:v>13.423522048155872</c:v>
                </c:pt>
                <c:pt idx="123">
                  <c:v>13.423522048155872</c:v>
                </c:pt>
                <c:pt idx="124">
                  <c:v>13.423522048155872</c:v>
                </c:pt>
                <c:pt idx="125">
                  <c:v>13.423522048155872</c:v>
                </c:pt>
                <c:pt idx="126">
                  <c:v>13.423522048155872</c:v>
                </c:pt>
                <c:pt idx="127">
                  <c:v>13.423522048155872</c:v>
                </c:pt>
                <c:pt idx="128">
                  <c:v>13.423522048155872</c:v>
                </c:pt>
                <c:pt idx="129">
                  <c:v>13.423522048155872</c:v>
                </c:pt>
                <c:pt idx="130">
                  <c:v>13.423522048155872</c:v>
                </c:pt>
                <c:pt idx="131">
                  <c:v>13.423522048155872</c:v>
                </c:pt>
                <c:pt idx="132">
                  <c:v>13.423522048155872</c:v>
                </c:pt>
                <c:pt idx="133">
                  <c:v>13.423522048155872</c:v>
                </c:pt>
                <c:pt idx="134">
                  <c:v>13.423522048155872</c:v>
                </c:pt>
                <c:pt idx="135">
                  <c:v>13.423522048155872</c:v>
                </c:pt>
                <c:pt idx="136">
                  <c:v>13.423522048155872</c:v>
                </c:pt>
                <c:pt idx="137">
                  <c:v>13.423522048155872</c:v>
                </c:pt>
                <c:pt idx="138">
                  <c:v>13.423522048155872</c:v>
                </c:pt>
                <c:pt idx="139">
                  <c:v>13.423522048155872</c:v>
                </c:pt>
                <c:pt idx="140">
                  <c:v>13.423522048155872</c:v>
                </c:pt>
                <c:pt idx="141">
                  <c:v>13.423522048155872</c:v>
                </c:pt>
                <c:pt idx="142">
                  <c:v>13.423522048155872</c:v>
                </c:pt>
                <c:pt idx="143">
                  <c:v>13.423522048155872</c:v>
                </c:pt>
                <c:pt idx="144">
                  <c:v>13.423522048155872</c:v>
                </c:pt>
                <c:pt idx="145">
                  <c:v>13.423522048155872</c:v>
                </c:pt>
                <c:pt idx="146">
                  <c:v>13.423522048155872</c:v>
                </c:pt>
                <c:pt idx="147">
                  <c:v>13.423522048155872</c:v>
                </c:pt>
                <c:pt idx="148">
                  <c:v>13.423522048155872</c:v>
                </c:pt>
                <c:pt idx="149">
                  <c:v>13.423522048155872</c:v>
                </c:pt>
                <c:pt idx="150">
                  <c:v>13.423522048155872</c:v>
                </c:pt>
                <c:pt idx="151">
                  <c:v>13.423522048155872</c:v>
                </c:pt>
                <c:pt idx="152">
                  <c:v>13.423522048155872</c:v>
                </c:pt>
                <c:pt idx="153">
                  <c:v>13.423522048155872</c:v>
                </c:pt>
                <c:pt idx="154">
                  <c:v>13.423522048155872</c:v>
                </c:pt>
                <c:pt idx="155">
                  <c:v>13.423522048155872</c:v>
                </c:pt>
                <c:pt idx="156">
                  <c:v>13.423522048155872</c:v>
                </c:pt>
                <c:pt idx="157">
                  <c:v>13.423522048155872</c:v>
                </c:pt>
                <c:pt idx="158">
                  <c:v>13.423522048155872</c:v>
                </c:pt>
                <c:pt idx="159">
                  <c:v>13.423522048155872</c:v>
                </c:pt>
                <c:pt idx="160">
                  <c:v>13.423522048155872</c:v>
                </c:pt>
                <c:pt idx="161">
                  <c:v>13.423522048155872</c:v>
                </c:pt>
                <c:pt idx="162">
                  <c:v>13.423522048155872</c:v>
                </c:pt>
                <c:pt idx="163">
                  <c:v>13.423522048155872</c:v>
                </c:pt>
                <c:pt idx="164">
                  <c:v>13.423522048155872</c:v>
                </c:pt>
                <c:pt idx="165">
                  <c:v>13.423522048155872</c:v>
                </c:pt>
                <c:pt idx="166">
                  <c:v>13.423522048155872</c:v>
                </c:pt>
                <c:pt idx="167">
                  <c:v>13.423522048155872</c:v>
                </c:pt>
                <c:pt idx="168">
                  <c:v>13.423522048155872</c:v>
                </c:pt>
                <c:pt idx="169">
                  <c:v>13.423522048155872</c:v>
                </c:pt>
                <c:pt idx="170">
                  <c:v>13.423522048155872</c:v>
                </c:pt>
                <c:pt idx="171">
                  <c:v>13.423522048155872</c:v>
                </c:pt>
                <c:pt idx="172">
                  <c:v>13.423522048155872</c:v>
                </c:pt>
                <c:pt idx="173">
                  <c:v>13.423522048155872</c:v>
                </c:pt>
                <c:pt idx="174">
                  <c:v>13.423522048155872</c:v>
                </c:pt>
                <c:pt idx="175">
                  <c:v>13.423522048155872</c:v>
                </c:pt>
                <c:pt idx="176">
                  <c:v>13.423522048155872</c:v>
                </c:pt>
                <c:pt idx="177">
                  <c:v>13.423522048155872</c:v>
                </c:pt>
                <c:pt idx="178">
                  <c:v>13.423522048155872</c:v>
                </c:pt>
                <c:pt idx="179">
                  <c:v>13.423522048155872</c:v>
                </c:pt>
                <c:pt idx="180">
                  <c:v>13.423522048155872</c:v>
                </c:pt>
                <c:pt idx="181">
                  <c:v>13.423522048155872</c:v>
                </c:pt>
                <c:pt idx="182">
                  <c:v>13.423522048155872</c:v>
                </c:pt>
                <c:pt idx="183">
                  <c:v>13.423522048155872</c:v>
                </c:pt>
                <c:pt idx="184">
                  <c:v>13.423522048155872</c:v>
                </c:pt>
                <c:pt idx="185">
                  <c:v>13.423522048155872</c:v>
                </c:pt>
                <c:pt idx="186">
                  <c:v>13.423522048155872</c:v>
                </c:pt>
                <c:pt idx="187">
                  <c:v>13.423522048155872</c:v>
                </c:pt>
                <c:pt idx="188">
                  <c:v>13.423522048155872</c:v>
                </c:pt>
                <c:pt idx="189">
                  <c:v>13.423522048155872</c:v>
                </c:pt>
                <c:pt idx="190">
                  <c:v>13.423522048155872</c:v>
                </c:pt>
                <c:pt idx="191">
                  <c:v>13.423522048155872</c:v>
                </c:pt>
                <c:pt idx="192">
                  <c:v>13.423522048155872</c:v>
                </c:pt>
                <c:pt idx="193">
                  <c:v>13.423522048155872</c:v>
                </c:pt>
                <c:pt idx="194">
                  <c:v>13.423522048155872</c:v>
                </c:pt>
                <c:pt idx="195">
                  <c:v>13.423522048155872</c:v>
                </c:pt>
                <c:pt idx="196">
                  <c:v>13.423522048155872</c:v>
                </c:pt>
                <c:pt idx="197">
                  <c:v>13.423522048155872</c:v>
                </c:pt>
                <c:pt idx="198">
                  <c:v>13.423522048155872</c:v>
                </c:pt>
                <c:pt idx="199">
                  <c:v>13.423522048155872</c:v>
                </c:pt>
                <c:pt idx="200">
                  <c:v>13.423522048155872</c:v>
                </c:pt>
                <c:pt idx="201">
                  <c:v>13.423522048155872</c:v>
                </c:pt>
                <c:pt idx="202">
                  <c:v>13.423522048155872</c:v>
                </c:pt>
                <c:pt idx="203">
                  <c:v>13.423522048155872</c:v>
                </c:pt>
                <c:pt idx="204">
                  <c:v>13.423522048155872</c:v>
                </c:pt>
                <c:pt idx="205">
                  <c:v>13.423522048155872</c:v>
                </c:pt>
                <c:pt idx="206">
                  <c:v>13.423522048155872</c:v>
                </c:pt>
                <c:pt idx="207">
                  <c:v>13.423522048155872</c:v>
                </c:pt>
                <c:pt idx="208">
                  <c:v>13.423522048155872</c:v>
                </c:pt>
                <c:pt idx="209">
                  <c:v>13.423522048155872</c:v>
                </c:pt>
                <c:pt idx="210">
                  <c:v>13.423522048155872</c:v>
                </c:pt>
                <c:pt idx="211">
                  <c:v>13.423522048155872</c:v>
                </c:pt>
                <c:pt idx="212">
                  <c:v>13.423522048155872</c:v>
                </c:pt>
                <c:pt idx="213">
                  <c:v>13.423522048155872</c:v>
                </c:pt>
                <c:pt idx="214">
                  <c:v>13.423522048155872</c:v>
                </c:pt>
                <c:pt idx="215">
                  <c:v>13.423522048155872</c:v>
                </c:pt>
                <c:pt idx="216">
                  <c:v>13.423522048155872</c:v>
                </c:pt>
                <c:pt idx="217">
                  <c:v>13.423522048155872</c:v>
                </c:pt>
                <c:pt idx="218">
                  <c:v>13.423522048155872</c:v>
                </c:pt>
                <c:pt idx="219">
                  <c:v>13.423522048155872</c:v>
                </c:pt>
                <c:pt idx="220">
                  <c:v>13.423522048155872</c:v>
                </c:pt>
                <c:pt idx="221">
                  <c:v>13.423522048155872</c:v>
                </c:pt>
                <c:pt idx="222">
                  <c:v>13.423522048155872</c:v>
                </c:pt>
                <c:pt idx="223">
                  <c:v>13.423522048155872</c:v>
                </c:pt>
                <c:pt idx="224">
                  <c:v>13.423522048155872</c:v>
                </c:pt>
                <c:pt idx="225">
                  <c:v>13.423522048155872</c:v>
                </c:pt>
                <c:pt idx="226">
                  <c:v>13.423522048155872</c:v>
                </c:pt>
                <c:pt idx="227">
                  <c:v>13.423522048155872</c:v>
                </c:pt>
                <c:pt idx="228">
                  <c:v>13.423522048155872</c:v>
                </c:pt>
                <c:pt idx="229">
                  <c:v>13.423522048155872</c:v>
                </c:pt>
                <c:pt idx="230">
                  <c:v>13.423522048155872</c:v>
                </c:pt>
                <c:pt idx="231">
                  <c:v>13.423522048155872</c:v>
                </c:pt>
                <c:pt idx="232">
                  <c:v>13.423522048155872</c:v>
                </c:pt>
                <c:pt idx="233">
                  <c:v>13.423522048155872</c:v>
                </c:pt>
                <c:pt idx="234">
                  <c:v>13.423522048155872</c:v>
                </c:pt>
                <c:pt idx="235">
                  <c:v>13.423522048155872</c:v>
                </c:pt>
                <c:pt idx="236">
                  <c:v>13.423522048155872</c:v>
                </c:pt>
                <c:pt idx="237">
                  <c:v>13.423522048155872</c:v>
                </c:pt>
                <c:pt idx="238">
                  <c:v>13.423522048155872</c:v>
                </c:pt>
                <c:pt idx="239">
                  <c:v>13.423522048155872</c:v>
                </c:pt>
                <c:pt idx="240">
                  <c:v>13.423522048155872</c:v>
                </c:pt>
                <c:pt idx="241">
                  <c:v>13.423522048155872</c:v>
                </c:pt>
                <c:pt idx="242">
                  <c:v>13.423522048155872</c:v>
                </c:pt>
                <c:pt idx="243">
                  <c:v>13.423522048155872</c:v>
                </c:pt>
                <c:pt idx="244">
                  <c:v>13.423522048155872</c:v>
                </c:pt>
                <c:pt idx="245">
                  <c:v>13.423522048155872</c:v>
                </c:pt>
                <c:pt idx="246">
                  <c:v>13.423522048155872</c:v>
                </c:pt>
                <c:pt idx="247">
                  <c:v>13.423522048155872</c:v>
                </c:pt>
                <c:pt idx="248">
                  <c:v>13.423522048155872</c:v>
                </c:pt>
                <c:pt idx="249">
                  <c:v>13.423522048155872</c:v>
                </c:pt>
                <c:pt idx="250">
                  <c:v>13.423522048155872</c:v>
                </c:pt>
                <c:pt idx="251">
                  <c:v>13.423522048155872</c:v>
                </c:pt>
                <c:pt idx="252">
                  <c:v>13.423522048155872</c:v>
                </c:pt>
                <c:pt idx="253">
                  <c:v>13.423522048155872</c:v>
                </c:pt>
                <c:pt idx="254">
                  <c:v>13.423522048155872</c:v>
                </c:pt>
                <c:pt idx="255">
                  <c:v>13.423522048155872</c:v>
                </c:pt>
                <c:pt idx="256">
                  <c:v>13.423522048155872</c:v>
                </c:pt>
                <c:pt idx="257">
                  <c:v>13.423522048155872</c:v>
                </c:pt>
                <c:pt idx="258">
                  <c:v>13.423522048155872</c:v>
                </c:pt>
                <c:pt idx="259">
                  <c:v>13.423522048155872</c:v>
                </c:pt>
                <c:pt idx="260">
                  <c:v>13.423522048155872</c:v>
                </c:pt>
                <c:pt idx="261">
                  <c:v>13.423522048155872</c:v>
                </c:pt>
                <c:pt idx="262">
                  <c:v>13.423522048155872</c:v>
                </c:pt>
                <c:pt idx="263">
                  <c:v>13.423522048155872</c:v>
                </c:pt>
                <c:pt idx="264">
                  <c:v>13.423522048155872</c:v>
                </c:pt>
                <c:pt idx="265">
                  <c:v>13.423522048155872</c:v>
                </c:pt>
                <c:pt idx="266">
                  <c:v>13.423522048155872</c:v>
                </c:pt>
                <c:pt idx="267">
                  <c:v>13.423522048155872</c:v>
                </c:pt>
                <c:pt idx="268">
                  <c:v>13.423522048155872</c:v>
                </c:pt>
                <c:pt idx="269">
                  <c:v>13.423522048155872</c:v>
                </c:pt>
                <c:pt idx="270">
                  <c:v>13.423522048155872</c:v>
                </c:pt>
                <c:pt idx="271">
                  <c:v>13.423522048155872</c:v>
                </c:pt>
                <c:pt idx="272">
                  <c:v>13.423522048155872</c:v>
                </c:pt>
                <c:pt idx="273">
                  <c:v>13.423522048155872</c:v>
                </c:pt>
                <c:pt idx="274">
                  <c:v>13.423522048155872</c:v>
                </c:pt>
                <c:pt idx="275">
                  <c:v>13.423522048155872</c:v>
                </c:pt>
                <c:pt idx="276">
                  <c:v>13.423522048155872</c:v>
                </c:pt>
                <c:pt idx="277">
                  <c:v>13.423522048155872</c:v>
                </c:pt>
                <c:pt idx="278">
                  <c:v>13.423522048155872</c:v>
                </c:pt>
                <c:pt idx="279">
                  <c:v>13.423522048155872</c:v>
                </c:pt>
                <c:pt idx="280">
                  <c:v>13.423522048155872</c:v>
                </c:pt>
                <c:pt idx="281">
                  <c:v>13.423522048155872</c:v>
                </c:pt>
                <c:pt idx="282">
                  <c:v>13.423522048155872</c:v>
                </c:pt>
                <c:pt idx="283">
                  <c:v>13.423522048155872</c:v>
                </c:pt>
                <c:pt idx="284">
                  <c:v>13.423522048155872</c:v>
                </c:pt>
                <c:pt idx="285">
                  <c:v>13.423522048155872</c:v>
                </c:pt>
                <c:pt idx="286">
                  <c:v>13.423522048155872</c:v>
                </c:pt>
                <c:pt idx="287">
                  <c:v>13.423522048155872</c:v>
                </c:pt>
                <c:pt idx="288">
                  <c:v>13.423522048155872</c:v>
                </c:pt>
                <c:pt idx="289">
                  <c:v>13.423522048155872</c:v>
                </c:pt>
                <c:pt idx="290">
                  <c:v>13.423522048155872</c:v>
                </c:pt>
                <c:pt idx="291">
                  <c:v>13.423522048155872</c:v>
                </c:pt>
                <c:pt idx="292">
                  <c:v>13.423522048155872</c:v>
                </c:pt>
                <c:pt idx="293">
                  <c:v>13.423522048155872</c:v>
                </c:pt>
                <c:pt idx="294">
                  <c:v>13.423522048155872</c:v>
                </c:pt>
                <c:pt idx="295">
                  <c:v>13.423522048155872</c:v>
                </c:pt>
                <c:pt idx="296">
                  <c:v>13.423522048155872</c:v>
                </c:pt>
                <c:pt idx="297">
                  <c:v>13.423522048155872</c:v>
                </c:pt>
                <c:pt idx="298">
                  <c:v>13.423522048155872</c:v>
                </c:pt>
                <c:pt idx="299">
                  <c:v>13.423522048155872</c:v>
                </c:pt>
                <c:pt idx="300">
                  <c:v>13.423522048155872</c:v>
                </c:pt>
                <c:pt idx="301">
                  <c:v>13.423522048155872</c:v>
                </c:pt>
                <c:pt idx="302">
                  <c:v>13.423522048155872</c:v>
                </c:pt>
                <c:pt idx="303">
                  <c:v>13.423522048155872</c:v>
                </c:pt>
                <c:pt idx="304">
                  <c:v>13.423522048155872</c:v>
                </c:pt>
                <c:pt idx="305">
                  <c:v>13.423522048155872</c:v>
                </c:pt>
                <c:pt idx="306">
                  <c:v>13.423522048155872</c:v>
                </c:pt>
                <c:pt idx="307">
                  <c:v>13.423522048155872</c:v>
                </c:pt>
                <c:pt idx="308">
                  <c:v>13.423522048155872</c:v>
                </c:pt>
                <c:pt idx="309">
                  <c:v>13.423522048155872</c:v>
                </c:pt>
                <c:pt idx="310">
                  <c:v>13.423522048155872</c:v>
                </c:pt>
                <c:pt idx="311">
                  <c:v>13.423522048155872</c:v>
                </c:pt>
                <c:pt idx="312">
                  <c:v>13.423522048155872</c:v>
                </c:pt>
                <c:pt idx="313">
                  <c:v>13.423522048155872</c:v>
                </c:pt>
                <c:pt idx="314">
                  <c:v>13.423522048155872</c:v>
                </c:pt>
                <c:pt idx="315">
                  <c:v>13.423522048155872</c:v>
                </c:pt>
                <c:pt idx="316">
                  <c:v>13.423522048155872</c:v>
                </c:pt>
                <c:pt idx="317">
                  <c:v>13.423522048155872</c:v>
                </c:pt>
                <c:pt idx="318">
                  <c:v>13.423522048155872</c:v>
                </c:pt>
                <c:pt idx="319">
                  <c:v>13.423522048155872</c:v>
                </c:pt>
                <c:pt idx="320">
                  <c:v>13.423522048155872</c:v>
                </c:pt>
                <c:pt idx="321">
                  <c:v>13.423522048155872</c:v>
                </c:pt>
                <c:pt idx="322">
                  <c:v>13.423522048155872</c:v>
                </c:pt>
                <c:pt idx="323">
                  <c:v>13.423522048155872</c:v>
                </c:pt>
                <c:pt idx="324">
                  <c:v>13.423522048155872</c:v>
                </c:pt>
                <c:pt idx="325">
                  <c:v>13.423522048155872</c:v>
                </c:pt>
                <c:pt idx="326">
                  <c:v>13.423522048155872</c:v>
                </c:pt>
                <c:pt idx="327">
                  <c:v>13.423522048155872</c:v>
                </c:pt>
                <c:pt idx="328">
                  <c:v>13.423522048155872</c:v>
                </c:pt>
                <c:pt idx="329">
                  <c:v>13.423522048155872</c:v>
                </c:pt>
                <c:pt idx="330">
                  <c:v>13.423522048155872</c:v>
                </c:pt>
                <c:pt idx="331">
                  <c:v>13.423522048155872</c:v>
                </c:pt>
                <c:pt idx="332">
                  <c:v>13.423522048155872</c:v>
                </c:pt>
                <c:pt idx="333">
                  <c:v>13.423522048155872</c:v>
                </c:pt>
                <c:pt idx="334">
                  <c:v>13.423522048155872</c:v>
                </c:pt>
                <c:pt idx="335">
                  <c:v>13.423522048155872</c:v>
                </c:pt>
                <c:pt idx="336">
                  <c:v>13.423522048155872</c:v>
                </c:pt>
                <c:pt idx="337">
                  <c:v>13.423522048155872</c:v>
                </c:pt>
                <c:pt idx="338">
                  <c:v>13.423522048155872</c:v>
                </c:pt>
                <c:pt idx="339">
                  <c:v>13.423522048155872</c:v>
                </c:pt>
                <c:pt idx="340">
                  <c:v>13.423522048155872</c:v>
                </c:pt>
                <c:pt idx="341">
                  <c:v>13.423522048155872</c:v>
                </c:pt>
                <c:pt idx="342">
                  <c:v>13.423522048155872</c:v>
                </c:pt>
                <c:pt idx="343">
                  <c:v>13.423522048155872</c:v>
                </c:pt>
                <c:pt idx="344">
                  <c:v>13.423522048155872</c:v>
                </c:pt>
                <c:pt idx="345">
                  <c:v>13.423522048155872</c:v>
                </c:pt>
                <c:pt idx="346">
                  <c:v>13.423522048155872</c:v>
                </c:pt>
                <c:pt idx="347">
                  <c:v>13.423522048155872</c:v>
                </c:pt>
                <c:pt idx="348">
                  <c:v>13.423522048155872</c:v>
                </c:pt>
                <c:pt idx="349">
                  <c:v>13.423522048155872</c:v>
                </c:pt>
                <c:pt idx="350">
                  <c:v>13.423522048155872</c:v>
                </c:pt>
                <c:pt idx="351">
                  <c:v>13.423522048155872</c:v>
                </c:pt>
                <c:pt idx="352">
                  <c:v>13.423522048155872</c:v>
                </c:pt>
                <c:pt idx="353">
                  <c:v>13.423522048155872</c:v>
                </c:pt>
                <c:pt idx="354">
                  <c:v>13.423522048155872</c:v>
                </c:pt>
                <c:pt idx="355">
                  <c:v>13.423522048155872</c:v>
                </c:pt>
                <c:pt idx="356">
                  <c:v>13.423522048155872</c:v>
                </c:pt>
                <c:pt idx="357">
                  <c:v>13.423522048155872</c:v>
                </c:pt>
                <c:pt idx="358">
                  <c:v>13.423522048155872</c:v>
                </c:pt>
                <c:pt idx="359">
                  <c:v>13.423522048155872</c:v>
                </c:pt>
                <c:pt idx="360">
                  <c:v>13.423522048155872</c:v>
                </c:pt>
                <c:pt idx="361">
                  <c:v>13.423522048155872</c:v>
                </c:pt>
                <c:pt idx="362">
                  <c:v>13.423522048155872</c:v>
                </c:pt>
                <c:pt idx="363">
                  <c:v>13.423522048155872</c:v>
                </c:pt>
                <c:pt idx="364">
                  <c:v>13.423522048155872</c:v>
                </c:pt>
                <c:pt idx="365">
                  <c:v>13.423522048155872</c:v>
                </c:pt>
                <c:pt idx="366">
                  <c:v>13.423522048155872</c:v>
                </c:pt>
                <c:pt idx="367">
                  <c:v>13.423522048155872</c:v>
                </c:pt>
                <c:pt idx="368">
                  <c:v>13.423522048155872</c:v>
                </c:pt>
                <c:pt idx="369">
                  <c:v>13.423522048155872</c:v>
                </c:pt>
                <c:pt idx="370">
                  <c:v>13.423522048155872</c:v>
                </c:pt>
                <c:pt idx="371">
                  <c:v>13.423522048155872</c:v>
                </c:pt>
                <c:pt idx="372">
                  <c:v>13.423522048155872</c:v>
                </c:pt>
                <c:pt idx="373">
                  <c:v>13.423522048155872</c:v>
                </c:pt>
                <c:pt idx="374">
                  <c:v>13.423522048155872</c:v>
                </c:pt>
                <c:pt idx="375">
                  <c:v>13.423522048155872</c:v>
                </c:pt>
                <c:pt idx="376">
                  <c:v>13.423522048155872</c:v>
                </c:pt>
                <c:pt idx="377">
                  <c:v>13.423522048155872</c:v>
                </c:pt>
                <c:pt idx="378">
                  <c:v>13.423522048155872</c:v>
                </c:pt>
                <c:pt idx="379">
                  <c:v>13.423522048155872</c:v>
                </c:pt>
                <c:pt idx="380">
                  <c:v>13.423522048155872</c:v>
                </c:pt>
                <c:pt idx="381">
                  <c:v>13.423522048155872</c:v>
                </c:pt>
                <c:pt idx="382">
                  <c:v>13.423522048155872</c:v>
                </c:pt>
                <c:pt idx="383">
                  <c:v>13.423522048155872</c:v>
                </c:pt>
                <c:pt idx="384">
                  <c:v>13.423522048155872</c:v>
                </c:pt>
                <c:pt idx="385">
                  <c:v>13.423522048155872</c:v>
                </c:pt>
                <c:pt idx="386">
                  <c:v>13.423522048155872</c:v>
                </c:pt>
                <c:pt idx="387">
                  <c:v>13.423522048155872</c:v>
                </c:pt>
                <c:pt idx="388">
                  <c:v>13.423522048155872</c:v>
                </c:pt>
                <c:pt idx="389">
                  <c:v>13.423522048155872</c:v>
                </c:pt>
                <c:pt idx="390">
                  <c:v>13.423522048155872</c:v>
                </c:pt>
                <c:pt idx="391">
                  <c:v>13.423522048155872</c:v>
                </c:pt>
                <c:pt idx="392">
                  <c:v>13.423522048155872</c:v>
                </c:pt>
                <c:pt idx="393">
                  <c:v>13.423522048155872</c:v>
                </c:pt>
                <c:pt idx="394">
                  <c:v>13.423522048155872</c:v>
                </c:pt>
                <c:pt idx="395">
                  <c:v>13.423522048155872</c:v>
                </c:pt>
                <c:pt idx="396">
                  <c:v>13.423522048155872</c:v>
                </c:pt>
                <c:pt idx="397">
                  <c:v>13.423522048155872</c:v>
                </c:pt>
                <c:pt idx="398">
                  <c:v>13.423522048155872</c:v>
                </c:pt>
                <c:pt idx="399">
                  <c:v>13.423522048155872</c:v>
                </c:pt>
                <c:pt idx="400">
                  <c:v>13.423522048155872</c:v>
                </c:pt>
                <c:pt idx="401">
                  <c:v>13.423522048155872</c:v>
                </c:pt>
                <c:pt idx="402">
                  <c:v>13.423522048155872</c:v>
                </c:pt>
                <c:pt idx="403">
                  <c:v>13.423522048155872</c:v>
                </c:pt>
                <c:pt idx="404">
                  <c:v>13.423522048155872</c:v>
                </c:pt>
                <c:pt idx="405">
                  <c:v>13.423522048155872</c:v>
                </c:pt>
                <c:pt idx="406">
                  <c:v>13.423522048155872</c:v>
                </c:pt>
                <c:pt idx="407">
                  <c:v>13.423522048155872</c:v>
                </c:pt>
                <c:pt idx="408">
                  <c:v>13.423522048155872</c:v>
                </c:pt>
                <c:pt idx="409">
                  <c:v>13.423522048155872</c:v>
                </c:pt>
                <c:pt idx="410">
                  <c:v>13.423522048155872</c:v>
                </c:pt>
                <c:pt idx="411">
                  <c:v>13.423522048155872</c:v>
                </c:pt>
                <c:pt idx="412">
                  <c:v>13.423522048155872</c:v>
                </c:pt>
                <c:pt idx="413">
                  <c:v>13.423522048155872</c:v>
                </c:pt>
                <c:pt idx="414">
                  <c:v>13.423522048155872</c:v>
                </c:pt>
                <c:pt idx="415">
                  <c:v>13.423522048155872</c:v>
                </c:pt>
                <c:pt idx="416">
                  <c:v>13.423522048155872</c:v>
                </c:pt>
                <c:pt idx="417">
                  <c:v>13.423522048155872</c:v>
                </c:pt>
                <c:pt idx="418">
                  <c:v>13.423522048155872</c:v>
                </c:pt>
                <c:pt idx="419">
                  <c:v>13.423522048155872</c:v>
                </c:pt>
                <c:pt idx="420">
                  <c:v>13.423522048155872</c:v>
                </c:pt>
                <c:pt idx="421">
                  <c:v>13.423522048155872</c:v>
                </c:pt>
                <c:pt idx="422">
                  <c:v>13.423522048155872</c:v>
                </c:pt>
                <c:pt idx="423">
                  <c:v>13.423522048155872</c:v>
                </c:pt>
                <c:pt idx="424">
                  <c:v>13.423522048155872</c:v>
                </c:pt>
                <c:pt idx="425">
                  <c:v>13.423522048155872</c:v>
                </c:pt>
                <c:pt idx="426">
                  <c:v>13.423522048155872</c:v>
                </c:pt>
                <c:pt idx="427">
                  <c:v>13.423522048155872</c:v>
                </c:pt>
                <c:pt idx="428">
                  <c:v>13.423522048155872</c:v>
                </c:pt>
                <c:pt idx="429">
                  <c:v>13.423522048155872</c:v>
                </c:pt>
                <c:pt idx="430">
                  <c:v>13.423522048155872</c:v>
                </c:pt>
                <c:pt idx="431">
                  <c:v>13.423522048155872</c:v>
                </c:pt>
                <c:pt idx="432">
                  <c:v>13.423522048155872</c:v>
                </c:pt>
                <c:pt idx="433">
                  <c:v>13.423522048155872</c:v>
                </c:pt>
                <c:pt idx="434">
                  <c:v>13.423522048155872</c:v>
                </c:pt>
                <c:pt idx="435">
                  <c:v>13.423522048155872</c:v>
                </c:pt>
                <c:pt idx="436">
                  <c:v>13.423522048155872</c:v>
                </c:pt>
                <c:pt idx="437">
                  <c:v>13.423522048155872</c:v>
                </c:pt>
                <c:pt idx="438">
                  <c:v>13.423522048155872</c:v>
                </c:pt>
                <c:pt idx="439">
                  <c:v>13.423522048155872</c:v>
                </c:pt>
                <c:pt idx="440">
                  <c:v>13.423522048155872</c:v>
                </c:pt>
                <c:pt idx="441">
                  <c:v>13.423522048155872</c:v>
                </c:pt>
                <c:pt idx="442">
                  <c:v>13.423522048155872</c:v>
                </c:pt>
                <c:pt idx="443">
                  <c:v>13.423522048155872</c:v>
                </c:pt>
                <c:pt idx="444">
                  <c:v>13.423522048155872</c:v>
                </c:pt>
                <c:pt idx="445">
                  <c:v>13.423522048155872</c:v>
                </c:pt>
                <c:pt idx="446">
                  <c:v>13.423522048155872</c:v>
                </c:pt>
                <c:pt idx="447">
                  <c:v>13.423522048155872</c:v>
                </c:pt>
                <c:pt idx="448">
                  <c:v>13.423522048155872</c:v>
                </c:pt>
                <c:pt idx="449">
                  <c:v>13.423522048155872</c:v>
                </c:pt>
                <c:pt idx="450">
                  <c:v>13.423522048155872</c:v>
                </c:pt>
                <c:pt idx="451">
                  <c:v>13.423522048155872</c:v>
                </c:pt>
                <c:pt idx="452">
                  <c:v>13.423522048155872</c:v>
                </c:pt>
                <c:pt idx="453">
                  <c:v>13.423522048155872</c:v>
                </c:pt>
                <c:pt idx="454">
                  <c:v>13.423522048155872</c:v>
                </c:pt>
                <c:pt idx="455">
                  <c:v>13.423522048155872</c:v>
                </c:pt>
                <c:pt idx="456">
                  <c:v>13.423522048155872</c:v>
                </c:pt>
                <c:pt idx="457">
                  <c:v>13.423522048155872</c:v>
                </c:pt>
                <c:pt idx="458">
                  <c:v>13.423522048155872</c:v>
                </c:pt>
                <c:pt idx="459">
                  <c:v>13.423522048155872</c:v>
                </c:pt>
                <c:pt idx="460">
                  <c:v>13.423522048155872</c:v>
                </c:pt>
                <c:pt idx="461">
                  <c:v>13.423522048155872</c:v>
                </c:pt>
                <c:pt idx="462">
                  <c:v>13.423522048155872</c:v>
                </c:pt>
                <c:pt idx="463">
                  <c:v>13.423522048155872</c:v>
                </c:pt>
                <c:pt idx="464">
                  <c:v>13.423522048155872</c:v>
                </c:pt>
                <c:pt idx="465">
                  <c:v>13.423522048155872</c:v>
                </c:pt>
                <c:pt idx="466">
                  <c:v>13.423522048155872</c:v>
                </c:pt>
                <c:pt idx="467">
                  <c:v>13.423522048155872</c:v>
                </c:pt>
                <c:pt idx="468">
                  <c:v>13.423522048155872</c:v>
                </c:pt>
                <c:pt idx="469">
                  <c:v>13.423522048155872</c:v>
                </c:pt>
                <c:pt idx="470">
                  <c:v>13.423522048155872</c:v>
                </c:pt>
                <c:pt idx="471">
                  <c:v>13.423522048155872</c:v>
                </c:pt>
                <c:pt idx="472">
                  <c:v>13.423522048155872</c:v>
                </c:pt>
                <c:pt idx="473">
                  <c:v>13.423522048155872</c:v>
                </c:pt>
                <c:pt idx="474">
                  <c:v>13.423522048155872</c:v>
                </c:pt>
                <c:pt idx="475">
                  <c:v>13.423522048155872</c:v>
                </c:pt>
                <c:pt idx="476">
                  <c:v>13.423522048155872</c:v>
                </c:pt>
                <c:pt idx="477">
                  <c:v>13.423522048155872</c:v>
                </c:pt>
                <c:pt idx="478">
                  <c:v>13.423522048155872</c:v>
                </c:pt>
                <c:pt idx="479">
                  <c:v>13.423522048155872</c:v>
                </c:pt>
                <c:pt idx="480">
                  <c:v>13.423522048155872</c:v>
                </c:pt>
                <c:pt idx="481">
                  <c:v>13.423522048155872</c:v>
                </c:pt>
                <c:pt idx="482">
                  <c:v>13.423522048155872</c:v>
                </c:pt>
                <c:pt idx="483">
                  <c:v>13.423522048155872</c:v>
                </c:pt>
                <c:pt idx="484">
                  <c:v>13.423522048155872</c:v>
                </c:pt>
                <c:pt idx="485">
                  <c:v>13.423522048155872</c:v>
                </c:pt>
                <c:pt idx="486">
                  <c:v>13.423522048155872</c:v>
                </c:pt>
                <c:pt idx="487">
                  <c:v>13.423522048155872</c:v>
                </c:pt>
                <c:pt idx="488">
                  <c:v>13.423522048155872</c:v>
                </c:pt>
                <c:pt idx="489">
                  <c:v>13.423522048155872</c:v>
                </c:pt>
                <c:pt idx="490">
                  <c:v>13.423522048155872</c:v>
                </c:pt>
                <c:pt idx="491">
                  <c:v>13.423522048155872</c:v>
                </c:pt>
                <c:pt idx="492">
                  <c:v>13.423522048155872</c:v>
                </c:pt>
                <c:pt idx="493">
                  <c:v>13.423522048155872</c:v>
                </c:pt>
                <c:pt idx="494">
                  <c:v>13.423522048155872</c:v>
                </c:pt>
                <c:pt idx="495">
                  <c:v>13.423522048155872</c:v>
                </c:pt>
                <c:pt idx="496">
                  <c:v>13.423522048155872</c:v>
                </c:pt>
                <c:pt idx="497">
                  <c:v>13.423522048155872</c:v>
                </c:pt>
                <c:pt idx="498">
                  <c:v>13.423522048155872</c:v>
                </c:pt>
                <c:pt idx="499">
                  <c:v>13.423522048155872</c:v>
                </c:pt>
                <c:pt idx="500">
                  <c:v>13.423522048155872</c:v>
                </c:pt>
                <c:pt idx="501">
                  <c:v>13.423522048155872</c:v>
                </c:pt>
                <c:pt idx="502">
                  <c:v>13.423522048155872</c:v>
                </c:pt>
                <c:pt idx="503">
                  <c:v>13.423522048155872</c:v>
                </c:pt>
                <c:pt idx="504">
                  <c:v>13.423522048155872</c:v>
                </c:pt>
                <c:pt idx="505">
                  <c:v>13.423522048155872</c:v>
                </c:pt>
                <c:pt idx="506">
                  <c:v>13.423522048155872</c:v>
                </c:pt>
                <c:pt idx="507">
                  <c:v>13.423522048155872</c:v>
                </c:pt>
                <c:pt idx="508">
                  <c:v>13.423522048155872</c:v>
                </c:pt>
                <c:pt idx="509">
                  <c:v>13.423522048155872</c:v>
                </c:pt>
                <c:pt idx="510">
                  <c:v>13.423522048155872</c:v>
                </c:pt>
                <c:pt idx="511">
                  <c:v>13.423522048155872</c:v>
                </c:pt>
                <c:pt idx="512">
                  <c:v>13.423522048155872</c:v>
                </c:pt>
                <c:pt idx="513">
                  <c:v>13.423522048155872</c:v>
                </c:pt>
                <c:pt idx="514">
                  <c:v>13.423522048155872</c:v>
                </c:pt>
                <c:pt idx="515">
                  <c:v>13.423522048155872</c:v>
                </c:pt>
                <c:pt idx="516">
                  <c:v>13.423522048155872</c:v>
                </c:pt>
                <c:pt idx="517">
                  <c:v>13.423522048155872</c:v>
                </c:pt>
                <c:pt idx="518">
                  <c:v>13.423522048155872</c:v>
                </c:pt>
                <c:pt idx="519">
                  <c:v>13.423522048155872</c:v>
                </c:pt>
                <c:pt idx="520">
                  <c:v>13.423522048155872</c:v>
                </c:pt>
                <c:pt idx="521">
                  <c:v>13.423522048155872</c:v>
                </c:pt>
                <c:pt idx="522">
                  <c:v>13.423522048155872</c:v>
                </c:pt>
                <c:pt idx="523">
                  <c:v>13.423522048155872</c:v>
                </c:pt>
                <c:pt idx="524">
                  <c:v>13.423522048155872</c:v>
                </c:pt>
                <c:pt idx="525">
                  <c:v>13.423522048155872</c:v>
                </c:pt>
                <c:pt idx="526">
                  <c:v>13.423522048155872</c:v>
                </c:pt>
                <c:pt idx="527">
                  <c:v>13.423522048155872</c:v>
                </c:pt>
                <c:pt idx="528">
                  <c:v>13.423522048155872</c:v>
                </c:pt>
                <c:pt idx="529">
                  <c:v>13.423522048155872</c:v>
                </c:pt>
                <c:pt idx="530">
                  <c:v>13.423522048155872</c:v>
                </c:pt>
                <c:pt idx="531">
                  <c:v>13.423522048155872</c:v>
                </c:pt>
                <c:pt idx="532">
                  <c:v>13.423522048155872</c:v>
                </c:pt>
                <c:pt idx="533">
                  <c:v>13.423522048155872</c:v>
                </c:pt>
                <c:pt idx="534">
                  <c:v>13.423522048155872</c:v>
                </c:pt>
                <c:pt idx="535">
                  <c:v>13.423522048155872</c:v>
                </c:pt>
                <c:pt idx="536">
                  <c:v>13.423522048155872</c:v>
                </c:pt>
                <c:pt idx="537">
                  <c:v>13.423522048155872</c:v>
                </c:pt>
                <c:pt idx="538">
                  <c:v>13.423522048155872</c:v>
                </c:pt>
                <c:pt idx="539">
                  <c:v>13.423522048155872</c:v>
                </c:pt>
                <c:pt idx="540">
                  <c:v>13.423522048155872</c:v>
                </c:pt>
                <c:pt idx="541">
                  <c:v>13.423522048155872</c:v>
                </c:pt>
                <c:pt idx="542">
                  <c:v>13.423522048155872</c:v>
                </c:pt>
                <c:pt idx="543">
                  <c:v>13.423522048155872</c:v>
                </c:pt>
                <c:pt idx="544">
                  <c:v>13.423522048155872</c:v>
                </c:pt>
                <c:pt idx="545">
                  <c:v>13.423522048155872</c:v>
                </c:pt>
                <c:pt idx="546">
                  <c:v>13.423522048155872</c:v>
                </c:pt>
                <c:pt idx="547">
                  <c:v>13.423522048155872</c:v>
                </c:pt>
                <c:pt idx="548">
                  <c:v>13.423522048155872</c:v>
                </c:pt>
                <c:pt idx="549">
                  <c:v>13.423522048155872</c:v>
                </c:pt>
                <c:pt idx="550">
                  <c:v>13.423522048155872</c:v>
                </c:pt>
                <c:pt idx="551">
                  <c:v>13.423522048155872</c:v>
                </c:pt>
                <c:pt idx="552">
                  <c:v>13.423522048155872</c:v>
                </c:pt>
                <c:pt idx="553">
                  <c:v>13.423522048155872</c:v>
                </c:pt>
                <c:pt idx="554">
                  <c:v>13.423522048155872</c:v>
                </c:pt>
                <c:pt idx="555">
                  <c:v>13.423522048155872</c:v>
                </c:pt>
                <c:pt idx="556">
                  <c:v>13.423522048155872</c:v>
                </c:pt>
                <c:pt idx="557">
                  <c:v>13.423522048155872</c:v>
                </c:pt>
                <c:pt idx="558">
                  <c:v>13.423522048155872</c:v>
                </c:pt>
                <c:pt idx="559">
                  <c:v>13.423522048155872</c:v>
                </c:pt>
                <c:pt idx="560">
                  <c:v>13.423522048155872</c:v>
                </c:pt>
                <c:pt idx="561">
                  <c:v>13.423522048155872</c:v>
                </c:pt>
                <c:pt idx="562">
                  <c:v>13.423522048155872</c:v>
                </c:pt>
                <c:pt idx="563">
                  <c:v>13.423522048155872</c:v>
                </c:pt>
                <c:pt idx="564">
                  <c:v>13.423522048155872</c:v>
                </c:pt>
                <c:pt idx="565">
                  <c:v>13.423522048155872</c:v>
                </c:pt>
                <c:pt idx="566">
                  <c:v>13.423522048155872</c:v>
                </c:pt>
                <c:pt idx="567">
                  <c:v>13.423522048155872</c:v>
                </c:pt>
                <c:pt idx="568">
                  <c:v>13.423522048155872</c:v>
                </c:pt>
                <c:pt idx="569">
                  <c:v>13.423522048155872</c:v>
                </c:pt>
                <c:pt idx="570">
                  <c:v>13.423522048155872</c:v>
                </c:pt>
                <c:pt idx="571">
                  <c:v>13.423522048155872</c:v>
                </c:pt>
                <c:pt idx="572">
                  <c:v>13.423522048155872</c:v>
                </c:pt>
                <c:pt idx="573">
                  <c:v>13.423522048155872</c:v>
                </c:pt>
                <c:pt idx="574">
                  <c:v>13.423522048155872</c:v>
                </c:pt>
                <c:pt idx="575">
                  <c:v>13.423522048155872</c:v>
                </c:pt>
                <c:pt idx="576">
                  <c:v>13.423522048155872</c:v>
                </c:pt>
                <c:pt idx="577">
                  <c:v>13.423522048155872</c:v>
                </c:pt>
                <c:pt idx="578">
                  <c:v>13.423522048155872</c:v>
                </c:pt>
                <c:pt idx="579">
                  <c:v>13.423522048155872</c:v>
                </c:pt>
                <c:pt idx="580">
                  <c:v>13.423522048155872</c:v>
                </c:pt>
                <c:pt idx="581">
                  <c:v>13.423522048155872</c:v>
                </c:pt>
                <c:pt idx="582">
                  <c:v>13.423522048155872</c:v>
                </c:pt>
                <c:pt idx="583">
                  <c:v>13.423522048155872</c:v>
                </c:pt>
                <c:pt idx="584">
                  <c:v>13.423522048155872</c:v>
                </c:pt>
                <c:pt idx="585">
                  <c:v>13.423522048155872</c:v>
                </c:pt>
                <c:pt idx="586">
                  <c:v>13.423522048155872</c:v>
                </c:pt>
                <c:pt idx="587">
                  <c:v>13.423522048155872</c:v>
                </c:pt>
                <c:pt idx="588">
                  <c:v>13.423522048155872</c:v>
                </c:pt>
                <c:pt idx="589">
                  <c:v>13.423522048155872</c:v>
                </c:pt>
                <c:pt idx="590">
                  <c:v>13.423522048155872</c:v>
                </c:pt>
                <c:pt idx="591">
                  <c:v>13.423522048155872</c:v>
                </c:pt>
                <c:pt idx="592">
                  <c:v>13.423522048155872</c:v>
                </c:pt>
                <c:pt idx="593">
                  <c:v>13.423522048155872</c:v>
                </c:pt>
                <c:pt idx="594">
                  <c:v>13.423522048155872</c:v>
                </c:pt>
                <c:pt idx="595">
                  <c:v>13.423522048155872</c:v>
                </c:pt>
                <c:pt idx="596">
                  <c:v>13.423522048155872</c:v>
                </c:pt>
                <c:pt idx="597">
                  <c:v>13.423522048155872</c:v>
                </c:pt>
                <c:pt idx="598">
                  <c:v>13.423522048155872</c:v>
                </c:pt>
                <c:pt idx="599">
                  <c:v>13.423522048155872</c:v>
                </c:pt>
                <c:pt idx="600">
                  <c:v>13.423522048155872</c:v>
                </c:pt>
                <c:pt idx="601">
                  <c:v>13.423522048155872</c:v>
                </c:pt>
                <c:pt idx="602">
                  <c:v>13.423522048155872</c:v>
                </c:pt>
                <c:pt idx="603">
                  <c:v>13.423522048155872</c:v>
                </c:pt>
                <c:pt idx="604">
                  <c:v>13.423522048155872</c:v>
                </c:pt>
                <c:pt idx="605">
                  <c:v>13.423522048155872</c:v>
                </c:pt>
                <c:pt idx="606">
                  <c:v>13.423522048155872</c:v>
                </c:pt>
                <c:pt idx="607">
                  <c:v>13.423522048155872</c:v>
                </c:pt>
                <c:pt idx="608">
                  <c:v>13.423522048155872</c:v>
                </c:pt>
                <c:pt idx="609">
                  <c:v>13.423522048155872</c:v>
                </c:pt>
                <c:pt idx="610">
                  <c:v>13.423522048155872</c:v>
                </c:pt>
                <c:pt idx="611">
                  <c:v>13.423522048155872</c:v>
                </c:pt>
                <c:pt idx="612">
                  <c:v>13.423522048155872</c:v>
                </c:pt>
                <c:pt idx="613">
                  <c:v>13.423522048155872</c:v>
                </c:pt>
                <c:pt idx="614">
                  <c:v>13.423522048155872</c:v>
                </c:pt>
                <c:pt idx="615">
                  <c:v>13.423522048155872</c:v>
                </c:pt>
                <c:pt idx="616">
                  <c:v>13.423522048155872</c:v>
                </c:pt>
                <c:pt idx="617">
                  <c:v>13.423522048155872</c:v>
                </c:pt>
                <c:pt idx="618">
                  <c:v>13.423522048155872</c:v>
                </c:pt>
                <c:pt idx="619">
                  <c:v>13.423522048155872</c:v>
                </c:pt>
                <c:pt idx="620">
                  <c:v>13.423522048155872</c:v>
                </c:pt>
                <c:pt idx="621">
                  <c:v>13.423522048155872</c:v>
                </c:pt>
                <c:pt idx="622">
                  <c:v>13.423522048155872</c:v>
                </c:pt>
                <c:pt idx="623">
                  <c:v>13.423522048155872</c:v>
                </c:pt>
                <c:pt idx="624">
                  <c:v>13.423522048155872</c:v>
                </c:pt>
                <c:pt idx="625">
                  <c:v>13.423522048155872</c:v>
                </c:pt>
                <c:pt idx="626">
                  <c:v>13.423522048155872</c:v>
                </c:pt>
                <c:pt idx="627">
                  <c:v>13.423522048155872</c:v>
                </c:pt>
                <c:pt idx="628">
                  <c:v>13.423522048155872</c:v>
                </c:pt>
                <c:pt idx="629">
                  <c:v>13.423522048155872</c:v>
                </c:pt>
                <c:pt idx="630">
                  <c:v>13.423522048155872</c:v>
                </c:pt>
                <c:pt idx="631">
                  <c:v>13.423522048155872</c:v>
                </c:pt>
                <c:pt idx="632">
                  <c:v>13.423522048155872</c:v>
                </c:pt>
                <c:pt idx="633">
                  <c:v>13.423522048155872</c:v>
                </c:pt>
                <c:pt idx="634">
                  <c:v>13.423522048155872</c:v>
                </c:pt>
                <c:pt idx="635">
                  <c:v>13.423522048155872</c:v>
                </c:pt>
                <c:pt idx="636">
                  <c:v>13.423522048155872</c:v>
                </c:pt>
                <c:pt idx="637">
                  <c:v>13.423522048155872</c:v>
                </c:pt>
                <c:pt idx="638">
                  <c:v>13.423522048155872</c:v>
                </c:pt>
                <c:pt idx="639">
                  <c:v>13.423522048155872</c:v>
                </c:pt>
                <c:pt idx="640">
                  <c:v>13.423522048155872</c:v>
                </c:pt>
                <c:pt idx="641">
                  <c:v>13.423522048155872</c:v>
                </c:pt>
                <c:pt idx="642">
                  <c:v>13.423522048155872</c:v>
                </c:pt>
                <c:pt idx="643">
                  <c:v>13.423522048155872</c:v>
                </c:pt>
                <c:pt idx="644">
                  <c:v>13.423522048155872</c:v>
                </c:pt>
                <c:pt idx="645">
                  <c:v>13.423522048155872</c:v>
                </c:pt>
                <c:pt idx="646">
                  <c:v>13.423522048155872</c:v>
                </c:pt>
                <c:pt idx="647">
                  <c:v>13.423522048155872</c:v>
                </c:pt>
                <c:pt idx="648">
                  <c:v>13.423522048155872</c:v>
                </c:pt>
                <c:pt idx="649">
                  <c:v>13.423522048155872</c:v>
                </c:pt>
                <c:pt idx="650">
                  <c:v>13.423522048155872</c:v>
                </c:pt>
                <c:pt idx="651">
                  <c:v>13.423522048155872</c:v>
                </c:pt>
                <c:pt idx="652">
                  <c:v>13.423522048155872</c:v>
                </c:pt>
                <c:pt idx="653">
                  <c:v>13.423522048155872</c:v>
                </c:pt>
                <c:pt idx="654">
                  <c:v>13.423522048155872</c:v>
                </c:pt>
                <c:pt idx="655">
                  <c:v>13.423522048155872</c:v>
                </c:pt>
                <c:pt idx="656">
                  <c:v>13.423522048155872</c:v>
                </c:pt>
                <c:pt idx="657">
                  <c:v>13.423522048155872</c:v>
                </c:pt>
                <c:pt idx="658">
                  <c:v>13.423522048155872</c:v>
                </c:pt>
                <c:pt idx="659">
                  <c:v>13.423522048155872</c:v>
                </c:pt>
                <c:pt idx="660">
                  <c:v>13.423522048155872</c:v>
                </c:pt>
                <c:pt idx="661">
                  <c:v>13.423522048155872</c:v>
                </c:pt>
                <c:pt idx="662">
                  <c:v>13.423522048155872</c:v>
                </c:pt>
                <c:pt idx="663">
                  <c:v>13.423522048155872</c:v>
                </c:pt>
                <c:pt idx="664">
                  <c:v>13.423522048155872</c:v>
                </c:pt>
                <c:pt idx="665">
                  <c:v>13.423522048155872</c:v>
                </c:pt>
                <c:pt idx="666">
                  <c:v>13.423522048155872</c:v>
                </c:pt>
                <c:pt idx="667">
                  <c:v>13.423522048155872</c:v>
                </c:pt>
                <c:pt idx="668">
                  <c:v>13.423522048155872</c:v>
                </c:pt>
                <c:pt idx="669">
                  <c:v>13.423522048155872</c:v>
                </c:pt>
                <c:pt idx="670">
                  <c:v>13.423522048155872</c:v>
                </c:pt>
                <c:pt idx="671">
                  <c:v>13.423522048155872</c:v>
                </c:pt>
                <c:pt idx="672">
                  <c:v>13.423522048155872</c:v>
                </c:pt>
                <c:pt idx="673">
                  <c:v>13.423522048155872</c:v>
                </c:pt>
                <c:pt idx="674">
                  <c:v>13.423522048155872</c:v>
                </c:pt>
                <c:pt idx="675">
                  <c:v>13.423522048155872</c:v>
                </c:pt>
                <c:pt idx="676">
                  <c:v>13.423522048155872</c:v>
                </c:pt>
                <c:pt idx="677">
                  <c:v>13.423522048155872</c:v>
                </c:pt>
                <c:pt idx="678">
                  <c:v>13.423522048155872</c:v>
                </c:pt>
                <c:pt idx="679">
                  <c:v>13.423522048155872</c:v>
                </c:pt>
                <c:pt idx="680">
                  <c:v>13.423522048155872</c:v>
                </c:pt>
                <c:pt idx="681">
                  <c:v>13.423522048155872</c:v>
                </c:pt>
                <c:pt idx="682">
                  <c:v>13.423522048155872</c:v>
                </c:pt>
                <c:pt idx="683">
                  <c:v>13.423522048155872</c:v>
                </c:pt>
                <c:pt idx="684">
                  <c:v>13.423522048155872</c:v>
                </c:pt>
                <c:pt idx="685">
                  <c:v>13.423522048155872</c:v>
                </c:pt>
                <c:pt idx="686">
                  <c:v>13.423522048155872</c:v>
                </c:pt>
                <c:pt idx="687">
                  <c:v>13.423522048155872</c:v>
                </c:pt>
                <c:pt idx="688">
                  <c:v>13.423522048155872</c:v>
                </c:pt>
                <c:pt idx="689">
                  <c:v>13.423522048155872</c:v>
                </c:pt>
                <c:pt idx="690">
                  <c:v>13.423522048155872</c:v>
                </c:pt>
                <c:pt idx="691">
                  <c:v>13.423522048155872</c:v>
                </c:pt>
                <c:pt idx="692">
                  <c:v>13.423522048155872</c:v>
                </c:pt>
                <c:pt idx="693">
                  <c:v>13.423522048155872</c:v>
                </c:pt>
                <c:pt idx="694">
                  <c:v>13.423522048155872</c:v>
                </c:pt>
                <c:pt idx="695">
                  <c:v>13.423522048155872</c:v>
                </c:pt>
                <c:pt idx="696">
                  <c:v>13.423522048155872</c:v>
                </c:pt>
                <c:pt idx="697">
                  <c:v>13.423522048155872</c:v>
                </c:pt>
                <c:pt idx="698">
                  <c:v>13.423522048155872</c:v>
                </c:pt>
                <c:pt idx="699">
                  <c:v>13.423522048155872</c:v>
                </c:pt>
                <c:pt idx="700">
                  <c:v>13.423522048155872</c:v>
                </c:pt>
                <c:pt idx="701">
                  <c:v>13.423522048155872</c:v>
                </c:pt>
                <c:pt idx="702">
                  <c:v>13.423522048155872</c:v>
                </c:pt>
                <c:pt idx="703">
                  <c:v>13.423522048155872</c:v>
                </c:pt>
                <c:pt idx="704">
                  <c:v>13.423522048155872</c:v>
                </c:pt>
                <c:pt idx="705">
                  <c:v>13.423522048155872</c:v>
                </c:pt>
                <c:pt idx="706">
                  <c:v>13.423522048155872</c:v>
                </c:pt>
                <c:pt idx="707">
                  <c:v>13.423522048155872</c:v>
                </c:pt>
                <c:pt idx="708">
                  <c:v>13.423522048155872</c:v>
                </c:pt>
                <c:pt idx="709">
                  <c:v>13.423522048155872</c:v>
                </c:pt>
                <c:pt idx="710">
                  <c:v>13.423522048155872</c:v>
                </c:pt>
                <c:pt idx="711">
                  <c:v>13.423522048155872</c:v>
                </c:pt>
                <c:pt idx="712">
                  <c:v>13.423522048155872</c:v>
                </c:pt>
                <c:pt idx="713">
                  <c:v>13.423522048155872</c:v>
                </c:pt>
                <c:pt idx="714">
                  <c:v>13.423522048155872</c:v>
                </c:pt>
                <c:pt idx="715">
                  <c:v>13.423522048155872</c:v>
                </c:pt>
                <c:pt idx="716">
                  <c:v>13.423522048155872</c:v>
                </c:pt>
                <c:pt idx="717">
                  <c:v>13.423522048155872</c:v>
                </c:pt>
                <c:pt idx="718">
                  <c:v>13.423522048155872</c:v>
                </c:pt>
                <c:pt idx="719">
                  <c:v>13.423522048155872</c:v>
                </c:pt>
                <c:pt idx="720">
                  <c:v>13.423522048155872</c:v>
                </c:pt>
                <c:pt idx="721">
                  <c:v>13.423522048155872</c:v>
                </c:pt>
                <c:pt idx="722">
                  <c:v>13.423522048155872</c:v>
                </c:pt>
                <c:pt idx="723">
                  <c:v>13.423522048155872</c:v>
                </c:pt>
                <c:pt idx="724">
                  <c:v>13.423522048155872</c:v>
                </c:pt>
                <c:pt idx="725">
                  <c:v>13.423522048155872</c:v>
                </c:pt>
                <c:pt idx="726">
                  <c:v>13.423522048155872</c:v>
                </c:pt>
                <c:pt idx="727">
                  <c:v>13.423522048155872</c:v>
                </c:pt>
                <c:pt idx="728">
                  <c:v>13.423522048155872</c:v>
                </c:pt>
                <c:pt idx="729">
                  <c:v>13.423522048155872</c:v>
                </c:pt>
                <c:pt idx="730">
                  <c:v>13.423522048155872</c:v>
                </c:pt>
                <c:pt idx="731">
                  <c:v>13.423522048155872</c:v>
                </c:pt>
                <c:pt idx="732">
                  <c:v>13.423522048155872</c:v>
                </c:pt>
                <c:pt idx="733">
                  <c:v>13.423522048155872</c:v>
                </c:pt>
                <c:pt idx="734">
                  <c:v>13.423522048155872</c:v>
                </c:pt>
                <c:pt idx="735">
                  <c:v>13.423522048155872</c:v>
                </c:pt>
                <c:pt idx="736">
                  <c:v>13.423522048155872</c:v>
                </c:pt>
                <c:pt idx="737">
                  <c:v>13.423522048155872</c:v>
                </c:pt>
                <c:pt idx="738">
                  <c:v>13.423522048155872</c:v>
                </c:pt>
                <c:pt idx="739">
                  <c:v>13.423522048155872</c:v>
                </c:pt>
                <c:pt idx="740">
                  <c:v>13.423522048155872</c:v>
                </c:pt>
                <c:pt idx="741">
                  <c:v>13.423522048155872</c:v>
                </c:pt>
                <c:pt idx="742">
                  <c:v>13.423522048155872</c:v>
                </c:pt>
                <c:pt idx="743">
                  <c:v>13.423522048155872</c:v>
                </c:pt>
                <c:pt idx="744">
                  <c:v>13.423522048155872</c:v>
                </c:pt>
                <c:pt idx="745">
                  <c:v>13.423522048155872</c:v>
                </c:pt>
                <c:pt idx="746">
                  <c:v>13.423522048155872</c:v>
                </c:pt>
                <c:pt idx="747">
                  <c:v>13.423522048155872</c:v>
                </c:pt>
                <c:pt idx="748">
                  <c:v>13.423522048155872</c:v>
                </c:pt>
                <c:pt idx="749">
                  <c:v>13.423522048155872</c:v>
                </c:pt>
                <c:pt idx="750">
                  <c:v>13.423522048155872</c:v>
                </c:pt>
                <c:pt idx="751">
                  <c:v>13.423522048155872</c:v>
                </c:pt>
                <c:pt idx="752">
                  <c:v>13.423522048155872</c:v>
                </c:pt>
                <c:pt idx="753">
                  <c:v>13.423522048155872</c:v>
                </c:pt>
                <c:pt idx="754">
                  <c:v>13.423522048155872</c:v>
                </c:pt>
                <c:pt idx="755">
                  <c:v>13.423522048155872</c:v>
                </c:pt>
                <c:pt idx="756">
                  <c:v>13.423522048155872</c:v>
                </c:pt>
                <c:pt idx="757">
                  <c:v>13.423522048155872</c:v>
                </c:pt>
                <c:pt idx="758">
                  <c:v>13.423522048155872</c:v>
                </c:pt>
                <c:pt idx="759">
                  <c:v>13.423522048155872</c:v>
                </c:pt>
                <c:pt idx="760">
                  <c:v>13.423522048155872</c:v>
                </c:pt>
                <c:pt idx="761">
                  <c:v>13.423522048155872</c:v>
                </c:pt>
                <c:pt idx="762">
                  <c:v>13.423522048155872</c:v>
                </c:pt>
                <c:pt idx="763">
                  <c:v>13.423522048155872</c:v>
                </c:pt>
                <c:pt idx="764">
                  <c:v>13.423522048155872</c:v>
                </c:pt>
                <c:pt idx="765">
                  <c:v>13.423522048155872</c:v>
                </c:pt>
                <c:pt idx="766">
                  <c:v>13.423522048155872</c:v>
                </c:pt>
                <c:pt idx="767">
                  <c:v>13.423522048155872</c:v>
                </c:pt>
                <c:pt idx="768">
                  <c:v>13.423522048155872</c:v>
                </c:pt>
                <c:pt idx="769">
                  <c:v>13.423522048155872</c:v>
                </c:pt>
                <c:pt idx="770">
                  <c:v>13.423522048155872</c:v>
                </c:pt>
                <c:pt idx="771">
                  <c:v>13.423522048155872</c:v>
                </c:pt>
                <c:pt idx="772">
                  <c:v>13.423522048155872</c:v>
                </c:pt>
                <c:pt idx="773">
                  <c:v>13.423522048155872</c:v>
                </c:pt>
                <c:pt idx="774">
                  <c:v>13.423522048155872</c:v>
                </c:pt>
                <c:pt idx="775">
                  <c:v>13.423522048155872</c:v>
                </c:pt>
                <c:pt idx="776">
                  <c:v>13.423522048155872</c:v>
                </c:pt>
                <c:pt idx="777">
                  <c:v>13.423522048155872</c:v>
                </c:pt>
                <c:pt idx="778">
                  <c:v>13.423522048155872</c:v>
                </c:pt>
                <c:pt idx="779">
                  <c:v>13.423522048155872</c:v>
                </c:pt>
                <c:pt idx="780">
                  <c:v>13.423522048155872</c:v>
                </c:pt>
                <c:pt idx="781">
                  <c:v>13.423522048155872</c:v>
                </c:pt>
                <c:pt idx="782">
                  <c:v>13.423522048155872</c:v>
                </c:pt>
                <c:pt idx="783">
                  <c:v>13.423522048155872</c:v>
                </c:pt>
                <c:pt idx="784">
                  <c:v>13.423522048155872</c:v>
                </c:pt>
                <c:pt idx="785">
                  <c:v>13.423522048155872</c:v>
                </c:pt>
                <c:pt idx="786">
                  <c:v>13.423522048155872</c:v>
                </c:pt>
                <c:pt idx="787">
                  <c:v>13.423522048155872</c:v>
                </c:pt>
                <c:pt idx="788">
                  <c:v>13.423522048155872</c:v>
                </c:pt>
                <c:pt idx="789">
                  <c:v>13.423522048155872</c:v>
                </c:pt>
                <c:pt idx="790">
                  <c:v>13.423522048155872</c:v>
                </c:pt>
                <c:pt idx="791">
                  <c:v>13.423522048155872</c:v>
                </c:pt>
                <c:pt idx="792">
                  <c:v>13.423522048155872</c:v>
                </c:pt>
                <c:pt idx="793">
                  <c:v>13.423522048155872</c:v>
                </c:pt>
                <c:pt idx="794">
                  <c:v>13.423522048155872</c:v>
                </c:pt>
                <c:pt idx="795">
                  <c:v>13.423522048155872</c:v>
                </c:pt>
                <c:pt idx="796">
                  <c:v>13.423522048155872</c:v>
                </c:pt>
                <c:pt idx="797">
                  <c:v>13.423522048155872</c:v>
                </c:pt>
                <c:pt idx="798">
                  <c:v>13.423522048155872</c:v>
                </c:pt>
                <c:pt idx="799">
                  <c:v>13.423522048155872</c:v>
                </c:pt>
                <c:pt idx="800">
                  <c:v>13.423522048155872</c:v>
                </c:pt>
                <c:pt idx="801">
                  <c:v>13.423522048155872</c:v>
                </c:pt>
                <c:pt idx="802">
                  <c:v>13.423522048155872</c:v>
                </c:pt>
                <c:pt idx="803">
                  <c:v>13.423522048155872</c:v>
                </c:pt>
                <c:pt idx="804">
                  <c:v>13.423522048155872</c:v>
                </c:pt>
                <c:pt idx="805">
                  <c:v>13.423522048155872</c:v>
                </c:pt>
                <c:pt idx="806">
                  <c:v>13.423522048155872</c:v>
                </c:pt>
                <c:pt idx="807">
                  <c:v>13.423522048155872</c:v>
                </c:pt>
                <c:pt idx="808">
                  <c:v>13.423522048155872</c:v>
                </c:pt>
                <c:pt idx="809">
                  <c:v>13.423522048155872</c:v>
                </c:pt>
                <c:pt idx="810">
                  <c:v>13.423522048155872</c:v>
                </c:pt>
                <c:pt idx="811">
                  <c:v>13.423522048155872</c:v>
                </c:pt>
                <c:pt idx="812">
                  <c:v>13.423522048155872</c:v>
                </c:pt>
                <c:pt idx="813">
                  <c:v>13.423522048155872</c:v>
                </c:pt>
                <c:pt idx="814">
                  <c:v>13.423522048155872</c:v>
                </c:pt>
                <c:pt idx="815">
                  <c:v>13.423522048155872</c:v>
                </c:pt>
                <c:pt idx="816">
                  <c:v>13.423522048155872</c:v>
                </c:pt>
                <c:pt idx="817">
                  <c:v>13.423522048155872</c:v>
                </c:pt>
                <c:pt idx="818">
                  <c:v>13.423522048155872</c:v>
                </c:pt>
                <c:pt idx="819">
                  <c:v>13.423522048155872</c:v>
                </c:pt>
                <c:pt idx="820">
                  <c:v>13.423522048155872</c:v>
                </c:pt>
                <c:pt idx="821">
                  <c:v>13.423522048155872</c:v>
                </c:pt>
                <c:pt idx="822">
                  <c:v>13.423522048155872</c:v>
                </c:pt>
                <c:pt idx="823">
                  <c:v>13.423522048155872</c:v>
                </c:pt>
                <c:pt idx="824">
                  <c:v>13.423522048155872</c:v>
                </c:pt>
                <c:pt idx="825">
                  <c:v>13.423522048155872</c:v>
                </c:pt>
                <c:pt idx="826">
                  <c:v>13.423522048155872</c:v>
                </c:pt>
                <c:pt idx="827">
                  <c:v>13.423522048155872</c:v>
                </c:pt>
                <c:pt idx="828">
                  <c:v>13.423522048155872</c:v>
                </c:pt>
                <c:pt idx="829">
                  <c:v>13.423522048155872</c:v>
                </c:pt>
                <c:pt idx="830">
                  <c:v>13.423522048155872</c:v>
                </c:pt>
                <c:pt idx="831">
                  <c:v>13.423522048155872</c:v>
                </c:pt>
                <c:pt idx="832">
                  <c:v>13.423522048155872</c:v>
                </c:pt>
                <c:pt idx="833">
                  <c:v>13.423522048155872</c:v>
                </c:pt>
                <c:pt idx="834">
                  <c:v>13.423522048155872</c:v>
                </c:pt>
                <c:pt idx="835">
                  <c:v>13.423522048155872</c:v>
                </c:pt>
                <c:pt idx="836">
                  <c:v>13.423522048155872</c:v>
                </c:pt>
                <c:pt idx="837">
                  <c:v>13.423522048155872</c:v>
                </c:pt>
                <c:pt idx="838">
                  <c:v>13.423522048155872</c:v>
                </c:pt>
                <c:pt idx="839">
                  <c:v>13.423522048155872</c:v>
                </c:pt>
                <c:pt idx="840">
                  <c:v>13.423522048155872</c:v>
                </c:pt>
                <c:pt idx="841">
                  <c:v>13.423522048155872</c:v>
                </c:pt>
                <c:pt idx="842">
                  <c:v>13.423522048155872</c:v>
                </c:pt>
                <c:pt idx="843">
                  <c:v>13.423522048155872</c:v>
                </c:pt>
                <c:pt idx="844">
                  <c:v>13.423522048155872</c:v>
                </c:pt>
                <c:pt idx="845">
                  <c:v>13.423522048155872</c:v>
                </c:pt>
                <c:pt idx="846">
                  <c:v>13.423522048155872</c:v>
                </c:pt>
                <c:pt idx="847">
                  <c:v>13.423522048155872</c:v>
                </c:pt>
                <c:pt idx="848">
                  <c:v>13.423522048155872</c:v>
                </c:pt>
                <c:pt idx="849">
                  <c:v>13.423522048155872</c:v>
                </c:pt>
                <c:pt idx="850">
                  <c:v>13.423522048155872</c:v>
                </c:pt>
                <c:pt idx="851">
                  <c:v>13.423522048155872</c:v>
                </c:pt>
                <c:pt idx="852">
                  <c:v>13.423522048155872</c:v>
                </c:pt>
                <c:pt idx="853">
                  <c:v>13.423522048155872</c:v>
                </c:pt>
                <c:pt idx="854">
                  <c:v>13.423522048155872</c:v>
                </c:pt>
                <c:pt idx="855">
                  <c:v>13.423522048155872</c:v>
                </c:pt>
                <c:pt idx="856">
                  <c:v>13.423522048155872</c:v>
                </c:pt>
                <c:pt idx="857">
                  <c:v>13.423522048155872</c:v>
                </c:pt>
                <c:pt idx="858">
                  <c:v>13.423522048155872</c:v>
                </c:pt>
                <c:pt idx="859">
                  <c:v>13.423522048155872</c:v>
                </c:pt>
                <c:pt idx="860">
                  <c:v>13.423522048155872</c:v>
                </c:pt>
                <c:pt idx="861">
                  <c:v>13.423522048155872</c:v>
                </c:pt>
                <c:pt idx="862">
                  <c:v>13.423522048155872</c:v>
                </c:pt>
                <c:pt idx="863">
                  <c:v>13.423522048155872</c:v>
                </c:pt>
                <c:pt idx="864">
                  <c:v>13.423522048155872</c:v>
                </c:pt>
                <c:pt idx="865">
                  <c:v>13.423522048155872</c:v>
                </c:pt>
                <c:pt idx="866">
                  <c:v>13.423522048155872</c:v>
                </c:pt>
                <c:pt idx="867">
                  <c:v>13.423522048155872</c:v>
                </c:pt>
                <c:pt idx="868">
                  <c:v>13.423522048155872</c:v>
                </c:pt>
                <c:pt idx="869">
                  <c:v>13.423522048155872</c:v>
                </c:pt>
                <c:pt idx="870">
                  <c:v>13.423522048155872</c:v>
                </c:pt>
                <c:pt idx="871">
                  <c:v>13.423522048155872</c:v>
                </c:pt>
                <c:pt idx="872">
                  <c:v>13.423522048155872</c:v>
                </c:pt>
                <c:pt idx="873">
                  <c:v>13.423522048155872</c:v>
                </c:pt>
                <c:pt idx="874">
                  <c:v>13.423522048155872</c:v>
                </c:pt>
                <c:pt idx="875">
                  <c:v>13.423522048155872</c:v>
                </c:pt>
                <c:pt idx="876">
                  <c:v>13.423522048155872</c:v>
                </c:pt>
                <c:pt idx="877">
                  <c:v>13.423522048155872</c:v>
                </c:pt>
                <c:pt idx="878">
                  <c:v>13.423522048155872</c:v>
                </c:pt>
                <c:pt idx="879">
                  <c:v>13.423522048155872</c:v>
                </c:pt>
                <c:pt idx="880">
                  <c:v>13.423522048155872</c:v>
                </c:pt>
                <c:pt idx="881">
                  <c:v>13.423522048155872</c:v>
                </c:pt>
                <c:pt idx="882">
                  <c:v>13.423522048155872</c:v>
                </c:pt>
                <c:pt idx="883">
                  <c:v>13.423522048155872</c:v>
                </c:pt>
                <c:pt idx="884">
                  <c:v>13.423522048155872</c:v>
                </c:pt>
                <c:pt idx="885">
                  <c:v>13.423522048155872</c:v>
                </c:pt>
                <c:pt idx="886">
                  <c:v>13.423522048155872</c:v>
                </c:pt>
                <c:pt idx="887">
                  <c:v>13.423522048155872</c:v>
                </c:pt>
                <c:pt idx="888">
                  <c:v>13.423522048155872</c:v>
                </c:pt>
                <c:pt idx="889">
                  <c:v>13.423522048155872</c:v>
                </c:pt>
                <c:pt idx="890">
                  <c:v>13.423522048155872</c:v>
                </c:pt>
                <c:pt idx="891">
                  <c:v>13.423522048155872</c:v>
                </c:pt>
                <c:pt idx="892">
                  <c:v>13.423522048155872</c:v>
                </c:pt>
                <c:pt idx="893">
                  <c:v>13.423522048155872</c:v>
                </c:pt>
                <c:pt idx="894">
                  <c:v>13.423522048155872</c:v>
                </c:pt>
                <c:pt idx="895">
                  <c:v>13.423522048155872</c:v>
                </c:pt>
                <c:pt idx="896">
                  <c:v>13.423522048155872</c:v>
                </c:pt>
                <c:pt idx="897">
                  <c:v>13.423522048155872</c:v>
                </c:pt>
                <c:pt idx="898">
                  <c:v>13.423522048155872</c:v>
                </c:pt>
                <c:pt idx="899">
                  <c:v>13.423522048155872</c:v>
                </c:pt>
                <c:pt idx="900">
                  <c:v>13.423522048155872</c:v>
                </c:pt>
                <c:pt idx="901">
                  <c:v>13.423522048155872</c:v>
                </c:pt>
                <c:pt idx="902">
                  <c:v>13.423522048155872</c:v>
                </c:pt>
                <c:pt idx="903">
                  <c:v>13.423522048155872</c:v>
                </c:pt>
                <c:pt idx="904">
                  <c:v>13.423522048155872</c:v>
                </c:pt>
                <c:pt idx="905">
                  <c:v>13.423522048155872</c:v>
                </c:pt>
                <c:pt idx="906">
                  <c:v>13.423522048155872</c:v>
                </c:pt>
                <c:pt idx="907">
                  <c:v>13.423522048155872</c:v>
                </c:pt>
                <c:pt idx="908">
                  <c:v>13.423522048155872</c:v>
                </c:pt>
                <c:pt idx="909">
                  <c:v>13.423522048155872</c:v>
                </c:pt>
                <c:pt idx="910">
                  <c:v>13.423522048155872</c:v>
                </c:pt>
                <c:pt idx="911">
                  <c:v>13.423522048155872</c:v>
                </c:pt>
                <c:pt idx="912">
                  <c:v>13.423522048155872</c:v>
                </c:pt>
                <c:pt idx="913">
                  <c:v>13.423522048155872</c:v>
                </c:pt>
                <c:pt idx="914">
                  <c:v>13.423522048155872</c:v>
                </c:pt>
                <c:pt idx="915">
                  <c:v>13.423522048155872</c:v>
                </c:pt>
                <c:pt idx="916">
                  <c:v>13.423522048155872</c:v>
                </c:pt>
                <c:pt idx="917">
                  <c:v>13.423522048155872</c:v>
                </c:pt>
                <c:pt idx="918">
                  <c:v>13.423522048155872</c:v>
                </c:pt>
                <c:pt idx="919">
                  <c:v>13.423522048155872</c:v>
                </c:pt>
                <c:pt idx="920">
                  <c:v>13.423522048155872</c:v>
                </c:pt>
                <c:pt idx="921">
                  <c:v>13.423522048155872</c:v>
                </c:pt>
                <c:pt idx="922">
                  <c:v>13.423522048155872</c:v>
                </c:pt>
                <c:pt idx="923">
                  <c:v>13.423522048155872</c:v>
                </c:pt>
                <c:pt idx="924">
                  <c:v>13.423522048155872</c:v>
                </c:pt>
                <c:pt idx="925">
                  <c:v>13.423522048155872</c:v>
                </c:pt>
                <c:pt idx="926">
                  <c:v>13.423522048155872</c:v>
                </c:pt>
                <c:pt idx="927">
                  <c:v>13.423522048155872</c:v>
                </c:pt>
                <c:pt idx="928">
                  <c:v>13.423522048155872</c:v>
                </c:pt>
                <c:pt idx="929">
                  <c:v>13.423522048155872</c:v>
                </c:pt>
                <c:pt idx="930">
                  <c:v>13.423522048155872</c:v>
                </c:pt>
                <c:pt idx="931">
                  <c:v>13.423522048155872</c:v>
                </c:pt>
                <c:pt idx="932">
                  <c:v>13.423522048155872</c:v>
                </c:pt>
                <c:pt idx="933">
                  <c:v>13.423522048155872</c:v>
                </c:pt>
                <c:pt idx="934">
                  <c:v>13.423522048155872</c:v>
                </c:pt>
                <c:pt idx="935">
                  <c:v>13.423522048155872</c:v>
                </c:pt>
                <c:pt idx="936">
                  <c:v>13.423522048155872</c:v>
                </c:pt>
                <c:pt idx="937">
                  <c:v>13.423522048155872</c:v>
                </c:pt>
                <c:pt idx="938">
                  <c:v>13.423522048155872</c:v>
                </c:pt>
                <c:pt idx="939">
                  <c:v>13.423522048155872</c:v>
                </c:pt>
                <c:pt idx="940">
                  <c:v>13.423522048155872</c:v>
                </c:pt>
                <c:pt idx="941">
                  <c:v>13.423522048155872</c:v>
                </c:pt>
                <c:pt idx="942">
                  <c:v>13.423522048155872</c:v>
                </c:pt>
                <c:pt idx="943">
                  <c:v>13.423522048155872</c:v>
                </c:pt>
                <c:pt idx="944">
                  <c:v>13.423522048155872</c:v>
                </c:pt>
                <c:pt idx="945">
                  <c:v>13.423522048155872</c:v>
                </c:pt>
                <c:pt idx="946">
                  <c:v>13.423522048155872</c:v>
                </c:pt>
                <c:pt idx="947">
                  <c:v>13.423522048155872</c:v>
                </c:pt>
                <c:pt idx="948">
                  <c:v>13.423522048155872</c:v>
                </c:pt>
                <c:pt idx="949">
                  <c:v>13.423522048155872</c:v>
                </c:pt>
                <c:pt idx="950">
                  <c:v>13.423522048155872</c:v>
                </c:pt>
                <c:pt idx="951">
                  <c:v>13.423522048155872</c:v>
                </c:pt>
                <c:pt idx="952">
                  <c:v>13.423522048155872</c:v>
                </c:pt>
                <c:pt idx="953">
                  <c:v>13.423522048155872</c:v>
                </c:pt>
                <c:pt idx="954">
                  <c:v>13.423522048155872</c:v>
                </c:pt>
                <c:pt idx="955">
                  <c:v>13.423522048155872</c:v>
                </c:pt>
                <c:pt idx="956">
                  <c:v>13.423522048155872</c:v>
                </c:pt>
                <c:pt idx="957">
                  <c:v>13.423522048155872</c:v>
                </c:pt>
                <c:pt idx="958">
                  <c:v>13.423522048155872</c:v>
                </c:pt>
                <c:pt idx="959">
                  <c:v>13.423522048155872</c:v>
                </c:pt>
                <c:pt idx="960">
                  <c:v>13.423522048155872</c:v>
                </c:pt>
                <c:pt idx="961">
                  <c:v>13.423522048155872</c:v>
                </c:pt>
                <c:pt idx="962">
                  <c:v>13.423522048155872</c:v>
                </c:pt>
                <c:pt idx="963">
                  <c:v>13.423522048155872</c:v>
                </c:pt>
                <c:pt idx="964">
                  <c:v>13.423522048155872</c:v>
                </c:pt>
                <c:pt idx="965">
                  <c:v>13.423522048155872</c:v>
                </c:pt>
                <c:pt idx="966">
                  <c:v>13.423522048155872</c:v>
                </c:pt>
                <c:pt idx="967">
                  <c:v>13.423522048155872</c:v>
                </c:pt>
                <c:pt idx="968">
                  <c:v>13.423522048155872</c:v>
                </c:pt>
                <c:pt idx="969">
                  <c:v>13.423522048155872</c:v>
                </c:pt>
                <c:pt idx="970">
                  <c:v>13.423522048155872</c:v>
                </c:pt>
                <c:pt idx="971">
                  <c:v>13.423522048155872</c:v>
                </c:pt>
                <c:pt idx="972">
                  <c:v>13.423522048155872</c:v>
                </c:pt>
                <c:pt idx="973">
                  <c:v>13.423522048155872</c:v>
                </c:pt>
                <c:pt idx="974">
                  <c:v>13.423522048155872</c:v>
                </c:pt>
                <c:pt idx="975">
                  <c:v>13.423522048155872</c:v>
                </c:pt>
                <c:pt idx="976">
                  <c:v>13.423522048155872</c:v>
                </c:pt>
                <c:pt idx="977">
                  <c:v>13.423522048155872</c:v>
                </c:pt>
                <c:pt idx="978">
                  <c:v>13.423522048155872</c:v>
                </c:pt>
                <c:pt idx="979">
                  <c:v>13.423522048155872</c:v>
                </c:pt>
                <c:pt idx="980">
                  <c:v>13.423522048155872</c:v>
                </c:pt>
                <c:pt idx="981">
                  <c:v>13.423522048155872</c:v>
                </c:pt>
                <c:pt idx="982">
                  <c:v>13.423522048155872</c:v>
                </c:pt>
                <c:pt idx="983">
                  <c:v>13.423522048155872</c:v>
                </c:pt>
                <c:pt idx="984">
                  <c:v>13.423522048155872</c:v>
                </c:pt>
                <c:pt idx="985">
                  <c:v>13.423522048155872</c:v>
                </c:pt>
                <c:pt idx="986">
                  <c:v>13.423522048155872</c:v>
                </c:pt>
                <c:pt idx="987">
                  <c:v>13.423522048155872</c:v>
                </c:pt>
                <c:pt idx="988">
                  <c:v>13.423522048155872</c:v>
                </c:pt>
                <c:pt idx="989">
                  <c:v>13.423522048155872</c:v>
                </c:pt>
                <c:pt idx="990">
                  <c:v>13.423522048155872</c:v>
                </c:pt>
                <c:pt idx="991">
                  <c:v>13.423522048155872</c:v>
                </c:pt>
                <c:pt idx="992">
                  <c:v>13.423522048155872</c:v>
                </c:pt>
                <c:pt idx="993">
                  <c:v>13.423522048155872</c:v>
                </c:pt>
                <c:pt idx="994">
                  <c:v>13.423522048155872</c:v>
                </c:pt>
                <c:pt idx="995">
                  <c:v>13.423522048155872</c:v>
                </c:pt>
                <c:pt idx="996">
                  <c:v>13.423522048155872</c:v>
                </c:pt>
                <c:pt idx="997">
                  <c:v>13.423522048155872</c:v>
                </c:pt>
                <c:pt idx="998">
                  <c:v>13.423522048155872</c:v>
                </c:pt>
                <c:pt idx="999">
                  <c:v>13.423522048155872</c:v>
                </c:pt>
                <c:pt idx="1000">
                  <c:v>13.423522048155872</c:v>
                </c:pt>
                <c:pt idx="1001">
                  <c:v>13.423522048155872</c:v>
                </c:pt>
                <c:pt idx="1002">
                  <c:v>13.423522048155872</c:v>
                </c:pt>
                <c:pt idx="1003">
                  <c:v>13.423522048155872</c:v>
                </c:pt>
                <c:pt idx="1004">
                  <c:v>13.423522048155872</c:v>
                </c:pt>
                <c:pt idx="1005">
                  <c:v>13.423522048155872</c:v>
                </c:pt>
                <c:pt idx="1006">
                  <c:v>13.423522048155872</c:v>
                </c:pt>
                <c:pt idx="1007">
                  <c:v>13.423522048155872</c:v>
                </c:pt>
                <c:pt idx="1008">
                  <c:v>13.423522048155872</c:v>
                </c:pt>
                <c:pt idx="1009">
                  <c:v>13.423522048155872</c:v>
                </c:pt>
                <c:pt idx="1010">
                  <c:v>13.423522048155872</c:v>
                </c:pt>
                <c:pt idx="1011">
                  <c:v>13.423522048155872</c:v>
                </c:pt>
                <c:pt idx="1012">
                  <c:v>13.423522048155872</c:v>
                </c:pt>
                <c:pt idx="1013">
                  <c:v>13.423522048155872</c:v>
                </c:pt>
                <c:pt idx="1014">
                  <c:v>13.423522048155872</c:v>
                </c:pt>
                <c:pt idx="1015">
                  <c:v>13.423522048155872</c:v>
                </c:pt>
                <c:pt idx="1016">
                  <c:v>13.423522048155872</c:v>
                </c:pt>
                <c:pt idx="1017">
                  <c:v>13.423522048155872</c:v>
                </c:pt>
                <c:pt idx="1018">
                  <c:v>13.423522048155872</c:v>
                </c:pt>
                <c:pt idx="1019">
                  <c:v>13.423522048155872</c:v>
                </c:pt>
                <c:pt idx="1020">
                  <c:v>13.423522048155872</c:v>
                </c:pt>
                <c:pt idx="1021">
                  <c:v>13.423522048155872</c:v>
                </c:pt>
                <c:pt idx="1022">
                  <c:v>13.423522048155872</c:v>
                </c:pt>
                <c:pt idx="1023">
                  <c:v>13.423522048155872</c:v>
                </c:pt>
                <c:pt idx="1024">
                  <c:v>13.423522048155872</c:v>
                </c:pt>
                <c:pt idx="1025">
                  <c:v>13.423522048155872</c:v>
                </c:pt>
                <c:pt idx="1026">
                  <c:v>13.423522048155872</c:v>
                </c:pt>
                <c:pt idx="1027">
                  <c:v>13.423522048155872</c:v>
                </c:pt>
                <c:pt idx="1028">
                  <c:v>13.423522048155872</c:v>
                </c:pt>
                <c:pt idx="1029">
                  <c:v>13.423522048155872</c:v>
                </c:pt>
                <c:pt idx="1030">
                  <c:v>13.423522048155872</c:v>
                </c:pt>
                <c:pt idx="1031">
                  <c:v>13.423522048155872</c:v>
                </c:pt>
                <c:pt idx="1032">
                  <c:v>13.423522048155872</c:v>
                </c:pt>
                <c:pt idx="1033">
                  <c:v>13.423522048155872</c:v>
                </c:pt>
                <c:pt idx="1034">
                  <c:v>13.423522048155872</c:v>
                </c:pt>
                <c:pt idx="1035">
                  <c:v>13.423522048155872</c:v>
                </c:pt>
                <c:pt idx="1036">
                  <c:v>13.423522048155872</c:v>
                </c:pt>
                <c:pt idx="1037">
                  <c:v>13.423522048155872</c:v>
                </c:pt>
                <c:pt idx="1038">
                  <c:v>13.423522048155872</c:v>
                </c:pt>
                <c:pt idx="1039">
                  <c:v>13.423522048155872</c:v>
                </c:pt>
                <c:pt idx="1040">
                  <c:v>13.423522048155872</c:v>
                </c:pt>
                <c:pt idx="1041">
                  <c:v>13.423522048155872</c:v>
                </c:pt>
                <c:pt idx="1042">
                  <c:v>13.423522048155872</c:v>
                </c:pt>
                <c:pt idx="1043">
                  <c:v>13.423522048155872</c:v>
                </c:pt>
                <c:pt idx="1044">
                  <c:v>13.423522048155872</c:v>
                </c:pt>
                <c:pt idx="1045">
                  <c:v>13.423522048155872</c:v>
                </c:pt>
                <c:pt idx="1046">
                  <c:v>13.423522048155872</c:v>
                </c:pt>
                <c:pt idx="1047">
                  <c:v>13.423522048155872</c:v>
                </c:pt>
                <c:pt idx="1048">
                  <c:v>13.423522048155872</c:v>
                </c:pt>
                <c:pt idx="1049">
                  <c:v>13.423522048155872</c:v>
                </c:pt>
                <c:pt idx="1050">
                  <c:v>13.423522048155872</c:v>
                </c:pt>
                <c:pt idx="1051">
                  <c:v>13.423522048155872</c:v>
                </c:pt>
                <c:pt idx="1052">
                  <c:v>13.423522048155872</c:v>
                </c:pt>
                <c:pt idx="1053">
                  <c:v>13.423522048155872</c:v>
                </c:pt>
                <c:pt idx="1054">
                  <c:v>13.423522048155872</c:v>
                </c:pt>
                <c:pt idx="1055">
                  <c:v>13.423522048155872</c:v>
                </c:pt>
                <c:pt idx="1056">
                  <c:v>13.423522048155872</c:v>
                </c:pt>
                <c:pt idx="1057">
                  <c:v>13.423522048155872</c:v>
                </c:pt>
                <c:pt idx="1058">
                  <c:v>13.423522048155872</c:v>
                </c:pt>
                <c:pt idx="1059">
                  <c:v>13.423522048155872</c:v>
                </c:pt>
                <c:pt idx="1060">
                  <c:v>13.423522048155872</c:v>
                </c:pt>
                <c:pt idx="1061">
                  <c:v>13.423522048155872</c:v>
                </c:pt>
                <c:pt idx="1062">
                  <c:v>13.423522048155872</c:v>
                </c:pt>
                <c:pt idx="1063">
                  <c:v>13.423522048155872</c:v>
                </c:pt>
                <c:pt idx="1064">
                  <c:v>13.423522048155872</c:v>
                </c:pt>
                <c:pt idx="1065">
                  <c:v>13.423522048155872</c:v>
                </c:pt>
                <c:pt idx="1066">
                  <c:v>13.423522048155872</c:v>
                </c:pt>
                <c:pt idx="1067">
                  <c:v>13.423522048155872</c:v>
                </c:pt>
                <c:pt idx="1068">
                  <c:v>13.423522048155872</c:v>
                </c:pt>
                <c:pt idx="1069">
                  <c:v>13.423522048155872</c:v>
                </c:pt>
                <c:pt idx="1070">
                  <c:v>13.423522048155872</c:v>
                </c:pt>
                <c:pt idx="1071">
                  <c:v>13.423522048155872</c:v>
                </c:pt>
                <c:pt idx="1072">
                  <c:v>13.423522048155872</c:v>
                </c:pt>
                <c:pt idx="1073">
                  <c:v>13.423522048155872</c:v>
                </c:pt>
                <c:pt idx="1074">
                  <c:v>13.423522048155872</c:v>
                </c:pt>
                <c:pt idx="1075">
                  <c:v>13.423522048155872</c:v>
                </c:pt>
                <c:pt idx="1076">
                  <c:v>13.423522048155872</c:v>
                </c:pt>
                <c:pt idx="1077">
                  <c:v>13.423522048155872</c:v>
                </c:pt>
                <c:pt idx="1078">
                  <c:v>13.423522048155872</c:v>
                </c:pt>
                <c:pt idx="1079">
                  <c:v>13.423522048155872</c:v>
                </c:pt>
                <c:pt idx="1080">
                  <c:v>13.423522048155872</c:v>
                </c:pt>
                <c:pt idx="1081">
                  <c:v>13.423522048155872</c:v>
                </c:pt>
                <c:pt idx="1082">
                  <c:v>13.423522048155872</c:v>
                </c:pt>
                <c:pt idx="1083">
                  <c:v>13.423522048155872</c:v>
                </c:pt>
                <c:pt idx="1084">
                  <c:v>13.423522048155872</c:v>
                </c:pt>
                <c:pt idx="1085">
                  <c:v>13.423522048155872</c:v>
                </c:pt>
                <c:pt idx="1086">
                  <c:v>13.423522048155872</c:v>
                </c:pt>
                <c:pt idx="1087">
                  <c:v>13.423522048155872</c:v>
                </c:pt>
                <c:pt idx="1088">
                  <c:v>13.423522048155872</c:v>
                </c:pt>
                <c:pt idx="1089">
                  <c:v>13.423522048155872</c:v>
                </c:pt>
                <c:pt idx="1090">
                  <c:v>13.423522048155872</c:v>
                </c:pt>
                <c:pt idx="1091">
                  <c:v>13.423522048155872</c:v>
                </c:pt>
                <c:pt idx="1092">
                  <c:v>13.423522048155872</c:v>
                </c:pt>
                <c:pt idx="1093">
                  <c:v>13.423522048155872</c:v>
                </c:pt>
                <c:pt idx="1094">
                  <c:v>13.423522048155872</c:v>
                </c:pt>
                <c:pt idx="1095">
                  <c:v>13.423522048155872</c:v>
                </c:pt>
                <c:pt idx="1096">
                  <c:v>13.423522048155872</c:v>
                </c:pt>
                <c:pt idx="1097">
                  <c:v>13.423522048155872</c:v>
                </c:pt>
                <c:pt idx="1098">
                  <c:v>13.423522048155872</c:v>
                </c:pt>
                <c:pt idx="1099">
                  <c:v>13.423522048155872</c:v>
                </c:pt>
                <c:pt idx="1100">
                  <c:v>13.423522048155872</c:v>
                </c:pt>
                <c:pt idx="1101">
                  <c:v>13.423522048155872</c:v>
                </c:pt>
                <c:pt idx="1102">
                  <c:v>13.423522048155872</c:v>
                </c:pt>
                <c:pt idx="1103">
                  <c:v>13.423522048155872</c:v>
                </c:pt>
                <c:pt idx="1104">
                  <c:v>13.423522048155872</c:v>
                </c:pt>
                <c:pt idx="1105">
                  <c:v>13.423522048155872</c:v>
                </c:pt>
                <c:pt idx="1106">
                  <c:v>13.423522048155872</c:v>
                </c:pt>
                <c:pt idx="1107">
                  <c:v>13.423522048155872</c:v>
                </c:pt>
                <c:pt idx="1108">
                  <c:v>13.423522048155872</c:v>
                </c:pt>
                <c:pt idx="1109">
                  <c:v>13.423522048155872</c:v>
                </c:pt>
                <c:pt idx="1110">
                  <c:v>13.423522048155872</c:v>
                </c:pt>
                <c:pt idx="1111">
                  <c:v>13.423522048155872</c:v>
                </c:pt>
                <c:pt idx="1112">
                  <c:v>13.423522048155872</c:v>
                </c:pt>
                <c:pt idx="1113">
                  <c:v>13.423522048155872</c:v>
                </c:pt>
                <c:pt idx="1114">
                  <c:v>13.423522048155872</c:v>
                </c:pt>
                <c:pt idx="1115">
                  <c:v>13.423522048155872</c:v>
                </c:pt>
                <c:pt idx="1116">
                  <c:v>13.423522048155872</c:v>
                </c:pt>
                <c:pt idx="1117">
                  <c:v>13.423522048155872</c:v>
                </c:pt>
                <c:pt idx="1118">
                  <c:v>13.423522048155872</c:v>
                </c:pt>
                <c:pt idx="1119">
                  <c:v>13.423522048155872</c:v>
                </c:pt>
                <c:pt idx="1120">
                  <c:v>13.423522048155872</c:v>
                </c:pt>
                <c:pt idx="1121">
                  <c:v>13.423522048155872</c:v>
                </c:pt>
                <c:pt idx="1122">
                  <c:v>13.423522048155872</c:v>
                </c:pt>
                <c:pt idx="1123">
                  <c:v>13.423522048155872</c:v>
                </c:pt>
                <c:pt idx="1124">
                  <c:v>13.423522048155872</c:v>
                </c:pt>
                <c:pt idx="1125">
                  <c:v>13.423522048155872</c:v>
                </c:pt>
                <c:pt idx="1126">
                  <c:v>13.423522048155872</c:v>
                </c:pt>
                <c:pt idx="1127">
                  <c:v>13.423522048155872</c:v>
                </c:pt>
                <c:pt idx="1128">
                  <c:v>13.423522048155872</c:v>
                </c:pt>
                <c:pt idx="1129">
                  <c:v>13.423522048155872</c:v>
                </c:pt>
                <c:pt idx="1130">
                  <c:v>13.423522048155872</c:v>
                </c:pt>
                <c:pt idx="1131">
                  <c:v>13.423522048155872</c:v>
                </c:pt>
                <c:pt idx="1132">
                  <c:v>13.423522048155872</c:v>
                </c:pt>
                <c:pt idx="1133">
                  <c:v>13.423522048155872</c:v>
                </c:pt>
                <c:pt idx="1134">
                  <c:v>13.423522048155872</c:v>
                </c:pt>
                <c:pt idx="1135">
                  <c:v>13.423522048155872</c:v>
                </c:pt>
                <c:pt idx="1136">
                  <c:v>13.423522048155872</c:v>
                </c:pt>
                <c:pt idx="1137">
                  <c:v>13.423522048155872</c:v>
                </c:pt>
                <c:pt idx="1138">
                  <c:v>13.423522048155872</c:v>
                </c:pt>
                <c:pt idx="1139">
                  <c:v>13.423522048155872</c:v>
                </c:pt>
                <c:pt idx="1140">
                  <c:v>13.423522048155872</c:v>
                </c:pt>
                <c:pt idx="1141">
                  <c:v>13.423522048155872</c:v>
                </c:pt>
                <c:pt idx="1142">
                  <c:v>13.423522048155872</c:v>
                </c:pt>
                <c:pt idx="1143">
                  <c:v>13.423522048155872</c:v>
                </c:pt>
                <c:pt idx="1144">
                  <c:v>13.423522048155872</c:v>
                </c:pt>
                <c:pt idx="1145">
                  <c:v>13.423522048155872</c:v>
                </c:pt>
                <c:pt idx="1146">
                  <c:v>13.423522048155872</c:v>
                </c:pt>
                <c:pt idx="1147">
                  <c:v>13.423522048155872</c:v>
                </c:pt>
                <c:pt idx="1148">
                  <c:v>13.423522048155872</c:v>
                </c:pt>
                <c:pt idx="1149">
                  <c:v>13.423522048155872</c:v>
                </c:pt>
                <c:pt idx="1150">
                  <c:v>13.423522048155872</c:v>
                </c:pt>
                <c:pt idx="1151">
                  <c:v>13.423522048155872</c:v>
                </c:pt>
                <c:pt idx="1152">
                  <c:v>13.423522048155872</c:v>
                </c:pt>
                <c:pt idx="1153">
                  <c:v>13.423522048155872</c:v>
                </c:pt>
                <c:pt idx="1154">
                  <c:v>13.423522048155872</c:v>
                </c:pt>
                <c:pt idx="1155">
                  <c:v>13.423522048155872</c:v>
                </c:pt>
                <c:pt idx="1156">
                  <c:v>13.423522048155872</c:v>
                </c:pt>
                <c:pt idx="1157">
                  <c:v>13.423522048155872</c:v>
                </c:pt>
                <c:pt idx="1158">
                  <c:v>13.423522048155872</c:v>
                </c:pt>
                <c:pt idx="1159">
                  <c:v>13.423522048155872</c:v>
                </c:pt>
                <c:pt idx="1160">
                  <c:v>13.423522048155872</c:v>
                </c:pt>
                <c:pt idx="1161">
                  <c:v>13.423522048155872</c:v>
                </c:pt>
                <c:pt idx="1162">
                  <c:v>13.423522048155872</c:v>
                </c:pt>
                <c:pt idx="1163">
                  <c:v>13.423522048155872</c:v>
                </c:pt>
                <c:pt idx="1164">
                  <c:v>13.423522048155872</c:v>
                </c:pt>
                <c:pt idx="1165">
                  <c:v>13.423522048155872</c:v>
                </c:pt>
                <c:pt idx="1166">
                  <c:v>13.423522048155872</c:v>
                </c:pt>
                <c:pt idx="1167">
                  <c:v>13.423522048155872</c:v>
                </c:pt>
                <c:pt idx="1168">
                  <c:v>13.423522048155872</c:v>
                </c:pt>
                <c:pt idx="1169">
                  <c:v>13.423522048155872</c:v>
                </c:pt>
                <c:pt idx="1170">
                  <c:v>13.423522048155872</c:v>
                </c:pt>
                <c:pt idx="1171">
                  <c:v>13.423522048155872</c:v>
                </c:pt>
                <c:pt idx="1172">
                  <c:v>13.423522048155872</c:v>
                </c:pt>
                <c:pt idx="1173">
                  <c:v>13.423522048155872</c:v>
                </c:pt>
                <c:pt idx="1174">
                  <c:v>13.423522048155872</c:v>
                </c:pt>
                <c:pt idx="1175">
                  <c:v>13.423522048155872</c:v>
                </c:pt>
                <c:pt idx="1176">
                  <c:v>13.423522048155872</c:v>
                </c:pt>
                <c:pt idx="1177">
                  <c:v>13.423522048155872</c:v>
                </c:pt>
                <c:pt idx="1178">
                  <c:v>13.423522048155872</c:v>
                </c:pt>
                <c:pt idx="1179">
                  <c:v>13.423522048155872</c:v>
                </c:pt>
                <c:pt idx="1180">
                  <c:v>13.423522048155872</c:v>
                </c:pt>
                <c:pt idx="1181">
                  <c:v>13.423522048155872</c:v>
                </c:pt>
                <c:pt idx="1182">
                  <c:v>13.423522048155872</c:v>
                </c:pt>
                <c:pt idx="1183">
                  <c:v>13.423522048155872</c:v>
                </c:pt>
                <c:pt idx="1184">
                  <c:v>13.423522048155872</c:v>
                </c:pt>
                <c:pt idx="1185">
                  <c:v>13.423522048155872</c:v>
                </c:pt>
                <c:pt idx="1186">
                  <c:v>13.423522048155872</c:v>
                </c:pt>
                <c:pt idx="1187">
                  <c:v>13.423522048155872</c:v>
                </c:pt>
                <c:pt idx="1188">
                  <c:v>13.423522048155872</c:v>
                </c:pt>
                <c:pt idx="1189">
                  <c:v>13.423522048155872</c:v>
                </c:pt>
                <c:pt idx="1190">
                  <c:v>13.423522048155872</c:v>
                </c:pt>
                <c:pt idx="1191">
                  <c:v>13.423522048155872</c:v>
                </c:pt>
                <c:pt idx="1192">
                  <c:v>13.423522048155872</c:v>
                </c:pt>
                <c:pt idx="1193">
                  <c:v>13.423522048155872</c:v>
                </c:pt>
                <c:pt idx="1194">
                  <c:v>13.423522048155872</c:v>
                </c:pt>
                <c:pt idx="1195">
                  <c:v>13.423522048155872</c:v>
                </c:pt>
                <c:pt idx="1196">
                  <c:v>13.423522048155872</c:v>
                </c:pt>
                <c:pt idx="1197">
                  <c:v>13.423522048155872</c:v>
                </c:pt>
                <c:pt idx="1198">
                  <c:v>13.423522048155872</c:v>
                </c:pt>
                <c:pt idx="1199">
                  <c:v>13.423522048155872</c:v>
                </c:pt>
                <c:pt idx="1200">
                  <c:v>13.423522048155872</c:v>
                </c:pt>
                <c:pt idx="1201">
                  <c:v>13.423522048155872</c:v>
                </c:pt>
                <c:pt idx="1202">
                  <c:v>13.423522048155872</c:v>
                </c:pt>
                <c:pt idx="1203">
                  <c:v>13.423522048155872</c:v>
                </c:pt>
                <c:pt idx="1204">
                  <c:v>13.423522048155872</c:v>
                </c:pt>
                <c:pt idx="1205">
                  <c:v>13.423522048155872</c:v>
                </c:pt>
                <c:pt idx="1206">
                  <c:v>13.423522048155872</c:v>
                </c:pt>
                <c:pt idx="1207">
                  <c:v>13.423522048155872</c:v>
                </c:pt>
                <c:pt idx="1208">
                  <c:v>13.423522048155872</c:v>
                </c:pt>
                <c:pt idx="1209">
                  <c:v>13.423522048155872</c:v>
                </c:pt>
                <c:pt idx="1210">
                  <c:v>13.423522048155872</c:v>
                </c:pt>
                <c:pt idx="1211">
                  <c:v>13.423522048155872</c:v>
                </c:pt>
                <c:pt idx="1212">
                  <c:v>13.423522048155872</c:v>
                </c:pt>
                <c:pt idx="1213">
                  <c:v>13.423522048155872</c:v>
                </c:pt>
                <c:pt idx="1214">
                  <c:v>13.423522048155872</c:v>
                </c:pt>
                <c:pt idx="1215">
                  <c:v>13.423522048155872</c:v>
                </c:pt>
                <c:pt idx="1216">
                  <c:v>13.423522048155872</c:v>
                </c:pt>
                <c:pt idx="1217">
                  <c:v>13.423522048155872</c:v>
                </c:pt>
                <c:pt idx="1218">
                  <c:v>13.423522048155872</c:v>
                </c:pt>
                <c:pt idx="1219">
                  <c:v>13.423522048155872</c:v>
                </c:pt>
                <c:pt idx="1220">
                  <c:v>13.423522048155872</c:v>
                </c:pt>
                <c:pt idx="1221">
                  <c:v>13.423522048155872</c:v>
                </c:pt>
                <c:pt idx="1222">
                  <c:v>13.423522048155872</c:v>
                </c:pt>
                <c:pt idx="1223">
                  <c:v>13.423522048155872</c:v>
                </c:pt>
                <c:pt idx="1224">
                  <c:v>13.423522048155872</c:v>
                </c:pt>
                <c:pt idx="1225">
                  <c:v>13.423522048155872</c:v>
                </c:pt>
                <c:pt idx="1226">
                  <c:v>13.423522048155872</c:v>
                </c:pt>
                <c:pt idx="1227">
                  <c:v>13.423522048155872</c:v>
                </c:pt>
                <c:pt idx="1228">
                  <c:v>13.423522048155872</c:v>
                </c:pt>
                <c:pt idx="1229">
                  <c:v>13.423522048155872</c:v>
                </c:pt>
                <c:pt idx="1230">
                  <c:v>13.423522048155872</c:v>
                </c:pt>
                <c:pt idx="1231">
                  <c:v>13.423522048155872</c:v>
                </c:pt>
                <c:pt idx="1232">
                  <c:v>13.423522048155872</c:v>
                </c:pt>
                <c:pt idx="1233">
                  <c:v>13.423522048155872</c:v>
                </c:pt>
                <c:pt idx="1234">
                  <c:v>13.423522048155872</c:v>
                </c:pt>
                <c:pt idx="1235">
                  <c:v>13.423522048155872</c:v>
                </c:pt>
                <c:pt idx="1236">
                  <c:v>13.423522048155872</c:v>
                </c:pt>
                <c:pt idx="1237">
                  <c:v>13.423522048155872</c:v>
                </c:pt>
                <c:pt idx="1238">
                  <c:v>13.423522048155872</c:v>
                </c:pt>
                <c:pt idx="1239">
                  <c:v>13.423522048155872</c:v>
                </c:pt>
                <c:pt idx="1240">
                  <c:v>13.423522048155872</c:v>
                </c:pt>
                <c:pt idx="1241">
                  <c:v>13.423522048155872</c:v>
                </c:pt>
                <c:pt idx="1242">
                  <c:v>13.423522048155872</c:v>
                </c:pt>
                <c:pt idx="1243">
                  <c:v>13.423522048155872</c:v>
                </c:pt>
                <c:pt idx="1244">
                  <c:v>13.423522048155872</c:v>
                </c:pt>
                <c:pt idx="1245">
                  <c:v>13.423522048155872</c:v>
                </c:pt>
                <c:pt idx="1246">
                  <c:v>13.423522048155872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CF-43BC-82C0-BDBD0A0DFF68}"/>
            </c:ext>
          </c:extLst>
        </c:ser>
        <c:ser>
          <c:idx val="2"/>
          <c:order val="1"/>
          <c:tx>
            <c:strRef>
              <c:f>'FX Data'!$H$956</c:f>
              <c:strCache>
                <c:ptCount val="1"/>
                <c:pt idx="0">
                  <c:v>=-1sd</c:v>
                </c:pt>
              </c:strCache>
            </c:strRef>
          </c:tx>
          <c:spPr>
            <a:ln w="12700" cap="rnd">
              <a:solidFill>
                <a:srgbClr val="F79646">
                  <a:lumMod val="60000"/>
                  <a:lumOff val="40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'FX Data'!$B$957:$B$2203</c:f>
              <c:numCache>
                <c:formatCode>m/d/yyyy</c:formatCode>
                <c:ptCount val="1247"/>
                <c:pt idx="0">
                  <c:v>44263</c:v>
                </c:pt>
                <c:pt idx="1">
                  <c:v>44264</c:v>
                </c:pt>
                <c:pt idx="2">
                  <c:v>44265</c:v>
                </c:pt>
                <c:pt idx="3">
                  <c:v>44266</c:v>
                </c:pt>
                <c:pt idx="4">
                  <c:v>44267</c:v>
                </c:pt>
                <c:pt idx="5">
                  <c:v>44270</c:v>
                </c:pt>
                <c:pt idx="6">
                  <c:v>44271</c:v>
                </c:pt>
                <c:pt idx="7">
                  <c:v>44272</c:v>
                </c:pt>
                <c:pt idx="8">
                  <c:v>44273</c:v>
                </c:pt>
                <c:pt idx="9">
                  <c:v>44274</c:v>
                </c:pt>
                <c:pt idx="10">
                  <c:v>44277</c:v>
                </c:pt>
                <c:pt idx="11">
                  <c:v>44278</c:v>
                </c:pt>
                <c:pt idx="12">
                  <c:v>44279</c:v>
                </c:pt>
                <c:pt idx="13">
                  <c:v>44280</c:v>
                </c:pt>
                <c:pt idx="14">
                  <c:v>44281</c:v>
                </c:pt>
                <c:pt idx="15">
                  <c:v>44284</c:v>
                </c:pt>
                <c:pt idx="16">
                  <c:v>44285</c:v>
                </c:pt>
                <c:pt idx="17">
                  <c:v>44286</c:v>
                </c:pt>
                <c:pt idx="18">
                  <c:v>44287</c:v>
                </c:pt>
                <c:pt idx="19">
                  <c:v>44288</c:v>
                </c:pt>
                <c:pt idx="20">
                  <c:v>44291</c:v>
                </c:pt>
                <c:pt idx="21">
                  <c:v>44292</c:v>
                </c:pt>
                <c:pt idx="22">
                  <c:v>44293</c:v>
                </c:pt>
                <c:pt idx="23">
                  <c:v>44294</c:v>
                </c:pt>
                <c:pt idx="24">
                  <c:v>44295</c:v>
                </c:pt>
                <c:pt idx="25">
                  <c:v>44298</c:v>
                </c:pt>
                <c:pt idx="26">
                  <c:v>44299</c:v>
                </c:pt>
                <c:pt idx="27">
                  <c:v>44300</c:v>
                </c:pt>
                <c:pt idx="28">
                  <c:v>44301</c:v>
                </c:pt>
                <c:pt idx="29">
                  <c:v>44302</c:v>
                </c:pt>
                <c:pt idx="30">
                  <c:v>44305</c:v>
                </c:pt>
                <c:pt idx="31">
                  <c:v>44306</c:v>
                </c:pt>
                <c:pt idx="32">
                  <c:v>44308</c:v>
                </c:pt>
                <c:pt idx="33">
                  <c:v>44309</c:v>
                </c:pt>
                <c:pt idx="34">
                  <c:v>44312</c:v>
                </c:pt>
                <c:pt idx="35">
                  <c:v>44313</c:v>
                </c:pt>
                <c:pt idx="36">
                  <c:v>44314</c:v>
                </c:pt>
                <c:pt idx="37">
                  <c:v>44315</c:v>
                </c:pt>
                <c:pt idx="38">
                  <c:v>44320</c:v>
                </c:pt>
                <c:pt idx="39">
                  <c:v>44321</c:v>
                </c:pt>
                <c:pt idx="40">
                  <c:v>44322</c:v>
                </c:pt>
                <c:pt idx="41">
                  <c:v>44323</c:v>
                </c:pt>
                <c:pt idx="42">
                  <c:v>44326</c:v>
                </c:pt>
                <c:pt idx="43">
                  <c:v>44327</c:v>
                </c:pt>
                <c:pt idx="44">
                  <c:v>44328</c:v>
                </c:pt>
                <c:pt idx="45">
                  <c:v>44329</c:v>
                </c:pt>
                <c:pt idx="46">
                  <c:v>44330</c:v>
                </c:pt>
                <c:pt idx="47">
                  <c:v>44333</c:v>
                </c:pt>
                <c:pt idx="48">
                  <c:v>44334</c:v>
                </c:pt>
                <c:pt idx="49">
                  <c:v>44335</c:v>
                </c:pt>
                <c:pt idx="50">
                  <c:v>44336</c:v>
                </c:pt>
                <c:pt idx="51">
                  <c:v>44337</c:v>
                </c:pt>
                <c:pt idx="52">
                  <c:v>44340</c:v>
                </c:pt>
                <c:pt idx="53">
                  <c:v>44341</c:v>
                </c:pt>
                <c:pt idx="54">
                  <c:v>44342</c:v>
                </c:pt>
                <c:pt idx="55">
                  <c:v>44343</c:v>
                </c:pt>
                <c:pt idx="56">
                  <c:v>44344</c:v>
                </c:pt>
                <c:pt idx="57">
                  <c:v>44347</c:v>
                </c:pt>
                <c:pt idx="58">
                  <c:v>44348</c:v>
                </c:pt>
                <c:pt idx="59">
                  <c:v>44349</c:v>
                </c:pt>
                <c:pt idx="60">
                  <c:v>44350</c:v>
                </c:pt>
                <c:pt idx="61">
                  <c:v>44351</c:v>
                </c:pt>
                <c:pt idx="62">
                  <c:v>44354</c:v>
                </c:pt>
                <c:pt idx="63">
                  <c:v>44355</c:v>
                </c:pt>
                <c:pt idx="64">
                  <c:v>44356</c:v>
                </c:pt>
                <c:pt idx="65">
                  <c:v>44357</c:v>
                </c:pt>
                <c:pt idx="66">
                  <c:v>44358</c:v>
                </c:pt>
                <c:pt idx="67">
                  <c:v>44361</c:v>
                </c:pt>
                <c:pt idx="68">
                  <c:v>44362</c:v>
                </c:pt>
                <c:pt idx="69">
                  <c:v>44363</c:v>
                </c:pt>
                <c:pt idx="70">
                  <c:v>44364</c:v>
                </c:pt>
                <c:pt idx="71">
                  <c:v>44365</c:v>
                </c:pt>
                <c:pt idx="72">
                  <c:v>44368</c:v>
                </c:pt>
                <c:pt idx="73">
                  <c:v>44369</c:v>
                </c:pt>
                <c:pt idx="74">
                  <c:v>44370</c:v>
                </c:pt>
                <c:pt idx="75">
                  <c:v>44371</c:v>
                </c:pt>
                <c:pt idx="76">
                  <c:v>44372</c:v>
                </c:pt>
                <c:pt idx="77">
                  <c:v>44375</c:v>
                </c:pt>
                <c:pt idx="78">
                  <c:v>44376</c:v>
                </c:pt>
                <c:pt idx="79">
                  <c:v>44377</c:v>
                </c:pt>
                <c:pt idx="80">
                  <c:v>44378</c:v>
                </c:pt>
                <c:pt idx="81">
                  <c:v>44379</c:v>
                </c:pt>
                <c:pt idx="82">
                  <c:v>44382</c:v>
                </c:pt>
                <c:pt idx="83">
                  <c:v>44383</c:v>
                </c:pt>
                <c:pt idx="84">
                  <c:v>44384</c:v>
                </c:pt>
                <c:pt idx="85">
                  <c:v>44385</c:v>
                </c:pt>
                <c:pt idx="86">
                  <c:v>44386</c:v>
                </c:pt>
                <c:pt idx="87">
                  <c:v>44389</c:v>
                </c:pt>
                <c:pt idx="88">
                  <c:v>44390</c:v>
                </c:pt>
                <c:pt idx="89">
                  <c:v>44391</c:v>
                </c:pt>
                <c:pt idx="90">
                  <c:v>44392</c:v>
                </c:pt>
                <c:pt idx="91">
                  <c:v>44393</c:v>
                </c:pt>
                <c:pt idx="92">
                  <c:v>44396</c:v>
                </c:pt>
                <c:pt idx="93">
                  <c:v>44397</c:v>
                </c:pt>
                <c:pt idx="94">
                  <c:v>44398</c:v>
                </c:pt>
                <c:pt idx="95">
                  <c:v>44399</c:v>
                </c:pt>
                <c:pt idx="96">
                  <c:v>44400</c:v>
                </c:pt>
                <c:pt idx="97">
                  <c:v>44403</c:v>
                </c:pt>
                <c:pt idx="98">
                  <c:v>44404</c:v>
                </c:pt>
                <c:pt idx="99">
                  <c:v>44405</c:v>
                </c:pt>
                <c:pt idx="100">
                  <c:v>44406</c:v>
                </c:pt>
                <c:pt idx="101">
                  <c:v>44407</c:v>
                </c:pt>
                <c:pt idx="102">
                  <c:v>44410</c:v>
                </c:pt>
                <c:pt idx="103">
                  <c:v>44411</c:v>
                </c:pt>
                <c:pt idx="104">
                  <c:v>44412</c:v>
                </c:pt>
                <c:pt idx="105">
                  <c:v>44413</c:v>
                </c:pt>
                <c:pt idx="106">
                  <c:v>44414</c:v>
                </c:pt>
                <c:pt idx="107">
                  <c:v>44417</c:v>
                </c:pt>
                <c:pt idx="108">
                  <c:v>44418</c:v>
                </c:pt>
                <c:pt idx="109">
                  <c:v>44419</c:v>
                </c:pt>
                <c:pt idx="110">
                  <c:v>44420</c:v>
                </c:pt>
                <c:pt idx="111">
                  <c:v>44421</c:v>
                </c:pt>
                <c:pt idx="112">
                  <c:v>44424</c:v>
                </c:pt>
                <c:pt idx="113">
                  <c:v>44425</c:v>
                </c:pt>
                <c:pt idx="114">
                  <c:v>44426</c:v>
                </c:pt>
                <c:pt idx="115">
                  <c:v>44427</c:v>
                </c:pt>
                <c:pt idx="116">
                  <c:v>44428</c:v>
                </c:pt>
                <c:pt idx="117">
                  <c:v>44431</c:v>
                </c:pt>
                <c:pt idx="118">
                  <c:v>44432</c:v>
                </c:pt>
                <c:pt idx="119">
                  <c:v>44433</c:v>
                </c:pt>
                <c:pt idx="120">
                  <c:v>44434</c:v>
                </c:pt>
                <c:pt idx="121">
                  <c:v>44435</c:v>
                </c:pt>
                <c:pt idx="122">
                  <c:v>44438</c:v>
                </c:pt>
                <c:pt idx="123">
                  <c:v>44439</c:v>
                </c:pt>
                <c:pt idx="124">
                  <c:v>44440</c:v>
                </c:pt>
                <c:pt idx="125">
                  <c:v>44445</c:v>
                </c:pt>
                <c:pt idx="126">
                  <c:v>44446</c:v>
                </c:pt>
                <c:pt idx="127">
                  <c:v>44447</c:v>
                </c:pt>
                <c:pt idx="128">
                  <c:v>44448</c:v>
                </c:pt>
                <c:pt idx="129">
                  <c:v>44449</c:v>
                </c:pt>
                <c:pt idx="130">
                  <c:v>44452</c:v>
                </c:pt>
                <c:pt idx="131">
                  <c:v>44453</c:v>
                </c:pt>
                <c:pt idx="132">
                  <c:v>44454</c:v>
                </c:pt>
                <c:pt idx="133">
                  <c:v>44455</c:v>
                </c:pt>
                <c:pt idx="134">
                  <c:v>44456</c:v>
                </c:pt>
                <c:pt idx="135">
                  <c:v>44459</c:v>
                </c:pt>
                <c:pt idx="136">
                  <c:v>44460</c:v>
                </c:pt>
                <c:pt idx="137">
                  <c:v>44461</c:v>
                </c:pt>
                <c:pt idx="138">
                  <c:v>44462</c:v>
                </c:pt>
                <c:pt idx="139">
                  <c:v>44463</c:v>
                </c:pt>
                <c:pt idx="140">
                  <c:v>44466</c:v>
                </c:pt>
                <c:pt idx="141">
                  <c:v>44467</c:v>
                </c:pt>
                <c:pt idx="142">
                  <c:v>44468</c:v>
                </c:pt>
                <c:pt idx="143">
                  <c:v>44469</c:v>
                </c:pt>
                <c:pt idx="144">
                  <c:v>44470</c:v>
                </c:pt>
                <c:pt idx="145">
                  <c:v>44473</c:v>
                </c:pt>
                <c:pt idx="146">
                  <c:v>44474</c:v>
                </c:pt>
                <c:pt idx="147">
                  <c:v>44475</c:v>
                </c:pt>
                <c:pt idx="148">
                  <c:v>44476</c:v>
                </c:pt>
                <c:pt idx="149">
                  <c:v>44477</c:v>
                </c:pt>
                <c:pt idx="150">
                  <c:v>44480</c:v>
                </c:pt>
                <c:pt idx="151">
                  <c:v>44481</c:v>
                </c:pt>
                <c:pt idx="152">
                  <c:v>44482</c:v>
                </c:pt>
                <c:pt idx="153">
                  <c:v>44483</c:v>
                </c:pt>
                <c:pt idx="154">
                  <c:v>44484</c:v>
                </c:pt>
                <c:pt idx="155">
                  <c:v>44487</c:v>
                </c:pt>
                <c:pt idx="156">
                  <c:v>44488</c:v>
                </c:pt>
                <c:pt idx="157">
                  <c:v>44489</c:v>
                </c:pt>
                <c:pt idx="158">
                  <c:v>44490</c:v>
                </c:pt>
                <c:pt idx="159">
                  <c:v>44491</c:v>
                </c:pt>
                <c:pt idx="160">
                  <c:v>44494</c:v>
                </c:pt>
                <c:pt idx="161">
                  <c:v>44495</c:v>
                </c:pt>
                <c:pt idx="162">
                  <c:v>44496</c:v>
                </c:pt>
                <c:pt idx="163">
                  <c:v>44497</c:v>
                </c:pt>
                <c:pt idx="164">
                  <c:v>44498</c:v>
                </c:pt>
                <c:pt idx="165">
                  <c:v>44501</c:v>
                </c:pt>
                <c:pt idx="166">
                  <c:v>44502</c:v>
                </c:pt>
                <c:pt idx="167">
                  <c:v>44503</c:v>
                </c:pt>
                <c:pt idx="168">
                  <c:v>44504</c:v>
                </c:pt>
                <c:pt idx="169">
                  <c:v>44505</c:v>
                </c:pt>
                <c:pt idx="170">
                  <c:v>44508</c:v>
                </c:pt>
                <c:pt idx="171">
                  <c:v>44509</c:v>
                </c:pt>
                <c:pt idx="172">
                  <c:v>44510</c:v>
                </c:pt>
                <c:pt idx="173">
                  <c:v>44511</c:v>
                </c:pt>
                <c:pt idx="174">
                  <c:v>44512</c:v>
                </c:pt>
                <c:pt idx="175">
                  <c:v>44515</c:v>
                </c:pt>
                <c:pt idx="176">
                  <c:v>44516</c:v>
                </c:pt>
                <c:pt idx="177">
                  <c:v>44517</c:v>
                </c:pt>
                <c:pt idx="178">
                  <c:v>44518</c:v>
                </c:pt>
                <c:pt idx="179">
                  <c:v>44519</c:v>
                </c:pt>
                <c:pt idx="180">
                  <c:v>44522</c:v>
                </c:pt>
                <c:pt idx="181">
                  <c:v>44523</c:v>
                </c:pt>
                <c:pt idx="182">
                  <c:v>44524</c:v>
                </c:pt>
                <c:pt idx="183">
                  <c:v>44525</c:v>
                </c:pt>
                <c:pt idx="184">
                  <c:v>44526</c:v>
                </c:pt>
                <c:pt idx="185">
                  <c:v>44529</c:v>
                </c:pt>
                <c:pt idx="186">
                  <c:v>44530</c:v>
                </c:pt>
                <c:pt idx="187">
                  <c:v>44531</c:v>
                </c:pt>
                <c:pt idx="188">
                  <c:v>44532</c:v>
                </c:pt>
                <c:pt idx="189">
                  <c:v>44533</c:v>
                </c:pt>
                <c:pt idx="190">
                  <c:v>44536</c:v>
                </c:pt>
                <c:pt idx="191">
                  <c:v>44537</c:v>
                </c:pt>
                <c:pt idx="192">
                  <c:v>44538</c:v>
                </c:pt>
                <c:pt idx="193">
                  <c:v>44539</c:v>
                </c:pt>
                <c:pt idx="194">
                  <c:v>44540</c:v>
                </c:pt>
                <c:pt idx="195">
                  <c:v>44543</c:v>
                </c:pt>
                <c:pt idx="196">
                  <c:v>44544</c:v>
                </c:pt>
                <c:pt idx="197">
                  <c:v>44545</c:v>
                </c:pt>
                <c:pt idx="198">
                  <c:v>44546</c:v>
                </c:pt>
                <c:pt idx="199">
                  <c:v>44547</c:v>
                </c:pt>
                <c:pt idx="200">
                  <c:v>44550</c:v>
                </c:pt>
                <c:pt idx="201">
                  <c:v>44551</c:v>
                </c:pt>
                <c:pt idx="202">
                  <c:v>44552</c:v>
                </c:pt>
                <c:pt idx="203">
                  <c:v>44553</c:v>
                </c:pt>
                <c:pt idx="204">
                  <c:v>44554</c:v>
                </c:pt>
                <c:pt idx="205">
                  <c:v>44557</c:v>
                </c:pt>
                <c:pt idx="206">
                  <c:v>44558</c:v>
                </c:pt>
                <c:pt idx="207">
                  <c:v>44559</c:v>
                </c:pt>
                <c:pt idx="208">
                  <c:v>44560</c:v>
                </c:pt>
                <c:pt idx="209">
                  <c:v>44561</c:v>
                </c:pt>
                <c:pt idx="210">
                  <c:v>44565</c:v>
                </c:pt>
                <c:pt idx="211">
                  <c:v>44566</c:v>
                </c:pt>
                <c:pt idx="212">
                  <c:v>44567</c:v>
                </c:pt>
                <c:pt idx="213">
                  <c:v>44568</c:v>
                </c:pt>
                <c:pt idx="214">
                  <c:v>44571</c:v>
                </c:pt>
                <c:pt idx="215">
                  <c:v>44572</c:v>
                </c:pt>
                <c:pt idx="216">
                  <c:v>44573</c:v>
                </c:pt>
                <c:pt idx="217">
                  <c:v>44574</c:v>
                </c:pt>
                <c:pt idx="218">
                  <c:v>44575</c:v>
                </c:pt>
                <c:pt idx="219">
                  <c:v>44578</c:v>
                </c:pt>
                <c:pt idx="220">
                  <c:v>44579</c:v>
                </c:pt>
                <c:pt idx="221">
                  <c:v>44580</c:v>
                </c:pt>
                <c:pt idx="222">
                  <c:v>44581</c:v>
                </c:pt>
                <c:pt idx="223">
                  <c:v>44582</c:v>
                </c:pt>
                <c:pt idx="224">
                  <c:v>44585</c:v>
                </c:pt>
                <c:pt idx="225">
                  <c:v>44586</c:v>
                </c:pt>
                <c:pt idx="226">
                  <c:v>44587</c:v>
                </c:pt>
                <c:pt idx="227">
                  <c:v>44588</c:v>
                </c:pt>
                <c:pt idx="228">
                  <c:v>44589</c:v>
                </c:pt>
                <c:pt idx="229">
                  <c:v>44599</c:v>
                </c:pt>
                <c:pt idx="230">
                  <c:v>44600</c:v>
                </c:pt>
                <c:pt idx="231">
                  <c:v>44601</c:v>
                </c:pt>
                <c:pt idx="232">
                  <c:v>44602</c:v>
                </c:pt>
                <c:pt idx="233">
                  <c:v>44603</c:v>
                </c:pt>
                <c:pt idx="234">
                  <c:v>44606</c:v>
                </c:pt>
                <c:pt idx="235">
                  <c:v>44607</c:v>
                </c:pt>
                <c:pt idx="236">
                  <c:v>44608</c:v>
                </c:pt>
                <c:pt idx="237">
                  <c:v>44609</c:v>
                </c:pt>
                <c:pt idx="238">
                  <c:v>44610</c:v>
                </c:pt>
                <c:pt idx="239">
                  <c:v>44613</c:v>
                </c:pt>
                <c:pt idx="240">
                  <c:v>44614</c:v>
                </c:pt>
                <c:pt idx="241">
                  <c:v>44615</c:v>
                </c:pt>
                <c:pt idx="242">
                  <c:v>44616</c:v>
                </c:pt>
                <c:pt idx="243">
                  <c:v>44617</c:v>
                </c:pt>
                <c:pt idx="244">
                  <c:v>44620</c:v>
                </c:pt>
                <c:pt idx="245">
                  <c:v>44621</c:v>
                </c:pt>
                <c:pt idx="246">
                  <c:v>44622</c:v>
                </c:pt>
                <c:pt idx="247">
                  <c:v>44623</c:v>
                </c:pt>
                <c:pt idx="248">
                  <c:v>44624</c:v>
                </c:pt>
                <c:pt idx="249">
                  <c:v>44627</c:v>
                </c:pt>
                <c:pt idx="250">
                  <c:v>44628</c:v>
                </c:pt>
                <c:pt idx="251">
                  <c:v>44629</c:v>
                </c:pt>
                <c:pt idx="252">
                  <c:v>44630</c:v>
                </c:pt>
                <c:pt idx="253">
                  <c:v>44631</c:v>
                </c:pt>
                <c:pt idx="254">
                  <c:v>44634</c:v>
                </c:pt>
                <c:pt idx="255">
                  <c:v>44635</c:v>
                </c:pt>
                <c:pt idx="256">
                  <c:v>44636</c:v>
                </c:pt>
                <c:pt idx="257">
                  <c:v>44637</c:v>
                </c:pt>
                <c:pt idx="258">
                  <c:v>44638</c:v>
                </c:pt>
                <c:pt idx="259">
                  <c:v>44641</c:v>
                </c:pt>
                <c:pt idx="260">
                  <c:v>44642</c:v>
                </c:pt>
                <c:pt idx="261">
                  <c:v>44643</c:v>
                </c:pt>
                <c:pt idx="262">
                  <c:v>44644</c:v>
                </c:pt>
                <c:pt idx="263">
                  <c:v>44645</c:v>
                </c:pt>
                <c:pt idx="264">
                  <c:v>44648</c:v>
                </c:pt>
                <c:pt idx="265">
                  <c:v>44649</c:v>
                </c:pt>
                <c:pt idx="266">
                  <c:v>44650</c:v>
                </c:pt>
                <c:pt idx="267">
                  <c:v>44651</c:v>
                </c:pt>
                <c:pt idx="268">
                  <c:v>44652</c:v>
                </c:pt>
                <c:pt idx="269">
                  <c:v>44655</c:v>
                </c:pt>
                <c:pt idx="270">
                  <c:v>44656</c:v>
                </c:pt>
                <c:pt idx="271">
                  <c:v>44657</c:v>
                </c:pt>
                <c:pt idx="272">
                  <c:v>44658</c:v>
                </c:pt>
                <c:pt idx="273">
                  <c:v>44659</c:v>
                </c:pt>
                <c:pt idx="274">
                  <c:v>44663</c:v>
                </c:pt>
                <c:pt idx="275">
                  <c:v>44664</c:v>
                </c:pt>
                <c:pt idx="276">
                  <c:v>44665</c:v>
                </c:pt>
                <c:pt idx="277">
                  <c:v>44666</c:v>
                </c:pt>
                <c:pt idx="278">
                  <c:v>44669</c:v>
                </c:pt>
                <c:pt idx="279">
                  <c:v>44670</c:v>
                </c:pt>
                <c:pt idx="280">
                  <c:v>44671</c:v>
                </c:pt>
                <c:pt idx="281">
                  <c:v>44672</c:v>
                </c:pt>
                <c:pt idx="282">
                  <c:v>44673</c:v>
                </c:pt>
                <c:pt idx="283">
                  <c:v>44676</c:v>
                </c:pt>
                <c:pt idx="284">
                  <c:v>44677</c:v>
                </c:pt>
                <c:pt idx="285">
                  <c:v>44678</c:v>
                </c:pt>
                <c:pt idx="286">
                  <c:v>44679</c:v>
                </c:pt>
                <c:pt idx="287">
                  <c:v>44680</c:v>
                </c:pt>
                <c:pt idx="288">
                  <c:v>44685</c:v>
                </c:pt>
                <c:pt idx="289">
                  <c:v>44686</c:v>
                </c:pt>
                <c:pt idx="290">
                  <c:v>44687</c:v>
                </c:pt>
                <c:pt idx="291">
                  <c:v>44690</c:v>
                </c:pt>
                <c:pt idx="292">
                  <c:v>44691</c:v>
                </c:pt>
                <c:pt idx="293">
                  <c:v>44692</c:v>
                </c:pt>
                <c:pt idx="294">
                  <c:v>44693</c:v>
                </c:pt>
                <c:pt idx="295">
                  <c:v>44694</c:v>
                </c:pt>
                <c:pt idx="296">
                  <c:v>44697</c:v>
                </c:pt>
                <c:pt idx="297">
                  <c:v>44698</c:v>
                </c:pt>
                <c:pt idx="298">
                  <c:v>44699</c:v>
                </c:pt>
                <c:pt idx="299">
                  <c:v>44700</c:v>
                </c:pt>
                <c:pt idx="300">
                  <c:v>44701</c:v>
                </c:pt>
                <c:pt idx="301">
                  <c:v>44704</c:v>
                </c:pt>
                <c:pt idx="302">
                  <c:v>44705</c:v>
                </c:pt>
                <c:pt idx="303">
                  <c:v>44706</c:v>
                </c:pt>
                <c:pt idx="304">
                  <c:v>44707</c:v>
                </c:pt>
                <c:pt idx="305">
                  <c:v>44708</c:v>
                </c:pt>
                <c:pt idx="306">
                  <c:v>44711</c:v>
                </c:pt>
                <c:pt idx="307">
                  <c:v>44712</c:v>
                </c:pt>
                <c:pt idx="308">
                  <c:v>44713</c:v>
                </c:pt>
                <c:pt idx="309">
                  <c:v>44714</c:v>
                </c:pt>
                <c:pt idx="310">
                  <c:v>44715</c:v>
                </c:pt>
                <c:pt idx="311">
                  <c:v>44718</c:v>
                </c:pt>
                <c:pt idx="312">
                  <c:v>44719</c:v>
                </c:pt>
                <c:pt idx="313">
                  <c:v>44720</c:v>
                </c:pt>
                <c:pt idx="314">
                  <c:v>44721</c:v>
                </c:pt>
                <c:pt idx="315">
                  <c:v>44722</c:v>
                </c:pt>
                <c:pt idx="316">
                  <c:v>44725</c:v>
                </c:pt>
                <c:pt idx="317">
                  <c:v>44726</c:v>
                </c:pt>
                <c:pt idx="318">
                  <c:v>44727</c:v>
                </c:pt>
                <c:pt idx="319">
                  <c:v>44728</c:v>
                </c:pt>
                <c:pt idx="320">
                  <c:v>44729</c:v>
                </c:pt>
                <c:pt idx="321">
                  <c:v>44732</c:v>
                </c:pt>
                <c:pt idx="322">
                  <c:v>44733</c:v>
                </c:pt>
                <c:pt idx="323">
                  <c:v>44734</c:v>
                </c:pt>
                <c:pt idx="324">
                  <c:v>44735</c:v>
                </c:pt>
                <c:pt idx="325">
                  <c:v>44736</c:v>
                </c:pt>
                <c:pt idx="326">
                  <c:v>44739</c:v>
                </c:pt>
                <c:pt idx="327">
                  <c:v>44740</c:v>
                </c:pt>
                <c:pt idx="328">
                  <c:v>44741</c:v>
                </c:pt>
                <c:pt idx="329">
                  <c:v>44742</c:v>
                </c:pt>
                <c:pt idx="330">
                  <c:v>44743</c:v>
                </c:pt>
                <c:pt idx="331">
                  <c:v>44746</c:v>
                </c:pt>
                <c:pt idx="332">
                  <c:v>44747</c:v>
                </c:pt>
                <c:pt idx="333">
                  <c:v>44748</c:v>
                </c:pt>
                <c:pt idx="334">
                  <c:v>44749</c:v>
                </c:pt>
                <c:pt idx="335">
                  <c:v>44750</c:v>
                </c:pt>
                <c:pt idx="336">
                  <c:v>44753</c:v>
                </c:pt>
                <c:pt idx="337">
                  <c:v>44754</c:v>
                </c:pt>
                <c:pt idx="338">
                  <c:v>44755</c:v>
                </c:pt>
                <c:pt idx="339">
                  <c:v>44756</c:v>
                </c:pt>
                <c:pt idx="340">
                  <c:v>44757</c:v>
                </c:pt>
                <c:pt idx="341">
                  <c:v>44760</c:v>
                </c:pt>
                <c:pt idx="342">
                  <c:v>44761</c:v>
                </c:pt>
                <c:pt idx="343">
                  <c:v>44762</c:v>
                </c:pt>
                <c:pt idx="344">
                  <c:v>44763</c:v>
                </c:pt>
                <c:pt idx="345">
                  <c:v>44764</c:v>
                </c:pt>
                <c:pt idx="346">
                  <c:v>44767</c:v>
                </c:pt>
                <c:pt idx="347">
                  <c:v>44768</c:v>
                </c:pt>
                <c:pt idx="348">
                  <c:v>44769</c:v>
                </c:pt>
                <c:pt idx="349">
                  <c:v>44770</c:v>
                </c:pt>
                <c:pt idx="350">
                  <c:v>44771</c:v>
                </c:pt>
                <c:pt idx="351">
                  <c:v>44774</c:v>
                </c:pt>
                <c:pt idx="352">
                  <c:v>44775</c:v>
                </c:pt>
                <c:pt idx="353">
                  <c:v>44776</c:v>
                </c:pt>
                <c:pt idx="354">
                  <c:v>44777</c:v>
                </c:pt>
                <c:pt idx="355">
                  <c:v>44778</c:v>
                </c:pt>
                <c:pt idx="356">
                  <c:v>44781</c:v>
                </c:pt>
                <c:pt idx="357">
                  <c:v>44782</c:v>
                </c:pt>
                <c:pt idx="358">
                  <c:v>44783</c:v>
                </c:pt>
                <c:pt idx="359">
                  <c:v>44784</c:v>
                </c:pt>
                <c:pt idx="360">
                  <c:v>44785</c:v>
                </c:pt>
                <c:pt idx="361">
                  <c:v>44788</c:v>
                </c:pt>
                <c:pt idx="362">
                  <c:v>44789</c:v>
                </c:pt>
                <c:pt idx="363">
                  <c:v>44790</c:v>
                </c:pt>
                <c:pt idx="364">
                  <c:v>44791</c:v>
                </c:pt>
                <c:pt idx="365">
                  <c:v>44792</c:v>
                </c:pt>
                <c:pt idx="366">
                  <c:v>44795</c:v>
                </c:pt>
                <c:pt idx="367">
                  <c:v>44796</c:v>
                </c:pt>
                <c:pt idx="368">
                  <c:v>44797</c:v>
                </c:pt>
                <c:pt idx="369">
                  <c:v>44798</c:v>
                </c:pt>
                <c:pt idx="370">
                  <c:v>44799</c:v>
                </c:pt>
                <c:pt idx="371">
                  <c:v>44802</c:v>
                </c:pt>
                <c:pt idx="372">
                  <c:v>44803</c:v>
                </c:pt>
                <c:pt idx="373">
                  <c:v>44804</c:v>
                </c:pt>
                <c:pt idx="374">
                  <c:v>44809</c:v>
                </c:pt>
                <c:pt idx="375">
                  <c:v>44810</c:v>
                </c:pt>
                <c:pt idx="376">
                  <c:v>44811</c:v>
                </c:pt>
                <c:pt idx="377">
                  <c:v>44812</c:v>
                </c:pt>
                <c:pt idx="378">
                  <c:v>44813</c:v>
                </c:pt>
                <c:pt idx="379">
                  <c:v>44816</c:v>
                </c:pt>
                <c:pt idx="380">
                  <c:v>44817</c:v>
                </c:pt>
                <c:pt idx="381">
                  <c:v>44818</c:v>
                </c:pt>
                <c:pt idx="382">
                  <c:v>44819</c:v>
                </c:pt>
                <c:pt idx="383">
                  <c:v>44820</c:v>
                </c:pt>
                <c:pt idx="384">
                  <c:v>44823</c:v>
                </c:pt>
                <c:pt idx="385">
                  <c:v>44824</c:v>
                </c:pt>
                <c:pt idx="386">
                  <c:v>44825</c:v>
                </c:pt>
                <c:pt idx="387">
                  <c:v>44826</c:v>
                </c:pt>
                <c:pt idx="388">
                  <c:v>44827</c:v>
                </c:pt>
                <c:pt idx="389">
                  <c:v>44830</c:v>
                </c:pt>
                <c:pt idx="390">
                  <c:v>44831</c:v>
                </c:pt>
                <c:pt idx="391">
                  <c:v>44832</c:v>
                </c:pt>
                <c:pt idx="392">
                  <c:v>44833</c:v>
                </c:pt>
                <c:pt idx="393">
                  <c:v>44834</c:v>
                </c:pt>
                <c:pt idx="394">
                  <c:v>44837</c:v>
                </c:pt>
                <c:pt idx="395">
                  <c:v>44838</c:v>
                </c:pt>
                <c:pt idx="396">
                  <c:v>44839</c:v>
                </c:pt>
                <c:pt idx="397">
                  <c:v>44840</c:v>
                </c:pt>
                <c:pt idx="398">
                  <c:v>44841</c:v>
                </c:pt>
                <c:pt idx="399">
                  <c:v>44844</c:v>
                </c:pt>
                <c:pt idx="400">
                  <c:v>44845</c:v>
                </c:pt>
                <c:pt idx="401">
                  <c:v>44846</c:v>
                </c:pt>
                <c:pt idx="402">
                  <c:v>44847</c:v>
                </c:pt>
                <c:pt idx="403">
                  <c:v>44848</c:v>
                </c:pt>
                <c:pt idx="404">
                  <c:v>44851</c:v>
                </c:pt>
                <c:pt idx="405">
                  <c:v>44852</c:v>
                </c:pt>
                <c:pt idx="406">
                  <c:v>44853</c:v>
                </c:pt>
                <c:pt idx="407">
                  <c:v>44854</c:v>
                </c:pt>
                <c:pt idx="408">
                  <c:v>44855</c:v>
                </c:pt>
                <c:pt idx="409">
                  <c:v>44858</c:v>
                </c:pt>
                <c:pt idx="410">
                  <c:v>44859</c:v>
                </c:pt>
                <c:pt idx="411">
                  <c:v>44860</c:v>
                </c:pt>
                <c:pt idx="412">
                  <c:v>44861</c:v>
                </c:pt>
                <c:pt idx="413">
                  <c:v>44862</c:v>
                </c:pt>
                <c:pt idx="414">
                  <c:v>44865</c:v>
                </c:pt>
                <c:pt idx="415">
                  <c:v>44866</c:v>
                </c:pt>
                <c:pt idx="416">
                  <c:v>44867</c:v>
                </c:pt>
                <c:pt idx="417">
                  <c:v>44868</c:v>
                </c:pt>
                <c:pt idx="418">
                  <c:v>44869</c:v>
                </c:pt>
                <c:pt idx="419">
                  <c:v>44872</c:v>
                </c:pt>
                <c:pt idx="420">
                  <c:v>44873</c:v>
                </c:pt>
                <c:pt idx="421">
                  <c:v>44874</c:v>
                </c:pt>
                <c:pt idx="422">
                  <c:v>44875</c:v>
                </c:pt>
                <c:pt idx="423">
                  <c:v>44876</c:v>
                </c:pt>
                <c:pt idx="424">
                  <c:v>44879</c:v>
                </c:pt>
                <c:pt idx="425">
                  <c:v>44880</c:v>
                </c:pt>
                <c:pt idx="426">
                  <c:v>44881</c:v>
                </c:pt>
                <c:pt idx="427">
                  <c:v>44882</c:v>
                </c:pt>
                <c:pt idx="428">
                  <c:v>44883</c:v>
                </c:pt>
                <c:pt idx="429">
                  <c:v>44886</c:v>
                </c:pt>
                <c:pt idx="430">
                  <c:v>44887</c:v>
                </c:pt>
                <c:pt idx="431">
                  <c:v>44888</c:v>
                </c:pt>
                <c:pt idx="432">
                  <c:v>44889</c:v>
                </c:pt>
                <c:pt idx="433">
                  <c:v>44890</c:v>
                </c:pt>
                <c:pt idx="434">
                  <c:v>44893</c:v>
                </c:pt>
                <c:pt idx="435">
                  <c:v>44894</c:v>
                </c:pt>
                <c:pt idx="436">
                  <c:v>44895</c:v>
                </c:pt>
                <c:pt idx="437">
                  <c:v>44896</c:v>
                </c:pt>
                <c:pt idx="438">
                  <c:v>44897</c:v>
                </c:pt>
                <c:pt idx="439">
                  <c:v>44900</c:v>
                </c:pt>
                <c:pt idx="440">
                  <c:v>44901</c:v>
                </c:pt>
                <c:pt idx="441">
                  <c:v>44902</c:v>
                </c:pt>
                <c:pt idx="442">
                  <c:v>44903</c:v>
                </c:pt>
                <c:pt idx="443">
                  <c:v>44904</c:v>
                </c:pt>
                <c:pt idx="444">
                  <c:v>44907</c:v>
                </c:pt>
                <c:pt idx="445">
                  <c:v>44908</c:v>
                </c:pt>
                <c:pt idx="446">
                  <c:v>44909</c:v>
                </c:pt>
                <c:pt idx="447">
                  <c:v>44910</c:v>
                </c:pt>
                <c:pt idx="448">
                  <c:v>44911</c:v>
                </c:pt>
                <c:pt idx="449">
                  <c:v>44914</c:v>
                </c:pt>
                <c:pt idx="450">
                  <c:v>44915</c:v>
                </c:pt>
                <c:pt idx="451">
                  <c:v>44916</c:v>
                </c:pt>
                <c:pt idx="452">
                  <c:v>44917</c:v>
                </c:pt>
                <c:pt idx="453">
                  <c:v>44918</c:v>
                </c:pt>
                <c:pt idx="454">
                  <c:v>44921</c:v>
                </c:pt>
                <c:pt idx="455">
                  <c:v>44922</c:v>
                </c:pt>
                <c:pt idx="456">
                  <c:v>44923</c:v>
                </c:pt>
                <c:pt idx="457">
                  <c:v>44924</c:v>
                </c:pt>
                <c:pt idx="458">
                  <c:v>44925</c:v>
                </c:pt>
                <c:pt idx="459">
                  <c:v>44929</c:v>
                </c:pt>
                <c:pt idx="460">
                  <c:v>44930</c:v>
                </c:pt>
                <c:pt idx="461">
                  <c:v>44931</c:v>
                </c:pt>
                <c:pt idx="462">
                  <c:v>44932</c:v>
                </c:pt>
                <c:pt idx="463">
                  <c:v>44935</c:v>
                </c:pt>
                <c:pt idx="464">
                  <c:v>44936</c:v>
                </c:pt>
                <c:pt idx="465">
                  <c:v>44937</c:v>
                </c:pt>
                <c:pt idx="466">
                  <c:v>44938</c:v>
                </c:pt>
                <c:pt idx="467">
                  <c:v>44939</c:v>
                </c:pt>
                <c:pt idx="468">
                  <c:v>44942</c:v>
                </c:pt>
                <c:pt idx="469">
                  <c:v>44943</c:v>
                </c:pt>
                <c:pt idx="470">
                  <c:v>44944</c:v>
                </c:pt>
                <c:pt idx="471">
                  <c:v>44945</c:v>
                </c:pt>
                <c:pt idx="472">
                  <c:v>44953</c:v>
                </c:pt>
                <c:pt idx="473">
                  <c:v>44956</c:v>
                </c:pt>
                <c:pt idx="474">
                  <c:v>44957</c:v>
                </c:pt>
                <c:pt idx="475">
                  <c:v>44958</c:v>
                </c:pt>
                <c:pt idx="476">
                  <c:v>44959</c:v>
                </c:pt>
                <c:pt idx="477">
                  <c:v>44960</c:v>
                </c:pt>
                <c:pt idx="478">
                  <c:v>44963</c:v>
                </c:pt>
                <c:pt idx="479">
                  <c:v>44964</c:v>
                </c:pt>
                <c:pt idx="480">
                  <c:v>44965</c:v>
                </c:pt>
                <c:pt idx="481">
                  <c:v>44966</c:v>
                </c:pt>
                <c:pt idx="482">
                  <c:v>44967</c:v>
                </c:pt>
                <c:pt idx="483">
                  <c:v>44970</c:v>
                </c:pt>
                <c:pt idx="484">
                  <c:v>44971</c:v>
                </c:pt>
                <c:pt idx="485">
                  <c:v>44972</c:v>
                </c:pt>
                <c:pt idx="486">
                  <c:v>44973</c:v>
                </c:pt>
                <c:pt idx="487">
                  <c:v>44974</c:v>
                </c:pt>
                <c:pt idx="488">
                  <c:v>44977</c:v>
                </c:pt>
                <c:pt idx="489">
                  <c:v>44978</c:v>
                </c:pt>
                <c:pt idx="490">
                  <c:v>44979</c:v>
                </c:pt>
                <c:pt idx="491">
                  <c:v>44980</c:v>
                </c:pt>
                <c:pt idx="492">
                  <c:v>44981</c:v>
                </c:pt>
                <c:pt idx="493">
                  <c:v>44984</c:v>
                </c:pt>
                <c:pt idx="494">
                  <c:v>44985</c:v>
                </c:pt>
                <c:pt idx="495">
                  <c:v>44986</c:v>
                </c:pt>
                <c:pt idx="496">
                  <c:v>44987</c:v>
                </c:pt>
                <c:pt idx="497">
                  <c:v>44988</c:v>
                </c:pt>
                <c:pt idx="498">
                  <c:v>44991</c:v>
                </c:pt>
                <c:pt idx="499">
                  <c:v>44992</c:v>
                </c:pt>
                <c:pt idx="500">
                  <c:v>44993</c:v>
                </c:pt>
                <c:pt idx="501">
                  <c:v>44994</c:v>
                </c:pt>
                <c:pt idx="502">
                  <c:v>44995</c:v>
                </c:pt>
                <c:pt idx="503">
                  <c:v>44998</c:v>
                </c:pt>
                <c:pt idx="504">
                  <c:v>44999</c:v>
                </c:pt>
                <c:pt idx="505">
                  <c:v>45000</c:v>
                </c:pt>
                <c:pt idx="506">
                  <c:v>45001</c:v>
                </c:pt>
                <c:pt idx="507">
                  <c:v>45002</c:v>
                </c:pt>
                <c:pt idx="508">
                  <c:v>45005</c:v>
                </c:pt>
                <c:pt idx="509">
                  <c:v>45006</c:v>
                </c:pt>
                <c:pt idx="510">
                  <c:v>45007</c:v>
                </c:pt>
                <c:pt idx="511">
                  <c:v>45008</c:v>
                </c:pt>
                <c:pt idx="512">
                  <c:v>45009</c:v>
                </c:pt>
                <c:pt idx="513">
                  <c:v>45012</c:v>
                </c:pt>
                <c:pt idx="514">
                  <c:v>45013</c:v>
                </c:pt>
                <c:pt idx="515">
                  <c:v>45014</c:v>
                </c:pt>
                <c:pt idx="516">
                  <c:v>45015</c:v>
                </c:pt>
                <c:pt idx="517">
                  <c:v>45016</c:v>
                </c:pt>
                <c:pt idx="518">
                  <c:v>45019</c:v>
                </c:pt>
                <c:pt idx="519">
                  <c:v>45020</c:v>
                </c:pt>
                <c:pt idx="520">
                  <c:v>45021</c:v>
                </c:pt>
                <c:pt idx="521">
                  <c:v>45022</c:v>
                </c:pt>
                <c:pt idx="522">
                  <c:v>45023</c:v>
                </c:pt>
                <c:pt idx="523">
                  <c:v>45026</c:v>
                </c:pt>
                <c:pt idx="524">
                  <c:v>45027</c:v>
                </c:pt>
                <c:pt idx="525">
                  <c:v>45028</c:v>
                </c:pt>
                <c:pt idx="526">
                  <c:v>45029</c:v>
                </c:pt>
                <c:pt idx="527">
                  <c:v>45030</c:v>
                </c:pt>
                <c:pt idx="528">
                  <c:v>45033</c:v>
                </c:pt>
                <c:pt idx="529">
                  <c:v>45034</c:v>
                </c:pt>
                <c:pt idx="530">
                  <c:v>45035</c:v>
                </c:pt>
                <c:pt idx="531">
                  <c:v>45036</c:v>
                </c:pt>
                <c:pt idx="532">
                  <c:v>45037</c:v>
                </c:pt>
                <c:pt idx="533">
                  <c:v>45040</c:v>
                </c:pt>
                <c:pt idx="534">
                  <c:v>45041</c:v>
                </c:pt>
                <c:pt idx="535">
                  <c:v>45042</c:v>
                </c:pt>
                <c:pt idx="536">
                  <c:v>45043</c:v>
                </c:pt>
                <c:pt idx="537">
                  <c:v>45044</c:v>
                </c:pt>
                <c:pt idx="538">
                  <c:v>45050</c:v>
                </c:pt>
                <c:pt idx="539">
                  <c:v>45051</c:v>
                </c:pt>
                <c:pt idx="540">
                  <c:v>45054</c:v>
                </c:pt>
                <c:pt idx="541">
                  <c:v>45055</c:v>
                </c:pt>
                <c:pt idx="542">
                  <c:v>45056</c:v>
                </c:pt>
                <c:pt idx="543">
                  <c:v>45057</c:v>
                </c:pt>
                <c:pt idx="544">
                  <c:v>45058</c:v>
                </c:pt>
                <c:pt idx="545">
                  <c:v>45061</c:v>
                </c:pt>
                <c:pt idx="546">
                  <c:v>45062</c:v>
                </c:pt>
                <c:pt idx="547">
                  <c:v>45063</c:v>
                </c:pt>
                <c:pt idx="548">
                  <c:v>45064</c:v>
                </c:pt>
                <c:pt idx="549">
                  <c:v>45065</c:v>
                </c:pt>
                <c:pt idx="550">
                  <c:v>45068</c:v>
                </c:pt>
                <c:pt idx="551">
                  <c:v>45069</c:v>
                </c:pt>
                <c:pt idx="552">
                  <c:v>45070</c:v>
                </c:pt>
                <c:pt idx="553">
                  <c:v>45071</c:v>
                </c:pt>
                <c:pt idx="554">
                  <c:v>45072</c:v>
                </c:pt>
                <c:pt idx="555">
                  <c:v>45075</c:v>
                </c:pt>
                <c:pt idx="556">
                  <c:v>45076</c:v>
                </c:pt>
                <c:pt idx="557">
                  <c:v>45077</c:v>
                </c:pt>
                <c:pt idx="558">
                  <c:v>45078</c:v>
                </c:pt>
                <c:pt idx="559">
                  <c:v>45079</c:v>
                </c:pt>
                <c:pt idx="560">
                  <c:v>45082</c:v>
                </c:pt>
                <c:pt idx="561">
                  <c:v>45083</c:v>
                </c:pt>
                <c:pt idx="562">
                  <c:v>45084</c:v>
                </c:pt>
                <c:pt idx="563">
                  <c:v>45085</c:v>
                </c:pt>
                <c:pt idx="564">
                  <c:v>45086</c:v>
                </c:pt>
                <c:pt idx="565">
                  <c:v>45089</c:v>
                </c:pt>
                <c:pt idx="566">
                  <c:v>45090</c:v>
                </c:pt>
                <c:pt idx="567">
                  <c:v>45091</c:v>
                </c:pt>
                <c:pt idx="568">
                  <c:v>45092</c:v>
                </c:pt>
                <c:pt idx="569">
                  <c:v>45093</c:v>
                </c:pt>
                <c:pt idx="570">
                  <c:v>45096</c:v>
                </c:pt>
                <c:pt idx="571">
                  <c:v>45097</c:v>
                </c:pt>
                <c:pt idx="572">
                  <c:v>45098</c:v>
                </c:pt>
                <c:pt idx="573">
                  <c:v>45099</c:v>
                </c:pt>
                <c:pt idx="574">
                  <c:v>45100</c:v>
                </c:pt>
                <c:pt idx="575">
                  <c:v>45103</c:v>
                </c:pt>
                <c:pt idx="576">
                  <c:v>45104</c:v>
                </c:pt>
                <c:pt idx="577">
                  <c:v>45105</c:v>
                </c:pt>
                <c:pt idx="578">
                  <c:v>45106</c:v>
                </c:pt>
                <c:pt idx="579">
                  <c:v>45107</c:v>
                </c:pt>
                <c:pt idx="580">
                  <c:v>45110</c:v>
                </c:pt>
                <c:pt idx="581">
                  <c:v>45111</c:v>
                </c:pt>
                <c:pt idx="582">
                  <c:v>45112</c:v>
                </c:pt>
                <c:pt idx="583">
                  <c:v>45113</c:v>
                </c:pt>
                <c:pt idx="584">
                  <c:v>45114</c:v>
                </c:pt>
                <c:pt idx="585">
                  <c:v>45117</c:v>
                </c:pt>
                <c:pt idx="586">
                  <c:v>45118</c:v>
                </c:pt>
                <c:pt idx="587">
                  <c:v>45119</c:v>
                </c:pt>
                <c:pt idx="588">
                  <c:v>45120</c:v>
                </c:pt>
                <c:pt idx="589">
                  <c:v>45121</c:v>
                </c:pt>
                <c:pt idx="590">
                  <c:v>45124</c:v>
                </c:pt>
                <c:pt idx="591">
                  <c:v>45125</c:v>
                </c:pt>
                <c:pt idx="592">
                  <c:v>45126</c:v>
                </c:pt>
                <c:pt idx="593">
                  <c:v>45127</c:v>
                </c:pt>
                <c:pt idx="594">
                  <c:v>45128</c:v>
                </c:pt>
                <c:pt idx="595">
                  <c:v>45131</c:v>
                </c:pt>
                <c:pt idx="596">
                  <c:v>45132</c:v>
                </c:pt>
                <c:pt idx="597">
                  <c:v>45133</c:v>
                </c:pt>
                <c:pt idx="598">
                  <c:v>45134</c:v>
                </c:pt>
                <c:pt idx="599">
                  <c:v>45135</c:v>
                </c:pt>
                <c:pt idx="600">
                  <c:v>45138</c:v>
                </c:pt>
                <c:pt idx="601">
                  <c:v>45139</c:v>
                </c:pt>
                <c:pt idx="602">
                  <c:v>45140</c:v>
                </c:pt>
                <c:pt idx="603">
                  <c:v>45141</c:v>
                </c:pt>
                <c:pt idx="604">
                  <c:v>45142</c:v>
                </c:pt>
                <c:pt idx="605">
                  <c:v>45145</c:v>
                </c:pt>
                <c:pt idx="606">
                  <c:v>45146</c:v>
                </c:pt>
                <c:pt idx="607">
                  <c:v>45147</c:v>
                </c:pt>
                <c:pt idx="608">
                  <c:v>45148</c:v>
                </c:pt>
                <c:pt idx="609">
                  <c:v>45149</c:v>
                </c:pt>
                <c:pt idx="610">
                  <c:v>45152</c:v>
                </c:pt>
                <c:pt idx="611">
                  <c:v>45153</c:v>
                </c:pt>
                <c:pt idx="612">
                  <c:v>45154</c:v>
                </c:pt>
                <c:pt idx="613">
                  <c:v>45155</c:v>
                </c:pt>
                <c:pt idx="614">
                  <c:v>45156</c:v>
                </c:pt>
                <c:pt idx="615">
                  <c:v>45159</c:v>
                </c:pt>
                <c:pt idx="616">
                  <c:v>45160</c:v>
                </c:pt>
                <c:pt idx="617">
                  <c:v>45161</c:v>
                </c:pt>
                <c:pt idx="618">
                  <c:v>45162</c:v>
                </c:pt>
                <c:pt idx="619">
                  <c:v>45163</c:v>
                </c:pt>
                <c:pt idx="620">
                  <c:v>45166</c:v>
                </c:pt>
                <c:pt idx="621">
                  <c:v>45167</c:v>
                </c:pt>
                <c:pt idx="622">
                  <c:v>45168</c:v>
                </c:pt>
                <c:pt idx="623">
                  <c:v>45169</c:v>
                </c:pt>
                <c:pt idx="624">
                  <c:v>45174</c:v>
                </c:pt>
                <c:pt idx="625">
                  <c:v>45175</c:v>
                </c:pt>
                <c:pt idx="626">
                  <c:v>45176</c:v>
                </c:pt>
                <c:pt idx="627">
                  <c:v>45177</c:v>
                </c:pt>
                <c:pt idx="628">
                  <c:v>45180</c:v>
                </c:pt>
                <c:pt idx="629">
                  <c:v>45181</c:v>
                </c:pt>
                <c:pt idx="630">
                  <c:v>45182</c:v>
                </c:pt>
                <c:pt idx="631">
                  <c:v>45183</c:v>
                </c:pt>
                <c:pt idx="632">
                  <c:v>45184</c:v>
                </c:pt>
                <c:pt idx="633">
                  <c:v>45187</c:v>
                </c:pt>
                <c:pt idx="634">
                  <c:v>45188</c:v>
                </c:pt>
                <c:pt idx="635">
                  <c:v>45189</c:v>
                </c:pt>
                <c:pt idx="636">
                  <c:v>45190</c:v>
                </c:pt>
                <c:pt idx="637">
                  <c:v>45191</c:v>
                </c:pt>
                <c:pt idx="638">
                  <c:v>45194</c:v>
                </c:pt>
                <c:pt idx="639">
                  <c:v>45195</c:v>
                </c:pt>
                <c:pt idx="640">
                  <c:v>45196</c:v>
                </c:pt>
                <c:pt idx="641">
                  <c:v>45197</c:v>
                </c:pt>
                <c:pt idx="642">
                  <c:v>45198</c:v>
                </c:pt>
                <c:pt idx="643">
                  <c:v>45201</c:v>
                </c:pt>
                <c:pt idx="644">
                  <c:v>45202</c:v>
                </c:pt>
                <c:pt idx="645">
                  <c:v>45203</c:v>
                </c:pt>
                <c:pt idx="646">
                  <c:v>45204</c:v>
                </c:pt>
                <c:pt idx="647">
                  <c:v>45205</c:v>
                </c:pt>
                <c:pt idx="648">
                  <c:v>45208</c:v>
                </c:pt>
                <c:pt idx="649">
                  <c:v>45209</c:v>
                </c:pt>
                <c:pt idx="650">
                  <c:v>45210</c:v>
                </c:pt>
                <c:pt idx="651">
                  <c:v>45211</c:v>
                </c:pt>
                <c:pt idx="652">
                  <c:v>45212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45222</c:v>
                </c:pt>
                <c:pt idx="659">
                  <c:v>45223</c:v>
                </c:pt>
                <c:pt idx="660">
                  <c:v>45224</c:v>
                </c:pt>
                <c:pt idx="661">
                  <c:v>45225</c:v>
                </c:pt>
                <c:pt idx="662">
                  <c:v>45226</c:v>
                </c:pt>
                <c:pt idx="663">
                  <c:v>45229</c:v>
                </c:pt>
                <c:pt idx="664">
                  <c:v>45230</c:v>
                </c:pt>
                <c:pt idx="665">
                  <c:v>45231</c:v>
                </c:pt>
                <c:pt idx="666">
                  <c:v>45232</c:v>
                </c:pt>
                <c:pt idx="667">
                  <c:v>45233</c:v>
                </c:pt>
                <c:pt idx="668">
                  <c:v>45236</c:v>
                </c:pt>
                <c:pt idx="669">
                  <c:v>45237</c:v>
                </c:pt>
                <c:pt idx="670">
                  <c:v>45238</c:v>
                </c:pt>
                <c:pt idx="671">
                  <c:v>45239</c:v>
                </c:pt>
                <c:pt idx="672">
                  <c:v>45240</c:v>
                </c:pt>
                <c:pt idx="673">
                  <c:v>45243</c:v>
                </c:pt>
                <c:pt idx="674">
                  <c:v>45244</c:v>
                </c:pt>
                <c:pt idx="675">
                  <c:v>45245</c:v>
                </c:pt>
                <c:pt idx="676">
                  <c:v>45246</c:v>
                </c:pt>
                <c:pt idx="677">
                  <c:v>45247</c:v>
                </c:pt>
                <c:pt idx="678">
                  <c:v>45250</c:v>
                </c:pt>
                <c:pt idx="679">
                  <c:v>45251</c:v>
                </c:pt>
                <c:pt idx="680">
                  <c:v>45252</c:v>
                </c:pt>
                <c:pt idx="681">
                  <c:v>45253</c:v>
                </c:pt>
                <c:pt idx="682">
                  <c:v>45254</c:v>
                </c:pt>
                <c:pt idx="683">
                  <c:v>45257</c:v>
                </c:pt>
                <c:pt idx="684">
                  <c:v>45258</c:v>
                </c:pt>
                <c:pt idx="685">
                  <c:v>45259</c:v>
                </c:pt>
                <c:pt idx="686">
                  <c:v>45260</c:v>
                </c:pt>
                <c:pt idx="687">
                  <c:v>45261</c:v>
                </c:pt>
                <c:pt idx="688">
                  <c:v>45264</c:v>
                </c:pt>
                <c:pt idx="689">
                  <c:v>45265</c:v>
                </c:pt>
                <c:pt idx="690">
                  <c:v>45266</c:v>
                </c:pt>
                <c:pt idx="691">
                  <c:v>45267</c:v>
                </c:pt>
                <c:pt idx="692">
                  <c:v>45268</c:v>
                </c:pt>
                <c:pt idx="693">
                  <c:v>45271</c:v>
                </c:pt>
                <c:pt idx="694">
                  <c:v>45272</c:v>
                </c:pt>
                <c:pt idx="695">
                  <c:v>45273</c:v>
                </c:pt>
                <c:pt idx="696">
                  <c:v>45274</c:v>
                </c:pt>
                <c:pt idx="697">
                  <c:v>45275</c:v>
                </c:pt>
                <c:pt idx="698">
                  <c:v>45278</c:v>
                </c:pt>
                <c:pt idx="699">
                  <c:v>45279</c:v>
                </c:pt>
                <c:pt idx="700">
                  <c:v>45280</c:v>
                </c:pt>
                <c:pt idx="701">
                  <c:v>45281</c:v>
                </c:pt>
                <c:pt idx="702">
                  <c:v>45282</c:v>
                </c:pt>
                <c:pt idx="703">
                  <c:v>45285</c:v>
                </c:pt>
                <c:pt idx="704">
                  <c:v>45286</c:v>
                </c:pt>
                <c:pt idx="705">
                  <c:v>45287</c:v>
                </c:pt>
                <c:pt idx="706">
                  <c:v>45288</c:v>
                </c:pt>
                <c:pt idx="707">
                  <c:v>45289</c:v>
                </c:pt>
                <c:pt idx="708">
                  <c:v>45293</c:v>
                </c:pt>
                <c:pt idx="709">
                  <c:v>45294</c:v>
                </c:pt>
                <c:pt idx="710">
                  <c:v>45295</c:v>
                </c:pt>
                <c:pt idx="711">
                  <c:v>45296</c:v>
                </c:pt>
                <c:pt idx="712">
                  <c:v>45299</c:v>
                </c:pt>
                <c:pt idx="713">
                  <c:v>45300</c:v>
                </c:pt>
                <c:pt idx="714">
                  <c:v>45301</c:v>
                </c:pt>
                <c:pt idx="715">
                  <c:v>45302</c:v>
                </c:pt>
                <c:pt idx="716">
                  <c:v>45303</c:v>
                </c:pt>
                <c:pt idx="717">
                  <c:v>45306</c:v>
                </c:pt>
                <c:pt idx="718">
                  <c:v>45307</c:v>
                </c:pt>
                <c:pt idx="719">
                  <c:v>45308</c:v>
                </c:pt>
                <c:pt idx="720">
                  <c:v>45309</c:v>
                </c:pt>
                <c:pt idx="721">
                  <c:v>45310</c:v>
                </c:pt>
                <c:pt idx="722">
                  <c:v>45313</c:v>
                </c:pt>
                <c:pt idx="723">
                  <c:v>45314</c:v>
                </c:pt>
                <c:pt idx="724">
                  <c:v>45315</c:v>
                </c:pt>
                <c:pt idx="725">
                  <c:v>45316</c:v>
                </c:pt>
                <c:pt idx="726">
                  <c:v>45317</c:v>
                </c:pt>
                <c:pt idx="727">
                  <c:v>45320</c:v>
                </c:pt>
                <c:pt idx="728">
                  <c:v>45321</c:v>
                </c:pt>
                <c:pt idx="729">
                  <c:v>45322</c:v>
                </c:pt>
                <c:pt idx="730">
                  <c:v>45323</c:v>
                </c:pt>
                <c:pt idx="731">
                  <c:v>45324</c:v>
                </c:pt>
                <c:pt idx="732">
                  <c:v>45327</c:v>
                </c:pt>
                <c:pt idx="733">
                  <c:v>45328</c:v>
                </c:pt>
                <c:pt idx="734">
                  <c:v>45329</c:v>
                </c:pt>
                <c:pt idx="735">
                  <c:v>45337</c:v>
                </c:pt>
                <c:pt idx="736">
                  <c:v>45338</c:v>
                </c:pt>
                <c:pt idx="737">
                  <c:v>45341</c:v>
                </c:pt>
                <c:pt idx="738">
                  <c:v>45342</c:v>
                </c:pt>
                <c:pt idx="739">
                  <c:v>45343</c:v>
                </c:pt>
                <c:pt idx="740">
                  <c:v>45344</c:v>
                </c:pt>
                <c:pt idx="741">
                  <c:v>45345</c:v>
                </c:pt>
                <c:pt idx="742">
                  <c:v>45348</c:v>
                </c:pt>
                <c:pt idx="743">
                  <c:v>45349</c:v>
                </c:pt>
                <c:pt idx="744">
                  <c:v>45350</c:v>
                </c:pt>
                <c:pt idx="745">
                  <c:v>45351</c:v>
                </c:pt>
                <c:pt idx="746">
                  <c:v>45352</c:v>
                </c:pt>
                <c:pt idx="747">
                  <c:v>45355</c:v>
                </c:pt>
                <c:pt idx="748">
                  <c:v>45356</c:v>
                </c:pt>
                <c:pt idx="749">
                  <c:v>45357</c:v>
                </c:pt>
                <c:pt idx="750">
                  <c:v>45358</c:v>
                </c:pt>
                <c:pt idx="751">
                  <c:v>45359</c:v>
                </c:pt>
                <c:pt idx="752">
                  <c:v>45362</c:v>
                </c:pt>
                <c:pt idx="753">
                  <c:v>45363</c:v>
                </c:pt>
                <c:pt idx="754">
                  <c:v>45364</c:v>
                </c:pt>
                <c:pt idx="755">
                  <c:v>45365</c:v>
                </c:pt>
                <c:pt idx="756">
                  <c:v>45366</c:v>
                </c:pt>
                <c:pt idx="757">
                  <c:v>45369</c:v>
                </c:pt>
                <c:pt idx="758">
                  <c:v>45370</c:v>
                </c:pt>
                <c:pt idx="759">
                  <c:v>45371</c:v>
                </c:pt>
                <c:pt idx="760">
                  <c:v>45372</c:v>
                </c:pt>
                <c:pt idx="761">
                  <c:v>45373</c:v>
                </c:pt>
                <c:pt idx="762">
                  <c:v>45376</c:v>
                </c:pt>
                <c:pt idx="763">
                  <c:v>45377</c:v>
                </c:pt>
                <c:pt idx="764">
                  <c:v>45378</c:v>
                </c:pt>
                <c:pt idx="765">
                  <c:v>45379</c:v>
                </c:pt>
                <c:pt idx="766">
                  <c:v>45380</c:v>
                </c:pt>
                <c:pt idx="767">
                  <c:v>45383</c:v>
                </c:pt>
                <c:pt idx="768">
                  <c:v>45384</c:v>
                </c:pt>
                <c:pt idx="769">
                  <c:v>45385</c:v>
                </c:pt>
                <c:pt idx="770">
                  <c:v>45386</c:v>
                </c:pt>
                <c:pt idx="771">
                  <c:v>45387</c:v>
                </c:pt>
                <c:pt idx="772">
                  <c:v>45390</c:v>
                </c:pt>
                <c:pt idx="773">
                  <c:v>45391</c:v>
                </c:pt>
                <c:pt idx="774">
                  <c:v>45392</c:v>
                </c:pt>
                <c:pt idx="775">
                  <c:v>45393</c:v>
                </c:pt>
                <c:pt idx="776">
                  <c:v>45394</c:v>
                </c:pt>
                <c:pt idx="777">
                  <c:v>45397</c:v>
                </c:pt>
                <c:pt idx="778">
                  <c:v>45398</c:v>
                </c:pt>
                <c:pt idx="779">
                  <c:v>45399</c:v>
                </c:pt>
                <c:pt idx="780">
                  <c:v>45401</c:v>
                </c:pt>
                <c:pt idx="781">
                  <c:v>45404</c:v>
                </c:pt>
                <c:pt idx="782">
                  <c:v>45405</c:v>
                </c:pt>
                <c:pt idx="783">
                  <c:v>45406</c:v>
                </c:pt>
                <c:pt idx="784">
                  <c:v>45407</c:v>
                </c:pt>
                <c:pt idx="785">
                  <c:v>45408</c:v>
                </c:pt>
                <c:pt idx="786">
                  <c:v>45414</c:v>
                </c:pt>
                <c:pt idx="787">
                  <c:v>45415</c:v>
                </c:pt>
                <c:pt idx="788">
                  <c:v>45418</c:v>
                </c:pt>
                <c:pt idx="789">
                  <c:v>45419</c:v>
                </c:pt>
                <c:pt idx="790">
                  <c:v>45420</c:v>
                </c:pt>
                <c:pt idx="791">
                  <c:v>45421</c:v>
                </c:pt>
                <c:pt idx="792">
                  <c:v>45422</c:v>
                </c:pt>
                <c:pt idx="793">
                  <c:v>45425</c:v>
                </c:pt>
                <c:pt idx="794">
                  <c:v>45426</c:v>
                </c:pt>
                <c:pt idx="795">
                  <c:v>45427</c:v>
                </c:pt>
                <c:pt idx="796">
                  <c:v>45428</c:v>
                </c:pt>
                <c:pt idx="797">
                  <c:v>45429</c:v>
                </c:pt>
                <c:pt idx="798">
                  <c:v>45432</c:v>
                </c:pt>
                <c:pt idx="799">
                  <c:v>45433</c:v>
                </c:pt>
                <c:pt idx="800">
                  <c:v>45434</c:v>
                </c:pt>
                <c:pt idx="801">
                  <c:v>45435</c:v>
                </c:pt>
                <c:pt idx="802">
                  <c:v>45436</c:v>
                </c:pt>
                <c:pt idx="803">
                  <c:v>45439</c:v>
                </c:pt>
                <c:pt idx="804">
                  <c:v>45440</c:v>
                </c:pt>
                <c:pt idx="805">
                  <c:v>45441</c:v>
                </c:pt>
                <c:pt idx="806">
                  <c:v>45442</c:v>
                </c:pt>
                <c:pt idx="807">
                  <c:v>45443</c:v>
                </c:pt>
                <c:pt idx="808">
                  <c:v>45446</c:v>
                </c:pt>
                <c:pt idx="809">
                  <c:v>45447</c:v>
                </c:pt>
                <c:pt idx="810">
                  <c:v>45448</c:v>
                </c:pt>
                <c:pt idx="811">
                  <c:v>45449</c:v>
                </c:pt>
                <c:pt idx="812">
                  <c:v>45450</c:v>
                </c:pt>
                <c:pt idx="813">
                  <c:v>45453</c:v>
                </c:pt>
                <c:pt idx="814">
                  <c:v>45454</c:v>
                </c:pt>
                <c:pt idx="815">
                  <c:v>45455</c:v>
                </c:pt>
                <c:pt idx="816">
                  <c:v>45456</c:v>
                </c:pt>
                <c:pt idx="817">
                  <c:v>45457</c:v>
                </c:pt>
                <c:pt idx="818">
                  <c:v>45460</c:v>
                </c:pt>
                <c:pt idx="819">
                  <c:v>45461</c:v>
                </c:pt>
                <c:pt idx="820">
                  <c:v>45462</c:v>
                </c:pt>
                <c:pt idx="821">
                  <c:v>45463</c:v>
                </c:pt>
                <c:pt idx="822">
                  <c:v>45464</c:v>
                </c:pt>
                <c:pt idx="823">
                  <c:v>45467</c:v>
                </c:pt>
                <c:pt idx="824">
                  <c:v>45468</c:v>
                </c:pt>
                <c:pt idx="825">
                  <c:v>45469</c:v>
                </c:pt>
                <c:pt idx="826">
                  <c:v>45470</c:v>
                </c:pt>
                <c:pt idx="827">
                  <c:v>45471</c:v>
                </c:pt>
                <c:pt idx="828">
                  <c:v>45474</c:v>
                </c:pt>
                <c:pt idx="829">
                  <c:v>45475</c:v>
                </c:pt>
                <c:pt idx="830">
                  <c:v>45476</c:v>
                </c:pt>
                <c:pt idx="831">
                  <c:v>45477</c:v>
                </c:pt>
                <c:pt idx="832">
                  <c:v>45478</c:v>
                </c:pt>
                <c:pt idx="833">
                  <c:v>45481</c:v>
                </c:pt>
                <c:pt idx="834">
                  <c:v>45482</c:v>
                </c:pt>
                <c:pt idx="835">
                  <c:v>45483</c:v>
                </c:pt>
                <c:pt idx="836">
                  <c:v>45484</c:v>
                </c:pt>
                <c:pt idx="837">
                  <c:v>45485</c:v>
                </c:pt>
                <c:pt idx="838">
                  <c:v>45488</c:v>
                </c:pt>
                <c:pt idx="839">
                  <c:v>45489</c:v>
                </c:pt>
                <c:pt idx="840">
                  <c:v>45490</c:v>
                </c:pt>
                <c:pt idx="841">
                  <c:v>45491</c:v>
                </c:pt>
                <c:pt idx="842">
                  <c:v>45492</c:v>
                </c:pt>
                <c:pt idx="843">
                  <c:v>45495</c:v>
                </c:pt>
                <c:pt idx="844">
                  <c:v>45496</c:v>
                </c:pt>
                <c:pt idx="845">
                  <c:v>45497</c:v>
                </c:pt>
                <c:pt idx="846">
                  <c:v>45498</c:v>
                </c:pt>
                <c:pt idx="847">
                  <c:v>45499</c:v>
                </c:pt>
                <c:pt idx="848">
                  <c:v>45502</c:v>
                </c:pt>
                <c:pt idx="849">
                  <c:v>45503</c:v>
                </c:pt>
                <c:pt idx="850">
                  <c:v>45504</c:v>
                </c:pt>
                <c:pt idx="851">
                  <c:v>45505</c:v>
                </c:pt>
                <c:pt idx="852">
                  <c:v>45506</c:v>
                </c:pt>
                <c:pt idx="853">
                  <c:v>45509</c:v>
                </c:pt>
                <c:pt idx="854">
                  <c:v>45510</c:v>
                </c:pt>
                <c:pt idx="855">
                  <c:v>45511</c:v>
                </c:pt>
                <c:pt idx="856">
                  <c:v>45512</c:v>
                </c:pt>
                <c:pt idx="857">
                  <c:v>45513</c:v>
                </c:pt>
                <c:pt idx="858">
                  <c:v>45516</c:v>
                </c:pt>
                <c:pt idx="859">
                  <c:v>45517</c:v>
                </c:pt>
                <c:pt idx="860">
                  <c:v>45518</c:v>
                </c:pt>
                <c:pt idx="861">
                  <c:v>45519</c:v>
                </c:pt>
                <c:pt idx="862">
                  <c:v>45520</c:v>
                </c:pt>
                <c:pt idx="863">
                  <c:v>45523</c:v>
                </c:pt>
                <c:pt idx="864">
                  <c:v>45524</c:v>
                </c:pt>
                <c:pt idx="865">
                  <c:v>45525</c:v>
                </c:pt>
                <c:pt idx="866">
                  <c:v>45526</c:v>
                </c:pt>
                <c:pt idx="867">
                  <c:v>45527</c:v>
                </c:pt>
                <c:pt idx="868">
                  <c:v>45530</c:v>
                </c:pt>
                <c:pt idx="869">
                  <c:v>45531</c:v>
                </c:pt>
                <c:pt idx="870">
                  <c:v>45532</c:v>
                </c:pt>
                <c:pt idx="871">
                  <c:v>45533</c:v>
                </c:pt>
                <c:pt idx="872">
                  <c:v>45534</c:v>
                </c:pt>
                <c:pt idx="873">
                  <c:v>45539</c:v>
                </c:pt>
                <c:pt idx="874">
                  <c:v>45540</c:v>
                </c:pt>
                <c:pt idx="875">
                  <c:v>45541</c:v>
                </c:pt>
                <c:pt idx="876">
                  <c:v>45544</c:v>
                </c:pt>
                <c:pt idx="877">
                  <c:v>45545</c:v>
                </c:pt>
                <c:pt idx="878">
                  <c:v>45546</c:v>
                </c:pt>
                <c:pt idx="879">
                  <c:v>45547</c:v>
                </c:pt>
                <c:pt idx="880">
                  <c:v>45548</c:v>
                </c:pt>
                <c:pt idx="881">
                  <c:v>45551</c:v>
                </c:pt>
                <c:pt idx="882">
                  <c:v>45552</c:v>
                </c:pt>
                <c:pt idx="883">
                  <c:v>45553</c:v>
                </c:pt>
                <c:pt idx="884">
                  <c:v>45554</c:v>
                </c:pt>
                <c:pt idx="885">
                  <c:v>45555</c:v>
                </c:pt>
                <c:pt idx="886">
                  <c:v>45558</c:v>
                </c:pt>
                <c:pt idx="887">
                  <c:v>45559</c:v>
                </c:pt>
                <c:pt idx="888">
                  <c:v>45560</c:v>
                </c:pt>
                <c:pt idx="889">
                  <c:v>45561</c:v>
                </c:pt>
                <c:pt idx="890">
                  <c:v>45562</c:v>
                </c:pt>
                <c:pt idx="891">
                  <c:v>45565</c:v>
                </c:pt>
                <c:pt idx="892">
                  <c:v>45566</c:v>
                </c:pt>
                <c:pt idx="893">
                  <c:v>45567</c:v>
                </c:pt>
                <c:pt idx="894">
                  <c:v>45568</c:v>
                </c:pt>
                <c:pt idx="895">
                  <c:v>45569</c:v>
                </c:pt>
                <c:pt idx="896">
                  <c:v>45572</c:v>
                </c:pt>
                <c:pt idx="897">
                  <c:v>45573</c:v>
                </c:pt>
                <c:pt idx="898">
                  <c:v>45574</c:v>
                </c:pt>
                <c:pt idx="899">
                  <c:v>45575</c:v>
                </c:pt>
                <c:pt idx="900">
                  <c:v>45576</c:v>
                </c:pt>
                <c:pt idx="901">
                  <c:v>45579</c:v>
                </c:pt>
                <c:pt idx="902">
                  <c:v>45580</c:v>
                </c:pt>
                <c:pt idx="903">
                  <c:v>45581</c:v>
                </c:pt>
                <c:pt idx="904">
                  <c:v>45582</c:v>
                </c:pt>
                <c:pt idx="905">
                  <c:v>45583</c:v>
                </c:pt>
                <c:pt idx="906">
                  <c:v>45586</c:v>
                </c:pt>
                <c:pt idx="907">
                  <c:v>45587</c:v>
                </c:pt>
                <c:pt idx="908">
                  <c:v>45588</c:v>
                </c:pt>
                <c:pt idx="909">
                  <c:v>45589</c:v>
                </c:pt>
                <c:pt idx="910">
                  <c:v>45590</c:v>
                </c:pt>
                <c:pt idx="911">
                  <c:v>45593</c:v>
                </c:pt>
                <c:pt idx="912">
                  <c:v>45594</c:v>
                </c:pt>
                <c:pt idx="913">
                  <c:v>45595</c:v>
                </c:pt>
                <c:pt idx="914">
                  <c:v>45596</c:v>
                </c:pt>
                <c:pt idx="915">
                  <c:v>45597</c:v>
                </c:pt>
                <c:pt idx="916">
                  <c:v>45600</c:v>
                </c:pt>
                <c:pt idx="917">
                  <c:v>45601</c:v>
                </c:pt>
                <c:pt idx="918">
                  <c:v>45602</c:v>
                </c:pt>
                <c:pt idx="919">
                  <c:v>45603</c:v>
                </c:pt>
                <c:pt idx="920">
                  <c:v>45604</c:v>
                </c:pt>
                <c:pt idx="921">
                  <c:v>45607</c:v>
                </c:pt>
                <c:pt idx="922">
                  <c:v>45608</c:v>
                </c:pt>
                <c:pt idx="923">
                  <c:v>45609</c:v>
                </c:pt>
                <c:pt idx="924">
                  <c:v>45610</c:v>
                </c:pt>
                <c:pt idx="925">
                  <c:v>45611</c:v>
                </c:pt>
                <c:pt idx="926">
                  <c:v>45614</c:v>
                </c:pt>
                <c:pt idx="927">
                  <c:v>45615</c:v>
                </c:pt>
                <c:pt idx="928">
                  <c:v>45616</c:v>
                </c:pt>
                <c:pt idx="929">
                  <c:v>45617</c:v>
                </c:pt>
                <c:pt idx="930">
                  <c:v>45618</c:v>
                </c:pt>
                <c:pt idx="931">
                  <c:v>45621</c:v>
                </c:pt>
                <c:pt idx="932">
                  <c:v>45622</c:v>
                </c:pt>
                <c:pt idx="933">
                  <c:v>45623</c:v>
                </c:pt>
                <c:pt idx="934">
                  <c:v>45624</c:v>
                </c:pt>
                <c:pt idx="935">
                  <c:v>45625</c:v>
                </c:pt>
                <c:pt idx="936">
                  <c:v>45628</c:v>
                </c:pt>
                <c:pt idx="937">
                  <c:v>45629</c:v>
                </c:pt>
                <c:pt idx="938">
                  <c:v>45630</c:v>
                </c:pt>
                <c:pt idx="939">
                  <c:v>45631</c:v>
                </c:pt>
                <c:pt idx="940">
                  <c:v>45632</c:v>
                </c:pt>
                <c:pt idx="941">
                  <c:v>45635</c:v>
                </c:pt>
                <c:pt idx="942">
                  <c:v>45636</c:v>
                </c:pt>
                <c:pt idx="943">
                  <c:v>45637</c:v>
                </c:pt>
                <c:pt idx="944">
                  <c:v>45638</c:v>
                </c:pt>
                <c:pt idx="945">
                  <c:v>45639</c:v>
                </c:pt>
                <c:pt idx="946">
                  <c:v>45642</c:v>
                </c:pt>
                <c:pt idx="947">
                  <c:v>45643</c:v>
                </c:pt>
                <c:pt idx="948">
                  <c:v>45644</c:v>
                </c:pt>
                <c:pt idx="949">
                  <c:v>45645</c:v>
                </c:pt>
                <c:pt idx="950">
                  <c:v>45646</c:v>
                </c:pt>
                <c:pt idx="951">
                  <c:v>45649</c:v>
                </c:pt>
                <c:pt idx="952">
                  <c:v>45650</c:v>
                </c:pt>
                <c:pt idx="953">
                  <c:v>45651</c:v>
                </c:pt>
                <c:pt idx="954">
                  <c:v>45652</c:v>
                </c:pt>
                <c:pt idx="955">
                  <c:v>45653</c:v>
                </c:pt>
                <c:pt idx="956">
                  <c:v>45656</c:v>
                </c:pt>
                <c:pt idx="957">
                  <c:v>45657</c:v>
                </c:pt>
                <c:pt idx="958">
                  <c:v>45659</c:v>
                </c:pt>
                <c:pt idx="959">
                  <c:v>45660</c:v>
                </c:pt>
                <c:pt idx="960">
                  <c:v>45663</c:v>
                </c:pt>
                <c:pt idx="961">
                  <c:v>45664</c:v>
                </c:pt>
                <c:pt idx="962">
                  <c:v>45665</c:v>
                </c:pt>
                <c:pt idx="963">
                  <c:v>45666</c:v>
                </c:pt>
                <c:pt idx="964">
                  <c:v>45667</c:v>
                </c:pt>
                <c:pt idx="965">
                  <c:v>45670</c:v>
                </c:pt>
                <c:pt idx="966">
                  <c:v>45671</c:v>
                </c:pt>
                <c:pt idx="967">
                  <c:v>45672</c:v>
                </c:pt>
                <c:pt idx="968">
                  <c:v>45673</c:v>
                </c:pt>
                <c:pt idx="969">
                  <c:v>45674</c:v>
                </c:pt>
                <c:pt idx="970">
                  <c:v>45677</c:v>
                </c:pt>
                <c:pt idx="971">
                  <c:v>45678</c:v>
                </c:pt>
                <c:pt idx="972">
                  <c:v>45679</c:v>
                </c:pt>
                <c:pt idx="973">
                  <c:v>45680</c:v>
                </c:pt>
                <c:pt idx="974">
                  <c:v>45681</c:v>
                </c:pt>
                <c:pt idx="975">
                  <c:v>45691</c:v>
                </c:pt>
                <c:pt idx="976">
                  <c:v>45692</c:v>
                </c:pt>
                <c:pt idx="977">
                  <c:v>45693</c:v>
                </c:pt>
                <c:pt idx="978">
                  <c:v>45694</c:v>
                </c:pt>
                <c:pt idx="979">
                  <c:v>45695</c:v>
                </c:pt>
                <c:pt idx="980">
                  <c:v>45698</c:v>
                </c:pt>
                <c:pt idx="981">
                  <c:v>45699</c:v>
                </c:pt>
                <c:pt idx="982">
                  <c:v>45700</c:v>
                </c:pt>
                <c:pt idx="983">
                  <c:v>45701</c:v>
                </c:pt>
                <c:pt idx="984">
                  <c:v>45702</c:v>
                </c:pt>
                <c:pt idx="985">
                  <c:v>45705</c:v>
                </c:pt>
                <c:pt idx="986">
                  <c:v>45706</c:v>
                </c:pt>
                <c:pt idx="987">
                  <c:v>45707</c:v>
                </c:pt>
                <c:pt idx="988">
                  <c:v>45708</c:v>
                </c:pt>
                <c:pt idx="989">
                  <c:v>45709</c:v>
                </c:pt>
                <c:pt idx="990">
                  <c:v>45712</c:v>
                </c:pt>
                <c:pt idx="991">
                  <c:v>45713</c:v>
                </c:pt>
                <c:pt idx="992">
                  <c:v>45714</c:v>
                </c:pt>
                <c:pt idx="993">
                  <c:v>45715</c:v>
                </c:pt>
                <c:pt idx="994">
                  <c:v>45716</c:v>
                </c:pt>
                <c:pt idx="995">
                  <c:v>45719</c:v>
                </c:pt>
                <c:pt idx="996">
                  <c:v>45720</c:v>
                </c:pt>
                <c:pt idx="997">
                  <c:v>45721</c:v>
                </c:pt>
                <c:pt idx="998">
                  <c:v>45722</c:v>
                </c:pt>
                <c:pt idx="999">
                  <c:v>45723</c:v>
                </c:pt>
                <c:pt idx="1000">
                  <c:v>45726</c:v>
                </c:pt>
                <c:pt idx="1001">
                  <c:v>45727</c:v>
                </c:pt>
                <c:pt idx="1002">
                  <c:v>45728</c:v>
                </c:pt>
                <c:pt idx="1003">
                  <c:v>45729</c:v>
                </c:pt>
                <c:pt idx="1004">
                  <c:v>45730</c:v>
                </c:pt>
                <c:pt idx="1005">
                  <c:v>45733</c:v>
                </c:pt>
                <c:pt idx="1006">
                  <c:v>45734</c:v>
                </c:pt>
                <c:pt idx="1007">
                  <c:v>45735</c:v>
                </c:pt>
                <c:pt idx="1008">
                  <c:v>45736</c:v>
                </c:pt>
                <c:pt idx="1009">
                  <c:v>45737</c:v>
                </c:pt>
                <c:pt idx="1010">
                  <c:v>45740</c:v>
                </c:pt>
                <c:pt idx="1011">
                  <c:v>45741</c:v>
                </c:pt>
                <c:pt idx="1012">
                  <c:v>45742</c:v>
                </c:pt>
                <c:pt idx="1013">
                  <c:v>45743</c:v>
                </c:pt>
                <c:pt idx="1014">
                  <c:v>45744</c:v>
                </c:pt>
                <c:pt idx="1015">
                  <c:v>45747</c:v>
                </c:pt>
                <c:pt idx="1016">
                  <c:v>45748</c:v>
                </c:pt>
                <c:pt idx="1017">
                  <c:v>45749</c:v>
                </c:pt>
                <c:pt idx="1018">
                  <c:v>45750</c:v>
                </c:pt>
                <c:pt idx="1019">
                  <c:v>45751</c:v>
                </c:pt>
                <c:pt idx="1020">
                  <c:v>45755</c:v>
                </c:pt>
                <c:pt idx="1021">
                  <c:v>45756</c:v>
                </c:pt>
                <c:pt idx="1022">
                  <c:v>45757</c:v>
                </c:pt>
                <c:pt idx="1023">
                  <c:v>45758</c:v>
                </c:pt>
                <c:pt idx="1024">
                  <c:v>45761</c:v>
                </c:pt>
                <c:pt idx="1025">
                  <c:v>45762</c:v>
                </c:pt>
                <c:pt idx="1026">
                  <c:v>45763</c:v>
                </c:pt>
                <c:pt idx="1027">
                  <c:v>45764</c:v>
                </c:pt>
                <c:pt idx="1028">
                  <c:v>45765</c:v>
                </c:pt>
                <c:pt idx="1029">
                  <c:v>45768</c:v>
                </c:pt>
                <c:pt idx="1030">
                  <c:v>45769</c:v>
                </c:pt>
                <c:pt idx="1031">
                  <c:v>45770</c:v>
                </c:pt>
                <c:pt idx="1032">
                  <c:v>45771</c:v>
                </c:pt>
                <c:pt idx="1033">
                  <c:v>45772</c:v>
                </c:pt>
                <c:pt idx="1034">
                  <c:v>45775</c:v>
                </c:pt>
                <c:pt idx="1035">
                  <c:v>45776</c:v>
                </c:pt>
                <c:pt idx="1036">
                  <c:v>45782</c:v>
                </c:pt>
                <c:pt idx="1037">
                  <c:v>45783</c:v>
                </c:pt>
                <c:pt idx="1038">
                  <c:v>45784</c:v>
                </c:pt>
                <c:pt idx="1039">
                  <c:v>45785</c:v>
                </c:pt>
                <c:pt idx="1040">
                  <c:v>45786</c:v>
                </c:pt>
                <c:pt idx="1041">
                  <c:v>45789</c:v>
                </c:pt>
                <c:pt idx="1042">
                  <c:v>45790</c:v>
                </c:pt>
                <c:pt idx="1043">
                  <c:v>45791</c:v>
                </c:pt>
                <c:pt idx="1044">
                  <c:v>45792</c:v>
                </c:pt>
                <c:pt idx="1045">
                  <c:v>45793</c:v>
                </c:pt>
                <c:pt idx="1046">
                  <c:v>45796</c:v>
                </c:pt>
                <c:pt idx="1047">
                  <c:v>45797</c:v>
                </c:pt>
                <c:pt idx="1048">
                  <c:v>45798</c:v>
                </c:pt>
                <c:pt idx="1049">
                  <c:v>45799</c:v>
                </c:pt>
                <c:pt idx="1050">
                  <c:v>45800</c:v>
                </c:pt>
                <c:pt idx="1051">
                  <c:v>45803</c:v>
                </c:pt>
                <c:pt idx="1052">
                  <c:v>45804</c:v>
                </c:pt>
                <c:pt idx="1053">
                  <c:v>45805</c:v>
                </c:pt>
                <c:pt idx="1054">
                  <c:v>45806</c:v>
                </c:pt>
                <c:pt idx="1055">
                  <c:v>45807</c:v>
                </c:pt>
                <c:pt idx="1056">
                  <c:v>45810</c:v>
                </c:pt>
                <c:pt idx="1057">
                  <c:v>45811</c:v>
                </c:pt>
                <c:pt idx="1058">
                  <c:v>45812</c:v>
                </c:pt>
                <c:pt idx="1059">
                  <c:v>45813</c:v>
                </c:pt>
                <c:pt idx="1060">
                  <c:v>45814</c:v>
                </c:pt>
                <c:pt idx="1061">
                  <c:v>45817</c:v>
                </c:pt>
                <c:pt idx="1062">
                  <c:v>45818</c:v>
                </c:pt>
                <c:pt idx="1063">
                  <c:v>45819</c:v>
                </c:pt>
                <c:pt idx="1064">
                  <c:v>45820</c:v>
                </c:pt>
                <c:pt idx="1065">
                  <c:v>45821</c:v>
                </c:pt>
                <c:pt idx="1066">
                  <c:v>45824</c:v>
                </c:pt>
                <c:pt idx="1067">
                  <c:v>45825</c:v>
                </c:pt>
                <c:pt idx="1068">
                  <c:v>45826</c:v>
                </c:pt>
                <c:pt idx="1069">
                  <c:v>45827</c:v>
                </c:pt>
                <c:pt idx="1070">
                  <c:v>45828</c:v>
                </c:pt>
                <c:pt idx="1071">
                  <c:v>45831</c:v>
                </c:pt>
                <c:pt idx="1072">
                  <c:v>45832</c:v>
                </c:pt>
                <c:pt idx="1073">
                  <c:v>45833</c:v>
                </c:pt>
                <c:pt idx="1074">
                  <c:v>45834</c:v>
                </c:pt>
                <c:pt idx="1075">
                  <c:v>45835</c:v>
                </c:pt>
                <c:pt idx="1076">
                  <c:v>45838</c:v>
                </c:pt>
                <c:pt idx="1077">
                  <c:v>45839</c:v>
                </c:pt>
                <c:pt idx="1078">
                  <c:v>45840</c:v>
                </c:pt>
                <c:pt idx="1079">
                  <c:v>45841</c:v>
                </c:pt>
                <c:pt idx="1080">
                  <c:v>45842</c:v>
                </c:pt>
                <c:pt idx="1081">
                  <c:v>45845</c:v>
                </c:pt>
                <c:pt idx="1082">
                  <c:v>45846</c:v>
                </c:pt>
                <c:pt idx="1083">
                  <c:v>45847</c:v>
                </c:pt>
                <c:pt idx="1084">
                  <c:v>45848</c:v>
                </c:pt>
                <c:pt idx="1085">
                  <c:v>45849</c:v>
                </c:pt>
                <c:pt idx="1086">
                  <c:v>45852</c:v>
                </c:pt>
                <c:pt idx="1087">
                  <c:v>45853</c:v>
                </c:pt>
                <c:pt idx="1088">
                  <c:v>45854</c:v>
                </c:pt>
                <c:pt idx="1089">
                  <c:v>45855</c:v>
                </c:pt>
                <c:pt idx="1090">
                  <c:v>45856</c:v>
                </c:pt>
                <c:pt idx="1091">
                  <c:v>45859</c:v>
                </c:pt>
                <c:pt idx="1092">
                  <c:v>45860</c:v>
                </c:pt>
                <c:pt idx="1093">
                  <c:v>45861</c:v>
                </c:pt>
                <c:pt idx="1094">
                  <c:v>45862</c:v>
                </c:pt>
                <c:pt idx="1095">
                  <c:v>45863</c:v>
                </c:pt>
                <c:pt idx="1096">
                  <c:v>45866</c:v>
                </c:pt>
                <c:pt idx="1097">
                  <c:v>45867</c:v>
                </c:pt>
                <c:pt idx="1098">
                  <c:v>45868</c:v>
                </c:pt>
                <c:pt idx="1099">
                  <c:v>45869</c:v>
                </c:pt>
                <c:pt idx="1100">
                  <c:v>45870</c:v>
                </c:pt>
                <c:pt idx="1101">
                  <c:v>45873</c:v>
                </c:pt>
                <c:pt idx="1102">
                  <c:v>45874</c:v>
                </c:pt>
                <c:pt idx="1103">
                  <c:v>45875</c:v>
                </c:pt>
                <c:pt idx="1104">
                  <c:v>45876</c:v>
                </c:pt>
                <c:pt idx="1105">
                  <c:v>45877</c:v>
                </c:pt>
                <c:pt idx="1106">
                  <c:v>45880</c:v>
                </c:pt>
                <c:pt idx="1107">
                  <c:v>45881</c:v>
                </c:pt>
                <c:pt idx="1108">
                  <c:v>45882</c:v>
                </c:pt>
                <c:pt idx="1109">
                  <c:v>45883</c:v>
                </c:pt>
                <c:pt idx="1110">
                  <c:v>45884</c:v>
                </c:pt>
                <c:pt idx="1111">
                  <c:v>45887</c:v>
                </c:pt>
                <c:pt idx="1112">
                  <c:v>45888</c:v>
                </c:pt>
                <c:pt idx="1113">
                  <c:v>45889</c:v>
                </c:pt>
                <c:pt idx="1114">
                  <c:v>45890</c:v>
                </c:pt>
                <c:pt idx="1115">
                  <c:v>45891</c:v>
                </c:pt>
                <c:pt idx="1116">
                  <c:v>45894</c:v>
                </c:pt>
                <c:pt idx="1117">
                  <c:v>45895</c:v>
                </c:pt>
                <c:pt idx="1118">
                  <c:v>45896</c:v>
                </c:pt>
                <c:pt idx="1119">
                  <c:v>45897</c:v>
                </c:pt>
                <c:pt idx="1120">
                  <c:v>45898</c:v>
                </c:pt>
                <c:pt idx="1121">
                  <c:v>45903</c:v>
                </c:pt>
                <c:pt idx="1122">
                  <c:v>45904</c:v>
                </c:pt>
                <c:pt idx="1123">
                  <c:v>45905</c:v>
                </c:pt>
                <c:pt idx="1124">
                  <c:v>45908</c:v>
                </c:pt>
                <c:pt idx="1125">
                  <c:v>45909</c:v>
                </c:pt>
                <c:pt idx="1126">
                  <c:v>45910</c:v>
                </c:pt>
                <c:pt idx="1127">
                  <c:v>45911</c:v>
                </c:pt>
                <c:pt idx="1128">
                  <c:v>45912</c:v>
                </c:pt>
                <c:pt idx="1129">
                  <c:v>45915</c:v>
                </c:pt>
                <c:pt idx="1130">
                  <c:v>45916</c:v>
                </c:pt>
                <c:pt idx="1131">
                  <c:v>45917</c:v>
                </c:pt>
                <c:pt idx="1132">
                  <c:v>45918</c:v>
                </c:pt>
                <c:pt idx="1133">
                  <c:v>45919</c:v>
                </c:pt>
                <c:pt idx="1134">
                  <c:v>45922</c:v>
                </c:pt>
                <c:pt idx="1135">
                  <c:v>45923</c:v>
                </c:pt>
                <c:pt idx="1136">
                  <c:v>45924</c:v>
                </c:pt>
                <c:pt idx="1137">
                  <c:v>45925</c:v>
                </c:pt>
                <c:pt idx="1138">
                  <c:v>45926</c:v>
                </c:pt>
                <c:pt idx="1139">
                  <c:v>45929</c:v>
                </c:pt>
                <c:pt idx="1140">
                  <c:v>45930</c:v>
                </c:pt>
                <c:pt idx="1141">
                  <c:v>45931</c:v>
                </c:pt>
                <c:pt idx="1142">
                  <c:v>45932</c:v>
                </c:pt>
                <c:pt idx="1143">
                  <c:v>45933</c:v>
                </c:pt>
                <c:pt idx="1144">
                  <c:v>45936</c:v>
                </c:pt>
                <c:pt idx="1145">
                  <c:v>45937</c:v>
                </c:pt>
                <c:pt idx="1146">
                  <c:v>45938</c:v>
                </c:pt>
                <c:pt idx="1147">
                  <c:v>45939</c:v>
                </c:pt>
                <c:pt idx="1148">
                  <c:v>45940</c:v>
                </c:pt>
                <c:pt idx="1149">
                  <c:v>45943</c:v>
                </c:pt>
                <c:pt idx="1150">
                  <c:v>45944</c:v>
                </c:pt>
                <c:pt idx="1151">
                  <c:v>45945</c:v>
                </c:pt>
                <c:pt idx="1152">
                  <c:v>45946</c:v>
                </c:pt>
                <c:pt idx="1153">
                  <c:v>45947</c:v>
                </c:pt>
                <c:pt idx="1154">
                  <c:v>45950</c:v>
                </c:pt>
                <c:pt idx="1155">
                  <c:v>45951</c:v>
                </c:pt>
                <c:pt idx="1156">
                  <c:v>45952</c:v>
                </c:pt>
                <c:pt idx="1157">
                  <c:v>45953</c:v>
                </c:pt>
                <c:pt idx="1158">
                  <c:v>45954</c:v>
                </c:pt>
                <c:pt idx="1159">
                  <c:v>45957</c:v>
                </c:pt>
                <c:pt idx="1160">
                  <c:v>45958</c:v>
                </c:pt>
                <c:pt idx="1161">
                  <c:v>45959</c:v>
                </c:pt>
                <c:pt idx="1162">
                  <c:v>45960</c:v>
                </c:pt>
                <c:pt idx="1163">
                  <c:v>45961</c:v>
                </c:pt>
                <c:pt idx="1164">
                  <c:v>45964</c:v>
                </c:pt>
                <c:pt idx="1165">
                  <c:v>45965</c:v>
                </c:pt>
                <c:pt idx="1166">
                  <c:v>45966</c:v>
                </c:pt>
                <c:pt idx="1167">
                  <c:v>45967</c:v>
                </c:pt>
                <c:pt idx="1168">
                  <c:v>45968</c:v>
                </c:pt>
                <c:pt idx="1169">
                  <c:v>45971</c:v>
                </c:pt>
                <c:pt idx="1170">
                  <c:v>45972</c:v>
                </c:pt>
                <c:pt idx="1171">
                  <c:v>45973</c:v>
                </c:pt>
                <c:pt idx="1172">
                  <c:v>45974</c:v>
                </c:pt>
                <c:pt idx="1173">
                  <c:v>45975</c:v>
                </c:pt>
                <c:pt idx="1174">
                  <c:v>45978</c:v>
                </c:pt>
                <c:pt idx="1175">
                  <c:v>45979</c:v>
                </c:pt>
                <c:pt idx="1176">
                  <c:v>45980</c:v>
                </c:pt>
                <c:pt idx="1177">
                  <c:v>45981</c:v>
                </c:pt>
                <c:pt idx="1178">
                  <c:v>45982</c:v>
                </c:pt>
                <c:pt idx="1179">
                  <c:v>45985</c:v>
                </c:pt>
                <c:pt idx="1180">
                  <c:v>45986</c:v>
                </c:pt>
                <c:pt idx="1181">
                  <c:v>45987</c:v>
                </c:pt>
                <c:pt idx="1182">
                  <c:v>45988</c:v>
                </c:pt>
                <c:pt idx="1183">
                  <c:v>45989</c:v>
                </c:pt>
                <c:pt idx="1184">
                  <c:v>45992</c:v>
                </c:pt>
                <c:pt idx="1185">
                  <c:v>45993</c:v>
                </c:pt>
                <c:pt idx="1186">
                  <c:v>45994</c:v>
                </c:pt>
                <c:pt idx="1187">
                  <c:v>45995</c:v>
                </c:pt>
                <c:pt idx="1188">
                  <c:v>45996</c:v>
                </c:pt>
                <c:pt idx="1189">
                  <c:v>45999</c:v>
                </c:pt>
                <c:pt idx="1190">
                  <c:v>46000</c:v>
                </c:pt>
                <c:pt idx="1191">
                  <c:v>46001</c:v>
                </c:pt>
                <c:pt idx="1192">
                  <c:v>46002</c:v>
                </c:pt>
                <c:pt idx="1193">
                  <c:v>46003</c:v>
                </c:pt>
                <c:pt idx="1194">
                  <c:v>46006</c:v>
                </c:pt>
                <c:pt idx="1195">
                  <c:v>46007</c:v>
                </c:pt>
                <c:pt idx="1196">
                  <c:v>46008</c:v>
                </c:pt>
                <c:pt idx="1197">
                  <c:v>46009</c:v>
                </c:pt>
                <c:pt idx="1198">
                  <c:v>46010</c:v>
                </c:pt>
                <c:pt idx="1199">
                  <c:v>46013</c:v>
                </c:pt>
                <c:pt idx="1200">
                  <c:v>46014</c:v>
                </c:pt>
                <c:pt idx="1201">
                  <c:v>46015</c:v>
                </c:pt>
                <c:pt idx="1202">
                  <c:v>46016</c:v>
                </c:pt>
                <c:pt idx="1203">
                  <c:v>46017</c:v>
                </c:pt>
                <c:pt idx="1204">
                  <c:v>46020</c:v>
                </c:pt>
                <c:pt idx="1205">
                  <c:v>46021</c:v>
                </c:pt>
                <c:pt idx="1206">
                  <c:v>46022</c:v>
                </c:pt>
                <c:pt idx="1207">
                  <c:v>46027</c:v>
                </c:pt>
                <c:pt idx="1208">
                  <c:v>46028</c:v>
                </c:pt>
                <c:pt idx="1209">
                  <c:v>46029</c:v>
                </c:pt>
                <c:pt idx="1210">
                  <c:v>46030</c:v>
                </c:pt>
                <c:pt idx="1211">
                  <c:v>46031</c:v>
                </c:pt>
                <c:pt idx="1212">
                  <c:v>46034</c:v>
                </c:pt>
                <c:pt idx="1213">
                  <c:v>46035</c:v>
                </c:pt>
                <c:pt idx="1214">
                  <c:v>46036</c:v>
                </c:pt>
                <c:pt idx="1215">
                  <c:v>46037</c:v>
                </c:pt>
                <c:pt idx="1216">
                  <c:v>46038</c:v>
                </c:pt>
                <c:pt idx="1217">
                  <c:v>46041</c:v>
                </c:pt>
                <c:pt idx="1218">
                  <c:v>46042</c:v>
                </c:pt>
                <c:pt idx="1219">
                  <c:v>46043</c:v>
                </c:pt>
                <c:pt idx="1220">
                  <c:v>46044</c:v>
                </c:pt>
                <c:pt idx="1221">
                  <c:v>46045</c:v>
                </c:pt>
                <c:pt idx="1222">
                  <c:v>46048</c:v>
                </c:pt>
                <c:pt idx="1223">
                  <c:v>46049</c:v>
                </c:pt>
                <c:pt idx="1224">
                  <c:v>46050</c:v>
                </c:pt>
                <c:pt idx="1225">
                  <c:v>46051</c:v>
                </c:pt>
                <c:pt idx="1226">
                  <c:v>46052</c:v>
                </c:pt>
                <c:pt idx="1227">
                  <c:v>46055</c:v>
                </c:pt>
                <c:pt idx="1228">
                  <c:v>46056</c:v>
                </c:pt>
                <c:pt idx="1229">
                  <c:v>46057</c:v>
                </c:pt>
                <c:pt idx="1230">
                  <c:v>46058</c:v>
                </c:pt>
                <c:pt idx="1231">
                  <c:v>46059</c:v>
                </c:pt>
                <c:pt idx="1232">
                  <c:v>46062</c:v>
                </c:pt>
                <c:pt idx="1233">
                  <c:v>46063</c:v>
                </c:pt>
                <c:pt idx="1234">
                  <c:v>46064</c:v>
                </c:pt>
                <c:pt idx="1235">
                  <c:v>46065</c:v>
                </c:pt>
                <c:pt idx="1236">
                  <c:v>46066</c:v>
                </c:pt>
                <c:pt idx="1237">
                  <c:v>46076</c:v>
                </c:pt>
                <c:pt idx="1238">
                  <c:v>46077</c:v>
                </c:pt>
                <c:pt idx="1239">
                  <c:v>46078</c:v>
                </c:pt>
                <c:pt idx="1240">
                  <c:v>46079</c:v>
                </c:pt>
                <c:pt idx="1241">
                  <c:v>46080</c:v>
                </c:pt>
                <c:pt idx="1242">
                  <c:v>46083</c:v>
                </c:pt>
                <c:pt idx="1243">
                  <c:v>46084</c:v>
                </c:pt>
                <c:pt idx="1244">
                  <c:v>46085</c:v>
                </c:pt>
                <c:pt idx="1245">
                  <c:v>46086</c:v>
                </c:pt>
                <c:pt idx="1246">
                  <c:v>46087</c:v>
                </c:pt>
              </c:numCache>
            </c:numRef>
          </c:cat>
          <c:val>
            <c:numRef>
              <c:f>'FX Data'!$H$957:$H$2203</c:f>
              <c:numCache>
                <c:formatCode>0.0</c:formatCode>
                <c:ptCount val="1247"/>
                <c:pt idx="0">
                  <c:v>16.960031496834333</c:v>
                </c:pt>
                <c:pt idx="1">
                  <c:v>16.960031496834333</c:v>
                </c:pt>
                <c:pt idx="2">
                  <c:v>16.960031496834333</c:v>
                </c:pt>
                <c:pt idx="3">
                  <c:v>16.960031496834333</c:v>
                </c:pt>
                <c:pt idx="4">
                  <c:v>16.960031496834333</c:v>
                </c:pt>
                <c:pt idx="5">
                  <c:v>16.960031496834333</c:v>
                </c:pt>
                <c:pt idx="6">
                  <c:v>16.960031496834333</c:v>
                </c:pt>
                <c:pt idx="7">
                  <c:v>16.960031496834333</c:v>
                </c:pt>
                <c:pt idx="8">
                  <c:v>16.960031496834333</c:v>
                </c:pt>
                <c:pt idx="9">
                  <c:v>16.960031496834333</c:v>
                </c:pt>
                <c:pt idx="10">
                  <c:v>16.960031496834333</c:v>
                </c:pt>
                <c:pt idx="11">
                  <c:v>16.960031496834333</c:v>
                </c:pt>
                <c:pt idx="12">
                  <c:v>16.960031496834333</c:v>
                </c:pt>
                <c:pt idx="13">
                  <c:v>16.960031496834333</c:v>
                </c:pt>
                <c:pt idx="14">
                  <c:v>16.960031496834333</c:v>
                </c:pt>
                <c:pt idx="15">
                  <c:v>16.960031496834333</c:v>
                </c:pt>
                <c:pt idx="16">
                  <c:v>16.960031496834333</c:v>
                </c:pt>
                <c:pt idx="17">
                  <c:v>16.960031496834333</c:v>
                </c:pt>
                <c:pt idx="18">
                  <c:v>16.960031496834333</c:v>
                </c:pt>
                <c:pt idx="19">
                  <c:v>16.960031496834333</c:v>
                </c:pt>
                <c:pt idx="20">
                  <c:v>16.960031496834333</c:v>
                </c:pt>
                <c:pt idx="21">
                  <c:v>16.960031496834333</c:v>
                </c:pt>
                <c:pt idx="22">
                  <c:v>16.960031496834333</c:v>
                </c:pt>
                <c:pt idx="23">
                  <c:v>16.960031496834333</c:v>
                </c:pt>
                <c:pt idx="24">
                  <c:v>16.960031496834333</c:v>
                </c:pt>
                <c:pt idx="25">
                  <c:v>16.960031496834333</c:v>
                </c:pt>
                <c:pt idx="26">
                  <c:v>16.960031496834333</c:v>
                </c:pt>
                <c:pt idx="27">
                  <c:v>16.960031496834333</c:v>
                </c:pt>
                <c:pt idx="28">
                  <c:v>16.960031496834333</c:v>
                </c:pt>
                <c:pt idx="29">
                  <c:v>16.960031496834333</c:v>
                </c:pt>
                <c:pt idx="30">
                  <c:v>16.960031496834333</c:v>
                </c:pt>
                <c:pt idx="31">
                  <c:v>16.960031496834333</c:v>
                </c:pt>
                <c:pt idx="32">
                  <c:v>16.960031496834333</c:v>
                </c:pt>
                <c:pt idx="33">
                  <c:v>16.960031496834333</c:v>
                </c:pt>
                <c:pt idx="34">
                  <c:v>16.960031496834333</c:v>
                </c:pt>
                <c:pt idx="35">
                  <c:v>16.960031496834333</c:v>
                </c:pt>
                <c:pt idx="36">
                  <c:v>16.960031496834333</c:v>
                </c:pt>
                <c:pt idx="37">
                  <c:v>16.960031496834333</c:v>
                </c:pt>
                <c:pt idx="38">
                  <c:v>16.960031496834333</c:v>
                </c:pt>
                <c:pt idx="39">
                  <c:v>16.960031496834333</c:v>
                </c:pt>
                <c:pt idx="40">
                  <c:v>16.960031496834333</c:v>
                </c:pt>
                <c:pt idx="41">
                  <c:v>16.960031496834333</c:v>
                </c:pt>
                <c:pt idx="42">
                  <c:v>16.960031496834333</c:v>
                </c:pt>
                <c:pt idx="43">
                  <c:v>16.960031496834333</c:v>
                </c:pt>
                <c:pt idx="44">
                  <c:v>16.960031496834333</c:v>
                </c:pt>
                <c:pt idx="45">
                  <c:v>16.960031496834333</c:v>
                </c:pt>
                <c:pt idx="46">
                  <c:v>16.960031496834333</c:v>
                </c:pt>
                <c:pt idx="47">
                  <c:v>16.960031496834333</c:v>
                </c:pt>
                <c:pt idx="48">
                  <c:v>16.960031496834333</c:v>
                </c:pt>
                <c:pt idx="49">
                  <c:v>16.960031496834333</c:v>
                </c:pt>
                <c:pt idx="50">
                  <c:v>16.960031496834333</c:v>
                </c:pt>
                <c:pt idx="51">
                  <c:v>16.960031496834333</c:v>
                </c:pt>
                <c:pt idx="52">
                  <c:v>16.960031496834333</c:v>
                </c:pt>
                <c:pt idx="53">
                  <c:v>16.960031496834333</c:v>
                </c:pt>
                <c:pt idx="54">
                  <c:v>16.960031496834333</c:v>
                </c:pt>
                <c:pt idx="55">
                  <c:v>16.960031496834333</c:v>
                </c:pt>
                <c:pt idx="56">
                  <c:v>16.960031496834333</c:v>
                </c:pt>
                <c:pt idx="57">
                  <c:v>16.960031496834333</c:v>
                </c:pt>
                <c:pt idx="58">
                  <c:v>16.960031496834333</c:v>
                </c:pt>
                <c:pt idx="59">
                  <c:v>16.960031496834333</c:v>
                </c:pt>
                <c:pt idx="60">
                  <c:v>16.960031496834333</c:v>
                </c:pt>
                <c:pt idx="61">
                  <c:v>16.960031496834333</c:v>
                </c:pt>
                <c:pt idx="62">
                  <c:v>16.960031496834333</c:v>
                </c:pt>
                <c:pt idx="63">
                  <c:v>16.960031496834333</c:v>
                </c:pt>
                <c:pt idx="64">
                  <c:v>16.960031496834333</c:v>
                </c:pt>
                <c:pt idx="65">
                  <c:v>16.960031496834333</c:v>
                </c:pt>
                <c:pt idx="66">
                  <c:v>16.960031496834333</c:v>
                </c:pt>
                <c:pt idx="67">
                  <c:v>16.960031496834333</c:v>
                </c:pt>
                <c:pt idx="68">
                  <c:v>16.960031496834333</c:v>
                </c:pt>
                <c:pt idx="69">
                  <c:v>16.960031496834333</c:v>
                </c:pt>
                <c:pt idx="70">
                  <c:v>16.960031496834333</c:v>
                </c:pt>
                <c:pt idx="71">
                  <c:v>16.960031496834333</c:v>
                </c:pt>
                <c:pt idx="72">
                  <c:v>16.960031496834333</c:v>
                </c:pt>
                <c:pt idx="73">
                  <c:v>16.960031496834333</c:v>
                </c:pt>
                <c:pt idx="74">
                  <c:v>16.960031496834333</c:v>
                </c:pt>
                <c:pt idx="75">
                  <c:v>16.960031496834333</c:v>
                </c:pt>
                <c:pt idx="76">
                  <c:v>16.960031496834333</c:v>
                </c:pt>
                <c:pt idx="77">
                  <c:v>16.960031496834333</c:v>
                </c:pt>
                <c:pt idx="78">
                  <c:v>16.960031496834333</c:v>
                </c:pt>
                <c:pt idx="79">
                  <c:v>16.960031496834333</c:v>
                </c:pt>
                <c:pt idx="80">
                  <c:v>16.960031496834333</c:v>
                </c:pt>
                <c:pt idx="81">
                  <c:v>16.960031496834333</c:v>
                </c:pt>
                <c:pt idx="82">
                  <c:v>16.960031496834333</c:v>
                </c:pt>
                <c:pt idx="83">
                  <c:v>16.960031496834333</c:v>
                </c:pt>
                <c:pt idx="84">
                  <c:v>16.960031496834333</c:v>
                </c:pt>
                <c:pt idx="85">
                  <c:v>16.960031496834333</c:v>
                </c:pt>
                <c:pt idx="86">
                  <c:v>16.960031496834333</c:v>
                </c:pt>
                <c:pt idx="87">
                  <c:v>16.960031496834333</c:v>
                </c:pt>
                <c:pt idx="88">
                  <c:v>16.960031496834333</c:v>
                </c:pt>
                <c:pt idx="89">
                  <c:v>16.960031496834333</c:v>
                </c:pt>
                <c:pt idx="90">
                  <c:v>16.960031496834333</c:v>
                </c:pt>
                <c:pt idx="91">
                  <c:v>16.960031496834333</c:v>
                </c:pt>
                <c:pt idx="92">
                  <c:v>16.960031496834333</c:v>
                </c:pt>
                <c:pt idx="93">
                  <c:v>16.960031496834333</c:v>
                </c:pt>
                <c:pt idx="94">
                  <c:v>16.960031496834333</c:v>
                </c:pt>
                <c:pt idx="95">
                  <c:v>16.960031496834333</c:v>
                </c:pt>
                <c:pt idx="96">
                  <c:v>16.960031496834333</c:v>
                </c:pt>
                <c:pt idx="97">
                  <c:v>16.960031496834333</c:v>
                </c:pt>
                <c:pt idx="98">
                  <c:v>16.960031496834333</c:v>
                </c:pt>
                <c:pt idx="99">
                  <c:v>16.960031496834333</c:v>
                </c:pt>
                <c:pt idx="100">
                  <c:v>16.960031496834333</c:v>
                </c:pt>
                <c:pt idx="101">
                  <c:v>16.960031496834333</c:v>
                </c:pt>
                <c:pt idx="102">
                  <c:v>16.960031496834333</c:v>
                </c:pt>
                <c:pt idx="103">
                  <c:v>16.960031496834333</c:v>
                </c:pt>
                <c:pt idx="104">
                  <c:v>16.960031496834333</c:v>
                </c:pt>
                <c:pt idx="105">
                  <c:v>16.960031496834333</c:v>
                </c:pt>
                <c:pt idx="106">
                  <c:v>16.960031496834333</c:v>
                </c:pt>
                <c:pt idx="107">
                  <c:v>16.960031496834333</c:v>
                </c:pt>
                <c:pt idx="108">
                  <c:v>16.960031496834333</c:v>
                </c:pt>
                <c:pt idx="109">
                  <c:v>16.960031496834333</c:v>
                </c:pt>
                <c:pt idx="110">
                  <c:v>16.960031496834333</c:v>
                </c:pt>
                <c:pt idx="111">
                  <c:v>16.960031496834333</c:v>
                </c:pt>
                <c:pt idx="112">
                  <c:v>16.960031496834333</c:v>
                </c:pt>
                <c:pt idx="113">
                  <c:v>16.960031496834333</c:v>
                </c:pt>
                <c:pt idx="114">
                  <c:v>16.960031496834333</c:v>
                </c:pt>
                <c:pt idx="115">
                  <c:v>16.960031496834333</c:v>
                </c:pt>
                <c:pt idx="116">
                  <c:v>16.960031496834333</c:v>
                </c:pt>
                <c:pt idx="117">
                  <c:v>16.960031496834333</c:v>
                </c:pt>
                <c:pt idx="118">
                  <c:v>16.960031496834333</c:v>
                </c:pt>
                <c:pt idx="119">
                  <c:v>16.960031496834333</c:v>
                </c:pt>
                <c:pt idx="120">
                  <c:v>16.960031496834333</c:v>
                </c:pt>
                <c:pt idx="121">
                  <c:v>16.960031496834333</c:v>
                </c:pt>
                <c:pt idx="122">
                  <c:v>16.960031496834333</c:v>
                </c:pt>
                <c:pt idx="123">
                  <c:v>16.960031496834333</c:v>
                </c:pt>
                <c:pt idx="124">
                  <c:v>16.960031496834333</c:v>
                </c:pt>
                <c:pt idx="125">
                  <c:v>16.960031496834333</c:v>
                </c:pt>
                <c:pt idx="126">
                  <c:v>16.960031496834333</c:v>
                </c:pt>
                <c:pt idx="127">
                  <c:v>16.960031496834333</c:v>
                </c:pt>
                <c:pt idx="128">
                  <c:v>16.960031496834333</c:v>
                </c:pt>
                <c:pt idx="129">
                  <c:v>16.960031496834333</c:v>
                </c:pt>
                <c:pt idx="130">
                  <c:v>16.960031496834333</c:v>
                </c:pt>
                <c:pt idx="131">
                  <c:v>16.960031496834333</c:v>
                </c:pt>
                <c:pt idx="132">
                  <c:v>16.960031496834333</c:v>
                </c:pt>
                <c:pt idx="133">
                  <c:v>16.960031496834333</c:v>
                </c:pt>
                <c:pt idx="134">
                  <c:v>16.960031496834333</c:v>
                </c:pt>
                <c:pt idx="135">
                  <c:v>16.960031496834333</c:v>
                </c:pt>
                <c:pt idx="136">
                  <c:v>16.960031496834333</c:v>
                </c:pt>
                <c:pt idx="137">
                  <c:v>16.960031496834333</c:v>
                </c:pt>
                <c:pt idx="138">
                  <c:v>16.960031496834333</c:v>
                </c:pt>
                <c:pt idx="139">
                  <c:v>16.960031496834333</c:v>
                </c:pt>
                <c:pt idx="140">
                  <c:v>16.960031496834333</c:v>
                </c:pt>
                <c:pt idx="141">
                  <c:v>16.960031496834333</c:v>
                </c:pt>
                <c:pt idx="142">
                  <c:v>16.960031496834333</c:v>
                </c:pt>
                <c:pt idx="143">
                  <c:v>16.960031496834333</c:v>
                </c:pt>
                <c:pt idx="144">
                  <c:v>16.960031496834333</c:v>
                </c:pt>
                <c:pt idx="145">
                  <c:v>16.960031496834333</c:v>
                </c:pt>
                <c:pt idx="146">
                  <c:v>16.960031496834333</c:v>
                </c:pt>
                <c:pt idx="147">
                  <c:v>16.960031496834333</c:v>
                </c:pt>
                <c:pt idx="148">
                  <c:v>16.960031496834333</c:v>
                </c:pt>
                <c:pt idx="149">
                  <c:v>16.960031496834333</c:v>
                </c:pt>
                <c:pt idx="150">
                  <c:v>16.960031496834333</c:v>
                </c:pt>
                <c:pt idx="151">
                  <c:v>16.960031496834333</c:v>
                </c:pt>
                <c:pt idx="152">
                  <c:v>16.960031496834333</c:v>
                </c:pt>
                <c:pt idx="153">
                  <c:v>16.960031496834333</c:v>
                </c:pt>
                <c:pt idx="154">
                  <c:v>16.960031496834333</c:v>
                </c:pt>
                <c:pt idx="155">
                  <c:v>16.960031496834333</c:v>
                </c:pt>
                <c:pt idx="156">
                  <c:v>16.960031496834333</c:v>
                </c:pt>
                <c:pt idx="157">
                  <c:v>16.960031496834333</c:v>
                </c:pt>
                <c:pt idx="158">
                  <c:v>16.960031496834333</c:v>
                </c:pt>
                <c:pt idx="159">
                  <c:v>16.960031496834333</c:v>
                </c:pt>
                <c:pt idx="160">
                  <c:v>16.960031496834333</c:v>
                </c:pt>
                <c:pt idx="161">
                  <c:v>16.960031496834333</c:v>
                </c:pt>
                <c:pt idx="162">
                  <c:v>16.960031496834333</c:v>
                </c:pt>
                <c:pt idx="163">
                  <c:v>16.960031496834333</c:v>
                </c:pt>
                <c:pt idx="164">
                  <c:v>16.960031496834333</c:v>
                </c:pt>
                <c:pt idx="165">
                  <c:v>16.960031496834333</c:v>
                </c:pt>
                <c:pt idx="166">
                  <c:v>16.960031496834333</c:v>
                </c:pt>
                <c:pt idx="167">
                  <c:v>16.960031496834333</c:v>
                </c:pt>
                <c:pt idx="168">
                  <c:v>16.960031496834333</c:v>
                </c:pt>
                <c:pt idx="169">
                  <c:v>16.960031496834333</c:v>
                </c:pt>
                <c:pt idx="170">
                  <c:v>16.960031496834333</c:v>
                </c:pt>
                <c:pt idx="171">
                  <c:v>16.960031496834333</c:v>
                </c:pt>
                <c:pt idx="172">
                  <c:v>16.960031496834333</c:v>
                </c:pt>
                <c:pt idx="173">
                  <c:v>16.960031496834333</c:v>
                </c:pt>
                <c:pt idx="174">
                  <c:v>16.960031496834333</c:v>
                </c:pt>
                <c:pt idx="175">
                  <c:v>16.960031496834333</c:v>
                </c:pt>
                <c:pt idx="176">
                  <c:v>16.960031496834333</c:v>
                </c:pt>
                <c:pt idx="177">
                  <c:v>16.960031496834333</c:v>
                </c:pt>
                <c:pt idx="178">
                  <c:v>16.960031496834333</c:v>
                </c:pt>
                <c:pt idx="179">
                  <c:v>16.960031496834333</c:v>
                </c:pt>
                <c:pt idx="180">
                  <c:v>16.960031496834333</c:v>
                </c:pt>
                <c:pt idx="181">
                  <c:v>16.960031496834333</c:v>
                </c:pt>
                <c:pt idx="182">
                  <c:v>16.960031496834333</c:v>
                </c:pt>
                <c:pt idx="183">
                  <c:v>16.960031496834333</c:v>
                </c:pt>
                <c:pt idx="184">
                  <c:v>16.960031496834333</c:v>
                </c:pt>
                <c:pt idx="185">
                  <c:v>16.960031496834333</c:v>
                </c:pt>
                <c:pt idx="186">
                  <c:v>16.960031496834333</c:v>
                </c:pt>
                <c:pt idx="187">
                  <c:v>16.960031496834333</c:v>
                </c:pt>
                <c:pt idx="188">
                  <c:v>16.960031496834333</c:v>
                </c:pt>
                <c:pt idx="189">
                  <c:v>16.960031496834333</c:v>
                </c:pt>
                <c:pt idx="190">
                  <c:v>16.960031496834333</c:v>
                </c:pt>
                <c:pt idx="191">
                  <c:v>16.960031496834333</c:v>
                </c:pt>
                <c:pt idx="192">
                  <c:v>16.960031496834333</c:v>
                </c:pt>
                <c:pt idx="193">
                  <c:v>16.960031496834333</c:v>
                </c:pt>
                <c:pt idx="194">
                  <c:v>16.960031496834333</c:v>
                </c:pt>
                <c:pt idx="195">
                  <c:v>16.960031496834333</c:v>
                </c:pt>
                <c:pt idx="196">
                  <c:v>16.960031496834333</c:v>
                </c:pt>
                <c:pt idx="197">
                  <c:v>16.960031496834333</c:v>
                </c:pt>
                <c:pt idx="198">
                  <c:v>16.960031496834333</c:v>
                </c:pt>
                <c:pt idx="199">
                  <c:v>16.960031496834333</c:v>
                </c:pt>
                <c:pt idx="200">
                  <c:v>16.960031496834333</c:v>
                </c:pt>
                <c:pt idx="201">
                  <c:v>16.960031496834333</c:v>
                </c:pt>
                <c:pt idx="202">
                  <c:v>16.960031496834333</c:v>
                </c:pt>
                <c:pt idx="203">
                  <c:v>16.960031496834333</c:v>
                </c:pt>
                <c:pt idx="204">
                  <c:v>16.960031496834333</c:v>
                </c:pt>
                <c:pt idx="205">
                  <c:v>16.960031496834333</c:v>
                </c:pt>
                <c:pt idx="206">
                  <c:v>16.960031496834333</c:v>
                </c:pt>
                <c:pt idx="207">
                  <c:v>16.960031496834333</c:v>
                </c:pt>
                <c:pt idx="208">
                  <c:v>16.960031496834333</c:v>
                </c:pt>
                <c:pt idx="209">
                  <c:v>16.960031496834333</c:v>
                </c:pt>
                <c:pt idx="210">
                  <c:v>16.960031496834333</c:v>
                </c:pt>
                <c:pt idx="211">
                  <c:v>16.960031496834333</c:v>
                </c:pt>
                <c:pt idx="212">
                  <c:v>16.960031496834333</c:v>
                </c:pt>
                <c:pt idx="213">
                  <c:v>16.960031496834333</c:v>
                </c:pt>
                <c:pt idx="214">
                  <c:v>16.960031496834333</c:v>
                </c:pt>
                <c:pt idx="215">
                  <c:v>16.960031496834333</c:v>
                </c:pt>
                <c:pt idx="216">
                  <c:v>16.960031496834333</c:v>
                </c:pt>
                <c:pt idx="217">
                  <c:v>16.960031496834333</c:v>
                </c:pt>
                <c:pt idx="218">
                  <c:v>16.960031496834333</c:v>
                </c:pt>
                <c:pt idx="219">
                  <c:v>16.960031496834333</c:v>
                </c:pt>
                <c:pt idx="220">
                  <c:v>16.960031496834333</c:v>
                </c:pt>
                <c:pt idx="221">
                  <c:v>16.960031496834333</c:v>
                </c:pt>
                <c:pt idx="222">
                  <c:v>16.960031496834333</c:v>
                </c:pt>
                <c:pt idx="223">
                  <c:v>16.960031496834333</c:v>
                </c:pt>
                <c:pt idx="224">
                  <c:v>16.960031496834333</c:v>
                </c:pt>
                <c:pt idx="225">
                  <c:v>16.960031496834333</c:v>
                </c:pt>
                <c:pt idx="226">
                  <c:v>16.960031496834333</c:v>
                </c:pt>
                <c:pt idx="227">
                  <c:v>16.960031496834333</c:v>
                </c:pt>
                <c:pt idx="228">
                  <c:v>16.960031496834333</c:v>
                </c:pt>
                <c:pt idx="229">
                  <c:v>16.960031496834333</c:v>
                </c:pt>
                <c:pt idx="230">
                  <c:v>16.960031496834333</c:v>
                </c:pt>
                <c:pt idx="231">
                  <c:v>16.960031496834333</c:v>
                </c:pt>
                <c:pt idx="232">
                  <c:v>16.960031496834333</c:v>
                </c:pt>
                <c:pt idx="233">
                  <c:v>16.960031496834333</c:v>
                </c:pt>
                <c:pt idx="234">
                  <c:v>16.960031496834333</c:v>
                </c:pt>
                <c:pt idx="235">
                  <c:v>16.960031496834333</c:v>
                </c:pt>
                <c:pt idx="236">
                  <c:v>16.960031496834333</c:v>
                </c:pt>
                <c:pt idx="237">
                  <c:v>16.960031496834333</c:v>
                </c:pt>
                <c:pt idx="238">
                  <c:v>16.960031496834333</c:v>
                </c:pt>
                <c:pt idx="239">
                  <c:v>16.960031496834333</c:v>
                </c:pt>
                <c:pt idx="240">
                  <c:v>16.960031496834333</c:v>
                </c:pt>
                <c:pt idx="241">
                  <c:v>16.960031496834333</c:v>
                </c:pt>
                <c:pt idx="242">
                  <c:v>16.960031496834333</c:v>
                </c:pt>
                <c:pt idx="243">
                  <c:v>16.960031496834333</c:v>
                </c:pt>
                <c:pt idx="244">
                  <c:v>16.960031496834333</c:v>
                </c:pt>
                <c:pt idx="245">
                  <c:v>16.960031496834333</c:v>
                </c:pt>
                <c:pt idx="246">
                  <c:v>16.960031496834333</c:v>
                </c:pt>
                <c:pt idx="247">
                  <c:v>16.960031496834333</c:v>
                </c:pt>
                <c:pt idx="248">
                  <c:v>16.960031496834333</c:v>
                </c:pt>
                <c:pt idx="249">
                  <c:v>16.960031496834333</c:v>
                </c:pt>
                <c:pt idx="250">
                  <c:v>16.960031496834333</c:v>
                </c:pt>
                <c:pt idx="251">
                  <c:v>16.960031496834333</c:v>
                </c:pt>
                <c:pt idx="252">
                  <c:v>16.960031496834333</c:v>
                </c:pt>
                <c:pt idx="253">
                  <c:v>16.960031496834333</c:v>
                </c:pt>
                <c:pt idx="254">
                  <c:v>16.960031496834333</c:v>
                </c:pt>
                <c:pt idx="255">
                  <c:v>16.960031496834333</c:v>
                </c:pt>
                <c:pt idx="256">
                  <c:v>16.960031496834333</c:v>
                </c:pt>
                <c:pt idx="257">
                  <c:v>16.960031496834333</c:v>
                </c:pt>
                <c:pt idx="258">
                  <c:v>16.960031496834333</c:v>
                </c:pt>
                <c:pt idx="259">
                  <c:v>16.960031496834333</c:v>
                </c:pt>
                <c:pt idx="260">
                  <c:v>16.960031496834333</c:v>
                </c:pt>
                <c:pt idx="261">
                  <c:v>16.960031496834333</c:v>
                </c:pt>
                <c:pt idx="262">
                  <c:v>16.960031496834333</c:v>
                </c:pt>
                <c:pt idx="263">
                  <c:v>16.960031496834333</c:v>
                </c:pt>
                <c:pt idx="264">
                  <c:v>16.960031496834333</c:v>
                </c:pt>
                <c:pt idx="265">
                  <c:v>16.960031496834333</c:v>
                </c:pt>
                <c:pt idx="266">
                  <c:v>16.960031496834333</c:v>
                </c:pt>
                <c:pt idx="267">
                  <c:v>16.960031496834333</c:v>
                </c:pt>
                <c:pt idx="268">
                  <c:v>16.960031496834333</c:v>
                </c:pt>
                <c:pt idx="269">
                  <c:v>16.960031496834333</c:v>
                </c:pt>
                <c:pt idx="270">
                  <c:v>16.960031496834333</c:v>
                </c:pt>
                <c:pt idx="271">
                  <c:v>16.960031496834333</c:v>
                </c:pt>
                <c:pt idx="272">
                  <c:v>16.960031496834333</c:v>
                </c:pt>
                <c:pt idx="273">
                  <c:v>16.960031496834333</c:v>
                </c:pt>
                <c:pt idx="274">
                  <c:v>16.960031496834333</c:v>
                </c:pt>
                <c:pt idx="275">
                  <c:v>16.960031496834333</c:v>
                </c:pt>
                <c:pt idx="276">
                  <c:v>16.960031496834333</c:v>
                </c:pt>
                <c:pt idx="277">
                  <c:v>16.960031496834333</c:v>
                </c:pt>
                <c:pt idx="278">
                  <c:v>16.960031496834333</c:v>
                </c:pt>
                <c:pt idx="279">
                  <c:v>16.960031496834333</c:v>
                </c:pt>
                <c:pt idx="280">
                  <c:v>16.960031496834333</c:v>
                </c:pt>
                <c:pt idx="281">
                  <c:v>16.960031496834333</c:v>
                </c:pt>
                <c:pt idx="282">
                  <c:v>16.960031496834333</c:v>
                </c:pt>
                <c:pt idx="283">
                  <c:v>16.960031496834333</c:v>
                </c:pt>
                <c:pt idx="284">
                  <c:v>16.960031496834333</c:v>
                </c:pt>
                <c:pt idx="285">
                  <c:v>16.960031496834333</c:v>
                </c:pt>
                <c:pt idx="286">
                  <c:v>16.960031496834333</c:v>
                </c:pt>
                <c:pt idx="287">
                  <c:v>16.960031496834333</c:v>
                </c:pt>
                <c:pt idx="288">
                  <c:v>16.960031496834333</c:v>
                </c:pt>
                <c:pt idx="289">
                  <c:v>16.960031496834333</c:v>
                </c:pt>
                <c:pt idx="290">
                  <c:v>16.960031496834333</c:v>
                </c:pt>
                <c:pt idx="291">
                  <c:v>16.960031496834333</c:v>
                </c:pt>
                <c:pt idx="292">
                  <c:v>16.960031496834333</c:v>
                </c:pt>
                <c:pt idx="293">
                  <c:v>16.960031496834333</c:v>
                </c:pt>
                <c:pt idx="294">
                  <c:v>16.960031496834333</c:v>
                </c:pt>
                <c:pt idx="295">
                  <c:v>16.960031496834333</c:v>
                </c:pt>
                <c:pt idx="296">
                  <c:v>16.960031496834333</c:v>
                </c:pt>
                <c:pt idx="297">
                  <c:v>16.960031496834333</c:v>
                </c:pt>
                <c:pt idx="298">
                  <c:v>16.960031496834333</c:v>
                </c:pt>
                <c:pt idx="299">
                  <c:v>16.960031496834333</c:v>
                </c:pt>
                <c:pt idx="300">
                  <c:v>16.960031496834333</c:v>
                </c:pt>
                <c:pt idx="301">
                  <c:v>16.960031496834333</c:v>
                </c:pt>
                <c:pt idx="302">
                  <c:v>16.960031496834333</c:v>
                </c:pt>
                <c:pt idx="303">
                  <c:v>16.960031496834333</c:v>
                </c:pt>
                <c:pt idx="304">
                  <c:v>16.960031496834333</c:v>
                </c:pt>
                <c:pt idx="305">
                  <c:v>16.960031496834333</c:v>
                </c:pt>
                <c:pt idx="306">
                  <c:v>16.960031496834333</c:v>
                </c:pt>
                <c:pt idx="307">
                  <c:v>16.960031496834333</c:v>
                </c:pt>
                <c:pt idx="308">
                  <c:v>16.960031496834333</c:v>
                </c:pt>
                <c:pt idx="309">
                  <c:v>16.960031496834333</c:v>
                </c:pt>
                <c:pt idx="310">
                  <c:v>16.960031496834333</c:v>
                </c:pt>
                <c:pt idx="311">
                  <c:v>16.960031496834333</c:v>
                </c:pt>
                <c:pt idx="312">
                  <c:v>16.960031496834333</c:v>
                </c:pt>
                <c:pt idx="313">
                  <c:v>16.960031496834333</c:v>
                </c:pt>
                <c:pt idx="314">
                  <c:v>16.960031496834333</c:v>
                </c:pt>
                <c:pt idx="315">
                  <c:v>16.960031496834333</c:v>
                </c:pt>
                <c:pt idx="316">
                  <c:v>16.960031496834333</c:v>
                </c:pt>
                <c:pt idx="317">
                  <c:v>16.960031496834333</c:v>
                </c:pt>
                <c:pt idx="318">
                  <c:v>16.960031496834333</c:v>
                </c:pt>
                <c:pt idx="319">
                  <c:v>16.960031496834333</c:v>
                </c:pt>
                <c:pt idx="320">
                  <c:v>16.960031496834333</c:v>
                </c:pt>
                <c:pt idx="321">
                  <c:v>16.960031496834333</c:v>
                </c:pt>
                <c:pt idx="322">
                  <c:v>16.960031496834333</c:v>
                </c:pt>
                <c:pt idx="323">
                  <c:v>16.960031496834333</c:v>
                </c:pt>
                <c:pt idx="324">
                  <c:v>16.960031496834333</c:v>
                </c:pt>
                <c:pt idx="325">
                  <c:v>16.960031496834333</c:v>
                </c:pt>
                <c:pt idx="326">
                  <c:v>16.960031496834333</c:v>
                </c:pt>
                <c:pt idx="327">
                  <c:v>16.960031496834333</c:v>
                </c:pt>
                <c:pt idx="328">
                  <c:v>16.960031496834333</c:v>
                </c:pt>
                <c:pt idx="329">
                  <c:v>16.960031496834333</c:v>
                </c:pt>
                <c:pt idx="330">
                  <c:v>16.960031496834333</c:v>
                </c:pt>
                <c:pt idx="331">
                  <c:v>16.960031496834333</c:v>
                </c:pt>
                <c:pt idx="332">
                  <c:v>16.960031496834333</c:v>
                </c:pt>
                <c:pt idx="333">
                  <c:v>16.960031496834333</c:v>
                </c:pt>
                <c:pt idx="334">
                  <c:v>16.960031496834333</c:v>
                </c:pt>
                <c:pt idx="335">
                  <c:v>16.960031496834333</c:v>
                </c:pt>
                <c:pt idx="336">
                  <c:v>16.960031496834333</c:v>
                </c:pt>
                <c:pt idx="337">
                  <c:v>16.960031496834333</c:v>
                </c:pt>
                <c:pt idx="338">
                  <c:v>16.960031496834333</c:v>
                </c:pt>
                <c:pt idx="339">
                  <c:v>16.960031496834333</c:v>
                </c:pt>
                <c:pt idx="340">
                  <c:v>16.960031496834333</c:v>
                </c:pt>
                <c:pt idx="341">
                  <c:v>16.960031496834333</c:v>
                </c:pt>
                <c:pt idx="342">
                  <c:v>16.960031496834333</c:v>
                </c:pt>
                <c:pt idx="343">
                  <c:v>16.960031496834333</c:v>
                </c:pt>
                <c:pt idx="344">
                  <c:v>16.960031496834333</c:v>
                </c:pt>
                <c:pt idx="345">
                  <c:v>16.960031496834333</c:v>
                </c:pt>
                <c:pt idx="346">
                  <c:v>16.960031496834333</c:v>
                </c:pt>
                <c:pt idx="347">
                  <c:v>16.960031496834333</c:v>
                </c:pt>
                <c:pt idx="348">
                  <c:v>16.960031496834333</c:v>
                </c:pt>
                <c:pt idx="349">
                  <c:v>16.960031496834333</c:v>
                </c:pt>
                <c:pt idx="350">
                  <c:v>16.960031496834333</c:v>
                </c:pt>
                <c:pt idx="351">
                  <c:v>16.960031496834333</c:v>
                </c:pt>
                <c:pt idx="352">
                  <c:v>16.960031496834333</c:v>
                </c:pt>
                <c:pt idx="353">
                  <c:v>16.960031496834333</c:v>
                </c:pt>
                <c:pt idx="354">
                  <c:v>16.960031496834333</c:v>
                </c:pt>
                <c:pt idx="355">
                  <c:v>16.960031496834333</c:v>
                </c:pt>
                <c:pt idx="356">
                  <c:v>16.960031496834333</c:v>
                </c:pt>
                <c:pt idx="357">
                  <c:v>16.960031496834333</c:v>
                </c:pt>
                <c:pt idx="358">
                  <c:v>16.960031496834333</c:v>
                </c:pt>
                <c:pt idx="359">
                  <c:v>16.960031496834333</c:v>
                </c:pt>
                <c:pt idx="360">
                  <c:v>16.960031496834333</c:v>
                </c:pt>
                <c:pt idx="361">
                  <c:v>16.960031496834333</c:v>
                </c:pt>
                <c:pt idx="362">
                  <c:v>16.960031496834333</c:v>
                </c:pt>
                <c:pt idx="363">
                  <c:v>16.960031496834333</c:v>
                </c:pt>
                <c:pt idx="364">
                  <c:v>16.960031496834333</c:v>
                </c:pt>
                <c:pt idx="365">
                  <c:v>16.960031496834333</c:v>
                </c:pt>
                <c:pt idx="366">
                  <c:v>16.960031496834333</c:v>
                </c:pt>
                <c:pt idx="367">
                  <c:v>16.960031496834333</c:v>
                </c:pt>
                <c:pt idx="368">
                  <c:v>16.960031496834333</c:v>
                </c:pt>
                <c:pt idx="369">
                  <c:v>16.960031496834333</c:v>
                </c:pt>
                <c:pt idx="370">
                  <c:v>16.960031496834333</c:v>
                </c:pt>
                <c:pt idx="371">
                  <c:v>16.960031496834333</c:v>
                </c:pt>
                <c:pt idx="372">
                  <c:v>16.960031496834333</c:v>
                </c:pt>
                <c:pt idx="373">
                  <c:v>16.960031496834333</c:v>
                </c:pt>
                <c:pt idx="374">
                  <c:v>16.960031496834333</c:v>
                </c:pt>
                <c:pt idx="375">
                  <c:v>16.960031496834333</c:v>
                </c:pt>
                <c:pt idx="376">
                  <c:v>16.960031496834333</c:v>
                </c:pt>
                <c:pt idx="377">
                  <c:v>16.960031496834333</c:v>
                </c:pt>
                <c:pt idx="378">
                  <c:v>16.960031496834333</c:v>
                </c:pt>
                <c:pt idx="379">
                  <c:v>16.960031496834333</c:v>
                </c:pt>
                <c:pt idx="380">
                  <c:v>16.960031496834333</c:v>
                </c:pt>
                <c:pt idx="381">
                  <c:v>16.960031496834333</c:v>
                </c:pt>
                <c:pt idx="382">
                  <c:v>16.960031496834333</c:v>
                </c:pt>
                <c:pt idx="383">
                  <c:v>16.960031496834333</c:v>
                </c:pt>
                <c:pt idx="384">
                  <c:v>16.960031496834333</c:v>
                </c:pt>
                <c:pt idx="385">
                  <c:v>16.960031496834333</c:v>
                </c:pt>
                <c:pt idx="386">
                  <c:v>16.960031496834333</c:v>
                </c:pt>
                <c:pt idx="387">
                  <c:v>16.960031496834333</c:v>
                </c:pt>
                <c:pt idx="388">
                  <c:v>16.960031496834333</c:v>
                </c:pt>
                <c:pt idx="389">
                  <c:v>16.960031496834333</c:v>
                </c:pt>
                <c:pt idx="390">
                  <c:v>16.960031496834333</c:v>
                </c:pt>
                <c:pt idx="391">
                  <c:v>16.960031496834333</c:v>
                </c:pt>
                <c:pt idx="392">
                  <c:v>16.960031496834333</c:v>
                </c:pt>
                <c:pt idx="393">
                  <c:v>16.960031496834333</c:v>
                </c:pt>
                <c:pt idx="394">
                  <c:v>16.960031496834333</c:v>
                </c:pt>
                <c:pt idx="395">
                  <c:v>16.960031496834333</c:v>
                </c:pt>
                <c:pt idx="396">
                  <c:v>16.960031496834333</c:v>
                </c:pt>
                <c:pt idx="397">
                  <c:v>16.960031496834333</c:v>
                </c:pt>
                <c:pt idx="398">
                  <c:v>16.960031496834333</c:v>
                </c:pt>
                <c:pt idx="399">
                  <c:v>16.960031496834333</c:v>
                </c:pt>
                <c:pt idx="400">
                  <c:v>16.960031496834333</c:v>
                </c:pt>
                <c:pt idx="401">
                  <c:v>16.960031496834333</c:v>
                </c:pt>
                <c:pt idx="402">
                  <c:v>16.960031496834333</c:v>
                </c:pt>
                <c:pt idx="403">
                  <c:v>16.960031496834333</c:v>
                </c:pt>
                <c:pt idx="404">
                  <c:v>16.960031496834333</c:v>
                </c:pt>
                <c:pt idx="405">
                  <c:v>16.960031496834333</c:v>
                </c:pt>
                <c:pt idx="406">
                  <c:v>16.960031496834333</c:v>
                </c:pt>
                <c:pt idx="407">
                  <c:v>16.960031496834333</c:v>
                </c:pt>
                <c:pt idx="408">
                  <c:v>16.960031496834333</c:v>
                </c:pt>
                <c:pt idx="409">
                  <c:v>16.960031496834333</c:v>
                </c:pt>
                <c:pt idx="410">
                  <c:v>16.960031496834333</c:v>
                </c:pt>
                <c:pt idx="411">
                  <c:v>16.960031496834333</c:v>
                </c:pt>
                <c:pt idx="412">
                  <c:v>16.960031496834333</c:v>
                </c:pt>
                <c:pt idx="413">
                  <c:v>16.960031496834333</c:v>
                </c:pt>
                <c:pt idx="414">
                  <c:v>16.960031496834333</c:v>
                </c:pt>
                <c:pt idx="415">
                  <c:v>16.960031496834333</c:v>
                </c:pt>
                <c:pt idx="416">
                  <c:v>16.960031496834333</c:v>
                </c:pt>
                <c:pt idx="417">
                  <c:v>16.960031496834333</c:v>
                </c:pt>
                <c:pt idx="418">
                  <c:v>16.960031496834333</c:v>
                </c:pt>
                <c:pt idx="419">
                  <c:v>16.960031496834333</c:v>
                </c:pt>
                <c:pt idx="420">
                  <c:v>16.960031496834333</c:v>
                </c:pt>
                <c:pt idx="421">
                  <c:v>16.960031496834333</c:v>
                </c:pt>
                <c:pt idx="422">
                  <c:v>16.960031496834333</c:v>
                </c:pt>
                <c:pt idx="423">
                  <c:v>16.960031496834333</c:v>
                </c:pt>
                <c:pt idx="424">
                  <c:v>16.960031496834333</c:v>
                </c:pt>
                <c:pt idx="425">
                  <c:v>16.960031496834333</c:v>
                </c:pt>
                <c:pt idx="426">
                  <c:v>16.960031496834333</c:v>
                </c:pt>
                <c:pt idx="427">
                  <c:v>16.960031496834333</c:v>
                </c:pt>
                <c:pt idx="428">
                  <c:v>16.960031496834333</c:v>
                </c:pt>
                <c:pt idx="429">
                  <c:v>16.960031496834333</c:v>
                </c:pt>
                <c:pt idx="430">
                  <c:v>16.960031496834333</c:v>
                </c:pt>
                <c:pt idx="431">
                  <c:v>16.960031496834333</c:v>
                </c:pt>
                <c:pt idx="432">
                  <c:v>16.960031496834333</c:v>
                </c:pt>
                <c:pt idx="433">
                  <c:v>16.960031496834333</c:v>
                </c:pt>
                <c:pt idx="434">
                  <c:v>16.960031496834333</c:v>
                </c:pt>
                <c:pt idx="435">
                  <c:v>16.960031496834333</c:v>
                </c:pt>
                <c:pt idx="436">
                  <c:v>16.960031496834333</c:v>
                </c:pt>
                <c:pt idx="437">
                  <c:v>16.960031496834333</c:v>
                </c:pt>
                <c:pt idx="438">
                  <c:v>16.960031496834333</c:v>
                </c:pt>
                <c:pt idx="439">
                  <c:v>16.960031496834333</c:v>
                </c:pt>
                <c:pt idx="440">
                  <c:v>16.960031496834333</c:v>
                </c:pt>
                <c:pt idx="441">
                  <c:v>16.960031496834333</c:v>
                </c:pt>
                <c:pt idx="442">
                  <c:v>16.960031496834333</c:v>
                </c:pt>
                <c:pt idx="443">
                  <c:v>16.960031496834333</c:v>
                </c:pt>
                <c:pt idx="444">
                  <c:v>16.960031496834333</c:v>
                </c:pt>
                <c:pt idx="445">
                  <c:v>16.960031496834333</c:v>
                </c:pt>
                <c:pt idx="446">
                  <c:v>16.960031496834333</c:v>
                </c:pt>
                <c:pt idx="447">
                  <c:v>16.960031496834333</c:v>
                </c:pt>
                <c:pt idx="448">
                  <c:v>16.960031496834333</c:v>
                </c:pt>
                <c:pt idx="449">
                  <c:v>16.960031496834333</c:v>
                </c:pt>
                <c:pt idx="450">
                  <c:v>16.960031496834333</c:v>
                </c:pt>
                <c:pt idx="451">
                  <c:v>16.960031496834333</c:v>
                </c:pt>
                <c:pt idx="452">
                  <c:v>16.960031496834333</c:v>
                </c:pt>
                <c:pt idx="453">
                  <c:v>16.960031496834333</c:v>
                </c:pt>
                <c:pt idx="454">
                  <c:v>16.960031496834333</c:v>
                </c:pt>
                <c:pt idx="455">
                  <c:v>16.960031496834333</c:v>
                </c:pt>
                <c:pt idx="456">
                  <c:v>16.960031496834333</c:v>
                </c:pt>
                <c:pt idx="457">
                  <c:v>16.960031496834333</c:v>
                </c:pt>
                <c:pt idx="458">
                  <c:v>16.960031496834333</c:v>
                </c:pt>
                <c:pt idx="459">
                  <c:v>16.960031496834333</c:v>
                </c:pt>
                <c:pt idx="460">
                  <c:v>16.960031496834333</c:v>
                </c:pt>
                <c:pt idx="461">
                  <c:v>16.960031496834333</c:v>
                </c:pt>
                <c:pt idx="462">
                  <c:v>16.960031496834333</c:v>
                </c:pt>
                <c:pt idx="463">
                  <c:v>16.960031496834333</c:v>
                </c:pt>
                <c:pt idx="464">
                  <c:v>16.960031496834333</c:v>
                </c:pt>
                <c:pt idx="465">
                  <c:v>16.960031496834333</c:v>
                </c:pt>
                <c:pt idx="466">
                  <c:v>16.960031496834333</c:v>
                </c:pt>
                <c:pt idx="467">
                  <c:v>16.960031496834333</c:v>
                </c:pt>
                <c:pt idx="468">
                  <c:v>16.960031496834333</c:v>
                </c:pt>
                <c:pt idx="469">
                  <c:v>16.960031496834333</c:v>
                </c:pt>
                <c:pt idx="470">
                  <c:v>16.960031496834333</c:v>
                </c:pt>
                <c:pt idx="471">
                  <c:v>16.960031496834333</c:v>
                </c:pt>
                <c:pt idx="472">
                  <c:v>16.960031496834333</c:v>
                </c:pt>
                <c:pt idx="473">
                  <c:v>16.960031496834333</c:v>
                </c:pt>
                <c:pt idx="474">
                  <c:v>16.960031496834333</c:v>
                </c:pt>
                <c:pt idx="475">
                  <c:v>16.960031496834333</c:v>
                </c:pt>
                <c:pt idx="476">
                  <c:v>16.960031496834333</c:v>
                </c:pt>
                <c:pt idx="477">
                  <c:v>16.960031496834333</c:v>
                </c:pt>
                <c:pt idx="478">
                  <c:v>16.960031496834333</c:v>
                </c:pt>
                <c:pt idx="479">
                  <c:v>16.960031496834333</c:v>
                </c:pt>
                <c:pt idx="480">
                  <c:v>16.960031496834333</c:v>
                </c:pt>
                <c:pt idx="481">
                  <c:v>16.960031496834333</c:v>
                </c:pt>
                <c:pt idx="482">
                  <c:v>16.960031496834333</c:v>
                </c:pt>
                <c:pt idx="483">
                  <c:v>16.960031496834333</c:v>
                </c:pt>
                <c:pt idx="484">
                  <c:v>16.960031496834333</c:v>
                </c:pt>
                <c:pt idx="485">
                  <c:v>16.960031496834333</c:v>
                </c:pt>
                <c:pt idx="486">
                  <c:v>16.960031496834333</c:v>
                </c:pt>
                <c:pt idx="487">
                  <c:v>16.960031496834333</c:v>
                </c:pt>
                <c:pt idx="488">
                  <c:v>16.960031496834333</c:v>
                </c:pt>
                <c:pt idx="489">
                  <c:v>16.960031496834333</c:v>
                </c:pt>
                <c:pt idx="490">
                  <c:v>16.960031496834333</c:v>
                </c:pt>
                <c:pt idx="491">
                  <c:v>16.960031496834333</c:v>
                </c:pt>
                <c:pt idx="492">
                  <c:v>16.960031496834333</c:v>
                </c:pt>
                <c:pt idx="493">
                  <c:v>16.960031496834333</c:v>
                </c:pt>
                <c:pt idx="494">
                  <c:v>16.960031496834333</c:v>
                </c:pt>
                <c:pt idx="495">
                  <c:v>16.960031496834333</c:v>
                </c:pt>
                <c:pt idx="496">
                  <c:v>16.960031496834333</c:v>
                </c:pt>
                <c:pt idx="497">
                  <c:v>16.960031496834333</c:v>
                </c:pt>
                <c:pt idx="498">
                  <c:v>16.960031496834333</c:v>
                </c:pt>
                <c:pt idx="499">
                  <c:v>16.960031496834333</c:v>
                </c:pt>
                <c:pt idx="500">
                  <c:v>16.960031496834333</c:v>
                </c:pt>
                <c:pt idx="501">
                  <c:v>16.960031496834333</c:v>
                </c:pt>
                <c:pt idx="502">
                  <c:v>16.960031496834333</c:v>
                </c:pt>
                <c:pt idx="503">
                  <c:v>16.960031496834333</c:v>
                </c:pt>
                <c:pt idx="504">
                  <c:v>16.960031496834333</c:v>
                </c:pt>
                <c:pt idx="505">
                  <c:v>16.960031496834333</c:v>
                </c:pt>
                <c:pt idx="506">
                  <c:v>16.960031496834333</c:v>
                </c:pt>
                <c:pt idx="507">
                  <c:v>16.960031496834333</c:v>
                </c:pt>
                <c:pt idx="508">
                  <c:v>16.960031496834333</c:v>
                </c:pt>
                <c:pt idx="509">
                  <c:v>16.960031496834333</c:v>
                </c:pt>
                <c:pt idx="510">
                  <c:v>16.960031496834333</c:v>
                </c:pt>
                <c:pt idx="511">
                  <c:v>16.960031496834333</c:v>
                </c:pt>
                <c:pt idx="512">
                  <c:v>16.960031496834333</c:v>
                </c:pt>
                <c:pt idx="513">
                  <c:v>16.960031496834333</c:v>
                </c:pt>
                <c:pt idx="514">
                  <c:v>16.960031496834333</c:v>
                </c:pt>
                <c:pt idx="515">
                  <c:v>16.960031496834333</c:v>
                </c:pt>
                <c:pt idx="516">
                  <c:v>16.960031496834333</c:v>
                </c:pt>
                <c:pt idx="517">
                  <c:v>16.960031496834333</c:v>
                </c:pt>
                <c:pt idx="518">
                  <c:v>16.960031496834333</c:v>
                </c:pt>
                <c:pt idx="519">
                  <c:v>16.960031496834333</c:v>
                </c:pt>
                <c:pt idx="520">
                  <c:v>16.960031496834333</c:v>
                </c:pt>
                <c:pt idx="521">
                  <c:v>16.960031496834333</c:v>
                </c:pt>
                <c:pt idx="522">
                  <c:v>16.960031496834333</c:v>
                </c:pt>
                <c:pt idx="523">
                  <c:v>16.960031496834333</c:v>
                </c:pt>
                <c:pt idx="524">
                  <c:v>16.960031496834333</c:v>
                </c:pt>
                <c:pt idx="525">
                  <c:v>16.960031496834333</c:v>
                </c:pt>
                <c:pt idx="526">
                  <c:v>16.960031496834333</c:v>
                </c:pt>
                <c:pt idx="527">
                  <c:v>16.960031496834333</c:v>
                </c:pt>
                <c:pt idx="528">
                  <c:v>16.960031496834333</c:v>
                </c:pt>
                <c:pt idx="529">
                  <c:v>16.960031496834333</c:v>
                </c:pt>
                <c:pt idx="530">
                  <c:v>16.960031496834333</c:v>
                </c:pt>
                <c:pt idx="531">
                  <c:v>16.960031496834333</c:v>
                </c:pt>
                <c:pt idx="532">
                  <c:v>16.960031496834333</c:v>
                </c:pt>
                <c:pt idx="533">
                  <c:v>16.960031496834333</c:v>
                </c:pt>
                <c:pt idx="534">
                  <c:v>16.960031496834333</c:v>
                </c:pt>
                <c:pt idx="535">
                  <c:v>16.960031496834333</c:v>
                </c:pt>
                <c:pt idx="536">
                  <c:v>16.960031496834333</c:v>
                </c:pt>
                <c:pt idx="537">
                  <c:v>16.960031496834333</c:v>
                </c:pt>
                <c:pt idx="538">
                  <c:v>16.960031496834333</c:v>
                </c:pt>
                <c:pt idx="539">
                  <c:v>16.960031496834333</c:v>
                </c:pt>
                <c:pt idx="540">
                  <c:v>16.960031496834333</c:v>
                </c:pt>
                <c:pt idx="541">
                  <c:v>16.960031496834333</c:v>
                </c:pt>
                <c:pt idx="542">
                  <c:v>16.960031496834333</c:v>
                </c:pt>
                <c:pt idx="543">
                  <c:v>16.960031496834333</c:v>
                </c:pt>
                <c:pt idx="544">
                  <c:v>16.960031496834333</c:v>
                </c:pt>
                <c:pt idx="545">
                  <c:v>16.960031496834333</c:v>
                </c:pt>
                <c:pt idx="546">
                  <c:v>16.960031496834333</c:v>
                </c:pt>
                <c:pt idx="547">
                  <c:v>16.960031496834333</c:v>
                </c:pt>
                <c:pt idx="548">
                  <c:v>16.960031496834333</c:v>
                </c:pt>
                <c:pt idx="549">
                  <c:v>16.960031496834333</c:v>
                </c:pt>
                <c:pt idx="550">
                  <c:v>16.960031496834333</c:v>
                </c:pt>
                <c:pt idx="551">
                  <c:v>16.960031496834333</c:v>
                </c:pt>
                <c:pt idx="552">
                  <c:v>16.960031496834333</c:v>
                </c:pt>
                <c:pt idx="553">
                  <c:v>16.960031496834333</c:v>
                </c:pt>
                <c:pt idx="554">
                  <c:v>16.960031496834333</c:v>
                </c:pt>
                <c:pt idx="555">
                  <c:v>16.960031496834333</c:v>
                </c:pt>
                <c:pt idx="556">
                  <c:v>16.960031496834333</c:v>
                </c:pt>
                <c:pt idx="557">
                  <c:v>16.960031496834333</c:v>
                </c:pt>
                <c:pt idx="558">
                  <c:v>16.960031496834333</c:v>
                </c:pt>
                <c:pt idx="559">
                  <c:v>16.960031496834333</c:v>
                </c:pt>
                <c:pt idx="560">
                  <c:v>16.960031496834333</c:v>
                </c:pt>
                <c:pt idx="561">
                  <c:v>16.960031496834333</c:v>
                </c:pt>
                <c:pt idx="562">
                  <c:v>16.960031496834333</c:v>
                </c:pt>
                <c:pt idx="563">
                  <c:v>16.960031496834333</c:v>
                </c:pt>
                <c:pt idx="564">
                  <c:v>16.960031496834333</c:v>
                </c:pt>
                <c:pt idx="565">
                  <c:v>16.960031496834333</c:v>
                </c:pt>
                <c:pt idx="566">
                  <c:v>16.960031496834333</c:v>
                </c:pt>
                <c:pt idx="567">
                  <c:v>16.960031496834333</c:v>
                </c:pt>
                <c:pt idx="568">
                  <c:v>16.960031496834333</c:v>
                </c:pt>
                <c:pt idx="569">
                  <c:v>16.960031496834333</c:v>
                </c:pt>
                <c:pt idx="570">
                  <c:v>16.960031496834333</c:v>
                </c:pt>
                <c:pt idx="571">
                  <c:v>16.960031496834333</c:v>
                </c:pt>
                <c:pt idx="572">
                  <c:v>16.960031496834333</c:v>
                </c:pt>
                <c:pt idx="573">
                  <c:v>16.960031496834333</c:v>
                </c:pt>
                <c:pt idx="574">
                  <c:v>16.960031496834333</c:v>
                </c:pt>
                <c:pt idx="575">
                  <c:v>16.960031496834333</c:v>
                </c:pt>
                <c:pt idx="576">
                  <c:v>16.960031496834333</c:v>
                </c:pt>
                <c:pt idx="577">
                  <c:v>16.960031496834333</c:v>
                </c:pt>
                <c:pt idx="578">
                  <c:v>16.960031496834333</c:v>
                </c:pt>
                <c:pt idx="579">
                  <c:v>16.960031496834333</c:v>
                </c:pt>
                <c:pt idx="580">
                  <c:v>16.960031496834333</c:v>
                </c:pt>
                <c:pt idx="581">
                  <c:v>16.960031496834333</c:v>
                </c:pt>
                <c:pt idx="582">
                  <c:v>16.960031496834333</c:v>
                </c:pt>
                <c:pt idx="583">
                  <c:v>16.960031496834333</c:v>
                </c:pt>
                <c:pt idx="584">
                  <c:v>16.960031496834333</c:v>
                </c:pt>
                <c:pt idx="585">
                  <c:v>16.960031496834333</c:v>
                </c:pt>
                <c:pt idx="586">
                  <c:v>16.960031496834333</c:v>
                </c:pt>
                <c:pt idx="587">
                  <c:v>16.960031496834333</c:v>
                </c:pt>
                <c:pt idx="588">
                  <c:v>16.960031496834333</c:v>
                </c:pt>
                <c:pt idx="589">
                  <c:v>16.960031496834333</c:v>
                </c:pt>
                <c:pt idx="590">
                  <c:v>16.960031496834333</c:v>
                </c:pt>
                <c:pt idx="591">
                  <c:v>16.960031496834333</c:v>
                </c:pt>
                <c:pt idx="592">
                  <c:v>16.960031496834333</c:v>
                </c:pt>
                <c:pt idx="593">
                  <c:v>16.960031496834333</c:v>
                </c:pt>
                <c:pt idx="594">
                  <c:v>16.960031496834333</c:v>
                </c:pt>
                <c:pt idx="595">
                  <c:v>16.960031496834333</c:v>
                </c:pt>
                <c:pt idx="596">
                  <c:v>16.960031496834333</c:v>
                </c:pt>
                <c:pt idx="597">
                  <c:v>16.960031496834333</c:v>
                </c:pt>
                <c:pt idx="598">
                  <c:v>16.960031496834333</c:v>
                </c:pt>
                <c:pt idx="599">
                  <c:v>16.960031496834333</c:v>
                </c:pt>
                <c:pt idx="600">
                  <c:v>16.960031496834333</c:v>
                </c:pt>
                <c:pt idx="601">
                  <c:v>16.960031496834333</c:v>
                </c:pt>
                <c:pt idx="602">
                  <c:v>16.960031496834333</c:v>
                </c:pt>
                <c:pt idx="603">
                  <c:v>16.960031496834333</c:v>
                </c:pt>
                <c:pt idx="604">
                  <c:v>16.960031496834333</c:v>
                </c:pt>
                <c:pt idx="605">
                  <c:v>16.960031496834333</c:v>
                </c:pt>
                <c:pt idx="606">
                  <c:v>16.960031496834333</c:v>
                </c:pt>
                <c:pt idx="607">
                  <c:v>16.960031496834333</c:v>
                </c:pt>
                <c:pt idx="608">
                  <c:v>16.960031496834333</c:v>
                </c:pt>
                <c:pt idx="609">
                  <c:v>16.960031496834333</c:v>
                </c:pt>
                <c:pt idx="610">
                  <c:v>16.960031496834333</c:v>
                </c:pt>
                <c:pt idx="611">
                  <c:v>16.960031496834333</c:v>
                </c:pt>
                <c:pt idx="612">
                  <c:v>16.960031496834333</c:v>
                </c:pt>
                <c:pt idx="613">
                  <c:v>16.960031496834333</c:v>
                </c:pt>
                <c:pt idx="614">
                  <c:v>16.960031496834333</c:v>
                </c:pt>
                <c:pt idx="615">
                  <c:v>16.960031496834333</c:v>
                </c:pt>
                <c:pt idx="616">
                  <c:v>16.960031496834333</c:v>
                </c:pt>
                <c:pt idx="617">
                  <c:v>16.960031496834333</c:v>
                </c:pt>
                <c:pt idx="618">
                  <c:v>16.960031496834333</c:v>
                </c:pt>
                <c:pt idx="619">
                  <c:v>16.960031496834333</c:v>
                </c:pt>
                <c:pt idx="620">
                  <c:v>16.960031496834333</c:v>
                </c:pt>
                <c:pt idx="621">
                  <c:v>16.960031496834333</c:v>
                </c:pt>
                <c:pt idx="622">
                  <c:v>16.960031496834333</c:v>
                </c:pt>
                <c:pt idx="623">
                  <c:v>16.960031496834333</c:v>
                </c:pt>
                <c:pt idx="624">
                  <c:v>16.960031496834333</c:v>
                </c:pt>
                <c:pt idx="625">
                  <c:v>16.960031496834333</c:v>
                </c:pt>
                <c:pt idx="626">
                  <c:v>16.960031496834333</c:v>
                </c:pt>
                <c:pt idx="627">
                  <c:v>16.960031496834333</c:v>
                </c:pt>
                <c:pt idx="628">
                  <c:v>16.960031496834333</c:v>
                </c:pt>
                <c:pt idx="629">
                  <c:v>16.960031496834333</c:v>
                </c:pt>
                <c:pt idx="630">
                  <c:v>16.960031496834333</c:v>
                </c:pt>
                <c:pt idx="631">
                  <c:v>16.960031496834333</c:v>
                </c:pt>
                <c:pt idx="632">
                  <c:v>16.960031496834333</c:v>
                </c:pt>
                <c:pt idx="633">
                  <c:v>16.960031496834333</c:v>
                </c:pt>
                <c:pt idx="634">
                  <c:v>16.960031496834333</c:v>
                </c:pt>
                <c:pt idx="635">
                  <c:v>16.960031496834333</c:v>
                </c:pt>
                <c:pt idx="636">
                  <c:v>16.960031496834333</c:v>
                </c:pt>
                <c:pt idx="637">
                  <c:v>16.960031496834333</c:v>
                </c:pt>
                <c:pt idx="638">
                  <c:v>16.960031496834333</c:v>
                </c:pt>
                <c:pt idx="639">
                  <c:v>16.960031496834333</c:v>
                </c:pt>
                <c:pt idx="640">
                  <c:v>16.960031496834333</c:v>
                </c:pt>
                <c:pt idx="641">
                  <c:v>16.960031496834333</c:v>
                </c:pt>
                <c:pt idx="642">
                  <c:v>16.960031496834333</c:v>
                </c:pt>
                <c:pt idx="643">
                  <c:v>16.960031496834333</c:v>
                </c:pt>
                <c:pt idx="644">
                  <c:v>16.960031496834333</c:v>
                </c:pt>
                <c:pt idx="645">
                  <c:v>16.960031496834333</c:v>
                </c:pt>
                <c:pt idx="646">
                  <c:v>16.960031496834333</c:v>
                </c:pt>
                <c:pt idx="647">
                  <c:v>16.960031496834333</c:v>
                </c:pt>
                <c:pt idx="648">
                  <c:v>16.960031496834333</c:v>
                </c:pt>
                <c:pt idx="649">
                  <c:v>16.960031496834333</c:v>
                </c:pt>
                <c:pt idx="650">
                  <c:v>16.960031496834333</c:v>
                </c:pt>
                <c:pt idx="651">
                  <c:v>16.960031496834333</c:v>
                </c:pt>
                <c:pt idx="652">
                  <c:v>16.960031496834333</c:v>
                </c:pt>
                <c:pt idx="653">
                  <c:v>16.960031496834333</c:v>
                </c:pt>
                <c:pt idx="654">
                  <c:v>16.960031496834333</c:v>
                </c:pt>
                <c:pt idx="655">
                  <c:v>16.960031496834333</c:v>
                </c:pt>
                <c:pt idx="656">
                  <c:v>16.960031496834333</c:v>
                </c:pt>
                <c:pt idx="657">
                  <c:v>16.960031496834333</c:v>
                </c:pt>
                <c:pt idx="658">
                  <c:v>16.960031496834333</c:v>
                </c:pt>
                <c:pt idx="659">
                  <c:v>16.960031496834333</c:v>
                </c:pt>
                <c:pt idx="660">
                  <c:v>16.960031496834333</c:v>
                </c:pt>
                <c:pt idx="661">
                  <c:v>16.960031496834333</c:v>
                </c:pt>
                <c:pt idx="662">
                  <c:v>16.960031496834333</c:v>
                </c:pt>
                <c:pt idx="663">
                  <c:v>16.960031496834333</c:v>
                </c:pt>
                <c:pt idx="664">
                  <c:v>16.960031496834333</c:v>
                </c:pt>
                <c:pt idx="665">
                  <c:v>16.960031496834333</c:v>
                </c:pt>
                <c:pt idx="666">
                  <c:v>16.960031496834333</c:v>
                </c:pt>
                <c:pt idx="667">
                  <c:v>16.960031496834333</c:v>
                </c:pt>
                <c:pt idx="668">
                  <c:v>16.960031496834333</c:v>
                </c:pt>
                <c:pt idx="669">
                  <c:v>16.960031496834333</c:v>
                </c:pt>
                <c:pt idx="670">
                  <c:v>16.960031496834333</c:v>
                </c:pt>
                <c:pt idx="671">
                  <c:v>16.960031496834333</c:v>
                </c:pt>
                <c:pt idx="672">
                  <c:v>16.960031496834333</c:v>
                </c:pt>
                <c:pt idx="673">
                  <c:v>16.960031496834333</c:v>
                </c:pt>
                <c:pt idx="674">
                  <c:v>16.960031496834333</c:v>
                </c:pt>
                <c:pt idx="675">
                  <c:v>16.960031496834333</c:v>
                </c:pt>
                <c:pt idx="676">
                  <c:v>16.960031496834333</c:v>
                </c:pt>
                <c:pt idx="677">
                  <c:v>16.960031496834333</c:v>
                </c:pt>
                <c:pt idx="678">
                  <c:v>16.960031496834333</c:v>
                </c:pt>
                <c:pt idx="679">
                  <c:v>16.960031496834333</c:v>
                </c:pt>
                <c:pt idx="680">
                  <c:v>16.960031496834333</c:v>
                </c:pt>
                <c:pt idx="681">
                  <c:v>16.960031496834333</c:v>
                </c:pt>
                <c:pt idx="682">
                  <c:v>16.960031496834333</c:v>
                </c:pt>
                <c:pt idx="683">
                  <c:v>16.960031496834333</c:v>
                </c:pt>
                <c:pt idx="684">
                  <c:v>16.960031496834333</c:v>
                </c:pt>
                <c:pt idx="685">
                  <c:v>16.960031496834333</c:v>
                </c:pt>
                <c:pt idx="686">
                  <c:v>16.960031496834333</c:v>
                </c:pt>
                <c:pt idx="687">
                  <c:v>16.960031496834333</c:v>
                </c:pt>
                <c:pt idx="688">
                  <c:v>16.960031496834333</c:v>
                </c:pt>
                <c:pt idx="689">
                  <c:v>16.960031496834333</c:v>
                </c:pt>
                <c:pt idx="690">
                  <c:v>16.960031496834333</c:v>
                </c:pt>
                <c:pt idx="691">
                  <c:v>16.960031496834333</c:v>
                </c:pt>
                <c:pt idx="692">
                  <c:v>16.960031496834333</c:v>
                </c:pt>
                <c:pt idx="693">
                  <c:v>16.960031496834333</c:v>
                </c:pt>
                <c:pt idx="694">
                  <c:v>16.960031496834333</c:v>
                </c:pt>
                <c:pt idx="695">
                  <c:v>16.960031496834333</c:v>
                </c:pt>
                <c:pt idx="696">
                  <c:v>16.960031496834333</c:v>
                </c:pt>
                <c:pt idx="697">
                  <c:v>16.960031496834333</c:v>
                </c:pt>
                <c:pt idx="698">
                  <c:v>16.960031496834333</c:v>
                </c:pt>
                <c:pt idx="699">
                  <c:v>16.960031496834333</c:v>
                </c:pt>
                <c:pt idx="700">
                  <c:v>16.960031496834333</c:v>
                </c:pt>
                <c:pt idx="701">
                  <c:v>16.960031496834333</c:v>
                </c:pt>
                <c:pt idx="702">
                  <c:v>16.960031496834333</c:v>
                </c:pt>
                <c:pt idx="703">
                  <c:v>16.960031496834333</c:v>
                </c:pt>
                <c:pt idx="704">
                  <c:v>16.960031496834333</c:v>
                </c:pt>
                <c:pt idx="705">
                  <c:v>16.960031496834333</c:v>
                </c:pt>
                <c:pt idx="706">
                  <c:v>16.960031496834333</c:v>
                </c:pt>
                <c:pt idx="707">
                  <c:v>16.960031496834333</c:v>
                </c:pt>
                <c:pt idx="708">
                  <c:v>16.960031496834333</c:v>
                </c:pt>
                <c:pt idx="709">
                  <c:v>16.960031496834333</c:v>
                </c:pt>
                <c:pt idx="710">
                  <c:v>16.960031496834333</c:v>
                </c:pt>
                <c:pt idx="711">
                  <c:v>16.960031496834333</c:v>
                </c:pt>
                <c:pt idx="712">
                  <c:v>16.960031496834333</c:v>
                </c:pt>
                <c:pt idx="713">
                  <c:v>16.960031496834333</c:v>
                </c:pt>
                <c:pt idx="714">
                  <c:v>16.960031496834333</c:v>
                </c:pt>
                <c:pt idx="715">
                  <c:v>16.960031496834333</c:v>
                </c:pt>
                <c:pt idx="716">
                  <c:v>16.960031496834333</c:v>
                </c:pt>
                <c:pt idx="717">
                  <c:v>16.960031496834333</c:v>
                </c:pt>
                <c:pt idx="718">
                  <c:v>16.960031496834333</c:v>
                </c:pt>
                <c:pt idx="719">
                  <c:v>16.960031496834333</c:v>
                </c:pt>
                <c:pt idx="720">
                  <c:v>16.960031496834333</c:v>
                </c:pt>
                <c:pt idx="721">
                  <c:v>16.960031496834333</c:v>
                </c:pt>
                <c:pt idx="722">
                  <c:v>16.960031496834333</c:v>
                </c:pt>
                <c:pt idx="723">
                  <c:v>16.960031496834333</c:v>
                </c:pt>
                <c:pt idx="724">
                  <c:v>16.960031496834333</c:v>
                </c:pt>
                <c:pt idx="725">
                  <c:v>16.960031496834333</c:v>
                </c:pt>
                <c:pt idx="726">
                  <c:v>16.960031496834333</c:v>
                </c:pt>
                <c:pt idx="727">
                  <c:v>16.960031496834333</c:v>
                </c:pt>
                <c:pt idx="728">
                  <c:v>16.960031496834333</c:v>
                </c:pt>
                <c:pt idx="729">
                  <c:v>16.960031496834333</c:v>
                </c:pt>
                <c:pt idx="730">
                  <c:v>16.960031496834333</c:v>
                </c:pt>
                <c:pt idx="731">
                  <c:v>16.960031496834333</c:v>
                </c:pt>
                <c:pt idx="732">
                  <c:v>16.960031496834333</c:v>
                </c:pt>
                <c:pt idx="733">
                  <c:v>16.960031496834333</c:v>
                </c:pt>
                <c:pt idx="734">
                  <c:v>16.960031496834333</c:v>
                </c:pt>
                <c:pt idx="735">
                  <c:v>16.960031496834333</c:v>
                </c:pt>
                <c:pt idx="736">
                  <c:v>16.960031496834333</c:v>
                </c:pt>
                <c:pt idx="737">
                  <c:v>16.960031496834333</c:v>
                </c:pt>
                <c:pt idx="738">
                  <c:v>16.960031496834333</c:v>
                </c:pt>
                <c:pt idx="739">
                  <c:v>16.960031496834333</c:v>
                </c:pt>
                <c:pt idx="740">
                  <c:v>16.960031496834333</c:v>
                </c:pt>
                <c:pt idx="741">
                  <c:v>16.960031496834333</c:v>
                </c:pt>
                <c:pt idx="742">
                  <c:v>16.960031496834333</c:v>
                </c:pt>
                <c:pt idx="743">
                  <c:v>16.960031496834333</c:v>
                </c:pt>
                <c:pt idx="744">
                  <c:v>16.960031496834333</c:v>
                </c:pt>
                <c:pt idx="745">
                  <c:v>16.960031496834333</c:v>
                </c:pt>
                <c:pt idx="746">
                  <c:v>16.960031496834333</c:v>
                </c:pt>
                <c:pt idx="747">
                  <c:v>16.960031496834333</c:v>
                </c:pt>
                <c:pt idx="748">
                  <c:v>16.960031496834333</c:v>
                </c:pt>
                <c:pt idx="749">
                  <c:v>16.960031496834333</c:v>
                </c:pt>
                <c:pt idx="750">
                  <c:v>16.960031496834333</c:v>
                </c:pt>
                <c:pt idx="751">
                  <c:v>16.960031496834333</c:v>
                </c:pt>
                <c:pt idx="752">
                  <c:v>16.960031496834333</c:v>
                </c:pt>
                <c:pt idx="753">
                  <c:v>16.960031496834333</c:v>
                </c:pt>
                <c:pt idx="754">
                  <c:v>16.960031496834333</c:v>
                </c:pt>
                <c:pt idx="755">
                  <c:v>16.960031496834333</c:v>
                </c:pt>
                <c:pt idx="756">
                  <c:v>16.960031496834333</c:v>
                </c:pt>
                <c:pt idx="757">
                  <c:v>16.960031496834333</c:v>
                </c:pt>
                <c:pt idx="758">
                  <c:v>16.960031496834333</c:v>
                </c:pt>
                <c:pt idx="759">
                  <c:v>16.960031496834333</c:v>
                </c:pt>
                <c:pt idx="760">
                  <c:v>16.960031496834333</c:v>
                </c:pt>
                <c:pt idx="761">
                  <c:v>16.960031496834333</c:v>
                </c:pt>
                <c:pt idx="762">
                  <c:v>16.960031496834333</c:v>
                </c:pt>
                <c:pt idx="763">
                  <c:v>16.960031496834333</c:v>
                </c:pt>
                <c:pt idx="764">
                  <c:v>16.960031496834333</c:v>
                </c:pt>
                <c:pt idx="765">
                  <c:v>16.960031496834333</c:v>
                </c:pt>
                <c:pt idx="766">
                  <c:v>16.960031496834333</c:v>
                </c:pt>
                <c:pt idx="767">
                  <c:v>16.960031496834333</c:v>
                </c:pt>
                <c:pt idx="768">
                  <c:v>16.960031496834333</c:v>
                </c:pt>
                <c:pt idx="769">
                  <c:v>16.960031496834333</c:v>
                </c:pt>
                <c:pt idx="770">
                  <c:v>16.960031496834333</c:v>
                </c:pt>
                <c:pt idx="771">
                  <c:v>16.960031496834333</c:v>
                </c:pt>
                <c:pt idx="772">
                  <c:v>16.960031496834333</c:v>
                </c:pt>
                <c:pt idx="773">
                  <c:v>16.960031496834333</c:v>
                </c:pt>
                <c:pt idx="774">
                  <c:v>16.960031496834333</c:v>
                </c:pt>
                <c:pt idx="775">
                  <c:v>16.960031496834333</c:v>
                </c:pt>
                <c:pt idx="776">
                  <c:v>16.960031496834333</c:v>
                </c:pt>
                <c:pt idx="777">
                  <c:v>16.960031496834333</c:v>
                </c:pt>
                <c:pt idx="778">
                  <c:v>16.960031496834333</c:v>
                </c:pt>
                <c:pt idx="779">
                  <c:v>16.960031496834333</c:v>
                </c:pt>
                <c:pt idx="780">
                  <c:v>16.960031496834333</c:v>
                </c:pt>
                <c:pt idx="781">
                  <c:v>16.960031496834333</c:v>
                </c:pt>
                <c:pt idx="782">
                  <c:v>16.960031496834333</c:v>
                </c:pt>
                <c:pt idx="783">
                  <c:v>16.960031496834333</c:v>
                </c:pt>
                <c:pt idx="784">
                  <c:v>16.960031496834333</c:v>
                </c:pt>
                <c:pt idx="785">
                  <c:v>16.960031496834333</c:v>
                </c:pt>
                <c:pt idx="786">
                  <c:v>16.960031496834333</c:v>
                </c:pt>
                <c:pt idx="787">
                  <c:v>16.960031496834333</c:v>
                </c:pt>
                <c:pt idx="788">
                  <c:v>16.960031496834333</c:v>
                </c:pt>
                <c:pt idx="789">
                  <c:v>16.960031496834333</c:v>
                </c:pt>
                <c:pt idx="790">
                  <c:v>16.960031496834333</c:v>
                </c:pt>
                <c:pt idx="791">
                  <c:v>16.960031496834333</c:v>
                </c:pt>
                <c:pt idx="792">
                  <c:v>16.960031496834333</c:v>
                </c:pt>
                <c:pt idx="793">
                  <c:v>16.960031496834333</c:v>
                </c:pt>
                <c:pt idx="794">
                  <c:v>16.960031496834333</c:v>
                </c:pt>
                <c:pt idx="795">
                  <c:v>16.960031496834333</c:v>
                </c:pt>
                <c:pt idx="796">
                  <c:v>16.960031496834333</c:v>
                </c:pt>
                <c:pt idx="797">
                  <c:v>16.960031496834333</c:v>
                </c:pt>
                <c:pt idx="798">
                  <c:v>16.960031496834333</c:v>
                </c:pt>
                <c:pt idx="799">
                  <c:v>16.960031496834333</c:v>
                </c:pt>
                <c:pt idx="800">
                  <c:v>16.960031496834333</c:v>
                </c:pt>
                <c:pt idx="801">
                  <c:v>16.960031496834333</c:v>
                </c:pt>
                <c:pt idx="802">
                  <c:v>16.960031496834333</c:v>
                </c:pt>
                <c:pt idx="803">
                  <c:v>16.960031496834333</c:v>
                </c:pt>
                <c:pt idx="804">
                  <c:v>16.960031496834333</c:v>
                </c:pt>
                <c:pt idx="805">
                  <c:v>16.960031496834333</c:v>
                </c:pt>
                <c:pt idx="806">
                  <c:v>16.960031496834333</c:v>
                </c:pt>
                <c:pt idx="807">
                  <c:v>16.960031496834333</c:v>
                </c:pt>
                <c:pt idx="808">
                  <c:v>16.960031496834333</c:v>
                </c:pt>
                <c:pt idx="809">
                  <c:v>16.960031496834333</c:v>
                </c:pt>
                <c:pt idx="810">
                  <c:v>16.960031496834333</c:v>
                </c:pt>
                <c:pt idx="811">
                  <c:v>16.960031496834333</c:v>
                </c:pt>
                <c:pt idx="812">
                  <c:v>16.960031496834333</c:v>
                </c:pt>
                <c:pt idx="813">
                  <c:v>16.960031496834333</c:v>
                </c:pt>
                <c:pt idx="814">
                  <c:v>16.960031496834333</c:v>
                </c:pt>
                <c:pt idx="815">
                  <c:v>16.960031496834333</c:v>
                </c:pt>
                <c:pt idx="816">
                  <c:v>16.960031496834333</c:v>
                </c:pt>
                <c:pt idx="817">
                  <c:v>16.960031496834333</c:v>
                </c:pt>
                <c:pt idx="818">
                  <c:v>16.960031496834333</c:v>
                </c:pt>
                <c:pt idx="819">
                  <c:v>16.960031496834333</c:v>
                </c:pt>
                <c:pt idx="820">
                  <c:v>16.960031496834333</c:v>
                </c:pt>
                <c:pt idx="821">
                  <c:v>16.960031496834333</c:v>
                </c:pt>
                <c:pt idx="822">
                  <c:v>16.960031496834333</c:v>
                </c:pt>
                <c:pt idx="823">
                  <c:v>16.960031496834333</c:v>
                </c:pt>
                <c:pt idx="824">
                  <c:v>16.960031496834333</c:v>
                </c:pt>
                <c:pt idx="825">
                  <c:v>16.960031496834333</c:v>
                </c:pt>
                <c:pt idx="826">
                  <c:v>16.960031496834333</c:v>
                </c:pt>
                <c:pt idx="827">
                  <c:v>16.960031496834333</c:v>
                </c:pt>
                <c:pt idx="828">
                  <c:v>16.960031496834333</c:v>
                </c:pt>
                <c:pt idx="829">
                  <c:v>16.960031496834333</c:v>
                </c:pt>
                <c:pt idx="830">
                  <c:v>16.960031496834333</c:v>
                </c:pt>
                <c:pt idx="831">
                  <c:v>16.960031496834333</c:v>
                </c:pt>
                <c:pt idx="832">
                  <c:v>16.960031496834333</c:v>
                </c:pt>
                <c:pt idx="833">
                  <c:v>16.960031496834333</c:v>
                </c:pt>
                <c:pt idx="834">
                  <c:v>16.960031496834333</c:v>
                </c:pt>
                <c:pt idx="835">
                  <c:v>16.960031496834333</c:v>
                </c:pt>
                <c:pt idx="836">
                  <c:v>16.960031496834333</c:v>
                </c:pt>
                <c:pt idx="837">
                  <c:v>16.960031496834333</c:v>
                </c:pt>
                <c:pt idx="838">
                  <c:v>16.960031496834333</c:v>
                </c:pt>
                <c:pt idx="839">
                  <c:v>16.960031496834333</c:v>
                </c:pt>
                <c:pt idx="840">
                  <c:v>16.960031496834333</c:v>
                </c:pt>
                <c:pt idx="841">
                  <c:v>16.960031496834333</c:v>
                </c:pt>
                <c:pt idx="842">
                  <c:v>16.960031496834333</c:v>
                </c:pt>
                <c:pt idx="843">
                  <c:v>16.960031496834333</c:v>
                </c:pt>
                <c:pt idx="844">
                  <c:v>16.960031496834333</c:v>
                </c:pt>
                <c:pt idx="845">
                  <c:v>16.960031496834333</c:v>
                </c:pt>
                <c:pt idx="846">
                  <c:v>16.960031496834333</c:v>
                </c:pt>
                <c:pt idx="847">
                  <c:v>16.960031496834333</c:v>
                </c:pt>
                <c:pt idx="848">
                  <c:v>16.960031496834333</c:v>
                </c:pt>
                <c:pt idx="849">
                  <c:v>16.960031496834333</c:v>
                </c:pt>
                <c:pt idx="850">
                  <c:v>16.960031496834333</c:v>
                </c:pt>
                <c:pt idx="851">
                  <c:v>16.960031496834333</c:v>
                </c:pt>
                <c:pt idx="852">
                  <c:v>16.960031496834333</c:v>
                </c:pt>
                <c:pt idx="853">
                  <c:v>16.960031496834333</c:v>
                </c:pt>
                <c:pt idx="854">
                  <c:v>16.960031496834333</c:v>
                </c:pt>
                <c:pt idx="855">
                  <c:v>16.960031496834333</c:v>
                </c:pt>
                <c:pt idx="856">
                  <c:v>16.960031496834333</c:v>
                </c:pt>
                <c:pt idx="857">
                  <c:v>16.960031496834333</c:v>
                </c:pt>
                <c:pt idx="858">
                  <c:v>16.960031496834333</c:v>
                </c:pt>
                <c:pt idx="859">
                  <c:v>16.960031496834333</c:v>
                </c:pt>
                <c:pt idx="860">
                  <c:v>16.960031496834333</c:v>
                </c:pt>
                <c:pt idx="861">
                  <c:v>16.960031496834333</c:v>
                </c:pt>
                <c:pt idx="862">
                  <c:v>16.960031496834333</c:v>
                </c:pt>
                <c:pt idx="863">
                  <c:v>16.960031496834333</c:v>
                </c:pt>
                <c:pt idx="864">
                  <c:v>16.960031496834333</c:v>
                </c:pt>
                <c:pt idx="865">
                  <c:v>16.960031496834333</c:v>
                </c:pt>
                <c:pt idx="866">
                  <c:v>16.960031496834333</c:v>
                </c:pt>
                <c:pt idx="867">
                  <c:v>16.960031496834333</c:v>
                </c:pt>
                <c:pt idx="868">
                  <c:v>16.960031496834333</c:v>
                </c:pt>
                <c:pt idx="869">
                  <c:v>16.960031496834333</c:v>
                </c:pt>
                <c:pt idx="870">
                  <c:v>16.960031496834333</c:v>
                </c:pt>
                <c:pt idx="871">
                  <c:v>16.960031496834333</c:v>
                </c:pt>
                <c:pt idx="872">
                  <c:v>16.960031496834333</c:v>
                </c:pt>
                <c:pt idx="873">
                  <c:v>16.960031496834333</c:v>
                </c:pt>
                <c:pt idx="874">
                  <c:v>16.960031496834333</c:v>
                </c:pt>
                <c:pt idx="875">
                  <c:v>16.960031496834333</c:v>
                </c:pt>
                <c:pt idx="876">
                  <c:v>16.960031496834333</c:v>
                </c:pt>
                <c:pt idx="877">
                  <c:v>16.960031496834333</c:v>
                </c:pt>
                <c:pt idx="878">
                  <c:v>16.960031496834333</c:v>
                </c:pt>
                <c:pt idx="879">
                  <c:v>16.960031496834333</c:v>
                </c:pt>
                <c:pt idx="880">
                  <c:v>16.960031496834333</c:v>
                </c:pt>
                <c:pt idx="881">
                  <c:v>16.960031496834333</c:v>
                </c:pt>
                <c:pt idx="882">
                  <c:v>16.960031496834333</c:v>
                </c:pt>
                <c:pt idx="883">
                  <c:v>16.960031496834333</c:v>
                </c:pt>
                <c:pt idx="884">
                  <c:v>16.960031496834333</c:v>
                </c:pt>
                <c:pt idx="885">
                  <c:v>16.960031496834333</c:v>
                </c:pt>
                <c:pt idx="886">
                  <c:v>16.960031496834333</c:v>
                </c:pt>
                <c:pt idx="887">
                  <c:v>16.960031496834333</c:v>
                </c:pt>
                <c:pt idx="888">
                  <c:v>16.960031496834333</c:v>
                </c:pt>
                <c:pt idx="889">
                  <c:v>16.960031496834333</c:v>
                </c:pt>
                <c:pt idx="890">
                  <c:v>16.960031496834333</c:v>
                </c:pt>
                <c:pt idx="891">
                  <c:v>16.960031496834333</c:v>
                </c:pt>
                <c:pt idx="892">
                  <c:v>16.960031496834333</c:v>
                </c:pt>
                <c:pt idx="893">
                  <c:v>16.960031496834333</c:v>
                </c:pt>
                <c:pt idx="894">
                  <c:v>16.960031496834333</c:v>
                </c:pt>
                <c:pt idx="895">
                  <c:v>16.960031496834333</c:v>
                </c:pt>
                <c:pt idx="896">
                  <c:v>16.960031496834333</c:v>
                </c:pt>
                <c:pt idx="897">
                  <c:v>16.960031496834333</c:v>
                </c:pt>
                <c:pt idx="898">
                  <c:v>16.960031496834333</c:v>
                </c:pt>
                <c:pt idx="899">
                  <c:v>16.960031496834333</c:v>
                </c:pt>
                <c:pt idx="900">
                  <c:v>16.960031496834333</c:v>
                </c:pt>
                <c:pt idx="901">
                  <c:v>16.960031496834333</c:v>
                </c:pt>
                <c:pt idx="902">
                  <c:v>16.960031496834333</c:v>
                </c:pt>
                <c:pt idx="903">
                  <c:v>16.960031496834333</c:v>
                </c:pt>
                <c:pt idx="904">
                  <c:v>16.960031496834333</c:v>
                </c:pt>
                <c:pt idx="905">
                  <c:v>16.960031496834333</c:v>
                </c:pt>
                <c:pt idx="906">
                  <c:v>16.960031496834333</c:v>
                </c:pt>
                <c:pt idx="907">
                  <c:v>16.960031496834333</c:v>
                </c:pt>
                <c:pt idx="908">
                  <c:v>16.960031496834333</c:v>
                </c:pt>
                <c:pt idx="909">
                  <c:v>16.960031496834333</c:v>
                </c:pt>
                <c:pt idx="910">
                  <c:v>16.960031496834333</c:v>
                </c:pt>
                <c:pt idx="911">
                  <c:v>16.960031496834333</c:v>
                </c:pt>
                <c:pt idx="912">
                  <c:v>16.960031496834333</c:v>
                </c:pt>
                <c:pt idx="913">
                  <c:v>16.960031496834333</c:v>
                </c:pt>
                <c:pt idx="914">
                  <c:v>16.960031496834333</c:v>
                </c:pt>
                <c:pt idx="915">
                  <c:v>16.960031496834333</c:v>
                </c:pt>
                <c:pt idx="916">
                  <c:v>16.960031496834333</c:v>
                </c:pt>
                <c:pt idx="917">
                  <c:v>16.960031496834333</c:v>
                </c:pt>
                <c:pt idx="918">
                  <c:v>16.960031496834333</c:v>
                </c:pt>
                <c:pt idx="919">
                  <c:v>16.960031496834333</c:v>
                </c:pt>
                <c:pt idx="920">
                  <c:v>16.960031496834333</c:v>
                </c:pt>
                <c:pt idx="921">
                  <c:v>16.960031496834333</c:v>
                </c:pt>
                <c:pt idx="922">
                  <c:v>16.960031496834333</c:v>
                </c:pt>
                <c:pt idx="923">
                  <c:v>16.960031496834333</c:v>
                </c:pt>
                <c:pt idx="924">
                  <c:v>16.960031496834333</c:v>
                </c:pt>
                <c:pt idx="925">
                  <c:v>16.960031496834333</c:v>
                </c:pt>
                <c:pt idx="926">
                  <c:v>16.960031496834333</c:v>
                </c:pt>
                <c:pt idx="927">
                  <c:v>16.960031496834333</c:v>
                </c:pt>
                <c:pt idx="928">
                  <c:v>16.960031496834333</c:v>
                </c:pt>
                <c:pt idx="929">
                  <c:v>16.960031496834333</c:v>
                </c:pt>
                <c:pt idx="930">
                  <c:v>16.960031496834333</c:v>
                </c:pt>
                <c:pt idx="931">
                  <c:v>16.960031496834333</c:v>
                </c:pt>
                <c:pt idx="932">
                  <c:v>16.960031496834333</c:v>
                </c:pt>
                <c:pt idx="933">
                  <c:v>16.960031496834333</c:v>
                </c:pt>
                <c:pt idx="934">
                  <c:v>16.960031496834333</c:v>
                </c:pt>
                <c:pt idx="935">
                  <c:v>16.960031496834333</c:v>
                </c:pt>
                <c:pt idx="936">
                  <c:v>16.960031496834333</c:v>
                </c:pt>
                <c:pt idx="937">
                  <c:v>16.960031496834333</c:v>
                </c:pt>
                <c:pt idx="938">
                  <c:v>16.960031496834333</c:v>
                </c:pt>
                <c:pt idx="939">
                  <c:v>16.960031496834333</c:v>
                </c:pt>
                <c:pt idx="940">
                  <c:v>16.960031496834333</c:v>
                </c:pt>
                <c:pt idx="941">
                  <c:v>16.960031496834333</c:v>
                </c:pt>
                <c:pt idx="942">
                  <c:v>16.960031496834333</c:v>
                </c:pt>
                <c:pt idx="943">
                  <c:v>16.960031496834333</c:v>
                </c:pt>
                <c:pt idx="944">
                  <c:v>16.960031496834333</c:v>
                </c:pt>
                <c:pt idx="945">
                  <c:v>16.960031496834333</c:v>
                </c:pt>
                <c:pt idx="946">
                  <c:v>16.960031496834333</c:v>
                </c:pt>
                <c:pt idx="947">
                  <c:v>16.960031496834333</c:v>
                </c:pt>
                <c:pt idx="948">
                  <c:v>16.960031496834333</c:v>
                </c:pt>
                <c:pt idx="949">
                  <c:v>16.960031496834333</c:v>
                </c:pt>
                <c:pt idx="950">
                  <c:v>16.960031496834333</c:v>
                </c:pt>
                <c:pt idx="951">
                  <c:v>16.960031496834333</c:v>
                </c:pt>
                <c:pt idx="952">
                  <c:v>16.960031496834333</c:v>
                </c:pt>
                <c:pt idx="953">
                  <c:v>16.960031496834333</c:v>
                </c:pt>
                <c:pt idx="954">
                  <c:v>16.960031496834333</c:v>
                </c:pt>
                <c:pt idx="955">
                  <c:v>16.960031496834333</c:v>
                </c:pt>
                <c:pt idx="956">
                  <c:v>16.960031496834333</c:v>
                </c:pt>
                <c:pt idx="957">
                  <c:v>16.960031496834333</c:v>
                </c:pt>
                <c:pt idx="958">
                  <c:v>16.960031496834333</c:v>
                </c:pt>
                <c:pt idx="959">
                  <c:v>16.960031496834333</c:v>
                </c:pt>
                <c:pt idx="960">
                  <c:v>16.960031496834333</c:v>
                </c:pt>
                <c:pt idx="961">
                  <c:v>16.960031496834333</c:v>
                </c:pt>
                <c:pt idx="962">
                  <c:v>16.960031496834333</c:v>
                </c:pt>
                <c:pt idx="963">
                  <c:v>16.960031496834333</c:v>
                </c:pt>
                <c:pt idx="964">
                  <c:v>16.960031496834333</c:v>
                </c:pt>
                <c:pt idx="965">
                  <c:v>16.960031496834333</c:v>
                </c:pt>
                <c:pt idx="966">
                  <c:v>16.960031496834333</c:v>
                </c:pt>
                <c:pt idx="967">
                  <c:v>16.960031496834333</c:v>
                </c:pt>
                <c:pt idx="968">
                  <c:v>16.960031496834333</c:v>
                </c:pt>
                <c:pt idx="969">
                  <c:v>16.960031496834333</c:v>
                </c:pt>
                <c:pt idx="970">
                  <c:v>16.960031496834333</c:v>
                </c:pt>
                <c:pt idx="971">
                  <c:v>16.960031496834333</c:v>
                </c:pt>
                <c:pt idx="972">
                  <c:v>16.960031496834333</c:v>
                </c:pt>
                <c:pt idx="973">
                  <c:v>16.960031496834333</c:v>
                </c:pt>
                <c:pt idx="974">
                  <c:v>16.960031496834333</c:v>
                </c:pt>
                <c:pt idx="975">
                  <c:v>16.960031496834333</c:v>
                </c:pt>
                <c:pt idx="976">
                  <c:v>16.960031496834333</c:v>
                </c:pt>
                <c:pt idx="977">
                  <c:v>16.960031496834333</c:v>
                </c:pt>
                <c:pt idx="978">
                  <c:v>16.960031496834333</c:v>
                </c:pt>
                <c:pt idx="979">
                  <c:v>16.960031496834333</c:v>
                </c:pt>
                <c:pt idx="980">
                  <c:v>16.960031496834333</c:v>
                </c:pt>
                <c:pt idx="981">
                  <c:v>16.960031496834333</c:v>
                </c:pt>
                <c:pt idx="982">
                  <c:v>16.960031496834333</c:v>
                </c:pt>
                <c:pt idx="983">
                  <c:v>16.960031496834333</c:v>
                </c:pt>
                <c:pt idx="984">
                  <c:v>16.960031496834333</c:v>
                </c:pt>
                <c:pt idx="985">
                  <c:v>16.960031496834333</c:v>
                </c:pt>
                <c:pt idx="986">
                  <c:v>16.960031496834333</c:v>
                </c:pt>
                <c:pt idx="987">
                  <c:v>16.960031496834333</c:v>
                </c:pt>
                <c:pt idx="988">
                  <c:v>16.960031496834333</c:v>
                </c:pt>
                <c:pt idx="989">
                  <c:v>16.960031496834333</c:v>
                </c:pt>
                <c:pt idx="990">
                  <c:v>16.960031496834333</c:v>
                </c:pt>
                <c:pt idx="991">
                  <c:v>16.960031496834333</c:v>
                </c:pt>
                <c:pt idx="992">
                  <c:v>16.960031496834333</c:v>
                </c:pt>
                <c:pt idx="993">
                  <c:v>16.960031496834333</c:v>
                </c:pt>
                <c:pt idx="994">
                  <c:v>16.960031496834333</c:v>
                </c:pt>
                <c:pt idx="995">
                  <c:v>16.960031496834333</c:v>
                </c:pt>
                <c:pt idx="996">
                  <c:v>16.960031496834333</c:v>
                </c:pt>
                <c:pt idx="997">
                  <c:v>16.960031496834333</c:v>
                </c:pt>
                <c:pt idx="998">
                  <c:v>16.960031496834333</c:v>
                </c:pt>
                <c:pt idx="999">
                  <c:v>16.960031496834333</c:v>
                </c:pt>
                <c:pt idx="1000">
                  <c:v>16.960031496834333</c:v>
                </c:pt>
                <c:pt idx="1001">
                  <c:v>16.960031496834333</c:v>
                </c:pt>
                <c:pt idx="1002">
                  <c:v>16.960031496834333</c:v>
                </c:pt>
                <c:pt idx="1003">
                  <c:v>16.960031496834333</c:v>
                </c:pt>
                <c:pt idx="1004">
                  <c:v>16.960031496834333</c:v>
                </c:pt>
                <c:pt idx="1005">
                  <c:v>16.960031496834333</c:v>
                </c:pt>
                <c:pt idx="1006">
                  <c:v>16.960031496834333</c:v>
                </c:pt>
                <c:pt idx="1007">
                  <c:v>16.960031496834333</c:v>
                </c:pt>
                <c:pt idx="1008">
                  <c:v>16.960031496834333</c:v>
                </c:pt>
                <c:pt idx="1009">
                  <c:v>16.960031496834333</c:v>
                </c:pt>
                <c:pt idx="1010">
                  <c:v>16.960031496834333</c:v>
                </c:pt>
                <c:pt idx="1011">
                  <c:v>16.960031496834333</c:v>
                </c:pt>
                <c:pt idx="1012">
                  <c:v>16.960031496834333</c:v>
                </c:pt>
                <c:pt idx="1013">
                  <c:v>16.960031496834333</c:v>
                </c:pt>
                <c:pt idx="1014">
                  <c:v>16.960031496834333</c:v>
                </c:pt>
                <c:pt idx="1015">
                  <c:v>16.960031496834333</c:v>
                </c:pt>
                <c:pt idx="1016">
                  <c:v>16.960031496834333</c:v>
                </c:pt>
                <c:pt idx="1017">
                  <c:v>16.960031496834333</c:v>
                </c:pt>
                <c:pt idx="1018">
                  <c:v>16.960031496834333</c:v>
                </c:pt>
                <c:pt idx="1019">
                  <c:v>16.960031496834333</c:v>
                </c:pt>
                <c:pt idx="1020">
                  <c:v>16.960031496834333</c:v>
                </c:pt>
                <c:pt idx="1021">
                  <c:v>16.960031496834333</c:v>
                </c:pt>
                <c:pt idx="1022">
                  <c:v>16.960031496834333</c:v>
                </c:pt>
                <c:pt idx="1023">
                  <c:v>16.960031496834333</c:v>
                </c:pt>
                <c:pt idx="1024">
                  <c:v>16.960031496834333</c:v>
                </c:pt>
                <c:pt idx="1025">
                  <c:v>16.960031496834333</c:v>
                </c:pt>
                <c:pt idx="1026">
                  <c:v>16.960031496834333</c:v>
                </c:pt>
                <c:pt idx="1027">
                  <c:v>16.960031496834333</c:v>
                </c:pt>
                <c:pt idx="1028">
                  <c:v>16.960031496834333</c:v>
                </c:pt>
                <c:pt idx="1029">
                  <c:v>16.960031496834333</c:v>
                </c:pt>
                <c:pt idx="1030">
                  <c:v>16.960031496834333</c:v>
                </c:pt>
                <c:pt idx="1031">
                  <c:v>16.960031496834333</c:v>
                </c:pt>
                <c:pt idx="1032">
                  <c:v>16.960031496834333</c:v>
                </c:pt>
                <c:pt idx="1033">
                  <c:v>16.960031496834333</c:v>
                </c:pt>
                <c:pt idx="1034">
                  <c:v>16.960031496834333</c:v>
                </c:pt>
                <c:pt idx="1035">
                  <c:v>16.960031496834333</c:v>
                </c:pt>
                <c:pt idx="1036">
                  <c:v>16.960031496834333</c:v>
                </c:pt>
                <c:pt idx="1037">
                  <c:v>16.960031496834333</c:v>
                </c:pt>
                <c:pt idx="1038">
                  <c:v>16.960031496834333</c:v>
                </c:pt>
                <c:pt idx="1039">
                  <c:v>16.960031496834333</c:v>
                </c:pt>
                <c:pt idx="1040">
                  <c:v>16.960031496834333</c:v>
                </c:pt>
                <c:pt idx="1041">
                  <c:v>16.960031496834333</c:v>
                </c:pt>
                <c:pt idx="1042">
                  <c:v>16.960031496834333</c:v>
                </c:pt>
                <c:pt idx="1043">
                  <c:v>16.960031496834333</c:v>
                </c:pt>
                <c:pt idx="1044">
                  <c:v>16.960031496834333</c:v>
                </c:pt>
                <c:pt idx="1045">
                  <c:v>16.960031496834333</c:v>
                </c:pt>
                <c:pt idx="1046">
                  <c:v>16.960031496834333</c:v>
                </c:pt>
                <c:pt idx="1047">
                  <c:v>16.960031496834333</c:v>
                </c:pt>
                <c:pt idx="1048">
                  <c:v>16.960031496834333</c:v>
                </c:pt>
                <c:pt idx="1049">
                  <c:v>16.960031496834333</c:v>
                </c:pt>
                <c:pt idx="1050">
                  <c:v>16.960031496834333</c:v>
                </c:pt>
                <c:pt idx="1051">
                  <c:v>16.960031496834333</c:v>
                </c:pt>
                <c:pt idx="1052">
                  <c:v>16.960031496834333</c:v>
                </c:pt>
                <c:pt idx="1053">
                  <c:v>16.960031496834333</c:v>
                </c:pt>
                <c:pt idx="1054">
                  <c:v>16.960031496834333</c:v>
                </c:pt>
                <c:pt idx="1055">
                  <c:v>16.960031496834333</c:v>
                </c:pt>
                <c:pt idx="1056">
                  <c:v>16.960031496834333</c:v>
                </c:pt>
                <c:pt idx="1057">
                  <c:v>16.960031496834333</c:v>
                </c:pt>
                <c:pt idx="1058">
                  <c:v>16.960031496834333</c:v>
                </c:pt>
                <c:pt idx="1059">
                  <c:v>16.960031496834333</c:v>
                </c:pt>
                <c:pt idx="1060">
                  <c:v>16.960031496834333</c:v>
                </c:pt>
                <c:pt idx="1061">
                  <c:v>16.960031496834333</c:v>
                </c:pt>
                <c:pt idx="1062">
                  <c:v>16.960031496834333</c:v>
                </c:pt>
                <c:pt idx="1063">
                  <c:v>16.960031496834333</c:v>
                </c:pt>
                <c:pt idx="1064">
                  <c:v>16.960031496834333</c:v>
                </c:pt>
                <c:pt idx="1065">
                  <c:v>16.960031496834333</c:v>
                </c:pt>
                <c:pt idx="1066">
                  <c:v>16.960031496834333</c:v>
                </c:pt>
                <c:pt idx="1067">
                  <c:v>16.960031496834333</c:v>
                </c:pt>
                <c:pt idx="1068">
                  <c:v>16.960031496834333</c:v>
                </c:pt>
                <c:pt idx="1069">
                  <c:v>16.960031496834333</c:v>
                </c:pt>
                <c:pt idx="1070">
                  <c:v>16.960031496834333</c:v>
                </c:pt>
                <c:pt idx="1071">
                  <c:v>16.960031496834333</c:v>
                </c:pt>
                <c:pt idx="1072">
                  <c:v>16.960031496834333</c:v>
                </c:pt>
                <c:pt idx="1073">
                  <c:v>16.960031496834333</c:v>
                </c:pt>
                <c:pt idx="1074">
                  <c:v>16.960031496834333</c:v>
                </c:pt>
                <c:pt idx="1075">
                  <c:v>16.960031496834333</c:v>
                </c:pt>
                <c:pt idx="1076">
                  <c:v>16.960031496834333</c:v>
                </c:pt>
                <c:pt idx="1077">
                  <c:v>16.960031496834333</c:v>
                </c:pt>
                <c:pt idx="1078">
                  <c:v>16.960031496834333</c:v>
                </c:pt>
                <c:pt idx="1079">
                  <c:v>16.960031496834333</c:v>
                </c:pt>
                <c:pt idx="1080">
                  <c:v>16.960031496834333</c:v>
                </c:pt>
                <c:pt idx="1081">
                  <c:v>16.960031496834333</c:v>
                </c:pt>
                <c:pt idx="1082">
                  <c:v>16.960031496834333</c:v>
                </c:pt>
                <c:pt idx="1083">
                  <c:v>16.960031496834333</c:v>
                </c:pt>
                <c:pt idx="1084">
                  <c:v>16.960031496834333</c:v>
                </c:pt>
                <c:pt idx="1085">
                  <c:v>16.960031496834333</c:v>
                </c:pt>
                <c:pt idx="1086">
                  <c:v>16.960031496834333</c:v>
                </c:pt>
                <c:pt idx="1087">
                  <c:v>16.960031496834333</c:v>
                </c:pt>
                <c:pt idx="1088">
                  <c:v>16.960031496834333</c:v>
                </c:pt>
                <c:pt idx="1089">
                  <c:v>16.960031496834333</c:v>
                </c:pt>
                <c:pt idx="1090">
                  <c:v>16.960031496834333</c:v>
                </c:pt>
                <c:pt idx="1091">
                  <c:v>16.960031496834333</c:v>
                </c:pt>
                <c:pt idx="1092">
                  <c:v>16.960031496834333</c:v>
                </c:pt>
                <c:pt idx="1093">
                  <c:v>16.960031496834333</c:v>
                </c:pt>
                <c:pt idx="1094">
                  <c:v>16.960031496834333</c:v>
                </c:pt>
                <c:pt idx="1095">
                  <c:v>16.960031496834333</c:v>
                </c:pt>
                <c:pt idx="1096">
                  <c:v>16.960031496834333</c:v>
                </c:pt>
                <c:pt idx="1097">
                  <c:v>16.960031496834333</c:v>
                </c:pt>
                <c:pt idx="1098">
                  <c:v>16.960031496834333</c:v>
                </c:pt>
                <c:pt idx="1099">
                  <c:v>16.960031496834333</c:v>
                </c:pt>
                <c:pt idx="1100">
                  <c:v>16.960031496834333</c:v>
                </c:pt>
                <c:pt idx="1101">
                  <c:v>16.960031496834333</c:v>
                </c:pt>
                <c:pt idx="1102">
                  <c:v>16.960031496834333</c:v>
                </c:pt>
                <c:pt idx="1103">
                  <c:v>16.960031496834333</c:v>
                </c:pt>
                <c:pt idx="1104">
                  <c:v>16.960031496834333</c:v>
                </c:pt>
                <c:pt idx="1105">
                  <c:v>16.960031496834333</c:v>
                </c:pt>
                <c:pt idx="1106">
                  <c:v>16.960031496834333</c:v>
                </c:pt>
                <c:pt idx="1107">
                  <c:v>16.960031496834333</c:v>
                </c:pt>
                <c:pt idx="1108">
                  <c:v>16.960031496834333</c:v>
                </c:pt>
                <c:pt idx="1109">
                  <c:v>16.960031496834333</c:v>
                </c:pt>
                <c:pt idx="1110">
                  <c:v>16.960031496834333</c:v>
                </c:pt>
                <c:pt idx="1111">
                  <c:v>16.960031496834333</c:v>
                </c:pt>
                <c:pt idx="1112">
                  <c:v>16.960031496834333</c:v>
                </c:pt>
                <c:pt idx="1113">
                  <c:v>16.960031496834333</c:v>
                </c:pt>
                <c:pt idx="1114">
                  <c:v>16.960031496834333</c:v>
                </c:pt>
                <c:pt idx="1115">
                  <c:v>16.960031496834333</c:v>
                </c:pt>
                <c:pt idx="1116">
                  <c:v>16.960031496834333</c:v>
                </c:pt>
                <c:pt idx="1117">
                  <c:v>16.960031496834333</c:v>
                </c:pt>
                <c:pt idx="1118">
                  <c:v>16.960031496834333</c:v>
                </c:pt>
                <c:pt idx="1119">
                  <c:v>16.960031496834333</c:v>
                </c:pt>
                <c:pt idx="1120">
                  <c:v>16.960031496834333</c:v>
                </c:pt>
                <c:pt idx="1121">
                  <c:v>16.960031496834333</c:v>
                </c:pt>
                <c:pt idx="1122">
                  <c:v>16.960031496834333</c:v>
                </c:pt>
                <c:pt idx="1123">
                  <c:v>16.960031496834333</c:v>
                </c:pt>
                <c:pt idx="1124">
                  <c:v>16.960031496834333</c:v>
                </c:pt>
                <c:pt idx="1125">
                  <c:v>16.960031496834333</c:v>
                </c:pt>
                <c:pt idx="1126">
                  <c:v>16.960031496834333</c:v>
                </c:pt>
                <c:pt idx="1127">
                  <c:v>16.960031496834333</c:v>
                </c:pt>
                <c:pt idx="1128">
                  <c:v>16.960031496834333</c:v>
                </c:pt>
                <c:pt idx="1129">
                  <c:v>16.960031496834333</c:v>
                </c:pt>
                <c:pt idx="1130">
                  <c:v>16.960031496834333</c:v>
                </c:pt>
                <c:pt idx="1131">
                  <c:v>16.960031496834333</c:v>
                </c:pt>
                <c:pt idx="1132">
                  <c:v>16.960031496834333</c:v>
                </c:pt>
                <c:pt idx="1133">
                  <c:v>16.960031496834333</c:v>
                </c:pt>
                <c:pt idx="1134">
                  <c:v>16.960031496834333</c:v>
                </c:pt>
                <c:pt idx="1135">
                  <c:v>16.960031496834333</c:v>
                </c:pt>
                <c:pt idx="1136">
                  <c:v>16.960031496834333</c:v>
                </c:pt>
                <c:pt idx="1137">
                  <c:v>16.960031496834333</c:v>
                </c:pt>
                <c:pt idx="1138">
                  <c:v>16.960031496834333</c:v>
                </c:pt>
                <c:pt idx="1139">
                  <c:v>16.960031496834333</c:v>
                </c:pt>
                <c:pt idx="1140">
                  <c:v>16.960031496834333</c:v>
                </c:pt>
                <c:pt idx="1141">
                  <c:v>16.960031496834333</c:v>
                </c:pt>
                <c:pt idx="1142">
                  <c:v>16.960031496834333</c:v>
                </c:pt>
                <c:pt idx="1143">
                  <c:v>16.960031496834333</c:v>
                </c:pt>
                <c:pt idx="1144">
                  <c:v>16.960031496834333</c:v>
                </c:pt>
                <c:pt idx="1145">
                  <c:v>16.960031496834333</c:v>
                </c:pt>
                <c:pt idx="1146">
                  <c:v>16.960031496834333</c:v>
                </c:pt>
                <c:pt idx="1147">
                  <c:v>16.960031496834333</c:v>
                </c:pt>
                <c:pt idx="1148">
                  <c:v>16.960031496834333</c:v>
                </c:pt>
                <c:pt idx="1149">
                  <c:v>16.960031496834333</c:v>
                </c:pt>
                <c:pt idx="1150">
                  <c:v>16.960031496834333</c:v>
                </c:pt>
                <c:pt idx="1151">
                  <c:v>16.960031496834333</c:v>
                </c:pt>
                <c:pt idx="1152">
                  <c:v>16.960031496834333</c:v>
                </c:pt>
                <c:pt idx="1153">
                  <c:v>16.960031496834333</c:v>
                </c:pt>
                <c:pt idx="1154">
                  <c:v>16.960031496834333</c:v>
                </c:pt>
                <c:pt idx="1155">
                  <c:v>16.960031496834333</c:v>
                </c:pt>
                <c:pt idx="1156">
                  <c:v>16.960031496834333</c:v>
                </c:pt>
                <c:pt idx="1157">
                  <c:v>16.960031496834333</c:v>
                </c:pt>
                <c:pt idx="1158">
                  <c:v>16.960031496834333</c:v>
                </c:pt>
                <c:pt idx="1159">
                  <c:v>16.960031496834333</c:v>
                </c:pt>
                <c:pt idx="1160">
                  <c:v>16.960031496834333</c:v>
                </c:pt>
                <c:pt idx="1161">
                  <c:v>16.960031496834333</c:v>
                </c:pt>
                <c:pt idx="1162">
                  <c:v>16.960031496834333</c:v>
                </c:pt>
                <c:pt idx="1163">
                  <c:v>16.960031496834333</c:v>
                </c:pt>
                <c:pt idx="1164">
                  <c:v>16.960031496834333</c:v>
                </c:pt>
                <c:pt idx="1165">
                  <c:v>16.960031496834333</c:v>
                </c:pt>
                <c:pt idx="1166">
                  <c:v>16.960031496834333</c:v>
                </c:pt>
                <c:pt idx="1167">
                  <c:v>16.960031496834333</c:v>
                </c:pt>
                <c:pt idx="1168">
                  <c:v>16.960031496834333</c:v>
                </c:pt>
                <c:pt idx="1169">
                  <c:v>16.960031496834333</c:v>
                </c:pt>
                <c:pt idx="1170">
                  <c:v>16.960031496834333</c:v>
                </c:pt>
                <c:pt idx="1171">
                  <c:v>16.960031496834333</c:v>
                </c:pt>
                <c:pt idx="1172">
                  <c:v>16.960031496834333</c:v>
                </c:pt>
                <c:pt idx="1173">
                  <c:v>16.960031496834333</c:v>
                </c:pt>
                <c:pt idx="1174">
                  <c:v>16.960031496834333</c:v>
                </c:pt>
                <c:pt idx="1175">
                  <c:v>16.960031496834333</c:v>
                </c:pt>
                <c:pt idx="1176">
                  <c:v>16.960031496834333</c:v>
                </c:pt>
                <c:pt idx="1177">
                  <c:v>16.960031496834333</c:v>
                </c:pt>
                <c:pt idx="1178">
                  <c:v>16.960031496834333</c:v>
                </c:pt>
                <c:pt idx="1179">
                  <c:v>16.960031496834333</c:v>
                </c:pt>
                <c:pt idx="1180">
                  <c:v>16.960031496834333</c:v>
                </c:pt>
                <c:pt idx="1181">
                  <c:v>16.960031496834333</c:v>
                </c:pt>
                <c:pt idx="1182">
                  <c:v>16.960031496834333</c:v>
                </c:pt>
                <c:pt idx="1183">
                  <c:v>16.960031496834333</c:v>
                </c:pt>
                <c:pt idx="1184">
                  <c:v>16.960031496834333</c:v>
                </c:pt>
                <c:pt idx="1185">
                  <c:v>16.960031496834333</c:v>
                </c:pt>
                <c:pt idx="1186">
                  <c:v>16.960031496834333</c:v>
                </c:pt>
                <c:pt idx="1187">
                  <c:v>16.960031496834333</c:v>
                </c:pt>
                <c:pt idx="1188">
                  <c:v>16.960031496834333</c:v>
                </c:pt>
                <c:pt idx="1189">
                  <c:v>16.960031496834333</c:v>
                </c:pt>
                <c:pt idx="1190">
                  <c:v>16.960031496834333</c:v>
                </c:pt>
                <c:pt idx="1191">
                  <c:v>16.960031496834333</c:v>
                </c:pt>
                <c:pt idx="1192">
                  <c:v>16.960031496834333</c:v>
                </c:pt>
                <c:pt idx="1193">
                  <c:v>16.960031496834333</c:v>
                </c:pt>
                <c:pt idx="1194">
                  <c:v>16.960031496834333</c:v>
                </c:pt>
                <c:pt idx="1195">
                  <c:v>16.960031496834333</c:v>
                </c:pt>
                <c:pt idx="1196">
                  <c:v>16.960031496834333</c:v>
                </c:pt>
                <c:pt idx="1197">
                  <c:v>16.960031496834333</c:v>
                </c:pt>
                <c:pt idx="1198">
                  <c:v>16.960031496834333</c:v>
                </c:pt>
                <c:pt idx="1199">
                  <c:v>16.960031496834333</c:v>
                </c:pt>
                <c:pt idx="1200">
                  <c:v>16.960031496834333</c:v>
                </c:pt>
                <c:pt idx="1201">
                  <c:v>16.960031496834333</c:v>
                </c:pt>
                <c:pt idx="1202">
                  <c:v>16.960031496834333</c:v>
                </c:pt>
                <c:pt idx="1203">
                  <c:v>16.960031496834333</c:v>
                </c:pt>
                <c:pt idx="1204">
                  <c:v>16.960031496834333</c:v>
                </c:pt>
                <c:pt idx="1205">
                  <c:v>16.960031496834333</c:v>
                </c:pt>
                <c:pt idx="1206">
                  <c:v>16.960031496834333</c:v>
                </c:pt>
                <c:pt idx="1207">
                  <c:v>16.960031496834333</c:v>
                </c:pt>
                <c:pt idx="1208">
                  <c:v>16.960031496834333</c:v>
                </c:pt>
                <c:pt idx="1209">
                  <c:v>16.960031496834333</c:v>
                </c:pt>
                <c:pt idx="1210">
                  <c:v>16.960031496834333</c:v>
                </c:pt>
                <c:pt idx="1211">
                  <c:v>16.960031496834333</c:v>
                </c:pt>
                <c:pt idx="1212">
                  <c:v>16.960031496834333</c:v>
                </c:pt>
                <c:pt idx="1213">
                  <c:v>16.960031496834333</c:v>
                </c:pt>
                <c:pt idx="1214">
                  <c:v>16.960031496834333</c:v>
                </c:pt>
                <c:pt idx="1215">
                  <c:v>16.960031496834333</c:v>
                </c:pt>
                <c:pt idx="1216">
                  <c:v>16.960031496834333</c:v>
                </c:pt>
                <c:pt idx="1217">
                  <c:v>16.960031496834333</c:v>
                </c:pt>
                <c:pt idx="1218">
                  <c:v>16.960031496834333</c:v>
                </c:pt>
                <c:pt idx="1219">
                  <c:v>16.960031496834333</c:v>
                </c:pt>
                <c:pt idx="1220">
                  <c:v>16.960031496834333</c:v>
                </c:pt>
                <c:pt idx="1221">
                  <c:v>16.960031496834333</c:v>
                </c:pt>
                <c:pt idx="1222">
                  <c:v>16.960031496834333</c:v>
                </c:pt>
                <c:pt idx="1223">
                  <c:v>16.960031496834333</c:v>
                </c:pt>
                <c:pt idx="1224">
                  <c:v>16.960031496834333</c:v>
                </c:pt>
                <c:pt idx="1225">
                  <c:v>16.960031496834333</c:v>
                </c:pt>
                <c:pt idx="1226">
                  <c:v>16.960031496834333</c:v>
                </c:pt>
                <c:pt idx="1227">
                  <c:v>16.960031496834333</c:v>
                </c:pt>
                <c:pt idx="1228">
                  <c:v>16.960031496834333</c:v>
                </c:pt>
                <c:pt idx="1229">
                  <c:v>16.960031496834333</c:v>
                </c:pt>
                <c:pt idx="1230">
                  <c:v>16.960031496834333</c:v>
                </c:pt>
                <c:pt idx="1231">
                  <c:v>16.960031496834333</c:v>
                </c:pt>
                <c:pt idx="1232">
                  <c:v>16.960031496834333</c:v>
                </c:pt>
                <c:pt idx="1233">
                  <c:v>16.960031496834333</c:v>
                </c:pt>
                <c:pt idx="1234">
                  <c:v>16.960031496834333</c:v>
                </c:pt>
                <c:pt idx="1235">
                  <c:v>16.960031496834333</c:v>
                </c:pt>
                <c:pt idx="1236">
                  <c:v>16.960031496834333</c:v>
                </c:pt>
                <c:pt idx="1237">
                  <c:v>16.960031496834333</c:v>
                </c:pt>
                <c:pt idx="1238">
                  <c:v>16.960031496834333</c:v>
                </c:pt>
                <c:pt idx="1239">
                  <c:v>16.960031496834333</c:v>
                </c:pt>
                <c:pt idx="1240">
                  <c:v>16.960031496834333</c:v>
                </c:pt>
                <c:pt idx="1241">
                  <c:v>16.960031496834333</c:v>
                </c:pt>
                <c:pt idx="1242">
                  <c:v>16.960031496834333</c:v>
                </c:pt>
                <c:pt idx="1243">
                  <c:v>16.960031496834333</c:v>
                </c:pt>
                <c:pt idx="1244">
                  <c:v>16.960031496834333</c:v>
                </c:pt>
                <c:pt idx="1245">
                  <c:v>16.960031496834333</c:v>
                </c:pt>
                <c:pt idx="1246">
                  <c:v>16.960031496834333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CF-43BC-82C0-BDBD0A0DFF68}"/>
            </c:ext>
          </c:extLst>
        </c:ser>
        <c:ser>
          <c:idx val="3"/>
          <c:order val="2"/>
          <c:tx>
            <c:strRef>
              <c:f>'FX Data'!$I$952</c:f>
              <c:strCache>
                <c:ptCount val="1"/>
                <c:pt idx="0">
                  <c:v>Average P/E</c:v>
                </c:pt>
              </c:strCache>
            </c:strRef>
          </c:tx>
          <c:spPr>
            <a:ln w="28575" cap="rnd">
              <a:solidFill>
                <a:srgbClr val="000000">
                  <a:lumMod val="50000"/>
                  <a:lumOff val="50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'FX Data'!$B$957:$B$2203</c:f>
              <c:numCache>
                <c:formatCode>m/d/yyyy</c:formatCode>
                <c:ptCount val="1247"/>
                <c:pt idx="0">
                  <c:v>44263</c:v>
                </c:pt>
                <c:pt idx="1">
                  <c:v>44264</c:v>
                </c:pt>
                <c:pt idx="2">
                  <c:v>44265</c:v>
                </c:pt>
                <c:pt idx="3">
                  <c:v>44266</c:v>
                </c:pt>
                <c:pt idx="4">
                  <c:v>44267</c:v>
                </c:pt>
                <c:pt idx="5">
                  <c:v>44270</c:v>
                </c:pt>
                <c:pt idx="6">
                  <c:v>44271</c:v>
                </c:pt>
                <c:pt idx="7">
                  <c:v>44272</c:v>
                </c:pt>
                <c:pt idx="8">
                  <c:v>44273</c:v>
                </c:pt>
                <c:pt idx="9">
                  <c:v>44274</c:v>
                </c:pt>
                <c:pt idx="10">
                  <c:v>44277</c:v>
                </c:pt>
                <c:pt idx="11">
                  <c:v>44278</c:v>
                </c:pt>
                <c:pt idx="12">
                  <c:v>44279</c:v>
                </c:pt>
                <c:pt idx="13">
                  <c:v>44280</c:v>
                </c:pt>
                <c:pt idx="14">
                  <c:v>44281</c:v>
                </c:pt>
                <c:pt idx="15">
                  <c:v>44284</c:v>
                </c:pt>
                <c:pt idx="16">
                  <c:v>44285</c:v>
                </c:pt>
                <c:pt idx="17">
                  <c:v>44286</c:v>
                </c:pt>
                <c:pt idx="18">
                  <c:v>44287</c:v>
                </c:pt>
                <c:pt idx="19">
                  <c:v>44288</c:v>
                </c:pt>
                <c:pt idx="20">
                  <c:v>44291</c:v>
                </c:pt>
                <c:pt idx="21">
                  <c:v>44292</c:v>
                </c:pt>
                <c:pt idx="22">
                  <c:v>44293</c:v>
                </c:pt>
                <c:pt idx="23">
                  <c:v>44294</c:v>
                </c:pt>
                <c:pt idx="24">
                  <c:v>44295</c:v>
                </c:pt>
                <c:pt idx="25">
                  <c:v>44298</c:v>
                </c:pt>
                <c:pt idx="26">
                  <c:v>44299</c:v>
                </c:pt>
                <c:pt idx="27">
                  <c:v>44300</c:v>
                </c:pt>
                <c:pt idx="28">
                  <c:v>44301</c:v>
                </c:pt>
                <c:pt idx="29">
                  <c:v>44302</c:v>
                </c:pt>
                <c:pt idx="30">
                  <c:v>44305</c:v>
                </c:pt>
                <c:pt idx="31">
                  <c:v>44306</c:v>
                </c:pt>
                <c:pt idx="32">
                  <c:v>44308</c:v>
                </c:pt>
                <c:pt idx="33">
                  <c:v>44309</c:v>
                </c:pt>
                <c:pt idx="34">
                  <c:v>44312</c:v>
                </c:pt>
                <c:pt idx="35">
                  <c:v>44313</c:v>
                </c:pt>
                <c:pt idx="36">
                  <c:v>44314</c:v>
                </c:pt>
                <c:pt idx="37">
                  <c:v>44315</c:v>
                </c:pt>
                <c:pt idx="38">
                  <c:v>44320</c:v>
                </c:pt>
                <c:pt idx="39">
                  <c:v>44321</c:v>
                </c:pt>
                <c:pt idx="40">
                  <c:v>44322</c:v>
                </c:pt>
                <c:pt idx="41">
                  <c:v>44323</c:v>
                </c:pt>
                <c:pt idx="42">
                  <c:v>44326</c:v>
                </c:pt>
                <c:pt idx="43">
                  <c:v>44327</c:v>
                </c:pt>
                <c:pt idx="44">
                  <c:v>44328</c:v>
                </c:pt>
                <c:pt idx="45">
                  <c:v>44329</c:v>
                </c:pt>
                <c:pt idx="46">
                  <c:v>44330</c:v>
                </c:pt>
                <c:pt idx="47">
                  <c:v>44333</c:v>
                </c:pt>
                <c:pt idx="48">
                  <c:v>44334</c:v>
                </c:pt>
                <c:pt idx="49">
                  <c:v>44335</c:v>
                </c:pt>
                <c:pt idx="50">
                  <c:v>44336</c:v>
                </c:pt>
                <c:pt idx="51">
                  <c:v>44337</c:v>
                </c:pt>
                <c:pt idx="52">
                  <c:v>44340</c:v>
                </c:pt>
                <c:pt idx="53">
                  <c:v>44341</c:v>
                </c:pt>
                <c:pt idx="54">
                  <c:v>44342</c:v>
                </c:pt>
                <c:pt idx="55">
                  <c:v>44343</c:v>
                </c:pt>
                <c:pt idx="56">
                  <c:v>44344</c:v>
                </c:pt>
                <c:pt idx="57">
                  <c:v>44347</c:v>
                </c:pt>
                <c:pt idx="58">
                  <c:v>44348</c:v>
                </c:pt>
                <c:pt idx="59">
                  <c:v>44349</c:v>
                </c:pt>
                <c:pt idx="60">
                  <c:v>44350</c:v>
                </c:pt>
                <c:pt idx="61">
                  <c:v>44351</c:v>
                </c:pt>
                <c:pt idx="62">
                  <c:v>44354</c:v>
                </c:pt>
                <c:pt idx="63">
                  <c:v>44355</c:v>
                </c:pt>
                <c:pt idx="64">
                  <c:v>44356</c:v>
                </c:pt>
                <c:pt idx="65">
                  <c:v>44357</c:v>
                </c:pt>
                <c:pt idx="66">
                  <c:v>44358</c:v>
                </c:pt>
                <c:pt idx="67">
                  <c:v>44361</c:v>
                </c:pt>
                <c:pt idx="68">
                  <c:v>44362</c:v>
                </c:pt>
                <c:pt idx="69">
                  <c:v>44363</c:v>
                </c:pt>
                <c:pt idx="70">
                  <c:v>44364</c:v>
                </c:pt>
                <c:pt idx="71">
                  <c:v>44365</c:v>
                </c:pt>
                <c:pt idx="72">
                  <c:v>44368</c:v>
                </c:pt>
                <c:pt idx="73">
                  <c:v>44369</c:v>
                </c:pt>
                <c:pt idx="74">
                  <c:v>44370</c:v>
                </c:pt>
                <c:pt idx="75">
                  <c:v>44371</c:v>
                </c:pt>
                <c:pt idx="76">
                  <c:v>44372</c:v>
                </c:pt>
                <c:pt idx="77">
                  <c:v>44375</c:v>
                </c:pt>
                <c:pt idx="78">
                  <c:v>44376</c:v>
                </c:pt>
                <c:pt idx="79">
                  <c:v>44377</c:v>
                </c:pt>
                <c:pt idx="80">
                  <c:v>44378</c:v>
                </c:pt>
                <c:pt idx="81">
                  <c:v>44379</c:v>
                </c:pt>
                <c:pt idx="82">
                  <c:v>44382</c:v>
                </c:pt>
                <c:pt idx="83">
                  <c:v>44383</c:v>
                </c:pt>
                <c:pt idx="84">
                  <c:v>44384</c:v>
                </c:pt>
                <c:pt idx="85">
                  <c:v>44385</c:v>
                </c:pt>
                <c:pt idx="86">
                  <c:v>44386</c:v>
                </c:pt>
                <c:pt idx="87">
                  <c:v>44389</c:v>
                </c:pt>
                <c:pt idx="88">
                  <c:v>44390</c:v>
                </c:pt>
                <c:pt idx="89">
                  <c:v>44391</c:v>
                </c:pt>
                <c:pt idx="90">
                  <c:v>44392</c:v>
                </c:pt>
                <c:pt idx="91">
                  <c:v>44393</c:v>
                </c:pt>
                <c:pt idx="92">
                  <c:v>44396</c:v>
                </c:pt>
                <c:pt idx="93">
                  <c:v>44397</c:v>
                </c:pt>
                <c:pt idx="94">
                  <c:v>44398</c:v>
                </c:pt>
                <c:pt idx="95">
                  <c:v>44399</c:v>
                </c:pt>
                <c:pt idx="96">
                  <c:v>44400</c:v>
                </c:pt>
                <c:pt idx="97">
                  <c:v>44403</c:v>
                </c:pt>
                <c:pt idx="98">
                  <c:v>44404</c:v>
                </c:pt>
                <c:pt idx="99">
                  <c:v>44405</c:v>
                </c:pt>
                <c:pt idx="100">
                  <c:v>44406</c:v>
                </c:pt>
                <c:pt idx="101">
                  <c:v>44407</c:v>
                </c:pt>
                <c:pt idx="102">
                  <c:v>44410</c:v>
                </c:pt>
                <c:pt idx="103">
                  <c:v>44411</c:v>
                </c:pt>
                <c:pt idx="104">
                  <c:v>44412</c:v>
                </c:pt>
                <c:pt idx="105">
                  <c:v>44413</c:v>
                </c:pt>
                <c:pt idx="106">
                  <c:v>44414</c:v>
                </c:pt>
                <c:pt idx="107">
                  <c:v>44417</c:v>
                </c:pt>
                <c:pt idx="108">
                  <c:v>44418</c:v>
                </c:pt>
                <c:pt idx="109">
                  <c:v>44419</c:v>
                </c:pt>
                <c:pt idx="110">
                  <c:v>44420</c:v>
                </c:pt>
                <c:pt idx="111">
                  <c:v>44421</c:v>
                </c:pt>
                <c:pt idx="112">
                  <c:v>44424</c:v>
                </c:pt>
                <c:pt idx="113">
                  <c:v>44425</c:v>
                </c:pt>
                <c:pt idx="114">
                  <c:v>44426</c:v>
                </c:pt>
                <c:pt idx="115">
                  <c:v>44427</c:v>
                </c:pt>
                <c:pt idx="116">
                  <c:v>44428</c:v>
                </c:pt>
                <c:pt idx="117">
                  <c:v>44431</c:v>
                </c:pt>
                <c:pt idx="118">
                  <c:v>44432</c:v>
                </c:pt>
                <c:pt idx="119">
                  <c:v>44433</c:v>
                </c:pt>
                <c:pt idx="120">
                  <c:v>44434</c:v>
                </c:pt>
                <c:pt idx="121">
                  <c:v>44435</c:v>
                </c:pt>
                <c:pt idx="122">
                  <c:v>44438</c:v>
                </c:pt>
                <c:pt idx="123">
                  <c:v>44439</c:v>
                </c:pt>
                <c:pt idx="124">
                  <c:v>44440</c:v>
                </c:pt>
                <c:pt idx="125">
                  <c:v>44445</c:v>
                </c:pt>
                <c:pt idx="126">
                  <c:v>44446</c:v>
                </c:pt>
                <c:pt idx="127">
                  <c:v>44447</c:v>
                </c:pt>
                <c:pt idx="128">
                  <c:v>44448</c:v>
                </c:pt>
                <c:pt idx="129">
                  <c:v>44449</c:v>
                </c:pt>
                <c:pt idx="130">
                  <c:v>44452</c:v>
                </c:pt>
                <c:pt idx="131">
                  <c:v>44453</c:v>
                </c:pt>
                <c:pt idx="132">
                  <c:v>44454</c:v>
                </c:pt>
                <c:pt idx="133">
                  <c:v>44455</c:v>
                </c:pt>
                <c:pt idx="134">
                  <c:v>44456</c:v>
                </c:pt>
                <c:pt idx="135">
                  <c:v>44459</c:v>
                </c:pt>
                <c:pt idx="136">
                  <c:v>44460</c:v>
                </c:pt>
                <c:pt idx="137">
                  <c:v>44461</c:v>
                </c:pt>
                <c:pt idx="138">
                  <c:v>44462</c:v>
                </c:pt>
                <c:pt idx="139">
                  <c:v>44463</c:v>
                </c:pt>
                <c:pt idx="140">
                  <c:v>44466</c:v>
                </c:pt>
                <c:pt idx="141">
                  <c:v>44467</c:v>
                </c:pt>
                <c:pt idx="142">
                  <c:v>44468</c:v>
                </c:pt>
                <c:pt idx="143">
                  <c:v>44469</c:v>
                </c:pt>
                <c:pt idx="144">
                  <c:v>44470</c:v>
                </c:pt>
                <c:pt idx="145">
                  <c:v>44473</c:v>
                </c:pt>
                <c:pt idx="146">
                  <c:v>44474</c:v>
                </c:pt>
                <c:pt idx="147">
                  <c:v>44475</c:v>
                </c:pt>
                <c:pt idx="148">
                  <c:v>44476</c:v>
                </c:pt>
                <c:pt idx="149">
                  <c:v>44477</c:v>
                </c:pt>
                <c:pt idx="150">
                  <c:v>44480</c:v>
                </c:pt>
                <c:pt idx="151">
                  <c:v>44481</c:v>
                </c:pt>
                <c:pt idx="152">
                  <c:v>44482</c:v>
                </c:pt>
                <c:pt idx="153">
                  <c:v>44483</c:v>
                </c:pt>
                <c:pt idx="154">
                  <c:v>44484</c:v>
                </c:pt>
                <c:pt idx="155">
                  <c:v>44487</c:v>
                </c:pt>
                <c:pt idx="156">
                  <c:v>44488</c:v>
                </c:pt>
                <c:pt idx="157">
                  <c:v>44489</c:v>
                </c:pt>
                <c:pt idx="158">
                  <c:v>44490</c:v>
                </c:pt>
                <c:pt idx="159">
                  <c:v>44491</c:v>
                </c:pt>
                <c:pt idx="160">
                  <c:v>44494</c:v>
                </c:pt>
                <c:pt idx="161">
                  <c:v>44495</c:v>
                </c:pt>
                <c:pt idx="162">
                  <c:v>44496</c:v>
                </c:pt>
                <c:pt idx="163">
                  <c:v>44497</c:v>
                </c:pt>
                <c:pt idx="164">
                  <c:v>44498</c:v>
                </c:pt>
                <c:pt idx="165">
                  <c:v>44501</c:v>
                </c:pt>
                <c:pt idx="166">
                  <c:v>44502</c:v>
                </c:pt>
                <c:pt idx="167">
                  <c:v>44503</c:v>
                </c:pt>
                <c:pt idx="168">
                  <c:v>44504</c:v>
                </c:pt>
                <c:pt idx="169">
                  <c:v>44505</c:v>
                </c:pt>
                <c:pt idx="170">
                  <c:v>44508</c:v>
                </c:pt>
                <c:pt idx="171">
                  <c:v>44509</c:v>
                </c:pt>
                <c:pt idx="172">
                  <c:v>44510</c:v>
                </c:pt>
                <c:pt idx="173">
                  <c:v>44511</c:v>
                </c:pt>
                <c:pt idx="174">
                  <c:v>44512</c:v>
                </c:pt>
                <c:pt idx="175">
                  <c:v>44515</c:v>
                </c:pt>
                <c:pt idx="176">
                  <c:v>44516</c:v>
                </c:pt>
                <c:pt idx="177">
                  <c:v>44517</c:v>
                </c:pt>
                <c:pt idx="178">
                  <c:v>44518</c:v>
                </c:pt>
                <c:pt idx="179">
                  <c:v>44519</c:v>
                </c:pt>
                <c:pt idx="180">
                  <c:v>44522</c:v>
                </c:pt>
                <c:pt idx="181">
                  <c:v>44523</c:v>
                </c:pt>
                <c:pt idx="182">
                  <c:v>44524</c:v>
                </c:pt>
                <c:pt idx="183">
                  <c:v>44525</c:v>
                </c:pt>
                <c:pt idx="184">
                  <c:v>44526</c:v>
                </c:pt>
                <c:pt idx="185">
                  <c:v>44529</c:v>
                </c:pt>
                <c:pt idx="186">
                  <c:v>44530</c:v>
                </c:pt>
                <c:pt idx="187">
                  <c:v>44531</c:v>
                </c:pt>
                <c:pt idx="188">
                  <c:v>44532</c:v>
                </c:pt>
                <c:pt idx="189">
                  <c:v>44533</c:v>
                </c:pt>
                <c:pt idx="190">
                  <c:v>44536</c:v>
                </c:pt>
                <c:pt idx="191">
                  <c:v>44537</c:v>
                </c:pt>
                <c:pt idx="192">
                  <c:v>44538</c:v>
                </c:pt>
                <c:pt idx="193">
                  <c:v>44539</c:v>
                </c:pt>
                <c:pt idx="194">
                  <c:v>44540</c:v>
                </c:pt>
                <c:pt idx="195">
                  <c:v>44543</c:v>
                </c:pt>
                <c:pt idx="196">
                  <c:v>44544</c:v>
                </c:pt>
                <c:pt idx="197">
                  <c:v>44545</c:v>
                </c:pt>
                <c:pt idx="198">
                  <c:v>44546</c:v>
                </c:pt>
                <c:pt idx="199">
                  <c:v>44547</c:v>
                </c:pt>
                <c:pt idx="200">
                  <c:v>44550</c:v>
                </c:pt>
                <c:pt idx="201">
                  <c:v>44551</c:v>
                </c:pt>
                <c:pt idx="202">
                  <c:v>44552</c:v>
                </c:pt>
                <c:pt idx="203">
                  <c:v>44553</c:v>
                </c:pt>
                <c:pt idx="204">
                  <c:v>44554</c:v>
                </c:pt>
                <c:pt idx="205">
                  <c:v>44557</c:v>
                </c:pt>
                <c:pt idx="206">
                  <c:v>44558</c:v>
                </c:pt>
                <c:pt idx="207">
                  <c:v>44559</c:v>
                </c:pt>
                <c:pt idx="208">
                  <c:v>44560</c:v>
                </c:pt>
                <c:pt idx="209">
                  <c:v>44561</c:v>
                </c:pt>
                <c:pt idx="210">
                  <c:v>44565</c:v>
                </c:pt>
                <c:pt idx="211">
                  <c:v>44566</c:v>
                </c:pt>
                <c:pt idx="212">
                  <c:v>44567</c:v>
                </c:pt>
                <c:pt idx="213">
                  <c:v>44568</c:v>
                </c:pt>
                <c:pt idx="214">
                  <c:v>44571</c:v>
                </c:pt>
                <c:pt idx="215">
                  <c:v>44572</c:v>
                </c:pt>
                <c:pt idx="216">
                  <c:v>44573</c:v>
                </c:pt>
                <c:pt idx="217">
                  <c:v>44574</c:v>
                </c:pt>
                <c:pt idx="218">
                  <c:v>44575</c:v>
                </c:pt>
                <c:pt idx="219">
                  <c:v>44578</c:v>
                </c:pt>
                <c:pt idx="220">
                  <c:v>44579</c:v>
                </c:pt>
                <c:pt idx="221">
                  <c:v>44580</c:v>
                </c:pt>
                <c:pt idx="222">
                  <c:v>44581</c:v>
                </c:pt>
                <c:pt idx="223">
                  <c:v>44582</c:v>
                </c:pt>
                <c:pt idx="224">
                  <c:v>44585</c:v>
                </c:pt>
                <c:pt idx="225">
                  <c:v>44586</c:v>
                </c:pt>
                <c:pt idx="226">
                  <c:v>44587</c:v>
                </c:pt>
                <c:pt idx="227">
                  <c:v>44588</c:v>
                </c:pt>
                <c:pt idx="228">
                  <c:v>44589</c:v>
                </c:pt>
                <c:pt idx="229">
                  <c:v>44599</c:v>
                </c:pt>
                <c:pt idx="230">
                  <c:v>44600</c:v>
                </c:pt>
                <c:pt idx="231">
                  <c:v>44601</c:v>
                </c:pt>
                <c:pt idx="232">
                  <c:v>44602</c:v>
                </c:pt>
                <c:pt idx="233">
                  <c:v>44603</c:v>
                </c:pt>
                <c:pt idx="234">
                  <c:v>44606</c:v>
                </c:pt>
                <c:pt idx="235">
                  <c:v>44607</c:v>
                </c:pt>
                <c:pt idx="236">
                  <c:v>44608</c:v>
                </c:pt>
                <c:pt idx="237">
                  <c:v>44609</c:v>
                </c:pt>
                <c:pt idx="238">
                  <c:v>44610</c:v>
                </c:pt>
                <c:pt idx="239">
                  <c:v>44613</c:v>
                </c:pt>
                <c:pt idx="240">
                  <c:v>44614</c:v>
                </c:pt>
                <c:pt idx="241">
                  <c:v>44615</c:v>
                </c:pt>
                <c:pt idx="242">
                  <c:v>44616</c:v>
                </c:pt>
                <c:pt idx="243">
                  <c:v>44617</c:v>
                </c:pt>
                <c:pt idx="244">
                  <c:v>44620</c:v>
                </c:pt>
                <c:pt idx="245">
                  <c:v>44621</c:v>
                </c:pt>
                <c:pt idx="246">
                  <c:v>44622</c:v>
                </c:pt>
                <c:pt idx="247">
                  <c:v>44623</c:v>
                </c:pt>
                <c:pt idx="248">
                  <c:v>44624</c:v>
                </c:pt>
                <c:pt idx="249">
                  <c:v>44627</c:v>
                </c:pt>
                <c:pt idx="250">
                  <c:v>44628</c:v>
                </c:pt>
                <c:pt idx="251">
                  <c:v>44629</c:v>
                </c:pt>
                <c:pt idx="252">
                  <c:v>44630</c:v>
                </c:pt>
                <c:pt idx="253">
                  <c:v>44631</c:v>
                </c:pt>
                <c:pt idx="254">
                  <c:v>44634</c:v>
                </c:pt>
                <c:pt idx="255">
                  <c:v>44635</c:v>
                </c:pt>
                <c:pt idx="256">
                  <c:v>44636</c:v>
                </c:pt>
                <c:pt idx="257">
                  <c:v>44637</c:v>
                </c:pt>
                <c:pt idx="258">
                  <c:v>44638</c:v>
                </c:pt>
                <c:pt idx="259">
                  <c:v>44641</c:v>
                </c:pt>
                <c:pt idx="260">
                  <c:v>44642</c:v>
                </c:pt>
                <c:pt idx="261">
                  <c:v>44643</c:v>
                </c:pt>
                <c:pt idx="262">
                  <c:v>44644</c:v>
                </c:pt>
                <c:pt idx="263">
                  <c:v>44645</c:v>
                </c:pt>
                <c:pt idx="264">
                  <c:v>44648</c:v>
                </c:pt>
                <c:pt idx="265">
                  <c:v>44649</c:v>
                </c:pt>
                <c:pt idx="266">
                  <c:v>44650</c:v>
                </c:pt>
                <c:pt idx="267">
                  <c:v>44651</c:v>
                </c:pt>
                <c:pt idx="268">
                  <c:v>44652</c:v>
                </c:pt>
                <c:pt idx="269">
                  <c:v>44655</c:v>
                </c:pt>
                <c:pt idx="270">
                  <c:v>44656</c:v>
                </c:pt>
                <c:pt idx="271">
                  <c:v>44657</c:v>
                </c:pt>
                <c:pt idx="272">
                  <c:v>44658</c:v>
                </c:pt>
                <c:pt idx="273">
                  <c:v>44659</c:v>
                </c:pt>
                <c:pt idx="274">
                  <c:v>44663</c:v>
                </c:pt>
                <c:pt idx="275">
                  <c:v>44664</c:v>
                </c:pt>
                <c:pt idx="276">
                  <c:v>44665</c:v>
                </c:pt>
                <c:pt idx="277">
                  <c:v>44666</c:v>
                </c:pt>
                <c:pt idx="278">
                  <c:v>44669</c:v>
                </c:pt>
                <c:pt idx="279">
                  <c:v>44670</c:v>
                </c:pt>
                <c:pt idx="280">
                  <c:v>44671</c:v>
                </c:pt>
                <c:pt idx="281">
                  <c:v>44672</c:v>
                </c:pt>
                <c:pt idx="282">
                  <c:v>44673</c:v>
                </c:pt>
                <c:pt idx="283">
                  <c:v>44676</c:v>
                </c:pt>
                <c:pt idx="284">
                  <c:v>44677</c:v>
                </c:pt>
                <c:pt idx="285">
                  <c:v>44678</c:v>
                </c:pt>
                <c:pt idx="286">
                  <c:v>44679</c:v>
                </c:pt>
                <c:pt idx="287">
                  <c:v>44680</c:v>
                </c:pt>
                <c:pt idx="288">
                  <c:v>44685</c:v>
                </c:pt>
                <c:pt idx="289">
                  <c:v>44686</c:v>
                </c:pt>
                <c:pt idx="290">
                  <c:v>44687</c:v>
                </c:pt>
                <c:pt idx="291">
                  <c:v>44690</c:v>
                </c:pt>
                <c:pt idx="292">
                  <c:v>44691</c:v>
                </c:pt>
                <c:pt idx="293">
                  <c:v>44692</c:v>
                </c:pt>
                <c:pt idx="294">
                  <c:v>44693</c:v>
                </c:pt>
                <c:pt idx="295">
                  <c:v>44694</c:v>
                </c:pt>
                <c:pt idx="296">
                  <c:v>44697</c:v>
                </c:pt>
                <c:pt idx="297">
                  <c:v>44698</c:v>
                </c:pt>
                <c:pt idx="298">
                  <c:v>44699</c:v>
                </c:pt>
                <c:pt idx="299">
                  <c:v>44700</c:v>
                </c:pt>
                <c:pt idx="300">
                  <c:v>44701</c:v>
                </c:pt>
                <c:pt idx="301">
                  <c:v>44704</c:v>
                </c:pt>
                <c:pt idx="302">
                  <c:v>44705</c:v>
                </c:pt>
                <c:pt idx="303">
                  <c:v>44706</c:v>
                </c:pt>
                <c:pt idx="304">
                  <c:v>44707</c:v>
                </c:pt>
                <c:pt idx="305">
                  <c:v>44708</c:v>
                </c:pt>
                <c:pt idx="306">
                  <c:v>44711</c:v>
                </c:pt>
                <c:pt idx="307">
                  <c:v>44712</c:v>
                </c:pt>
                <c:pt idx="308">
                  <c:v>44713</c:v>
                </c:pt>
                <c:pt idx="309">
                  <c:v>44714</c:v>
                </c:pt>
                <c:pt idx="310">
                  <c:v>44715</c:v>
                </c:pt>
                <c:pt idx="311">
                  <c:v>44718</c:v>
                </c:pt>
                <c:pt idx="312">
                  <c:v>44719</c:v>
                </c:pt>
                <c:pt idx="313">
                  <c:v>44720</c:v>
                </c:pt>
                <c:pt idx="314">
                  <c:v>44721</c:v>
                </c:pt>
                <c:pt idx="315">
                  <c:v>44722</c:v>
                </c:pt>
                <c:pt idx="316">
                  <c:v>44725</c:v>
                </c:pt>
                <c:pt idx="317">
                  <c:v>44726</c:v>
                </c:pt>
                <c:pt idx="318">
                  <c:v>44727</c:v>
                </c:pt>
                <c:pt idx="319">
                  <c:v>44728</c:v>
                </c:pt>
                <c:pt idx="320">
                  <c:v>44729</c:v>
                </c:pt>
                <c:pt idx="321">
                  <c:v>44732</c:v>
                </c:pt>
                <c:pt idx="322">
                  <c:v>44733</c:v>
                </c:pt>
                <c:pt idx="323">
                  <c:v>44734</c:v>
                </c:pt>
                <c:pt idx="324">
                  <c:v>44735</c:v>
                </c:pt>
                <c:pt idx="325">
                  <c:v>44736</c:v>
                </c:pt>
                <c:pt idx="326">
                  <c:v>44739</c:v>
                </c:pt>
                <c:pt idx="327">
                  <c:v>44740</c:v>
                </c:pt>
                <c:pt idx="328">
                  <c:v>44741</c:v>
                </c:pt>
                <c:pt idx="329">
                  <c:v>44742</c:v>
                </c:pt>
                <c:pt idx="330">
                  <c:v>44743</c:v>
                </c:pt>
                <c:pt idx="331">
                  <c:v>44746</c:v>
                </c:pt>
                <c:pt idx="332">
                  <c:v>44747</c:v>
                </c:pt>
                <c:pt idx="333">
                  <c:v>44748</c:v>
                </c:pt>
                <c:pt idx="334">
                  <c:v>44749</c:v>
                </c:pt>
                <c:pt idx="335">
                  <c:v>44750</c:v>
                </c:pt>
                <c:pt idx="336">
                  <c:v>44753</c:v>
                </c:pt>
                <c:pt idx="337">
                  <c:v>44754</c:v>
                </c:pt>
                <c:pt idx="338">
                  <c:v>44755</c:v>
                </c:pt>
                <c:pt idx="339">
                  <c:v>44756</c:v>
                </c:pt>
                <c:pt idx="340">
                  <c:v>44757</c:v>
                </c:pt>
                <c:pt idx="341">
                  <c:v>44760</c:v>
                </c:pt>
                <c:pt idx="342">
                  <c:v>44761</c:v>
                </c:pt>
                <c:pt idx="343">
                  <c:v>44762</c:v>
                </c:pt>
                <c:pt idx="344">
                  <c:v>44763</c:v>
                </c:pt>
                <c:pt idx="345">
                  <c:v>44764</c:v>
                </c:pt>
                <c:pt idx="346">
                  <c:v>44767</c:v>
                </c:pt>
                <c:pt idx="347">
                  <c:v>44768</c:v>
                </c:pt>
                <c:pt idx="348">
                  <c:v>44769</c:v>
                </c:pt>
                <c:pt idx="349">
                  <c:v>44770</c:v>
                </c:pt>
                <c:pt idx="350">
                  <c:v>44771</c:v>
                </c:pt>
                <c:pt idx="351">
                  <c:v>44774</c:v>
                </c:pt>
                <c:pt idx="352">
                  <c:v>44775</c:v>
                </c:pt>
                <c:pt idx="353">
                  <c:v>44776</c:v>
                </c:pt>
                <c:pt idx="354">
                  <c:v>44777</c:v>
                </c:pt>
                <c:pt idx="355">
                  <c:v>44778</c:v>
                </c:pt>
                <c:pt idx="356">
                  <c:v>44781</c:v>
                </c:pt>
                <c:pt idx="357">
                  <c:v>44782</c:v>
                </c:pt>
                <c:pt idx="358">
                  <c:v>44783</c:v>
                </c:pt>
                <c:pt idx="359">
                  <c:v>44784</c:v>
                </c:pt>
                <c:pt idx="360">
                  <c:v>44785</c:v>
                </c:pt>
                <c:pt idx="361">
                  <c:v>44788</c:v>
                </c:pt>
                <c:pt idx="362">
                  <c:v>44789</c:v>
                </c:pt>
                <c:pt idx="363">
                  <c:v>44790</c:v>
                </c:pt>
                <c:pt idx="364">
                  <c:v>44791</c:v>
                </c:pt>
                <c:pt idx="365">
                  <c:v>44792</c:v>
                </c:pt>
                <c:pt idx="366">
                  <c:v>44795</c:v>
                </c:pt>
                <c:pt idx="367">
                  <c:v>44796</c:v>
                </c:pt>
                <c:pt idx="368">
                  <c:v>44797</c:v>
                </c:pt>
                <c:pt idx="369">
                  <c:v>44798</c:v>
                </c:pt>
                <c:pt idx="370">
                  <c:v>44799</c:v>
                </c:pt>
                <c:pt idx="371">
                  <c:v>44802</c:v>
                </c:pt>
                <c:pt idx="372">
                  <c:v>44803</c:v>
                </c:pt>
                <c:pt idx="373">
                  <c:v>44804</c:v>
                </c:pt>
                <c:pt idx="374">
                  <c:v>44809</c:v>
                </c:pt>
                <c:pt idx="375">
                  <c:v>44810</c:v>
                </c:pt>
                <c:pt idx="376">
                  <c:v>44811</c:v>
                </c:pt>
                <c:pt idx="377">
                  <c:v>44812</c:v>
                </c:pt>
                <c:pt idx="378">
                  <c:v>44813</c:v>
                </c:pt>
                <c:pt idx="379">
                  <c:v>44816</c:v>
                </c:pt>
                <c:pt idx="380">
                  <c:v>44817</c:v>
                </c:pt>
                <c:pt idx="381">
                  <c:v>44818</c:v>
                </c:pt>
                <c:pt idx="382">
                  <c:v>44819</c:v>
                </c:pt>
                <c:pt idx="383">
                  <c:v>44820</c:v>
                </c:pt>
                <c:pt idx="384">
                  <c:v>44823</c:v>
                </c:pt>
                <c:pt idx="385">
                  <c:v>44824</c:v>
                </c:pt>
                <c:pt idx="386">
                  <c:v>44825</c:v>
                </c:pt>
                <c:pt idx="387">
                  <c:v>44826</c:v>
                </c:pt>
                <c:pt idx="388">
                  <c:v>44827</c:v>
                </c:pt>
                <c:pt idx="389">
                  <c:v>44830</c:v>
                </c:pt>
                <c:pt idx="390">
                  <c:v>44831</c:v>
                </c:pt>
                <c:pt idx="391">
                  <c:v>44832</c:v>
                </c:pt>
                <c:pt idx="392">
                  <c:v>44833</c:v>
                </c:pt>
                <c:pt idx="393">
                  <c:v>44834</c:v>
                </c:pt>
                <c:pt idx="394">
                  <c:v>44837</c:v>
                </c:pt>
                <c:pt idx="395">
                  <c:v>44838</c:v>
                </c:pt>
                <c:pt idx="396">
                  <c:v>44839</c:v>
                </c:pt>
                <c:pt idx="397">
                  <c:v>44840</c:v>
                </c:pt>
                <c:pt idx="398">
                  <c:v>44841</c:v>
                </c:pt>
                <c:pt idx="399">
                  <c:v>44844</c:v>
                </c:pt>
                <c:pt idx="400">
                  <c:v>44845</c:v>
                </c:pt>
                <c:pt idx="401">
                  <c:v>44846</c:v>
                </c:pt>
                <c:pt idx="402">
                  <c:v>44847</c:v>
                </c:pt>
                <c:pt idx="403">
                  <c:v>44848</c:v>
                </c:pt>
                <c:pt idx="404">
                  <c:v>44851</c:v>
                </c:pt>
                <c:pt idx="405">
                  <c:v>44852</c:v>
                </c:pt>
                <c:pt idx="406">
                  <c:v>44853</c:v>
                </c:pt>
                <c:pt idx="407">
                  <c:v>44854</c:v>
                </c:pt>
                <c:pt idx="408">
                  <c:v>44855</c:v>
                </c:pt>
                <c:pt idx="409">
                  <c:v>44858</c:v>
                </c:pt>
                <c:pt idx="410">
                  <c:v>44859</c:v>
                </c:pt>
                <c:pt idx="411">
                  <c:v>44860</c:v>
                </c:pt>
                <c:pt idx="412">
                  <c:v>44861</c:v>
                </c:pt>
                <c:pt idx="413">
                  <c:v>44862</c:v>
                </c:pt>
                <c:pt idx="414">
                  <c:v>44865</c:v>
                </c:pt>
                <c:pt idx="415">
                  <c:v>44866</c:v>
                </c:pt>
                <c:pt idx="416">
                  <c:v>44867</c:v>
                </c:pt>
                <c:pt idx="417">
                  <c:v>44868</c:v>
                </c:pt>
                <c:pt idx="418">
                  <c:v>44869</c:v>
                </c:pt>
                <c:pt idx="419">
                  <c:v>44872</c:v>
                </c:pt>
                <c:pt idx="420">
                  <c:v>44873</c:v>
                </c:pt>
                <c:pt idx="421">
                  <c:v>44874</c:v>
                </c:pt>
                <c:pt idx="422">
                  <c:v>44875</c:v>
                </c:pt>
                <c:pt idx="423">
                  <c:v>44876</c:v>
                </c:pt>
                <c:pt idx="424">
                  <c:v>44879</c:v>
                </c:pt>
                <c:pt idx="425">
                  <c:v>44880</c:v>
                </c:pt>
                <c:pt idx="426">
                  <c:v>44881</c:v>
                </c:pt>
                <c:pt idx="427">
                  <c:v>44882</c:v>
                </c:pt>
                <c:pt idx="428">
                  <c:v>44883</c:v>
                </c:pt>
                <c:pt idx="429">
                  <c:v>44886</c:v>
                </c:pt>
                <c:pt idx="430">
                  <c:v>44887</c:v>
                </c:pt>
                <c:pt idx="431">
                  <c:v>44888</c:v>
                </c:pt>
                <c:pt idx="432">
                  <c:v>44889</c:v>
                </c:pt>
                <c:pt idx="433">
                  <c:v>44890</c:v>
                </c:pt>
                <c:pt idx="434">
                  <c:v>44893</c:v>
                </c:pt>
                <c:pt idx="435">
                  <c:v>44894</c:v>
                </c:pt>
                <c:pt idx="436">
                  <c:v>44895</c:v>
                </c:pt>
                <c:pt idx="437">
                  <c:v>44896</c:v>
                </c:pt>
                <c:pt idx="438">
                  <c:v>44897</c:v>
                </c:pt>
                <c:pt idx="439">
                  <c:v>44900</c:v>
                </c:pt>
                <c:pt idx="440">
                  <c:v>44901</c:v>
                </c:pt>
                <c:pt idx="441">
                  <c:v>44902</c:v>
                </c:pt>
                <c:pt idx="442">
                  <c:v>44903</c:v>
                </c:pt>
                <c:pt idx="443">
                  <c:v>44904</c:v>
                </c:pt>
                <c:pt idx="444">
                  <c:v>44907</c:v>
                </c:pt>
                <c:pt idx="445">
                  <c:v>44908</c:v>
                </c:pt>
                <c:pt idx="446">
                  <c:v>44909</c:v>
                </c:pt>
                <c:pt idx="447">
                  <c:v>44910</c:v>
                </c:pt>
                <c:pt idx="448">
                  <c:v>44911</c:v>
                </c:pt>
                <c:pt idx="449">
                  <c:v>44914</c:v>
                </c:pt>
                <c:pt idx="450">
                  <c:v>44915</c:v>
                </c:pt>
                <c:pt idx="451">
                  <c:v>44916</c:v>
                </c:pt>
                <c:pt idx="452">
                  <c:v>44917</c:v>
                </c:pt>
                <c:pt idx="453">
                  <c:v>44918</c:v>
                </c:pt>
                <c:pt idx="454">
                  <c:v>44921</c:v>
                </c:pt>
                <c:pt idx="455">
                  <c:v>44922</c:v>
                </c:pt>
                <c:pt idx="456">
                  <c:v>44923</c:v>
                </c:pt>
                <c:pt idx="457">
                  <c:v>44924</c:v>
                </c:pt>
                <c:pt idx="458">
                  <c:v>44925</c:v>
                </c:pt>
                <c:pt idx="459">
                  <c:v>44929</c:v>
                </c:pt>
                <c:pt idx="460">
                  <c:v>44930</c:v>
                </c:pt>
                <c:pt idx="461">
                  <c:v>44931</c:v>
                </c:pt>
                <c:pt idx="462">
                  <c:v>44932</c:v>
                </c:pt>
                <c:pt idx="463">
                  <c:v>44935</c:v>
                </c:pt>
                <c:pt idx="464">
                  <c:v>44936</c:v>
                </c:pt>
                <c:pt idx="465">
                  <c:v>44937</c:v>
                </c:pt>
                <c:pt idx="466">
                  <c:v>44938</c:v>
                </c:pt>
                <c:pt idx="467">
                  <c:v>44939</c:v>
                </c:pt>
                <c:pt idx="468">
                  <c:v>44942</c:v>
                </c:pt>
                <c:pt idx="469">
                  <c:v>44943</c:v>
                </c:pt>
                <c:pt idx="470">
                  <c:v>44944</c:v>
                </c:pt>
                <c:pt idx="471">
                  <c:v>44945</c:v>
                </c:pt>
                <c:pt idx="472">
                  <c:v>44953</c:v>
                </c:pt>
                <c:pt idx="473">
                  <c:v>44956</c:v>
                </c:pt>
                <c:pt idx="474">
                  <c:v>44957</c:v>
                </c:pt>
                <c:pt idx="475">
                  <c:v>44958</c:v>
                </c:pt>
                <c:pt idx="476">
                  <c:v>44959</c:v>
                </c:pt>
                <c:pt idx="477">
                  <c:v>44960</c:v>
                </c:pt>
                <c:pt idx="478">
                  <c:v>44963</c:v>
                </c:pt>
                <c:pt idx="479">
                  <c:v>44964</c:v>
                </c:pt>
                <c:pt idx="480">
                  <c:v>44965</c:v>
                </c:pt>
                <c:pt idx="481">
                  <c:v>44966</c:v>
                </c:pt>
                <c:pt idx="482">
                  <c:v>44967</c:v>
                </c:pt>
                <c:pt idx="483">
                  <c:v>44970</c:v>
                </c:pt>
                <c:pt idx="484">
                  <c:v>44971</c:v>
                </c:pt>
                <c:pt idx="485">
                  <c:v>44972</c:v>
                </c:pt>
                <c:pt idx="486">
                  <c:v>44973</c:v>
                </c:pt>
                <c:pt idx="487">
                  <c:v>44974</c:v>
                </c:pt>
                <c:pt idx="488">
                  <c:v>44977</c:v>
                </c:pt>
                <c:pt idx="489">
                  <c:v>44978</c:v>
                </c:pt>
                <c:pt idx="490">
                  <c:v>44979</c:v>
                </c:pt>
                <c:pt idx="491">
                  <c:v>44980</c:v>
                </c:pt>
                <c:pt idx="492">
                  <c:v>44981</c:v>
                </c:pt>
                <c:pt idx="493">
                  <c:v>44984</c:v>
                </c:pt>
                <c:pt idx="494">
                  <c:v>44985</c:v>
                </c:pt>
                <c:pt idx="495">
                  <c:v>44986</c:v>
                </c:pt>
                <c:pt idx="496">
                  <c:v>44987</c:v>
                </c:pt>
                <c:pt idx="497">
                  <c:v>44988</c:v>
                </c:pt>
                <c:pt idx="498">
                  <c:v>44991</c:v>
                </c:pt>
                <c:pt idx="499">
                  <c:v>44992</c:v>
                </c:pt>
                <c:pt idx="500">
                  <c:v>44993</c:v>
                </c:pt>
                <c:pt idx="501">
                  <c:v>44994</c:v>
                </c:pt>
                <c:pt idx="502">
                  <c:v>44995</c:v>
                </c:pt>
                <c:pt idx="503">
                  <c:v>44998</c:v>
                </c:pt>
                <c:pt idx="504">
                  <c:v>44999</c:v>
                </c:pt>
                <c:pt idx="505">
                  <c:v>45000</c:v>
                </c:pt>
                <c:pt idx="506">
                  <c:v>45001</c:v>
                </c:pt>
                <c:pt idx="507">
                  <c:v>45002</c:v>
                </c:pt>
                <c:pt idx="508">
                  <c:v>45005</c:v>
                </c:pt>
                <c:pt idx="509">
                  <c:v>45006</c:v>
                </c:pt>
                <c:pt idx="510">
                  <c:v>45007</c:v>
                </c:pt>
                <c:pt idx="511">
                  <c:v>45008</c:v>
                </c:pt>
                <c:pt idx="512">
                  <c:v>45009</c:v>
                </c:pt>
                <c:pt idx="513">
                  <c:v>45012</c:v>
                </c:pt>
                <c:pt idx="514">
                  <c:v>45013</c:v>
                </c:pt>
                <c:pt idx="515">
                  <c:v>45014</c:v>
                </c:pt>
                <c:pt idx="516">
                  <c:v>45015</c:v>
                </c:pt>
                <c:pt idx="517">
                  <c:v>45016</c:v>
                </c:pt>
                <c:pt idx="518">
                  <c:v>45019</c:v>
                </c:pt>
                <c:pt idx="519">
                  <c:v>45020</c:v>
                </c:pt>
                <c:pt idx="520">
                  <c:v>45021</c:v>
                </c:pt>
                <c:pt idx="521">
                  <c:v>45022</c:v>
                </c:pt>
                <c:pt idx="522">
                  <c:v>45023</c:v>
                </c:pt>
                <c:pt idx="523">
                  <c:v>45026</c:v>
                </c:pt>
                <c:pt idx="524">
                  <c:v>45027</c:v>
                </c:pt>
                <c:pt idx="525">
                  <c:v>45028</c:v>
                </c:pt>
                <c:pt idx="526">
                  <c:v>45029</c:v>
                </c:pt>
                <c:pt idx="527">
                  <c:v>45030</c:v>
                </c:pt>
                <c:pt idx="528">
                  <c:v>45033</c:v>
                </c:pt>
                <c:pt idx="529">
                  <c:v>45034</c:v>
                </c:pt>
                <c:pt idx="530">
                  <c:v>45035</c:v>
                </c:pt>
                <c:pt idx="531">
                  <c:v>45036</c:v>
                </c:pt>
                <c:pt idx="532">
                  <c:v>45037</c:v>
                </c:pt>
                <c:pt idx="533">
                  <c:v>45040</c:v>
                </c:pt>
                <c:pt idx="534">
                  <c:v>45041</c:v>
                </c:pt>
                <c:pt idx="535">
                  <c:v>45042</c:v>
                </c:pt>
                <c:pt idx="536">
                  <c:v>45043</c:v>
                </c:pt>
                <c:pt idx="537">
                  <c:v>45044</c:v>
                </c:pt>
                <c:pt idx="538">
                  <c:v>45050</c:v>
                </c:pt>
                <c:pt idx="539">
                  <c:v>45051</c:v>
                </c:pt>
                <c:pt idx="540">
                  <c:v>45054</c:v>
                </c:pt>
                <c:pt idx="541">
                  <c:v>45055</c:v>
                </c:pt>
                <c:pt idx="542">
                  <c:v>45056</c:v>
                </c:pt>
                <c:pt idx="543">
                  <c:v>45057</c:v>
                </c:pt>
                <c:pt idx="544">
                  <c:v>45058</c:v>
                </c:pt>
                <c:pt idx="545">
                  <c:v>45061</c:v>
                </c:pt>
                <c:pt idx="546">
                  <c:v>45062</c:v>
                </c:pt>
                <c:pt idx="547">
                  <c:v>45063</c:v>
                </c:pt>
                <c:pt idx="548">
                  <c:v>45064</c:v>
                </c:pt>
                <c:pt idx="549">
                  <c:v>45065</c:v>
                </c:pt>
                <c:pt idx="550">
                  <c:v>45068</c:v>
                </c:pt>
                <c:pt idx="551">
                  <c:v>45069</c:v>
                </c:pt>
                <c:pt idx="552">
                  <c:v>45070</c:v>
                </c:pt>
                <c:pt idx="553">
                  <c:v>45071</c:v>
                </c:pt>
                <c:pt idx="554">
                  <c:v>45072</c:v>
                </c:pt>
                <c:pt idx="555">
                  <c:v>45075</c:v>
                </c:pt>
                <c:pt idx="556">
                  <c:v>45076</c:v>
                </c:pt>
                <c:pt idx="557">
                  <c:v>45077</c:v>
                </c:pt>
                <c:pt idx="558">
                  <c:v>45078</c:v>
                </c:pt>
                <c:pt idx="559">
                  <c:v>45079</c:v>
                </c:pt>
                <c:pt idx="560">
                  <c:v>45082</c:v>
                </c:pt>
                <c:pt idx="561">
                  <c:v>45083</c:v>
                </c:pt>
                <c:pt idx="562">
                  <c:v>45084</c:v>
                </c:pt>
                <c:pt idx="563">
                  <c:v>45085</c:v>
                </c:pt>
                <c:pt idx="564">
                  <c:v>45086</c:v>
                </c:pt>
                <c:pt idx="565">
                  <c:v>45089</c:v>
                </c:pt>
                <c:pt idx="566">
                  <c:v>45090</c:v>
                </c:pt>
                <c:pt idx="567">
                  <c:v>45091</c:v>
                </c:pt>
                <c:pt idx="568">
                  <c:v>45092</c:v>
                </c:pt>
                <c:pt idx="569">
                  <c:v>45093</c:v>
                </c:pt>
                <c:pt idx="570">
                  <c:v>45096</c:v>
                </c:pt>
                <c:pt idx="571">
                  <c:v>45097</c:v>
                </c:pt>
                <c:pt idx="572">
                  <c:v>45098</c:v>
                </c:pt>
                <c:pt idx="573">
                  <c:v>45099</c:v>
                </c:pt>
                <c:pt idx="574">
                  <c:v>45100</c:v>
                </c:pt>
                <c:pt idx="575">
                  <c:v>45103</c:v>
                </c:pt>
                <c:pt idx="576">
                  <c:v>45104</c:v>
                </c:pt>
                <c:pt idx="577">
                  <c:v>45105</c:v>
                </c:pt>
                <c:pt idx="578">
                  <c:v>45106</c:v>
                </c:pt>
                <c:pt idx="579">
                  <c:v>45107</c:v>
                </c:pt>
                <c:pt idx="580">
                  <c:v>45110</c:v>
                </c:pt>
                <c:pt idx="581">
                  <c:v>45111</c:v>
                </c:pt>
                <c:pt idx="582">
                  <c:v>45112</c:v>
                </c:pt>
                <c:pt idx="583">
                  <c:v>45113</c:v>
                </c:pt>
                <c:pt idx="584">
                  <c:v>45114</c:v>
                </c:pt>
                <c:pt idx="585">
                  <c:v>45117</c:v>
                </c:pt>
                <c:pt idx="586">
                  <c:v>45118</c:v>
                </c:pt>
                <c:pt idx="587">
                  <c:v>45119</c:v>
                </c:pt>
                <c:pt idx="588">
                  <c:v>45120</c:v>
                </c:pt>
                <c:pt idx="589">
                  <c:v>45121</c:v>
                </c:pt>
                <c:pt idx="590">
                  <c:v>45124</c:v>
                </c:pt>
                <c:pt idx="591">
                  <c:v>45125</c:v>
                </c:pt>
                <c:pt idx="592">
                  <c:v>45126</c:v>
                </c:pt>
                <c:pt idx="593">
                  <c:v>45127</c:v>
                </c:pt>
                <c:pt idx="594">
                  <c:v>45128</c:v>
                </c:pt>
                <c:pt idx="595">
                  <c:v>45131</c:v>
                </c:pt>
                <c:pt idx="596">
                  <c:v>45132</c:v>
                </c:pt>
                <c:pt idx="597">
                  <c:v>45133</c:v>
                </c:pt>
                <c:pt idx="598">
                  <c:v>45134</c:v>
                </c:pt>
                <c:pt idx="599">
                  <c:v>45135</c:v>
                </c:pt>
                <c:pt idx="600">
                  <c:v>45138</c:v>
                </c:pt>
                <c:pt idx="601">
                  <c:v>45139</c:v>
                </c:pt>
                <c:pt idx="602">
                  <c:v>45140</c:v>
                </c:pt>
                <c:pt idx="603">
                  <c:v>45141</c:v>
                </c:pt>
                <c:pt idx="604">
                  <c:v>45142</c:v>
                </c:pt>
                <c:pt idx="605">
                  <c:v>45145</c:v>
                </c:pt>
                <c:pt idx="606">
                  <c:v>45146</c:v>
                </c:pt>
                <c:pt idx="607">
                  <c:v>45147</c:v>
                </c:pt>
                <c:pt idx="608">
                  <c:v>45148</c:v>
                </c:pt>
                <c:pt idx="609">
                  <c:v>45149</c:v>
                </c:pt>
                <c:pt idx="610">
                  <c:v>45152</c:v>
                </c:pt>
                <c:pt idx="611">
                  <c:v>45153</c:v>
                </c:pt>
                <c:pt idx="612">
                  <c:v>45154</c:v>
                </c:pt>
                <c:pt idx="613">
                  <c:v>45155</c:v>
                </c:pt>
                <c:pt idx="614">
                  <c:v>45156</c:v>
                </c:pt>
                <c:pt idx="615">
                  <c:v>45159</c:v>
                </c:pt>
                <c:pt idx="616">
                  <c:v>45160</c:v>
                </c:pt>
                <c:pt idx="617">
                  <c:v>45161</c:v>
                </c:pt>
                <c:pt idx="618">
                  <c:v>45162</c:v>
                </c:pt>
                <c:pt idx="619">
                  <c:v>45163</c:v>
                </c:pt>
                <c:pt idx="620">
                  <c:v>45166</c:v>
                </c:pt>
                <c:pt idx="621">
                  <c:v>45167</c:v>
                </c:pt>
                <c:pt idx="622">
                  <c:v>45168</c:v>
                </c:pt>
                <c:pt idx="623">
                  <c:v>45169</c:v>
                </c:pt>
                <c:pt idx="624">
                  <c:v>45174</c:v>
                </c:pt>
                <c:pt idx="625">
                  <c:v>45175</c:v>
                </c:pt>
                <c:pt idx="626">
                  <c:v>45176</c:v>
                </c:pt>
                <c:pt idx="627">
                  <c:v>45177</c:v>
                </c:pt>
                <c:pt idx="628">
                  <c:v>45180</c:v>
                </c:pt>
                <c:pt idx="629">
                  <c:v>45181</c:v>
                </c:pt>
                <c:pt idx="630">
                  <c:v>45182</c:v>
                </c:pt>
                <c:pt idx="631">
                  <c:v>45183</c:v>
                </c:pt>
                <c:pt idx="632">
                  <c:v>45184</c:v>
                </c:pt>
                <c:pt idx="633">
                  <c:v>45187</c:v>
                </c:pt>
                <c:pt idx="634">
                  <c:v>45188</c:v>
                </c:pt>
                <c:pt idx="635">
                  <c:v>45189</c:v>
                </c:pt>
                <c:pt idx="636">
                  <c:v>45190</c:v>
                </c:pt>
                <c:pt idx="637">
                  <c:v>45191</c:v>
                </c:pt>
                <c:pt idx="638">
                  <c:v>45194</c:v>
                </c:pt>
                <c:pt idx="639">
                  <c:v>45195</c:v>
                </c:pt>
                <c:pt idx="640">
                  <c:v>45196</c:v>
                </c:pt>
                <c:pt idx="641">
                  <c:v>45197</c:v>
                </c:pt>
                <c:pt idx="642">
                  <c:v>45198</c:v>
                </c:pt>
                <c:pt idx="643">
                  <c:v>45201</c:v>
                </c:pt>
                <c:pt idx="644">
                  <c:v>45202</c:v>
                </c:pt>
                <c:pt idx="645">
                  <c:v>45203</c:v>
                </c:pt>
                <c:pt idx="646">
                  <c:v>45204</c:v>
                </c:pt>
                <c:pt idx="647">
                  <c:v>45205</c:v>
                </c:pt>
                <c:pt idx="648">
                  <c:v>45208</c:v>
                </c:pt>
                <c:pt idx="649">
                  <c:v>45209</c:v>
                </c:pt>
                <c:pt idx="650">
                  <c:v>45210</c:v>
                </c:pt>
                <c:pt idx="651">
                  <c:v>45211</c:v>
                </c:pt>
                <c:pt idx="652">
                  <c:v>45212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45222</c:v>
                </c:pt>
                <c:pt idx="659">
                  <c:v>45223</c:v>
                </c:pt>
                <c:pt idx="660">
                  <c:v>45224</c:v>
                </c:pt>
                <c:pt idx="661">
                  <c:v>45225</c:v>
                </c:pt>
                <c:pt idx="662">
                  <c:v>45226</c:v>
                </c:pt>
                <c:pt idx="663">
                  <c:v>45229</c:v>
                </c:pt>
                <c:pt idx="664">
                  <c:v>45230</c:v>
                </c:pt>
                <c:pt idx="665">
                  <c:v>45231</c:v>
                </c:pt>
                <c:pt idx="666">
                  <c:v>45232</c:v>
                </c:pt>
                <c:pt idx="667">
                  <c:v>45233</c:v>
                </c:pt>
                <c:pt idx="668">
                  <c:v>45236</c:v>
                </c:pt>
                <c:pt idx="669">
                  <c:v>45237</c:v>
                </c:pt>
                <c:pt idx="670">
                  <c:v>45238</c:v>
                </c:pt>
                <c:pt idx="671">
                  <c:v>45239</c:v>
                </c:pt>
                <c:pt idx="672">
                  <c:v>45240</c:v>
                </c:pt>
                <c:pt idx="673">
                  <c:v>45243</c:v>
                </c:pt>
                <c:pt idx="674">
                  <c:v>45244</c:v>
                </c:pt>
                <c:pt idx="675">
                  <c:v>45245</c:v>
                </c:pt>
                <c:pt idx="676">
                  <c:v>45246</c:v>
                </c:pt>
                <c:pt idx="677">
                  <c:v>45247</c:v>
                </c:pt>
                <c:pt idx="678">
                  <c:v>45250</c:v>
                </c:pt>
                <c:pt idx="679">
                  <c:v>45251</c:v>
                </c:pt>
                <c:pt idx="680">
                  <c:v>45252</c:v>
                </c:pt>
                <c:pt idx="681">
                  <c:v>45253</c:v>
                </c:pt>
                <c:pt idx="682">
                  <c:v>45254</c:v>
                </c:pt>
                <c:pt idx="683">
                  <c:v>45257</c:v>
                </c:pt>
                <c:pt idx="684">
                  <c:v>45258</c:v>
                </c:pt>
                <c:pt idx="685">
                  <c:v>45259</c:v>
                </c:pt>
                <c:pt idx="686">
                  <c:v>45260</c:v>
                </c:pt>
                <c:pt idx="687">
                  <c:v>45261</c:v>
                </c:pt>
                <c:pt idx="688">
                  <c:v>45264</c:v>
                </c:pt>
                <c:pt idx="689">
                  <c:v>45265</c:v>
                </c:pt>
                <c:pt idx="690">
                  <c:v>45266</c:v>
                </c:pt>
                <c:pt idx="691">
                  <c:v>45267</c:v>
                </c:pt>
                <c:pt idx="692">
                  <c:v>45268</c:v>
                </c:pt>
                <c:pt idx="693">
                  <c:v>45271</c:v>
                </c:pt>
                <c:pt idx="694">
                  <c:v>45272</c:v>
                </c:pt>
                <c:pt idx="695">
                  <c:v>45273</c:v>
                </c:pt>
                <c:pt idx="696">
                  <c:v>45274</c:v>
                </c:pt>
                <c:pt idx="697">
                  <c:v>45275</c:v>
                </c:pt>
                <c:pt idx="698">
                  <c:v>45278</c:v>
                </c:pt>
                <c:pt idx="699">
                  <c:v>45279</c:v>
                </c:pt>
                <c:pt idx="700">
                  <c:v>45280</c:v>
                </c:pt>
                <c:pt idx="701">
                  <c:v>45281</c:v>
                </c:pt>
                <c:pt idx="702">
                  <c:v>45282</c:v>
                </c:pt>
                <c:pt idx="703">
                  <c:v>45285</c:v>
                </c:pt>
                <c:pt idx="704">
                  <c:v>45286</c:v>
                </c:pt>
                <c:pt idx="705">
                  <c:v>45287</c:v>
                </c:pt>
                <c:pt idx="706">
                  <c:v>45288</c:v>
                </c:pt>
                <c:pt idx="707">
                  <c:v>45289</c:v>
                </c:pt>
                <c:pt idx="708">
                  <c:v>45293</c:v>
                </c:pt>
                <c:pt idx="709">
                  <c:v>45294</c:v>
                </c:pt>
                <c:pt idx="710">
                  <c:v>45295</c:v>
                </c:pt>
                <c:pt idx="711">
                  <c:v>45296</c:v>
                </c:pt>
                <c:pt idx="712">
                  <c:v>45299</c:v>
                </c:pt>
                <c:pt idx="713">
                  <c:v>45300</c:v>
                </c:pt>
                <c:pt idx="714">
                  <c:v>45301</c:v>
                </c:pt>
                <c:pt idx="715">
                  <c:v>45302</c:v>
                </c:pt>
                <c:pt idx="716">
                  <c:v>45303</c:v>
                </c:pt>
                <c:pt idx="717">
                  <c:v>45306</c:v>
                </c:pt>
                <c:pt idx="718">
                  <c:v>45307</c:v>
                </c:pt>
                <c:pt idx="719">
                  <c:v>45308</c:v>
                </c:pt>
                <c:pt idx="720">
                  <c:v>45309</c:v>
                </c:pt>
                <c:pt idx="721">
                  <c:v>45310</c:v>
                </c:pt>
                <c:pt idx="722">
                  <c:v>45313</c:v>
                </c:pt>
                <c:pt idx="723">
                  <c:v>45314</c:v>
                </c:pt>
                <c:pt idx="724">
                  <c:v>45315</c:v>
                </c:pt>
                <c:pt idx="725">
                  <c:v>45316</c:v>
                </c:pt>
                <c:pt idx="726">
                  <c:v>45317</c:v>
                </c:pt>
                <c:pt idx="727">
                  <c:v>45320</c:v>
                </c:pt>
                <c:pt idx="728">
                  <c:v>45321</c:v>
                </c:pt>
                <c:pt idx="729">
                  <c:v>45322</c:v>
                </c:pt>
                <c:pt idx="730">
                  <c:v>45323</c:v>
                </c:pt>
                <c:pt idx="731">
                  <c:v>45324</c:v>
                </c:pt>
                <c:pt idx="732">
                  <c:v>45327</c:v>
                </c:pt>
                <c:pt idx="733">
                  <c:v>45328</c:v>
                </c:pt>
                <c:pt idx="734">
                  <c:v>45329</c:v>
                </c:pt>
                <c:pt idx="735">
                  <c:v>45337</c:v>
                </c:pt>
                <c:pt idx="736">
                  <c:v>45338</c:v>
                </c:pt>
                <c:pt idx="737">
                  <c:v>45341</c:v>
                </c:pt>
                <c:pt idx="738">
                  <c:v>45342</c:v>
                </c:pt>
                <c:pt idx="739">
                  <c:v>45343</c:v>
                </c:pt>
                <c:pt idx="740">
                  <c:v>45344</c:v>
                </c:pt>
                <c:pt idx="741">
                  <c:v>45345</c:v>
                </c:pt>
                <c:pt idx="742">
                  <c:v>45348</c:v>
                </c:pt>
                <c:pt idx="743">
                  <c:v>45349</c:v>
                </c:pt>
                <c:pt idx="744">
                  <c:v>45350</c:v>
                </c:pt>
                <c:pt idx="745">
                  <c:v>45351</c:v>
                </c:pt>
                <c:pt idx="746">
                  <c:v>45352</c:v>
                </c:pt>
                <c:pt idx="747">
                  <c:v>45355</c:v>
                </c:pt>
                <c:pt idx="748">
                  <c:v>45356</c:v>
                </c:pt>
                <c:pt idx="749">
                  <c:v>45357</c:v>
                </c:pt>
                <c:pt idx="750">
                  <c:v>45358</c:v>
                </c:pt>
                <c:pt idx="751">
                  <c:v>45359</c:v>
                </c:pt>
                <c:pt idx="752">
                  <c:v>45362</c:v>
                </c:pt>
                <c:pt idx="753">
                  <c:v>45363</c:v>
                </c:pt>
                <c:pt idx="754">
                  <c:v>45364</c:v>
                </c:pt>
                <c:pt idx="755">
                  <c:v>45365</c:v>
                </c:pt>
                <c:pt idx="756">
                  <c:v>45366</c:v>
                </c:pt>
                <c:pt idx="757">
                  <c:v>45369</c:v>
                </c:pt>
                <c:pt idx="758">
                  <c:v>45370</c:v>
                </c:pt>
                <c:pt idx="759">
                  <c:v>45371</c:v>
                </c:pt>
                <c:pt idx="760">
                  <c:v>45372</c:v>
                </c:pt>
                <c:pt idx="761">
                  <c:v>45373</c:v>
                </c:pt>
                <c:pt idx="762">
                  <c:v>45376</c:v>
                </c:pt>
                <c:pt idx="763">
                  <c:v>45377</c:v>
                </c:pt>
                <c:pt idx="764">
                  <c:v>45378</c:v>
                </c:pt>
                <c:pt idx="765">
                  <c:v>45379</c:v>
                </c:pt>
                <c:pt idx="766">
                  <c:v>45380</c:v>
                </c:pt>
                <c:pt idx="767">
                  <c:v>45383</c:v>
                </c:pt>
                <c:pt idx="768">
                  <c:v>45384</c:v>
                </c:pt>
                <c:pt idx="769">
                  <c:v>45385</c:v>
                </c:pt>
                <c:pt idx="770">
                  <c:v>45386</c:v>
                </c:pt>
                <c:pt idx="771">
                  <c:v>45387</c:v>
                </c:pt>
                <c:pt idx="772">
                  <c:v>45390</c:v>
                </c:pt>
                <c:pt idx="773">
                  <c:v>45391</c:v>
                </c:pt>
                <c:pt idx="774">
                  <c:v>45392</c:v>
                </c:pt>
                <c:pt idx="775">
                  <c:v>45393</c:v>
                </c:pt>
                <c:pt idx="776">
                  <c:v>45394</c:v>
                </c:pt>
                <c:pt idx="777">
                  <c:v>45397</c:v>
                </c:pt>
                <c:pt idx="778">
                  <c:v>45398</c:v>
                </c:pt>
                <c:pt idx="779">
                  <c:v>45399</c:v>
                </c:pt>
                <c:pt idx="780">
                  <c:v>45401</c:v>
                </c:pt>
                <c:pt idx="781">
                  <c:v>45404</c:v>
                </c:pt>
                <c:pt idx="782">
                  <c:v>45405</c:v>
                </c:pt>
                <c:pt idx="783">
                  <c:v>45406</c:v>
                </c:pt>
                <c:pt idx="784">
                  <c:v>45407</c:v>
                </c:pt>
                <c:pt idx="785">
                  <c:v>45408</c:v>
                </c:pt>
                <c:pt idx="786">
                  <c:v>45414</c:v>
                </c:pt>
                <c:pt idx="787">
                  <c:v>45415</c:v>
                </c:pt>
                <c:pt idx="788">
                  <c:v>45418</c:v>
                </c:pt>
                <c:pt idx="789">
                  <c:v>45419</c:v>
                </c:pt>
                <c:pt idx="790">
                  <c:v>45420</c:v>
                </c:pt>
                <c:pt idx="791">
                  <c:v>45421</c:v>
                </c:pt>
                <c:pt idx="792">
                  <c:v>45422</c:v>
                </c:pt>
                <c:pt idx="793">
                  <c:v>45425</c:v>
                </c:pt>
                <c:pt idx="794">
                  <c:v>45426</c:v>
                </c:pt>
                <c:pt idx="795">
                  <c:v>45427</c:v>
                </c:pt>
                <c:pt idx="796">
                  <c:v>45428</c:v>
                </c:pt>
                <c:pt idx="797">
                  <c:v>45429</c:v>
                </c:pt>
                <c:pt idx="798">
                  <c:v>45432</c:v>
                </c:pt>
                <c:pt idx="799">
                  <c:v>45433</c:v>
                </c:pt>
                <c:pt idx="800">
                  <c:v>45434</c:v>
                </c:pt>
                <c:pt idx="801">
                  <c:v>45435</c:v>
                </c:pt>
                <c:pt idx="802">
                  <c:v>45436</c:v>
                </c:pt>
                <c:pt idx="803">
                  <c:v>45439</c:v>
                </c:pt>
                <c:pt idx="804">
                  <c:v>45440</c:v>
                </c:pt>
                <c:pt idx="805">
                  <c:v>45441</c:v>
                </c:pt>
                <c:pt idx="806">
                  <c:v>45442</c:v>
                </c:pt>
                <c:pt idx="807">
                  <c:v>45443</c:v>
                </c:pt>
                <c:pt idx="808">
                  <c:v>45446</c:v>
                </c:pt>
                <c:pt idx="809">
                  <c:v>45447</c:v>
                </c:pt>
                <c:pt idx="810">
                  <c:v>45448</c:v>
                </c:pt>
                <c:pt idx="811">
                  <c:v>45449</c:v>
                </c:pt>
                <c:pt idx="812">
                  <c:v>45450</c:v>
                </c:pt>
                <c:pt idx="813">
                  <c:v>45453</c:v>
                </c:pt>
                <c:pt idx="814">
                  <c:v>45454</c:v>
                </c:pt>
                <c:pt idx="815">
                  <c:v>45455</c:v>
                </c:pt>
                <c:pt idx="816">
                  <c:v>45456</c:v>
                </c:pt>
                <c:pt idx="817">
                  <c:v>45457</c:v>
                </c:pt>
                <c:pt idx="818">
                  <c:v>45460</c:v>
                </c:pt>
                <c:pt idx="819">
                  <c:v>45461</c:v>
                </c:pt>
                <c:pt idx="820">
                  <c:v>45462</c:v>
                </c:pt>
                <c:pt idx="821">
                  <c:v>45463</c:v>
                </c:pt>
                <c:pt idx="822">
                  <c:v>45464</c:v>
                </c:pt>
                <c:pt idx="823">
                  <c:v>45467</c:v>
                </c:pt>
                <c:pt idx="824">
                  <c:v>45468</c:v>
                </c:pt>
                <c:pt idx="825">
                  <c:v>45469</c:v>
                </c:pt>
                <c:pt idx="826">
                  <c:v>45470</c:v>
                </c:pt>
                <c:pt idx="827">
                  <c:v>45471</c:v>
                </c:pt>
                <c:pt idx="828">
                  <c:v>45474</c:v>
                </c:pt>
                <c:pt idx="829">
                  <c:v>45475</c:v>
                </c:pt>
                <c:pt idx="830">
                  <c:v>45476</c:v>
                </c:pt>
                <c:pt idx="831">
                  <c:v>45477</c:v>
                </c:pt>
                <c:pt idx="832">
                  <c:v>45478</c:v>
                </c:pt>
                <c:pt idx="833">
                  <c:v>45481</c:v>
                </c:pt>
                <c:pt idx="834">
                  <c:v>45482</c:v>
                </c:pt>
                <c:pt idx="835">
                  <c:v>45483</c:v>
                </c:pt>
                <c:pt idx="836">
                  <c:v>45484</c:v>
                </c:pt>
                <c:pt idx="837">
                  <c:v>45485</c:v>
                </c:pt>
                <c:pt idx="838">
                  <c:v>45488</c:v>
                </c:pt>
                <c:pt idx="839">
                  <c:v>45489</c:v>
                </c:pt>
                <c:pt idx="840">
                  <c:v>45490</c:v>
                </c:pt>
                <c:pt idx="841">
                  <c:v>45491</c:v>
                </c:pt>
                <c:pt idx="842">
                  <c:v>45492</c:v>
                </c:pt>
                <c:pt idx="843">
                  <c:v>45495</c:v>
                </c:pt>
                <c:pt idx="844">
                  <c:v>45496</c:v>
                </c:pt>
                <c:pt idx="845">
                  <c:v>45497</c:v>
                </c:pt>
                <c:pt idx="846">
                  <c:v>45498</c:v>
                </c:pt>
                <c:pt idx="847">
                  <c:v>45499</c:v>
                </c:pt>
                <c:pt idx="848">
                  <c:v>45502</c:v>
                </c:pt>
                <c:pt idx="849">
                  <c:v>45503</c:v>
                </c:pt>
                <c:pt idx="850">
                  <c:v>45504</c:v>
                </c:pt>
                <c:pt idx="851">
                  <c:v>45505</c:v>
                </c:pt>
                <c:pt idx="852">
                  <c:v>45506</c:v>
                </c:pt>
                <c:pt idx="853">
                  <c:v>45509</c:v>
                </c:pt>
                <c:pt idx="854">
                  <c:v>45510</c:v>
                </c:pt>
                <c:pt idx="855">
                  <c:v>45511</c:v>
                </c:pt>
                <c:pt idx="856">
                  <c:v>45512</c:v>
                </c:pt>
                <c:pt idx="857">
                  <c:v>45513</c:v>
                </c:pt>
                <c:pt idx="858">
                  <c:v>45516</c:v>
                </c:pt>
                <c:pt idx="859">
                  <c:v>45517</c:v>
                </c:pt>
                <c:pt idx="860">
                  <c:v>45518</c:v>
                </c:pt>
                <c:pt idx="861">
                  <c:v>45519</c:v>
                </c:pt>
                <c:pt idx="862">
                  <c:v>45520</c:v>
                </c:pt>
                <c:pt idx="863">
                  <c:v>45523</c:v>
                </c:pt>
                <c:pt idx="864">
                  <c:v>45524</c:v>
                </c:pt>
                <c:pt idx="865">
                  <c:v>45525</c:v>
                </c:pt>
                <c:pt idx="866">
                  <c:v>45526</c:v>
                </c:pt>
                <c:pt idx="867">
                  <c:v>45527</c:v>
                </c:pt>
                <c:pt idx="868">
                  <c:v>45530</c:v>
                </c:pt>
                <c:pt idx="869">
                  <c:v>45531</c:v>
                </c:pt>
                <c:pt idx="870">
                  <c:v>45532</c:v>
                </c:pt>
                <c:pt idx="871">
                  <c:v>45533</c:v>
                </c:pt>
                <c:pt idx="872">
                  <c:v>45534</c:v>
                </c:pt>
                <c:pt idx="873">
                  <c:v>45539</c:v>
                </c:pt>
                <c:pt idx="874">
                  <c:v>45540</c:v>
                </c:pt>
                <c:pt idx="875">
                  <c:v>45541</c:v>
                </c:pt>
                <c:pt idx="876">
                  <c:v>45544</c:v>
                </c:pt>
                <c:pt idx="877">
                  <c:v>45545</c:v>
                </c:pt>
                <c:pt idx="878">
                  <c:v>45546</c:v>
                </c:pt>
                <c:pt idx="879">
                  <c:v>45547</c:v>
                </c:pt>
                <c:pt idx="880">
                  <c:v>45548</c:v>
                </c:pt>
                <c:pt idx="881">
                  <c:v>45551</c:v>
                </c:pt>
                <c:pt idx="882">
                  <c:v>45552</c:v>
                </c:pt>
                <c:pt idx="883">
                  <c:v>45553</c:v>
                </c:pt>
                <c:pt idx="884">
                  <c:v>45554</c:v>
                </c:pt>
                <c:pt idx="885">
                  <c:v>45555</c:v>
                </c:pt>
                <c:pt idx="886">
                  <c:v>45558</c:v>
                </c:pt>
                <c:pt idx="887">
                  <c:v>45559</c:v>
                </c:pt>
                <c:pt idx="888">
                  <c:v>45560</c:v>
                </c:pt>
                <c:pt idx="889">
                  <c:v>45561</c:v>
                </c:pt>
                <c:pt idx="890">
                  <c:v>45562</c:v>
                </c:pt>
                <c:pt idx="891">
                  <c:v>45565</c:v>
                </c:pt>
                <c:pt idx="892">
                  <c:v>45566</c:v>
                </c:pt>
                <c:pt idx="893">
                  <c:v>45567</c:v>
                </c:pt>
                <c:pt idx="894">
                  <c:v>45568</c:v>
                </c:pt>
                <c:pt idx="895">
                  <c:v>45569</c:v>
                </c:pt>
                <c:pt idx="896">
                  <c:v>45572</c:v>
                </c:pt>
                <c:pt idx="897">
                  <c:v>45573</c:v>
                </c:pt>
                <c:pt idx="898">
                  <c:v>45574</c:v>
                </c:pt>
                <c:pt idx="899">
                  <c:v>45575</c:v>
                </c:pt>
                <c:pt idx="900">
                  <c:v>45576</c:v>
                </c:pt>
                <c:pt idx="901">
                  <c:v>45579</c:v>
                </c:pt>
                <c:pt idx="902">
                  <c:v>45580</c:v>
                </c:pt>
                <c:pt idx="903">
                  <c:v>45581</c:v>
                </c:pt>
                <c:pt idx="904">
                  <c:v>45582</c:v>
                </c:pt>
                <c:pt idx="905">
                  <c:v>45583</c:v>
                </c:pt>
                <c:pt idx="906">
                  <c:v>45586</c:v>
                </c:pt>
                <c:pt idx="907">
                  <c:v>45587</c:v>
                </c:pt>
                <c:pt idx="908">
                  <c:v>45588</c:v>
                </c:pt>
                <c:pt idx="909">
                  <c:v>45589</c:v>
                </c:pt>
                <c:pt idx="910">
                  <c:v>45590</c:v>
                </c:pt>
                <c:pt idx="911">
                  <c:v>45593</c:v>
                </c:pt>
                <c:pt idx="912">
                  <c:v>45594</c:v>
                </c:pt>
                <c:pt idx="913">
                  <c:v>45595</c:v>
                </c:pt>
                <c:pt idx="914">
                  <c:v>45596</c:v>
                </c:pt>
                <c:pt idx="915">
                  <c:v>45597</c:v>
                </c:pt>
                <c:pt idx="916">
                  <c:v>45600</c:v>
                </c:pt>
                <c:pt idx="917">
                  <c:v>45601</c:v>
                </c:pt>
                <c:pt idx="918">
                  <c:v>45602</c:v>
                </c:pt>
                <c:pt idx="919">
                  <c:v>45603</c:v>
                </c:pt>
                <c:pt idx="920">
                  <c:v>45604</c:v>
                </c:pt>
                <c:pt idx="921">
                  <c:v>45607</c:v>
                </c:pt>
                <c:pt idx="922">
                  <c:v>45608</c:v>
                </c:pt>
                <c:pt idx="923">
                  <c:v>45609</c:v>
                </c:pt>
                <c:pt idx="924">
                  <c:v>45610</c:v>
                </c:pt>
                <c:pt idx="925">
                  <c:v>45611</c:v>
                </c:pt>
                <c:pt idx="926">
                  <c:v>45614</c:v>
                </c:pt>
                <c:pt idx="927">
                  <c:v>45615</c:v>
                </c:pt>
                <c:pt idx="928">
                  <c:v>45616</c:v>
                </c:pt>
                <c:pt idx="929">
                  <c:v>45617</c:v>
                </c:pt>
                <c:pt idx="930">
                  <c:v>45618</c:v>
                </c:pt>
                <c:pt idx="931">
                  <c:v>45621</c:v>
                </c:pt>
                <c:pt idx="932">
                  <c:v>45622</c:v>
                </c:pt>
                <c:pt idx="933">
                  <c:v>45623</c:v>
                </c:pt>
                <c:pt idx="934">
                  <c:v>45624</c:v>
                </c:pt>
                <c:pt idx="935">
                  <c:v>45625</c:v>
                </c:pt>
                <c:pt idx="936">
                  <c:v>45628</c:v>
                </c:pt>
                <c:pt idx="937">
                  <c:v>45629</c:v>
                </c:pt>
                <c:pt idx="938">
                  <c:v>45630</c:v>
                </c:pt>
                <c:pt idx="939">
                  <c:v>45631</c:v>
                </c:pt>
                <c:pt idx="940">
                  <c:v>45632</c:v>
                </c:pt>
                <c:pt idx="941">
                  <c:v>45635</c:v>
                </c:pt>
                <c:pt idx="942">
                  <c:v>45636</c:v>
                </c:pt>
                <c:pt idx="943">
                  <c:v>45637</c:v>
                </c:pt>
                <c:pt idx="944">
                  <c:v>45638</c:v>
                </c:pt>
                <c:pt idx="945">
                  <c:v>45639</c:v>
                </c:pt>
                <c:pt idx="946">
                  <c:v>45642</c:v>
                </c:pt>
                <c:pt idx="947">
                  <c:v>45643</c:v>
                </c:pt>
                <c:pt idx="948">
                  <c:v>45644</c:v>
                </c:pt>
                <c:pt idx="949">
                  <c:v>45645</c:v>
                </c:pt>
                <c:pt idx="950">
                  <c:v>45646</c:v>
                </c:pt>
                <c:pt idx="951">
                  <c:v>45649</c:v>
                </c:pt>
                <c:pt idx="952">
                  <c:v>45650</c:v>
                </c:pt>
                <c:pt idx="953">
                  <c:v>45651</c:v>
                </c:pt>
                <c:pt idx="954">
                  <c:v>45652</c:v>
                </c:pt>
                <c:pt idx="955">
                  <c:v>45653</c:v>
                </c:pt>
                <c:pt idx="956">
                  <c:v>45656</c:v>
                </c:pt>
                <c:pt idx="957">
                  <c:v>45657</c:v>
                </c:pt>
                <c:pt idx="958">
                  <c:v>45659</c:v>
                </c:pt>
                <c:pt idx="959">
                  <c:v>45660</c:v>
                </c:pt>
                <c:pt idx="960">
                  <c:v>45663</c:v>
                </c:pt>
                <c:pt idx="961">
                  <c:v>45664</c:v>
                </c:pt>
                <c:pt idx="962">
                  <c:v>45665</c:v>
                </c:pt>
                <c:pt idx="963">
                  <c:v>45666</c:v>
                </c:pt>
                <c:pt idx="964">
                  <c:v>45667</c:v>
                </c:pt>
                <c:pt idx="965">
                  <c:v>45670</c:v>
                </c:pt>
                <c:pt idx="966">
                  <c:v>45671</c:v>
                </c:pt>
                <c:pt idx="967">
                  <c:v>45672</c:v>
                </c:pt>
                <c:pt idx="968">
                  <c:v>45673</c:v>
                </c:pt>
                <c:pt idx="969">
                  <c:v>45674</c:v>
                </c:pt>
                <c:pt idx="970">
                  <c:v>45677</c:v>
                </c:pt>
                <c:pt idx="971">
                  <c:v>45678</c:v>
                </c:pt>
                <c:pt idx="972">
                  <c:v>45679</c:v>
                </c:pt>
                <c:pt idx="973">
                  <c:v>45680</c:v>
                </c:pt>
                <c:pt idx="974">
                  <c:v>45681</c:v>
                </c:pt>
                <c:pt idx="975">
                  <c:v>45691</c:v>
                </c:pt>
                <c:pt idx="976">
                  <c:v>45692</c:v>
                </c:pt>
                <c:pt idx="977">
                  <c:v>45693</c:v>
                </c:pt>
                <c:pt idx="978">
                  <c:v>45694</c:v>
                </c:pt>
                <c:pt idx="979">
                  <c:v>45695</c:v>
                </c:pt>
                <c:pt idx="980">
                  <c:v>45698</c:v>
                </c:pt>
                <c:pt idx="981">
                  <c:v>45699</c:v>
                </c:pt>
                <c:pt idx="982">
                  <c:v>45700</c:v>
                </c:pt>
                <c:pt idx="983">
                  <c:v>45701</c:v>
                </c:pt>
                <c:pt idx="984">
                  <c:v>45702</c:v>
                </c:pt>
                <c:pt idx="985">
                  <c:v>45705</c:v>
                </c:pt>
                <c:pt idx="986">
                  <c:v>45706</c:v>
                </c:pt>
                <c:pt idx="987">
                  <c:v>45707</c:v>
                </c:pt>
                <c:pt idx="988">
                  <c:v>45708</c:v>
                </c:pt>
                <c:pt idx="989">
                  <c:v>45709</c:v>
                </c:pt>
                <c:pt idx="990">
                  <c:v>45712</c:v>
                </c:pt>
                <c:pt idx="991">
                  <c:v>45713</c:v>
                </c:pt>
                <c:pt idx="992">
                  <c:v>45714</c:v>
                </c:pt>
                <c:pt idx="993">
                  <c:v>45715</c:v>
                </c:pt>
                <c:pt idx="994">
                  <c:v>45716</c:v>
                </c:pt>
                <c:pt idx="995">
                  <c:v>45719</c:v>
                </c:pt>
                <c:pt idx="996">
                  <c:v>45720</c:v>
                </c:pt>
                <c:pt idx="997">
                  <c:v>45721</c:v>
                </c:pt>
                <c:pt idx="998">
                  <c:v>45722</c:v>
                </c:pt>
                <c:pt idx="999">
                  <c:v>45723</c:v>
                </c:pt>
                <c:pt idx="1000">
                  <c:v>45726</c:v>
                </c:pt>
                <c:pt idx="1001">
                  <c:v>45727</c:v>
                </c:pt>
                <c:pt idx="1002">
                  <c:v>45728</c:v>
                </c:pt>
                <c:pt idx="1003">
                  <c:v>45729</c:v>
                </c:pt>
                <c:pt idx="1004">
                  <c:v>45730</c:v>
                </c:pt>
                <c:pt idx="1005">
                  <c:v>45733</c:v>
                </c:pt>
                <c:pt idx="1006">
                  <c:v>45734</c:v>
                </c:pt>
                <c:pt idx="1007">
                  <c:v>45735</c:v>
                </c:pt>
                <c:pt idx="1008">
                  <c:v>45736</c:v>
                </c:pt>
                <c:pt idx="1009">
                  <c:v>45737</c:v>
                </c:pt>
                <c:pt idx="1010">
                  <c:v>45740</c:v>
                </c:pt>
                <c:pt idx="1011">
                  <c:v>45741</c:v>
                </c:pt>
                <c:pt idx="1012">
                  <c:v>45742</c:v>
                </c:pt>
                <c:pt idx="1013">
                  <c:v>45743</c:v>
                </c:pt>
                <c:pt idx="1014">
                  <c:v>45744</c:v>
                </c:pt>
                <c:pt idx="1015">
                  <c:v>45747</c:v>
                </c:pt>
                <c:pt idx="1016">
                  <c:v>45748</c:v>
                </c:pt>
                <c:pt idx="1017">
                  <c:v>45749</c:v>
                </c:pt>
                <c:pt idx="1018">
                  <c:v>45750</c:v>
                </c:pt>
                <c:pt idx="1019">
                  <c:v>45751</c:v>
                </c:pt>
                <c:pt idx="1020">
                  <c:v>45755</c:v>
                </c:pt>
                <c:pt idx="1021">
                  <c:v>45756</c:v>
                </c:pt>
                <c:pt idx="1022">
                  <c:v>45757</c:v>
                </c:pt>
                <c:pt idx="1023">
                  <c:v>45758</c:v>
                </c:pt>
                <c:pt idx="1024">
                  <c:v>45761</c:v>
                </c:pt>
                <c:pt idx="1025">
                  <c:v>45762</c:v>
                </c:pt>
                <c:pt idx="1026">
                  <c:v>45763</c:v>
                </c:pt>
                <c:pt idx="1027">
                  <c:v>45764</c:v>
                </c:pt>
                <c:pt idx="1028">
                  <c:v>45765</c:v>
                </c:pt>
                <c:pt idx="1029">
                  <c:v>45768</c:v>
                </c:pt>
                <c:pt idx="1030">
                  <c:v>45769</c:v>
                </c:pt>
                <c:pt idx="1031">
                  <c:v>45770</c:v>
                </c:pt>
                <c:pt idx="1032">
                  <c:v>45771</c:v>
                </c:pt>
                <c:pt idx="1033">
                  <c:v>45772</c:v>
                </c:pt>
                <c:pt idx="1034">
                  <c:v>45775</c:v>
                </c:pt>
                <c:pt idx="1035">
                  <c:v>45776</c:v>
                </c:pt>
                <c:pt idx="1036">
                  <c:v>45782</c:v>
                </c:pt>
                <c:pt idx="1037">
                  <c:v>45783</c:v>
                </c:pt>
                <c:pt idx="1038">
                  <c:v>45784</c:v>
                </c:pt>
                <c:pt idx="1039">
                  <c:v>45785</c:v>
                </c:pt>
                <c:pt idx="1040">
                  <c:v>45786</c:v>
                </c:pt>
                <c:pt idx="1041">
                  <c:v>45789</c:v>
                </c:pt>
                <c:pt idx="1042">
                  <c:v>45790</c:v>
                </c:pt>
                <c:pt idx="1043">
                  <c:v>45791</c:v>
                </c:pt>
                <c:pt idx="1044">
                  <c:v>45792</c:v>
                </c:pt>
                <c:pt idx="1045">
                  <c:v>45793</c:v>
                </c:pt>
                <c:pt idx="1046">
                  <c:v>45796</c:v>
                </c:pt>
                <c:pt idx="1047">
                  <c:v>45797</c:v>
                </c:pt>
                <c:pt idx="1048">
                  <c:v>45798</c:v>
                </c:pt>
                <c:pt idx="1049">
                  <c:v>45799</c:v>
                </c:pt>
                <c:pt idx="1050">
                  <c:v>45800</c:v>
                </c:pt>
                <c:pt idx="1051">
                  <c:v>45803</c:v>
                </c:pt>
                <c:pt idx="1052">
                  <c:v>45804</c:v>
                </c:pt>
                <c:pt idx="1053">
                  <c:v>45805</c:v>
                </c:pt>
                <c:pt idx="1054">
                  <c:v>45806</c:v>
                </c:pt>
                <c:pt idx="1055">
                  <c:v>45807</c:v>
                </c:pt>
                <c:pt idx="1056">
                  <c:v>45810</c:v>
                </c:pt>
                <c:pt idx="1057">
                  <c:v>45811</c:v>
                </c:pt>
                <c:pt idx="1058">
                  <c:v>45812</c:v>
                </c:pt>
                <c:pt idx="1059">
                  <c:v>45813</c:v>
                </c:pt>
                <c:pt idx="1060">
                  <c:v>45814</c:v>
                </c:pt>
                <c:pt idx="1061">
                  <c:v>45817</c:v>
                </c:pt>
                <c:pt idx="1062">
                  <c:v>45818</c:v>
                </c:pt>
                <c:pt idx="1063">
                  <c:v>45819</c:v>
                </c:pt>
                <c:pt idx="1064">
                  <c:v>45820</c:v>
                </c:pt>
                <c:pt idx="1065">
                  <c:v>45821</c:v>
                </c:pt>
                <c:pt idx="1066">
                  <c:v>45824</c:v>
                </c:pt>
                <c:pt idx="1067">
                  <c:v>45825</c:v>
                </c:pt>
                <c:pt idx="1068">
                  <c:v>45826</c:v>
                </c:pt>
                <c:pt idx="1069">
                  <c:v>45827</c:v>
                </c:pt>
                <c:pt idx="1070">
                  <c:v>45828</c:v>
                </c:pt>
                <c:pt idx="1071">
                  <c:v>45831</c:v>
                </c:pt>
                <c:pt idx="1072">
                  <c:v>45832</c:v>
                </c:pt>
                <c:pt idx="1073">
                  <c:v>45833</c:v>
                </c:pt>
                <c:pt idx="1074">
                  <c:v>45834</c:v>
                </c:pt>
                <c:pt idx="1075">
                  <c:v>45835</c:v>
                </c:pt>
                <c:pt idx="1076">
                  <c:v>45838</c:v>
                </c:pt>
                <c:pt idx="1077">
                  <c:v>45839</c:v>
                </c:pt>
                <c:pt idx="1078">
                  <c:v>45840</c:v>
                </c:pt>
                <c:pt idx="1079">
                  <c:v>45841</c:v>
                </c:pt>
                <c:pt idx="1080">
                  <c:v>45842</c:v>
                </c:pt>
                <c:pt idx="1081">
                  <c:v>45845</c:v>
                </c:pt>
                <c:pt idx="1082">
                  <c:v>45846</c:v>
                </c:pt>
                <c:pt idx="1083">
                  <c:v>45847</c:v>
                </c:pt>
                <c:pt idx="1084">
                  <c:v>45848</c:v>
                </c:pt>
                <c:pt idx="1085">
                  <c:v>45849</c:v>
                </c:pt>
                <c:pt idx="1086">
                  <c:v>45852</c:v>
                </c:pt>
                <c:pt idx="1087">
                  <c:v>45853</c:v>
                </c:pt>
                <c:pt idx="1088">
                  <c:v>45854</c:v>
                </c:pt>
                <c:pt idx="1089">
                  <c:v>45855</c:v>
                </c:pt>
                <c:pt idx="1090">
                  <c:v>45856</c:v>
                </c:pt>
                <c:pt idx="1091">
                  <c:v>45859</c:v>
                </c:pt>
                <c:pt idx="1092">
                  <c:v>45860</c:v>
                </c:pt>
                <c:pt idx="1093">
                  <c:v>45861</c:v>
                </c:pt>
                <c:pt idx="1094">
                  <c:v>45862</c:v>
                </c:pt>
                <c:pt idx="1095">
                  <c:v>45863</c:v>
                </c:pt>
                <c:pt idx="1096">
                  <c:v>45866</c:v>
                </c:pt>
                <c:pt idx="1097">
                  <c:v>45867</c:v>
                </c:pt>
                <c:pt idx="1098">
                  <c:v>45868</c:v>
                </c:pt>
                <c:pt idx="1099">
                  <c:v>45869</c:v>
                </c:pt>
                <c:pt idx="1100">
                  <c:v>45870</c:v>
                </c:pt>
                <c:pt idx="1101">
                  <c:v>45873</c:v>
                </c:pt>
                <c:pt idx="1102">
                  <c:v>45874</c:v>
                </c:pt>
                <c:pt idx="1103">
                  <c:v>45875</c:v>
                </c:pt>
                <c:pt idx="1104">
                  <c:v>45876</c:v>
                </c:pt>
                <c:pt idx="1105">
                  <c:v>45877</c:v>
                </c:pt>
                <c:pt idx="1106">
                  <c:v>45880</c:v>
                </c:pt>
                <c:pt idx="1107">
                  <c:v>45881</c:v>
                </c:pt>
                <c:pt idx="1108">
                  <c:v>45882</c:v>
                </c:pt>
                <c:pt idx="1109">
                  <c:v>45883</c:v>
                </c:pt>
                <c:pt idx="1110">
                  <c:v>45884</c:v>
                </c:pt>
                <c:pt idx="1111">
                  <c:v>45887</c:v>
                </c:pt>
                <c:pt idx="1112">
                  <c:v>45888</c:v>
                </c:pt>
                <c:pt idx="1113">
                  <c:v>45889</c:v>
                </c:pt>
                <c:pt idx="1114">
                  <c:v>45890</c:v>
                </c:pt>
                <c:pt idx="1115">
                  <c:v>45891</c:v>
                </c:pt>
                <c:pt idx="1116">
                  <c:v>45894</c:v>
                </c:pt>
                <c:pt idx="1117">
                  <c:v>45895</c:v>
                </c:pt>
                <c:pt idx="1118">
                  <c:v>45896</c:v>
                </c:pt>
                <c:pt idx="1119">
                  <c:v>45897</c:v>
                </c:pt>
                <c:pt idx="1120">
                  <c:v>45898</c:v>
                </c:pt>
                <c:pt idx="1121">
                  <c:v>45903</c:v>
                </c:pt>
                <c:pt idx="1122">
                  <c:v>45904</c:v>
                </c:pt>
                <c:pt idx="1123">
                  <c:v>45905</c:v>
                </c:pt>
                <c:pt idx="1124">
                  <c:v>45908</c:v>
                </c:pt>
                <c:pt idx="1125">
                  <c:v>45909</c:v>
                </c:pt>
                <c:pt idx="1126">
                  <c:v>45910</c:v>
                </c:pt>
                <c:pt idx="1127">
                  <c:v>45911</c:v>
                </c:pt>
                <c:pt idx="1128">
                  <c:v>45912</c:v>
                </c:pt>
                <c:pt idx="1129">
                  <c:v>45915</c:v>
                </c:pt>
                <c:pt idx="1130">
                  <c:v>45916</c:v>
                </c:pt>
                <c:pt idx="1131">
                  <c:v>45917</c:v>
                </c:pt>
                <c:pt idx="1132">
                  <c:v>45918</c:v>
                </c:pt>
                <c:pt idx="1133">
                  <c:v>45919</c:v>
                </c:pt>
                <c:pt idx="1134">
                  <c:v>45922</c:v>
                </c:pt>
                <c:pt idx="1135">
                  <c:v>45923</c:v>
                </c:pt>
                <c:pt idx="1136">
                  <c:v>45924</c:v>
                </c:pt>
                <c:pt idx="1137">
                  <c:v>45925</c:v>
                </c:pt>
                <c:pt idx="1138">
                  <c:v>45926</c:v>
                </c:pt>
                <c:pt idx="1139">
                  <c:v>45929</c:v>
                </c:pt>
                <c:pt idx="1140">
                  <c:v>45930</c:v>
                </c:pt>
                <c:pt idx="1141">
                  <c:v>45931</c:v>
                </c:pt>
                <c:pt idx="1142">
                  <c:v>45932</c:v>
                </c:pt>
                <c:pt idx="1143">
                  <c:v>45933</c:v>
                </c:pt>
                <c:pt idx="1144">
                  <c:v>45936</c:v>
                </c:pt>
                <c:pt idx="1145">
                  <c:v>45937</c:v>
                </c:pt>
                <c:pt idx="1146">
                  <c:v>45938</c:v>
                </c:pt>
                <c:pt idx="1147">
                  <c:v>45939</c:v>
                </c:pt>
                <c:pt idx="1148">
                  <c:v>45940</c:v>
                </c:pt>
                <c:pt idx="1149">
                  <c:v>45943</c:v>
                </c:pt>
                <c:pt idx="1150">
                  <c:v>45944</c:v>
                </c:pt>
                <c:pt idx="1151">
                  <c:v>45945</c:v>
                </c:pt>
                <c:pt idx="1152">
                  <c:v>45946</c:v>
                </c:pt>
                <c:pt idx="1153">
                  <c:v>45947</c:v>
                </c:pt>
                <c:pt idx="1154">
                  <c:v>45950</c:v>
                </c:pt>
                <c:pt idx="1155">
                  <c:v>45951</c:v>
                </c:pt>
                <c:pt idx="1156">
                  <c:v>45952</c:v>
                </c:pt>
                <c:pt idx="1157">
                  <c:v>45953</c:v>
                </c:pt>
                <c:pt idx="1158">
                  <c:v>45954</c:v>
                </c:pt>
                <c:pt idx="1159">
                  <c:v>45957</c:v>
                </c:pt>
                <c:pt idx="1160">
                  <c:v>45958</c:v>
                </c:pt>
                <c:pt idx="1161">
                  <c:v>45959</c:v>
                </c:pt>
                <c:pt idx="1162">
                  <c:v>45960</c:v>
                </c:pt>
                <c:pt idx="1163">
                  <c:v>45961</c:v>
                </c:pt>
                <c:pt idx="1164">
                  <c:v>45964</c:v>
                </c:pt>
                <c:pt idx="1165">
                  <c:v>45965</c:v>
                </c:pt>
                <c:pt idx="1166">
                  <c:v>45966</c:v>
                </c:pt>
                <c:pt idx="1167">
                  <c:v>45967</c:v>
                </c:pt>
                <c:pt idx="1168">
                  <c:v>45968</c:v>
                </c:pt>
                <c:pt idx="1169">
                  <c:v>45971</c:v>
                </c:pt>
                <c:pt idx="1170">
                  <c:v>45972</c:v>
                </c:pt>
                <c:pt idx="1171">
                  <c:v>45973</c:v>
                </c:pt>
                <c:pt idx="1172">
                  <c:v>45974</c:v>
                </c:pt>
                <c:pt idx="1173">
                  <c:v>45975</c:v>
                </c:pt>
                <c:pt idx="1174">
                  <c:v>45978</c:v>
                </c:pt>
                <c:pt idx="1175">
                  <c:v>45979</c:v>
                </c:pt>
                <c:pt idx="1176">
                  <c:v>45980</c:v>
                </c:pt>
                <c:pt idx="1177">
                  <c:v>45981</c:v>
                </c:pt>
                <c:pt idx="1178">
                  <c:v>45982</c:v>
                </c:pt>
                <c:pt idx="1179">
                  <c:v>45985</c:v>
                </c:pt>
                <c:pt idx="1180">
                  <c:v>45986</c:v>
                </c:pt>
                <c:pt idx="1181">
                  <c:v>45987</c:v>
                </c:pt>
                <c:pt idx="1182">
                  <c:v>45988</c:v>
                </c:pt>
                <c:pt idx="1183">
                  <c:v>45989</c:v>
                </c:pt>
                <c:pt idx="1184">
                  <c:v>45992</c:v>
                </c:pt>
                <c:pt idx="1185">
                  <c:v>45993</c:v>
                </c:pt>
                <c:pt idx="1186">
                  <c:v>45994</c:v>
                </c:pt>
                <c:pt idx="1187">
                  <c:v>45995</c:v>
                </c:pt>
                <c:pt idx="1188">
                  <c:v>45996</c:v>
                </c:pt>
                <c:pt idx="1189">
                  <c:v>45999</c:v>
                </c:pt>
                <c:pt idx="1190">
                  <c:v>46000</c:v>
                </c:pt>
                <c:pt idx="1191">
                  <c:v>46001</c:v>
                </c:pt>
                <c:pt idx="1192">
                  <c:v>46002</c:v>
                </c:pt>
                <c:pt idx="1193">
                  <c:v>46003</c:v>
                </c:pt>
                <c:pt idx="1194">
                  <c:v>46006</c:v>
                </c:pt>
                <c:pt idx="1195">
                  <c:v>46007</c:v>
                </c:pt>
                <c:pt idx="1196">
                  <c:v>46008</c:v>
                </c:pt>
                <c:pt idx="1197">
                  <c:v>46009</c:v>
                </c:pt>
                <c:pt idx="1198">
                  <c:v>46010</c:v>
                </c:pt>
                <c:pt idx="1199">
                  <c:v>46013</c:v>
                </c:pt>
                <c:pt idx="1200">
                  <c:v>46014</c:v>
                </c:pt>
                <c:pt idx="1201">
                  <c:v>46015</c:v>
                </c:pt>
                <c:pt idx="1202">
                  <c:v>46016</c:v>
                </c:pt>
                <c:pt idx="1203">
                  <c:v>46017</c:v>
                </c:pt>
                <c:pt idx="1204">
                  <c:v>46020</c:v>
                </c:pt>
                <c:pt idx="1205">
                  <c:v>46021</c:v>
                </c:pt>
                <c:pt idx="1206">
                  <c:v>46022</c:v>
                </c:pt>
                <c:pt idx="1207">
                  <c:v>46027</c:v>
                </c:pt>
                <c:pt idx="1208">
                  <c:v>46028</c:v>
                </c:pt>
                <c:pt idx="1209">
                  <c:v>46029</c:v>
                </c:pt>
                <c:pt idx="1210">
                  <c:v>46030</c:v>
                </c:pt>
                <c:pt idx="1211">
                  <c:v>46031</c:v>
                </c:pt>
                <c:pt idx="1212">
                  <c:v>46034</c:v>
                </c:pt>
                <c:pt idx="1213">
                  <c:v>46035</c:v>
                </c:pt>
                <c:pt idx="1214">
                  <c:v>46036</c:v>
                </c:pt>
                <c:pt idx="1215">
                  <c:v>46037</c:v>
                </c:pt>
                <c:pt idx="1216">
                  <c:v>46038</c:v>
                </c:pt>
                <c:pt idx="1217">
                  <c:v>46041</c:v>
                </c:pt>
                <c:pt idx="1218">
                  <c:v>46042</c:v>
                </c:pt>
                <c:pt idx="1219">
                  <c:v>46043</c:v>
                </c:pt>
                <c:pt idx="1220">
                  <c:v>46044</c:v>
                </c:pt>
                <c:pt idx="1221">
                  <c:v>46045</c:v>
                </c:pt>
                <c:pt idx="1222">
                  <c:v>46048</c:v>
                </c:pt>
                <c:pt idx="1223">
                  <c:v>46049</c:v>
                </c:pt>
                <c:pt idx="1224">
                  <c:v>46050</c:v>
                </c:pt>
                <c:pt idx="1225">
                  <c:v>46051</c:v>
                </c:pt>
                <c:pt idx="1226">
                  <c:v>46052</c:v>
                </c:pt>
                <c:pt idx="1227">
                  <c:v>46055</c:v>
                </c:pt>
                <c:pt idx="1228">
                  <c:v>46056</c:v>
                </c:pt>
                <c:pt idx="1229">
                  <c:v>46057</c:v>
                </c:pt>
                <c:pt idx="1230">
                  <c:v>46058</c:v>
                </c:pt>
                <c:pt idx="1231">
                  <c:v>46059</c:v>
                </c:pt>
                <c:pt idx="1232">
                  <c:v>46062</c:v>
                </c:pt>
                <c:pt idx="1233">
                  <c:v>46063</c:v>
                </c:pt>
                <c:pt idx="1234">
                  <c:v>46064</c:v>
                </c:pt>
                <c:pt idx="1235">
                  <c:v>46065</c:v>
                </c:pt>
                <c:pt idx="1236">
                  <c:v>46066</c:v>
                </c:pt>
                <c:pt idx="1237">
                  <c:v>46076</c:v>
                </c:pt>
                <c:pt idx="1238">
                  <c:v>46077</c:v>
                </c:pt>
                <c:pt idx="1239">
                  <c:v>46078</c:v>
                </c:pt>
                <c:pt idx="1240">
                  <c:v>46079</c:v>
                </c:pt>
                <c:pt idx="1241">
                  <c:v>46080</c:v>
                </c:pt>
                <c:pt idx="1242">
                  <c:v>46083</c:v>
                </c:pt>
                <c:pt idx="1243">
                  <c:v>46084</c:v>
                </c:pt>
                <c:pt idx="1244">
                  <c:v>46085</c:v>
                </c:pt>
                <c:pt idx="1245">
                  <c:v>46086</c:v>
                </c:pt>
                <c:pt idx="1246">
                  <c:v>46087</c:v>
                </c:pt>
              </c:numCache>
            </c:numRef>
          </c:cat>
          <c:val>
            <c:numRef>
              <c:f>'FX Data'!$C$957:$C$2203</c:f>
              <c:numCache>
                <c:formatCode>General</c:formatCode>
                <c:ptCount val="1247"/>
                <c:pt idx="0">
                  <c:v>16.771000000000001</c:v>
                </c:pt>
                <c:pt idx="1">
                  <c:v>16.594000000000001</c:v>
                </c:pt>
                <c:pt idx="2">
                  <c:v>16.881699999999999</c:v>
                </c:pt>
                <c:pt idx="3">
                  <c:v>16.970199999999998</c:v>
                </c:pt>
                <c:pt idx="4">
                  <c:v>16.925899999999999</c:v>
                </c:pt>
                <c:pt idx="5">
                  <c:v>16.925899999999999</c:v>
                </c:pt>
                <c:pt idx="6">
                  <c:v>17.921600000000002</c:v>
                </c:pt>
                <c:pt idx="7">
                  <c:v>17.877300000000002</c:v>
                </c:pt>
                <c:pt idx="8">
                  <c:v>17.921600000000002</c:v>
                </c:pt>
                <c:pt idx="9">
                  <c:v>17.655999999999999</c:v>
                </c:pt>
                <c:pt idx="10">
                  <c:v>17.412700000000001</c:v>
                </c:pt>
                <c:pt idx="11">
                  <c:v>17.434799999999999</c:v>
                </c:pt>
                <c:pt idx="12">
                  <c:v>17.0365</c:v>
                </c:pt>
                <c:pt idx="13">
                  <c:v>16.948</c:v>
                </c:pt>
                <c:pt idx="14">
                  <c:v>16.837399999999999</c:v>
                </c:pt>
                <c:pt idx="15">
                  <c:v>17.1693</c:v>
                </c:pt>
                <c:pt idx="16">
                  <c:v>17.058700000000002</c:v>
                </c:pt>
                <c:pt idx="17">
                  <c:v>16.4678</c:v>
                </c:pt>
                <c:pt idx="18">
                  <c:v>16.8917</c:v>
                </c:pt>
                <c:pt idx="19">
                  <c:v>16.912800000000001</c:v>
                </c:pt>
                <c:pt idx="20">
                  <c:v>16.8705</c:v>
                </c:pt>
                <c:pt idx="21">
                  <c:v>16.828099999999999</c:v>
                </c:pt>
                <c:pt idx="22">
                  <c:v>16.8705</c:v>
                </c:pt>
                <c:pt idx="23">
                  <c:v>16.8705</c:v>
                </c:pt>
                <c:pt idx="24">
                  <c:v>17.400300000000001</c:v>
                </c:pt>
                <c:pt idx="25">
                  <c:v>17.400300000000001</c:v>
                </c:pt>
                <c:pt idx="26">
                  <c:v>17.1036</c:v>
                </c:pt>
                <c:pt idx="27">
                  <c:v>17.167200000000001</c:v>
                </c:pt>
                <c:pt idx="28">
                  <c:v>16.955200000000001</c:v>
                </c:pt>
                <c:pt idx="29">
                  <c:v>16.8917</c:v>
                </c:pt>
                <c:pt idx="30">
                  <c:v>17.273099999999999</c:v>
                </c:pt>
                <c:pt idx="31">
                  <c:v>17.569900000000001</c:v>
                </c:pt>
                <c:pt idx="32">
                  <c:v>16.955200000000001</c:v>
                </c:pt>
                <c:pt idx="33">
                  <c:v>17.591100000000001</c:v>
                </c:pt>
                <c:pt idx="34">
                  <c:v>17.167200000000001</c:v>
                </c:pt>
                <c:pt idx="35">
                  <c:v>17.1036</c:v>
                </c:pt>
                <c:pt idx="36">
                  <c:v>17.1248</c:v>
                </c:pt>
                <c:pt idx="37">
                  <c:v>17.146000000000001</c:v>
                </c:pt>
                <c:pt idx="38">
                  <c:v>17.569900000000001</c:v>
                </c:pt>
                <c:pt idx="39">
                  <c:v>17.569900000000001</c:v>
                </c:pt>
                <c:pt idx="40">
                  <c:v>17.5275</c:v>
                </c:pt>
                <c:pt idx="41">
                  <c:v>17.591100000000001</c:v>
                </c:pt>
                <c:pt idx="42">
                  <c:v>18.1845</c:v>
                </c:pt>
                <c:pt idx="43">
                  <c:v>18.057300000000001</c:v>
                </c:pt>
                <c:pt idx="44">
                  <c:v>18.099699999999999</c:v>
                </c:pt>
                <c:pt idx="45">
                  <c:v>17.803000000000001</c:v>
                </c:pt>
                <c:pt idx="46">
                  <c:v>17.9726</c:v>
                </c:pt>
                <c:pt idx="47">
                  <c:v>18.1633</c:v>
                </c:pt>
                <c:pt idx="48">
                  <c:v>18.438800000000001</c:v>
                </c:pt>
                <c:pt idx="49">
                  <c:v>19.244199999999999</c:v>
                </c:pt>
                <c:pt idx="50">
                  <c:v>20.240300000000001</c:v>
                </c:pt>
                <c:pt idx="51">
                  <c:v>19.88</c:v>
                </c:pt>
                <c:pt idx="52">
                  <c:v>19.816400000000002</c:v>
                </c:pt>
                <c:pt idx="53">
                  <c:v>19.88</c:v>
                </c:pt>
                <c:pt idx="54">
                  <c:v>20.197900000000001</c:v>
                </c:pt>
                <c:pt idx="55">
                  <c:v>19.88</c:v>
                </c:pt>
                <c:pt idx="56">
                  <c:v>20.091999999999999</c:v>
                </c:pt>
                <c:pt idx="57">
                  <c:v>20.748999999999999</c:v>
                </c:pt>
                <c:pt idx="58">
                  <c:v>21.228999999999999</c:v>
                </c:pt>
                <c:pt idx="59">
                  <c:v>20.838999999999999</c:v>
                </c:pt>
                <c:pt idx="60">
                  <c:v>20.765899999999998</c:v>
                </c:pt>
                <c:pt idx="61">
                  <c:v>20.644100000000002</c:v>
                </c:pt>
                <c:pt idx="62">
                  <c:v>20.156600000000001</c:v>
                </c:pt>
                <c:pt idx="63">
                  <c:v>19.6935</c:v>
                </c:pt>
                <c:pt idx="64">
                  <c:v>19.9129</c:v>
                </c:pt>
                <c:pt idx="65">
                  <c:v>19.961600000000001</c:v>
                </c:pt>
                <c:pt idx="66">
                  <c:v>20.351600000000001</c:v>
                </c:pt>
                <c:pt idx="67">
                  <c:v>20.424700000000001</c:v>
                </c:pt>
                <c:pt idx="68">
                  <c:v>20.278500000000001</c:v>
                </c:pt>
                <c:pt idx="69">
                  <c:v>20.254100000000001</c:v>
                </c:pt>
                <c:pt idx="70">
                  <c:v>20.132200000000001</c:v>
                </c:pt>
                <c:pt idx="71">
                  <c:v>20.424700000000001</c:v>
                </c:pt>
                <c:pt idx="72">
                  <c:v>20.863399999999999</c:v>
                </c:pt>
                <c:pt idx="73">
                  <c:v>20.814699999999998</c:v>
                </c:pt>
                <c:pt idx="74">
                  <c:v>20.692799999999998</c:v>
                </c:pt>
                <c:pt idx="75">
                  <c:v>20.644100000000002</c:v>
                </c:pt>
                <c:pt idx="76">
                  <c:v>20.765899999999998</c:v>
                </c:pt>
                <c:pt idx="77">
                  <c:v>20.887799999999999</c:v>
                </c:pt>
                <c:pt idx="78">
                  <c:v>21.5946</c:v>
                </c:pt>
                <c:pt idx="79">
                  <c:v>20.7865</c:v>
                </c:pt>
                <c:pt idx="80">
                  <c:v>20.999099999999999</c:v>
                </c:pt>
                <c:pt idx="81">
                  <c:v>21.707799999999999</c:v>
                </c:pt>
                <c:pt idx="82">
                  <c:v>21.896699999999999</c:v>
                </c:pt>
                <c:pt idx="83">
                  <c:v>20.5503</c:v>
                </c:pt>
                <c:pt idx="84">
                  <c:v>21.377099999999999</c:v>
                </c:pt>
                <c:pt idx="85">
                  <c:v>21.2117</c:v>
                </c:pt>
                <c:pt idx="86">
                  <c:v>21.188099999999999</c:v>
                </c:pt>
                <c:pt idx="87">
                  <c:v>20.337700000000002</c:v>
                </c:pt>
                <c:pt idx="88">
                  <c:v>20.5503</c:v>
                </c:pt>
                <c:pt idx="89">
                  <c:v>20.1251</c:v>
                </c:pt>
                <c:pt idx="90">
                  <c:v>20.1724</c:v>
                </c:pt>
                <c:pt idx="91">
                  <c:v>20.5031</c:v>
                </c:pt>
                <c:pt idx="92">
                  <c:v>20.007000000000001</c:v>
                </c:pt>
                <c:pt idx="93">
                  <c:v>20.5031</c:v>
                </c:pt>
                <c:pt idx="94">
                  <c:v>20.4558</c:v>
                </c:pt>
                <c:pt idx="95">
                  <c:v>21.1172</c:v>
                </c:pt>
                <c:pt idx="96">
                  <c:v>21.377099999999999</c:v>
                </c:pt>
                <c:pt idx="97">
                  <c:v>22.132899999999999</c:v>
                </c:pt>
                <c:pt idx="98">
                  <c:v>22.014800000000001</c:v>
                </c:pt>
                <c:pt idx="99">
                  <c:v>21.731400000000001</c:v>
                </c:pt>
                <c:pt idx="100">
                  <c:v>22.062100000000001</c:v>
                </c:pt>
                <c:pt idx="101">
                  <c:v>22.203800000000001</c:v>
                </c:pt>
                <c:pt idx="102">
                  <c:v>22.581700000000001</c:v>
                </c:pt>
                <c:pt idx="103">
                  <c:v>22.629000000000001</c:v>
                </c:pt>
                <c:pt idx="104">
                  <c:v>22.581700000000001</c:v>
                </c:pt>
                <c:pt idx="105">
                  <c:v>22.817900000000002</c:v>
                </c:pt>
                <c:pt idx="106">
                  <c:v>22.817900000000002</c:v>
                </c:pt>
                <c:pt idx="107">
                  <c:v>23.0305</c:v>
                </c:pt>
                <c:pt idx="108">
                  <c:v>23.101400000000002</c:v>
                </c:pt>
                <c:pt idx="109">
                  <c:v>22.6998</c:v>
                </c:pt>
                <c:pt idx="110">
                  <c:v>22.156600000000001</c:v>
                </c:pt>
                <c:pt idx="111">
                  <c:v>22.44</c:v>
                </c:pt>
                <c:pt idx="112">
                  <c:v>22.345500000000001</c:v>
                </c:pt>
                <c:pt idx="113">
                  <c:v>22.156600000000001</c:v>
                </c:pt>
                <c:pt idx="114">
                  <c:v>22.203800000000001</c:v>
                </c:pt>
                <c:pt idx="115">
                  <c:v>22.321899999999999</c:v>
                </c:pt>
                <c:pt idx="116">
                  <c:v>21.920300000000001</c:v>
                </c:pt>
                <c:pt idx="117">
                  <c:v>21.495200000000001</c:v>
                </c:pt>
                <c:pt idx="118">
                  <c:v>21.707799999999999</c:v>
                </c:pt>
                <c:pt idx="119">
                  <c:v>21.707799999999999</c:v>
                </c:pt>
                <c:pt idx="120">
                  <c:v>21.589600000000001</c:v>
                </c:pt>
                <c:pt idx="121">
                  <c:v>21.731400000000001</c:v>
                </c:pt>
                <c:pt idx="122">
                  <c:v>21.778600000000001</c:v>
                </c:pt>
                <c:pt idx="123">
                  <c:v>21.825900000000001</c:v>
                </c:pt>
                <c:pt idx="124">
                  <c:v>21.825900000000001</c:v>
                </c:pt>
                <c:pt idx="125">
                  <c:v>22.416399999999999</c:v>
                </c:pt>
                <c:pt idx="126">
                  <c:v>22.085699999999999</c:v>
                </c:pt>
                <c:pt idx="127">
                  <c:v>21.991199999999999</c:v>
                </c:pt>
                <c:pt idx="128">
                  <c:v>22.014800000000001</c:v>
                </c:pt>
                <c:pt idx="129">
                  <c:v>22.085699999999999</c:v>
                </c:pt>
                <c:pt idx="130">
                  <c:v>21.967600000000001</c:v>
                </c:pt>
                <c:pt idx="131">
                  <c:v>22.156600000000001</c:v>
                </c:pt>
                <c:pt idx="132">
                  <c:v>22.227399999999999</c:v>
                </c:pt>
                <c:pt idx="133">
                  <c:v>22.3691</c:v>
                </c:pt>
                <c:pt idx="134">
                  <c:v>22.605399999999999</c:v>
                </c:pt>
                <c:pt idx="135">
                  <c:v>22.298300000000001</c:v>
                </c:pt>
                <c:pt idx="136">
                  <c:v>22.085699999999999</c:v>
                </c:pt>
                <c:pt idx="137">
                  <c:v>22.014800000000001</c:v>
                </c:pt>
                <c:pt idx="138">
                  <c:v>21.991199999999999</c:v>
                </c:pt>
                <c:pt idx="139">
                  <c:v>21.896699999999999</c:v>
                </c:pt>
                <c:pt idx="140">
                  <c:v>21.754999999999999</c:v>
                </c:pt>
                <c:pt idx="141">
                  <c:v>21.967600000000001</c:v>
                </c:pt>
                <c:pt idx="142">
                  <c:v>22.014800000000001</c:v>
                </c:pt>
                <c:pt idx="143">
                  <c:v>20.930199999999999</c:v>
                </c:pt>
                <c:pt idx="144">
                  <c:v>20.907699999999998</c:v>
                </c:pt>
                <c:pt idx="145">
                  <c:v>21.290299999999998</c:v>
                </c:pt>
                <c:pt idx="146">
                  <c:v>21.2453</c:v>
                </c:pt>
                <c:pt idx="147">
                  <c:v>21.2453</c:v>
                </c:pt>
                <c:pt idx="148">
                  <c:v>21.222799999999999</c:v>
                </c:pt>
                <c:pt idx="149">
                  <c:v>22.257999999999999</c:v>
                </c:pt>
                <c:pt idx="150">
                  <c:v>22.325600000000001</c:v>
                </c:pt>
                <c:pt idx="151">
                  <c:v>22.2806</c:v>
                </c:pt>
                <c:pt idx="152">
                  <c:v>22.3706</c:v>
                </c:pt>
                <c:pt idx="153">
                  <c:v>22.235499999999998</c:v>
                </c:pt>
                <c:pt idx="154">
                  <c:v>22.257999999999999</c:v>
                </c:pt>
                <c:pt idx="155">
                  <c:v>22.2806</c:v>
                </c:pt>
                <c:pt idx="156">
                  <c:v>22.1905</c:v>
                </c:pt>
                <c:pt idx="157">
                  <c:v>21.965499999999999</c:v>
                </c:pt>
                <c:pt idx="158">
                  <c:v>21.762899999999998</c:v>
                </c:pt>
                <c:pt idx="159">
                  <c:v>21.650400000000001</c:v>
                </c:pt>
                <c:pt idx="160">
                  <c:v>21.357800000000001</c:v>
                </c:pt>
                <c:pt idx="161">
                  <c:v>21.8079</c:v>
                </c:pt>
                <c:pt idx="162">
                  <c:v>22.1005</c:v>
                </c:pt>
                <c:pt idx="163">
                  <c:v>22.055499999999999</c:v>
                </c:pt>
                <c:pt idx="164">
                  <c:v>21.8079</c:v>
                </c:pt>
                <c:pt idx="165">
                  <c:v>21.560400000000001</c:v>
                </c:pt>
                <c:pt idx="166">
                  <c:v>21.6279</c:v>
                </c:pt>
                <c:pt idx="167">
                  <c:v>21.6279</c:v>
                </c:pt>
                <c:pt idx="168">
                  <c:v>21.605399999999999</c:v>
                </c:pt>
                <c:pt idx="169">
                  <c:v>21.965499999999999</c:v>
                </c:pt>
                <c:pt idx="170">
                  <c:v>21.920500000000001</c:v>
                </c:pt>
                <c:pt idx="171">
                  <c:v>21.695399999999999</c:v>
                </c:pt>
                <c:pt idx="172">
                  <c:v>21.830400000000001</c:v>
                </c:pt>
                <c:pt idx="173">
                  <c:v>21.605399999999999</c:v>
                </c:pt>
                <c:pt idx="174">
                  <c:v>22.055499999999999</c:v>
                </c:pt>
                <c:pt idx="175">
                  <c:v>21.898</c:v>
                </c:pt>
                <c:pt idx="176">
                  <c:v>22.123000000000001</c:v>
                </c:pt>
                <c:pt idx="177">
                  <c:v>22.123000000000001</c:v>
                </c:pt>
                <c:pt idx="178">
                  <c:v>21.7179</c:v>
                </c:pt>
                <c:pt idx="179">
                  <c:v>21.447800000000001</c:v>
                </c:pt>
                <c:pt idx="180">
                  <c:v>21.380299999999998</c:v>
                </c:pt>
                <c:pt idx="181">
                  <c:v>21.740400000000001</c:v>
                </c:pt>
                <c:pt idx="182">
                  <c:v>22.033000000000001</c:v>
                </c:pt>
                <c:pt idx="183">
                  <c:v>22.505600000000001</c:v>
                </c:pt>
                <c:pt idx="184">
                  <c:v>22.257999999999999</c:v>
                </c:pt>
                <c:pt idx="185">
                  <c:v>22.077999999999999</c:v>
                </c:pt>
                <c:pt idx="186">
                  <c:v>21.852900000000002</c:v>
                </c:pt>
                <c:pt idx="187">
                  <c:v>22.1005</c:v>
                </c:pt>
                <c:pt idx="188">
                  <c:v>21.875499999999999</c:v>
                </c:pt>
                <c:pt idx="189">
                  <c:v>21.492899999999999</c:v>
                </c:pt>
                <c:pt idx="190">
                  <c:v>21.267800000000001</c:v>
                </c:pt>
                <c:pt idx="191">
                  <c:v>21.605399999999999</c:v>
                </c:pt>
                <c:pt idx="192">
                  <c:v>21.5154</c:v>
                </c:pt>
                <c:pt idx="193">
                  <c:v>21.830400000000001</c:v>
                </c:pt>
                <c:pt idx="194">
                  <c:v>21.560400000000001</c:v>
                </c:pt>
                <c:pt idx="195">
                  <c:v>21.605399999999999</c:v>
                </c:pt>
                <c:pt idx="196">
                  <c:v>21.5379</c:v>
                </c:pt>
                <c:pt idx="197">
                  <c:v>21.582899999999999</c:v>
                </c:pt>
                <c:pt idx="198">
                  <c:v>21.492899999999999</c:v>
                </c:pt>
                <c:pt idx="199">
                  <c:v>21.695399999999999</c:v>
                </c:pt>
                <c:pt idx="200">
                  <c:v>21.560400000000001</c:v>
                </c:pt>
                <c:pt idx="201">
                  <c:v>21.4253</c:v>
                </c:pt>
                <c:pt idx="202">
                  <c:v>21.380299999999998</c:v>
                </c:pt>
                <c:pt idx="203">
                  <c:v>20.975200000000001</c:v>
                </c:pt>
                <c:pt idx="204">
                  <c:v>21.110299999999999</c:v>
                </c:pt>
                <c:pt idx="205">
                  <c:v>21.267800000000001</c:v>
                </c:pt>
                <c:pt idx="206">
                  <c:v>21.267800000000001</c:v>
                </c:pt>
                <c:pt idx="207">
                  <c:v>21.065300000000001</c:v>
                </c:pt>
                <c:pt idx="208">
                  <c:v>21.065300000000001</c:v>
                </c:pt>
                <c:pt idx="209">
                  <c:v>19.406600000000001</c:v>
                </c:pt>
                <c:pt idx="210">
                  <c:v>19.510899999999999</c:v>
                </c:pt>
                <c:pt idx="211">
                  <c:v>19.5318</c:v>
                </c:pt>
                <c:pt idx="212">
                  <c:v>19.510899999999999</c:v>
                </c:pt>
                <c:pt idx="213">
                  <c:v>19.489999999999998</c:v>
                </c:pt>
                <c:pt idx="214">
                  <c:v>19.197900000000001</c:v>
                </c:pt>
                <c:pt idx="215">
                  <c:v>18.676200000000001</c:v>
                </c:pt>
                <c:pt idx="216">
                  <c:v>18.697099999999999</c:v>
                </c:pt>
                <c:pt idx="217">
                  <c:v>19.218800000000002</c:v>
                </c:pt>
                <c:pt idx="218">
                  <c:v>19.0518</c:v>
                </c:pt>
                <c:pt idx="219">
                  <c:v>18.571899999999999</c:v>
                </c:pt>
                <c:pt idx="220">
                  <c:v>18.3841</c:v>
                </c:pt>
                <c:pt idx="221">
                  <c:v>18.425799999999999</c:v>
                </c:pt>
                <c:pt idx="222">
                  <c:v>18.530100000000001</c:v>
                </c:pt>
                <c:pt idx="223">
                  <c:v>18.404900000000001</c:v>
                </c:pt>
                <c:pt idx="224">
                  <c:v>17.799800000000001</c:v>
                </c:pt>
                <c:pt idx="225">
                  <c:v>18.0502</c:v>
                </c:pt>
                <c:pt idx="226">
                  <c:v>17.945900000000002</c:v>
                </c:pt>
                <c:pt idx="227">
                  <c:v>17.925000000000001</c:v>
                </c:pt>
                <c:pt idx="228">
                  <c:v>18.676200000000001</c:v>
                </c:pt>
                <c:pt idx="229">
                  <c:v>18.676200000000001</c:v>
                </c:pt>
                <c:pt idx="230">
                  <c:v>18.905799999999999</c:v>
                </c:pt>
                <c:pt idx="231">
                  <c:v>18.926600000000001</c:v>
                </c:pt>
                <c:pt idx="232">
                  <c:v>19.197900000000001</c:v>
                </c:pt>
                <c:pt idx="233">
                  <c:v>19.1144</c:v>
                </c:pt>
                <c:pt idx="234">
                  <c:v>18.9892</c:v>
                </c:pt>
                <c:pt idx="235">
                  <c:v>19.010100000000001</c:v>
                </c:pt>
                <c:pt idx="236">
                  <c:v>19.0518</c:v>
                </c:pt>
                <c:pt idx="237">
                  <c:v>19.364799999999999</c:v>
                </c:pt>
                <c:pt idx="238">
                  <c:v>19.239599999999999</c:v>
                </c:pt>
                <c:pt idx="239">
                  <c:v>19.510899999999999</c:v>
                </c:pt>
                <c:pt idx="240">
                  <c:v>19.3857</c:v>
                </c:pt>
                <c:pt idx="241">
                  <c:v>19.406600000000001</c:v>
                </c:pt>
                <c:pt idx="242">
                  <c:v>19.197900000000001</c:v>
                </c:pt>
                <c:pt idx="243">
                  <c:v>19.2605</c:v>
                </c:pt>
                <c:pt idx="244">
                  <c:v>19.469200000000001</c:v>
                </c:pt>
                <c:pt idx="245">
                  <c:v>19.489999999999998</c:v>
                </c:pt>
                <c:pt idx="246">
                  <c:v>19.427399999999999</c:v>
                </c:pt>
                <c:pt idx="247">
                  <c:v>19.489999999999998</c:v>
                </c:pt>
                <c:pt idx="248">
                  <c:v>19.510899999999999</c:v>
                </c:pt>
                <c:pt idx="249">
                  <c:v>19.573499999999999</c:v>
                </c:pt>
                <c:pt idx="250">
                  <c:v>19.7822</c:v>
                </c:pt>
                <c:pt idx="251">
                  <c:v>19.9283</c:v>
                </c:pt>
                <c:pt idx="252">
                  <c:v>19.740400000000001</c:v>
                </c:pt>
                <c:pt idx="253">
                  <c:v>19.4483</c:v>
                </c:pt>
                <c:pt idx="254">
                  <c:v>19.156199999999998</c:v>
                </c:pt>
                <c:pt idx="255">
                  <c:v>18.9892</c:v>
                </c:pt>
                <c:pt idx="256">
                  <c:v>19.1144</c:v>
                </c:pt>
                <c:pt idx="257">
                  <c:v>19.197900000000001</c:v>
                </c:pt>
                <c:pt idx="258">
                  <c:v>19.844799999999999</c:v>
                </c:pt>
                <c:pt idx="259">
                  <c:v>19.886500000000002</c:v>
                </c:pt>
                <c:pt idx="260">
                  <c:v>20.116099999999999</c:v>
                </c:pt>
                <c:pt idx="261">
                  <c:v>20.136900000000001</c:v>
                </c:pt>
                <c:pt idx="262">
                  <c:v>20.032599999999999</c:v>
                </c:pt>
                <c:pt idx="263">
                  <c:v>19.97</c:v>
                </c:pt>
                <c:pt idx="264">
                  <c:v>20.470800000000001</c:v>
                </c:pt>
                <c:pt idx="265">
                  <c:v>21.889800000000001</c:v>
                </c:pt>
                <c:pt idx="266">
                  <c:v>22.119299999999999</c:v>
                </c:pt>
                <c:pt idx="267">
                  <c:v>20.768699999999999</c:v>
                </c:pt>
                <c:pt idx="268">
                  <c:v>21.545100000000001</c:v>
                </c:pt>
                <c:pt idx="269">
                  <c:v>21.215199999999999</c:v>
                </c:pt>
                <c:pt idx="270">
                  <c:v>21.1569</c:v>
                </c:pt>
                <c:pt idx="271">
                  <c:v>21.933299999999999</c:v>
                </c:pt>
                <c:pt idx="272">
                  <c:v>21.991599999999998</c:v>
                </c:pt>
                <c:pt idx="273">
                  <c:v>21.059899999999999</c:v>
                </c:pt>
                <c:pt idx="274">
                  <c:v>21.312200000000001</c:v>
                </c:pt>
                <c:pt idx="275">
                  <c:v>22.341000000000001</c:v>
                </c:pt>
                <c:pt idx="276">
                  <c:v>22.632100000000001</c:v>
                </c:pt>
                <c:pt idx="277">
                  <c:v>22.3215</c:v>
                </c:pt>
                <c:pt idx="278">
                  <c:v>22.418600000000001</c:v>
                </c:pt>
                <c:pt idx="279">
                  <c:v>21.7392</c:v>
                </c:pt>
                <c:pt idx="280">
                  <c:v>21.7392</c:v>
                </c:pt>
                <c:pt idx="281">
                  <c:v>21.7392</c:v>
                </c:pt>
                <c:pt idx="282">
                  <c:v>21.564599999999999</c:v>
                </c:pt>
                <c:pt idx="283">
                  <c:v>20.07</c:v>
                </c:pt>
                <c:pt idx="284">
                  <c:v>20.244700000000002</c:v>
                </c:pt>
                <c:pt idx="285">
                  <c:v>19.9923</c:v>
                </c:pt>
                <c:pt idx="286">
                  <c:v>20.477599999999999</c:v>
                </c:pt>
                <c:pt idx="287">
                  <c:v>20.380500000000001</c:v>
                </c:pt>
                <c:pt idx="288">
                  <c:v>20.2835</c:v>
                </c:pt>
                <c:pt idx="289">
                  <c:v>20.322299999999998</c:v>
                </c:pt>
                <c:pt idx="290">
                  <c:v>19.448899999999998</c:v>
                </c:pt>
                <c:pt idx="291">
                  <c:v>18.2454</c:v>
                </c:pt>
                <c:pt idx="292">
                  <c:v>19.099499999999999</c:v>
                </c:pt>
                <c:pt idx="293">
                  <c:v>19.7788</c:v>
                </c:pt>
                <c:pt idx="294">
                  <c:v>18.556000000000001</c:v>
                </c:pt>
                <c:pt idx="295">
                  <c:v>18.1678</c:v>
                </c:pt>
                <c:pt idx="296">
                  <c:v>18.090199999999999</c:v>
                </c:pt>
                <c:pt idx="297">
                  <c:v>19.351800000000001</c:v>
                </c:pt>
                <c:pt idx="298">
                  <c:v>18.9636</c:v>
                </c:pt>
                <c:pt idx="299">
                  <c:v>18.8277</c:v>
                </c:pt>
                <c:pt idx="300">
                  <c:v>18.924800000000001</c:v>
                </c:pt>
                <c:pt idx="301">
                  <c:v>18.730699999999999</c:v>
                </c:pt>
                <c:pt idx="302">
                  <c:v>19.060700000000001</c:v>
                </c:pt>
                <c:pt idx="303">
                  <c:v>20.380500000000001</c:v>
                </c:pt>
                <c:pt idx="304">
                  <c:v>20.497</c:v>
                </c:pt>
                <c:pt idx="305">
                  <c:v>21.700399999999998</c:v>
                </c:pt>
                <c:pt idx="306">
                  <c:v>21.603400000000001</c:v>
                </c:pt>
                <c:pt idx="307">
                  <c:v>21.331600000000002</c:v>
                </c:pt>
                <c:pt idx="308">
                  <c:v>21.700399999999998</c:v>
                </c:pt>
                <c:pt idx="309">
                  <c:v>21.642199999999999</c:v>
                </c:pt>
                <c:pt idx="310">
                  <c:v>22.127400000000002</c:v>
                </c:pt>
                <c:pt idx="311">
                  <c:v>21.933299999999999</c:v>
                </c:pt>
                <c:pt idx="312">
                  <c:v>22.437999999999999</c:v>
                </c:pt>
                <c:pt idx="313">
                  <c:v>22.3215</c:v>
                </c:pt>
                <c:pt idx="314">
                  <c:v>22.379799999999999</c:v>
                </c:pt>
                <c:pt idx="315">
                  <c:v>21.350999999999999</c:v>
                </c:pt>
                <c:pt idx="316">
                  <c:v>20.0777</c:v>
                </c:pt>
                <c:pt idx="317">
                  <c:v>20.7532</c:v>
                </c:pt>
                <c:pt idx="318">
                  <c:v>21.0793</c:v>
                </c:pt>
                <c:pt idx="319">
                  <c:v>21.428699999999999</c:v>
                </c:pt>
                <c:pt idx="320">
                  <c:v>21.428699999999999</c:v>
                </c:pt>
                <c:pt idx="321">
                  <c:v>21.428699999999999</c:v>
                </c:pt>
                <c:pt idx="322">
                  <c:v>20.7532</c:v>
                </c:pt>
                <c:pt idx="323">
                  <c:v>19.681799999999999</c:v>
                </c:pt>
                <c:pt idx="324">
                  <c:v>19.9147</c:v>
                </c:pt>
                <c:pt idx="325">
                  <c:v>19.9147</c:v>
                </c:pt>
                <c:pt idx="326">
                  <c:v>20.147600000000001</c:v>
                </c:pt>
                <c:pt idx="327">
                  <c:v>20.893000000000001</c:v>
                </c:pt>
                <c:pt idx="328">
                  <c:v>20.962800000000001</c:v>
                </c:pt>
                <c:pt idx="329">
                  <c:v>19.103100000000001</c:v>
                </c:pt>
                <c:pt idx="330">
                  <c:v>19.501999999999999</c:v>
                </c:pt>
                <c:pt idx="331">
                  <c:v>19.213899999999999</c:v>
                </c:pt>
                <c:pt idx="332">
                  <c:v>18.925799999999999</c:v>
                </c:pt>
                <c:pt idx="333">
                  <c:v>18.5047</c:v>
                </c:pt>
                <c:pt idx="334">
                  <c:v>18.4161</c:v>
                </c:pt>
                <c:pt idx="335">
                  <c:v>18.526900000000001</c:v>
                </c:pt>
                <c:pt idx="336">
                  <c:v>18.349599999999999</c:v>
                </c:pt>
                <c:pt idx="337">
                  <c:v>18.5047</c:v>
                </c:pt>
                <c:pt idx="338">
                  <c:v>18.283100000000001</c:v>
                </c:pt>
                <c:pt idx="339">
                  <c:v>18.349599999999999</c:v>
                </c:pt>
                <c:pt idx="340">
                  <c:v>18.2166</c:v>
                </c:pt>
                <c:pt idx="341">
                  <c:v>18.393899999999999</c:v>
                </c:pt>
                <c:pt idx="342">
                  <c:v>18.393899999999999</c:v>
                </c:pt>
                <c:pt idx="343">
                  <c:v>18.815000000000001</c:v>
                </c:pt>
                <c:pt idx="344">
                  <c:v>18.8371</c:v>
                </c:pt>
                <c:pt idx="345">
                  <c:v>18.859300000000001</c:v>
                </c:pt>
                <c:pt idx="346">
                  <c:v>18.925799999999999</c:v>
                </c:pt>
                <c:pt idx="347">
                  <c:v>18.7928</c:v>
                </c:pt>
                <c:pt idx="348">
                  <c:v>18.881499999999999</c:v>
                </c:pt>
                <c:pt idx="349">
                  <c:v>18.815000000000001</c:v>
                </c:pt>
                <c:pt idx="350">
                  <c:v>18.5047</c:v>
                </c:pt>
                <c:pt idx="351">
                  <c:v>18.615500000000001</c:v>
                </c:pt>
                <c:pt idx="352">
                  <c:v>18.8371</c:v>
                </c:pt>
                <c:pt idx="353">
                  <c:v>18.7928</c:v>
                </c:pt>
                <c:pt idx="354">
                  <c:v>19.0809</c:v>
                </c:pt>
                <c:pt idx="355">
                  <c:v>19.014399999999998</c:v>
                </c:pt>
                <c:pt idx="356">
                  <c:v>19.058700000000002</c:v>
                </c:pt>
                <c:pt idx="357">
                  <c:v>19.103100000000001</c:v>
                </c:pt>
                <c:pt idx="358">
                  <c:v>19.058700000000002</c:v>
                </c:pt>
                <c:pt idx="359">
                  <c:v>19.058700000000002</c:v>
                </c:pt>
                <c:pt idx="360">
                  <c:v>19.169499999999999</c:v>
                </c:pt>
                <c:pt idx="361">
                  <c:v>19.7014</c:v>
                </c:pt>
                <c:pt idx="362">
                  <c:v>19.6571</c:v>
                </c:pt>
                <c:pt idx="363">
                  <c:v>19.5685</c:v>
                </c:pt>
                <c:pt idx="364">
                  <c:v>19.5685</c:v>
                </c:pt>
                <c:pt idx="365">
                  <c:v>19.258199999999999</c:v>
                </c:pt>
                <c:pt idx="366">
                  <c:v>19.236000000000001</c:v>
                </c:pt>
                <c:pt idx="367">
                  <c:v>19.2804</c:v>
                </c:pt>
                <c:pt idx="368">
                  <c:v>19.103100000000001</c:v>
                </c:pt>
                <c:pt idx="369">
                  <c:v>19.1252</c:v>
                </c:pt>
                <c:pt idx="370">
                  <c:v>19.3247</c:v>
                </c:pt>
                <c:pt idx="371">
                  <c:v>19.169499999999999</c:v>
                </c:pt>
                <c:pt idx="372">
                  <c:v>19.147400000000001</c:v>
                </c:pt>
                <c:pt idx="373">
                  <c:v>19.191700000000001</c:v>
                </c:pt>
                <c:pt idx="374">
                  <c:v>19.103100000000001</c:v>
                </c:pt>
                <c:pt idx="375">
                  <c:v>19.014399999999998</c:v>
                </c:pt>
                <c:pt idx="376">
                  <c:v>18.615500000000001</c:v>
                </c:pt>
                <c:pt idx="377">
                  <c:v>18.681999999999999</c:v>
                </c:pt>
                <c:pt idx="378">
                  <c:v>18.681999999999999</c:v>
                </c:pt>
                <c:pt idx="379">
                  <c:v>18.7485</c:v>
                </c:pt>
                <c:pt idx="380">
                  <c:v>18.7485</c:v>
                </c:pt>
                <c:pt idx="381">
                  <c:v>18.615500000000001</c:v>
                </c:pt>
                <c:pt idx="382">
                  <c:v>18.548999999999999</c:v>
                </c:pt>
                <c:pt idx="383">
                  <c:v>18.283100000000001</c:v>
                </c:pt>
                <c:pt idx="384">
                  <c:v>18.4161</c:v>
                </c:pt>
                <c:pt idx="385">
                  <c:v>18.482500000000002</c:v>
                </c:pt>
                <c:pt idx="386">
                  <c:v>18.238800000000001</c:v>
                </c:pt>
                <c:pt idx="387">
                  <c:v>18.371700000000001</c:v>
                </c:pt>
                <c:pt idx="388">
                  <c:v>18.260899999999999</c:v>
                </c:pt>
                <c:pt idx="389">
                  <c:v>18.061499999999999</c:v>
                </c:pt>
                <c:pt idx="390">
                  <c:v>17.8399</c:v>
                </c:pt>
                <c:pt idx="391">
                  <c:v>17.285799999999998</c:v>
                </c:pt>
                <c:pt idx="392">
                  <c:v>17.0642</c:v>
                </c:pt>
                <c:pt idx="393">
                  <c:v>16.7621</c:v>
                </c:pt>
                <c:pt idx="394">
                  <c:v>16.033300000000001</c:v>
                </c:pt>
                <c:pt idx="395">
                  <c:v>16.1374</c:v>
                </c:pt>
                <c:pt idx="396">
                  <c:v>16.3248</c:v>
                </c:pt>
                <c:pt idx="397">
                  <c:v>15.9292</c:v>
                </c:pt>
                <c:pt idx="398">
                  <c:v>15.4086</c:v>
                </c:pt>
                <c:pt idx="399">
                  <c:v>15.4086</c:v>
                </c:pt>
                <c:pt idx="400">
                  <c:v>14.783899999999999</c:v>
                </c:pt>
                <c:pt idx="401">
                  <c:v>15.0755</c:v>
                </c:pt>
                <c:pt idx="402">
                  <c:v>15.2004</c:v>
                </c:pt>
                <c:pt idx="403">
                  <c:v>15.4086</c:v>
                </c:pt>
                <c:pt idx="404">
                  <c:v>15.367000000000001</c:v>
                </c:pt>
                <c:pt idx="405">
                  <c:v>15.596</c:v>
                </c:pt>
                <c:pt idx="406">
                  <c:v>15.721</c:v>
                </c:pt>
                <c:pt idx="407">
                  <c:v>16.1999</c:v>
                </c:pt>
                <c:pt idx="408">
                  <c:v>15.3878</c:v>
                </c:pt>
                <c:pt idx="409">
                  <c:v>14.8048</c:v>
                </c:pt>
                <c:pt idx="410">
                  <c:v>15.242000000000001</c:v>
                </c:pt>
                <c:pt idx="411">
                  <c:v>15.367000000000001</c:v>
                </c:pt>
                <c:pt idx="412">
                  <c:v>15.7834</c:v>
                </c:pt>
                <c:pt idx="413">
                  <c:v>15.6168</c:v>
                </c:pt>
                <c:pt idx="414">
                  <c:v>15.7418</c:v>
                </c:pt>
                <c:pt idx="415">
                  <c:v>15.721</c:v>
                </c:pt>
                <c:pt idx="416">
                  <c:v>15.4086</c:v>
                </c:pt>
                <c:pt idx="417">
                  <c:v>15.429399999999999</c:v>
                </c:pt>
                <c:pt idx="418">
                  <c:v>15.179600000000001</c:v>
                </c:pt>
                <c:pt idx="419">
                  <c:v>15.117100000000001</c:v>
                </c:pt>
                <c:pt idx="420">
                  <c:v>15.2629</c:v>
                </c:pt>
                <c:pt idx="421">
                  <c:v>15.4086</c:v>
                </c:pt>
                <c:pt idx="422">
                  <c:v>15.2004</c:v>
                </c:pt>
                <c:pt idx="423">
                  <c:v>15.1587</c:v>
                </c:pt>
                <c:pt idx="424">
                  <c:v>14.7423</c:v>
                </c:pt>
                <c:pt idx="425">
                  <c:v>13.722</c:v>
                </c:pt>
                <c:pt idx="426">
                  <c:v>14.43</c:v>
                </c:pt>
                <c:pt idx="427">
                  <c:v>14.783899999999999</c:v>
                </c:pt>
                <c:pt idx="428">
                  <c:v>14.8881</c:v>
                </c:pt>
                <c:pt idx="429">
                  <c:v>14.596500000000001</c:v>
                </c:pt>
                <c:pt idx="430">
                  <c:v>14.6798</c:v>
                </c:pt>
                <c:pt idx="431">
                  <c:v>14.6798</c:v>
                </c:pt>
                <c:pt idx="432">
                  <c:v>14.6798</c:v>
                </c:pt>
                <c:pt idx="433">
                  <c:v>14.9922</c:v>
                </c:pt>
                <c:pt idx="434">
                  <c:v>15.4711</c:v>
                </c:pt>
                <c:pt idx="435">
                  <c:v>15.4711</c:v>
                </c:pt>
                <c:pt idx="436">
                  <c:v>15.5336</c:v>
                </c:pt>
                <c:pt idx="437">
                  <c:v>15.554399999999999</c:v>
                </c:pt>
                <c:pt idx="438">
                  <c:v>16.116599999999998</c:v>
                </c:pt>
                <c:pt idx="439">
                  <c:v>16.303999999999998</c:v>
                </c:pt>
                <c:pt idx="440">
                  <c:v>15.825100000000001</c:v>
                </c:pt>
                <c:pt idx="441">
                  <c:v>15.9292</c:v>
                </c:pt>
                <c:pt idx="442">
                  <c:v>16.033300000000001</c:v>
                </c:pt>
                <c:pt idx="443">
                  <c:v>16.241499999999998</c:v>
                </c:pt>
                <c:pt idx="444">
                  <c:v>16.033300000000001</c:v>
                </c:pt>
                <c:pt idx="445">
                  <c:v>16.0749</c:v>
                </c:pt>
                <c:pt idx="446">
                  <c:v>15.887499999999999</c:v>
                </c:pt>
                <c:pt idx="447">
                  <c:v>16.178999999999998</c:v>
                </c:pt>
                <c:pt idx="448">
                  <c:v>16.220700000000001</c:v>
                </c:pt>
                <c:pt idx="449">
                  <c:v>15.95</c:v>
                </c:pt>
                <c:pt idx="450">
                  <c:v>15.95</c:v>
                </c:pt>
                <c:pt idx="451">
                  <c:v>16.0749</c:v>
                </c:pt>
                <c:pt idx="452">
                  <c:v>16.0749</c:v>
                </c:pt>
                <c:pt idx="453">
                  <c:v>16.241499999999998</c:v>
                </c:pt>
                <c:pt idx="454">
                  <c:v>15.9084</c:v>
                </c:pt>
                <c:pt idx="455">
                  <c:v>15.9292</c:v>
                </c:pt>
                <c:pt idx="456">
                  <c:v>15.970800000000001</c:v>
                </c:pt>
                <c:pt idx="457">
                  <c:v>15.8667</c:v>
                </c:pt>
                <c:pt idx="458">
                  <c:v>15.860099999999999</c:v>
                </c:pt>
                <c:pt idx="459">
                  <c:v>16.499400000000001</c:v>
                </c:pt>
                <c:pt idx="460">
                  <c:v>16.499400000000001</c:v>
                </c:pt>
                <c:pt idx="461">
                  <c:v>16.623200000000001</c:v>
                </c:pt>
                <c:pt idx="462">
                  <c:v>16.561299999999999</c:v>
                </c:pt>
                <c:pt idx="463">
                  <c:v>16.561299999999999</c:v>
                </c:pt>
                <c:pt idx="464">
                  <c:v>16.581900000000001</c:v>
                </c:pt>
                <c:pt idx="465">
                  <c:v>16.685099999999998</c:v>
                </c:pt>
                <c:pt idx="466">
                  <c:v>16.643799999999999</c:v>
                </c:pt>
                <c:pt idx="467">
                  <c:v>16.499400000000001</c:v>
                </c:pt>
                <c:pt idx="468">
                  <c:v>16.664400000000001</c:v>
                </c:pt>
                <c:pt idx="469">
                  <c:v>16.911899999999999</c:v>
                </c:pt>
                <c:pt idx="470">
                  <c:v>17.200700000000001</c:v>
                </c:pt>
                <c:pt idx="471">
                  <c:v>17.303799999999999</c:v>
                </c:pt>
                <c:pt idx="472">
                  <c:v>17.324400000000001</c:v>
                </c:pt>
                <c:pt idx="473">
                  <c:v>17.262499999999999</c:v>
                </c:pt>
                <c:pt idx="474">
                  <c:v>17.221299999999999</c:v>
                </c:pt>
                <c:pt idx="475">
                  <c:v>16.911899999999999</c:v>
                </c:pt>
                <c:pt idx="476">
                  <c:v>16.891300000000001</c:v>
                </c:pt>
                <c:pt idx="477">
                  <c:v>16.520099999999999</c:v>
                </c:pt>
                <c:pt idx="478">
                  <c:v>16.602599999999999</c:v>
                </c:pt>
                <c:pt idx="479">
                  <c:v>16.643799999999999</c:v>
                </c:pt>
                <c:pt idx="480">
                  <c:v>16.7469</c:v>
                </c:pt>
                <c:pt idx="481">
                  <c:v>16.643799999999999</c:v>
                </c:pt>
                <c:pt idx="482">
                  <c:v>16.643799999999999</c:v>
                </c:pt>
                <c:pt idx="483">
                  <c:v>16.643799999999999</c:v>
                </c:pt>
                <c:pt idx="484">
                  <c:v>16.664400000000001</c:v>
                </c:pt>
                <c:pt idx="485">
                  <c:v>16.8294</c:v>
                </c:pt>
                <c:pt idx="486">
                  <c:v>16.8294</c:v>
                </c:pt>
                <c:pt idx="487">
                  <c:v>16.8294</c:v>
                </c:pt>
                <c:pt idx="488">
                  <c:v>17.076899999999998</c:v>
                </c:pt>
                <c:pt idx="489">
                  <c:v>17.076899999999998</c:v>
                </c:pt>
                <c:pt idx="490">
                  <c:v>16.870699999999999</c:v>
                </c:pt>
                <c:pt idx="491">
                  <c:v>16.7882</c:v>
                </c:pt>
                <c:pt idx="492">
                  <c:v>16.664400000000001</c:v>
                </c:pt>
                <c:pt idx="493">
                  <c:v>16.561299999999999</c:v>
                </c:pt>
                <c:pt idx="494">
                  <c:v>16.602599999999999</c:v>
                </c:pt>
                <c:pt idx="495">
                  <c:v>16.602599999999999</c:v>
                </c:pt>
                <c:pt idx="496">
                  <c:v>16.499400000000001</c:v>
                </c:pt>
                <c:pt idx="497">
                  <c:v>16.190100000000001</c:v>
                </c:pt>
                <c:pt idx="498">
                  <c:v>16.1282</c:v>
                </c:pt>
                <c:pt idx="499">
                  <c:v>16.251899999999999</c:v>
                </c:pt>
                <c:pt idx="500">
                  <c:v>16.3963</c:v>
                </c:pt>
                <c:pt idx="501">
                  <c:v>16.623200000000001</c:v>
                </c:pt>
                <c:pt idx="502">
                  <c:v>16.3963</c:v>
                </c:pt>
                <c:pt idx="503">
                  <c:v>16.272600000000001</c:v>
                </c:pt>
                <c:pt idx="504">
                  <c:v>16.231300000000001</c:v>
                </c:pt>
                <c:pt idx="505">
                  <c:v>16.602599999999999</c:v>
                </c:pt>
                <c:pt idx="506">
                  <c:v>16.334399999999999</c:v>
                </c:pt>
                <c:pt idx="507">
                  <c:v>16.293199999999999</c:v>
                </c:pt>
                <c:pt idx="508">
                  <c:v>16.0045</c:v>
                </c:pt>
                <c:pt idx="509">
                  <c:v>16.107600000000001</c:v>
                </c:pt>
                <c:pt idx="510">
                  <c:v>16.190100000000001</c:v>
                </c:pt>
                <c:pt idx="511">
                  <c:v>16.087</c:v>
                </c:pt>
                <c:pt idx="512">
                  <c:v>16.210699999999999</c:v>
                </c:pt>
                <c:pt idx="513">
                  <c:v>16.313800000000001</c:v>
                </c:pt>
                <c:pt idx="514">
                  <c:v>16.334399999999999</c:v>
                </c:pt>
                <c:pt idx="515">
                  <c:v>16.293199999999999</c:v>
                </c:pt>
                <c:pt idx="516">
                  <c:v>16.313800000000001</c:v>
                </c:pt>
                <c:pt idx="517">
                  <c:v>15.595000000000001</c:v>
                </c:pt>
                <c:pt idx="518">
                  <c:v>15.9498</c:v>
                </c:pt>
                <c:pt idx="519">
                  <c:v>15.871</c:v>
                </c:pt>
                <c:pt idx="520">
                  <c:v>15.890700000000001</c:v>
                </c:pt>
                <c:pt idx="521">
                  <c:v>15.8316</c:v>
                </c:pt>
                <c:pt idx="522">
                  <c:v>15.871</c:v>
                </c:pt>
                <c:pt idx="523">
                  <c:v>15.8316</c:v>
                </c:pt>
                <c:pt idx="524">
                  <c:v>15.8316</c:v>
                </c:pt>
                <c:pt idx="525">
                  <c:v>15.8316</c:v>
                </c:pt>
                <c:pt idx="526">
                  <c:v>15.6935</c:v>
                </c:pt>
                <c:pt idx="527">
                  <c:v>15.6935</c:v>
                </c:pt>
                <c:pt idx="528">
                  <c:v>15.6935</c:v>
                </c:pt>
                <c:pt idx="529">
                  <c:v>15.6541</c:v>
                </c:pt>
                <c:pt idx="530">
                  <c:v>15.634399999999999</c:v>
                </c:pt>
                <c:pt idx="531">
                  <c:v>15.6541</c:v>
                </c:pt>
                <c:pt idx="532">
                  <c:v>15.634399999999999</c:v>
                </c:pt>
                <c:pt idx="533">
                  <c:v>15.595000000000001</c:v>
                </c:pt>
                <c:pt idx="534">
                  <c:v>15.457000000000001</c:v>
                </c:pt>
                <c:pt idx="535">
                  <c:v>15.437200000000001</c:v>
                </c:pt>
                <c:pt idx="536">
                  <c:v>15.437200000000001</c:v>
                </c:pt>
                <c:pt idx="537">
                  <c:v>15.279500000000001</c:v>
                </c:pt>
                <c:pt idx="538">
                  <c:v>15.476699999999999</c:v>
                </c:pt>
                <c:pt idx="539">
                  <c:v>15.457000000000001</c:v>
                </c:pt>
                <c:pt idx="540">
                  <c:v>15.476699999999999</c:v>
                </c:pt>
                <c:pt idx="541">
                  <c:v>15.5555</c:v>
                </c:pt>
                <c:pt idx="542">
                  <c:v>15.5753</c:v>
                </c:pt>
                <c:pt idx="543">
                  <c:v>15.595000000000001</c:v>
                </c:pt>
                <c:pt idx="544">
                  <c:v>15.871</c:v>
                </c:pt>
                <c:pt idx="545">
                  <c:v>15.9696</c:v>
                </c:pt>
                <c:pt idx="546">
                  <c:v>16.068100000000001</c:v>
                </c:pt>
                <c:pt idx="547">
                  <c:v>16.068100000000001</c:v>
                </c:pt>
                <c:pt idx="548">
                  <c:v>16.344200000000001</c:v>
                </c:pt>
                <c:pt idx="549">
                  <c:v>16.324400000000001</c:v>
                </c:pt>
                <c:pt idx="550">
                  <c:v>16.2653</c:v>
                </c:pt>
                <c:pt idx="551">
                  <c:v>16.166699999999999</c:v>
                </c:pt>
                <c:pt idx="552">
                  <c:v>16.028700000000001</c:v>
                </c:pt>
                <c:pt idx="553">
                  <c:v>16.403300000000002</c:v>
                </c:pt>
                <c:pt idx="554">
                  <c:v>16.383600000000001</c:v>
                </c:pt>
                <c:pt idx="555">
                  <c:v>16.383600000000001</c:v>
                </c:pt>
                <c:pt idx="556">
                  <c:v>16.561</c:v>
                </c:pt>
                <c:pt idx="557">
                  <c:v>16.5807</c:v>
                </c:pt>
                <c:pt idx="558">
                  <c:v>16.462399999999999</c:v>
                </c:pt>
                <c:pt idx="559">
                  <c:v>16.521599999999999</c:v>
                </c:pt>
                <c:pt idx="560">
                  <c:v>16.758199999999999</c:v>
                </c:pt>
                <c:pt idx="561">
                  <c:v>16.817299999999999</c:v>
                </c:pt>
                <c:pt idx="562">
                  <c:v>16.758199999999999</c:v>
                </c:pt>
                <c:pt idx="563">
                  <c:v>16.482199999999999</c:v>
                </c:pt>
                <c:pt idx="564">
                  <c:v>16.679300000000001</c:v>
                </c:pt>
                <c:pt idx="565">
                  <c:v>16.738499999999998</c:v>
                </c:pt>
                <c:pt idx="566">
                  <c:v>16.639900000000001</c:v>
                </c:pt>
                <c:pt idx="567">
                  <c:v>16.6005</c:v>
                </c:pt>
                <c:pt idx="568">
                  <c:v>16.5807</c:v>
                </c:pt>
                <c:pt idx="569">
                  <c:v>16.659600000000001</c:v>
                </c:pt>
                <c:pt idx="570">
                  <c:v>16.699000000000002</c:v>
                </c:pt>
                <c:pt idx="571">
                  <c:v>16.8568</c:v>
                </c:pt>
                <c:pt idx="572">
                  <c:v>16.915900000000001</c:v>
                </c:pt>
                <c:pt idx="573">
                  <c:v>16.8568</c:v>
                </c:pt>
                <c:pt idx="574">
                  <c:v>16.777899999999999</c:v>
                </c:pt>
                <c:pt idx="575">
                  <c:v>16.915900000000001</c:v>
                </c:pt>
                <c:pt idx="576">
                  <c:v>17.211600000000001</c:v>
                </c:pt>
                <c:pt idx="577">
                  <c:v>17.1525</c:v>
                </c:pt>
                <c:pt idx="578">
                  <c:v>17.053899999999999</c:v>
                </c:pt>
                <c:pt idx="579">
                  <c:v>16.211300000000001</c:v>
                </c:pt>
                <c:pt idx="580">
                  <c:v>16.2867</c:v>
                </c:pt>
                <c:pt idx="581">
                  <c:v>16.399799999999999</c:v>
                </c:pt>
                <c:pt idx="582">
                  <c:v>16.215</c:v>
                </c:pt>
                <c:pt idx="583">
                  <c:v>16.171700000000001</c:v>
                </c:pt>
                <c:pt idx="584">
                  <c:v>16.323399999999999</c:v>
                </c:pt>
                <c:pt idx="585">
                  <c:v>16.323399999999999</c:v>
                </c:pt>
                <c:pt idx="586">
                  <c:v>16.258400000000002</c:v>
                </c:pt>
                <c:pt idx="587">
                  <c:v>16.323399999999999</c:v>
                </c:pt>
                <c:pt idx="588">
                  <c:v>16.431799999999999</c:v>
                </c:pt>
                <c:pt idx="589">
                  <c:v>16.973700000000001</c:v>
                </c:pt>
                <c:pt idx="590">
                  <c:v>17.125499999999999</c:v>
                </c:pt>
                <c:pt idx="591">
                  <c:v>17.060500000000001</c:v>
                </c:pt>
                <c:pt idx="592">
                  <c:v>17.017099999999999</c:v>
                </c:pt>
                <c:pt idx="593">
                  <c:v>17.407299999999999</c:v>
                </c:pt>
                <c:pt idx="594">
                  <c:v>17.559000000000001</c:v>
                </c:pt>
                <c:pt idx="595">
                  <c:v>17.559000000000001</c:v>
                </c:pt>
                <c:pt idx="596">
                  <c:v>17.624099999999999</c:v>
                </c:pt>
                <c:pt idx="597">
                  <c:v>17.927600000000002</c:v>
                </c:pt>
                <c:pt idx="598">
                  <c:v>18.144300000000001</c:v>
                </c:pt>
                <c:pt idx="599">
                  <c:v>18.296099999999999</c:v>
                </c:pt>
                <c:pt idx="600">
                  <c:v>18.5562</c:v>
                </c:pt>
                <c:pt idx="601">
                  <c:v>18.317799999999998</c:v>
                </c:pt>
                <c:pt idx="602">
                  <c:v>18.100999999999999</c:v>
                </c:pt>
                <c:pt idx="603">
                  <c:v>18.144300000000001</c:v>
                </c:pt>
                <c:pt idx="604">
                  <c:v>18.057600000000001</c:v>
                </c:pt>
                <c:pt idx="605">
                  <c:v>18.317799999999998</c:v>
                </c:pt>
                <c:pt idx="606">
                  <c:v>18.252700000000001</c:v>
                </c:pt>
                <c:pt idx="607">
                  <c:v>18.014299999999999</c:v>
                </c:pt>
                <c:pt idx="608">
                  <c:v>17.819199999999999</c:v>
                </c:pt>
                <c:pt idx="609">
                  <c:v>17.7758</c:v>
                </c:pt>
                <c:pt idx="610">
                  <c:v>17.905899999999999</c:v>
                </c:pt>
                <c:pt idx="611">
                  <c:v>18.209399999999999</c:v>
                </c:pt>
                <c:pt idx="612">
                  <c:v>18.447800000000001</c:v>
                </c:pt>
                <c:pt idx="613">
                  <c:v>18.642900000000001</c:v>
                </c:pt>
                <c:pt idx="614">
                  <c:v>18.534600000000001</c:v>
                </c:pt>
                <c:pt idx="615">
                  <c:v>18.621300000000002</c:v>
                </c:pt>
                <c:pt idx="616">
                  <c:v>18.751300000000001</c:v>
                </c:pt>
                <c:pt idx="617">
                  <c:v>18.751300000000001</c:v>
                </c:pt>
                <c:pt idx="618">
                  <c:v>19.510100000000001</c:v>
                </c:pt>
                <c:pt idx="619">
                  <c:v>19.6401</c:v>
                </c:pt>
                <c:pt idx="620">
                  <c:v>20.377199999999998</c:v>
                </c:pt>
                <c:pt idx="621">
                  <c:v>20.290500000000002</c:v>
                </c:pt>
                <c:pt idx="622">
                  <c:v>20.940799999999999</c:v>
                </c:pt>
                <c:pt idx="623">
                  <c:v>20.962499999999999</c:v>
                </c:pt>
                <c:pt idx="624">
                  <c:v>20.984100000000002</c:v>
                </c:pt>
                <c:pt idx="625">
                  <c:v>21.461099999999998</c:v>
                </c:pt>
                <c:pt idx="626">
                  <c:v>21.2226</c:v>
                </c:pt>
                <c:pt idx="627">
                  <c:v>21.157599999999999</c:v>
                </c:pt>
                <c:pt idx="628">
                  <c:v>21.1142</c:v>
                </c:pt>
                <c:pt idx="629">
                  <c:v>21.439399999999999</c:v>
                </c:pt>
                <c:pt idx="630">
                  <c:v>21.244299999999999</c:v>
                </c:pt>
                <c:pt idx="631">
                  <c:v>20.789000000000001</c:v>
                </c:pt>
                <c:pt idx="632">
                  <c:v>21.135899999999999</c:v>
                </c:pt>
                <c:pt idx="633">
                  <c:v>21.005800000000001</c:v>
                </c:pt>
                <c:pt idx="634">
                  <c:v>21.331</c:v>
                </c:pt>
                <c:pt idx="635">
                  <c:v>21.352699999999999</c:v>
                </c:pt>
                <c:pt idx="636">
                  <c:v>20.984100000000002</c:v>
                </c:pt>
                <c:pt idx="637">
                  <c:v>20.962499999999999</c:v>
                </c:pt>
                <c:pt idx="638">
                  <c:v>20.4422</c:v>
                </c:pt>
                <c:pt idx="639">
                  <c:v>20.268799999999999</c:v>
                </c:pt>
                <c:pt idx="640">
                  <c:v>20.4422</c:v>
                </c:pt>
                <c:pt idx="641">
                  <c:v>20.377199999999998</c:v>
                </c:pt>
                <c:pt idx="642">
                  <c:v>19.2121</c:v>
                </c:pt>
                <c:pt idx="643">
                  <c:v>19.294899999999998</c:v>
                </c:pt>
                <c:pt idx="644">
                  <c:v>19.087800000000001</c:v>
                </c:pt>
                <c:pt idx="645">
                  <c:v>19.149899999999999</c:v>
                </c:pt>
                <c:pt idx="646">
                  <c:v>18.9636</c:v>
                </c:pt>
                <c:pt idx="647">
                  <c:v>19.191299999999998</c:v>
                </c:pt>
                <c:pt idx="648">
                  <c:v>19.791699999999999</c:v>
                </c:pt>
                <c:pt idx="649">
                  <c:v>19.936599999999999</c:v>
                </c:pt>
                <c:pt idx="650">
                  <c:v>20.081600000000002</c:v>
                </c:pt>
                <c:pt idx="651">
                  <c:v>19.9573</c:v>
                </c:pt>
                <c:pt idx="652">
                  <c:v>19.895199999999999</c:v>
                </c:pt>
                <c:pt idx="653">
                  <c:v>20.040199999999999</c:v>
                </c:pt>
                <c:pt idx="654">
                  <c:v>19.2742</c:v>
                </c:pt>
                <c:pt idx="655">
                  <c:v>19.253499999999999</c:v>
                </c:pt>
                <c:pt idx="656">
                  <c:v>19.046399999999998</c:v>
                </c:pt>
                <c:pt idx="657">
                  <c:v>19.232800000000001</c:v>
                </c:pt>
                <c:pt idx="658">
                  <c:v>18.839400000000001</c:v>
                </c:pt>
                <c:pt idx="659">
                  <c:v>19.046399999999998</c:v>
                </c:pt>
                <c:pt idx="660">
                  <c:v>18.8187</c:v>
                </c:pt>
                <c:pt idx="661">
                  <c:v>17.969899999999999</c:v>
                </c:pt>
                <c:pt idx="662">
                  <c:v>18.011299999999999</c:v>
                </c:pt>
                <c:pt idx="663">
                  <c:v>17.597200000000001</c:v>
                </c:pt>
                <c:pt idx="664">
                  <c:v>17.183199999999999</c:v>
                </c:pt>
                <c:pt idx="665">
                  <c:v>17.680099999999999</c:v>
                </c:pt>
                <c:pt idx="666">
                  <c:v>18.4253</c:v>
                </c:pt>
                <c:pt idx="667">
                  <c:v>18.011299999999999</c:v>
                </c:pt>
                <c:pt idx="668">
                  <c:v>18.3218</c:v>
                </c:pt>
                <c:pt idx="669">
                  <c:v>18.2804</c:v>
                </c:pt>
                <c:pt idx="670">
                  <c:v>19.1706</c:v>
                </c:pt>
                <c:pt idx="671">
                  <c:v>19.149899999999999</c:v>
                </c:pt>
                <c:pt idx="672">
                  <c:v>18.942900000000002</c:v>
                </c:pt>
                <c:pt idx="673">
                  <c:v>18.9222</c:v>
                </c:pt>
                <c:pt idx="674">
                  <c:v>19.1706</c:v>
                </c:pt>
                <c:pt idx="675">
                  <c:v>19.129200000000001</c:v>
                </c:pt>
                <c:pt idx="676">
                  <c:v>19.253499999999999</c:v>
                </c:pt>
                <c:pt idx="677">
                  <c:v>18.839400000000001</c:v>
                </c:pt>
                <c:pt idx="678">
                  <c:v>18.7773</c:v>
                </c:pt>
                <c:pt idx="679">
                  <c:v>19.025700000000001</c:v>
                </c:pt>
                <c:pt idx="680">
                  <c:v>19.253499999999999</c:v>
                </c:pt>
                <c:pt idx="681">
                  <c:v>18.797999999999998</c:v>
                </c:pt>
                <c:pt idx="682">
                  <c:v>18.880800000000001</c:v>
                </c:pt>
                <c:pt idx="683">
                  <c:v>18.7773</c:v>
                </c:pt>
                <c:pt idx="684">
                  <c:v>18.860099999999999</c:v>
                </c:pt>
                <c:pt idx="685">
                  <c:v>18.984300000000001</c:v>
                </c:pt>
                <c:pt idx="686">
                  <c:v>19.025700000000001</c:v>
                </c:pt>
                <c:pt idx="687">
                  <c:v>19.129200000000001</c:v>
                </c:pt>
                <c:pt idx="688">
                  <c:v>19.377700000000001</c:v>
                </c:pt>
                <c:pt idx="689">
                  <c:v>19.626100000000001</c:v>
                </c:pt>
                <c:pt idx="690">
                  <c:v>19.6675</c:v>
                </c:pt>
                <c:pt idx="691">
                  <c:v>19.522600000000001</c:v>
                </c:pt>
                <c:pt idx="692">
                  <c:v>19.501899999999999</c:v>
                </c:pt>
                <c:pt idx="693">
                  <c:v>19.6675</c:v>
                </c:pt>
                <c:pt idx="694">
                  <c:v>20.040199999999999</c:v>
                </c:pt>
                <c:pt idx="695">
                  <c:v>19.7089</c:v>
                </c:pt>
                <c:pt idx="696">
                  <c:v>19.915900000000001</c:v>
                </c:pt>
                <c:pt idx="697">
                  <c:v>19.915900000000001</c:v>
                </c:pt>
                <c:pt idx="698">
                  <c:v>19.4605</c:v>
                </c:pt>
                <c:pt idx="699">
                  <c:v>19.584700000000002</c:v>
                </c:pt>
                <c:pt idx="700">
                  <c:v>19.605399999999999</c:v>
                </c:pt>
                <c:pt idx="701">
                  <c:v>19.688199999999998</c:v>
                </c:pt>
                <c:pt idx="702">
                  <c:v>19.584700000000002</c:v>
                </c:pt>
                <c:pt idx="703">
                  <c:v>19.874500000000001</c:v>
                </c:pt>
                <c:pt idx="704">
                  <c:v>20.123000000000001</c:v>
                </c:pt>
                <c:pt idx="705">
                  <c:v>20.0609</c:v>
                </c:pt>
                <c:pt idx="706">
                  <c:v>19.998799999999999</c:v>
                </c:pt>
                <c:pt idx="707">
                  <c:v>18.8292</c:v>
                </c:pt>
                <c:pt idx="708">
                  <c:v>18.790099999999999</c:v>
                </c:pt>
                <c:pt idx="709">
                  <c:v>18.868400000000001</c:v>
                </c:pt>
                <c:pt idx="710">
                  <c:v>19.044799999999999</c:v>
                </c:pt>
                <c:pt idx="711">
                  <c:v>19.084</c:v>
                </c:pt>
                <c:pt idx="712">
                  <c:v>19.064399999999999</c:v>
                </c:pt>
                <c:pt idx="713">
                  <c:v>18.927199999999999</c:v>
                </c:pt>
                <c:pt idx="714">
                  <c:v>18.5549</c:v>
                </c:pt>
                <c:pt idx="715">
                  <c:v>18.613700000000001</c:v>
                </c:pt>
                <c:pt idx="716">
                  <c:v>18.5549</c:v>
                </c:pt>
                <c:pt idx="717">
                  <c:v>18.6921</c:v>
                </c:pt>
                <c:pt idx="718">
                  <c:v>18.750900000000001</c:v>
                </c:pt>
                <c:pt idx="719">
                  <c:v>18.750900000000001</c:v>
                </c:pt>
                <c:pt idx="720">
                  <c:v>18.731300000000001</c:v>
                </c:pt>
                <c:pt idx="721">
                  <c:v>18.868400000000001</c:v>
                </c:pt>
                <c:pt idx="722">
                  <c:v>18.888000000000002</c:v>
                </c:pt>
                <c:pt idx="723">
                  <c:v>18.731300000000001</c:v>
                </c:pt>
                <c:pt idx="724">
                  <c:v>18.613700000000001</c:v>
                </c:pt>
                <c:pt idx="725">
                  <c:v>18.633299999999998</c:v>
                </c:pt>
                <c:pt idx="726">
                  <c:v>18.790099999999999</c:v>
                </c:pt>
                <c:pt idx="727">
                  <c:v>18.790099999999999</c:v>
                </c:pt>
                <c:pt idx="728">
                  <c:v>18.731300000000001</c:v>
                </c:pt>
                <c:pt idx="729">
                  <c:v>18.750900000000001</c:v>
                </c:pt>
                <c:pt idx="730">
                  <c:v>19.573799999999999</c:v>
                </c:pt>
                <c:pt idx="731">
                  <c:v>19.985299999999999</c:v>
                </c:pt>
                <c:pt idx="732">
                  <c:v>20.279199999999999</c:v>
                </c:pt>
                <c:pt idx="733">
                  <c:v>20.396699999999999</c:v>
                </c:pt>
                <c:pt idx="734">
                  <c:v>20.5535</c:v>
                </c:pt>
                <c:pt idx="735">
                  <c:v>20.377099999999999</c:v>
                </c:pt>
                <c:pt idx="736">
                  <c:v>20.592600000000001</c:v>
                </c:pt>
                <c:pt idx="737">
                  <c:v>20.5731</c:v>
                </c:pt>
                <c:pt idx="738">
                  <c:v>20.4359</c:v>
                </c:pt>
                <c:pt idx="739">
                  <c:v>20.749400000000001</c:v>
                </c:pt>
                <c:pt idx="740">
                  <c:v>20.494700000000002</c:v>
                </c:pt>
                <c:pt idx="741">
                  <c:v>20.357500000000002</c:v>
                </c:pt>
                <c:pt idx="742">
                  <c:v>21.160900000000002</c:v>
                </c:pt>
                <c:pt idx="743">
                  <c:v>21.141300000000001</c:v>
                </c:pt>
                <c:pt idx="744">
                  <c:v>21.258800000000001</c:v>
                </c:pt>
                <c:pt idx="745">
                  <c:v>21.3568</c:v>
                </c:pt>
                <c:pt idx="746">
                  <c:v>21.709499999999998</c:v>
                </c:pt>
                <c:pt idx="747">
                  <c:v>21.827000000000002</c:v>
                </c:pt>
                <c:pt idx="748">
                  <c:v>21.689900000000002</c:v>
                </c:pt>
                <c:pt idx="749">
                  <c:v>21.3764</c:v>
                </c:pt>
                <c:pt idx="750">
                  <c:v>21.807400000000001</c:v>
                </c:pt>
                <c:pt idx="751">
                  <c:v>21.552700000000002</c:v>
                </c:pt>
                <c:pt idx="752">
                  <c:v>21.552700000000002</c:v>
                </c:pt>
                <c:pt idx="753">
                  <c:v>21.925000000000001</c:v>
                </c:pt>
                <c:pt idx="754">
                  <c:v>22.924299999999999</c:v>
                </c:pt>
                <c:pt idx="755">
                  <c:v>22.924299999999999</c:v>
                </c:pt>
                <c:pt idx="756">
                  <c:v>22.728300000000001</c:v>
                </c:pt>
                <c:pt idx="757">
                  <c:v>22.140499999999999</c:v>
                </c:pt>
                <c:pt idx="758">
                  <c:v>21.944600000000001</c:v>
                </c:pt>
                <c:pt idx="759">
                  <c:v>22.4344</c:v>
                </c:pt>
                <c:pt idx="760">
                  <c:v>22.767499999999998</c:v>
                </c:pt>
                <c:pt idx="761">
                  <c:v>22.512799999999999</c:v>
                </c:pt>
                <c:pt idx="762">
                  <c:v>22.336500000000001</c:v>
                </c:pt>
                <c:pt idx="763">
                  <c:v>22.532399999999999</c:v>
                </c:pt>
                <c:pt idx="764">
                  <c:v>22.5716</c:v>
                </c:pt>
                <c:pt idx="765">
                  <c:v>22.943899999999999</c:v>
                </c:pt>
                <c:pt idx="766">
                  <c:v>21.831700000000001</c:v>
                </c:pt>
                <c:pt idx="767">
                  <c:v>21.887899999999998</c:v>
                </c:pt>
                <c:pt idx="768">
                  <c:v>21.9254</c:v>
                </c:pt>
                <c:pt idx="769">
                  <c:v>21.569299999999998</c:v>
                </c:pt>
                <c:pt idx="770">
                  <c:v>21.363199999999999</c:v>
                </c:pt>
                <c:pt idx="771">
                  <c:v>21.306999999999999</c:v>
                </c:pt>
                <c:pt idx="772">
                  <c:v>21.1008</c:v>
                </c:pt>
                <c:pt idx="773">
                  <c:v>21.175799999999999</c:v>
                </c:pt>
                <c:pt idx="774">
                  <c:v>21.325700000000001</c:v>
                </c:pt>
                <c:pt idx="775">
                  <c:v>21.5318</c:v>
                </c:pt>
                <c:pt idx="776">
                  <c:v>21.644300000000001</c:v>
                </c:pt>
                <c:pt idx="777">
                  <c:v>20.913399999999999</c:v>
                </c:pt>
                <c:pt idx="778">
                  <c:v>21.175799999999999</c:v>
                </c:pt>
                <c:pt idx="779">
                  <c:v>20.950900000000001</c:v>
                </c:pt>
                <c:pt idx="780">
                  <c:v>20.426200000000001</c:v>
                </c:pt>
                <c:pt idx="781">
                  <c:v>20.669799999999999</c:v>
                </c:pt>
                <c:pt idx="782">
                  <c:v>21.044599999999999</c:v>
                </c:pt>
                <c:pt idx="783">
                  <c:v>22.5063</c:v>
                </c:pt>
                <c:pt idx="784">
                  <c:v>23.087199999999999</c:v>
                </c:pt>
                <c:pt idx="785">
                  <c:v>23.087199999999999</c:v>
                </c:pt>
                <c:pt idx="786">
                  <c:v>23.855499999999999</c:v>
                </c:pt>
                <c:pt idx="787">
                  <c:v>23.5932</c:v>
                </c:pt>
                <c:pt idx="788">
                  <c:v>23.911799999999999</c:v>
                </c:pt>
                <c:pt idx="789">
                  <c:v>24.6051</c:v>
                </c:pt>
                <c:pt idx="790">
                  <c:v>24.5489</c:v>
                </c:pt>
                <c:pt idx="791">
                  <c:v>24.4177</c:v>
                </c:pt>
                <c:pt idx="792">
                  <c:v>24.5489</c:v>
                </c:pt>
                <c:pt idx="793">
                  <c:v>24.305299999999999</c:v>
                </c:pt>
                <c:pt idx="794">
                  <c:v>24.455200000000001</c:v>
                </c:pt>
                <c:pt idx="795">
                  <c:v>25.129799999999999</c:v>
                </c:pt>
                <c:pt idx="796">
                  <c:v>25.3735</c:v>
                </c:pt>
                <c:pt idx="797">
                  <c:v>25.204799999999999</c:v>
                </c:pt>
                <c:pt idx="798">
                  <c:v>24.9237</c:v>
                </c:pt>
                <c:pt idx="799">
                  <c:v>25.485900000000001</c:v>
                </c:pt>
                <c:pt idx="800">
                  <c:v>25.860700000000001</c:v>
                </c:pt>
                <c:pt idx="801">
                  <c:v>25.766999999999999</c:v>
                </c:pt>
                <c:pt idx="802">
                  <c:v>24.717600000000001</c:v>
                </c:pt>
                <c:pt idx="803">
                  <c:v>24.886199999999999</c:v>
                </c:pt>
                <c:pt idx="804">
                  <c:v>25.673300000000001</c:v>
                </c:pt>
                <c:pt idx="805">
                  <c:v>25.4297</c:v>
                </c:pt>
                <c:pt idx="806">
                  <c:v>25.298500000000001</c:v>
                </c:pt>
                <c:pt idx="807">
                  <c:v>25.223500000000001</c:v>
                </c:pt>
                <c:pt idx="808">
                  <c:v>25.654499999999999</c:v>
                </c:pt>
                <c:pt idx="809">
                  <c:v>26.066800000000001</c:v>
                </c:pt>
                <c:pt idx="810">
                  <c:v>26.254200000000001</c:v>
                </c:pt>
                <c:pt idx="811">
                  <c:v>26.160499999999999</c:v>
                </c:pt>
                <c:pt idx="812">
                  <c:v>26.610299999999999</c:v>
                </c:pt>
                <c:pt idx="813">
                  <c:v>26.985099999999999</c:v>
                </c:pt>
                <c:pt idx="814">
                  <c:v>27.453600000000002</c:v>
                </c:pt>
                <c:pt idx="815">
                  <c:v>28.4468</c:v>
                </c:pt>
                <c:pt idx="816">
                  <c:v>28.015699999999999</c:v>
                </c:pt>
                <c:pt idx="817">
                  <c:v>28.231200000000001</c:v>
                </c:pt>
                <c:pt idx="818">
                  <c:v>27.757100000000001</c:v>
                </c:pt>
                <c:pt idx="819">
                  <c:v>27.584700000000002</c:v>
                </c:pt>
                <c:pt idx="820">
                  <c:v>28.338999999999999</c:v>
                </c:pt>
                <c:pt idx="821">
                  <c:v>28.726900000000001</c:v>
                </c:pt>
                <c:pt idx="822">
                  <c:v>29.330300000000001</c:v>
                </c:pt>
                <c:pt idx="823">
                  <c:v>28.468299999999999</c:v>
                </c:pt>
                <c:pt idx="824">
                  <c:v>28.015699999999999</c:v>
                </c:pt>
                <c:pt idx="825">
                  <c:v>28.403700000000001</c:v>
                </c:pt>
                <c:pt idx="826">
                  <c:v>28.619199999999999</c:v>
                </c:pt>
                <c:pt idx="827">
                  <c:v>26.7088</c:v>
                </c:pt>
                <c:pt idx="828">
                  <c:v>26.32</c:v>
                </c:pt>
                <c:pt idx="829">
                  <c:v>26.197199999999999</c:v>
                </c:pt>
                <c:pt idx="830">
                  <c:v>26.811199999999999</c:v>
                </c:pt>
                <c:pt idx="831">
                  <c:v>27.793600000000001</c:v>
                </c:pt>
                <c:pt idx="832">
                  <c:v>28.3871</c:v>
                </c:pt>
                <c:pt idx="833">
                  <c:v>28.571300000000001</c:v>
                </c:pt>
                <c:pt idx="834">
                  <c:v>28.141500000000001</c:v>
                </c:pt>
                <c:pt idx="835">
                  <c:v>27.4252</c:v>
                </c:pt>
                <c:pt idx="836">
                  <c:v>27.220500000000001</c:v>
                </c:pt>
                <c:pt idx="837">
                  <c:v>27.3842</c:v>
                </c:pt>
                <c:pt idx="838">
                  <c:v>27.159099999999999</c:v>
                </c:pt>
                <c:pt idx="839">
                  <c:v>27.4252</c:v>
                </c:pt>
                <c:pt idx="840">
                  <c:v>26.9954</c:v>
                </c:pt>
                <c:pt idx="841">
                  <c:v>26.1767</c:v>
                </c:pt>
                <c:pt idx="842">
                  <c:v>25.787800000000001</c:v>
                </c:pt>
                <c:pt idx="843">
                  <c:v>25.399000000000001</c:v>
                </c:pt>
                <c:pt idx="844">
                  <c:v>25.685500000000001</c:v>
                </c:pt>
                <c:pt idx="845">
                  <c:v>25.787800000000001</c:v>
                </c:pt>
                <c:pt idx="846">
                  <c:v>25.583200000000001</c:v>
                </c:pt>
                <c:pt idx="847">
                  <c:v>26.197199999999999</c:v>
                </c:pt>
                <c:pt idx="848">
                  <c:v>26.401800000000001</c:v>
                </c:pt>
                <c:pt idx="849">
                  <c:v>26.197199999999999</c:v>
                </c:pt>
                <c:pt idx="850">
                  <c:v>26.32</c:v>
                </c:pt>
                <c:pt idx="851">
                  <c:v>25.542200000000001</c:v>
                </c:pt>
                <c:pt idx="852">
                  <c:v>25.2148</c:v>
                </c:pt>
                <c:pt idx="853">
                  <c:v>24.273299999999999</c:v>
                </c:pt>
                <c:pt idx="854">
                  <c:v>24.723600000000001</c:v>
                </c:pt>
                <c:pt idx="855">
                  <c:v>24.969200000000001</c:v>
                </c:pt>
                <c:pt idx="856">
                  <c:v>24.846399999999999</c:v>
                </c:pt>
                <c:pt idx="857">
                  <c:v>25.972000000000001</c:v>
                </c:pt>
                <c:pt idx="858">
                  <c:v>26.6065</c:v>
                </c:pt>
                <c:pt idx="859">
                  <c:v>26.545100000000001</c:v>
                </c:pt>
                <c:pt idx="860">
                  <c:v>26.504200000000001</c:v>
                </c:pt>
                <c:pt idx="861">
                  <c:v>26.340399999999999</c:v>
                </c:pt>
                <c:pt idx="862">
                  <c:v>26.729299999999999</c:v>
                </c:pt>
                <c:pt idx="863">
                  <c:v>26.7088</c:v>
                </c:pt>
                <c:pt idx="864">
                  <c:v>26.913499999999999</c:v>
                </c:pt>
                <c:pt idx="865">
                  <c:v>27.322800000000001</c:v>
                </c:pt>
                <c:pt idx="866">
                  <c:v>27.3842</c:v>
                </c:pt>
                <c:pt idx="867">
                  <c:v>27.241</c:v>
                </c:pt>
                <c:pt idx="868">
                  <c:v>26.913499999999999</c:v>
                </c:pt>
                <c:pt idx="869">
                  <c:v>27.118200000000002</c:v>
                </c:pt>
                <c:pt idx="870">
                  <c:v>27.2819</c:v>
                </c:pt>
                <c:pt idx="871">
                  <c:v>27.363800000000001</c:v>
                </c:pt>
                <c:pt idx="872">
                  <c:v>27.588899999999999</c:v>
                </c:pt>
                <c:pt idx="873">
                  <c:v>27.220500000000001</c:v>
                </c:pt>
                <c:pt idx="874">
                  <c:v>26.729299999999999</c:v>
                </c:pt>
                <c:pt idx="875">
                  <c:v>27.036300000000001</c:v>
                </c:pt>
                <c:pt idx="876">
                  <c:v>26.872599999999998</c:v>
                </c:pt>
                <c:pt idx="877">
                  <c:v>26.6065</c:v>
                </c:pt>
                <c:pt idx="878">
                  <c:v>26.729299999999999</c:v>
                </c:pt>
                <c:pt idx="879">
                  <c:v>27.077200000000001</c:v>
                </c:pt>
                <c:pt idx="880">
                  <c:v>27.220500000000001</c:v>
                </c:pt>
                <c:pt idx="881">
                  <c:v>26.831600000000002</c:v>
                </c:pt>
                <c:pt idx="882">
                  <c:v>27.2</c:v>
                </c:pt>
                <c:pt idx="883">
                  <c:v>27.547999999999998</c:v>
                </c:pt>
                <c:pt idx="884">
                  <c:v>27.6708</c:v>
                </c:pt>
                <c:pt idx="885">
                  <c:v>27.691199999999998</c:v>
                </c:pt>
                <c:pt idx="886">
                  <c:v>27.4252</c:v>
                </c:pt>
                <c:pt idx="887">
                  <c:v>27.5275</c:v>
                </c:pt>
                <c:pt idx="888">
                  <c:v>27.588899999999999</c:v>
                </c:pt>
                <c:pt idx="889">
                  <c:v>27.486599999999999</c:v>
                </c:pt>
                <c:pt idx="890">
                  <c:v>27.466100000000001</c:v>
                </c:pt>
                <c:pt idx="891">
                  <c:v>26.243500000000001</c:v>
                </c:pt>
                <c:pt idx="892">
                  <c:v>26.5167</c:v>
                </c:pt>
                <c:pt idx="893">
                  <c:v>26.4191</c:v>
                </c:pt>
                <c:pt idx="894">
                  <c:v>26.146000000000001</c:v>
                </c:pt>
                <c:pt idx="895">
                  <c:v>26.165500000000002</c:v>
                </c:pt>
                <c:pt idx="896">
                  <c:v>26.165500000000002</c:v>
                </c:pt>
                <c:pt idx="897">
                  <c:v>26.1069</c:v>
                </c:pt>
                <c:pt idx="898">
                  <c:v>26.4191</c:v>
                </c:pt>
                <c:pt idx="899">
                  <c:v>27.648399999999999</c:v>
                </c:pt>
                <c:pt idx="900">
                  <c:v>27.238600000000002</c:v>
                </c:pt>
                <c:pt idx="901">
                  <c:v>26.848400000000002</c:v>
                </c:pt>
                <c:pt idx="902">
                  <c:v>26.731300000000001</c:v>
                </c:pt>
                <c:pt idx="903">
                  <c:v>26.5947</c:v>
                </c:pt>
                <c:pt idx="904">
                  <c:v>26.731300000000001</c:v>
                </c:pt>
                <c:pt idx="905">
                  <c:v>26.731300000000001</c:v>
                </c:pt>
                <c:pt idx="906">
                  <c:v>26.438600000000001</c:v>
                </c:pt>
                <c:pt idx="907">
                  <c:v>25.970400000000001</c:v>
                </c:pt>
                <c:pt idx="908">
                  <c:v>26.184999999999999</c:v>
                </c:pt>
                <c:pt idx="909">
                  <c:v>26.204499999999999</c:v>
                </c:pt>
                <c:pt idx="910">
                  <c:v>26.146000000000001</c:v>
                </c:pt>
                <c:pt idx="911">
                  <c:v>26.3216</c:v>
                </c:pt>
                <c:pt idx="912">
                  <c:v>26.4191</c:v>
                </c:pt>
                <c:pt idx="913">
                  <c:v>26.5167</c:v>
                </c:pt>
                <c:pt idx="914">
                  <c:v>26.5167</c:v>
                </c:pt>
                <c:pt idx="915">
                  <c:v>26.263000000000002</c:v>
                </c:pt>
                <c:pt idx="916">
                  <c:v>25.911799999999999</c:v>
                </c:pt>
                <c:pt idx="917">
                  <c:v>25.872800000000002</c:v>
                </c:pt>
                <c:pt idx="918">
                  <c:v>26.263000000000002</c:v>
                </c:pt>
                <c:pt idx="919">
                  <c:v>26.360600000000002</c:v>
                </c:pt>
                <c:pt idx="920">
                  <c:v>26.497199999999999</c:v>
                </c:pt>
                <c:pt idx="921">
                  <c:v>26.984999999999999</c:v>
                </c:pt>
                <c:pt idx="922">
                  <c:v>26.692299999999999</c:v>
                </c:pt>
                <c:pt idx="923">
                  <c:v>26.8874</c:v>
                </c:pt>
                <c:pt idx="924">
                  <c:v>26.536200000000001</c:v>
                </c:pt>
                <c:pt idx="925">
                  <c:v>26.1265</c:v>
                </c:pt>
                <c:pt idx="926">
                  <c:v>26.146000000000001</c:v>
                </c:pt>
                <c:pt idx="927">
                  <c:v>25.365500000000001</c:v>
                </c:pt>
                <c:pt idx="928">
                  <c:v>25.8338</c:v>
                </c:pt>
                <c:pt idx="929">
                  <c:v>25.950800000000001</c:v>
                </c:pt>
                <c:pt idx="930">
                  <c:v>26.1265</c:v>
                </c:pt>
                <c:pt idx="931">
                  <c:v>26.1265</c:v>
                </c:pt>
                <c:pt idx="932">
                  <c:v>26.380099999999999</c:v>
                </c:pt>
                <c:pt idx="933">
                  <c:v>27.102</c:v>
                </c:pt>
                <c:pt idx="934">
                  <c:v>27.1996</c:v>
                </c:pt>
                <c:pt idx="935">
                  <c:v>28.1557</c:v>
                </c:pt>
                <c:pt idx="936">
                  <c:v>27.745899999999999</c:v>
                </c:pt>
                <c:pt idx="937">
                  <c:v>28.292300000000001</c:v>
                </c:pt>
                <c:pt idx="938">
                  <c:v>27.999600000000001</c:v>
                </c:pt>
                <c:pt idx="939">
                  <c:v>28.975200000000001</c:v>
                </c:pt>
                <c:pt idx="940">
                  <c:v>29.170300000000001</c:v>
                </c:pt>
                <c:pt idx="941">
                  <c:v>28.682500000000001</c:v>
                </c:pt>
                <c:pt idx="942">
                  <c:v>29.170300000000001</c:v>
                </c:pt>
                <c:pt idx="943">
                  <c:v>29.365400000000001</c:v>
                </c:pt>
                <c:pt idx="944">
                  <c:v>29.306899999999999</c:v>
                </c:pt>
                <c:pt idx="945">
                  <c:v>29.170300000000001</c:v>
                </c:pt>
                <c:pt idx="946">
                  <c:v>29.2484</c:v>
                </c:pt>
                <c:pt idx="947">
                  <c:v>28.877600000000001</c:v>
                </c:pt>
                <c:pt idx="948">
                  <c:v>29.014199999999999</c:v>
                </c:pt>
                <c:pt idx="949">
                  <c:v>28.897099999999998</c:v>
                </c:pt>
                <c:pt idx="950">
                  <c:v>29.170300000000001</c:v>
                </c:pt>
                <c:pt idx="951">
                  <c:v>29.2288</c:v>
                </c:pt>
                <c:pt idx="952">
                  <c:v>29.3459</c:v>
                </c:pt>
                <c:pt idx="953">
                  <c:v>29.423999999999999</c:v>
                </c:pt>
                <c:pt idx="954">
                  <c:v>29.2288</c:v>
                </c:pt>
                <c:pt idx="955">
                  <c:v>29.189800000000002</c:v>
                </c:pt>
                <c:pt idx="956">
                  <c:v>29.365400000000001</c:v>
                </c:pt>
                <c:pt idx="957">
                  <c:v>28.3934</c:v>
                </c:pt>
                <c:pt idx="958">
                  <c:v>28.3004</c:v>
                </c:pt>
                <c:pt idx="959">
                  <c:v>27.741800000000001</c:v>
                </c:pt>
                <c:pt idx="960">
                  <c:v>27.797699999999999</c:v>
                </c:pt>
                <c:pt idx="961">
                  <c:v>27.9466</c:v>
                </c:pt>
                <c:pt idx="962">
                  <c:v>27.611499999999999</c:v>
                </c:pt>
                <c:pt idx="963">
                  <c:v>27.704599999999999</c:v>
                </c:pt>
                <c:pt idx="964">
                  <c:v>27.4253</c:v>
                </c:pt>
                <c:pt idx="965">
                  <c:v>27.481100000000001</c:v>
                </c:pt>
                <c:pt idx="966">
                  <c:v>27.015699999999999</c:v>
                </c:pt>
                <c:pt idx="967">
                  <c:v>27.0901</c:v>
                </c:pt>
                <c:pt idx="968">
                  <c:v>27.276299999999999</c:v>
                </c:pt>
                <c:pt idx="969">
                  <c:v>27.741800000000001</c:v>
                </c:pt>
                <c:pt idx="970">
                  <c:v>27.928000000000001</c:v>
                </c:pt>
                <c:pt idx="971">
                  <c:v>27.909400000000002</c:v>
                </c:pt>
                <c:pt idx="972">
                  <c:v>27.8721</c:v>
                </c:pt>
                <c:pt idx="973">
                  <c:v>28.7286</c:v>
                </c:pt>
                <c:pt idx="974">
                  <c:v>28.561</c:v>
                </c:pt>
                <c:pt idx="975">
                  <c:v>27.0901</c:v>
                </c:pt>
                <c:pt idx="976">
                  <c:v>27.220500000000001</c:v>
                </c:pt>
                <c:pt idx="977">
                  <c:v>27.239100000000001</c:v>
                </c:pt>
                <c:pt idx="978">
                  <c:v>27.276299999999999</c:v>
                </c:pt>
                <c:pt idx="979">
                  <c:v>27.201899999999998</c:v>
                </c:pt>
                <c:pt idx="980">
                  <c:v>26.438500000000001</c:v>
                </c:pt>
                <c:pt idx="981">
                  <c:v>27.0715</c:v>
                </c:pt>
                <c:pt idx="982">
                  <c:v>26.997</c:v>
                </c:pt>
                <c:pt idx="983">
                  <c:v>26.6433</c:v>
                </c:pt>
                <c:pt idx="984">
                  <c:v>26.978400000000001</c:v>
                </c:pt>
                <c:pt idx="985">
                  <c:v>26.7364</c:v>
                </c:pt>
                <c:pt idx="986">
                  <c:v>26.792200000000001</c:v>
                </c:pt>
                <c:pt idx="987">
                  <c:v>26.8109</c:v>
                </c:pt>
                <c:pt idx="988">
                  <c:v>26.624700000000001</c:v>
                </c:pt>
                <c:pt idx="989">
                  <c:v>26.438500000000001</c:v>
                </c:pt>
                <c:pt idx="990">
                  <c:v>26.159199999999998</c:v>
                </c:pt>
                <c:pt idx="991">
                  <c:v>25.879899999999999</c:v>
                </c:pt>
                <c:pt idx="992">
                  <c:v>26.401299999999999</c:v>
                </c:pt>
                <c:pt idx="993">
                  <c:v>26.308199999999999</c:v>
                </c:pt>
                <c:pt idx="994">
                  <c:v>26.122</c:v>
                </c:pt>
                <c:pt idx="995">
                  <c:v>26.159199999999998</c:v>
                </c:pt>
                <c:pt idx="996">
                  <c:v>26.066099999999999</c:v>
                </c:pt>
                <c:pt idx="997">
                  <c:v>25.898499999999999</c:v>
                </c:pt>
                <c:pt idx="998">
                  <c:v>26.364000000000001</c:v>
                </c:pt>
                <c:pt idx="999">
                  <c:v>26.326799999999999</c:v>
                </c:pt>
                <c:pt idx="1000">
                  <c:v>25.9358</c:v>
                </c:pt>
                <c:pt idx="1001">
                  <c:v>25.6007</c:v>
                </c:pt>
                <c:pt idx="1002">
                  <c:v>25.302800000000001</c:v>
                </c:pt>
                <c:pt idx="1003">
                  <c:v>25.4145</c:v>
                </c:pt>
                <c:pt idx="1004">
                  <c:v>24.4649</c:v>
                </c:pt>
                <c:pt idx="1005">
                  <c:v>24.2043</c:v>
                </c:pt>
                <c:pt idx="1006">
                  <c:v>24.2043</c:v>
                </c:pt>
                <c:pt idx="1007">
                  <c:v>23.198799999999999</c:v>
                </c:pt>
                <c:pt idx="1008">
                  <c:v>23.273299999999999</c:v>
                </c:pt>
                <c:pt idx="1009">
                  <c:v>23.831900000000001</c:v>
                </c:pt>
                <c:pt idx="1010">
                  <c:v>24.0181</c:v>
                </c:pt>
                <c:pt idx="1011">
                  <c:v>23.552600000000002</c:v>
                </c:pt>
                <c:pt idx="1012">
                  <c:v>22.9009</c:v>
                </c:pt>
                <c:pt idx="1013">
                  <c:v>23.496700000000001</c:v>
                </c:pt>
                <c:pt idx="1014">
                  <c:v>23.0871</c:v>
                </c:pt>
                <c:pt idx="1015">
                  <c:v>21.539200000000001</c:v>
                </c:pt>
                <c:pt idx="1016">
                  <c:v>21.450199999999999</c:v>
                </c:pt>
                <c:pt idx="1017">
                  <c:v>21.717300000000002</c:v>
                </c:pt>
                <c:pt idx="1018">
                  <c:v>20.2042</c:v>
                </c:pt>
                <c:pt idx="1019">
                  <c:v>20.115200000000002</c:v>
                </c:pt>
                <c:pt idx="1020">
                  <c:v>18.7089</c:v>
                </c:pt>
                <c:pt idx="1021">
                  <c:v>18.744499999999999</c:v>
                </c:pt>
                <c:pt idx="1022">
                  <c:v>20.044</c:v>
                </c:pt>
                <c:pt idx="1023">
                  <c:v>21.094200000000001</c:v>
                </c:pt>
                <c:pt idx="1024">
                  <c:v>21.094200000000001</c:v>
                </c:pt>
                <c:pt idx="1025">
                  <c:v>20.6492</c:v>
                </c:pt>
                <c:pt idx="1026">
                  <c:v>19.2073</c:v>
                </c:pt>
                <c:pt idx="1027">
                  <c:v>19.474299999999999</c:v>
                </c:pt>
                <c:pt idx="1028">
                  <c:v>19.8659</c:v>
                </c:pt>
                <c:pt idx="1029">
                  <c:v>19.883700000000001</c:v>
                </c:pt>
                <c:pt idx="1030">
                  <c:v>19.6523</c:v>
                </c:pt>
                <c:pt idx="1031">
                  <c:v>19.6523</c:v>
                </c:pt>
                <c:pt idx="1032">
                  <c:v>19.937200000000001</c:v>
                </c:pt>
                <c:pt idx="1033">
                  <c:v>20.008400000000002</c:v>
                </c:pt>
                <c:pt idx="1034">
                  <c:v>19.492100000000001</c:v>
                </c:pt>
                <c:pt idx="1035">
                  <c:v>19.474299999999999</c:v>
                </c:pt>
                <c:pt idx="1036">
                  <c:v>19.331900000000001</c:v>
                </c:pt>
                <c:pt idx="1037">
                  <c:v>19.527699999999999</c:v>
                </c:pt>
                <c:pt idx="1038">
                  <c:v>19.527699999999999</c:v>
                </c:pt>
                <c:pt idx="1039">
                  <c:v>20.346599999999999</c:v>
                </c:pt>
                <c:pt idx="1040">
                  <c:v>20.6492</c:v>
                </c:pt>
                <c:pt idx="1041">
                  <c:v>21.058599999999998</c:v>
                </c:pt>
                <c:pt idx="1042">
                  <c:v>21.272200000000002</c:v>
                </c:pt>
                <c:pt idx="1043">
                  <c:v>22.482700000000001</c:v>
                </c:pt>
                <c:pt idx="1044">
                  <c:v>22.251300000000001</c:v>
                </c:pt>
                <c:pt idx="1045">
                  <c:v>21.539200000000001</c:v>
                </c:pt>
                <c:pt idx="1046">
                  <c:v>21.040800000000001</c:v>
                </c:pt>
                <c:pt idx="1047">
                  <c:v>21.218800000000002</c:v>
                </c:pt>
                <c:pt idx="1048">
                  <c:v>21.058599999999998</c:v>
                </c:pt>
                <c:pt idx="1049">
                  <c:v>20.791599999999999</c:v>
                </c:pt>
                <c:pt idx="1050">
                  <c:v>20.844999999999999</c:v>
                </c:pt>
                <c:pt idx="1051">
                  <c:v>20.880600000000001</c:v>
                </c:pt>
                <c:pt idx="1052">
                  <c:v>21.183199999999999</c:v>
                </c:pt>
                <c:pt idx="1053">
                  <c:v>21.0764</c:v>
                </c:pt>
                <c:pt idx="1054">
                  <c:v>20.844999999999999</c:v>
                </c:pt>
                <c:pt idx="1055">
                  <c:v>20.738199999999999</c:v>
                </c:pt>
                <c:pt idx="1056">
                  <c:v>20.667000000000002</c:v>
                </c:pt>
                <c:pt idx="1057">
                  <c:v>20.898399999999999</c:v>
                </c:pt>
                <c:pt idx="1058">
                  <c:v>20.844999999999999</c:v>
                </c:pt>
                <c:pt idx="1059">
                  <c:v>20.791599999999999</c:v>
                </c:pt>
                <c:pt idx="1060">
                  <c:v>20.4712</c:v>
                </c:pt>
                <c:pt idx="1061">
                  <c:v>20.684799999999999</c:v>
                </c:pt>
                <c:pt idx="1062">
                  <c:v>20.595800000000001</c:v>
                </c:pt>
                <c:pt idx="1063">
                  <c:v>20.987400000000001</c:v>
                </c:pt>
                <c:pt idx="1064">
                  <c:v>20.827200000000001</c:v>
                </c:pt>
                <c:pt idx="1065">
                  <c:v>20.542400000000001</c:v>
                </c:pt>
                <c:pt idx="1066">
                  <c:v>21.183199999999999</c:v>
                </c:pt>
                <c:pt idx="1067">
                  <c:v>21.147600000000001</c:v>
                </c:pt>
                <c:pt idx="1068">
                  <c:v>20.827200000000001</c:v>
                </c:pt>
                <c:pt idx="1069">
                  <c:v>20.6492</c:v>
                </c:pt>
                <c:pt idx="1070">
                  <c:v>20.667000000000002</c:v>
                </c:pt>
                <c:pt idx="1071">
                  <c:v>20.631399999999999</c:v>
                </c:pt>
                <c:pt idx="1072">
                  <c:v>20.738199999999999</c:v>
                </c:pt>
                <c:pt idx="1073">
                  <c:v>20.844999999999999</c:v>
                </c:pt>
                <c:pt idx="1074">
                  <c:v>20.827200000000001</c:v>
                </c:pt>
                <c:pt idx="1075">
                  <c:v>20.880600000000001</c:v>
                </c:pt>
                <c:pt idx="1076">
                  <c:v>20.178799999999999</c:v>
                </c:pt>
                <c:pt idx="1077">
                  <c:v>20.281199999999998</c:v>
                </c:pt>
                <c:pt idx="1078">
                  <c:v>20.2471</c:v>
                </c:pt>
                <c:pt idx="1079">
                  <c:v>20.1447</c:v>
                </c:pt>
                <c:pt idx="1080">
                  <c:v>20.9129</c:v>
                </c:pt>
                <c:pt idx="1081">
                  <c:v>21.134799999999998</c:v>
                </c:pt>
                <c:pt idx="1082">
                  <c:v>21.254300000000001</c:v>
                </c:pt>
                <c:pt idx="1083">
                  <c:v>20.964099999999998</c:v>
                </c:pt>
                <c:pt idx="1084">
                  <c:v>21.151900000000001</c:v>
                </c:pt>
                <c:pt idx="1085">
                  <c:v>21.6128</c:v>
                </c:pt>
                <c:pt idx="1086">
                  <c:v>21.6982</c:v>
                </c:pt>
                <c:pt idx="1087">
                  <c:v>21.510400000000001</c:v>
                </c:pt>
                <c:pt idx="1088">
                  <c:v>21.561599999999999</c:v>
                </c:pt>
                <c:pt idx="1089">
                  <c:v>21.681100000000001</c:v>
                </c:pt>
                <c:pt idx="1090">
                  <c:v>21.510400000000001</c:v>
                </c:pt>
                <c:pt idx="1091">
                  <c:v>21.654599999999999</c:v>
                </c:pt>
                <c:pt idx="1092">
                  <c:v>22.007999999999999</c:v>
                </c:pt>
                <c:pt idx="1093">
                  <c:v>21.949100000000001</c:v>
                </c:pt>
                <c:pt idx="1094">
                  <c:v>21.811699999999998</c:v>
                </c:pt>
                <c:pt idx="1095">
                  <c:v>21.7332</c:v>
                </c:pt>
                <c:pt idx="1096">
                  <c:v>21.850999999999999</c:v>
                </c:pt>
                <c:pt idx="1097">
                  <c:v>20.810400000000001</c:v>
                </c:pt>
                <c:pt idx="1098">
                  <c:v>20.830100000000002</c:v>
                </c:pt>
                <c:pt idx="1099">
                  <c:v>20.4178</c:v>
                </c:pt>
                <c:pt idx="1100">
                  <c:v>21.006799999999998</c:v>
                </c:pt>
                <c:pt idx="1101">
                  <c:v>20.9282</c:v>
                </c:pt>
                <c:pt idx="1102">
                  <c:v>20.7712</c:v>
                </c:pt>
                <c:pt idx="1103">
                  <c:v>20.5945</c:v>
                </c:pt>
                <c:pt idx="1104">
                  <c:v>20.849699999999999</c:v>
                </c:pt>
                <c:pt idx="1105">
                  <c:v>20.7319</c:v>
                </c:pt>
                <c:pt idx="1106">
                  <c:v>20.888999999999999</c:v>
                </c:pt>
                <c:pt idx="1107">
                  <c:v>21.104900000000001</c:v>
                </c:pt>
                <c:pt idx="1108">
                  <c:v>20.633800000000001</c:v>
                </c:pt>
                <c:pt idx="1109">
                  <c:v>20.378499999999999</c:v>
                </c:pt>
                <c:pt idx="1110">
                  <c:v>19.907399999999999</c:v>
                </c:pt>
                <c:pt idx="1111">
                  <c:v>19.730699999999999</c:v>
                </c:pt>
                <c:pt idx="1112">
                  <c:v>19.691400000000002</c:v>
                </c:pt>
                <c:pt idx="1113">
                  <c:v>19.181000000000001</c:v>
                </c:pt>
                <c:pt idx="1114">
                  <c:v>19.9663</c:v>
                </c:pt>
                <c:pt idx="1115">
                  <c:v>19.436199999999999</c:v>
                </c:pt>
                <c:pt idx="1116">
                  <c:v>19.396899999999999</c:v>
                </c:pt>
                <c:pt idx="1117">
                  <c:v>19.6325</c:v>
                </c:pt>
                <c:pt idx="1118">
                  <c:v>20.614100000000001</c:v>
                </c:pt>
                <c:pt idx="1119">
                  <c:v>20.515999999999998</c:v>
                </c:pt>
                <c:pt idx="1120">
                  <c:v>19.9466</c:v>
                </c:pt>
                <c:pt idx="1121">
                  <c:v>20.2607</c:v>
                </c:pt>
                <c:pt idx="1122">
                  <c:v>20.614100000000001</c:v>
                </c:pt>
                <c:pt idx="1123">
                  <c:v>20.3</c:v>
                </c:pt>
                <c:pt idx="1124">
                  <c:v>20.005500000000001</c:v>
                </c:pt>
                <c:pt idx="1125">
                  <c:v>20.044799999999999</c:v>
                </c:pt>
                <c:pt idx="1126">
                  <c:v>19.868099999999998</c:v>
                </c:pt>
                <c:pt idx="1127">
                  <c:v>20.025099999999998</c:v>
                </c:pt>
                <c:pt idx="1128">
                  <c:v>19.9466</c:v>
                </c:pt>
                <c:pt idx="1129">
                  <c:v>20.005500000000001</c:v>
                </c:pt>
                <c:pt idx="1130">
                  <c:v>20.319600000000001</c:v>
                </c:pt>
                <c:pt idx="1131">
                  <c:v>20.712299999999999</c:v>
                </c:pt>
                <c:pt idx="1132">
                  <c:v>20.221499999999999</c:v>
                </c:pt>
                <c:pt idx="1133">
                  <c:v>20.221499999999999</c:v>
                </c:pt>
                <c:pt idx="1134">
                  <c:v>19.573599999999999</c:v>
                </c:pt>
                <c:pt idx="1135">
                  <c:v>19.239799999999999</c:v>
                </c:pt>
                <c:pt idx="1136">
                  <c:v>19.534300000000002</c:v>
                </c:pt>
                <c:pt idx="1137">
                  <c:v>19.239799999999999</c:v>
                </c:pt>
                <c:pt idx="1138">
                  <c:v>19.1417</c:v>
                </c:pt>
                <c:pt idx="1139">
                  <c:v>18.748999999999999</c:v>
                </c:pt>
                <c:pt idx="1140">
                  <c:v>17.615600000000001</c:v>
                </c:pt>
                <c:pt idx="1141">
                  <c:v>17.691299999999998</c:v>
                </c:pt>
                <c:pt idx="1142">
                  <c:v>17.4451</c:v>
                </c:pt>
                <c:pt idx="1143">
                  <c:v>17.691299999999998</c:v>
                </c:pt>
                <c:pt idx="1144">
                  <c:v>18.089099999999998</c:v>
                </c:pt>
                <c:pt idx="1145">
                  <c:v>18.089099999999998</c:v>
                </c:pt>
                <c:pt idx="1146">
                  <c:v>17.899699999999999</c:v>
                </c:pt>
                <c:pt idx="1147">
                  <c:v>17.8429</c:v>
                </c:pt>
                <c:pt idx="1148">
                  <c:v>18.2027</c:v>
                </c:pt>
                <c:pt idx="1149">
                  <c:v>17.805</c:v>
                </c:pt>
                <c:pt idx="1150">
                  <c:v>17.501899999999999</c:v>
                </c:pt>
                <c:pt idx="1151">
                  <c:v>16.971599999999999</c:v>
                </c:pt>
                <c:pt idx="1152">
                  <c:v>17.009399999999999</c:v>
                </c:pt>
                <c:pt idx="1153">
                  <c:v>16.6874</c:v>
                </c:pt>
                <c:pt idx="1154">
                  <c:v>16.479099999999999</c:v>
                </c:pt>
                <c:pt idx="1155">
                  <c:v>17.615600000000001</c:v>
                </c:pt>
                <c:pt idx="1156">
                  <c:v>18.373200000000001</c:v>
                </c:pt>
                <c:pt idx="1157">
                  <c:v>17.994399999999999</c:v>
                </c:pt>
                <c:pt idx="1158">
                  <c:v>18.505800000000001</c:v>
                </c:pt>
                <c:pt idx="1159">
                  <c:v>18.5626</c:v>
                </c:pt>
                <c:pt idx="1160">
                  <c:v>19.3582</c:v>
                </c:pt>
                <c:pt idx="1161">
                  <c:v>19.263500000000001</c:v>
                </c:pt>
                <c:pt idx="1162">
                  <c:v>19.4529</c:v>
                </c:pt>
                <c:pt idx="1163">
                  <c:v>19.680199999999999</c:v>
                </c:pt>
                <c:pt idx="1164">
                  <c:v>19.888500000000001</c:v>
                </c:pt>
                <c:pt idx="1165">
                  <c:v>19.566500000000001</c:v>
                </c:pt>
                <c:pt idx="1166">
                  <c:v>19.111899999999999</c:v>
                </c:pt>
                <c:pt idx="1167">
                  <c:v>18.979299999999999</c:v>
                </c:pt>
                <c:pt idx="1168">
                  <c:v>19.1309</c:v>
                </c:pt>
                <c:pt idx="1169">
                  <c:v>18.221699999999998</c:v>
                </c:pt>
                <c:pt idx="1170">
                  <c:v>18.2027</c:v>
                </c:pt>
                <c:pt idx="1171">
                  <c:v>19.055099999999999</c:v>
                </c:pt>
                <c:pt idx="1172">
                  <c:v>18.7331</c:v>
                </c:pt>
                <c:pt idx="1173">
                  <c:v>18.941500000000001</c:v>
                </c:pt>
                <c:pt idx="1174">
                  <c:v>19.1309</c:v>
                </c:pt>
                <c:pt idx="1175">
                  <c:v>18.941500000000001</c:v>
                </c:pt>
                <c:pt idx="1176">
                  <c:v>18.5626</c:v>
                </c:pt>
                <c:pt idx="1177">
                  <c:v>18.752099999999999</c:v>
                </c:pt>
                <c:pt idx="1178">
                  <c:v>19.093</c:v>
                </c:pt>
                <c:pt idx="1179">
                  <c:v>18.979299999999999</c:v>
                </c:pt>
                <c:pt idx="1180">
                  <c:v>18.884599999999999</c:v>
                </c:pt>
                <c:pt idx="1181">
                  <c:v>18.752099999999999</c:v>
                </c:pt>
                <c:pt idx="1182">
                  <c:v>18.846800000000002</c:v>
                </c:pt>
                <c:pt idx="1183">
                  <c:v>18.392199999999999</c:v>
                </c:pt>
                <c:pt idx="1184">
                  <c:v>18.297499999999999</c:v>
                </c:pt>
                <c:pt idx="1185">
                  <c:v>18.297499999999999</c:v>
                </c:pt>
                <c:pt idx="1186">
                  <c:v>18.297499999999999</c:v>
                </c:pt>
                <c:pt idx="1187">
                  <c:v>18.4679</c:v>
                </c:pt>
                <c:pt idx="1188">
                  <c:v>18.221699999999998</c:v>
                </c:pt>
                <c:pt idx="1189">
                  <c:v>18.089099999999998</c:v>
                </c:pt>
                <c:pt idx="1190">
                  <c:v>18.354299999999999</c:v>
                </c:pt>
                <c:pt idx="1191">
                  <c:v>18.108000000000001</c:v>
                </c:pt>
                <c:pt idx="1192">
                  <c:v>18.183800000000002</c:v>
                </c:pt>
                <c:pt idx="1193">
                  <c:v>17.748200000000001</c:v>
                </c:pt>
                <c:pt idx="1194">
                  <c:v>17.767099999999999</c:v>
                </c:pt>
                <c:pt idx="1195">
                  <c:v>17.9755</c:v>
                </c:pt>
                <c:pt idx="1196">
                  <c:v>18.164899999999999</c:v>
                </c:pt>
                <c:pt idx="1197">
                  <c:v>17.880700000000001</c:v>
                </c:pt>
                <c:pt idx="1198">
                  <c:v>17.786000000000001</c:v>
                </c:pt>
                <c:pt idx="1199">
                  <c:v>17.748200000000001</c:v>
                </c:pt>
                <c:pt idx="1200">
                  <c:v>17.805</c:v>
                </c:pt>
                <c:pt idx="1201">
                  <c:v>17.729199999999999</c:v>
                </c:pt>
                <c:pt idx="1202">
                  <c:v>17.615600000000001</c:v>
                </c:pt>
                <c:pt idx="1203">
                  <c:v>17.520900000000001</c:v>
                </c:pt>
                <c:pt idx="1204">
                  <c:v>17.861799999999999</c:v>
                </c:pt>
                <c:pt idx="1205">
                  <c:v>18.278500000000001</c:v>
                </c:pt>
                <c:pt idx="1206">
                  <c:v>17.3902</c:v>
                </c:pt>
                <c:pt idx="1207">
                  <c:v>17.245000000000001</c:v>
                </c:pt>
                <c:pt idx="1208">
                  <c:v>17.063500000000001</c:v>
                </c:pt>
                <c:pt idx="1209">
                  <c:v>17.698799999999999</c:v>
                </c:pt>
                <c:pt idx="1210">
                  <c:v>17.517299999999999</c:v>
                </c:pt>
                <c:pt idx="1211">
                  <c:v>17.680700000000002</c:v>
                </c:pt>
                <c:pt idx="1212">
                  <c:v>18.061900000000001</c:v>
                </c:pt>
                <c:pt idx="1213">
                  <c:v>17.952999999999999</c:v>
                </c:pt>
                <c:pt idx="1214">
                  <c:v>18.116299999999999</c:v>
                </c:pt>
                <c:pt idx="1215">
                  <c:v>17.880400000000002</c:v>
                </c:pt>
                <c:pt idx="1216">
                  <c:v>19.114699999999999</c:v>
                </c:pt>
                <c:pt idx="1217">
                  <c:v>19.205500000000001</c:v>
                </c:pt>
                <c:pt idx="1218">
                  <c:v>18.896899999999999</c:v>
                </c:pt>
                <c:pt idx="1219">
                  <c:v>19.060300000000002</c:v>
                </c:pt>
                <c:pt idx="1220">
                  <c:v>18.788</c:v>
                </c:pt>
                <c:pt idx="1221">
                  <c:v>18.334199999999999</c:v>
                </c:pt>
                <c:pt idx="1222">
                  <c:v>17.880400000000002</c:v>
                </c:pt>
                <c:pt idx="1223">
                  <c:v>18.533899999999999</c:v>
                </c:pt>
                <c:pt idx="1224">
                  <c:v>18.9695</c:v>
                </c:pt>
                <c:pt idx="1225">
                  <c:v>19.260000000000002</c:v>
                </c:pt>
                <c:pt idx="1226">
                  <c:v>18.9695</c:v>
                </c:pt>
                <c:pt idx="1227">
                  <c:v>18.933199999999999</c:v>
                </c:pt>
                <c:pt idx="1228">
                  <c:v>18.860600000000002</c:v>
                </c:pt>
                <c:pt idx="1229">
                  <c:v>18.497499999999999</c:v>
                </c:pt>
                <c:pt idx="1230">
                  <c:v>17.9711</c:v>
                </c:pt>
                <c:pt idx="1231">
                  <c:v>17.716999999999999</c:v>
                </c:pt>
                <c:pt idx="1232">
                  <c:v>17.9711</c:v>
                </c:pt>
                <c:pt idx="1233">
                  <c:v>17.753299999999999</c:v>
                </c:pt>
                <c:pt idx="1234">
                  <c:v>17.898499999999999</c:v>
                </c:pt>
                <c:pt idx="1235">
                  <c:v>17.934799999999999</c:v>
                </c:pt>
                <c:pt idx="1236">
                  <c:v>17.481000000000002</c:v>
                </c:pt>
                <c:pt idx="1237">
                  <c:v>17.154299999999999</c:v>
                </c:pt>
                <c:pt idx="1238">
                  <c:v>16.7912</c:v>
                </c:pt>
                <c:pt idx="1239">
                  <c:v>16.173999999999999</c:v>
                </c:pt>
                <c:pt idx="1240">
                  <c:v>16.428100000000001</c:v>
                </c:pt>
                <c:pt idx="1241">
                  <c:v>16.863800000000001</c:v>
                </c:pt>
                <c:pt idx="1242">
                  <c:v>16.264800000000001</c:v>
                </c:pt>
                <c:pt idx="1243">
                  <c:v>15.7928</c:v>
                </c:pt>
                <c:pt idx="1244">
                  <c:v>15.447900000000001</c:v>
                </c:pt>
                <c:pt idx="1245">
                  <c:v>15.3208</c:v>
                </c:pt>
                <c:pt idx="1246">
                  <c:v>14.8126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CF-43BC-82C0-BDBD0A0DFF68}"/>
            </c:ext>
          </c:extLst>
        </c:ser>
        <c:ser>
          <c:idx val="4"/>
          <c:order val="3"/>
          <c:tx>
            <c:strRef>
              <c:f>'FX Data'!$F$956</c:f>
              <c:strCache>
                <c:ptCount val="1"/>
                <c:pt idx="0">
                  <c:v>=+1sd</c:v>
                </c:pt>
              </c:strCache>
            </c:strRef>
          </c:tx>
          <c:spPr>
            <a:ln w="12700" cap="rnd">
              <a:solidFill>
                <a:srgbClr val="F79646">
                  <a:lumMod val="60000"/>
                  <a:lumOff val="40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'FX Data'!$B$957:$B$2203</c:f>
              <c:numCache>
                <c:formatCode>m/d/yyyy</c:formatCode>
                <c:ptCount val="1247"/>
                <c:pt idx="0">
                  <c:v>44263</c:v>
                </c:pt>
                <c:pt idx="1">
                  <c:v>44264</c:v>
                </c:pt>
                <c:pt idx="2">
                  <c:v>44265</c:v>
                </c:pt>
                <c:pt idx="3">
                  <c:v>44266</c:v>
                </c:pt>
                <c:pt idx="4">
                  <c:v>44267</c:v>
                </c:pt>
                <c:pt idx="5">
                  <c:v>44270</c:v>
                </c:pt>
                <c:pt idx="6">
                  <c:v>44271</c:v>
                </c:pt>
                <c:pt idx="7">
                  <c:v>44272</c:v>
                </c:pt>
                <c:pt idx="8">
                  <c:v>44273</c:v>
                </c:pt>
                <c:pt idx="9">
                  <c:v>44274</c:v>
                </c:pt>
                <c:pt idx="10">
                  <c:v>44277</c:v>
                </c:pt>
                <c:pt idx="11">
                  <c:v>44278</c:v>
                </c:pt>
                <c:pt idx="12">
                  <c:v>44279</c:v>
                </c:pt>
                <c:pt idx="13">
                  <c:v>44280</c:v>
                </c:pt>
                <c:pt idx="14">
                  <c:v>44281</c:v>
                </c:pt>
                <c:pt idx="15">
                  <c:v>44284</c:v>
                </c:pt>
                <c:pt idx="16">
                  <c:v>44285</c:v>
                </c:pt>
                <c:pt idx="17">
                  <c:v>44286</c:v>
                </c:pt>
                <c:pt idx="18">
                  <c:v>44287</c:v>
                </c:pt>
                <c:pt idx="19">
                  <c:v>44288</c:v>
                </c:pt>
                <c:pt idx="20">
                  <c:v>44291</c:v>
                </c:pt>
                <c:pt idx="21">
                  <c:v>44292</c:v>
                </c:pt>
                <c:pt idx="22">
                  <c:v>44293</c:v>
                </c:pt>
                <c:pt idx="23">
                  <c:v>44294</c:v>
                </c:pt>
                <c:pt idx="24">
                  <c:v>44295</c:v>
                </c:pt>
                <c:pt idx="25">
                  <c:v>44298</c:v>
                </c:pt>
                <c:pt idx="26">
                  <c:v>44299</c:v>
                </c:pt>
                <c:pt idx="27">
                  <c:v>44300</c:v>
                </c:pt>
                <c:pt idx="28">
                  <c:v>44301</c:v>
                </c:pt>
                <c:pt idx="29">
                  <c:v>44302</c:v>
                </c:pt>
                <c:pt idx="30">
                  <c:v>44305</c:v>
                </c:pt>
                <c:pt idx="31">
                  <c:v>44306</c:v>
                </c:pt>
                <c:pt idx="32">
                  <c:v>44308</c:v>
                </c:pt>
                <c:pt idx="33">
                  <c:v>44309</c:v>
                </c:pt>
                <c:pt idx="34">
                  <c:v>44312</c:v>
                </c:pt>
                <c:pt idx="35">
                  <c:v>44313</c:v>
                </c:pt>
                <c:pt idx="36">
                  <c:v>44314</c:v>
                </c:pt>
                <c:pt idx="37">
                  <c:v>44315</c:v>
                </c:pt>
                <c:pt idx="38">
                  <c:v>44320</c:v>
                </c:pt>
                <c:pt idx="39">
                  <c:v>44321</c:v>
                </c:pt>
                <c:pt idx="40">
                  <c:v>44322</c:v>
                </c:pt>
                <c:pt idx="41">
                  <c:v>44323</c:v>
                </c:pt>
                <c:pt idx="42">
                  <c:v>44326</c:v>
                </c:pt>
                <c:pt idx="43">
                  <c:v>44327</c:v>
                </c:pt>
                <c:pt idx="44">
                  <c:v>44328</c:v>
                </c:pt>
                <c:pt idx="45">
                  <c:v>44329</c:v>
                </c:pt>
                <c:pt idx="46">
                  <c:v>44330</c:v>
                </c:pt>
                <c:pt idx="47">
                  <c:v>44333</c:v>
                </c:pt>
                <c:pt idx="48">
                  <c:v>44334</c:v>
                </c:pt>
                <c:pt idx="49">
                  <c:v>44335</c:v>
                </c:pt>
                <c:pt idx="50">
                  <c:v>44336</c:v>
                </c:pt>
                <c:pt idx="51">
                  <c:v>44337</c:v>
                </c:pt>
                <c:pt idx="52">
                  <c:v>44340</c:v>
                </c:pt>
                <c:pt idx="53">
                  <c:v>44341</c:v>
                </c:pt>
                <c:pt idx="54">
                  <c:v>44342</c:v>
                </c:pt>
                <c:pt idx="55">
                  <c:v>44343</c:v>
                </c:pt>
                <c:pt idx="56">
                  <c:v>44344</c:v>
                </c:pt>
                <c:pt idx="57">
                  <c:v>44347</c:v>
                </c:pt>
                <c:pt idx="58">
                  <c:v>44348</c:v>
                </c:pt>
                <c:pt idx="59">
                  <c:v>44349</c:v>
                </c:pt>
                <c:pt idx="60">
                  <c:v>44350</c:v>
                </c:pt>
                <c:pt idx="61">
                  <c:v>44351</c:v>
                </c:pt>
                <c:pt idx="62">
                  <c:v>44354</c:v>
                </c:pt>
                <c:pt idx="63">
                  <c:v>44355</c:v>
                </c:pt>
                <c:pt idx="64">
                  <c:v>44356</c:v>
                </c:pt>
                <c:pt idx="65">
                  <c:v>44357</c:v>
                </c:pt>
                <c:pt idx="66">
                  <c:v>44358</c:v>
                </c:pt>
                <c:pt idx="67">
                  <c:v>44361</c:v>
                </c:pt>
                <c:pt idx="68">
                  <c:v>44362</c:v>
                </c:pt>
                <c:pt idx="69">
                  <c:v>44363</c:v>
                </c:pt>
                <c:pt idx="70">
                  <c:v>44364</c:v>
                </c:pt>
                <c:pt idx="71">
                  <c:v>44365</c:v>
                </c:pt>
                <c:pt idx="72">
                  <c:v>44368</c:v>
                </c:pt>
                <c:pt idx="73">
                  <c:v>44369</c:v>
                </c:pt>
                <c:pt idx="74">
                  <c:v>44370</c:v>
                </c:pt>
                <c:pt idx="75">
                  <c:v>44371</c:v>
                </c:pt>
                <c:pt idx="76">
                  <c:v>44372</c:v>
                </c:pt>
                <c:pt idx="77">
                  <c:v>44375</c:v>
                </c:pt>
                <c:pt idx="78">
                  <c:v>44376</c:v>
                </c:pt>
                <c:pt idx="79">
                  <c:v>44377</c:v>
                </c:pt>
                <c:pt idx="80">
                  <c:v>44378</c:v>
                </c:pt>
                <c:pt idx="81">
                  <c:v>44379</c:v>
                </c:pt>
                <c:pt idx="82">
                  <c:v>44382</c:v>
                </c:pt>
                <c:pt idx="83">
                  <c:v>44383</c:v>
                </c:pt>
                <c:pt idx="84">
                  <c:v>44384</c:v>
                </c:pt>
                <c:pt idx="85">
                  <c:v>44385</c:v>
                </c:pt>
                <c:pt idx="86">
                  <c:v>44386</c:v>
                </c:pt>
                <c:pt idx="87">
                  <c:v>44389</c:v>
                </c:pt>
                <c:pt idx="88">
                  <c:v>44390</c:v>
                </c:pt>
                <c:pt idx="89">
                  <c:v>44391</c:v>
                </c:pt>
                <c:pt idx="90">
                  <c:v>44392</c:v>
                </c:pt>
                <c:pt idx="91">
                  <c:v>44393</c:v>
                </c:pt>
                <c:pt idx="92">
                  <c:v>44396</c:v>
                </c:pt>
                <c:pt idx="93">
                  <c:v>44397</c:v>
                </c:pt>
                <c:pt idx="94">
                  <c:v>44398</c:v>
                </c:pt>
                <c:pt idx="95">
                  <c:v>44399</c:v>
                </c:pt>
                <c:pt idx="96">
                  <c:v>44400</c:v>
                </c:pt>
                <c:pt idx="97">
                  <c:v>44403</c:v>
                </c:pt>
                <c:pt idx="98">
                  <c:v>44404</c:v>
                </c:pt>
                <c:pt idx="99">
                  <c:v>44405</c:v>
                </c:pt>
                <c:pt idx="100">
                  <c:v>44406</c:v>
                </c:pt>
                <c:pt idx="101">
                  <c:v>44407</c:v>
                </c:pt>
                <c:pt idx="102">
                  <c:v>44410</c:v>
                </c:pt>
                <c:pt idx="103">
                  <c:v>44411</c:v>
                </c:pt>
                <c:pt idx="104">
                  <c:v>44412</c:v>
                </c:pt>
                <c:pt idx="105">
                  <c:v>44413</c:v>
                </c:pt>
                <c:pt idx="106">
                  <c:v>44414</c:v>
                </c:pt>
                <c:pt idx="107">
                  <c:v>44417</c:v>
                </c:pt>
                <c:pt idx="108">
                  <c:v>44418</c:v>
                </c:pt>
                <c:pt idx="109">
                  <c:v>44419</c:v>
                </c:pt>
                <c:pt idx="110">
                  <c:v>44420</c:v>
                </c:pt>
                <c:pt idx="111">
                  <c:v>44421</c:v>
                </c:pt>
                <c:pt idx="112">
                  <c:v>44424</c:v>
                </c:pt>
                <c:pt idx="113">
                  <c:v>44425</c:v>
                </c:pt>
                <c:pt idx="114">
                  <c:v>44426</c:v>
                </c:pt>
                <c:pt idx="115">
                  <c:v>44427</c:v>
                </c:pt>
                <c:pt idx="116">
                  <c:v>44428</c:v>
                </c:pt>
                <c:pt idx="117">
                  <c:v>44431</c:v>
                </c:pt>
                <c:pt idx="118">
                  <c:v>44432</c:v>
                </c:pt>
                <c:pt idx="119">
                  <c:v>44433</c:v>
                </c:pt>
                <c:pt idx="120">
                  <c:v>44434</c:v>
                </c:pt>
                <c:pt idx="121">
                  <c:v>44435</c:v>
                </c:pt>
                <c:pt idx="122">
                  <c:v>44438</c:v>
                </c:pt>
                <c:pt idx="123">
                  <c:v>44439</c:v>
                </c:pt>
                <c:pt idx="124">
                  <c:v>44440</c:v>
                </c:pt>
                <c:pt idx="125">
                  <c:v>44445</c:v>
                </c:pt>
                <c:pt idx="126">
                  <c:v>44446</c:v>
                </c:pt>
                <c:pt idx="127">
                  <c:v>44447</c:v>
                </c:pt>
                <c:pt idx="128">
                  <c:v>44448</c:v>
                </c:pt>
                <c:pt idx="129">
                  <c:v>44449</c:v>
                </c:pt>
                <c:pt idx="130">
                  <c:v>44452</c:v>
                </c:pt>
                <c:pt idx="131">
                  <c:v>44453</c:v>
                </c:pt>
                <c:pt idx="132">
                  <c:v>44454</c:v>
                </c:pt>
                <c:pt idx="133">
                  <c:v>44455</c:v>
                </c:pt>
                <c:pt idx="134">
                  <c:v>44456</c:v>
                </c:pt>
                <c:pt idx="135">
                  <c:v>44459</c:v>
                </c:pt>
                <c:pt idx="136">
                  <c:v>44460</c:v>
                </c:pt>
                <c:pt idx="137">
                  <c:v>44461</c:v>
                </c:pt>
                <c:pt idx="138">
                  <c:v>44462</c:v>
                </c:pt>
                <c:pt idx="139">
                  <c:v>44463</c:v>
                </c:pt>
                <c:pt idx="140">
                  <c:v>44466</c:v>
                </c:pt>
                <c:pt idx="141">
                  <c:v>44467</c:v>
                </c:pt>
                <c:pt idx="142">
                  <c:v>44468</c:v>
                </c:pt>
                <c:pt idx="143">
                  <c:v>44469</c:v>
                </c:pt>
                <c:pt idx="144">
                  <c:v>44470</c:v>
                </c:pt>
                <c:pt idx="145">
                  <c:v>44473</c:v>
                </c:pt>
                <c:pt idx="146">
                  <c:v>44474</c:v>
                </c:pt>
                <c:pt idx="147">
                  <c:v>44475</c:v>
                </c:pt>
                <c:pt idx="148">
                  <c:v>44476</c:v>
                </c:pt>
                <c:pt idx="149">
                  <c:v>44477</c:v>
                </c:pt>
                <c:pt idx="150">
                  <c:v>44480</c:v>
                </c:pt>
                <c:pt idx="151">
                  <c:v>44481</c:v>
                </c:pt>
                <c:pt idx="152">
                  <c:v>44482</c:v>
                </c:pt>
                <c:pt idx="153">
                  <c:v>44483</c:v>
                </c:pt>
                <c:pt idx="154">
                  <c:v>44484</c:v>
                </c:pt>
                <c:pt idx="155">
                  <c:v>44487</c:v>
                </c:pt>
                <c:pt idx="156">
                  <c:v>44488</c:v>
                </c:pt>
                <c:pt idx="157">
                  <c:v>44489</c:v>
                </c:pt>
                <c:pt idx="158">
                  <c:v>44490</c:v>
                </c:pt>
                <c:pt idx="159">
                  <c:v>44491</c:v>
                </c:pt>
                <c:pt idx="160">
                  <c:v>44494</c:v>
                </c:pt>
                <c:pt idx="161">
                  <c:v>44495</c:v>
                </c:pt>
                <c:pt idx="162">
                  <c:v>44496</c:v>
                </c:pt>
                <c:pt idx="163">
                  <c:v>44497</c:v>
                </c:pt>
                <c:pt idx="164">
                  <c:v>44498</c:v>
                </c:pt>
                <c:pt idx="165">
                  <c:v>44501</c:v>
                </c:pt>
                <c:pt idx="166">
                  <c:v>44502</c:v>
                </c:pt>
                <c:pt idx="167">
                  <c:v>44503</c:v>
                </c:pt>
                <c:pt idx="168">
                  <c:v>44504</c:v>
                </c:pt>
                <c:pt idx="169">
                  <c:v>44505</c:v>
                </c:pt>
                <c:pt idx="170">
                  <c:v>44508</c:v>
                </c:pt>
                <c:pt idx="171">
                  <c:v>44509</c:v>
                </c:pt>
                <c:pt idx="172">
                  <c:v>44510</c:v>
                </c:pt>
                <c:pt idx="173">
                  <c:v>44511</c:v>
                </c:pt>
                <c:pt idx="174">
                  <c:v>44512</c:v>
                </c:pt>
                <c:pt idx="175">
                  <c:v>44515</c:v>
                </c:pt>
                <c:pt idx="176">
                  <c:v>44516</c:v>
                </c:pt>
                <c:pt idx="177">
                  <c:v>44517</c:v>
                </c:pt>
                <c:pt idx="178">
                  <c:v>44518</c:v>
                </c:pt>
                <c:pt idx="179">
                  <c:v>44519</c:v>
                </c:pt>
                <c:pt idx="180">
                  <c:v>44522</c:v>
                </c:pt>
                <c:pt idx="181">
                  <c:v>44523</c:v>
                </c:pt>
                <c:pt idx="182">
                  <c:v>44524</c:v>
                </c:pt>
                <c:pt idx="183">
                  <c:v>44525</c:v>
                </c:pt>
                <c:pt idx="184">
                  <c:v>44526</c:v>
                </c:pt>
                <c:pt idx="185">
                  <c:v>44529</c:v>
                </c:pt>
                <c:pt idx="186">
                  <c:v>44530</c:v>
                </c:pt>
                <c:pt idx="187">
                  <c:v>44531</c:v>
                </c:pt>
                <c:pt idx="188">
                  <c:v>44532</c:v>
                </c:pt>
                <c:pt idx="189">
                  <c:v>44533</c:v>
                </c:pt>
                <c:pt idx="190">
                  <c:v>44536</c:v>
                </c:pt>
                <c:pt idx="191">
                  <c:v>44537</c:v>
                </c:pt>
                <c:pt idx="192">
                  <c:v>44538</c:v>
                </c:pt>
                <c:pt idx="193">
                  <c:v>44539</c:v>
                </c:pt>
                <c:pt idx="194">
                  <c:v>44540</c:v>
                </c:pt>
                <c:pt idx="195">
                  <c:v>44543</c:v>
                </c:pt>
                <c:pt idx="196">
                  <c:v>44544</c:v>
                </c:pt>
                <c:pt idx="197">
                  <c:v>44545</c:v>
                </c:pt>
                <c:pt idx="198">
                  <c:v>44546</c:v>
                </c:pt>
                <c:pt idx="199">
                  <c:v>44547</c:v>
                </c:pt>
                <c:pt idx="200">
                  <c:v>44550</c:v>
                </c:pt>
                <c:pt idx="201">
                  <c:v>44551</c:v>
                </c:pt>
                <c:pt idx="202">
                  <c:v>44552</c:v>
                </c:pt>
                <c:pt idx="203">
                  <c:v>44553</c:v>
                </c:pt>
                <c:pt idx="204">
                  <c:v>44554</c:v>
                </c:pt>
                <c:pt idx="205">
                  <c:v>44557</c:v>
                </c:pt>
                <c:pt idx="206">
                  <c:v>44558</c:v>
                </c:pt>
                <c:pt idx="207">
                  <c:v>44559</c:v>
                </c:pt>
                <c:pt idx="208">
                  <c:v>44560</c:v>
                </c:pt>
                <c:pt idx="209">
                  <c:v>44561</c:v>
                </c:pt>
                <c:pt idx="210">
                  <c:v>44565</c:v>
                </c:pt>
                <c:pt idx="211">
                  <c:v>44566</c:v>
                </c:pt>
                <c:pt idx="212">
                  <c:v>44567</c:v>
                </c:pt>
                <c:pt idx="213">
                  <c:v>44568</c:v>
                </c:pt>
                <c:pt idx="214">
                  <c:v>44571</c:v>
                </c:pt>
                <c:pt idx="215">
                  <c:v>44572</c:v>
                </c:pt>
                <c:pt idx="216">
                  <c:v>44573</c:v>
                </c:pt>
                <c:pt idx="217">
                  <c:v>44574</c:v>
                </c:pt>
                <c:pt idx="218">
                  <c:v>44575</c:v>
                </c:pt>
                <c:pt idx="219">
                  <c:v>44578</c:v>
                </c:pt>
                <c:pt idx="220">
                  <c:v>44579</c:v>
                </c:pt>
                <c:pt idx="221">
                  <c:v>44580</c:v>
                </c:pt>
                <c:pt idx="222">
                  <c:v>44581</c:v>
                </c:pt>
                <c:pt idx="223">
                  <c:v>44582</c:v>
                </c:pt>
                <c:pt idx="224">
                  <c:v>44585</c:v>
                </c:pt>
                <c:pt idx="225">
                  <c:v>44586</c:v>
                </c:pt>
                <c:pt idx="226">
                  <c:v>44587</c:v>
                </c:pt>
                <c:pt idx="227">
                  <c:v>44588</c:v>
                </c:pt>
                <c:pt idx="228">
                  <c:v>44589</c:v>
                </c:pt>
                <c:pt idx="229">
                  <c:v>44599</c:v>
                </c:pt>
                <c:pt idx="230">
                  <c:v>44600</c:v>
                </c:pt>
                <c:pt idx="231">
                  <c:v>44601</c:v>
                </c:pt>
                <c:pt idx="232">
                  <c:v>44602</c:v>
                </c:pt>
                <c:pt idx="233">
                  <c:v>44603</c:v>
                </c:pt>
                <c:pt idx="234">
                  <c:v>44606</c:v>
                </c:pt>
                <c:pt idx="235">
                  <c:v>44607</c:v>
                </c:pt>
                <c:pt idx="236">
                  <c:v>44608</c:v>
                </c:pt>
                <c:pt idx="237">
                  <c:v>44609</c:v>
                </c:pt>
                <c:pt idx="238">
                  <c:v>44610</c:v>
                </c:pt>
                <c:pt idx="239">
                  <c:v>44613</c:v>
                </c:pt>
                <c:pt idx="240">
                  <c:v>44614</c:v>
                </c:pt>
                <c:pt idx="241">
                  <c:v>44615</c:v>
                </c:pt>
                <c:pt idx="242">
                  <c:v>44616</c:v>
                </c:pt>
                <c:pt idx="243">
                  <c:v>44617</c:v>
                </c:pt>
                <c:pt idx="244">
                  <c:v>44620</c:v>
                </c:pt>
                <c:pt idx="245">
                  <c:v>44621</c:v>
                </c:pt>
                <c:pt idx="246">
                  <c:v>44622</c:v>
                </c:pt>
                <c:pt idx="247">
                  <c:v>44623</c:v>
                </c:pt>
                <c:pt idx="248">
                  <c:v>44624</c:v>
                </c:pt>
                <c:pt idx="249">
                  <c:v>44627</c:v>
                </c:pt>
                <c:pt idx="250">
                  <c:v>44628</c:v>
                </c:pt>
                <c:pt idx="251">
                  <c:v>44629</c:v>
                </c:pt>
                <c:pt idx="252">
                  <c:v>44630</c:v>
                </c:pt>
                <c:pt idx="253">
                  <c:v>44631</c:v>
                </c:pt>
                <c:pt idx="254">
                  <c:v>44634</c:v>
                </c:pt>
                <c:pt idx="255">
                  <c:v>44635</c:v>
                </c:pt>
                <c:pt idx="256">
                  <c:v>44636</c:v>
                </c:pt>
                <c:pt idx="257">
                  <c:v>44637</c:v>
                </c:pt>
                <c:pt idx="258">
                  <c:v>44638</c:v>
                </c:pt>
                <c:pt idx="259">
                  <c:v>44641</c:v>
                </c:pt>
                <c:pt idx="260">
                  <c:v>44642</c:v>
                </c:pt>
                <c:pt idx="261">
                  <c:v>44643</c:v>
                </c:pt>
                <c:pt idx="262">
                  <c:v>44644</c:v>
                </c:pt>
                <c:pt idx="263">
                  <c:v>44645</c:v>
                </c:pt>
                <c:pt idx="264">
                  <c:v>44648</c:v>
                </c:pt>
                <c:pt idx="265">
                  <c:v>44649</c:v>
                </c:pt>
                <c:pt idx="266">
                  <c:v>44650</c:v>
                </c:pt>
                <c:pt idx="267">
                  <c:v>44651</c:v>
                </c:pt>
                <c:pt idx="268">
                  <c:v>44652</c:v>
                </c:pt>
                <c:pt idx="269">
                  <c:v>44655</c:v>
                </c:pt>
                <c:pt idx="270">
                  <c:v>44656</c:v>
                </c:pt>
                <c:pt idx="271">
                  <c:v>44657</c:v>
                </c:pt>
                <c:pt idx="272">
                  <c:v>44658</c:v>
                </c:pt>
                <c:pt idx="273">
                  <c:v>44659</c:v>
                </c:pt>
                <c:pt idx="274">
                  <c:v>44663</c:v>
                </c:pt>
                <c:pt idx="275">
                  <c:v>44664</c:v>
                </c:pt>
                <c:pt idx="276">
                  <c:v>44665</c:v>
                </c:pt>
                <c:pt idx="277">
                  <c:v>44666</c:v>
                </c:pt>
                <c:pt idx="278">
                  <c:v>44669</c:v>
                </c:pt>
                <c:pt idx="279">
                  <c:v>44670</c:v>
                </c:pt>
                <c:pt idx="280">
                  <c:v>44671</c:v>
                </c:pt>
                <c:pt idx="281">
                  <c:v>44672</c:v>
                </c:pt>
                <c:pt idx="282">
                  <c:v>44673</c:v>
                </c:pt>
                <c:pt idx="283">
                  <c:v>44676</c:v>
                </c:pt>
                <c:pt idx="284">
                  <c:v>44677</c:v>
                </c:pt>
                <c:pt idx="285">
                  <c:v>44678</c:v>
                </c:pt>
                <c:pt idx="286">
                  <c:v>44679</c:v>
                </c:pt>
                <c:pt idx="287">
                  <c:v>44680</c:v>
                </c:pt>
                <c:pt idx="288">
                  <c:v>44685</c:v>
                </c:pt>
                <c:pt idx="289">
                  <c:v>44686</c:v>
                </c:pt>
                <c:pt idx="290">
                  <c:v>44687</c:v>
                </c:pt>
                <c:pt idx="291">
                  <c:v>44690</c:v>
                </c:pt>
                <c:pt idx="292">
                  <c:v>44691</c:v>
                </c:pt>
                <c:pt idx="293">
                  <c:v>44692</c:v>
                </c:pt>
                <c:pt idx="294">
                  <c:v>44693</c:v>
                </c:pt>
                <c:pt idx="295">
                  <c:v>44694</c:v>
                </c:pt>
                <c:pt idx="296">
                  <c:v>44697</c:v>
                </c:pt>
                <c:pt idx="297">
                  <c:v>44698</c:v>
                </c:pt>
                <c:pt idx="298">
                  <c:v>44699</c:v>
                </c:pt>
                <c:pt idx="299">
                  <c:v>44700</c:v>
                </c:pt>
                <c:pt idx="300">
                  <c:v>44701</c:v>
                </c:pt>
                <c:pt idx="301">
                  <c:v>44704</c:v>
                </c:pt>
                <c:pt idx="302">
                  <c:v>44705</c:v>
                </c:pt>
                <c:pt idx="303">
                  <c:v>44706</c:v>
                </c:pt>
                <c:pt idx="304">
                  <c:v>44707</c:v>
                </c:pt>
                <c:pt idx="305">
                  <c:v>44708</c:v>
                </c:pt>
                <c:pt idx="306">
                  <c:v>44711</c:v>
                </c:pt>
                <c:pt idx="307">
                  <c:v>44712</c:v>
                </c:pt>
                <c:pt idx="308">
                  <c:v>44713</c:v>
                </c:pt>
                <c:pt idx="309">
                  <c:v>44714</c:v>
                </c:pt>
                <c:pt idx="310">
                  <c:v>44715</c:v>
                </c:pt>
                <c:pt idx="311">
                  <c:v>44718</c:v>
                </c:pt>
                <c:pt idx="312">
                  <c:v>44719</c:v>
                </c:pt>
                <c:pt idx="313">
                  <c:v>44720</c:v>
                </c:pt>
                <c:pt idx="314">
                  <c:v>44721</c:v>
                </c:pt>
                <c:pt idx="315">
                  <c:v>44722</c:v>
                </c:pt>
                <c:pt idx="316">
                  <c:v>44725</c:v>
                </c:pt>
                <c:pt idx="317">
                  <c:v>44726</c:v>
                </c:pt>
                <c:pt idx="318">
                  <c:v>44727</c:v>
                </c:pt>
                <c:pt idx="319">
                  <c:v>44728</c:v>
                </c:pt>
                <c:pt idx="320">
                  <c:v>44729</c:v>
                </c:pt>
                <c:pt idx="321">
                  <c:v>44732</c:v>
                </c:pt>
                <c:pt idx="322">
                  <c:v>44733</c:v>
                </c:pt>
                <c:pt idx="323">
                  <c:v>44734</c:v>
                </c:pt>
                <c:pt idx="324">
                  <c:v>44735</c:v>
                </c:pt>
                <c:pt idx="325">
                  <c:v>44736</c:v>
                </c:pt>
                <c:pt idx="326">
                  <c:v>44739</c:v>
                </c:pt>
                <c:pt idx="327">
                  <c:v>44740</c:v>
                </c:pt>
                <c:pt idx="328">
                  <c:v>44741</c:v>
                </c:pt>
                <c:pt idx="329">
                  <c:v>44742</c:v>
                </c:pt>
                <c:pt idx="330">
                  <c:v>44743</c:v>
                </c:pt>
                <c:pt idx="331">
                  <c:v>44746</c:v>
                </c:pt>
                <c:pt idx="332">
                  <c:v>44747</c:v>
                </c:pt>
                <c:pt idx="333">
                  <c:v>44748</c:v>
                </c:pt>
                <c:pt idx="334">
                  <c:v>44749</c:v>
                </c:pt>
                <c:pt idx="335">
                  <c:v>44750</c:v>
                </c:pt>
                <c:pt idx="336">
                  <c:v>44753</c:v>
                </c:pt>
                <c:pt idx="337">
                  <c:v>44754</c:v>
                </c:pt>
                <c:pt idx="338">
                  <c:v>44755</c:v>
                </c:pt>
                <c:pt idx="339">
                  <c:v>44756</c:v>
                </c:pt>
                <c:pt idx="340">
                  <c:v>44757</c:v>
                </c:pt>
                <c:pt idx="341">
                  <c:v>44760</c:v>
                </c:pt>
                <c:pt idx="342">
                  <c:v>44761</c:v>
                </c:pt>
                <c:pt idx="343">
                  <c:v>44762</c:v>
                </c:pt>
                <c:pt idx="344">
                  <c:v>44763</c:v>
                </c:pt>
                <c:pt idx="345">
                  <c:v>44764</c:v>
                </c:pt>
                <c:pt idx="346">
                  <c:v>44767</c:v>
                </c:pt>
                <c:pt idx="347">
                  <c:v>44768</c:v>
                </c:pt>
                <c:pt idx="348">
                  <c:v>44769</c:v>
                </c:pt>
                <c:pt idx="349">
                  <c:v>44770</c:v>
                </c:pt>
                <c:pt idx="350">
                  <c:v>44771</c:v>
                </c:pt>
                <c:pt idx="351">
                  <c:v>44774</c:v>
                </c:pt>
                <c:pt idx="352">
                  <c:v>44775</c:v>
                </c:pt>
                <c:pt idx="353">
                  <c:v>44776</c:v>
                </c:pt>
                <c:pt idx="354">
                  <c:v>44777</c:v>
                </c:pt>
                <c:pt idx="355">
                  <c:v>44778</c:v>
                </c:pt>
                <c:pt idx="356">
                  <c:v>44781</c:v>
                </c:pt>
                <c:pt idx="357">
                  <c:v>44782</c:v>
                </c:pt>
                <c:pt idx="358">
                  <c:v>44783</c:v>
                </c:pt>
                <c:pt idx="359">
                  <c:v>44784</c:v>
                </c:pt>
                <c:pt idx="360">
                  <c:v>44785</c:v>
                </c:pt>
                <c:pt idx="361">
                  <c:v>44788</c:v>
                </c:pt>
                <c:pt idx="362">
                  <c:v>44789</c:v>
                </c:pt>
                <c:pt idx="363">
                  <c:v>44790</c:v>
                </c:pt>
                <c:pt idx="364">
                  <c:v>44791</c:v>
                </c:pt>
                <c:pt idx="365">
                  <c:v>44792</c:v>
                </c:pt>
                <c:pt idx="366">
                  <c:v>44795</c:v>
                </c:pt>
                <c:pt idx="367">
                  <c:v>44796</c:v>
                </c:pt>
                <c:pt idx="368">
                  <c:v>44797</c:v>
                </c:pt>
                <c:pt idx="369">
                  <c:v>44798</c:v>
                </c:pt>
                <c:pt idx="370">
                  <c:v>44799</c:v>
                </c:pt>
                <c:pt idx="371">
                  <c:v>44802</c:v>
                </c:pt>
                <c:pt idx="372">
                  <c:v>44803</c:v>
                </c:pt>
                <c:pt idx="373">
                  <c:v>44804</c:v>
                </c:pt>
                <c:pt idx="374">
                  <c:v>44809</c:v>
                </c:pt>
                <c:pt idx="375">
                  <c:v>44810</c:v>
                </c:pt>
                <c:pt idx="376">
                  <c:v>44811</c:v>
                </c:pt>
                <c:pt idx="377">
                  <c:v>44812</c:v>
                </c:pt>
                <c:pt idx="378">
                  <c:v>44813</c:v>
                </c:pt>
                <c:pt idx="379">
                  <c:v>44816</c:v>
                </c:pt>
                <c:pt idx="380">
                  <c:v>44817</c:v>
                </c:pt>
                <c:pt idx="381">
                  <c:v>44818</c:v>
                </c:pt>
                <c:pt idx="382">
                  <c:v>44819</c:v>
                </c:pt>
                <c:pt idx="383">
                  <c:v>44820</c:v>
                </c:pt>
                <c:pt idx="384">
                  <c:v>44823</c:v>
                </c:pt>
                <c:pt idx="385">
                  <c:v>44824</c:v>
                </c:pt>
                <c:pt idx="386">
                  <c:v>44825</c:v>
                </c:pt>
                <c:pt idx="387">
                  <c:v>44826</c:v>
                </c:pt>
                <c:pt idx="388">
                  <c:v>44827</c:v>
                </c:pt>
                <c:pt idx="389">
                  <c:v>44830</c:v>
                </c:pt>
                <c:pt idx="390">
                  <c:v>44831</c:v>
                </c:pt>
                <c:pt idx="391">
                  <c:v>44832</c:v>
                </c:pt>
                <c:pt idx="392">
                  <c:v>44833</c:v>
                </c:pt>
                <c:pt idx="393">
                  <c:v>44834</c:v>
                </c:pt>
                <c:pt idx="394">
                  <c:v>44837</c:v>
                </c:pt>
                <c:pt idx="395">
                  <c:v>44838</c:v>
                </c:pt>
                <c:pt idx="396">
                  <c:v>44839</c:v>
                </c:pt>
                <c:pt idx="397">
                  <c:v>44840</c:v>
                </c:pt>
                <c:pt idx="398">
                  <c:v>44841</c:v>
                </c:pt>
                <c:pt idx="399">
                  <c:v>44844</c:v>
                </c:pt>
                <c:pt idx="400">
                  <c:v>44845</c:v>
                </c:pt>
                <c:pt idx="401">
                  <c:v>44846</c:v>
                </c:pt>
                <c:pt idx="402">
                  <c:v>44847</c:v>
                </c:pt>
                <c:pt idx="403">
                  <c:v>44848</c:v>
                </c:pt>
                <c:pt idx="404">
                  <c:v>44851</c:v>
                </c:pt>
                <c:pt idx="405">
                  <c:v>44852</c:v>
                </c:pt>
                <c:pt idx="406">
                  <c:v>44853</c:v>
                </c:pt>
                <c:pt idx="407">
                  <c:v>44854</c:v>
                </c:pt>
                <c:pt idx="408">
                  <c:v>44855</c:v>
                </c:pt>
                <c:pt idx="409">
                  <c:v>44858</c:v>
                </c:pt>
                <c:pt idx="410">
                  <c:v>44859</c:v>
                </c:pt>
                <c:pt idx="411">
                  <c:v>44860</c:v>
                </c:pt>
                <c:pt idx="412">
                  <c:v>44861</c:v>
                </c:pt>
                <c:pt idx="413">
                  <c:v>44862</c:v>
                </c:pt>
                <c:pt idx="414">
                  <c:v>44865</c:v>
                </c:pt>
                <c:pt idx="415">
                  <c:v>44866</c:v>
                </c:pt>
                <c:pt idx="416">
                  <c:v>44867</c:v>
                </c:pt>
                <c:pt idx="417">
                  <c:v>44868</c:v>
                </c:pt>
                <c:pt idx="418">
                  <c:v>44869</c:v>
                </c:pt>
                <c:pt idx="419">
                  <c:v>44872</c:v>
                </c:pt>
                <c:pt idx="420">
                  <c:v>44873</c:v>
                </c:pt>
                <c:pt idx="421">
                  <c:v>44874</c:v>
                </c:pt>
                <c:pt idx="422">
                  <c:v>44875</c:v>
                </c:pt>
                <c:pt idx="423">
                  <c:v>44876</c:v>
                </c:pt>
                <c:pt idx="424">
                  <c:v>44879</c:v>
                </c:pt>
                <c:pt idx="425">
                  <c:v>44880</c:v>
                </c:pt>
                <c:pt idx="426">
                  <c:v>44881</c:v>
                </c:pt>
                <c:pt idx="427">
                  <c:v>44882</c:v>
                </c:pt>
                <c:pt idx="428">
                  <c:v>44883</c:v>
                </c:pt>
                <c:pt idx="429">
                  <c:v>44886</c:v>
                </c:pt>
                <c:pt idx="430">
                  <c:v>44887</c:v>
                </c:pt>
                <c:pt idx="431">
                  <c:v>44888</c:v>
                </c:pt>
                <c:pt idx="432">
                  <c:v>44889</c:v>
                </c:pt>
                <c:pt idx="433">
                  <c:v>44890</c:v>
                </c:pt>
                <c:pt idx="434">
                  <c:v>44893</c:v>
                </c:pt>
                <c:pt idx="435">
                  <c:v>44894</c:v>
                </c:pt>
                <c:pt idx="436">
                  <c:v>44895</c:v>
                </c:pt>
                <c:pt idx="437">
                  <c:v>44896</c:v>
                </c:pt>
                <c:pt idx="438">
                  <c:v>44897</c:v>
                </c:pt>
                <c:pt idx="439">
                  <c:v>44900</c:v>
                </c:pt>
                <c:pt idx="440">
                  <c:v>44901</c:v>
                </c:pt>
                <c:pt idx="441">
                  <c:v>44902</c:v>
                </c:pt>
                <c:pt idx="442">
                  <c:v>44903</c:v>
                </c:pt>
                <c:pt idx="443">
                  <c:v>44904</c:v>
                </c:pt>
                <c:pt idx="444">
                  <c:v>44907</c:v>
                </c:pt>
                <c:pt idx="445">
                  <c:v>44908</c:v>
                </c:pt>
                <c:pt idx="446">
                  <c:v>44909</c:v>
                </c:pt>
                <c:pt idx="447">
                  <c:v>44910</c:v>
                </c:pt>
                <c:pt idx="448">
                  <c:v>44911</c:v>
                </c:pt>
                <c:pt idx="449">
                  <c:v>44914</c:v>
                </c:pt>
                <c:pt idx="450">
                  <c:v>44915</c:v>
                </c:pt>
                <c:pt idx="451">
                  <c:v>44916</c:v>
                </c:pt>
                <c:pt idx="452">
                  <c:v>44917</c:v>
                </c:pt>
                <c:pt idx="453">
                  <c:v>44918</c:v>
                </c:pt>
                <c:pt idx="454">
                  <c:v>44921</c:v>
                </c:pt>
                <c:pt idx="455">
                  <c:v>44922</c:v>
                </c:pt>
                <c:pt idx="456">
                  <c:v>44923</c:v>
                </c:pt>
                <c:pt idx="457">
                  <c:v>44924</c:v>
                </c:pt>
                <c:pt idx="458">
                  <c:v>44925</c:v>
                </c:pt>
                <c:pt idx="459">
                  <c:v>44929</c:v>
                </c:pt>
                <c:pt idx="460">
                  <c:v>44930</c:v>
                </c:pt>
                <c:pt idx="461">
                  <c:v>44931</c:v>
                </c:pt>
                <c:pt idx="462">
                  <c:v>44932</c:v>
                </c:pt>
                <c:pt idx="463">
                  <c:v>44935</c:v>
                </c:pt>
                <c:pt idx="464">
                  <c:v>44936</c:v>
                </c:pt>
                <c:pt idx="465">
                  <c:v>44937</c:v>
                </c:pt>
                <c:pt idx="466">
                  <c:v>44938</c:v>
                </c:pt>
                <c:pt idx="467">
                  <c:v>44939</c:v>
                </c:pt>
                <c:pt idx="468">
                  <c:v>44942</c:v>
                </c:pt>
                <c:pt idx="469">
                  <c:v>44943</c:v>
                </c:pt>
                <c:pt idx="470">
                  <c:v>44944</c:v>
                </c:pt>
                <c:pt idx="471">
                  <c:v>44945</c:v>
                </c:pt>
                <c:pt idx="472">
                  <c:v>44953</c:v>
                </c:pt>
                <c:pt idx="473">
                  <c:v>44956</c:v>
                </c:pt>
                <c:pt idx="474">
                  <c:v>44957</c:v>
                </c:pt>
                <c:pt idx="475">
                  <c:v>44958</c:v>
                </c:pt>
                <c:pt idx="476">
                  <c:v>44959</c:v>
                </c:pt>
                <c:pt idx="477">
                  <c:v>44960</c:v>
                </c:pt>
                <c:pt idx="478">
                  <c:v>44963</c:v>
                </c:pt>
                <c:pt idx="479">
                  <c:v>44964</c:v>
                </c:pt>
                <c:pt idx="480">
                  <c:v>44965</c:v>
                </c:pt>
                <c:pt idx="481">
                  <c:v>44966</c:v>
                </c:pt>
                <c:pt idx="482">
                  <c:v>44967</c:v>
                </c:pt>
                <c:pt idx="483">
                  <c:v>44970</c:v>
                </c:pt>
                <c:pt idx="484">
                  <c:v>44971</c:v>
                </c:pt>
                <c:pt idx="485">
                  <c:v>44972</c:v>
                </c:pt>
                <c:pt idx="486">
                  <c:v>44973</c:v>
                </c:pt>
                <c:pt idx="487">
                  <c:v>44974</c:v>
                </c:pt>
                <c:pt idx="488">
                  <c:v>44977</c:v>
                </c:pt>
                <c:pt idx="489">
                  <c:v>44978</c:v>
                </c:pt>
                <c:pt idx="490">
                  <c:v>44979</c:v>
                </c:pt>
                <c:pt idx="491">
                  <c:v>44980</c:v>
                </c:pt>
                <c:pt idx="492">
                  <c:v>44981</c:v>
                </c:pt>
                <c:pt idx="493">
                  <c:v>44984</c:v>
                </c:pt>
                <c:pt idx="494">
                  <c:v>44985</c:v>
                </c:pt>
                <c:pt idx="495">
                  <c:v>44986</c:v>
                </c:pt>
                <c:pt idx="496">
                  <c:v>44987</c:v>
                </c:pt>
                <c:pt idx="497">
                  <c:v>44988</c:v>
                </c:pt>
                <c:pt idx="498">
                  <c:v>44991</c:v>
                </c:pt>
                <c:pt idx="499">
                  <c:v>44992</c:v>
                </c:pt>
                <c:pt idx="500">
                  <c:v>44993</c:v>
                </c:pt>
                <c:pt idx="501">
                  <c:v>44994</c:v>
                </c:pt>
                <c:pt idx="502">
                  <c:v>44995</c:v>
                </c:pt>
                <c:pt idx="503">
                  <c:v>44998</c:v>
                </c:pt>
                <c:pt idx="504">
                  <c:v>44999</c:v>
                </c:pt>
                <c:pt idx="505">
                  <c:v>45000</c:v>
                </c:pt>
                <c:pt idx="506">
                  <c:v>45001</c:v>
                </c:pt>
                <c:pt idx="507">
                  <c:v>45002</c:v>
                </c:pt>
                <c:pt idx="508">
                  <c:v>45005</c:v>
                </c:pt>
                <c:pt idx="509">
                  <c:v>45006</c:v>
                </c:pt>
                <c:pt idx="510">
                  <c:v>45007</c:v>
                </c:pt>
                <c:pt idx="511">
                  <c:v>45008</c:v>
                </c:pt>
                <c:pt idx="512">
                  <c:v>45009</c:v>
                </c:pt>
                <c:pt idx="513">
                  <c:v>45012</c:v>
                </c:pt>
                <c:pt idx="514">
                  <c:v>45013</c:v>
                </c:pt>
                <c:pt idx="515">
                  <c:v>45014</c:v>
                </c:pt>
                <c:pt idx="516">
                  <c:v>45015</c:v>
                </c:pt>
                <c:pt idx="517">
                  <c:v>45016</c:v>
                </c:pt>
                <c:pt idx="518">
                  <c:v>45019</c:v>
                </c:pt>
                <c:pt idx="519">
                  <c:v>45020</c:v>
                </c:pt>
                <c:pt idx="520">
                  <c:v>45021</c:v>
                </c:pt>
                <c:pt idx="521">
                  <c:v>45022</c:v>
                </c:pt>
                <c:pt idx="522">
                  <c:v>45023</c:v>
                </c:pt>
                <c:pt idx="523">
                  <c:v>45026</c:v>
                </c:pt>
                <c:pt idx="524">
                  <c:v>45027</c:v>
                </c:pt>
                <c:pt idx="525">
                  <c:v>45028</c:v>
                </c:pt>
                <c:pt idx="526">
                  <c:v>45029</c:v>
                </c:pt>
                <c:pt idx="527">
                  <c:v>45030</c:v>
                </c:pt>
                <c:pt idx="528">
                  <c:v>45033</c:v>
                </c:pt>
                <c:pt idx="529">
                  <c:v>45034</c:v>
                </c:pt>
                <c:pt idx="530">
                  <c:v>45035</c:v>
                </c:pt>
                <c:pt idx="531">
                  <c:v>45036</c:v>
                </c:pt>
                <c:pt idx="532">
                  <c:v>45037</c:v>
                </c:pt>
                <c:pt idx="533">
                  <c:v>45040</c:v>
                </c:pt>
                <c:pt idx="534">
                  <c:v>45041</c:v>
                </c:pt>
                <c:pt idx="535">
                  <c:v>45042</c:v>
                </c:pt>
                <c:pt idx="536">
                  <c:v>45043</c:v>
                </c:pt>
                <c:pt idx="537">
                  <c:v>45044</c:v>
                </c:pt>
                <c:pt idx="538">
                  <c:v>45050</c:v>
                </c:pt>
                <c:pt idx="539">
                  <c:v>45051</c:v>
                </c:pt>
                <c:pt idx="540">
                  <c:v>45054</c:v>
                </c:pt>
                <c:pt idx="541">
                  <c:v>45055</c:v>
                </c:pt>
                <c:pt idx="542">
                  <c:v>45056</c:v>
                </c:pt>
                <c:pt idx="543">
                  <c:v>45057</c:v>
                </c:pt>
                <c:pt idx="544">
                  <c:v>45058</c:v>
                </c:pt>
                <c:pt idx="545">
                  <c:v>45061</c:v>
                </c:pt>
                <c:pt idx="546">
                  <c:v>45062</c:v>
                </c:pt>
                <c:pt idx="547">
                  <c:v>45063</c:v>
                </c:pt>
                <c:pt idx="548">
                  <c:v>45064</c:v>
                </c:pt>
                <c:pt idx="549">
                  <c:v>45065</c:v>
                </c:pt>
                <c:pt idx="550">
                  <c:v>45068</c:v>
                </c:pt>
                <c:pt idx="551">
                  <c:v>45069</c:v>
                </c:pt>
                <c:pt idx="552">
                  <c:v>45070</c:v>
                </c:pt>
                <c:pt idx="553">
                  <c:v>45071</c:v>
                </c:pt>
                <c:pt idx="554">
                  <c:v>45072</c:v>
                </c:pt>
                <c:pt idx="555">
                  <c:v>45075</c:v>
                </c:pt>
                <c:pt idx="556">
                  <c:v>45076</c:v>
                </c:pt>
                <c:pt idx="557">
                  <c:v>45077</c:v>
                </c:pt>
                <c:pt idx="558">
                  <c:v>45078</c:v>
                </c:pt>
                <c:pt idx="559">
                  <c:v>45079</c:v>
                </c:pt>
                <c:pt idx="560">
                  <c:v>45082</c:v>
                </c:pt>
                <c:pt idx="561">
                  <c:v>45083</c:v>
                </c:pt>
                <c:pt idx="562">
                  <c:v>45084</c:v>
                </c:pt>
                <c:pt idx="563">
                  <c:v>45085</c:v>
                </c:pt>
                <c:pt idx="564">
                  <c:v>45086</c:v>
                </c:pt>
                <c:pt idx="565">
                  <c:v>45089</c:v>
                </c:pt>
                <c:pt idx="566">
                  <c:v>45090</c:v>
                </c:pt>
                <c:pt idx="567">
                  <c:v>45091</c:v>
                </c:pt>
                <c:pt idx="568">
                  <c:v>45092</c:v>
                </c:pt>
                <c:pt idx="569">
                  <c:v>45093</c:v>
                </c:pt>
                <c:pt idx="570">
                  <c:v>45096</c:v>
                </c:pt>
                <c:pt idx="571">
                  <c:v>45097</c:v>
                </c:pt>
                <c:pt idx="572">
                  <c:v>45098</c:v>
                </c:pt>
                <c:pt idx="573">
                  <c:v>45099</c:v>
                </c:pt>
                <c:pt idx="574">
                  <c:v>45100</c:v>
                </c:pt>
                <c:pt idx="575">
                  <c:v>45103</c:v>
                </c:pt>
                <c:pt idx="576">
                  <c:v>45104</c:v>
                </c:pt>
                <c:pt idx="577">
                  <c:v>45105</c:v>
                </c:pt>
                <c:pt idx="578">
                  <c:v>45106</c:v>
                </c:pt>
                <c:pt idx="579">
                  <c:v>45107</c:v>
                </c:pt>
                <c:pt idx="580">
                  <c:v>45110</c:v>
                </c:pt>
                <c:pt idx="581">
                  <c:v>45111</c:v>
                </c:pt>
                <c:pt idx="582">
                  <c:v>45112</c:v>
                </c:pt>
                <c:pt idx="583">
                  <c:v>45113</c:v>
                </c:pt>
                <c:pt idx="584">
                  <c:v>45114</c:v>
                </c:pt>
                <c:pt idx="585">
                  <c:v>45117</c:v>
                </c:pt>
                <c:pt idx="586">
                  <c:v>45118</c:v>
                </c:pt>
                <c:pt idx="587">
                  <c:v>45119</c:v>
                </c:pt>
                <c:pt idx="588">
                  <c:v>45120</c:v>
                </c:pt>
                <c:pt idx="589">
                  <c:v>45121</c:v>
                </c:pt>
                <c:pt idx="590">
                  <c:v>45124</c:v>
                </c:pt>
                <c:pt idx="591">
                  <c:v>45125</c:v>
                </c:pt>
                <c:pt idx="592">
                  <c:v>45126</c:v>
                </c:pt>
                <c:pt idx="593">
                  <c:v>45127</c:v>
                </c:pt>
                <c:pt idx="594">
                  <c:v>45128</c:v>
                </c:pt>
                <c:pt idx="595">
                  <c:v>45131</c:v>
                </c:pt>
                <c:pt idx="596">
                  <c:v>45132</c:v>
                </c:pt>
                <c:pt idx="597">
                  <c:v>45133</c:v>
                </c:pt>
                <c:pt idx="598">
                  <c:v>45134</c:v>
                </c:pt>
                <c:pt idx="599">
                  <c:v>45135</c:v>
                </c:pt>
                <c:pt idx="600">
                  <c:v>45138</c:v>
                </c:pt>
                <c:pt idx="601">
                  <c:v>45139</c:v>
                </c:pt>
                <c:pt idx="602">
                  <c:v>45140</c:v>
                </c:pt>
                <c:pt idx="603">
                  <c:v>45141</c:v>
                </c:pt>
                <c:pt idx="604">
                  <c:v>45142</c:v>
                </c:pt>
                <c:pt idx="605">
                  <c:v>45145</c:v>
                </c:pt>
                <c:pt idx="606">
                  <c:v>45146</c:v>
                </c:pt>
                <c:pt idx="607">
                  <c:v>45147</c:v>
                </c:pt>
                <c:pt idx="608">
                  <c:v>45148</c:v>
                </c:pt>
                <c:pt idx="609">
                  <c:v>45149</c:v>
                </c:pt>
                <c:pt idx="610">
                  <c:v>45152</c:v>
                </c:pt>
                <c:pt idx="611">
                  <c:v>45153</c:v>
                </c:pt>
                <c:pt idx="612">
                  <c:v>45154</c:v>
                </c:pt>
                <c:pt idx="613">
                  <c:v>45155</c:v>
                </c:pt>
                <c:pt idx="614">
                  <c:v>45156</c:v>
                </c:pt>
                <c:pt idx="615">
                  <c:v>45159</c:v>
                </c:pt>
                <c:pt idx="616">
                  <c:v>45160</c:v>
                </c:pt>
                <c:pt idx="617">
                  <c:v>45161</c:v>
                </c:pt>
                <c:pt idx="618">
                  <c:v>45162</c:v>
                </c:pt>
                <c:pt idx="619">
                  <c:v>45163</c:v>
                </c:pt>
                <c:pt idx="620">
                  <c:v>45166</c:v>
                </c:pt>
                <c:pt idx="621">
                  <c:v>45167</c:v>
                </c:pt>
                <c:pt idx="622">
                  <c:v>45168</c:v>
                </c:pt>
                <c:pt idx="623">
                  <c:v>45169</c:v>
                </c:pt>
                <c:pt idx="624">
                  <c:v>45174</c:v>
                </c:pt>
                <c:pt idx="625">
                  <c:v>45175</c:v>
                </c:pt>
                <c:pt idx="626">
                  <c:v>45176</c:v>
                </c:pt>
                <c:pt idx="627">
                  <c:v>45177</c:v>
                </c:pt>
                <c:pt idx="628">
                  <c:v>45180</c:v>
                </c:pt>
                <c:pt idx="629">
                  <c:v>45181</c:v>
                </c:pt>
                <c:pt idx="630">
                  <c:v>45182</c:v>
                </c:pt>
                <c:pt idx="631">
                  <c:v>45183</c:v>
                </c:pt>
                <c:pt idx="632">
                  <c:v>45184</c:v>
                </c:pt>
                <c:pt idx="633">
                  <c:v>45187</c:v>
                </c:pt>
                <c:pt idx="634">
                  <c:v>45188</c:v>
                </c:pt>
                <c:pt idx="635">
                  <c:v>45189</c:v>
                </c:pt>
                <c:pt idx="636">
                  <c:v>45190</c:v>
                </c:pt>
                <c:pt idx="637">
                  <c:v>45191</c:v>
                </c:pt>
                <c:pt idx="638">
                  <c:v>45194</c:v>
                </c:pt>
                <c:pt idx="639">
                  <c:v>45195</c:v>
                </c:pt>
                <c:pt idx="640">
                  <c:v>45196</c:v>
                </c:pt>
                <c:pt idx="641">
                  <c:v>45197</c:v>
                </c:pt>
                <c:pt idx="642">
                  <c:v>45198</c:v>
                </c:pt>
                <c:pt idx="643">
                  <c:v>45201</c:v>
                </c:pt>
                <c:pt idx="644">
                  <c:v>45202</c:v>
                </c:pt>
                <c:pt idx="645">
                  <c:v>45203</c:v>
                </c:pt>
                <c:pt idx="646">
                  <c:v>45204</c:v>
                </c:pt>
                <c:pt idx="647">
                  <c:v>45205</c:v>
                </c:pt>
                <c:pt idx="648">
                  <c:v>45208</c:v>
                </c:pt>
                <c:pt idx="649">
                  <c:v>45209</c:v>
                </c:pt>
                <c:pt idx="650">
                  <c:v>45210</c:v>
                </c:pt>
                <c:pt idx="651">
                  <c:v>45211</c:v>
                </c:pt>
                <c:pt idx="652">
                  <c:v>45212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45222</c:v>
                </c:pt>
                <c:pt idx="659">
                  <c:v>45223</c:v>
                </c:pt>
                <c:pt idx="660">
                  <c:v>45224</c:v>
                </c:pt>
                <c:pt idx="661">
                  <c:v>45225</c:v>
                </c:pt>
                <c:pt idx="662">
                  <c:v>45226</c:v>
                </c:pt>
                <c:pt idx="663">
                  <c:v>45229</c:v>
                </c:pt>
                <c:pt idx="664">
                  <c:v>45230</c:v>
                </c:pt>
                <c:pt idx="665">
                  <c:v>45231</c:v>
                </c:pt>
                <c:pt idx="666">
                  <c:v>45232</c:v>
                </c:pt>
                <c:pt idx="667">
                  <c:v>45233</c:v>
                </c:pt>
                <c:pt idx="668">
                  <c:v>45236</c:v>
                </c:pt>
                <c:pt idx="669">
                  <c:v>45237</c:v>
                </c:pt>
                <c:pt idx="670">
                  <c:v>45238</c:v>
                </c:pt>
                <c:pt idx="671">
                  <c:v>45239</c:v>
                </c:pt>
                <c:pt idx="672">
                  <c:v>45240</c:v>
                </c:pt>
                <c:pt idx="673">
                  <c:v>45243</c:v>
                </c:pt>
                <c:pt idx="674">
                  <c:v>45244</c:v>
                </c:pt>
                <c:pt idx="675">
                  <c:v>45245</c:v>
                </c:pt>
                <c:pt idx="676">
                  <c:v>45246</c:v>
                </c:pt>
                <c:pt idx="677">
                  <c:v>45247</c:v>
                </c:pt>
                <c:pt idx="678">
                  <c:v>45250</c:v>
                </c:pt>
                <c:pt idx="679">
                  <c:v>45251</c:v>
                </c:pt>
                <c:pt idx="680">
                  <c:v>45252</c:v>
                </c:pt>
                <c:pt idx="681">
                  <c:v>45253</c:v>
                </c:pt>
                <c:pt idx="682">
                  <c:v>45254</c:v>
                </c:pt>
                <c:pt idx="683">
                  <c:v>45257</c:v>
                </c:pt>
                <c:pt idx="684">
                  <c:v>45258</c:v>
                </c:pt>
                <c:pt idx="685">
                  <c:v>45259</c:v>
                </c:pt>
                <c:pt idx="686">
                  <c:v>45260</c:v>
                </c:pt>
                <c:pt idx="687">
                  <c:v>45261</c:v>
                </c:pt>
                <c:pt idx="688">
                  <c:v>45264</c:v>
                </c:pt>
                <c:pt idx="689">
                  <c:v>45265</c:v>
                </c:pt>
                <c:pt idx="690">
                  <c:v>45266</c:v>
                </c:pt>
                <c:pt idx="691">
                  <c:v>45267</c:v>
                </c:pt>
                <c:pt idx="692">
                  <c:v>45268</c:v>
                </c:pt>
                <c:pt idx="693">
                  <c:v>45271</c:v>
                </c:pt>
                <c:pt idx="694">
                  <c:v>45272</c:v>
                </c:pt>
                <c:pt idx="695">
                  <c:v>45273</c:v>
                </c:pt>
                <c:pt idx="696">
                  <c:v>45274</c:v>
                </c:pt>
                <c:pt idx="697">
                  <c:v>45275</c:v>
                </c:pt>
                <c:pt idx="698">
                  <c:v>45278</c:v>
                </c:pt>
                <c:pt idx="699">
                  <c:v>45279</c:v>
                </c:pt>
                <c:pt idx="700">
                  <c:v>45280</c:v>
                </c:pt>
                <c:pt idx="701">
                  <c:v>45281</c:v>
                </c:pt>
                <c:pt idx="702">
                  <c:v>45282</c:v>
                </c:pt>
                <c:pt idx="703">
                  <c:v>45285</c:v>
                </c:pt>
                <c:pt idx="704">
                  <c:v>45286</c:v>
                </c:pt>
                <c:pt idx="705">
                  <c:v>45287</c:v>
                </c:pt>
                <c:pt idx="706">
                  <c:v>45288</c:v>
                </c:pt>
                <c:pt idx="707">
                  <c:v>45289</c:v>
                </c:pt>
                <c:pt idx="708">
                  <c:v>45293</c:v>
                </c:pt>
                <c:pt idx="709">
                  <c:v>45294</c:v>
                </c:pt>
                <c:pt idx="710">
                  <c:v>45295</c:v>
                </c:pt>
                <c:pt idx="711">
                  <c:v>45296</c:v>
                </c:pt>
                <c:pt idx="712">
                  <c:v>45299</c:v>
                </c:pt>
                <c:pt idx="713">
                  <c:v>45300</c:v>
                </c:pt>
                <c:pt idx="714">
                  <c:v>45301</c:v>
                </c:pt>
                <c:pt idx="715">
                  <c:v>45302</c:v>
                </c:pt>
                <c:pt idx="716">
                  <c:v>45303</c:v>
                </c:pt>
                <c:pt idx="717">
                  <c:v>45306</c:v>
                </c:pt>
                <c:pt idx="718">
                  <c:v>45307</c:v>
                </c:pt>
                <c:pt idx="719">
                  <c:v>45308</c:v>
                </c:pt>
                <c:pt idx="720">
                  <c:v>45309</c:v>
                </c:pt>
                <c:pt idx="721">
                  <c:v>45310</c:v>
                </c:pt>
                <c:pt idx="722">
                  <c:v>45313</c:v>
                </c:pt>
                <c:pt idx="723">
                  <c:v>45314</c:v>
                </c:pt>
                <c:pt idx="724">
                  <c:v>45315</c:v>
                </c:pt>
                <c:pt idx="725">
                  <c:v>45316</c:v>
                </c:pt>
                <c:pt idx="726">
                  <c:v>45317</c:v>
                </c:pt>
                <c:pt idx="727">
                  <c:v>45320</c:v>
                </c:pt>
                <c:pt idx="728">
                  <c:v>45321</c:v>
                </c:pt>
                <c:pt idx="729">
                  <c:v>45322</c:v>
                </c:pt>
                <c:pt idx="730">
                  <c:v>45323</c:v>
                </c:pt>
                <c:pt idx="731">
                  <c:v>45324</c:v>
                </c:pt>
                <c:pt idx="732">
                  <c:v>45327</c:v>
                </c:pt>
                <c:pt idx="733">
                  <c:v>45328</c:v>
                </c:pt>
                <c:pt idx="734">
                  <c:v>45329</c:v>
                </c:pt>
                <c:pt idx="735">
                  <c:v>45337</c:v>
                </c:pt>
                <c:pt idx="736">
                  <c:v>45338</c:v>
                </c:pt>
                <c:pt idx="737">
                  <c:v>45341</c:v>
                </c:pt>
                <c:pt idx="738">
                  <c:v>45342</c:v>
                </c:pt>
                <c:pt idx="739">
                  <c:v>45343</c:v>
                </c:pt>
                <c:pt idx="740">
                  <c:v>45344</c:v>
                </c:pt>
                <c:pt idx="741">
                  <c:v>45345</c:v>
                </c:pt>
                <c:pt idx="742">
                  <c:v>45348</c:v>
                </c:pt>
                <c:pt idx="743">
                  <c:v>45349</c:v>
                </c:pt>
                <c:pt idx="744">
                  <c:v>45350</c:v>
                </c:pt>
                <c:pt idx="745">
                  <c:v>45351</c:v>
                </c:pt>
                <c:pt idx="746">
                  <c:v>45352</c:v>
                </c:pt>
                <c:pt idx="747">
                  <c:v>45355</c:v>
                </c:pt>
                <c:pt idx="748">
                  <c:v>45356</c:v>
                </c:pt>
                <c:pt idx="749">
                  <c:v>45357</c:v>
                </c:pt>
                <c:pt idx="750">
                  <c:v>45358</c:v>
                </c:pt>
                <c:pt idx="751">
                  <c:v>45359</c:v>
                </c:pt>
                <c:pt idx="752">
                  <c:v>45362</c:v>
                </c:pt>
                <c:pt idx="753">
                  <c:v>45363</c:v>
                </c:pt>
                <c:pt idx="754">
                  <c:v>45364</c:v>
                </c:pt>
                <c:pt idx="755">
                  <c:v>45365</c:v>
                </c:pt>
                <c:pt idx="756">
                  <c:v>45366</c:v>
                </c:pt>
                <c:pt idx="757">
                  <c:v>45369</c:v>
                </c:pt>
                <c:pt idx="758">
                  <c:v>45370</c:v>
                </c:pt>
                <c:pt idx="759">
                  <c:v>45371</c:v>
                </c:pt>
                <c:pt idx="760">
                  <c:v>45372</c:v>
                </c:pt>
                <c:pt idx="761">
                  <c:v>45373</c:v>
                </c:pt>
                <c:pt idx="762">
                  <c:v>45376</c:v>
                </c:pt>
                <c:pt idx="763">
                  <c:v>45377</c:v>
                </c:pt>
                <c:pt idx="764">
                  <c:v>45378</c:v>
                </c:pt>
                <c:pt idx="765">
                  <c:v>45379</c:v>
                </c:pt>
                <c:pt idx="766">
                  <c:v>45380</c:v>
                </c:pt>
                <c:pt idx="767">
                  <c:v>45383</c:v>
                </c:pt>
                <c:pt idx="768">
                  <c:v>45384</c:v>
                </c:pt>
                <c:pt idx="769">
                  <c:v>45385</c:v>
                </c:pt>
                <c:pt idx="770">
                  <c:v>45386</c:v>
                </c:pt>
                <c:pt idx="771">
                  <c:v>45387</c:v>
                </c:pt>
                <c:pt idx="772">
                  <c:v>45390</c:v>
                </c:pt>
                <c:pt idx="773">
                  <c:v>45391</c:v>
                </c:pt>
                <c:pt idx="774">
                  <c:v>45392</c:v>
                </c:pt>
                <c:pt idx="775">
                  <c:v>45393</c:v>
                </c:pt>
                <c:pt idx="776">
                  <c:v>45394</c:v>
                </c:pt>
                <c:pt idx="777">
                  <c:v>45397</c:v>
                </c:pt>
                <c:pt idx="778">
                  <c:v>45398</c:v>
                </c:pt>
                <c:pt idx="779">
                  <c:v>45399</c:v>
                </c:pt>
                <c:pt idx="780">
                  <c:v>45401</c:v>
                </c:pt>
                <c:pt idx="781">
                  <c:v>45404</c:v>
                </c:pt>
                <c:pt idx="782">
                  <c:v>45405</c:v>
                </c:pt>
                <c:pt idx="783">
                  <c:v>45406</c:v>
                </c:pt>
                <c:pt idx="784">
                  <c:v>45407</c:v>
                </c:pt>
                <c:pt idx="785">
                  <c:v>45408</c:v>
                </c:pt>
                <c:pt idx="786">
                  <c:v>45414</c:v>
                </c:pt>
                <c:pt idx="787">
                  <c:v>45415</c:v>
                </c:pt>
                <c:pt idx="788">
                  <c:v>45418</c:v>
                </c:pt>
                <c:pt idx="789">
                  <c:v>45419</c:v>
                </c:pt>
                <c:pt idx="790">
                  <c:v>45420</c:v>
                </c:pt>
                <c:pt idx="791">
                  <c:v>45421</c:v>
                </c:pt>
                <c:pt idx="792">
                  <c:v>45422</c:v>
                </c:pt>
                <c:pt idx="793">
                  <c:v>45425</c:v>
                </c:pt>
                <c:pt idx="794">
                  <c:v>45426</c:v>
                </c:pt>
                <c:pt idx="795">
                  <c:v>45427</c:v>
                </c:pt>
                <c:pt idx="796">
                  <c:v>45428</c:v>
                </c:pt>
                <c:pt idx="797">
                  <c:v>45429</c:v>
                </c:pt>
                <c:pt idx="798">
                  <c:v>45432</c:v>
                </c:pt>
                <c:pt idx="799">
                  <c:v>45433</c:v>
                </c:pt>
                <c:pt idx="800">
                  <c:v>45434</c:v>
                </c:pt>
                <c:pt idx="801">
                  <c:v>45435</c:v>
                </c:pt>
                <c:pt idx="802">
                  <c:v>45436</c:v>
                </c:pt>
                <c:pt idx="803">
                  <c:v>45439</c:v>
                </c:pt>
                <c:pt idx="804">
                  <c:v>45440</c:v>
                </c:pt>
                <c:pt idx="805">
                  <c:v>45441</c:v>
                </c:pt>
                <c:pt idx="806">
                  <c:v>45442</c:v>
                </c:pt>
                <c:pt idx="807">
                  <c:v>45443</c:v>
                </c:pt>
                <c:pt idx="808">
                  <c:v>45446</c:v>
                </c:pt>
                <c:pt idx="809">
                  <c:v>45447</c:v>
                </c:pt>
                <c:pt idx="810">
                  <c:v>45448</c:v>
                </c:pt>
                <c:pt idx="811">
                  <c:v>45449</c:v>
                </c:pt>
                <c:pt idx="812">
                  <c:v>45450</c:v>
                </c:pt>
                <c:pt idx="813">
                  <c:v>45453</c:v>
                </c:pt>
                <c:pt idx="814">
                  <c:v>45454</c:v>
                </c:pt>
                <c:pt idx="815">
                  <c:v>45455</c:v>
                </c:pt>
                <c:pt idx="816">
                  <c:v>45456</c:v>
                </c:pt>
                <c:pt idx="817">
                  <c:v>45457</c:v>
                </c:pt>
                <c:pt idx="818">
                  <c:v>45460</c:v>
                </c:pt>
                <c:pt idx="819">
                  <c:v>45461</c:v>
                </c:pt>
                <c:pt idx="820">
                  <c:v>45462</c:v>
                </c:pt>
                <c:pt idx="821">
                  <c:v>45463</c:v>
                </c:pt>
                <c:pt idx="822">
                  <c:v>45464</c:v>
                </c:pt>
                <c:pt idx="823">
                  <c:v>45467</c:v>
                </c:pt>
                <c:pt idx="824">
                  <c:v>45468</c:v>
                </c:pt>
                <c:pt idx="825">
                  <c:v>45469</c:v>
                </c:pt>
                <c:pt idx="826">
                  <c:v>45470</c:v>
                </c:pt>
                <c:pt idx="827">
                  <c:v>45471</c:v>
                </c:pt>
                <c:pt idx="828">
                  <c:v>45474</c:v>
                </c:pt>
                <c:pt idx="829">
                  <c:v>45475</c:v>
                </c:pt>
                <c:pt idx="830">
                  <c:v>45476</c:v>
                </c:pt>
                <c:pt idx="831">
                  <c:v>45477</c:v>
                </c:pt>
                <c:pt idx="832">
                  <c:v>45478</c:v>
                </c:pt>
                <c:pt idx="833">
                  <c:v>45481</c:v>
                </c:pt>
                <c:pt idx="834">
                  <c:v>45482</c:v>
                </c:pt>
                <c:pt idx="835">
                  <c:v>45483</c:v>
                </c:pt>
                <c:pt idx="836">
                  <c:v>45484</c:v>
                </c:pt>
                <c:pt idx="837">
                  <c:v>45485</c:v>
                </c:pt>
                <c:pt idx="838">
                  <c:v>45488</c:v>
                </c:pt>
                <c:pt idx="839">
                  <c:v>45489</c:v>
                </c:pt>
                <c:pt idx="840">
                  <c:v>45490</c:v>
                </c:pt>
                <c:pt idx="841">
                  <c:v>45491</c:v>
                </c:pt>
                <c:pt idx="842">
                  <c:v>45492</c:v>
                </c:pt>
                <c:pt idx="843">
                  <c:v>45495</c:v>
                </c:pt>
                <c:pt idx="844">
                  <c:v>45496</c:v>
                </c:pt>
                <c:pt idx="845">
                  <c:v>45497</c:v>
                </c:pt>
                <c:pt idx="846">
                  <c:v>45498</c:v>
                </c:pt>
                <c:pt idx="847">
                  <c:v>45499</c:v>
                </c:pt>
                <c:pt idx="848">
                  <c:v>45502</c:v>
                </c:pt>
                <c:pt idx="849">
                  <c:v>45503</c:v>
                </c:pt>
                <c:pt idx="850">
                  <c:v>45504</c:v>
                </c:pt>
                <c:pt idx="851">
                  <c:v>45505</c:v>
                </c:pt>
                <c:pt idx="852">
                  <c:v>45506</c:v>
                </c:pt>
                <c:pt idx="853">
                  <c:v>45509</c:v>
                </c:pt>
                <c:pt idx="854">
                  <c:v>45510</c:v>
                </c:pt>
                <c:pt idx="855">
                  <c:v>45511</c:v>
                </c:pt>
                <c:pt idx="856">
                  <c:v>45512</c:v>
                </c:pt>
                <c:pt idx="857">
                  <c:v>45513</c:v>
                </c:pt>
                <c:pt idx="858">
                  <c:v>45516</c:v>
                </c:pt>
                <c:pt idx="859">
                  <c:v>45517</c:v>
                </c:pt>
                <c:pt idx="860">
                  <c:v>45518</c:v>
                </c:pt>
                <c:pt idx="861">
                  <c:v>45519</c:v>
                </c:pt>
                <c:pt idx="862">
                  <c:v>45520</c:v>
                </c:pt>
                <c:pt idx="863">
                  <c:v>45523</c:v>
                </c:pt>
                <c:pt idx="864">
                  <c:v>45524</c:v>
                </c:pt>
                <c:pt idx="865">
                  <c:v>45525</c:v>
                </c:pt>
                <c:pt idx="866">
                  <c:v>45526</c:v>
                </c:pt>
                <c:pt idx="867">
                  <c:v>45527</c:v>
                </c:pt>
                <c:pt idx="868">
                  <c:v>45530</c:v>
                </c:pt>
                <c:pt idx="869">
                  <c:v>45531</c:v>
                </c:pt>
                <c:pt idx="870">
                  <c:v>45532</c:v>
                </c:pt>
                <c:pt idx="871">
                  <c:v>45533</c:v>
                </c:pt>
                <c:pt idx="872">
                  <c:v>45534</c:v>
                </c:pt>
                <c:pt idx="873">
                  <c:v>45539</c:v>
                </c:pt>
                <c:pt idx="874">
                  <c:v>45540</c:v>
                </c:pt>
                <c:pt idx="875">
                  <c:v>45541</c:v>
                </c:pt>
                <c:pt idx="876">
                  <c:v>45544</c:v>
                </c:pt>
                <c:pt idx="877">
                  <c:v>45545</c:v>
                </c:pt>
                <c:pt idx="878">
                  <c:v>45546</c:v>
                </c:pt>
                <c:pt idx="879">
                  <c:v>45547</c:v>
                </c:pt>
                <c:pt idx="880">
                  <c:v>45548</c:v>
                </c:pt>
                <c:pt idx="881">
                  <c:v>45551</c:v>
                </c:pt>
                <c:pt idx="882">
                  <c:v>45552</c:v>
                </c:pt>
                <c:pt idx="883">
                  <c:v>45553</c:v>
                </c:pt>
                <c:pt idx="884">
                  <c:v>45554</c:v>
                </c:pt>
                <c:pt idx="885">
                  <c:v>45555</c:v>
                </c:pt>
                <c:pt idx="886">
                  <c:v>45558</c:v>
                </c:pt>
                <c:pt idx="887">
                  <c:v>45559</c:v>
                </c:pt>
                <c:pt idx="888">
                  <c:v>45560</c:v>
                </c:pt>
                <c:pt idx="889">
                  <c:v>45561</c:v>
                </c:pt>
                <c:pt idx="890">
                  <c:v>45562</c:v>
                </c:pt>
                <c:pt idx="891">
                  <c:v>45565</c:v>
                </c:pt>
                <c:pt idx="892">
                  <c:v>45566</c:v>
                </c:pt>
                <c:pt idx="893">
                  <c:v>45567</c:v>
                </c:pt>
                <c:pt idx="894">
                  <c:v>45568</c:v>
                </c:pt>
                <c:pt idx="895">
                  <c:v>45569</c:v>
                </c:pt>
                <c:pt idx="896">
                  <c:v>45572</c:v>
                </c:pt>
                <c:pt idx="897">
                  <c:v>45573</c:v>
                </c:pt>
                <c:pt idx="898">
                  <c:v>45574</c:v>
                </c:pt>
                <c:pt idx="899">
                  <c:v>45575</c:v>
                </c:pt>
                <c:pt idx="900">
                  <c:v>45576</c:v>
                </c:pt>
                <c:pt idx="901">
                  <c:v>45579</c:v>
                </c:pt>
                <c:pt idx="902">
                  <c:v>45580</c:v>
                </c:pt>
                <c:pt idx="903">
                  <c:v>45581</c:v>
                </c:pt>
                <c:pt idx="904">
                  <c:v>45582</c:v>
                </c:pt>
                <c:pt idx="905">
                  <c:v>45583</c:v>
                </c:pt>
                <c:pt idx="906">
                  <c:v>45586</c:v>
                </c:pt>
                <c:pt idx="907">
                  <c:v>45587</c:v>
                </c:pt>
                <c:pt idx="908">
                  <c:v>45588</c:v>
                </c:pt>
                <c:pt idx="909">
                  <c:v>45589</c:v>
                </c:pt>
                <c:pt idx="910">
                  <c:v>45590</c:v>
                </c:pt>
                <c:pt idx="911">
                  <c:v>45593</c:v>
                </c:pt>
                <c:pt idx="912">
                  <c:v>45594</c:v>
                </c:pt>
                <c:pt idx="913">
                  <c:v>45595</c:v>
                </c:pt>
                <c:pt idx="914">
                  <c:v>45596</c:v>
                </c:pt>
                <c:pt idx="915">
                  <c:v>45597</c:v>
                </c:pt>
                <c:pt idx="916">
                  <c:v>45600</c:v>
                </c:pt>
                <c:pt idx="917">
                  <c:v>45601</c:v>
                </c:pt>
                <c:pt idx="918">
                  <c:v>45602</c:v>
                </c:pt>
                <c:pt idx="919">
                  <c:v>45603</c:v>
                </c:pt>
                <c:pt idx="920">
                  <c:v>45604</c:v>
                </c:pt>
                <c:pt idx="921">
                  <c:v>45607</c:v>
                </c:pt>
                <c:pt idx="922">
                  <c:v>45608</c:v>
                </c:pt>
                <c:pt idx="923">
                  <c:v>45609</c:v>
                </c:pt>
                <c:pt idx="924">
                  <c:v>45610</c:v>
                </c:pt>
                <c:pt idx="925">
                  <c:v>45611</c:v>
                </c:pt>
                <c:pt idx="926">
                  <c:v>45614</c:v>
                </c:pt>
                <c:pt idx="927">
                  <c:v>45615</c:v>
                </c:pt>
                <c:pt idx="928">
                  <c:v>45616</c:v>
                </c:pt>
                <c:pt idx="929">
                  <c:v>45617</c:v>
                </c:pt>
                <c:pt idx="930">
                  <c:v>45618</c:v>
                </c:pt>
                <c:pt idx="931">
                  <c:v>45621</c:v>
                </c:pt>
                <c:pt idx="932">
                  <c:v>45622</c:v>
                </c:pt>
                <c:pt idx="933">
                  <c:v>45623</c:v>
                </c:pt>
                <c:pt idx="934">
                  <c:v>45624</c:v>
                </c:pt>
                <c:pt idx="935">
                  <c:v>45625</c:v>
                </c:pt>
                <c:pt idx="936">
                  <c:v>45628</c:v>
                </c:pt>
                <c:pt idx="937">
                  <c:v>45629</c:v>
                </c:pt>
                <c:pt idx="938">
                  <c:v>45630</c:v>
                </c:pt>
                <c:pt idx="939">
                  <c:v>45631</c:v>
                </c:pt>
                <c:pt idx="940">
                  <c:v>45632</c:v>
                </c:pt>
                <c:pt idx="941">
                  <c:v>45635</c:v>
                </c:pt>
                <c:pt idx="942">
                  <c:v>45636</c:v>
                </c:pt>
                <c:pt idx="943">
                  <c:v>45637</c:v>
                </c:pt>
                <c:pt idx="944">
                  <c:v>45638</c:v>
                </c:pt>
                <c:pt idx="945">
                  <c:v>45639</c:v>
                </c:pt>
                <c:pt idx="946">
                  <c:v>45642</c:v>
                </c:pt>
                <c:pt idx="947">
                  <c:v>45643</c:v>
                </c:pt>
                <c:pt idx="948">
                  <c:v>45644</c:v>
                </c:pt>
                <c:pt idx="949">
                  <c:v>45645</c:v>
                </c:pt>
                <c:pt idx="950">
                  <c:v>45646</c:v>
                </c:pt>
                <c:pt idx="951">
                  <c:v>45649</c:v>
                </c:pt>
                <c:pt idx="952">
                  <c:v>45650</c:v>
                </c:pt>
                <c:pt idx="953">
                  <c:v>45651</c:v>
                </c:pt>
                <c:pt idx="954">
                  <c:v>45652</c:v>
                </c:pt>
                <c:pt idx="955">
                  <c:v>45653</c:v>
                </c:pt>
                <c:pt idx="956">
                  <c:v>45656</c:v>
                </c:pt>
                <c:pt idx="957">
                  <c:v>45657</c:v>
                </c:pt>
                <c:pt idx="958">
                  <c:v>45659</c:v>
                </c:pt>
                <c:pt idx="959">
                  <c:v>45660</c:v>
                </c:pt>
                <c:pt idx="960">
                  <c:v>45663</c:v>
                </c:pt>
                <c:pt idx="961">
                  <c:v>45664</c:v>
                </c:pt>
                <c:pt idx="962">
                  <c:v>45665</c:v>
                </c:pt>
                <c:pt idx="963">
                  <c:v>45666</c:v>
                </c:pt>
                <c:pt idx="964">
                  <c:v>45667</c:v>
                </c:pt>
                <c:pt idx="965">
                  <c:v>45670</c:v>
                </c:pt>
                <c:pt idx="966">
                  <c:v>45671</c:v>
                </c:pt>
                <c:pt idx="967">
                  <c:v>45672</c:v>
                </c:pt>
                <c:pt idx="968">
                  <c:v>45673</c:v>
                </c:pt>
                <c:pt idx="969">
                  <c:v>45674</c:v>
                </c:pt>
                <c:pt idx="970">
                  <c:v>45677</c:v>
                </c:pt>
                <c:pt idx="971">
                  <c:v>45678</c:v>
                </c:pt>
                <c:pt idx="972">
                  <c:v>45679</c:v>
                </c:pt>
                <c:pt idx="973">
                  <c:v>45680</c:v>
                </c:pt>
                <c:pt idx="974">
                  <c:v>45681</c:v>
                </c:pt>
                <c:pt idx="975">
                  <c:v>45691</c:v>
                </c:pt>
                <c:pt idx="976">
                  <c:v>45692</c:v>
                </c:pt>
                <c:pt idx="977">
                  <c:v>45693</c:v>
                </c:pt>
                <c:pt idx="978">
                  <c:v>45694</c:v>
                </c:pt>
                <c:pt idx="979">
                  <c:v>45695</c:v>
                </c:pt>
                <c:pt idx="980">
                  <c:v>45698</c:v>
                </c:pt>
                <c:pt idx="981">
                  <c:v>45699</c:v>
                </c:pt>
                <c:pt idx="982">
                  <c:v>45700</c:v>
                </c:pt>
                <c:pt idx="983">
                  <c:v>45701</c:v>
                </c:pt>
                <c:pt idx="984">
                  <c:v>45702</c:v>
                </c:pt>
                <c:pt idx="985">
                  <c:v>45705</c:v>
                </c:pt>
                <c:pt idx="986">
                  <c:v>45706</c:v>
                </c:pt>
                <c:pt idx="987">
                  <c:v>45707</c:v>
                </c:pt>
                <c:pt idx="988">
                  <c:v>45708</c:v>
                </c:pt>
                <c:pt idx="989">
                  <c:v>45709</c:v>
                </c:pt>
                <c:pt idx="990">
                  <c:v>45712</c:v>
                </c:pt>
                <c:pt idx="991">
                  <c:v>45713</c:v>
                </c:pt>
                <c:pt idx="992">
                  <c:v>45714</c:v>
                </c:pt>
                <c:pt idx="993">
                  <c:v>45715</c:v>
                </c:pt>
                <c:pt idx="994">
                  <c:v>45716</c:v>
                </c:pt>
                <c:pt idx="995">
                  <c:v>45719</c:v>
                </c:pt>
                <c:pt idx="996">
                  <c:v>45720</c:v>
                </c:pt>
                <c:pt idx="997">
                  <c:v>45721</c:v>
                </c:pt>
                <c:pt idx="998">
                  <c:v>45722</c:v>
                </c:pt>
                <c:pt idx="999">
                  <c:v>45723</c:v>
                </c:pt>
                <c:pt idx="1000">
                  <c:v>45726</c:v>
                </c:pt>
                <c:pt idx="1001">
                  <c:v>45727</c:v>
                </c:pt>
                <c:pt idx="1002">
                  <c:v>45728</c:v>
                </c:pt>
                <c:pt idx="1003">
                  <c:v>45729</c:v>
                </c:pt>
                <c:pt idx="1004">
                  <c:v>45730</c:v>
                </c:pt>
                <c:pt idx="1005">
                  <c:v>45733</c:v>
                </c:pt>
                <c:pt idx="1006">
                  <c:v>45734</c:v>
                </c:pt>
                <c:pt idx="1007">
                  <c:v>45735</c:v>
                </c:pt>
                <c:pt idx="1008">
                  <c:v>45736</c:v>
                </c:pt>
                <c:pt idx="1009">
                  <c:v>45737</c:v>
                </c:pt>
                <c:pt idx="1010">
                  <c:v>45740</c:v>
                </c:pt>
                <c:pt idx="1011">
                  <c:v>45741</c:v>
                </c:pt>
                <c:pt idx="1012">
                  <c:v>45742</c:v>
                </c:pt>
                <c:pt idx="1013">
                  <c:v>45743</c:v>
                </c:pt>
                <c:pt idx="1014">
                  <c:v>45744</c:v>
                </c:pt>
                <c:pt idx="1015">
                  <c:v>45747</c:v>
                </c:pt>
                <c:pt idx="1016">
                  <c:v>45748</c:v>
                </c:pt>
                <c:pt idx="1017">
                  <c:v>45749</c:v>
                </c:pt>
                <c:pt idx="1018">
                  <c:v>45750</c:v>
                </c:pt>
                <c:pt idx="1019">
                  <c:v>45751</c:v>
                </c:pt>
                <c:pt idx="1020">
                  <c:v>45755</c:v>
                </c:pt>
                <c:pt idx="1021">
                  <c:v>45756</c:v>
                </c:pt>
                <c:pt idx="1022">
                  <c:v>45757</c:v>
                </c:pt>
                <c:pt idx="1023">
                  <c:v>45758</c:v>
                </c:pt>
                <c:pt idx="1024">
                  <c:v>45761</c:v>
                </c:pt>
                <c:pt idx="1025">
                  <c:v>45762</c:v>
                </c:pt>
                <c:pt idx="1026">
                  <c:v>45763</c:v>
                </c:pt>
                <c:pt idx="1027">
                  <c:v>45764</c:v>
                </c:pt>
                <c:pt idx="1028">
                  <c:v>45765</c:v>
                </c:pt>
                <c:pt idx="1029">
                  <c:v>45768</c:v>
                </c:pt>
                <c:pt idx="1030">
                  <c:v>45769</c:v>
                </c:pt>
                <c:pt idx="1031">
                  <c:v>45770</c:v>
                </c:pt>
                <c:pt idx="1032">
                  <c:v>45771</c:v>
                </c:pt>
                <c:pt idx="1033">
                  <c:v>45772</c:v>
                </c:pt>
                <c:pt idx="1034">
                  <c:v>45775</c:v>
                </c:pt>
                <c:pt idx="1035">
                  <c:v>45776</c:v>
                </c:pt>
                <c:pt idx="1036">
                  <c:v>45782</c:v>
                </c:pt>
                <c:pt idx="1037">
                  <c:v>45783</c:v>
                </c:pt>
                <c:pt idx="1038">
                  <c:v>45784</c:v>
                </c:pt>
                <c:pt idx="1039">
                  <c:v>45785</c:v>
                </c:pt>
                <c:pt idx="1040">
                  <c:v>45786</c:v>
                </c:pt>
                <c:pt idx="1041">
                  <c:v>45789</c:v>
                </c:pt>
                <c:pt idx="1042">
                  <c:v>45790</c:v>
                </c:pt>
                <c:pt idx="1043">
                  <c:v>45791</c:v>
                </c:pt>
                <c:pt idx="1044">
                  <c:v>45792</c:v>
                </c:pt>
                <c:pt idx="1045">
                  <c:v>45793</c:v>
                </c:pt>
                <c:pt idx="1046">
                  <c:v>45796</c:v>
                </c:pt>
                <c:pt idx="1047">
                  <c:v>45797</c:v>
                </c:pt>
                <c:pt idx="1048">
                  <c:v>45798</c:v>
                </c:pt>
                <c:pt idx="1049">
                  <c:v>45799</c:v>
                </c:pt>
                <c:pt idx="1050">
                  <c:v>45800</c:v>
                </c:pt>
                <c:pt idx="1051">
                  <c:v>45803</c:v>
                </c:pt>
                <c:pt idx="1052">
                  <c:v>45804</c:v>
                </c:pt>
                <c:pt idx="1053">
                  <c:v>45805</c:v>
                </c:pt>
                <c:pt idx="1054">
                  <c:v>45806</c:v>
                </c:pt>
                <c:pt idx="1055">
                  <c:v>45807</c:v>
                </c:pt>
                <c:pt idx="1056">
                  <c:v>45810</c:v>
                </c:pt>
                <c:pt idx="1057">
                  <c:v>45811</c:v>
                </c:pt>
                <c:pt idx="1058">
                  <c:v>45812</c:v>
                </c:pt>
                <c:pt idx="1059">
                  <c:v>45813</c:v>
                </c:pt>
                <c:pt idx="1060">
                  <c:v>45814</c:v>
                </c:pt>
                <c:pt idx="1061">
                  <c:v>45817</c:v>
                </c:pt>
                <c:pt idx="1062">
                  <c:v>45818</c:v>
                </c:pt>
                <c:pt idx="1063">
                  <c:v>45819</c:v>
                </c:pt>
                <c:pt idx="1064">
                  <c:v>45820</c:v>
                </c:pt>
                <c:pt idx="1065">
                  <c:v>45821</c:v>
                </c:pt>
                <c:pt idx="1066">
                  <c:v>45824</c:v>
                </c:pt>
                <c:pt idx="1067">
                  <c:v>45825</c:v>
                </c:pt>
                <c:pt idx="1068">
                  <c:v>45826</c:v>
                </c:pt>
                <c:pt idx="1069">
                  <c:v>45827</c:v>
                </c:pt>
                <c:pt idx="1070">
                  <c:v>45828</c:v>
                </c:pt>
                <c:pt idx="1071">
                  <c:v>45831</c:v>
                </c:pt>
                <c:pt idx="1072">
                  <c:v>45832</c:v>
                </c:pt>
                <c:pt idx="1073">
                  <c:v>45833</c:v>
                </c:pt>
                <c:pt idx="1074">
                  <c:v>45834</c:v>
                </c:pt>
                <c:pt idx="1075">
                  <c:v>45835</c:v>
                </c:pt>
                <c:pt idx="1076">
                  <c:v>45838</c:v>
                </c:pt>
                <c:pt idx="1077">
                  <c:v>45839</c:v>
                </c:pt>
                <c:pt idx="1078">
                  <c:v>45840</c:v>
                </c:pt>
                <c:pt idx="1079">
                  <c:v>45841</c:v>
                </c:pt>
                <c:pt idx="1080">
                  <c:v>45842</c:v>
                </c:pt>
                <c:pt idx="1081">
                  <c:v>45845</c:v>
                </c:pt>
                <c:pt idx="1082">
                  <c:v>45846</c:v>
                </c:pt>
                <c:pt idx="1083">
                  <c:v>45847</c:v>
                </c:pt>
                <c:pt idx="1084">
                  <c:v>45848</c:v>
                </c:pt>
                <c:pt idx="1085">
                  <c:v>45849</c:v>
                </c:pt>
                <c:pt idx="1086">
                  <c:v>45852</c:v>
                </c:pt>
                <c:pt idx="1087">
                  <c:v>45853</c:v>
                </c:pt>
                <c:pt idx="1088">
                  <c:v>45854</c:v>
                </c:pt>
                <c:pt idx="1089">
                  <c:v>45855</c:v>
                </c:pt>
                <c:pt idx="1090">
                  <c:v>45856</c:v>
                </c:pt>
                <c:pt idx="1091">
                  <c:v>45859</c:v>
                </c:pt>
                <c:pt idx="1092">
                  <c:v>45860</c:v>
                </c:pt>
                <c:pt idx="1093">
                  <c:v>45861</c:v>
                </c:pt>
                <c:pt idx="1094">
                  <c:v>45862</c:v>
                </c:pt>
                <c:pt idx="1095">
                  <c:v>45863</c:v>
                </c:pt>
                <c:pt idx="1096">
                  <c:v>45866</c:v>
                </c:pt>
                <c:pt idx="1097">
                  <c:v>45867</c:v>
                </c:pt>
                <c:pt idx="1098">
                  <c:v>45868</c:v>
                </c:pt>
                <c:pt idx="1099">
                  <c:v>45869</c:v>
                </c:pt>
                <c:pt idx="1100">
                  <c:v>45870</c:v>
                </c:pt>
                <c:pt idx="1101">
                  <c:v>45873</c:v>
                </c:pt>
                <c:pt idx="1102">
                  <c:v>45874</c:v>
                </c:pt>
                <c:pt idx="1103">
                  <c:v>45875</c:v>
                </c:pt>
                <c:pt idx="1104">
                  <c:v>45876</c:v>
                </c:pt>
                <c:pt idx="1105">
                  <c:v>45877</c:v>
                </c:pt>
                <c:pt idx="1106">
                  <c:v>45880</c:v>
                </c:pt>
                <c:pt idx="1107">
                  <c:v>45881</c:v>
                </c:pt>
                <c:pt idx="1108">
                  <c:v>45882</c:v>
                </c:pt>
                <c:pt idx="1109">
                  <c:v>45883</c:v>
                </c:pt>
                <c:pt idx="1110">
                  <c:v>45884</c:v>
                </c:pt>
                <c:pt idx="1111">
                  <c:v>45887</c:v>
                </c:pt>
                <c:pt idx="1112">
                  <c:v>45888</c:v>
                </c:pt>
                <c:pt idx="1113">
                  <c:v>45889</c:v>
                </c:pt>
                <c:pt idx="1114">
                  <c:v>45890</c:v>
                </c:pt>
                <c:pt idx="1115">
                  <c:v>45891</c:v>
                </c:pt>
                <c:pt idx="1116">
                  <c:v>45894</c:v>
                </c:pt>
                <c:pt idx="1117">
                  <c:v>45895</c:v>
                </c:pt>
                <c:pt idx="1118">
                  <c:v>45896</c:v>
                </c:pt>
                <c:pt idx="1119">
                  <c:v>45897</c:v>
                </c:pt>
                <c:pt idx="1120">
                  <c:v>45898</c:v>
                </c:pt>
                <c:pt idx="1121">
                  <c:v>45903</c:v>
                </c:pt>
                <c:pt idx="1122">
                  <c:v>45904</c:v>
                </c:pt>
                <c:pt idx="1123">
                  <c:v>45905</c:v>
                </c:pt>
                <c:pt idx="1124">
                  <c:v>45908</c:v>
                </c:pt>
                <c:pt idx="1125">
                  <c:v>45909</c:v>
                </c:pt>
                <c:pt idx="1126">
                  <c:v>45910</c:v>
                </c:pt>
                <c:pt idx="1127">
                  <c:v>45911</c:v>
                </c:pt>
                <c:pt idx="1128">
                  <c:v>45912</c:v>
                </c:pt>
                <c:pt idx="1129">
                  <c:v>45915</c:v>
                </c:pt>
                <c:pt idx="1130">
                  <c:v>45916</c:v>
                </c:pt>
                <c:pt idx="1131">
                  <c:v>45917</c:v>
                </c:pt>
                <c:pt idx="1132">
                  <c:v>45918</c:v>
                </c:pt>
                <c:pt idx="1133">
                  <c:v>45919</c:v>
                </c:pt>
                <c:pt idx="1134">
                  <c:v>45922</c:v>
                </c:pt>
                <c:pt idx="1135">
                  <c:v>45923</c:v>
                </c:pt>
                <c:pt idx="1136">
                  <c:v>45924</c:v>
                </c:pt>
                <c:pt idx="1137">
                  <c:v>45925</c:v>
                </c:pt>
                <c:pt idx="1138">
                  <c:v>45926</c:v>
                </c:pt>
                <c:pt idx="1139">
                  <c:v>45929</c:v>
                </c:pt>
                <c:pt idx="1140">
                  <c:v>45930</c:v>
                </c:pt>
                <c:pt idx="1141">
                  <c:v>45931</c:v>
                </c:pt>
                <c:pt idx="1142">
                  <c:v>45932</c:v>
                </c:pt>
                <c:pt idx="1143">
                  <c:v>45933</c:v>
                </c:pt>
                <c:pt idx="1144">
                  <c:v>45936</c:v>
                </c:pt>
                <c:pt idx="1145">
                  <c:v>45937</c:v>
                </c:pt>
                <c:pt idx="1146">
                  <c:v>45938</c:v>
                </c:pt>
                <c:pt idx="1147">
                  <c:v>45939</c:v>
                </c:pt>
                <c:pt idx="1148">
                  <c:v>45940</c:v>
                </c:pt>
                <c:pt idx="1149">
                  <c:v>45943</c:v>
                </c:pt>
                <c:pt idx="1150">
                  <c:v>45944</c:v>
                </c:pt>
                <c:pt idx="1151">
                  <c:v>45945</c:v>
                </c:pt>
                <c:pt idx="1152">
                  <c:v>45946</c:v>
                </c:pt>
                <c:pt idx="1153">
                  <c:v>45947</c:v>
                </c:pt>
                <c:pt idx="1154">
                  <c:v>45950</c:v>
                </c:pt>
                <c:pt idx="1155">
                  <c:v>45951</c:v>
                </c:pt>
                <c:pt idx="1156">
                  <c:v>45952</c:v>
                </c:pt>
                <c:pt idx="1157">
                  <c:v>45953</c:v>
                </c:pt>
                <c:pt idx="1158">
                  <c:v>45954</c:v>
                </c:pt>
                <c:pt idx="1159">
                  <c:v>45957</c:v>
                </c:pt>
                <c:pt idx="1160">
                  <c:v>45958</c:v>
                </c:pt>
                <c:pt idx="1161">
                  <c:v>45959</c:v>
                </c:pt>
                <c:pt idx="1162">
                  <c:v>45960</c:v>
                </c:pt>
                <c:pt idx="1163">
                  <c:v>45961</c:v>
                </c:pt>
                <c:pt idx="1164">
                  <c:v>45964</c:v>
                </c:pt>
                <c:pt idx="1165">
                  <c:v>45965</c:v>
                </c:pt>
                <c:pt idx="1166">
                  <c:v>45966</c:v>
                </c:pt>
                <c:pt idx="1167">
                  <c:v>45967</c:v>
                </c:pt>
                <c:pt idx="1168">
                  <c:v>45968</c:v>
                </c:pt>
                <c:pt idx="1169">
                  <c:v>45971</c:v>
                </c:pt>
                <c:pt idx="1170">
                  <c:v>45972</c:v>
                </c:pt>
                <c:pt idx="1171">
                  <c:v>45973</c:v>
                </c:pt>
                <c:pt idx="1172">
                  <c:v>45974</c:v>
                </c:pt>
                <c:pt idx="1173">
                  <c:v>45975</c:v>
                </c:pt>
                <c:pt idx="1174">
                  <c:v>45978</c:v>
                </c:pt>
                <c:pt idx="1175">
                  <c:v>45979</c:v>
                </c:pt>
                <c:pt idx="1176">
                  <c:v>45980</c:v>
                </c:pt>
                <c:pt idx="1177">
                  <c:v>45981</c:v>
                </c:pt>
                <c:pt idx="1178">
                  <c:v>45982</c:v>
                </c:pt>
                <c:pt idx="1179">
                  <c:v>45985</c:v>
                </c:pt>
                <c:pt idx="1180">
                  <c:v>45986</c:v>
                </c:pt>
                <c:pt idx="1181">
                  <c:v>45987</c:v>
                </c:pt>
                <c:pt idx="1182">
                  <c:v>45988</c:v>
                </c:pt>
                <c:pt idx="1183">
                  <c:v>45989</c:v>
                </c:pt>
                <c:pt idx="1184">
                  <c:v>45992</c:v>
                </c:pt>
                <c:pt idx="1185">
                  <c:v>45993</c:v>
                </c:pt>
                <c:pt idx="1186">
                  <c:v>45994</c:v>
                </c:pt>
                <c:pt idx="1187">
                  <c:v>45995</c:v>
                </c:pt>
                <c:pt idx="1188">
                  <c:v>45996</c:v>
                </c:pt>
                <c:pt idx="1189">
                  <c:v>45999</c:v>
                </c:pt>
                <c:pt idx="1190">
                  <c:v>46000</c:v>
                </c:pt>
                <c:pt idx="1191">
                  <c:v>46001</c:v>
                </c:pt>
                <c:pt idx="1192">
                  <c:v>46002</c:v>
                </c:pt>
                <c:pt idx="1193">
                  <c:v>46003</c:v>
                </c:pt>
                <c:pt idx="1194">
                  <c:v>46006</c:v>
                </c:pt>
                <c:pt idx="1195">
                  <c:v>46007</c:v>
                </c:pt>
                <c:pt idx="1196">
                  <c:v>46008</c:v>
                </c:pt>
                <c:pt idx="1197">
                  <c:v>46009</c:v>
                </c:pt>
                <c:pt idx="1198">
                  <c:v>46010</c:v>
                </c:pt>
                <c:pt idx="1199">
                  <c:v>46013</c:v>
                </c:pt>
                <c:pt idx="1200">
                  <c:v>46014</c:v>
                </c:pt>
                <c:pt idx="1201">
                  <c:v>46015</c:v>
                </c:pt>
                <c:pt idx="1202">
                  <c:v>46016</c:v>
                </c:pt>
                <c:pt idx="1203">
                  <c:v>46017</c:v>
                </c:pt>
                <c:pt idx="1204">
                  <c:v>46020</c:v>
                </c:pt>
                <c:pt idx="1205">
                  <c:v>46021</c:v>
                </c:pt>
                <c:pt idx="1206">
                  <c:v>46022</c:v>
                </c:pt>
                <c:pt idx="1207">
                  <c:v>46027</c:v>
                </c:pt>
                <c:pt idx="1208">
                  <c:v>46028</c:v>
                </c:pt>
                <c:pt idx="1209">
                  <c:v>46029</c:v>
                </c:pt>
                <c:pt idx="1210">
                  <c:v>46030</c:v>
                </c:pt>
                <c:pt idx="1211">
                  <c:v>46031</c:v>
                </c:pt>
                <c:pt idx="1212">
                  <c:v>46034</c:v>
                </c:pt>
                <c:pt idx="1213">
                  <c:v>46035</c:v>
                </c:pt>
                <c:pt idx="1214">
                  <c:v>46036</c:v>
                </c:pt>
                <c:pt idx="1215">
                  <c:v>46037</c:v>
                </c:pt>
                <c:pt idx="1216">
                  <c:v>46038</c:v>
                </c:pt>
                <c:pt idx="1217">
                  <c:v>46041</c:v>
                </c:pt>
                <c:pt idx="1218">
                  <c:v>46042</c:v>
                </c:pt>
                <c:pt idx="1219">
                  <c:v>46043</c:v>
                </c:pt>
                <c:pt idx="1220">
                  <c:v>46044</c:v>
                </c:pt>
                <c:pt idx="1221">
                  <c:v>46045</c:v>
                </c:pt>
                <c:pt idx="1222">
                  <c:v>46048</c:v>
                </c:pt>
                <c:pt idx="1223">
                  <c:v>46049</c:v>
                </c:pt>
                <c:pt idx="1224">
                  <c:v>46050</c:v>
                </c:pt>
                <c:pt idx="1225">
                  <c:v>46051</c:v>
                </c:pt>
                <c:pt idx="1226">
                  <c:v>46052</c:v>
                </c:pt>
                <c:pt idx="1227">
                  <c:v>46055</c:v>
                </c:pt>
                <c:pt idx="1228">
                  <c:v>46056</c:v>
                </c:pt>
                <c:pt idx="1229">
                  <c:v>46057</c:v>
                </c:pt>
                <c:pt idx="1230">
                  <c:v>46058</c:v>
                </c:pt>
                <c:pt idx="1231">
                  <c:v>46059</c:v>
                </c:pt>
                <c:pt idx="1232">
                  <c:v>46062</c:v>
                </c:pt>
                <c:pt idx="1233">
                  <c:v>46063</c:v>
                </c:pt>
                <c:pt idx="1234">
                  <c:v>46064</c:v>
                </c:pt>
                <c:pt idx="1235">
                  <c:v>46065</c:v>
                </c:pt>
                <c:pt idx="1236">
                  <c:v>46066</c:v>
                </c:pt>
                <c:pt idx="1237">
                  <c:v>46076</c:v>
                </c:pt>
                <c:pt idx="1238">
                  <c:v>46077</c:v>
                </c:pt>
                <c:pt idx="1239">
                  <c:v>46078</c:v>
                </c:pt>
                <c:pt idx="1240">
                  <c:v>46079</c:v>
                </c:pt>
                <c:pt idx="1241">
                  <c:v>46080</c:v>
                </c:pt>
                <c:pt idx="1242">
                  <c:v>46083</c:v>
                </c:pt>
                <c:pt idx="1243">
                  <c:v>46084</c:v>
                </c:pt>
                <c:pt idx="1244">
                  <c:v>46085</c:v>
                </c:pt>
                <c:pt idx="1245">
                  <c:v>46086</c:v>
                </c:pt>
                <c:pt idx="1246">
                  <c:v>46087</c:v>
                </c:pt>
              </c:numCache>
            </c:numRef>
          </c:cat>
          <c:val>
            <c:numRef>
              <c:f>'FX Data'!$F$957:$F$2203</c:f>
              <c:numCache>
                <c:formatCode>0.0</c:formatCode>
                <c:ptCount val="1247"/>
                <c:pt idx="0">
                  <c:v>24.033050394191257</c:v>
                </c:pt>
                <c:pt idx="1">
                  <c:v>24.033050394191257</c:v>
                </c:pt>
                <c:pt idx="2">
                  <c:v>24.033050394191257</c:v>
                </c:pt>
                <c:pt idx="3">
                  <c:v>24.033050394191257</c:v>
                </c:pt>
                <c:pt idx="4">
                  <c:v>24.033050394191257</c:v>
                </c:pt>
                <c:pt idx="5">
                  <c:v>24.033050394191257</c:v>
                </c:pt>
                <c:pt idx="6">
                  <c:v>24.033050394191257</c:v>
                </c:pt>
                <c:pt idx="7">
                  <c:v>24.033050394191257</c:v>
                </c:pt>
                <c:pt idx="8">
                  <c:v>24.033050394191257</c:v>
                </c:pt>
                <c:pt idx="9">
                  <c:v>24.033050394191257</c:v>
                </c:pt>
                <c:pt idx="10">
                  <c:v>24.033050394191257</c:v>
                </c:pt>
                <c:pt idx="11">
                  <c:v>24.033050394191257</c:v>
                </c:pt>
                <c:pt idx="12">
                  <c:v>24.033050394191257</c:v>
                </c:pt>
                <c:pt idx="13">
                  <c:v>24.033050394191257</c:v>
                </c:pt>
                <c:pt idx="14">
                  <c:v>24.033050394191257</c:v>
                </c:pt>
                <c:pt idx="15">
                  <c:v>24.033050394191257</c:v>
                </c:pt>
                <c:pt idx="16">
                  <c:v>24.033050394191257</c:v>
                </c:pt>
                <c:pt idx="17">
                  <c:v>24.033050394191257</c:v>
                </c:pt>
                <c:pt idx="18">
                  <c:v>24.033050394191257</c:v>
                </c:pt>
                <c:pt idx="19">
                  <c:v>24.033050394191257</c:v>
                </c:pt>
                <c:pt idx="20">
                  <c:v>24.033050394191257</c:v>
                </c:pt>
                <c:pt idx="21">
                  <c:v>24.033050394191257</c:v>
                </c:pt>
                <c:pt idx="22">
                  <c:v>24.033050394191257</c:v>
                </c:pt>
                <c:pt idx="23">
                  <c:v>24.033050394191257</c:v>
                </c:pt>
                <c:pt idx="24">
                  <c:v>24.033050394191257</c:v>
                </c:pt>
                <c:pt idx="25">
                  <c:v>24.033050394191257</c:v>
                </c:pt>
                <c:pt idx="26">
                  <c:v>24.033050394191257</c:v>
                </c:pt>
                <c:pt idx="27">
                  <c:v>24.033050394191257</c:v>
                </c:pt>
                <c:pt idx="28">
                  <c:v>24.033050394191257</c:v>
                </c:pt>
                <c:pt idx="29">
                  <c:v>24.033050394191257</c:v>
                </c:pt>
                <c:pt idx="30">
                  <c:v>24.033050394191257</c:v>
                </c:pt>
                <c:pt idx="31">
                  <c:v>24.033050394191257</c:v>
                </c:pt>
                <c:pt idx="32">
                  <c:v>24.033050394191257</c:v>
                </c:pt>
                <c:pt idx="33">
                  <c:v>24.033050394191257</c:v>
                </c:pt>
                <c:pt idx="34">
                  <c:v>24.033050394191257</c:v>
                </c:pt>
                <c:pt idx="35">
                  <c:v>24.033050394191257</c:v>
                </c:pt>
                <c:pt idx="36">
                  <c:v>24.033050394191257</c:v>
                </c:pt>
                <c:pt idx="37">
                  <c:v>24.033050394191257</c:v>
                </c:pt>
                <c:pt idx="38">
                  <c:v>24.033050394191257</c:v>
                </c:pt>
                <c:pt idx="39">
                  <c:v>24.033050394191257</c:v>
                </c:pt>
                <c:pt idx="40">
                  <c:v>24.033050394191257</c:v>
                </c:pt>
                <c:pt idx="41">
                  <c:v>24.033050394191257</c:v>
                </c:pt>
                <c:pt idx="42">
                  <c:v>24.033050394191257</c:v>
                </c:pt>
                <c:pt idx="43">
                  <c:v>24.033050394191257</c:v>
                </c:pt>
                <c:pt idx="44">
                  <c:v>24.033050394191257</c:v>
                </c:pt>
                <c:pt idx="45">
                  <c:v>24.033050394191257</c:v>
                </c:pt>
                <c:pt idx="46">
                  <c:v>24.033050394191257</c:v>
                </c:pt>
                <c:pt idx="47">
                  <c:v>24.033050394191257</c:v>
                </c:pt>
                <c:pt idx="48">
                  <c:v>24.033050394191257</c:v>
                </c:pt>
                <c:pt idx="49">
                  <c:v>24.033050394191257</c:v>
                </c:pt>
                <c:pt idx="50">
                  <c:v>24.033050394191257</c:v>
                </c:pt>
                <c:pt idx="51">
                  <c:v>24.033050394191257</c:v>
                </c:pt>
                <c:pt idx="52">
                  <c:v>24.033050394191257</c:v>
                </c:pt>
                <c:pt idx="53">
                  <c:v>24.033050394191257</c:v>
                </c:pt>
                <c:pt idx="54">
                  <c:v>24.033050394191257</c:v>
                </c:pt>
                <c:pt idx="55">
                  <c:v>24.033050394191257</c:v>
                </c:pt>
                <c:pt idx="56">
                  <c:v>24.033050394191257</c:v>
                </c:pt>
                <c:pt idx="57">
                  <c:v>24.033050394191257</c:v>
                </c:pt>
                <c:pt idx="58">
                  <c:v>24.033050394191257</c:v>
                </c:pt>
                <c:pt idx="59">
                  <c:v>24.033050394191257</c:v>
                </c:pt>
                <c:pt idx="60">
                  <c:v>24.033050394191257</c:v>
                </c:pt>
                <c:pt idx="61">
                  <c:v>24.033050394191257</c:v>
                </c:pt>
                <c:pt idx="62">
                  <c:v>24.033050394191257</c:v>
                </c:pt>
                <c:pt idx="63">
                  <c:v>24.033050394191257</c:v>
                </c:pt>
                <c:pt idx="64">
                  <c:v>24.033050394191257</c:v>
                </c:pt>
                <c:pt idx="65">
                  <c:v>24.033050394191257</c:v>
                </c:pt>
                <c:pt idx="66">
                  <c:v>24.033050394191257</c:v>
                </c:pt>
                <c:pt idx="67">
                  <c:v>24.033050394191257</c:v>
                </c:pt>
                <c:pt idx="68">
                  <c:v>24.033050394191257</c:v>
                </c:pt>
                <c:pt idx="69">
                  <c:v>24.033050394191257</c:v>
                </c:pt>
                <c:pt idx="70">
                  <c:v>24.033050394191257</c:v>
                </c:pt>
                <c:pt idx="71">
                  <c:v>24.033050394191257</c:v>
                </c:pt>
                <c:pt idx="72">
                  <c:v>24.033050394191257</c:v>
                </c:pt>
                <c:pt idx="73">
                  <c:v>24.033050394191257</c:v>
                </c:pt>
                <c:pt idx="74">
                  <c:v>24.033050394191257</c:v>
                </c:pt>
                <c:pt idx="75">
                  <c:v>24.033050394191257</c:v>
                </c:pt>
                <c:pt idx="76">
                  <c:v>24.033050394191257</c:v>
                </c:pt>
                <c:pt idx="77">
                  <c:v>24.033050394191257</c:v>
                </c:pt>
                <c:pt idx="78">
                  <c:v>24.033050394191257</c:v>
                </c:pt>
                <c:pt idx="79">
                  <c:v>24.033050394191257</c:v>
                </c:pt>
                <c:pt idx="80">
                  <c:v>24.033050394191257</c:v>
                </c:pt>
                <c:pt idx="81">
                  <c:v>24.033050394191257</c:v>
                </c:pt>
                <c:pt idx="82">
                  <c:v>24.033050394191257</c:v>
                </c:pt>
                <c:pt idx="83">
                  <c:v>24.033050394191257</c:v>
                </c:pt>
                <c:pt idx="84">
                  <c:v>24.033050394191257</c:v>
                </c:pt>
                <c:pt idx="85">
                  <c:v>24.033050394191257</c:v>
                </c:pt>
                <c:pt idx="86">
                  <c:v>24.033050394191257</c:v>
                </c:pt>
                <c:pt idx="87">
                  <c:v>24.033050394191257</c:v>
                </c:pt>
                <c:pt idx="88">
                  <c:v>24.033050394191257</c:v>
                </c:pt>
                <c:pt idx="89">
                  <c:v>24.033050394191257</c:v>
                </c:pt>
                <c:pt idx="90">
                  <c:v>24.033050394191257</c:v>
                </c:pt>
                <c:pt idx="91">
                  <c:v>24.033050394191257</c:v>
                </c:pt>
                <c:pt idx="92">
                  <c:v>24.033050394191257</c:v>
                </c:pt>
                <c:pt idx="93">
                  <c:v>24.033050394191257</c:v>
                </c:pt>
                <c:pt idx="94">
                  <c:v>24.033050394191257</c:v>
                </c:pt>
                <c:pt idx="95">
                  <c:v>24.033050394191257</c:v>
                </c:pt>
                <c:pt idx="96">
                  <c:v>24.033050394191257</c:v>
                </c:pt>
                <c:pt idx="97">
                  <c:v>24.033050394191257</c:v>
                </c:pt>
                <c:pt idx="98">
                  <c:v>24.033050394191257</c:v>
                </c:pt>
                <c:pt idx="99">
                  <c:v>24.033050394191257</c:v>
                </c:pt>
                <c:pt idx="100">
                  <c:v>24.033050394191257</c:v>
                </c:pt>
                <c:pt idx="101">
                  <c:v>24.033050394191257</c:v>
                </c:pt>
                <c:pt idx="102">
                  <c:v>24.033050394191257</c:v>
                </c:pt>
                <c:pt idx="103">
                  <c:v>24.033050394191257</c:v>
                </c:pt>
                <c:pt idx="104">
                  <c:v>24.033050394191257</c:v>
                </c:pt>
                <c:pt idx="105">
                  <c:v>24.033050394191257</c:v>
                </c:pt>
                <c:pt idx="106">
                  <c:v>24.033050394191257</c:v>
                </c:pt>
                <c:pt idx="107">
                  <c:v>24.033050394191257</c:v>
                </c:pt>
                <c:pt idx="108">
                  <c:v>24.033050394191257</c:v>
                </c:pt>
                <c:pt idx="109">
                  <c:v>24.033050394191257</c:v>
                </c:pt>
                <c:pt idx="110">
                  <c:v>24.033050394191257</c:v>
                </c:pt>
                <c:pt idx="111">
                  <c:v>24.033050394191257</c:v>
                </c:pt>
                <c:pt idx="112">
                  <c:v>24.033050394191257</c:v>
                </c:pt>
                <c:pt idx="113">
                  <c:v>24.033050394191257</c:v>
                </c:pt>
                <c:pt idx="114">
                  <c:v>24.033050394191257</c:v>
                </c:pt>
                <c:pt idx="115">
                  <c:v>24.033050394191257</c:v>
                </c:pt>
                <c:pt idx="116">
                  <c:v>24.033050394191257</c:v>
                </c:pt>
                <c:pt idx="117">
                  <c:v>24.033050394191257</c:v>
                </c:pt>
                <c:pt idx="118">
                  <c:v>24.033050394191257</c:v>
                </c:pt>
                <c:pt idx="119">
                  <c:v>24.033050394191257</c:v>
                </c:pt>
                <c:pt idx="120">
                  <c:v>24.033050394191257</c:v>
                </c:pt>
                <c:pt idx="121">
                  <c:v>24.033050394191257</c:v>
                </c:pt>
                <c:pt idx="122">
                  <c:v>24.033050394191257</c:v>
                </c:pt>
                <c:pt idx="123">
                  <c:v>24.033050394191257</c:v>
                </c:pt>
                <c:pt idx="124">
                  <c:v>24.033050394191257</c:v>
                </c:pt>
                <c:pt idx="125">
                  <c:v>24.033050394191257</c:v>
                </c:pt>
                <c:pt idx="126">
                  <c:v>24.033050394191257</c:v>
                </c:pt>
                <c:pt idx="127">
                  <c:v>24.033050394191257</c:v>
                </c:pt>
                <c:pt idx="128">
                  <c:v>24.033050394191257</c:v>
                </c:pt>
                <c:pt idx="129">
                  <c:v>24.033050394191257</c:v>
                </c:pt>
                <c:pt idx="130">
                  <c:v>24.033050394191257</c:v>
                </c:pt>
                <c:pt idx="131">
                  <c:v>24.033050394191257</c:v>
                </c:pt>
                <c:pt idx="132">
                  <c:v>24.033050394191257</c:v>
                </c:pt>
                <c:pt idx="133">
                  <c:v>24.033050394191257</c:v>
                </c:pt>
                <c:pt idx="134">
                  <c:v>24.033050394191257</c:v>
                </c:pt>
                <c:pt idx="135">
                  <c:v>24.033050394191257</c:v>
                </c:pt>
                <c:pt idx="136">
                  <c:v>24.033050394191257</c:v>
                </c:pt>
                <c:pt idx="137">
                  <c:v>24.033050394191257</c:v>
                </c:pt>
                <c:pt idx="138">
                  <c:v>24.033050394191257</c:v>
                </c:pt>
                <c:pt idx="139">
                  <c:v>24.033050394191257</c:v>
                </c:pt>
                <c:pt idx="140">
                  <c:v>24.033050394191257</c:v>
                </c:pt>
                <c:pt idx="141">
                  <c:v>24.033050394191257</c:v>
                </c:pt>
                <c:pt idx="142">
                  <c:v>24.033050394191257</c:v>
                </c:pt>
                <c:pt idx="143">
                  <c:v>24.033050394191257</c:v>
                </c:pt>
                <c:pt idx="144">
                  <c:v>24.033050394191257</c:v>
                </c:pt>
                <c:pt idx="145">
                  <c:v>24.033050394191257</c:v>
                </c:pt>
                <c:pt idx="146">
                  <c:v>24.033050394191257</c:v>
                </c:pt>
                <c:pt idx="147">
                  <c:v>24.033050394191257</c:v>
                </c:pt>
                <c:pt idx="148">
                  <c:v>24.033050394191257</c:v>
                </c:pt>
                <c:pt idx="149">
                  <c:v>24.033050394191257</c:v>
                </c:pt>
                <c:pt idx="150">
                  <c:v>24.033050394191257</c:v>
                </c:pt>
                <c:pt idx="151">
                  <c:v>24.033050394191257</c:v>
                </c:pt>
                <c:pt idx="152">
                  <c:v>24.033050394191257</c:v>
                </c:pt>
                <c:pt idx="153">
                  <c:v>24.033050394191257</c:v>
                </c:pt>
                <c:pt idx="154">
                  <c:v>24.033050394191257</c:v>
                </c:pt>
                <c:pt idx="155">
                  <c:v>24.033050394191257</c:v>
                </c:pt>
                <c:pt idx="156">
                  <c:v>24.033050394191257</c:v>
                </c:pt>
                <c:pt idx="157">
                  <c:v>24.033050394191257</c:v>
                </c:pt>
                <c:pt idx="158">
                  <c:v>24.033050394191257</c:v>
                </c:pt>
                <c:pt idx="159">
                  <c:v>24.033050394191257</c:v>
                </c:pt>
                <c:pt idx="160">
                  <c:v>24.033050394191257</c:v>
                </c:pt>
                <c:pt idx="161">
                  <c:v>24.033050394191257</c:v>
                </c:pt>
                <c:pt idx="162">
                  <c:v>24.033050394191257</c:v>
                </c:pt>
                <c:pt idx="163">
                  <c:v>24.033050394191257</c:v>
                </c:pt>
                <c:pt idx="164">
                  <c:v>24.033050394191257</c:v>
                </c:pt>
                <c:pt idx="165">
                  <c:v>24.033050394191257</c:v>
                </c:pt>
                <c:pt idx="166">
                  <c:v>24.033050394191257</c:v>
                </c:pt>
                <c:pt idx="167">
                  <c:v>24.033050394191257</c:v>
                </c:pt>
                <c:pt idx="168">
                  <c:v>24.033050394191257</c:v>
                </c:pt>
                <c:pt idx="169">
                  <c:v>24.033050394191257</c:v>
                </c:pt>
                <c:pt idx="170">
                  <c:v>24.033050394191257</c:v>
                </c:pt>
                <c:pt idx="171">
                  <c:v>24.033050394191257</c:v>
                </c:pt>
                <c:pt idx="172">
                  <c:v>24.033050394191257</c:v>
                </c:pt>
                <c:pt idx="173">
                  <c:v>24.033050394191257</c:v>
                </c:pt>
                <c:pt idx="174">
                  <c:v>24.033050394191257</c:v>
                </c:pt>
                <c:pt idx="175">
                  <c:v>24.033050394191257</c:v>
                </c:pt>
                <c:pt idx="176">
                  <c:v>24.033050394191257</c:v>
                </c:pt>
                <c:pt idx="177">
                  <c:v>24.033050394191257</c:v>
                </c:pt>
                <c:pt idx="178">
                  <c:v>24.033050394191257</c:v>
                </c:pt>
                <c:pt idx="179">
                  <c:v>24.033050394191257</c:v>
                </c:pt>
                <c:pt idx="180">
                  <c:v>24.033050394191257</c:v>
                </c:pt>
                <c:pt idx="181">
                  <c:v>24.033050394191257</c:v>
                </c:pt>
                <c:pt idx="182">
                  <c:v>24.033050394191257</c:v>
                </c:pt>
                <c:pt idx="183">
                  <c:v>24.033050394191257</c:v>
                </c:pt>
                <c:pt idx="184">
                  <c:v>24.033050394191257</c:v>
                </c:pt>
                <c:pt idx="185">
                  <c:v>24.033050394191257</c:v>
                </c:pt>
                <c:pt idx="186">
                  <c:v>24.033050394191257</c:v>
                </c:pt>
                <c:pt idx="187">
                  <c:v>24.033050394191257</c:v>
                </c:pt>
                <c:pt idx="188">
                  <c:v>24.033050394191257</c:v>
                </c:pt>
                <c:pt idx="189">
                  <c:v>24.033050394191257</c:v>
                </c:pt>
                <c:pt idx="190">
                  <c:v>24.033050394191257</c:v>
                </c:pt>
                <c:pt idx="191">
                  <c:v>24.033050394191257</c:v>
                </c:pt>
                <c:pt idx="192">
                  <c:v>24.033050394191257</c:v>
                </c:pt>
                <c:pt idx="193">
                  <c:v>24.033050394191257</c:v>
                </c:pt>
                <c:pt idx="194">
                  <c:v>24.033050394191257</c:v>
                </c:pt>
                <c:pt idx="195">
                  <c:v>24.033050394191257</c:v>
                </c:pt>
                <c:pt idx="196">
                  <c:v>24.033050394191257</c:v>
                </c:pt>
                <c:pt idx="197">
                  <c:v>24.033050394191257</c:v>
                </c:pt>
                <c:pt idx="198">
                  <c:v>24.033050394191257</c:v>
                </c:pt>
                <c:pt idx="199">
                  <c:v>24.033050394191257</c:v>
                </c:pt>
                <c:pt idx="200">
                  <c:v>24.033050394191257</c:v>
                </c:pt>
                <c:pt idx="201">
                  <c:v>24.033050394191257</c:v>
                </c:pt>
                <c:pt idx="202">
                  <c:v>24.033050394191257</c:v>
                </c:pt>
                <c:pt idx="203">
                  <c:v>24.033050394191257</c:v>
                </c:pt>
                <c:pt idx="204">
                  <c:v>24.033050394191257</c:v>
                </c:pt>
                <c:pt idx="205">
                  <c:v>24.033050394191257</c:v>
                </c:pt>
                <c:pt idx="206">
                  <c:v>24.033050394191257</c:v>
                </c:pt>
                <c:pt idx="207">
                  <c:v>24.033050394191257</c:v>
                </c:pt>
                <c:pt idx="208">
                  <c:v>24.033050394191257</c:v>
                </c:pt>
                <c:pt idx="209">
                  <c:v>24.033050394191257</c:v>
                </c:pt>
                <c:pt idx="210">
                  <c:v>24.033050394191257</c:v>
                </c:pt>
                <c:pt idx="211">
                  <c:v>24.033050394191257</c:v>
                </c:pt>
                <c:pt idx="212">
                  <c:v>24.033050394191257</c:v>
                </c:pt>
                <c:pt idx="213">
                  <c:v>24.033050394191257</c:v>
                </c:pt>
                <c:pt idx="214">
                  <c:v>24.033050394191257</c:v>
                </c:pt>
                <c:pt idx="215">
                  <c:v>24.033050394191257</c:v>
                </c:pt>
                <c:pt idx="216">
                  <c:v>24.033050394191257</c:v>
                </c:pt>
                <c:pt idx="217">
                  <c:v>24.033050394191257</c:v>
                </c:pt>
                <c:pt idx="218">
                  <c:v>24.033050394191257</c:v>
                </c:pt>
                <c:pt idx="219">
                  <c:v>24.033050394191257</c:v>
                </c:pt>
                <c:pt idx="220">
                  <c:v>24.033050394191257</c:v>
                </c:pt>
                <c:pt idx="221">
                  <c:v>24.033050394191257</c:v>
                </c:pt>
                <c:pt idx="222">
                  <c:v>24.033050394191257</c:v>
                </c:pt>
                <c:pt idx="223">
                  <c:v>24.033050394191257</c:v>
                </c:pt>
                <c:pt idx="224">
                  <c:v>24.033050394191257</c:v>
                </c:pt>
                <c:pt idx="225">
                  <c:v>24.033050394191257</c:v>
                </c:pt>
                <c:pt idx="226">
                  <c:v>24.033050394191257</c:v>
                </c:pt>
                <c:pt idx="227">
                  <c:v>24.033050394191257</c:v>
                </c:pt>
                <c:pt idx="228">
                  <c:v>24.033050394191257</c:v>
                </c:pt>
                <c:pt idx="229">
                  <c:v>24.033050394191257</c:v>
                </c:pt>
                <c:pt idx="230">
                  <c:v>24.033050394191257</c:v>
                </c:pt>
                <c:pt idx="231">
                  <c:v>24.033050394191257</c:v>
                </c:pt>
                <c:pt idx="232">
                  <c:v>24.033050394191257</c:v>
                </c:pt>
                <c:pt idx="233">
                  <c:v>24.033050394191257</c:v>
                </c:pt>
                <c:pt idx="234">
                  <c:v>24.033050394191257</c:v>
                </c:pt>
                <c:pt idx="235">
                  <c:v>24.033050394191257</c:v>
                </c:pt>
                <c:pt idx="236">
                  <c:v>24.033050394191257</c:v>
                </c:pt>
                <c:pt idx="237">
                  <c:v>24.033050394191257</c:v>
                </c:pt>
                <c:pt idx="238">
                  <c:v>24.033050394191257</c:v>
                </c:pt>
                <c:pt idx="239">
                  <c:v>24.033050394191257</c:v>
                </c:pt>
                <c:pt idx="240">
                  <c:v>24.033050394191257</c:v>
                </c:pt>
                <c:pt idx="241">
                  <c:v>24.033050394191257</c:v>
                </c:pt>
                <c:pt idx="242">
                  <c:v>24.033050394191257</c:v>
                </c:pt>
                <c:pt idx="243">
                  <c:v>24.033050394191257</c:v>
                </c:pt>
                <c:pt idx="244">
                  <c:v>24.033050394191257</c:v>
                </c:pt>
                <c:pt idx="245">
                  <c:v>24.033050394191257</c:v>
                </c:pt>
                <c:pt idx="246">
                  <c:v>24.033050394191257</c:v>
                </c:pt>
                <c:pt idx="247">
                  <c:v>24.033050394191257</c:v>
                </c:pt>
                <c:pt idx="248">
                  <c:v>24.033050394191257</c:v>
                </c:pt>
                <c:pt idx="249">
                  <c:v>24.033050394191257</c:v>
                </c:pt>
                <c:pt idx="250">
                  <c:v>24.033050394191257</c:v>
                </c:pt>
                <c:pt idx="251">
                  <c:v>24.033050394191257</c:v>
                </c:pt>
                <c:pt idx="252">
                  <c:v>24.033050394191257</c:v>
                </c:pt>
                <c:pt idx="253">
                  <c:v>24.033050394191257</c:v>
                </c:pt>
                <c:pt idx="254">
                  <c:v>24.033050394191257</c:v>
                </c:pt>
                <c:pt idx="255">
                  <c:v>24.033050394191257</c:v>
                </c:pt>
                <c:pt idx="256">
                  <c:v>24.033050394191257</c:v>
                </c:pt>
                <c:pt idx="257">
                  <c:v>24.033050394191257</c:v>
                </c:pt>
                <c:pt idx="258">
                  <c:v>24.033050394191257</c:v>
                </c:pt>
                <c:pt idx="259">
                  <c:v>24.033050394191257</c:v>
                </c:pt>
                <c:pt idx="260">
                  <c:v>24.033050394191257</c:v>
                </c:pt>
                <c:pt idx="261">
                  <c:v>24.033050394191257</c:v>
                </c:pt>
                <c:pt idx="262">
                  <c:v>24.033050394191257</c:v>
                </c:pt>
                <c:pt idx="263">
                  <c:v>24.033050394191257</c:v>
                </c:pt>
                <c:pt idx="264">
                  <c:v>24.033050394191257</c:v>
                </c:pt>
                <c:pt idx="265">
                  <c:v>24.033050394191257</c:v>
                </c:pt>
                <c:pt idx="266">
                  <c:v>24.033050394191257</c:v>
                </c:pt>
                <c:pt idx="267">
                  <c:v>24.033050394191257</c:v>
                </c:pt>
                <c:pt idx="268">
                  <c:v>24.033050394191257</c:v>
                </c:pt>
                <c:pt idx="269">
                  <c:v>24.033050394191257</c:v>
                </c:pt>
                <c:pt idx="270">
                  <c:v>24.033050394191257</c:v>
                </c:pt>
                <c:pt idx="271">
                  <c:v>24.033050394191257</c:v>
                </c:pt>
                <c:pt idx="272">
                  <c:v>24.033050394191257</c:v>
                </c:pt>
                <c:pt idx="273">
                  <c:v>24.033050394191257</c:v>
                </c:pt>
                <c:pt idx="274">
                  <c:v>24.033050394191257</c:v>
                </c:pt>
                <c:pt idx="275">
                  <c:v>24.033050394191257</c:v>
                </c:pt>
                <c:pt idx="276">
                  <c:v>24.033050394191257</c:v>
                </c:pt>
                <c:pt idx="277">
                  <c:v>24.033050394191257</c:v>
                </c:pt>
                <c:pt idx="278">
                  <c:v>24.033050394191257</c:v>
                </c:pt>
                <c:pt idx="279">
                  <c:v>24.033050394191257</c:v>
                </c:pt>
                <c:pt idx="280">
                  <c:v>24.033050394191257</c:v>
                </c:pt>
                <c:pt idx="281">
                  <c:v>24.033050394191257</c:v>
                </c:pt>
                <c:pt idx="282">
                  <c:v>24.033050394191257</c:v>
                </c:pt>
                <c:pt idx="283">
                  <c:v>24.033050394191257</c:v>
                </c:pt>
                <c:pt idx="284">
                  <c:v>24.033050394191257</c:v>
                </c:pt>
                <c:pt idx="285">
                  <c:v>24.033050394191257</c:v>
                </c:pt>
                <c:pt idx="286">
                  <c:v>24.033050394191257</c:v>
                </c:pt>
                <c:pt idx="287">
                  <c:v>24.033050394191257</c:v>
                </c:pt>
                <c:pt idx="288">
                  <c:v>24.033050394191257</c:v>
                </c:pt>
                <c:pt idx="289">
                  <c:v>24.033050394191257</c:v>
                </c:pt>
                <c:pt idx="290">
                  <c:v>24.033050394191257</c:v>
                </c:pt>
                <c:pt idx="291">
                  <c:v>24.033050394191257</c:v>
                </c:pt>
                <c:pt idx="292">
                  <c:v>24.033050394191257</c:v>
                </c:pt>
                <c:pt idx="293">
                  <c:v>24.033050394191257</c:v>
                </c:pt>
                <c:pt idx="294">
                  <c:v>24.033050394191257</c:v>
                </c:pt>
                <c:pt idx="295">
                  <c:v>24.033050394191257</c:v>
                </c:pt>
                <c:pt idx="296">
                  <c:v>24.033050394191257</c:v>
                </c:pt>
                <c:pt idx="297">
                  <c:v>24.033050394191257</c:v>
                </c:pt>
                <c:pt idx="298">
                  <c:v>24.033050394191257</c:v>
                </c:pt>
                <c:pt idx="299">
                  <c:v>24.033050394191257</c:v>
                </c:pt>
                <c:pt idx="300">
                  <c:v>24.033050394191257</c:v>
                </c:pt>
                <c:pt idx="301">
                  <c:v>24.033050394191257</c:v>
                </c:pt>
                <c:pt idx="302">
                  <c:v>24.033050394191257</c:v>
                </c:pt>
                <c:pt idx="303">
                  <c:v>24.033050394191257</c:v>
                </c:pt>
                <c:pt idx="304">
                  <c:v>24.033050394191257</c:v>
                </c:pt>
                <c:pt idx="305">
                  <c:v>24.033050394191257</c:v>
                </c:pt>
                <c:pt idx="306">
                  <c:v>24.033050394191257</c:v>
                </c:pt>
                <c:pt idx="307">
                  <c:v>24.033050394191257</c:v>
                </c:pt>
                <c:pt idx="308">
                  <c:v>24.033050394191257</c:v>
                </c:pt>
                <c:pt idx="309">
                  <c:v>24.033050394191257</c:v>
                </c:pt>
                <c:pt idx="310">
                  <c:v>24.033050394191257</c:v>
                </c:pt>
                <c:pt idx="311">
                  <c:v>24.033050394191257</c:v>
                </c:pt>
                <c:pt idx="312">
                  <c:v>24.033050394191257</c:v>
                </c:pt>
                <c:pt idx="313">
                  <c:v>24.033050394191257</c:v>
                </c:pt>
                <c:pt idx="314">
                  <c:v>24.033050394191257</c:v>
                </c:pt>
                <c:pt idx="315">
                  <c:v>24.033050394191257</c:v>
                </c:pt>
                <c:pt idx="316">
                  <c:v>24.033050394191257</c:v>
                </c:pt>
                <c:pt idx="317">
                  <c:v>24.033050394191257</c:v>
                </c:pt>
                <c:pt idx="318">
                  <c:v>24.033050394191257</c:v>
                </c:pt>
                <c:pt idx="319">
                  <c:v>24.033050394191257</c:v>
                </c:pt>
                <c:pt idx="320">
                  <c:v>24.033050394191257</c:v>
                </c:pt>
                <c:pt idx="321">
                  <c:v>24.033050394191257</c:v>
                </c:pt>
                <c:pt idx="322">
                  <c:v>24.033050394191257</c:v>
                </c:pt>
                <c:pt idx="323">
                  <c:v>24.033050394191257</c:v>
                </c:pt>
                <c:pt idx="324">
                  <c:v>24.033050394191257</c:v>
                </c:pt>
                <c:pt idx="325">
                  <c:v>24.033050394191257</c:v>
                </c:pt>
                <c:pt idx="326">
                  <c:v>24.033050394191257</c:v>
                </c:pt>
                <c:pt idx="327">
                  <c:v>24.033050394191257</c:v>
                </c:pt>
                <c:pt idx="328">
                  <c:v>24.033050394191257</c:v>
                </c:pt>
                <c:pt idx="329">
                  <c:v>24.033050394191257</c:v>
                </c:pt>
                <c:pt idx="330">
                  <c:v>24.033050394191257</c:v>
                </c:pt>
                <c:pt idx="331">
                  <c:v>24.033050394191257</c:v>
                </c:pt>
                <c:pt idx="332">
                  <c:v>24.033050394191257</c:v>
                </c:pt>
                <c:pt idx="333">
                  <c:v>24.033050394191257</c:v>
                </c:pt>
                <c:pt idx="334">
                  <c:v>24.033050394191257</c:v>
                </c:pt>
                <c:pt idx="335">
                  <c:v>24.033050394191257</c:v>
                </c:pt>
                <c:pt idx="336">
                  <c:v>24.033050394191257</c:v>
                </c:pt>
                <c:pt idx="337">
                  <c:v>24.033050394191257</c:v>
                </c:pt>
                <c:pt idx="338">
                  <c:v>24.033050394191257</c:v>
                </c:pt>
                <c:pt idx="339">
                  <c:v>24.033050394191257</c:v>
                </c:pt>
                <c:pt idx="340">
                  <c:v>24.033050394191257</c:v>
                </c:pt>
                <c:pt idx="341">
                  <c:v>24.033050394191257</c:v>
                </c:pt>
                <c:pt idx="342">
                  <c:v>24.033050394191257</c:v>
                </c:pt>
                <c:pt idx="343">
                  <c:v>24.033050394191257</c:v>
                </c:pt>
                <c:pt idx="344">
                  <c:v>24.033050394191257</c:v>
                </c:pt>
                <c:pt idx="345">
                  <c:v>24.033050394191257</c:v>
                </c:pt>
                <c:pt idx="346">
                  <c:v>24.033050394191257</c:v>
                </c:pt>
                <c:pt idx="347">
                  <c:v>24.033050394191257</c:v>
                </c:pt>
                <c:pt idx="348">
                  <c:v>24.033050394191257</c:v>
                </c:pt>
                <c:pt idx="349">
                  <c:v>24.033050394191257</c:v>
                </c:pt>
                <c:pt idx="350">
                  <c:v>24.033050394191257</c:v>
                </c:pt>
                <c:pt idx="351">
                  <c:v>24.033050394191257</c:v>
                </c:pt>
                <c:pt idx="352">
                  <c:v>24.033050394191257</c:v>
                </c:pt>
                <c:pt idx="353">
                  <c:v>24.033050394191257</c:v>
                </c:pt>
                <c:pt idx="354">
                  <c:v>24.033050394191257</c:v>
                </c:pt>
                <c:pt idx="355">
                  <c:v>24.033050394191257</c:v>
                </c:pt>
                <c:pt idx="356">
                  <c:v>24.033050394191257</c:v>
                </c:pt>
                <c:pt idx="357">
                  <c:v>24.033050394191257</c:v>
                </c:pt>
                <c:pt idx="358">
                  <c:v>24.033050394191257</c:v>
                </c:pt>
                <c:pt idx="359">
                  <c:v>24.033050394191257</c:v>
                </c:pt>
                <c:pt idx="360">
                  <c:v>24.033050394191257</c:v>
                </c:pt>
                <c:pt idx="361">
                  <c:v>24.033050394191257</c:v>
                </c:pt>
                <c:pt idx="362">
                  <c:v>24.033050394191257</c:v>
                </c:pt>
                <c:pt idx="363">
                  <c:v>24.033050394191257</c:v>
                </c:pt>
                <c:pt idx="364">
                  <c:v>24.033050394191257</c:v>
                </c:pt>
                <c:pt idx="365">
                  <c:v>24.033050394191257</c:v>
                </c:pt>
                <c:pt idx="366">
                  <c:v>24.033050394191257</c:v>
                </c:pt>
                <c:pt idx="367">
                  <c:v>24.033050394191257</c:v>
                </c:pt>
                <c:pt idx="368">
                  <c:v>24.033050394191257</c:v>
                </c:pt>
                <c:pt idx="369">
                  <c:v>24.033050394191257</c:v>
                </c:pt>
                <c:pt idx="370">
                  <c:v>24.033050394191257</c:v>
                </c:pt>
                <c:pt idx="371">
                  <c:v>24.033050394191257</c:v>
                </c:pt>
                <c:pt idx="372">
                  <c:v>24.033050394191257</c:v>
                </c:pt>
                <c:pt idx="373">
                  <c:v>24.033050394191257</c:v>
                </c:pt>
                <c:pt idx="374">
                  <c:v>24.033050394191257</c:v>
                </c:pt>
                <c:pt idx="375">
                  <c:v>24.033050394191257</c:v>
                </c:pt>
                <c:pt idx="376">
                  <c:v>24.033050394191257</c:v>
                </c:pt>
                <c:pt idx="377">
                  <c:v>24.033050394191257</c:v>
                </c:pt>
                <c:pt idx="378">
                  <c:v>24.033050394191257</c:v>
                </c:pt>
                <c:pt idx="379">
                  <c:v>24.033050394191257</c:v>
                </c:pt>
                <c:pt idx="380">
                  <c:v>24.033050394191257</c:v>
                </c:pt>
                <c:pt idx="381">
                  <c:v>24.033050394191257</c:v>
                </c:pt>
                <c:pt idx="382">
                  <c:v>24.033050394191257</c:v>
                </c:pt>
                <c:pt idx="383">
                  <c:v>24.033050394191257</c:v>
                </c:pt>
                <c:pt idx="384">
                  <c:v>24.033050394191257</c:v>
                </c:pt>
                <c:pt idx="385">
                  <c:v>24.033050394191257</c:v>
                </c:pt>
                <c:pt idx="386">
                  <c:v>24.033050394191257</c:v>
                </c:pt>
                <c:pt idx="387">
                  <c:v>24.033050394191257</c:v>
                </c:pt>
                <c:pt idx="388">
                  <c:v>24.033050394191257</c:v>
                </c:pt>
                <c:pt idx="389">
                  <c:v>24.033050394191257</c:v>
                </c:pt>
                <c:pt idx="390">
                  <c:v>24.033050394191257</c:v>
                </c:pt>
                <c:pt idx="391">
                  <c:v>24.033050394191257</c:v>
                </c:pt>
                <c:pt idx="392">
                  <c:v>24.033050394191257</c:v>
                </c:pt>
                <c:pt idx="393">
                  <c:v>24.033050394191257</c:v>
                </c:pt>
                <c:pt idx="394">
                  <c:v>24.033050394191257</c:v>
                </c:pt>
                <c:pt idx="395">
                  <c:v>24.033050394191257</c:v>
                </c:pt>
                <c:pt idx="396">
                  <c:v>24.033050394191257</c:v>
                </c:pt>
                <c:pt idx="397">
                  <c:v>24.033050394191257</c:v>
                </c:pt>
                <c:pt idx="398">
                  <c:v>24.033050394191257</c:v>
                </c:pt>
                <c:pt idx="399">
                  <c:v>24.033050394191257</c:v>
                </c:pt>
                <c:pt idx="400">
                  <c:v>24.033050394191257</c:v>
                </c:pt>
                <c:pt idx="401">
                  <c:v>24.033050394191257</c:v>
                </c:pt>
                <c:pt idx="402">
                  <c:v>24.033050394191257</c:v>
                </c:pt>
                <c:pt idx="403">
                  <c:v>24.033050394191257</c:v>
                </c:pt>
                <c:pt idx="404">
                  <c:v>24.033050394191257</c:v>
                </c:pt>
                <c:pt idx="405">
                  <c:v>24.033050394191257</c:v>
                </c:pt>
                <c:pt idx="406">
                  <c:v>24.033050394191257</c:v>
                </c:pt>
                <c:pt idx="407">
                  <c:v>24.033050394191257</c:v>
                </c:pt>
                <c:pt idx="408">
                  <c:v>24.033050394191257</c:v>
                </c:pt>
                <c:pt idx="409">
                  <c:v>24.033050394191257</c:v>
                </c:pt>
                <c:pt idx="410">
                  <c:v>24.033050394191257</c:v>
                </c:pt>
                <c:pt idx="411">
                  <c:v>24.033050394191257</c:v>
                </c:pt>
                <c:pt idx="412">
                  <c:v>24.033050394191257</c:v>
                </c:pt>
                <c:pt idx="413">
                  <c:v>24.033050394191257</c:v>
                </c:pt>
                <c:pt idx="414">
                  <c:v>24.033050394191257</c:v>
                </c:pt>
                <c:pt idx="415">
                  <c:v>24.033050394191257</c:v>
                </c:pt>
                <c:pt idx="416">
                  <c:v>24.033050394191257</c:v>
                </c:pt>
                <c:pt idx="417">
                  <c:v>24.033050394191257</c:v>
                </c:pt>
                <c:pt idx="418">
                  <c:v>24.033050394191257</c:v>
                </c:pt>
                <c:pt idx="419">
                  <c:v>24.033050394191257</c:v>
                </c:pt>
                <c:pt idx="420">
                  <c:v>24.033050394191257</c:v>
                </c:pt>
                <c:pt idx="421">
                  <c:v>24.033050394191257</c:v>
                </c:pt>
                <c:pt idx="422">
                  <c:v>24.033050394191257</c:v>
                </c:pt>
                <c:pt idx="423">
                  <c:v>24.033050394191257</c:v>
                </c:pt>
                <c:pt idx="424">
                  <c:v>24.033050394191257</c:v>
                </c:pt>
                <c:pt idx="425">
                  <c:v>24.033050394191257</c:v>
                </c:pt>
                <c:pt idx="426">
                  <c:v>24.033050394191257</c:v>
                </c:pt>
                <c:pt idx="427">
                  <c:v>24.033050394191257</c:v>
                </c:pt>
                <c:pt idx="428">
                  <c:v>24.033050394191257</c:v>
                </c:pt>
                <c:pt idx="429">
                  <c:v>24.033050394191257</c:v>
                </c:pt>
                <c:pt idx="430">
                  <c:v>24.033050394191257</c:v>
                </c:pt>
                <c:pt idx="431">
                  <c:v>24.033050394191257</c:v>
                </c:pt>
                <c:pt idx="432">
                  <c:v>24.033050394191257</c:v>
                </c:pt>
                <c:pt idx="433">
                  <c:v>24.033050394191257</c:v>
                </c:pt>
                <c:pt idx="434">
                  <c:v>24.033050394191257</c:v>
                </c:pt>
                <c:pt idx="435">
                  <c:v>24.033050394191257</c:v>
                </c:pt>
                <c:pt idx="436">
                  <c:v>24.033050394191257</c:v>
                </c:pt>
                <c:pt idx="437">
                  <c:v>24.033050394191257</c:v>
                </c:pt>
                <c:pt idx="438">
                  <c:v>24.033050394191257</c:v>
                </c:pt>
                <c:pt idx="439">
                  <c:v>24.033050394191257</c:v>
                </c:pt>
                <c:pt idx="440">
                  <c:v>24.033050394191257</c:v>
                </c:pt>
                <c:pt idx="441">
                  <c:v>24.033050394191257</c:v>
                </c:pt>
                <c:pt idx="442">
                  <c:v>24.033050394191257</c:v>
                </c:pt>
                <c:pt idx="443">
                  <c:v>24.033050394191257</c:v>
                </c:pt>
                <c:pt idx="444">
                  <c:v>24.033050394191257</c:v>
                </c:pt>
                <c:pt idx="445">
                  <c:v>24.033050394191257</c:v>
                </c:pt>
                <c:pt idx="446">
                  <c:v>24.033050394191257</c:v>
                </c:pt>
                <c:pt idx="447">
                  <c:v>24.033050394191257</c:v>
                </c:pt>
                <c:pt idx="448">
                  <c:v>24.033050394191257</c:v>
                </c:pt>
                <c:pt idx="449">
                  <c:v>24.033050394191257</c:v>
                </c:pt>
                <c:pt idx="450">
                  <c:v>24.033050394191257</c:v>
                </c:pt>
                <c:pt idx="451">
                  <c:v>24.033050394191257</c:v>
                </c:pt>
                <c:pt idx="452">
                  <c:v>24.033050394191257</c:v>
                </c:pt>
                <c:pt idx="453">
                  <c:v>24.033050394191257</c:v>
                </c:pt>
                <c:pt idx="454">
                  <c:v>24.033050394191257</c:v>
                </c:pt>
                <c:pt idx="455">
                  <c:v>24.033050394191257</c:v>
                </c:pt>
                <c:pt idx="456">
                  <c:v>24.033050394191257</c:v>
                </c:pt>
                <c:pt idx="457">
                  <c:v>24.033050394191257</c:v>
                </c:pt>
                <c:pt idx="458">
                  <c:v>24.033050394191257</c:v>
                </c:pt>
                <c:pt idx="459">
                  <c:v>24.033050394191257</c:v>
                </c:pt>
                <c:pt idx="460">
                  <c:v>24.033050394191257</c:v>
                </c:pt>
                <c:pt idx="461">
                  <c:v>24.033050394191257</c:v>
                </c:pt>
                <c:pt idx="462">
                  <c:v>24.033050394191257</c:v>
                </c:pt>
                <c:pt idx="463">
                  <c:v>24.033050394191257</c:v>
                </c:pt>
                <c:pt idx="464">
                  <c:v>24.033050394191257</c:v>
                </c:pt>
                <c:pt idx="465">
                  <c:v>24.033050394191257</c:v>
                </c:pt>
                <c:pt idx="466">
                  <c:v>24.033050394191257</c:v>
                </c:pt>
                <c:pt idx="467">
                  <c:v>24.033050394191257</c:v>
                </c:pt>
                <c:pt idx="468">
                  <c:v>24.033050394191257</c:v>
                </c:pt>
                <c:pt idx="469">
                  <c:v>24.033050394191257</c:v>
                </c:pt>
                <c:pt idx="470">
                  <c:v>24.033050394191257</c:v>
                </c:pt>
                <c:pt idx="471">
                  <c:v>24.033050394191257</c:v>
                </c:pt>
                <c:pt idx="472">
                  <c:v>24.033050394191257</c:v>
                </c:pt>
                <c:pt idx="473">
                  <c:v>24.033050394191257</c:v>
                </c:pt>
                <c:pt idx="474">
                  <c:v>24.033050394191257</c:v>
                </c:pt>
                <c:pt idx="475">
                  <c:v>24.033050394191257</c:v>
                </c:pt>
                <c:pt idx="476">
                  <c:v>24.033050394191257</c:v>
                </c:pt>
                <c:pt idx="477">
                  <c:v>24.033050394191257</c:v>
                </c:pt>
                <c:pt idx="478">
                  <c:v>24.033050394191257</c:v>
                </c:pt>
                <c:pt idx="479">
                  <c:v>24.033050394191257</c:v>
                </c:pt>
                <c:pt idx="480">
                  <c:v>24.033050394191257</c:v>
                </c:pt>
                <c:pt idx="481">
                  <c:v>24.033050394191257</c:v>
                </c:pt>
                <c:pt idx="482">
                  <c:v>24.033050394191257</c:v>
                </c:pt>
                <c:pt idx="483">
                  <c:v>24.033050394191257</c:v>
                </c:pt>
                <c:pt idx="484">
                  <c:v>24.033050394191257</c:v>
                </c:pt>
                <c:pt idx="485">
                  <c:v>24.033050394191257</c:v>
                </c:pt>
                <c:pt idx="486">
                  <c:v>24.033050394191257</c:v>
                </c:pt>
                <c:pt idx="487">
                  <c:v>24.033050394191257</c:v>
                </c:pt>
                <c:pt idx="488">
                  <c:v>24.033050394191257</c:v>
                </c:pt>
                <c:pt idx="489">
                  <c:v>24.033050394191257</c:v>
                </c:pt>
                <c:pt idx="490">
                  <c:v>24.033050394191257</c:v>
                </c:pt>
                <c:pt idx="491">
                  <c:v>24.033050394191257</c:v>
                </c:pt>
                <c:pt idx="492">
                  <c:v>24.033050394191257</c:v>
                </c:pt>
                <c:pt idx="493">
                  <c:v>24.033050394191257</c:v>
                </c:pt>
                <c:pt idx="494">
                  <c:v>24.033050394191257</c:v>
                </c:pt>
                <c:pt idx="495">
                  <c:v>24.033050394191257</c:v>
                </c:pt>
                <c:pt idx="496">
                  <c:v>24.033050394191257</c:v>
                </c:pt>
                <c:pt idx="497">
                  <c:v>24.033050394191257</c:v>
                </c:pt>
                <c:pt idx="498">
                  <c:v>24.033050394191257</c:v>
                </c:pt>
                <c:pt idx="499">
                  <c:v>24.033050394191257</c:v>
                </c:pt>
                <c:pt idx="500">
                  <c:v>24.033050394191257</c:v>
                </c:pt>
                <c:pt idx="501">
                  <c:v>24.033050394191257</c:v>
                </c:pt>
                <c:pt idx="502">
                  <c:v>24.033050394191257</c:v>
                </c:pt>
                <c:pt idx="503">
                  <c:v>24.033050394191257</c:v>
                </c:pt>
                <c:pt idx="504">
                  <c:v>24.033050394191257</c:v>
                </c:pt>
                <c:pt idx="505">
                  <c:v>24.033050394191257</c:v>
                </c:pt>
                <c:pt idx="506">
                  <c:v>24.033050394191257</c:v>
                </c:pt>
                <c:pt idx="507">
                  <c:v>24.033050394191257</c:v>
                </c:pt>
                <c:pt idx="508">
                  <c:v>24.033050394191257</c:v>
                </c:pt>
                <c:pt idx="509">
                  <c:v>24.033050394191257</c:v>
                </c:pt>
                <c:pt idx="510">
                  <c:v>24.033050394191257</c:v>
                </c:pt>
                <c:pt idx="511">
                  <c:v>24.033050394191257</c:v>
                </c:pt>
                <c:pt idx="512">
                  <c:v>24.033050394191257</c:v>
                </c:pt>
                <c:pt idx="513">
                  <c:v>24.033050394191257</c:v>
                </c:pt>
                <c:pt idx="514">
                  <c:v>24.033050394191257</c:v>
                </c:pt>
                <c:pt idx="515">
                  <c:v>24.033050394191257</c:v>
                </c:pt>
                <c:pt idx="516">
                  <c:v>24.033050394191257</c:v>
                </c:pt>
                <c:pt idx="517">
                  <c:v>24.033050394191257</c:v>
                </c:pt>
                <c:pt idx="518">
                  <c:v>24.033050394191257</c:v>
                </c:pt>
                <c:pt idx="519">
                  <c:v>24.033050394191257</c:v>
                </c:pt>
                <c:pt idx="520">
                  <c:v>24.033050394191257</c:v>
                </c:pt>
                <c:pt idx="521">
                  <c:v>24.033050394191257</c:v>
                </c:pt>
                <c:pt idx="522">
                  <c:v>24.033050394191257</c:v>
                </c:pt>
                <c:pt idx="523">
                  <c:v>24.033050394191257</c:v>
                </c:pt>
                <c:pt idx="524">
                  <c:v>24.033050394191257</c:v>
                </c:pt>
                <c:pt idx="525">
                  <c:v>24.033050394191257</c:v>
                </c:pt>
                <c:pt idx="526">
                  <c:v>24.033050394191257</c:v>
                </c:pt>
                <c:pt idx="527">
                  <c:v>24.033050394191257</c:v>
                </c:pt>
                <c:pt idx="528">
                  <c:v>24.033050394191257</c:v>
                </c:pt>
                <c:pt idx="529">
                  <c:v>24.033050394191257</c:v>
                </c:pt>
                <c:pt idx="530">
                  <c:v>24.033050394191257</c:v>
                </c:pt>
                <c:pt idx="531">
                  <c:v>24.033050394191257</c:v>
                </c:pt>
                <c:pt idx="532">
                  <c:v>24.033050394191257</c:v>
                </c:pt>
                <c:pt idx="533">
                  <c:v>24.033050394191257</c:v>
                </c:pt>
                <c:pt idx="534">
                  <c:v>24.033050394191257</c:v>
                </c:pt>
                <c:pt idx="535">
                  <c:v>24.033050394191257</c:v>
                </c:pt>
                <c:pt idx="536">
                  <c:v>24.033050394191257</c:v>
                </c:pt>
                <c:pt idx="537">
                  <c:v>24.033050394191257</c:v>
                </c:pt>
                <c:pt idx="538">
                  <c:v>24.033050394191257</c:v>
                </c:pt>
                <c:pt idx="539">
                  <c:v>24.033050394191257</c:v>
                </c:pt>
                <c:pt idx="540">
                  <c:v>24.033050394191257</c:v>
                </c:pt>
                <c:pt idx="541">
                  <c:v>24.033050394191257</c:v>
                </c:pt>
                <c:pt idx="542">
                  <c:v>24.033050394191257</c:v>
                </c:pt>
                <c:pt idx="543">
                  <c:v>24.033050394191257</c:v>
                </c:pt>
                <c:pt idx="544">
                  <c:v>24.033050394191257</c:v>
                </c:pt>
                <c:pt idx="545">
                  <c:v>24.033050394191257</c:v>
                </c:pt>
                <c:pt idx="546">
                  <c:v>24.033050394191257</c:v>
                </c:pt>
                <c:pt idx="547">
                  <c:v>24.033050394191257</c:v>
                </c:pt>
                <c:pt idx="548">
                  <c:v>24.033050394191257</c:v>
                </c:pt>
                <c:pt idx="549">
                  <c:v>24.033050394191257</c:v>
                </c:pt>
                <c:pt idx="550">
                  <c:v>24.033050394191257</c:v>
                </c:pt>
                <c:pt idx="551">
                  <c:v>24.033050394191257</c:v>
                </c:pt>
                <c:pt idx="552">
                  <c:v>24.033050394191257</c:v>
                </c:pt>
                <c:pt idx="553">
                  <c:v>24.033050394191257</c:v>
                </c:pt>
                <c:pt idx="554">
                  <c:v>24.033050394191257</c:v>
                </c:pt>
                <c:pt idx="555">
                  <c:v>24.033050394191257</c:v>
                </c:pt>
                <c:pt idx="556">
                  <c:v>24.033050394191257</c:v>
                </c:pt>
                <c:pt idx="557">
                  <c:v>24.033050394191257</c:v>
                </c:pt>
                <c:pt idx="558">
                  <c:v>24.033050394191257</c:v>
                </c:pt>
                <c:pt idx="559">
                  <c:v>24.033050394191257</c:v>
                </c:pt>
                <c:pt idx="560">
                  <c:v>24.033050394191257</c:v>
                </c:pt>
                <c:pt idx="561">
                  <c:v>24.033050394191257</c:v>
                </c:pt>
                <c:pt idx="562">
                  <c:v>24.033050394191257</c:v>
                </c:pt>
                <c:pt idx="563">
                  <c:v>24.033050394191257</c:v>
                </c:pt>
                <c:pt idx="564">
                  <c:v>24.033050394191257</c:v>
                </c:pt>
                <c:pt idx="565">
                  <c:v>24.033050394191257</c:v>
                </c:pt>
                <c:pt idx="566">
                  <c:v>24.033050394191257</c:v>
                </c:pt>
                <c:pt idx="567">
                  <c:v>24.033050394191257</c:v>
                </c:pt>
                <c:pt idx="568">
                  <c:v>24.033050394191257</c:v>
                </c:pt>
                <c:pt idx="569">
                  <c:v>24.033050394191257</c:v>
                </c:pt>
                <c:pt idx="570">
                  <c:v>24.033050394191257</c:v>
                </c:pt>
                <c:pt idx="571">
                  <c:v>24.033050394191257</c:v>
                </c:pt>
                <c:pt idx="572">
                  <c:v>24.033050394191257</c:v>
                </c:pt>
                <c:pt idx="573">
                  <c:v>24.033050394191257</c:v>
                </c:pt>
                <c:pt idx="574">
                  <c:v>24.033050394191257</c:v>
                </c:pt>
                <c:pt idx="575">
                  <c:v>24.033050394191257</c:v>
                </c:pt>
                <c:pt idx="576">
                  <c:v>24.033050394191257</c:v>
                </c:pt>
                <c:pt idx="577">
                  <c:v>24.033050394191257</c:v>
                </c:pt>
                <c:pt idx="578">
                  <c:v>24.033050394191257</c:v>
                </c:pt>
                <c:pt idx="579">
                  <c:v>24.033050394191257</c:v>
                </c:pt>
                <c:pt idx="580">
                  <c:v>24.033050394191257</c:v>
                </c:pt>
                <c:pt idx="581">
                  <c:v>24.033050394191257</c:v>
                </c:pt>
                <c:pt idx="582">
                  <c:v>24.033050394191257</c:v>
                </c:pt>
                <c:pt idx="583">
                  <c:v>24.033050394191257</c:v>
                </c:pt>
                <c:pt idx="584">
                  <c:v>24.033050394191257</c:v>
                </c:pt>
                <c:pt idx="585">
                  <c:v>24.033050394191257</c:v>
                </c:pt>
                <c:pt idx="586">
                  <c:v>24.033050394191257</c:v>
                </c:pt>
                <c:pt idx="587">
                  <c:v>24.033050394191257</c:v>
                </c:pt>
                <c:pt idx="588">
                  <c:v>24.033050394191257</c:v>
                </c:pt>
                <c:pt idx="589">
                  <c:v>24.033050394191257</c:v>
                </c:pt>
                <c:pt idx="590">
                  <c:v>24.033050394191257</c:v>
                </c:pt>
                <c:pt idx="591">
                  <c:v>24.033050394191257</c:v>
                </c:pt>
                <c:pt idx="592">
                  <c:v>24.033050394191257</c:v>
                </c:pt>
                <c:pt idx="593">
                  <c:v>24.033050394191257</c:v>
                </c:pt>
                <c:pt idx="594">
                  <c:v>24.033050394191257</c:v>
                </c:pt>
                <c:pt idx="595">
                  <c:v>24.033050394191257</c:v>
                </c:pt>
                <c:pt idx="596">
                  <c:v>24.033050394191257</c:v>
                </c:pt>
                <c:pt idx="597">
                  <c:v>24.033050394191257</c:v>
                </c:pt>
                <c:pt idx="598">
                  <c:v>24.033050394191257</c:v>
                </c:pt>
                <c:pt idx="599">
                  <c:v>24.033050394191257</c:v>
                </c:pt>
                <c:pt idx="600">
                  <c:v>24.033050394191257</c:v>
                </c:pt>
                <c:pt idx="601">
                  <c:v>24.033050394191257</c:v>
                </c:pt>
                <c:pt idx="602">
                  <c:v>24.033050394191257</c:v>
                </c:pt>
                <c:pt idx="603">
                  <c:v>24.033050394191257</c:v>
                </c:pt>
                <c:pt idx="604">
                  <c:v>24.033050394191257</c:v>
                </c:pt>
                <c:pt idx="605">
                  <c:v>24.033050394191257</c:v>
                </c:pt>
                <c:pt idx="606">
                  <c:v>24.033050394191257</c:v>
                </c:pt>
                <c:pt idx="607">
                  <c:v>24.033050394191257</c:v>
                </c:pt>
                <c:pt idx="608">
                  <c:v>24.033050394191257</c:v>
                </c:pt>
                <c:pt idx="609">
                  <c:v>24.033050394191257</c:v>
                </c:pt>
                <c:pt idx="610">
                  <c:v>24.033050394191257</c:v>
                </c:pt>
                <c:pt idx="611">
                  <c:v>24.033050394191257</c:v>
                </c:pt>
                <c:pt idx="612">
                  <c:v>24.033050394191257</c:v>
                </c:pt>
                <c:pt idx="613">
                  <c:v>24.033050394191257</c:v>
                </c:pt>
                <c:pt idx="614">
                  <c:v>24.033050394191257</c:v>
                </c:pt>
                <c:pt idx="615">
                  <c:v>24.033050394191257</c:v>
                </c:pt>
                <c:pt idx="616">
                  <c:v>24.033050394191257</c:v>
                </c:pt>
                <c:pt idx="617">
                  <c:v>24.033050394191257</c:v>
                </c:pt>
                <c:pt idx="618">
                  <c:v>24.033050394191257</c:v>
                </c:pt>
                <c:pt idx="619">
                  <c:v>24.033050394191257</c:v>
                </c:pt>
                <c:pt idx="620">
                  <c:v>24.033050394191257</c:v>
                </c:pt>
                <c:pt idx="621">
                  <c:v>24.033050394191257</c:v>
                </c:pt>
                <c:pt idx="622">
                  <c:v>24.033050394191257</c:v>
                </c:pt>
                <c:pt idx="623">
                  <c:v>24.033050394191257</c:v>
                </c:pt>
                <c:pt idx="624">
                  <c:v>24.033050394191257</c:v>
                </c:pt>
                <c:pt idx="625">
                  <c:v>24.033050394191257</c:v>
                </c:pt>
                <c:pt idx="626">
                  <c:v>24.033050394191257</c:v>
                </c:pt>
                <c:pt idx="627">
                  <c:v>24.033050394191257</c:v>
                </c:pt>
                <c:pt idx="628">
                  <c:v>24.033050394191257</c:v>
                </c:pt>
                <c:pt idx="629">
                  <c:v>24.033050394191257</c:v>
                </c:pt>
                <c:pt idx="630">
                  <c:v>24.033050394191257</c:v>
                </c:pt>
                <c:pt idx="631">
                  <c:v>24.033050394191257</c:v>
                </c:pt>
                <c:pt idx="632">
                  <c:v>24.033050394191257</c:v>
                </c:pt>
                <c:pt idx="633">
                  <c:v>24.033050394191257</c:v>
                </c:pt>
                <c:pt idx="634">
                  <c:v>24.033050394191257</c:v>
                </c:pt>
                <c:pt idx="635">
                  <c:v>24.033050394191257</c:v>
                </c:pt>
                <c:pt idx="636">
                  <c:v>24.033050394191257</c:v>
                </c:pt>
                <c:pt idx="637">
                  <c:v>24.033050394191257</c:v>
                </c:pt>
                <c:pt idx="638">
                  <c:v>24.033050394191257</c:v>
                </c:pt>
                <c:pt idx="639">
                  <c:v>24.033050394191257</c:v>
                </c:pt>
                <c:pt idx="640">
                  <c:v>24.033050394191257</c:v>
                </c:pt>
                <c:pt idx="641">
                  <c:v>24.033050394191257</c:v>
                </c:pt>
                <c:pt idx="642">
                  <c:v>24.033050394191257</c:v>
                </c:pt>
                <c:pt idx="643">
                  <c:v>24.033050394191257</c:v>
                </c:pt>
                <c:pt idx="644">
                  <c:v>24.033050394191257</c:v>
                </c:pt>
                <c:pt idx="645">
                  <c:v>24.033050394191257</c:v>
                </c:pt>
                <c:pt idx="646">
                  <c:v>24.033050394191257</c:v>
                </c:pt>
                <c:pt idx="647">
                  <c:v>24.033050394191257</c:v>
                </c:pt>
                <c:pt idx="648">
                  <c:v>24.033050394191257</c:v>
                </c:pt>
                <c:pt idx="649">
                  <c:v>24.033050394191257</c:v>
                </c:pt>
                <c:pt idx="650">
                  <c:v>24.033050394191257</c:v>
                </c:pt>
                <c:pt idx="651">
                  <c:v>24.033050394191257</c:v>
                </c:pt>
                <c:pt idx="652">
                  <c:v>24.033050394191257</c:v>
                </c:pt>
                <c:pt idx="653">
                  <c:v>24.033050394191257</c:v>
                </c:pt>
                <c:pt idx="654">
                  <c:v>24.033050394191257</c:v>
                </c:pt>
                <c:pt idx="655">
                  <c:v>24.033050394191257</c:v>
                </c:pt>
                <c:pt idx="656">
                  <c:v>24.033050394191257</c:v>
                </c:pt>
                <c:pt idx="657">
                  <c:v>24.033050394191257</c:v>
                </c:pt>
                <c:pt idx="658">
                  <c:v>24.033050394191257</c:v>
                </c:pt>
                <c:pt idx="659">
                  <c:v>24.033050394191257</c:v>
                </c:pt>
                <c:pt idx="660">
                  <c:v>24.033050394191257</c:v>
                </c:pt>
                <c:pt idx="661">
                  <c:v>24.033050394191257</c:v>
                </c:pt>
                <c:pt idx="662">
                  <c:v>24.033050394191257</c:v>
                </c:pt>
                <c:pt idx="663">
                  <c:v>24.033050394191257</c:v>
                </c:pt>
                <c:pt idx="664">
                  <c:v>24.033050394191257</c:v>
                </c:pt>
                <c:pt idx="665">
                  <c:v>24.033050394191257</c:v>
                </c:pt>
                <c:pt idx="666">
                  <c:v>24.033050394191257</c:v>
                </c:pt>
                <c:pt idx="667">
                  <c:v>24.033050394191257</c:v>
                </c:pt>
                <c:pt idx="668">
                  <c:v>24.033050394191257</c:v>
                </c:pt>
                <c:pt idx="669">
                  <c:v>24.033050394191257</c:v>
                </c:pt>
                <c:pt idx="670">
                  <c:v>24.033050394191257</c:v>
                </c:pt>
                <c:pt idx="671">
                  <c:v>24.033050394191257</c:v>
                </c:pt>
                <c:pt idx="672">
                  <c:v>24.033050394191257</c:v>
                </c:pt>
                <c:pt idx="673">
                  <c:v>24.033050394191257</c:v>
                </c:pt>
                <c:pt idx="674">
                  <c:v>24.033050394191257</c:v>
                </c:pt>
                <c:pt idx="675">
                  <c:v>24.033050394191257</c:v>
                </c:pt>
                <c:pt idx="676">
                  <c:v>24.033050394191257</c:v>
                </c:pt>
                <c:pt idx="677">
                  <c:v>24.033050394191257</c:v>
                </c:pt>
                <c:pt idx="678">
                  <c:v>24.033050394191257</c:v>
                </c:pt>
                <c:pt idx="679">
                  <c:v>24.033050394191257</c:v>
                </c:pt>
                <c:pt idx="680">
                  <c:v>24.033050394191257</c:v>
                </c:pt>
                <c:pt idx="681">
                  <c:v>24.033050394191257</c:v>
                </c:pt>
                <c:pt idx="682">
                  <c:v>24.033050394191257</c:v>
                </c:pt>
                <c:pt idx="683">
                  <c:v>24.033050394191257</c:v>
                </c:pt>
                <c:pt idx="684">
                  <c:v>24.033050394191257</c:v>
                </c:pt>
                <c:pt idx="685">
                  <c:v>24.033050394191257</c:v>
                </c:pt>
                <c:pt idx="686">
                  <c:v>24.033050394191257</c:v>
                </c:pt>
                <c:pt idx="687">
                  <c:v>24.033050394191257</c:v>
                </c:pt>
                <c:pt idx="688">
                  <c:v>24.033050394191257</c:v>
                </c:pt>
                <c:pt idx="689">
                  <c:v>24.033050394191257</c:v>
                </c:pt>
                <c:pt idx="690">
                  <c:v>24.033050394191257</c:v>
                </c:pt>
                <c:pt idx="691">
                  <c:v>24.033050394191257</c:v>
                </c:pt>
                <c:pt idx="692">
                  <c:v>24.033050394191257</c:v>
                </c:pt>
                <c:pt idx="693">
                  <c:v>24.033050394191257</c:v>
                </c:pt>
                <c:pt idx="694">
                  <c:v>24.033050394191257</c:v>
                </c:pt>
                <c:pt idx="695">
                  <c:v>24.033050394191257</c:v>
                </c:pt>
                <c:pt idx="696">
                  <c:v>24.033050394191257</c:v>
                </c:pt>
                <c:pt idx="697">
                  <c:v>24.033050394191257</c:v>
                </c:pt>
                <c:pt idx="698">
                  <c:v>24.033050394191257</c:v>
                </c:pt>
                <c:pt idx="699">
                  <c:v>24.033050394191257</c:v>
                </c:pt>
                <c:pt idx="700">
                  <c:v>24.033050394191257</c:v>
                </c:pt>
                <c:pt idx="701">
                  <c:v>24.033050394191257</c:v>
                </c:pt>
                <c:pt idx="702">
                  <c:v>24.033050394191257</c:v>
                </c:pt>
                <c:pt idx="703">
                  <c:v>24.033050394191257</c:v>
                </c:pt>
                <c:pt idx="704">
                  <c:v>24.033050394191257</c:v>
                </c:pt>
                <c:pt idx="705">
                  <c:v>24.033050394191257</c:v>
                </c:pt>
                <c:pt idx="706">
                  <c:v>24.033050394191257</c:v>
                </c:pt>
                <c:pt idx="707">
                  <c:v>24.033050394191257</c:v>
                </c:pt>
                <c:pt idx="708">
                  <c:v>24.033050394191257</c:v>
                </c:pt>
                <c:pt idx="709">
                  <c:v>24.033050394191257</c:v>
                </c:pt>
                <c:pt idx="710">
                  <c:v>24.033050394191257</c:v>
                </c:pt>
                <c:pt idx="711">
                  <c:v>24.033050394191257</c:v>
                </c:pt>
                <c:pt idx="712">
                  <c:v>24.033050394191257</c:v>
                </c:pt>
                <c:pt idx="713">
                  <c:v>24.033050394191257</c:v>
                </c:pt>
                <c:pt idx="714">
                  <c:v>24.033050394191257</c:v>
                </c:pt>
                <c:pt idx="715">
                  <c:v>24.033050394191257</c:v>
                </c:pt>
                <c:pt idx="716">
                  <c:v>24.033050394191257</c:v>
                </c:pt>
                <c:pt idx="717">
                  <c:v>24.033050394191257</c:v>
                </c:pt>
                <c:pt idx="718">
                  <c:v>24.033050394191257</c:v>
                </c:pt>
                <c:pt idx="719">
                  <c:v>24.033050394191257</c:v>
                </c:pt>
                <c:pt idx="720">
                  <c:v>24.033050394191257</c:v>
                </c:pt>
                <c:pt idx="721">
                  <c:v>24.033050394191257</c:v>
                </c:pt>
                <c:pt idx="722">
                  <c:v>24.033050394191257</c:v>
                </c:pt>
                <c:pt idx="723">
                  <c:v>24.033050394191257</c:v>
                </c:pt>
                <c:pt idx="724">
                  <c:v>24.033050394191257</c:v>
                </c:pt>
                <c:pt idx="725">
                  <c:v>24.033050394191257</c:v>
                </c:pt>
                <c:pt idx="726">
                  <c:v>24.033050394191257</c:v>
                </c:pt>
                <c:pt idx="727">
                  <c:v>24.033050394191257</c:v>
                </c:pt>
                <c:pt idx="728">
                  <c:v>24.033050394191257</c:v>
                </c:pt>
                <c:pt idx="729">
                  <c:v>24.033050394191257</c:v>
                </c:pt>
                <c:pt idx="730">
                  <c:v>24.033050394191257</c:v>
                </c:pt>
                <c:pt idx="731">
                  <c:v>24.033050394191257</c:v>
                </c:pt>
                <c:pt idx="732">
                  <c:v>24.033050394191257</c:v>
                </c:pt>
                <c:pt idx="733">
                  <c:v>24.033050394191257</c:v>
                </c:pt>
                <c:pt idx="734">
                  <c:v>24.033050394191257</c:v>
                </c:pt>
                <c:pt idx="735">
                  <c:v>24.033050394191257</c:v>
                </c:pt>
                <c:pt idx="736">
                  <c:v>24.033050394191257</c:v>
                </c:pt>
                <c:pt idx="737">
                  <c:v>24.033050394191257</c:v>
                </c:pt>
                <c:pt idx="738">
                  <c:v>24.033050394191257</c:v>
                </c:pt>
                <c:pt idx="739">
                  <c:v>24.033050394191257</c:v>
                </c:pt>
                <c:pt idx="740">
                  <c:v>24.033050394191257</c:v>
                </c:pt>
                <c:pt idx="741">
                  <c:v>24.033050394191257</c:v>
                </c:pt>
                <c:pt idx="742">
                  <c:v>24.033050394191257</c:v>
                </c:pt>
                <c:pt idx="743">
                  <c:v>24.033050394191257</c:v>
                </c:pt>
                <c:pt idx="744">
                  <c:v>24.033050394191257</c:v>
                </c:pt>
                <c:pt idx="745">
                  <c:v>24.033050394191257</c:v>
                </c:pt>
                <c:pt idx="746">
                  <c:v>24.033050394191257</c:v>
                </c:pt>
                <c:pt idx="747">
                  <c:v>24.033050394191257</c:v>
                </c:pt>
                <c:pt idx="748">
                  <c:v>24.033050394191257</c:v>
                </c:pt>
                <c:pt idx="749">
                  <c:v>24.033050394191257</c:v>
                </c:pt>
                <c:pt idx="750">
                  <c:v>24.033050394191257</c:v>
                </c:pt>
                <c:pt idx="751">
                  <c:v>24.033050394191257</c:v>
                </c:pt>
                <c:pt idx="752">
                  <c:v>24.033050394191257</c:v>
                </c:pt>
                <c:pt idx="753">
                  <c:v>24.033050394191257</c:v>
                </c:pt>
                <c:pt idx="754">
                  <c:v>24.033050394191257</c:v>
                </c:pt>
                <c:pt idx="755">
                  <c:v>24.033050394191257</c:v>
                </c:pt>
                <c:pt idx="756">
                  <c:v>24.033050394191257</c:v>
                </c:pt>
                <c:pt idx="757">
                  <c:v>24.033050394191257</c:v>
                </c:pt>
                <c:pt idx="758">
                  <c:v>24.033050394191257</c:v>
                </c:pt>
                <c:pt idx="759">
                  <c:v>24.033050394191257</c:v>
                </c:pt>
                <c:pt idx="760">
                  <c:v>24.033050394191257</c:v>
                </c:pt>
                <c:pt idx="761">
                  <c:v>24.033050394191257</c:v>
                </c:pt>
                <c:pt idx="762">
                  <c:v>24.033050394191257</c:v>
                </c:pt>
                <c:pt idx="763">
                  <c:v>24.033050394191257</c:v>
                </c:pt>
                <c:pt idx="764">
                  <c:v>24.033050394191257</c:v>
                </c:pt>
                <c:pt idx="765">
                  <c:v>24.033050394191257</c:v>
                </c:pt>
                <c:pt idx="766">
                  <c:v>24.033050394191257</c:v>
                </c:pt>
                <c:pt idx="767">
                  <c:v>24.033050394191257</c:v>
                </c:pt>
                <c:pt idx="768">
                  <c:v>24.033050394191257</c:v>
                </c:pt>
                <c:pt idx="769">
                  <c:v>24.033050394191257</c:v>
                </c:pt>
                <c:pt idx="770">
                  <c:v>24.033050394191257</c:v>
                </c:pt>
                <c:pt idx="771">
                  <c:v>24.033050394191257</c:v>
                </c:pt>
                <c:pt idx="772">
                  <c:v>24.033050394191257</c:v>
                </c:pt>
                <c:pt idx="773">
                  <c:v>24.033050394191257</c:v>
                </c:pt>
                <c:pt idx="774">
                  <c:v>24.033050394191257</c:v>
                </c:pt>
                <c:pt idx="775">
                  <c:v>24.033050394191257</c:v>
                </c:pt>
                <c:pt idx="776">
                  <c:v>24.033050394191257</c:v>
                </c:pt>
                <c:pt idx="777">
                  <c:v>24.033050394191257</c:v>
                </c:pt>
                <c:pt idx="778">
                  <c:v>24.033050394191257</c:v>
                </c:pt>
                <c:pt idx="779">
                  <c:v>24.033050394191257</c:v>
                </c:pt>
                <c:pt idx="780">
                  <c:v>24.033050394191257</c:v>
                </c:pt>
                <c:pt idx="781">
                  <c:v>24.033050394191257</c:v>
                </c:pt>
                <c:pt idx="782">
                  <c:v>24.033050394191257</c:v>
                </c:pt>
                <c:pt idx="783">
                  <c:v>24.033050394191257</c:v>
                </c:pt>
                <c:pt idx="784">
                  <c:v>24.033050394191257</c:v>
                </c:pt>
                <c:pt idx="785">
                  <c:v>24.033050394191257</c:v>
                </c:pt>
                <c:pt idx="786">
                  <c:v>24.033050394191257</c:v>
                </c:pt>
                <c:pt idx="787">
                  <c:v>24.033050394191257</c:v>
                </c:pt>
                <c:pt idx="788">
                  <c:v>24.033050394191257</c:v>
                </c:pt>
                <c:pt idx="789">
                  <c:v>24.033050394191257</c:v>
                </c:pt>
                <c:pt idx="790">
                  <c:v>24.033050394191257</c:v>
                </c:pt>
                <c:pt idx="791">
                  <c:v>24.033050394191257</c:v>
                </c:pt>
                <c:pt idx="792">
                  <c:v>24.033050394191257</c:v>
                </c:pt>
                <c:pt idx="793">
                  <c:v>24.033050394191257</c:v>
                </c:pt>
                <c:pt idx="794">
                  <c:v>24.033050394191257</c:v>
                </c:pt>
                <c:pt idx="795">
                  <c:v>24.033050394191257</c:v>
                </c:pt>
                <c:pt idx="796">
                  <c:v>24.033050394191257</c:v>
                </c:pt>
                <c:pt idx="797">
                  <c:v>24.033050394191257</c:v>
                </c:pt>
                <c:pt idx="798">
                  <c:v>24.033050394191257</c:v>
                </c:pt>
                <c:pt idx="799">
                  <c:v>24.033050394191257</c:v>
                </c:pt>
                <c:pt idx="800">
                  <c:v>24.033050394191257</c:v>
                </c:pt>
                <c:pt idx="801">
                  <c:v>24.033050394191257</c:v>
                </c:pt>
                <c:pt idx="802">
                  <c:v>24.033050394191257</c:v>
                </c:pt>
                <c:pt idx="803">
                  <c:v>24.033050394191257</c:v>
                </c:pt>
                <c:pt idx="804">
                  <c:v>24.033050394191257</c:v>
                </c:pt>
                <c:pt idx="805">
                  <c:v>24.033050394191257</c:v>
                </c:pt>
                <c:pt idx="806">
                  <c:v>24.033050394191257</c:v>
                </c:pt>
                <c:pt idx="807">
                  <c:v>24.033050394191257</c:v>
                </c:pt>
                <c:pt idx="808">
                  <c:v>24.033050394191257</c:v>
                </c:pt>
                <c:pt idx="809">
                  <c:v>24.033050394191257</c:v>
                </c:pt>
                <c:pt idx="810">
                  <c:v>24.033050394191257</c:v>
                </c:pt>
                <c:pt idx="811">
                  <c:v>24.033050394191257</c:v>
                </c:pt>
                <c:pt idx="812">
                  <c:v>24.033050394191257</c:v>
                </c:pt>
                <c:pt idx="813">
                  <c:v>24.033050394191257</c:v>
                </c:pt>
                <c:pt idx="814">
                  <c:v>24.033050394191257</c:v>
                </c:pt>
                <c:pt idx="815">
                  <c:v>24.033050394191257</c:v>
                </c:pt>
                <c:pt idx="816">
                  <c:v>24.033050394191257</c:v>
                </c:pt>
                <c:pt idx="817">
                  <c:v>24.033050394191257</c:v>
                </c:pt>
                <c:pt idx="818">
                  <c:v>24.033050394191257</c:v>
                </c:pt>
                <c:pt idx="819">
                  <c:v>24.033050394191257</c:v>
                </c:pt>
                <c:pt idx="820">
                  <c:v>24.033050394191257</c:v>
                </c:pt>
                <c:pt idx="821">
                  <c:v>24.033050394191257</c:v>
                </c:pt>
                <c:pt idx="822">
                  <c:v>24.033050394191257</c:v>
                </c:pt>
                <c:pt idx="823">
                  <c:v>24.033050394191257</c:v>
                </c:pt>
                <c:pt idx="824">
                  <c:v>24.033050394191257</c:v>
                </c:pt>
                <c:pt idx="825">
                  <c:v>24.033050394191257</c:v>
                </c:pt>
                <c:pt idx="826">
                  <c:v>24.033050394191257</c:v>
                </c:pt>
                <c:pt idx="827">
                  <c:v>24.033050394191257</c:v>
                </c:pt>
                <c:pt idx="828">
                  <c:v>24.033050394191257</c:v>
                </c:pt>
                <c:pt idx="829">
                  <c:v>24.033050394191257</c:v>
                </c:pt>
                <c:pt idx="830">
                  <c:v>24.033050394191257</c:v>
                </c:pt>
                <c:pt idx="831">
                  <c:v>24.033050394191257</c:v>
                </c:pt>
                <c:pt idx="832">
                  <c:v>24.033050394191257</c:v>
                </c:pt>
                <c:pt idx="833">
                  <c:v>24.033050394191257</c:v>
                </c:pt>
                <c:pt idx="834">
                  <c:v>24.033050394191257</c:v>
                </c:pt>
                <c:pt idx="835">
                  <c:v>24.033050394191257</c:v>
                </c:pt>
                <c:pt idx="836">
                  <c:v>24.033050394191257</c:v>
                </c:pt>
                <c:pt idx="837">
                  <c:v>24.033050394191257</c:v>
                </c:pt>
                <c:pt idx="838">
                  <c:v>24.033050394191257</c:v>
                </c:pt>
                <c:pt idx="839">
                  <c:v>24.033050394191257</c:v>
                </c:pt>
                <c:pt idx="840">
                  <c:v>24.033050394191257</c:v>
                </c:pt>
                <c:pt idx="841">
                  <c:v>24.033050394191257</c:v>
                </c:pt>
                <c:pt idx="842">
                  <c:v>24.033050394191257</c:v>
                </c:pt>
                <c:pt idx="843">
                  <c:v>24.033050394191257</c:v>
                </c:pt>
                <c:pt idx="844">
                  <c:v>24.033050394191257</c:v>
                </c:pt>
                <c:pt idx="845">
                  <c:v>24.033050394191257</c:v>
                </c:pt>
                <c:pt idx="846">
                  <c:v>24.033050394191257</c:v>
                </c:pt>
                <c:pt idx="847">
                  <c:v>24.033050394191257</c:v>
                </c:pt>
                <c:pt idx="848">
                  <c:v>24.033050394191257</c:v>
                </c:pt>
                <c:pt idx="849">
                  <c:v>24.033050394191257</c:v>
                </c:pt>
                <c:pt idx="850">
                  <c:v>24.033050394191257</c:v>
                </c:pt>
                <c:pt idx="851">
                  <c:v>24.033050394191257</c:v>
                </c:pt>
                <c:pt idx="852">
                  <c:v>24.033050394191257</c:v>
                </c:pt>
                <c:pt idx="853">
                  <c:v>24.033050394191257</c:v>
                </c:pt>
                <c:pt idx="854">
                  <c:v>24.033050394191257</c:v>
                </c:pt>
                <c:pt idx="855">
                  <c:v>24.033050394191257</c:v>
                </c:pt>
                <c:pt idx="856">
                  <c:v>24.033050394191257</c:v>
                </c:pt>
                <c:pt idx="857">
                  <c:v>24.033050394191257</c:v>
                </c:pt>
                <c:pt idx="858">
                  <c:v>24.033050394191257</c:v>
                </c:pt>
                <c:pt idx="859">
                  <c:v>24.033050394191257</c:v>
                </c:pt>
                <c:pt idx="860">
                  <c:v>24.033050394191257</c:v>
                </c:pt>
                <c:pt idx="861">
                  <c:v>24.033050394191257</c:v>
                </c:pt>
                <c:pt idx="862">
                  <c:v>24.033050394191257</c:v>
                </c:pt>
                <c:pt idx="863">
                  <c:v>24.033050394191257</c:v>
                </c:pt>
                <c:pt idx="864">
                  <c:v>24.033050394191257</c:v>
                </c:pt>
                <c:pt idx="865">
                  <c:v>24.033050394191257</c:v>
                </c:pt>
                <c:pt idx="866">
                  <c:v>24.033050394191257</c:v>
                </c:pt>
                <c:pt idx="867">
                  <c:v>24.033050394191257</c:v>
                </c:pt>
                <c:pt idx="868">
                  <c:v>24.033050394191257</c:v>
                </c:pt>
                <c:pt idx="869">
                  <c:v>24.033050394191257</c:v>
                </c:pt>
                <c:pt idx="870">
                  <c:v>24.033050394191257</c:v>
                </c:pt>
                <c:pt idx="871">
                  <c:v>24.033050394191257</c:v>
                </c:pt>
                <c:pt idx="872">
                  <c:v>24.033050394191257</c:v>
                </c:pt>
                <c:pt idx="873">
                  <c:v>24.033050394191257</c:v>
                </c:pt>
                <c:pt idx="874">
                  <c:v>24.033050394191257</c:v>
                </c:pt>
                <c:pt idx="875">
                  <c:v>24.033050394191257</c:v>
                </c:pt>
                <c:pt idx="876">
                  <c:v>24.033050394191257</c:v>
                </c:pt>
                <c:pt idx="877">
                  <c:v>24.033050394191257</c:v>
                </c:pt>
                <c:pt idx="878">
                  <c:v>24.033050394191257</c:v>
                </c:pt>
                <c:pt idx="879">
                  <c:v>24.033050394191257</c:v>
                </c:pt>
                <c:pt idx="880">
                  <c:v>24.033050394191257</c:v>
                </c:pt>
                <c:pt idx="881">
                  <c:v>24.033050394191257</c:v>
                </c:pt>
                <c:pt idx="882">
                  <c:v>24.033050394191257</c:v>
                </c:pt>
                <c:pt idx="883">
                  <c:v>24.033050394191257</c:v>
                </c:pt>
                <c:pt idx="884">
                  <c:v>24.033050394191257</c:v>
                </c:pt>
                <c:pt idx="885">
                  <c:v>24.033050394191257</c:v>
                </c:pt>
                <c:pt idx="886">
                  <c:v>24.033050394191257</c:v>
                </c:pt>
                <c:pt idx="887">
                  <c:v>24.033050394191257</c:v>
                </c:pt>
                <c:pt idx="888">
                  <c:v>24.033050394191257</c:v>
                </c:pt>
                <c:pt idx="889">
                  <c:v>24.033050394191257</c:v>
                </c:pt>
                <c:pt idx="890">
                  <c:v>24.033050394191257</c:v>
                </c:pt>
                <c:pt idx="891">
                  <c:v>24.033050394191257</c:v>
                </c:pt>
                <c:pt idx="892">
                  <c:v>24.033050394191257</c:v>
                </c:pt>
                <c:pt idx="893">
                  <c:v>24.033050394191257</c:v>
                </c:pt>
                <c:pt idx="894">
                  <c:v>24.033050394191257</c:v>
                </c:pt>
                <c:pt idx="895">
                  <c:v>24.033050394191257</c:v>
                </c:pt>
                <c:pt idx="896">
                  <c:v>24.033050394191257</c:v>
                </c:pt>
                <c:pt idx="897">
                  <c:v>24.033050394191257</c:v>
                </c:pt>
                <c:pt idx="898">
                  <c:v>24.033050394191257</c:v>
                </c:pt>
                <c:pt idx="899">
                  <c:v>24.033050394191257</c:v>
                </c:pt>
                <c:pt idx="900">
                  <c:v>24.033050394191257</c:v>
                </c:pt>
                <c:pt idx="901">
                  <c:v>24.033050394191257</c:v>
                </c:pt>
                <c:pt idx="902">
                  <c:v>24.033050394191257</c:v>
                </c:pt>
                <c:pt idx="903">
                  <c:v>24.033050394191257</c:v>
                </c:pt>
                <c:pt idx="904">
                  <c:v>24.033050394191257</c:v>
                </c:pt>
                <c:pt idx="905">
                  <c:v>24.033050394191257</c:v>
                </c:pt>
                <c:pt idx="906">
                  <c:v>24.033050394191257</c:v>
                </c:pt>
                <c:pt idx="907">
                  <c:v>24.033050394191257</c:v>
                </c:pt>
                <c:pt idx="908">
                  <c:v>24.033050394191257</c:v>
                </c:pt>
                <c:pt idx="909">
                  <c:v>24.033050394191257</c:v>
                </c:pt>
                <c:pt idx="910">
                  <c:v>24.033050394191257</c:v>
                </c:pt>
                <c:pt idx="911">
                  <c:v>24.033050394191257</c:v>
                </c:pt>
                <c:pt idx="912">
                  <c:v>24.033050394191257</c:v>
                </c:pt>
                <c:pt idx="913">
                  <c:v>24.033050394191257</c:v>
                </c:pt>
                <c:pt idx="914">
                  <c:v>24.033050394191257</c:v>
                </c:pt>
                <c:pt idx="915">
                  <c:v>24.033050394191257</c:v>
                </c:pt>
                <c:pt idx="916">
                  <c:v>24.033050394191257</c:v>
                </c:pt>
                <c:pt idx="917">
                  <c:v>24.033050394191257</c:v>
                </c:pt>
                <c:pt idx="918">
                  <c:v>24.033050394191257</c:v>
                </c:pt>
                <c:pt idx="919">
                  <c:v>24.033050394191257</c:v>
                </c:pt>
                <c:pt idx="920">
                  <c:v>24.033050394191257</c:v>
                </c:pt>
                <c:pt idx="921">
                  <c:v>24.033050394191257</c:v>
                </c:pt>
                <c:pt idx="922">
                  <c:v>24.033050394191257</c:v>
                </c:pt>
                <c:pt idx="923">
                  <c:v>24.033050394191257</c:v>
                </c:pt>
                <c:pt idx="924">
                  <c:v>24.033050394191257</c:v>
                </c:pt>
                <c:pt idx="925">
                  <c:v>24.033050394191257</c:v>
                </c:pt>
                <c:pt idx="926">
                  <c:v>24.033050394191257</c:v>
                </c:pt>
                <c:pt idx="927">
                  <c:v>24.033050394191257</c:v>
                </c:pt>
                <c:pt idx="928">
                  <c:v>24.033050394191257</c:v>
                </c:pt>
                <c:pt idx="929">
                  <c:v>24.033050394191257</c:v>
                </c:pt>
                <c:pt idx="930">
                  <c:v>24.033050394191257</c:v>
                </c:pt>
                <c:pt idx="931">
                  <c:v>24.033050394191257</c:v>
                </c:pt>
                <c:pt idx="932">
                  <c:v>24.033050394191257</c:v>
                </c:pt>
                <c:pt idx="933">
                  <c:v>24.033050394191257</c:v>
                </c:pt>
                <c:pt idx="934">
                  <c:v>24.033050394191257</c:v>
                </c:pt>
                <c:pt idx="935">
                  <c:v>24.033050394191257</c:v>
                </c:pt>
                <c:pt idx="936">
                  <c:v>24.033050394191257</c:v>
                </c:pt>
                <c:pt idx="937">
                  <c:v>24.033050394191257</c:v>
                </c:pt>
                <c:pt idx="938">
                  <c:v>24.033050394191257</c:v>
                </c:pt>
                <c:pt idx="939">
                  <c:v>24.033050394191257</c:v>
                </c:pt>
                <c:pt idx="940">
                  <c:v>24.033050394191257</c:v>
                </c:pt>
                <c:pt idx="941">
                  <c:v>24.033050394191257</c:v>
                </c:pt>
                <c:pt idx="942">
                  <c:v>24.033050394191257</c:v>
                </c:pt>
                <c:pt idx="943">
                  <c:v>24.033050394191257</c:v>
                </c:pt>
                <c:pt idx="944">
                  <c:v>24.033050394191257</c:v>
                </c:pt>
                <c:pt idx="945">
                  <c:v>24.033050394191257</c:v>
                </c:pt>
                <c:pt idx="946">
                  <c:v>24.033050394191257</c:v>
                </c:pt>
                <c:pt idx="947">
                  <c:v>24.033050394191257</c:v>
                </c:pt>
                <c:pt idx="948">
                  <c:v>24.033050394191257</c:v>
                </c:pt>
                <c:pt idx="949">
                  <c:v>24.033050394191257</c:v>
                </c:pt>
                <c:pt idx="950">
                  <c:v>24.033050394191257</c:v>
                </c:pt>
                <c:pt idx="951">
                  <c:v>24.033050394191257</c:v>
                </c:pt>
                <c:pt idx="952">
                  <c:v>24.033050394191257</c:v>
                </c:pt>
                <c:pt idx="953">
                  <c:v>24.033050394191257</c:v>
                </c:pt>
                <c:pt idx="954">
                  <c:v>24.033050394191257</c:v>
                </c:pt>
                <c:pt idx="955">
                  <c:v>24.033050394191257</c:v>
                </c:pt>
                <c:pt idx="956">
                  <c:v>24.033050394191257</c:v>
                </c:pt>
                <c:pt idx="957">
                  <c:v>24.033050394191257</c:v>
                </c:pt>
                <c:pt idx="958">
                  <c:v>24.033050394191257</c:v>
                </c:pt>
                <c:pt idx="959">
                  <c:v>24.033050394191257</c:v>
                </c:pt>
                <c:pt idx="960">
                  <c:v>24.033050394191257</c:v>
                </c:pt>
                <c:pt idx="961">
                  <c:v>24.033050394191257</c:v>
                </c:pt>
                <c:pt idx="962">
                  <c:v>24.033050394191257</c:v>
                </c:pt>
                <c:pt idx="963">
                  <c:v>24.033050394191257</c:v>
                </c:pt>
                <c:pt idx="964">
                  <c:v>24.033050394191257</c:v>
                </c:pt>
                <c:pt idx="965">
                  <c:v>24.033050394191257</c:v>
                </c:pt>
                <c:pt idx="966">
                  <c:v>24.033050394191257</c:v>
                </c:pt>
                <c:pt idx="967">
                  <c:v>24.033050394191257</c:v>
                </c:pt>
                <c:pt idx="968">
                  <c:v>24.033050394191257</c:v>
                </c:pt>
                <c:pt idx="969">
                  <c:v>24.033050394191257</c:v>
                </c:pt>
                <c:pt idx="970">
                  <c:v>24.033050394191257</c:v>
                </c:pt>
                <c:pt idx="971">
                  <c:v>24.033050394191257</c:v>
                </c:pt>
                <c:pt idx="972">
                  <c:v>24.033050394191257</c:v>
                </c:pt>
                <c:pt idx="973">
                  <c:v>24.033050394191257</c:v>
                </c:pt>
                <c:pt idx="974">
                  <c:v>24.033050394191257</c:v>
                </c:pt>
                <c:pt idx="975">
                  <c:v>24.033050394191257</c:v>
                </c:pt>
                <c:pt idx="976">
                  <c:v>24.033050394191257</c:v>
                </c:pt>
                <c:pt idx="977">
                  <c:v>24.033050394191257</c:v>
                </c:pt>
                <c:pt idx="978">
                  <c:v>24.033050394191257</c:v>
                </c:pt>
                <c:pt idx="979">
                  <c:v>24.033050394191257</c:v>
                </c:pt>
                <c:pt idx="980">
                  <c:v>24.033050394191257</c:v>
                </c:pt>
                <c:pt idx="981">
                  <c:v>24.033050394191257</c:v>
                </c:pt>
                <c:pt idx="982">
                  <c:v>24.033050394191257</c:v>
                </c:pt>
                <c:pt idx="983">
                  <c:v>24.033050394191257</c:v>
                </c:pt>
                <c:pt idx="984">
                  <c:v>24.033050394191257</c:v>
                </c:pt>
                <c:pt idx="985">
                  <c:v>24.033050394191257</c:v>
                </c:pt>
                <c:pt idx="986">
                  <c:v>24.033050394191257</c:v>
                </c:pt>
                <c:pt idx="987">
                  <c:v>24.033050394191257</c:v>
                </c:pt>
                <c:pt idx="988">
                  <c:v>24.033050394191257</c:v>
                </c:pt>
                <c:pt idx="989">
                  <c:v>24.033050394191257</c:v>
                </c:pt>
                <c:pt idx="990">
                  <c:v>24.033050394191257</c:v>
                </c:pt>
                <c:pt idx="991">
                  <c:v>24.033050394191257</c:v>
                </c:pt>
                <c:pt idx="992">
                  <c:v>24.033050394191257</c:v>
                </c:pt>
                <c:pt idx="993">
                  <c:v>24.033050394191257</c:v>
                </c:pt>
                <c:pt idx="994">
                  <c:v>24.033050394191257</c:v>
                </c:pt>
                <c:pt idx="995">
                  <c:v>24.033050394191257</c:v>
                </c:pt>
                <c:pt idx="996">
                  <c:v>24.033050394191257</c:v>
                </c:pt>
                <c:pt idx="997">
                  <c:v>24.033050394191257</c:v>
                </c:pt>
                <c:pt idx="998">
                  <c:v>24.033050394191257</c:v>
                </c:pt>
                <c:pt idx="999">
                  <c:v>24.033050394191257</c:v>
                </c:pt>
                <c:pt idx="1000">
                  <c:v>24.033050394191257</c:v>
                </c:pt>
                <c:pt idx="1001">
                  <c:v>24.033050394191257</c:v>
                </c:pt>
                <c:pt idx="1002">
                  <c:v>24.033050394191257</c:v>
                </c:pt>
                <c:pt idx="1003">
                  <c:v>24.033050394191257</c:v>
                </c:pt>
                <c:pt idx="1004">
                  <c:v>24.033050394191257</c:v>
                </c:pt>
                <c:pt idx="1005">
                  <c:v>24.033050394191257</c:v>
                </c:pt>
                <c:pt idx="1006">
                  <c:v>24.033050394191257</c:v>
                </c:pt>
                <c:pt idx="1007">
                  <c:v>24.033050394191257</c:v>
                </c:pt>
                <c:pt idx="1008">
                  <c:v>24.033050394191257</c:v>
                </c:pt>
                <c:pt idx="1009">
                  <c:v>24.033050394191257</c:v>
                </c:pt>
                <c:pt idx="1010">
                  <c:v>24.033050394191257</c:v>
                </c:pt>
                <c:pt idx="1011">
                  <c:v>24.033050394191257</c:v>
                </c:pt>
                <c:pt idx="1012">
                  <c:v>24.033050394191257</c:v>
                </c:pt>
                <c:pt idx="1013">
                  <c:v>24.033050394191257</c:v>
                </c:pt>
                <c:pt idx="1014">
                  <c:v>24.033050394191257</c:v>
                </c:pt>
                <c:pt idx="1015">
                  <c:v>24.033050394191257</c:v>
                </c:pt>
                <c:pt idx="1016">
                  <c:v>24.033050394191257</c:v>
                </c:pt>
                <c:pt idx="1017">
                  <c:v>24.033050394191257</c:v>
                </c:pt>
                <c:pt idx="1018">
                  <c:v>24.033050394191257</c:v>
                </c:pt>
                <c:pt idx="1019">
                  <c:v>24.033050394191257</c:v>
                </c:pt>
                <c:pt idx="1020">
                  <c:v>24.033050394191257</c:v>
                </c:pt>
                <c:pt idx="1021">
                  <c:v>24.033050394191257</c:v>
                </c:pt>
                <c:pt idx="1022">
                  <c:v>24.033050394191257</c:v>
                </c:pt>
                <c:pt idx="1023">
                  <c:v>24.033050394191257</c:v>
                </c:pt>
                <c:pt idx="1024">
                  <c:v>24.033050394191257</c:v>
                </c:pt>
                <c:pt idx="1025">
                  <c:v>24.033050394191257</c:v>
                </c:pt>
                <c:pt idx="1026">
                  <c:v>24.033050394191257</c:v>
                </c:pt>
                <c:pt idx="1027">
                  <c:v>24.033050394191257</c:v>
                </c:pt>
                <c:pt idx="1028">
                  <c:v>24.033050394191257</c:v>
                </c:pt>
                <c:pt idx="1029">
                  <c:v>24.033050394191257</c:v>
                </c:pt>
                <c:pt idx="1030">
                  <c:v>24.033050394191257</c:v>
                </c:pt>
                <c:pt idx="1031">
                  <c:v>24.033050394191257</c:v>
                </c:pt>
                <c:pt idx="1032">
                  <c:v>24.033050394191257</c:v>
                </c:pt>
                <c:pt idx="1033">
                  <c:v>24.033050394191257</c:v>
                </c:pt>
                <c:pt idx="1034">
                  <c:v>24.033050394191257</c:v>
                </c:pt>
                <c:pt idx="1035">
                  <c:v>24.033050394191257</c:v>
                </c:pt>
                <c:pt idx="1036">
                  <c:v>24.033050394191257</c:v>
                </c:pt>
                <c:pt idx="1037">
                  <c:v>24.033050394191257</c:v>
                </c:pt>
                <c:pt idx="1038">
                  <c:v>24.033050394191257</c:v>
                </c:pt>
                <c:pt idx="1039">
                  <c:v>24.033050394191257</c:v>
                </c:pt>
                <c:pt idx="1040">
                  <c:v>24.033050394191257</c:v>
                </c:pt>
                <c:pt idx="1041">
                  <c:v>24.033050394191257</c:v>
                </c:pt>
                <c:pt idx="1042">
                  <c:v>24.033050394191257</c:v>
                </c:pt>
                <c:pt idx="1043">
                  <c:v>24.033050394191257</c:v>
                </c:pt>
                <c:pt idx="1044">
                  <c:v>24.033050394191257</c:v>
                </c:pt>
                <c:pt idx="1045">
                  <c:v>24.033050394191257</c:v>
                </c:pt>
                <c:pt idx="1046">
                  <c:v>24.033050394191257</c:v>
                </c:pt>
                <c:pt idx="1047">
                  <c:v>24.033050394191257</c:v>
                </c:pt>
                <c:pt idx="1048">
                  <c:v>24.033050394191257</c:v>
                </c:pt>
                <c:pt idx="1049">
                  <c:v>24.033050394191257</c:v>
                </c:pt>
                <c:pt idx="1050">
                  <c:v>24.033050394191257</c:v>
                </c:pt>
                <c:pt idx="1051">
                  <c:v>24.033050394191257</c:v>
                </c:pt>
                <c:pt idx="1052">
                  <c:v>24.033050394191257</c:v>
                </c:pt>
                <c:pt idx="1053">
                  <c:v>24.033050394191257</c:v>
                </c:pt>
                <c:pt idx="1054">
                  <c:v>24.033050394191257</c:v>
                </c:pt>
                <c:pt idx="1055">
                  <c:v>24.033050394191257</c:v>
                </c:pt>
                <c:pt idx="1056">
                  <c:v>24.033050394191257</c:v>
                </c:pt>
                <c:pt idx="1057">
                  <c:v>24.033050394191257</c:v>
                </c:pt>
                <c:pt idx="1058">
                  <c:v>24.033050394191257</c:v>
                </c:pt>
                <c:pt idx="1059">
                  <c:v>24.033050394191257</c:v>
                </c:pt>
                <c:pt idx="1060">
                  <c:v>24.033050394191257</c:v>
                </c:pt>
                <c:pt idx="1061">
                  <c:v>24.033050394191257</c:v>
                </c:pt>
                <c:pt idx="1062">
                  <c:v>24.033050394191257</c:v>
                </c:pt>
                <c:pt idx="1063">
                  <c:v>24.033050394191257</c:v>
                </c:pt>
                <c:pt idx="1064">
                  <c:v>24.033050394191257</c:v>
                </c:pt>
                <c:pt idx="1065">
                  <c:v>24.033050394191257</c:v>
                </c:pt>
                <c:pt idx="1066">
                  <c:v>24.033050394191257</c:v>
                </c:pt>
                <c:pt idx="1067">
                  <c:v>24.033050394191257</c:v>
                </c:pt>
                <c:pt idx="1068">
                  <c:v>24.033050394191257</c:v>
                </c:pt>
                <c:pt idx="1069">
                  <c:v>24.033050394191257</c:v>
                </c:pt>
                <c:pt idx="1070">
                  <c:v>24.033050394191257</c:v>
                </c:pt>
                <c:pt idx="1071">
                  <c:v>24.033050394191257</c:v>
                </c:pt>
                <c:pt idx="1072">
                  <c:v>24.033050394191257</c:v>
                </c:pt>
                <c:pt idx="1073">
                  <c:v>24.033050394191257</c:v>
                </c:pt>
                <c:pt idx="1074">
                  <c:v>24.033050394191257</c:v>
                </c:pt>
                <c:pt idx="1075">
                  <c:v>24.033050394191257</c:v>
                </c:pt>
                <c:pt idx="1076">
                  <c:v>24.033050394191257</c:v>
                </c:pt>
                <c:pt idx="1077">
                  <c:v>24.033050394191257</c:v>
                </c:pt>
                <c:pt idx="1078">
                  <c:v>24.033050394191257</c:v>
                </c:pt>
                <c:pt idx="1079">
                  <c:v>24.033050394191257</c:v>
                </c:pt>
                <c:pt idx="1080">
                  <c:v>24.033050394191257</c:v>
                </c:pt>
                <c:pt idx="1081">
                  <c:v>24.033050394191257</c:v>
                </c:pt>
                <c:pt idx="1082">
                  <c:v>24.033050394191257</c:v>
                </c:pt>
                <c:pt idx="1083">
                  <c:v>24.033050394191257</c:v>
                </c:pt>
                <c:pt idx="1084">
                  <c:v>24.033050394191257</c:v>
                </c:pt>
                <c:pt idx="1085">
                  <c:v>24.033050394191257</c:v>
                </c:pt>
                <c:pt idx="1086">
                  <c:v>24.033050394191257</c:v>
                </c:pt>
                <c:pt idx="1087">
                  <c:v>24.033050394191257</c:v>
                </c:pt>
                <c:pt idx="1088">
                  <c:v>24.033050394191257</c:v>
                </c:pt>
                <c:pt idx="1089">
                  <c:v>24.033050394191257</c:v>
                </c:pt>
                <c:pt idx="1090">
                  <c:v>24.033050394191257</c:v>
                </c:pt>
                <c:pt idx="1091">
                  <c:v>24.033050394191257</c:v>
                </c:pt>
                <c:pt idx="1092">
                  <c:v>24.033050394191257</c:v>
                </c:pt>
                <c:pt idx="1093">
                  <c:v>24.033050394191257</c:v>
                </c:pt>
                <c:pt idx="1094">
                  <c:v>24.033050394191257</c:v>
                </c:pt>
                <c:pt idx="1095">
                  <c:v>24.033050394191257</c:v>
                </c:pt>
                <c:pt idx="1096">
                  <c:v>24.033050394191257</c:v>
                </c:pt>
                <c:pt idx="1097">
                  <c:v>24.033050394191257</c:v>
                </c:pt>
                <c:pt idx="1098">
                  <c:v>24.033050394191257</c:v>
                </c:pt>
                <c:pt idx="1099">
                  <c:v>24.033050394191257</c:v>
                </c:pt>
                <c:pt idx="1100">
                  <c:v>24.033050394191257</c:v>
                </c:pt>
                <c:pt idx="1101">
                  <c:v>24.033050394191257</c:v>
                </c:pt>
                <c:pt idx="1102">
                  <c:v>24.033050394191257</c:v>
                </c:pt>
                <c:pt idx="1103">
                  <c:v>24.033050394191257</c:v>
                </c:pt>
                <c:pt idx="1104">
                  <c:v>24.033050394191257</c:v>
                </c:pt>
                <c:pt idx="1105">
                  <c:v>24.033050394191257</c:v>
                </c:pt>
                <c:pt idx="1106">
                  <c:v>24.033050394191257</c:v>
                </c:pt>
                <c:pt idx="1107">
                  <c:v>24.033050394191257</c:v>
                </c:pt>
                <c:pt idx="1108">
                  <c:v>24.033050394191257</c:v>
                </c:pt>
                <c:pt idx="1109">
                  <c:v>24.033050394191257</c:v>
                </c:pt>
                <c:pt idx="1110">
                  <c:v>24.033050394191257</c:v>
                </c:pt>
                <c:pt idx="1111">
                  <c:v>24.033050394191257</c:v>
                </c:pt>
                <c:pt idx="1112">
                  <c:v>24.033050394191257</c:v>
                </c:pt>
                <c:pt idx="1113">
                  <c:v>24.033050394191257</c:v>
                </c:pt>
                <c:pt idx="1114">
                  <c:v>24.033050394191257</c:v>
                </c:pt>
                <c:pt idx="1115">
                  <c:v>24.033050394191257</c:v>
                </c:pt>
                <c:pt idx="1116">
                  <c:v>24.033050394191257</c:v>
                </c:pt>
                <c:pt idx="1117">
                  <c:v>24.033050394191257</c:v>
                </c:pt>
                <c:pt idx="1118">
                  <c:v>24.033050394191257</c:v>
                </c:pt>
                <c:pt idx="1119">
                  <c:v>24.033050394191257</c:v>
                </c:pt>
                <c:pt idx="1120">
                  <c:v>24.033050394191257</c:v>
                </c:pt>
                <c:pt idx="1121">
                  <c:v>24.033050394191257</c:v>
                </c:pt>
                <c:pt idx="1122">
                  <c:v>24.033050394191257</c:v>
                </c:pt>
                <c:pt idx="1123">
                  <c:v>24.033050394191257</c:v>
                </c:pt>
                <c:pt idx="1124">
                  <c:v>24.033050394191257</c:v>
                </c:pt>
                <c:pt idx="1125">
                  <c:v>24.033050394191257</c:v>
                </c:pt>
                <c:pt idx="1126">
                  <c:v>24.033050394191257</c:v>
                </c:pt>
                <c:pt idx="1127">
                  <c:v>24.033050394191257</c:v>
                </c:pt>
                <c:pt idx="1128">
                  <c:v>24.033050394191257</c:v>
                </c:pt>
                <c:pt idx="1129">
                  <c:v>24.033050394191257</c:v>
                </c:pt>
                <c:pt idx="1130">
                  <c:v>24.033050394191257</c:v>
                </c:pt>
                <c:pt idx="1131">
                  <c:v>24.033050394191257</c:v>
                </c:pt>
                <c:pt idx="1132">
                  <c:v>24.033050394191257</c:v>
                </c:pt>
                <c:pt idx="1133">
                  <c:v>24.033050394191257</c:v>
                </c:pt>
                <c:pt idx="1134">
                  <c:v>24.033050394191257</c:v>
                </c:pt>
                <c:pt idx="1135">
                  <c:v>24.033050394191257</c:v>
                </c:pt>
                <c:pt idx="1136">
                  <c:v>24.033050394191257</c:v>
                </c:pt>
                <c:pt idx="1137">
                  <c:v>24.033050394191257</c:v>
                </c:pt>
                <c:pt idx="1138">
                  <c:v>24.033050394191257</c:v>
                </c:pt>
                <c:pt idx="1139">
                  <c:v>24.033050394191257</c:v>
                </c:pt>
                <c:pt idx="1140">
                  <c:v>24.033050394191257</c:v>
                </c:pt>
                <c:pt idx="1141">
                  <c:v>24.033050394191257</c:v>
                </c:pt>
                <c:pt idx="1142">
                  <c:v>24.033050394191257</c:v>
                </c:pt>
                <c:pt idx="1143">
                  <c:v>24.033050394191257</c:v>
                </c:pt>
                <c:pt idx="1144">
                  <c:v>24.033050394191257</c:v>
                </c:pt>
                <c:pt idx="1145">
                  <c:v>24.033050394191257</c:v>
                </c:pt>
                <c:pt idx="1146">
                  <c:v>24.033050394191257</c:v>
                </c:pt>
                <c:pt idx="1147">
                  <c:v>24.033050394191257</c:v>
                </c:pt>
                <c:pt idx="1148">
                  <c:v>24.033050394191257</c:v>
                </c:pt>
                <c:pt idx="1149">
                  <c:v>24.033050394191257</c:v>
                </c:pt>
                <c:pt idx="1150">
                  <c:v>24.033050394191257</c:v>
                </c:pt>
                <c:pt idx="1151">
                  <c:v>24.033050394191257</c:v>
                </c:pt>
                <c:pt idx="1152">
                  <c:v>24.033050394191257</c:v>
                </c:pt>
                <c:pt idx="1153">
                  <c:v>24.033050394191257</c:v>
                </c:pt>
                <c:pt idx="1154">
                  <c:v>24.033050394191257</c:v>
                </c:pt>
                <c:pt idx="1155">
                  <c:v>24.033050394191257</c:v>
                </c:pt>
                <c:pt idx="1156">
                  <c:v>24.033050394191257</c:v>
                </c:pt>
                <c:pt idx="1157">
                  <c:v>24.033050394191257</c:v>
                </c:pt>
                <c:pt idx="1158">
                  <c:v>24.033050394191257</c:v>
                </c:pt>
                <c:pt idx="1159">
                  <c:v>24.033050394191257</c:v>
                </c:pt>
                <c:pt idx="1160">
                  <c:v>24.033050394191257</c:v>
                </c:pt>
                <c:pt idx="1161">
                  <c:v>24.033050394191257</c:v>
                </c:pt>
                <c:pt idx="1162">
                  <c:v>24.033050394191257</c:v>
                </c:pt>
                <c:pt idx="1163">
                  <c:v>24.033050394191257</c:v>
                </c:pt>
                <c:pt idx="1164">
                  <c:v>24.033050394191257</c:v>
                </c:pt>
                <c:pt idx="1165">
                  <c:v>24.033050394191257</c:v>
                </c:pt>
                <c:pt idx="1166">
                  <c:v>24.033050394191257</c:v>
                </c:pt>
                <c:pt idx="1167">
                  <c:v>24.033050394191257</c:v>
                </c:pt>
                <c:pt idx="1168">
                  <c:v>24.033050394191257</c:v>
                </c:pt>
                <c:pt idx="1169">
                  <c:v>24.033050394191257</c:v>
                </c:pt>
                <c:pt idx="1170">
                  <c:v>24.033050394191257</c:v>
                </c:pt>
                <c:pt idx="1171">
                  <c:v>24.033050394191257</c:v>
                </c:pt>
                <c:pt idx="1172">
                  <c:v>24.033050394191257</c:v>
                </c:pt>
                <c:pt idx="1173">
                  <c:v>24.033050394191257</c:v>
                </c:pt>
                <c:pt idx="1174">
                  <c:v>24.033050394191257</c:v>
                </c:pt>
                <c:pt idx="1175">
                  <c:v>24.033050394191257</c:v>
                </c:pt>
                <c:pt idx="1176">
                  <c:v>24.033050394191257</c:v>
                </c:pt>
                <c:pt idx="1177">
                  <c:v>24.033050394191257</c:v>
                </c:pt>
                <c:pt idx="1178">
                  <c:v>24.033050394191257</c:v>
                </c:pt>
                <c:pt idx="1179">
                  <c:v>24.033050394191257</c:v>
                </c:pt>
                <c:pt idx="1180">
                  <c:v>24.033050394191257</c:v>
                </c:pt>
                <c:pt idx="1181">
                  <c:v>24.033050394191257</c:v>
                </c:pt>
                <c:pt idx="1182">
                  <c:v>24.033050394191257</c:v>
                </c:pt>
                <c:pt idx="1183">
                  <c:v>24.033050394191257</c:v>
                </c:pt>
                <c:pt idx="1184">
                  <c:v>24.033050394191257</c:v>
                </c:pt>
                <c:pt idx="1185">
                  <c:v>24.033050394191257</c:v>
                </c:pt>
                <c:pt idx="1186">
                  <c:v>24.033050394191257</c:v>
                </c:pt>
                <c:pt idx="1187">
                  <c:v>24.033050394191257</c:v>
                </c:pt>
                <c:pt idx="1188">
                  <c:v>24.033050394191257</c:v>
                </c:pt>
                <c:pt idx="1189">
                  <c:v>24.033050394191257</c:v>
                </c:pt>
                <c:pt idx="1190">
                  <c:v>24.033050394191257</c:v>
                </c:pt>
                <c:pt idx="1191">
                  <c:v>24.033050394191257</c:v>
                </c:pt>
                <c:pt idx="1192">
                  <c:v>24.033050394191257</c:v>
                </c:pt>
                <c:pt idx="1193">
                  <c:v>24.033050394191257</c:v>
                </c:pt>
                <c:pt idx="1194">
                  <c:v>24.033050394191257</c:v>
                </c:pt>
                <c:pt idx="1195">
                  <c:v>24.033050394191257</c:v>
                </c:pt>
                <c:pt idx="1196">
                  <c:v>24.033050394191257</c:v>
                </c:pt>
                <c:pt idx="1197">
                  <c:v>24.033050394191257</c:v>
                </c:pt>
                <c:pt idx="1198">
                  <c:v>24.033050394191257</c:v>
                </c:pt>
                <c:pt idx="1199">
                  <c:v>24.033050394191257</c:v>
                </c:pt>
                <c:pt idx="1200">
                  <c:v>24.033050394191257</c:v>
                </c:pt>
                <c:pt idx="1201">
                  <c:v>24.033050394191257</c:v>
                </c:pt>
                <c:pt idx="1202">
                  <c:v>24.033050394191257</c:v>
                </c:pt>
                <c:pt idx="1203">
                  <c:v>24.033050394191257</c:v>
                </c:pt>
                <c:pt idx="1204">
                  <c:v>24.033050394191257</c:v>
                </c:pt>
                <c:pt idx="1205">
                  <c:v>24.033050394191257</c:v>
                </c:pt>
                <c:pt idx="1206">
                  <c:v>24.033050394191257</c:v>
                </c:pt>
                <c:pt idx="1207">
                  <c:v>24.033050394191257</c:v>
                </c:pt>
                <c:pt idx="1208">
                  <c:v>24.033050394191257</c:v>
                </c:pt>
                <c:pt idx="1209">
                  <c:v>24.033050394191257</c:v>
                </c:pt>
                <c:pt idx="1210">
                  <c:v>24.033050394191257</c:v>
                </c:pt>
                <c:pt idx="1211">
                  <c:v>24.033050394191257</c:v>
                </c:pt>
                <c:pt idx="1212">
                  <c:v>24.033050394191257</c:v>
                </c:pt>
                <c:pt idx="1213">
                  <c:v>24.033050394191257</c:v>
                </c:pt>
                <c:pt idx="1214">
                  <c:v>24.033050394191257</c:v>
                </c:pt>
                <c:pt idx="1215">
                  <c:v>24.033050394191257</c:v>
                </c:pt>
                <c:pt idx="1216">
                  <c:v>24.033050394191257</c:v>
                </c:pt>
                <c:pt idx="1217">
                  <c:v>24.033050394191257</c:v>
                </c:pt>
                <c:pt idx="1218">
                  <c:v>24.033050394191257</c:v>
                </c:pt>
                <c:pt idx="1219">
                  <c:v>24.033050394191257</c:v>
                </c:pt>
                <c:pt idx="1220">
                  <c:v>24.033050394191257</c:v>
                </c:pt>
                <c:pt idx="1221">
                  <c:v>24.033050394191257</c:v>
                </c:pt>
                <c:pt idx="1222">
                  <c:v>24.033050394191257</c:v>
                </c:pt>
                <c:pt idx="1223">
                  <c:v>24.033050394191257</c:v>
                </c:pt>
                <c:pt idx="1224">
                  <c:v>24.033050394191257</c:v>
                </c:pt>
                <c:pt idx="1225">
                  <c:v>24.033050394191257</c:v>
                </c:pt>
                <c:pt idx="1226">
                  <c:v>24.033050394191257</c:v>
                </c:pt>
                <c:pt idx="1227">
                  <c:v>24.033050394191257</c:v>
                </c:pt>
                <c:pt idx="1228">
                  <c:v>24.033050394191257</c:v>
                </c:pt>
                <c:pt idx="1229">
                  <c:v>24.033050394191257</c:v>
                </c:pt>
                <c:pt idx="1230">
                  <c:v>24.033050394191257</c:v>
                </c:pt>
                <c:pt idx="1231">
                  <c:v>24.033050394191257</c:v>
                </c:pt>
                <c:pt idx="1232">
                  <c:v>24.033050394191257</c:v>
                </c:pt>
                <c:pt idx="1233">
                  <c:v>24.033050394191257</c:v>
                </c:pt>
                <c:pt idx="1234">
                  <c:v>24.033050394191257</c:v>
                </c:pt>
                <c:pt idx="1235">
                  <c:v>24.033050394191257</c:v>
                </c:pt>
                <c:pt idx="1236">
                  <c:v>24.033050394191257</c:v>
                </c:pt>
                <c:pt idx="1237">
                  <c:v>24.033050394191257</c:v>
                </c:pt>
                <c:pt idx="1238">
                  <c:v>24.033050394191257</c:v>
                </c:pt>
                <c:pt idx="1239">
                  <c:v>24.033050394191257</c:v>
                </c:pt>
                <c:pt idx="1240">
                  <c:v>24.033050394191257</c:v>
                </c:pt>
                <c:pt idx="1241">
                  <c:v>24.033050394191257</c:v>
                </c:pt>
                <c:pt idx="1242">
                  <c:v>24.033050394191257</c:v>
                </c:pt>
                <c:pt idx="1243">
                  <c:v>24.033050394191257</c:v>
                </c:pt>
                <c:pt idx="1244">
                  <c:v>24.033050394191257</c:v>
                </c:pt>
                <c:pt idx="1245">
                  <c:v>24.033050394191257</c:v>
                </c:pt>
                <c:pt idx="1246">
                  <c:v>24.033050394191257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CF-43BC-82C0-BDBD0A0DFF68}"/>
            </c:ext>
          </c:extLst>
        </c:ser>
        <c:ser>
          <c:idx val="5"/>
          <c:order val="4"/>
          <c:tx>
            <c:strRef>
              <c:f>'FX Data'!$G$956</c:f>
              <c:strCache>
                <c:ptCount val="1"/>
                <c:pt idx="0">
                  <c:v>=+2sd</c:v>
                </c:pt>
              </c:strCache>
            </c:strRef>
          </c:tx>
          <c:spPr>
            <a:ln w="19050" cap="rnd">
              <a:solidFill>
                <a:sysClr val="window" lastClr="FFFFFF">
                  <a:lumMod val="75000"/>
                </a:sysClr>
              </a:solidFill>
              <a:round/>
            </a:ln>
            <a:effectLst/>
          </c:spPr>
          <c:marker>
            <c:symbol val="none"/>
          </c:marker>
          <c:cat>
            <c:numRef>
              <c:f>'FX Data'!$B$957:$B$2203</c:f>
              <c:numCache>
                <c:formatCode>m/d/yyyy</c:formatCode>
                <c:ptCount val="1247"/>
                <c:pt idx="0">
                  <c:v>44263</c:v>
                </c:pt>
                <c:pt idx="1">
                  <c:v>44264</c:v>
                </c:pt>
                <c:pt idx="2">
                  <c:v>44265</c:v>
                </c:pt>
                <c:pt idx="3">
                  <c:v>44266</c:v>
                </c:pt>
                <c:pt idx="4">
                  <c:v>44267</c:v>
                </c:pt>
                <c:pt idx="5">
                  <c:v>44270</c:v>
                </c:pt>
                <c:pt idx="6">
                  <c:v>44271</c:v>
                </c:pt>
                <c:pt idx="7">
                  <c:v>44272</c:v>
                </c:pt>
                <c:pt idx="8">
                  <c:v>44273</c:v>
                </c:pt>
                <c:pt idx="9">
                  <c:v>44274</c:v>
                </c:pt>
                <c:pt idx="10">
                  <c:v>44277</c:v>
                </c:pt>
                <c:pt idx="11">
                  <c:v>44278</c:v>
                </c:pt>
                <c:pt idx="12">
                  <c:v>44279</c:v>
                </c:pt>
                <c:pt idx="13">
                  <c:v>44280</c:v>
                </c:pt>
                <c:pt idx="14">
                  <c:v>44281</c:v>
                </c:pt>
                <c:pt idx="15">
                  <c:v>44284</c:v>
                </c:pt>
                <c:pt idx="16">
                  <c:v>44285</c:v>
                </c:pt>
                <c:pt idx="17">
                  <c:v>44286</c:v>
                </c:pt>
                <c:pt idx="18">
                  <c:v>44287</c:v>
                </c:pt>
                <c:pt idx="19">
                  <c:v>44288</c:v>
                </c:pt>
                <c:pt idx="20">
                  <c:v>44291</c:v>
                </c:pt>
                <c:pt idx="21">
                  <c:v>44292</c:v>
                </c:pt>
                <c:pt idx="22">
                  <c:v>44293</c:v>
                </c:pt>
                <c:pt idx="23">
                  <c:v>44294</c:v>
                </c:pt>
                <c:pt idx="24">
                  <c:v>44295</c:v>
                </c:pt>
                <c:pt idx="25">
                  <c:v>44298</c:v>
                </c:pt>
                <c:pt idx="26">
                  <c:v>44299</c:v>
                </c:pt>
                <c:pt idx="27">
                  <c:v>44300</c:v>
                </c:pt>
                <c:pt idx="28">
                  <c:v>44301</c:v>
                </c:pt>
                <c:pt idx="29">
                  <c:v>44302</c:v>
                </c:pt>
                <c:pt idx="30">
                  <c:v>44305</c:v>
                </c:pt>
                <c:pt idx="31">
                  <c:v>44306</c:v>
                </c:pt>
                <c:pt idx="32">
                  <c:v>44308</c:v>
                </c:pt>
                <c:pt idx="33">
                  <c:v>44309</c:v>
                </c:pt>
                <c:pt idx="34">
                  <c:v>44312</c:v>
                </c:pt>
                <c:pt idx="35">
                  <c:v>44313</c:v>
                </c:pt>
                <c:pt idx="36">
                  <c:v>44314</c:v>
                </c:pt>
                <c:pt idx="37">
                  <c:v>44315</c:v>
                </c:pt>
                <c:pt idx="38">
                  <c:v>44320</c:v>
                </c:pt>
                <c:pt idx="39">
                  <c:v>44321</c:v>
                </c:pt>
                <c:pt idx="40">
                  <c:v>44322</c:v>
                </c:pt>
                <c:pt idx="41">
                  <c:v>44323</c:v>
                </c:pt>
                <c:pt idx="42">
                  <c:v>44326</c:v>
                </c:pt>
                <c:pt idx="43">
                  <c:v>44327</c:v>
                </c:pt>
                <c:pt idx="44">
                  <c:v>44328</c:v>
                </c:pt>
                <c:pt idx="45">
                  <c:v>44329</c:v>
                </c:pt>
                <c:pt idx="46">
                  <c:v>44330</c:v>
                </c:pt>
                <c:pt idx="47">
                  <c:v>44333</c:v>
                </c:pt>
                <c:pt idx="48">
                  <c:v>44334</c:v>
                </c:pt>
                <c:pt idx="49">
                  <c:v>44335</c:v>
                </c:pt>
                <c:pt idx="50">
                  <c:v>44336</c:v>
                </c:pt>
                <c:pt idx="51">
                  <c:v>44337</c:v>
                </c:pt>
                <c:pt idx="52">
                  <c:v>44340</c:v>
                </c:pt>
                <c:pt idx="53">
                  <c:v>44341</c:v>
                </c:pt>
                <c:pt idx="54">
                  <c:v>44342</c:v>
                </c:pt>
                <c:pt idx="55">
                  <c:v>44343</c:v>
                </c:pt>
                <c:pt idx="56">
                  <c:v>44344</c:v>
                </c:pt>
                <c:pt idx="57">
                  <c:v>44347</c:v>
                </c:pt>
                <c:pt idx="58">
                  <c:v>44348</c:v>
                </c:pt>
                <c:pt idx="59">
                  <c:v>44349</c:v>
                </c:pt>
                <c:pt idx="60">
                  <c:v>44350</c:v>
                </c:pt>
                <c:pt idx="61">
                  <c:v>44351</c:v>
                </c:pt>
                <c:pt idx="62">
                  <c:v>44354</c:v>
                </c:pt>
                <c:pt idx="63">
                  <c:v>44355</c:v>
                </c:pt>
                <c:pt idx="64">
                  <c:v>44356</c:v>
                </c:pt>
                <c:pt idx="65">
                  <c:v>44357</c:v>
                </c:pt>
                <c:pt idx="66">
                  <c:v>44358</c:v>
                </c:pt>
                <c:pt idx="67">
                  <c:v>44361</c:v>
                </c:pt>
                <c:pt idx="68">
                  <c:v>44362</c:v>
                </c:pt>
                <c:pt idx="69">
                  <c:v>44363</c:v>
                </c:pt>
                <c:pt idx="70">
                  <c:v>44364</c:v>
                </c:pt>
                <c:pt idx="71">
                  <c:v>44365</c:v>
                </c:pt>
                <c:pt idx="72">
                  <c:v>44368</c:v>
                </c:pt>
                <c:pt idx="73">
                  <c:v>44369</c:v>
                </c:pt>
                <c:pt idx="74">
                  <c:v>44370</c:v>
                </c:pt>
                <c:pt idx="75">
                  <c:v>44371</c:v>
                </c:pt>
                <c:pt idx="76">
                  <c:v>44372</c:v>
                </c:pt>
                <c:pt idx="77">
                  <c:v>44375</c:v>
                </c:pt>
                <c:pt idx="78">
                  <c:v>44376</c:v>
                </c:pt>
                <c:pt idx="79">
                  <c:v>44377</c:v>
                </c:pt>
                <c:pt idx="80">
                  <c:v>44378</c:v>
                </c:pt>
                <c:pt idx="81">
                  <c:v>44379</c:v>
                </c:pt>
                <c:pt idx="82">
                  <c:v>44382</c:v>
                </c:pt>
                <c:pt idx="83">
                  <c:v>44383</c:v>
                </c:pt>
                <c:pt idx="84">
                  <c:v>44384</c:v>
                </c:pt>
                <c:pt idx="85">
                  <c:v>44385</c:v>
                </c:pt>
                <c:pt idx="86">
                  <c:v>44386</c:v>
                </c:pt>
                <c:pt idx="87">
                  <c:v>44389</c:v>
                </c:pt>
                <c:pt idx="88">
                  <c:v>44390</c:v>
                </c:pt>
                <c:pt idx="89">
                  <c:v>44391</c:v>
                </c:pt>
                <c:pt idx="90">
                  <c:v>44392</c:v>
                </c:pt>
                <c:pt idx="91">
                  <c:v>44393</c:v>
                </c:pt>
                <c:pt idx="92">
                  <c:v>44396</c:v>
                </c:pt>
                <c:pt idx="93">
                  <c:v>44397</c:v>
                </c:pt>
                <c:pt idx="94">
                  <c:v>44398</c:v>
                </c:pt>
                <c:pt idx="95">
                  <c:v>44399</c:v>
                </c:pt>
                <c:pt idx="96">
                  <c:v>44400</c:v>
                </c:pt>
                <c:pt idx="97">
                  <c:v>44403</c:v>
                </c:pt>
                <c:pt idx="98">
                  <c:v>44404</c:v>
                </c:pt>
                <c:pt idx="99">
                  <c:v>44405</c:v>
                </c:pt>
                <c:pt idx="100">
                  <c:v>44406</c:v>
                </c:pt>
                <c:pt idx="101">
                  <c:v>44407</c:v>
                </c:pt>
                <c:pt idx="102">
                  <c:v>44410</c:v>
                </c:pt>
                <c:pt idx="103">
                  <c:v>44411</c:v>
                </c:pt>
                <c:pt idx="104">
                  <c:v>44412</c:v>
                </c:pt>
                <c:pt idx="105">
                  <c:v>44413</c:v>
                </c:pt>
                <c:pt idx="106">
                  <c:v>44414</c:v>
                </c:pt>
                <c:pt idx="107">
                  <c:v>44417</c:v>
                </c:pt>
                <c:pt idx="108">
                  <c:v>44418</c:v>
                </c:pt>
                <c:pt idx="109">
                  <c:v>44419</c:v>
                </c:pt>
                <c:pt idx="110">
                  <c:v>44420</c:v>
                </c:pt>
                <c:pt idx="111">
                  <c:v>44421</c:v>
                </c:pt>
                <c:pt idx="112">
                  <c:v>44424</c:v>
                </c:pt>
                <c:pt idx="113">
                  <c:v>44425</c:v>
                </c:pt>
                <c:pt idx="114">
                  <c:v>44426</c:v>
                </c:pt>
                <c:pt idx="115">
                  <c:v>44427</c:v>
                </c:pt>
                <c:pt idx="116">
                  <c:v>44428</c:v>
                </c:pt>
                <c:pt idx="117">
                  <c:v>44431</c:v>
                </c:pt>
                <c:pt idx="118">
                  <c:v>44432</c:v>
                </c:pt>
                <c:pt idx="119">
                  <c:v>44433</c:v>
                </c:pt>
                <c:pt idx="120">
                  <c:v>44434</c:v>
                </c:pt>
                <c:pt idx="121">
                  <c:v>44435</c:v>
                </c:pt>
                <c:pt idx="122">
                  <c:v>44438</c:v>
                </c:pt>
                <c:pt idx="123">
                  <c:v>44439</c:v>
                </c:pt>
                <c:pt idx="124">
                  <c:v>44440</c:v>
                </c:pt>
                <c:pt idx="125">
                  <c:v>44445</c:v>
                </c:pt>
                <c:pt idx="126">
                  <c:v>44446</c:v>
                </c:pt>
                <c:pt idx="127">
                  <c:v>44447</c:v>
                </c:pt>
                <c:pt idx="128">
                  <c:v>44448</c:v>
                </c:pt>
                <c:pt idx="129">
                  <c:v>44449</c:v>
                </c:pt>
                <c:pt idx="130">
                  <c:v>44452</c:v>
                </c:pt>
                <c:pt idx="131">
                  <c:v>44453</c:v>
                </c:pt>
                <c:pt idx="132">
                  <c:v>44454</c:v>
                </c:pt>
                <c:pt idx="133">
                  <c:v>44455</c:v>
                </c:pt>
                <c:pt idx="134">
                  <c:v>44456</c:v>
                </c:pt>
                <c:pt idx="135">
                  <c:v>44459</c:v>
                </c:pt>
                <c:pt idx="136">
                  <c:v>44460</c:v>
                </c:pt>
                <c:pt idx="137">
                  <c:v>44461</c:v>
                </c:pt>
                <c:pt idx="138">
                  <c:v>44462</c:v>
                </c:pt>
                <c:pt idx="139">
                  <c:v>44463</c:v>
                </c:pt>
                <c:pt idx="140">
                  <c:v>44466</c:v>
                </c:pt>
                <c:pt idx="141">
                  <c:v>44467</c:v>
                </c:pt>
                <c:pt idx="142">
                  <c:v>44468</c:v>
                </c:pt>
                <c:pt idx="143">
                  <c:v>44469</c:v>
                </c:pt>
                <c:pt idx="144">
                  <c:v>44470</c:v>
                </c:pt>
                <c:pt idx="145">
                  <c:v>44473</c:v>
                </c:pt>
                <c:pt idx="146">
                  <c:v>44474</c:v>
                </c:pt>
                <c:pt idx="147">
                  <c:v>44475</c:v>
                </c:pt>
                <c:pt idx="148">
                  <c:v>44476</c:v>
                </c:pt>
                <c:pt idx="149">
                  <c:v>44477</c:v>
                </c:pt>
                <c:pt idx="150">
                  <c:v>44480</c:v>
                </c:pt>
                <c:pt idx="151">
                  <c:v>44481</c:v>
                </c:pt>
                <c:pt idx="152">
                  <c:v>44482</c:v>
                </c:pt>
                <c:pt idx="153">
                  <c:v>44483</c:v>
                </c:pt>
                <c:pt idx="154">
                  <c:v>44484</c:v>
                </c:pt>
                <c:pt idx="155">
                  <c:v>44487</c:v>
                </c:pt>
                <c:pt idx="156">
                  <c:v>44488</c:v>
                </c:pt>
                <c:pt idx="157">
                  <c:v>44489</c:v>
                </c:pt>
                <c:pt idx="158">
                  <c:v>44490</c:v>
                </c:pt>
                <c:pt idx="159">
                  <c:v>44491</c:v>
                </c:pt>
                <c:pt idx="160">
                  <c:v>44494</c:v>
                </c:pt>
                <c:pt idx="161">
                  <c:v>44495</c:v>
                </c:pt>
                <c:pt idx="162">
                  <c:v>44496</c:v>
                </c:pt>
                <c:pt idx="163">
                  <c:v>44497</c:v>
                </c:pt>
                <c:pt idx="164">
                  <c:v>44498</c:v>
                </c:pt>
                <c:pt idx="165">
                  <c:v>44501</c:v>
                </c:pt>
                <c:pt idx="166">
                  <c:v>44502</c:v>
                </c:pt>
                <c:pt idx="167">
                  <c:v>44503</c:v>
                </c:pt>
                <c:pt idx="168">
                  <c:v>44504</c:v>
                </c:pt>
                <c:pt idx="169">
                  <c:v>44505</c:v>
                </c:pt>
                <c:pt idx="170">
                  <c:v>44508</c:v>
                </c:pt>
                <c:pt idx="171">
                  <c:v>44509</c:v>
                </c:pt>
                <c:pt idx="172">
                  <c:v>44510</c:v>
                </c:pt>
                <c:pt idx="173">
                  <c:v>44511</c:v>
                </c:pt>
                <c:pt idx="174">
                  <c:v>44512</c:v>
                </c:pt>
                <c:pt idx="175">
                  <c:v>44515</c:v>
                </c:pt>
                <c:pt idx="176">
                  <c:v>44516</c:v>
                </c:pt>
                <c:pt idx="177">
                  <c:v>44517</c:v>
                </c:pt>
                <c:pt idx="178">
                  <c:v>44518</c:v>
                </c:pt>
                <c:pt idx="179">
                  <c:v>44519</c:v>
                </c:pt>
                <c:pt idx="180">
                  <c:v>44522</c:v>
                </c:pt>
                <c:pt idx="181">
                  <c:v>44523</c:v>
                </c:pt>
                <c:pt idx="182">
                  <c:v>44524</c:v>
                </c:pt>
                <c:pt idx="183">
                  <c:v>44525</c:v>
                </c:pt>
                <c:pt idx="184">
                  <c:v>44526</c:v>
                </c:pt>
                <c:pt idx="185">
                  <c:v>44529</c:v>
                </c:pt>
                <c:pt idx="186">
                  <c:v>44530</c:v>
                </c:pt>
                <c:pt idx="187">
                  <c:v>44531</c:v>
                </c:pt>
                <c:pt idx="188">
                  <c:v>44532</c:v>
                </c:pt>
                <c:pt idx="189">
                  <c:v>44533</c:v>
                </c:pt>
                <c:pt idx="190">
                  <c:v>44536</c:v>
                </c:pt>
                <c:pt idx="191">
                  <c:v>44537</c:v>
                </c:pt>
                <c:pt idx="192">
                  <c:v>44538</c:v>
                </c:pt>
                <c:pt idx="193">
                  <c:v>44539</c:v>
                </c:pt>
                <c:pt idx="194">
                  <c:v>44540</c:v>
                </c:pt>
                <c:pt idx="195">
                  <c:v>44543</c:v>
                </c:pt>
                <c:pt idx="196">
                  <c:v>44544</c:v>
                </c:pt>
                <c:pt idx="197">
                  <c:v>44545</c:v>
                </c:pt>
                <c:pt idx="198">
                  <c:v>44546</c:v>
                </c:pt>
                <c:pt idx="199">
                  <c:v>44547</c:v>
                </c:pt>
                <c:pt idx="200">
                  <c:v>44550</c:v>
                </c:pt>
                <c:pt idx="201">
                  <c:v>44551</c:v>
                </c:pt>
                <c:pt idx="202">
                  <c:v>44552</c:v>
                </c:pt>
                <c:pt idx="203">
                  <c:v>44553</c:v>
                </c:pt>
                <c:pt idx="204">
                  <c:v>44554</c:v>
                </c:pt>
                <c:pt idx="205">
                  <c:v>44557</c:v>
                </c:pt>
                <c:pt idx="206">
                  <c:v>44558</c:v>
                </c:pt>
                <c:pt idx="207">
                  <c:v>44559</c:v>
                </c:pt>
                <c:pt idx="208">
                  <c:v>44560</c:v>
                </c:pt>
                <c:pt idx="209">
                  <c:v>44561</c:v>
                </c:pt>
                <c:pt idx="210">
                  <c:v>44565</c:v>
                </c:pt>
                <c:pt idx="211">
                  <c:v>44566</c:v>
                </c:pt>
                <c:pt idx="212">
                  <c:v>44567</c:v>
                </c:pt>
                <c:pt idx="213">
                  <c:v>44568</c:v>
                </c:pt>
                <c:pt idx="214">
                  <c:v>44571</c:v>
                </c:pt>
                <c:pt idx="215">
                  <c:v>44572</c:v>
                </c:pt>
                <c:pt idx="216">
                  <c:v>44573</c:v>
                </c:pt>
                <c:pt idx="217">
                  <c:v>44574</c:v>
                </c:pt>
                <c:pt idx="218">
                  <c:v>44575</c:v>
                </c:pt>
                <c:pt idx="219">
                  <c:v>44578</c:v>
                </c:pt>
                <c:pt idx="220">
                  <c:v>44579</c:v>
                </c:pt>
                <c:pt idx="221">
                  <c:v>44580</c:v>
                </c:pt>
                <c:pt idx="222">
                  <c:v>44581</c:v>
                </c:pt>
                <c:pt idx="223">
                  <c:v>44582</c:v>
                </c:pt>
                <c:pt idx="224">
                  <c:v>44585</c:v>
                </c:pt>
                <c:pt idx="225">
                  <c:v>44586</c:v>
                </c:pt>
                <c:pt idx="226">
                  <c:v>44587</c:v>
                </c:pt>
                <c:pt idx="227">
                  <c:v>44588</c:v>
                </c:pt>
                <c:pt idx="228">
                  <c:v>44589</c:v>
                </c:pt>
                <c:pt idx="229">
                  <c:v>44599</c:v>
                </c:pt>
                <c:pt idx="230">
                  <c:v>44600</c:v>
                </c:pt>
                <c:pt idx="231">
                  <c:v>44601</c:v>
                </c:pt>
                <c:pt idx="232">
                  <c:v>44602</c:v>
                </c:pt>
                <c:pt idx="233">
                  <c:v>44603</c:v>
                </c:pt>
                <c:pt idx="234">
                  <c:v>44606</c:v>
                </c:pt>
                <c:pt idx="235">
                  <c:v>44607</c:v>
                </c:pt>
                <c:pt idx="236">
                  <c:v>44608</c:v>
                </c:pt>
                <c:pt idx="237">
                  <c:v>44609</c:v>
                </c:pt>
                <c:pt idx="238">
                  <c:v>44610</c:v>
                </c:pt>
                <c:pt idx="239">
                  <c:v>44613</c:v>
                </c:pt>
                <c:pt idx="240">
                  <c:v>44614</c:v>
                </c:pt>
                <c:pt idx="241">
                  <c:v>44615</c:v>
                </c:pt>
                <c:pt idx="242">
                  <c:v>44616</c:v>
                </c:pt>
                <c:pt idx="243">
                  <c:v>44617</c:v>
                </c:pt>
                <c:pt idx="244">
                  <c:v>44620</c:v>
                </c:pt>
                <c:pt idx="245">
                  <c:v>44621</c:v>
                </c:pt>
                <c:pt idx="246">
                  <c:v>44622</c:v>
                </c:pt>
                <c:pt idx="247">
                  <c:v>44623</c:v>
                </c:pt>
                <c:pt idx="248">
                  <c:v>44624</c:v>
                </c:pt>
                <c:pt idx="249">
                  <c:v>44627</c:v>
                </c:pt>
                <c:pt idx="250">
                  <c:v>44628</c:v>
                </c:pt>
                <c:pt idx="251">
                  <c:v>44629</c:v>
                </c:pt>
                <c:pt idx="252">
                  <c:v>44630</c:v>
                </c:pt>
                <c:pt idx="253">
                  <c:v>44631</c:v>
                </c:pt>
                <c:pt idx="254">
                  <c:v>44634</c:v>
                </c:pt>
                <c:pt idx="255">
                  <c:v>44635</c:v>
                </c:pt>
                <c:pt idx="256">
                  <c:v>44636</c:v>
                </c:pt>
                <c:pt idx="257">
                  <c:v>44637</c:v>
                </c:pt>
                <c:pt idx="258">
                  <c:v>44638</c:v>
                </c:pt>
                <c:pt idx="259">
                  <c:v>44641</c:v>
                </c:pt>
                <c:pt idx="260">
                  <c:v>44642</c:v>
                </c:pt>
                <c:pt idx="261">
                  <c:v>44643</c:v>
                </c:pt>
                <c:pt idx="262">
                  <c:v>44644</c:v>
                </c:pt>
                <c:pt idx="263">
                  <c:v>44645</c:v>
                </c:pt>
                <c:pt idx="264">
                  <c:v>44648</c:v>
                </c:pt>
                <c:pt idx="265">
                  <c:v>44649</c:v>
                </c:pt>
                <c:pt idx="266">
                  <c:v>44650</c:v>
                </c:pt>
                <c:pt idx="267">
                  <c:v>44651</c:v>
                </c:pt>
                <c:pt idx="268">
                  <c:v>44652</c:v>
                </c:pt>
                <c:pt idx="269">
                  <c:v>44655</c:v>
                </c:pt>
                <c:pt idx="270">
                  <c:v>44656</c:v>
                </c:pt>
                <c:pt idx="271">
                  <c:v>44657</c:v>
                </c:pt>
                <c:pt idx="272">
                  <c:v>44658</c:v>
                </c:pt>
                <c:pt idx="273">
                  <c:v>44659</c:v>
                </c:pt>
                <c:pt idx="274">
                  <c:v>44663</c:v>
                </c:pt>
                <c:pt idx="275">
                  <c:v>44664</c:v>
                </c:pt>
                <c:pt idx="276">
                  <c:v>44665</c:v>
                </c:pt>
                <c:pt idx="277">
                  <c:v>44666</c:v>
                </c:pt>
                <c:pt idx="278">
                  <c:v>44669</c:v>
                </c:pt>
                <c:pt idx="279">
                  <c:v>44670</c:v>
                </c:pt>
                <c:pt idx="280">
                  <c:v>44671</c:v>
                </c:pt>
                <c:pt idx="281">
                  <c:v>44672</c:v>
                </c:pt>
                <c:pt idx="282">
                  <c:v>44673</c:v>
                </c:pt>
                <c:pt idx="283">
                  <c:v>44676</c:v>
                </c:pt>
                <c:pt idx="284">
                  <c:v>44677</c:v>
                </c:pt>
                <c:pt idx="285">
                  <c:v>44678</c:v>
                </c:pt>
                <c:pt idx="286">
                  <c:v>44679</c:v>
                </c:pt>
                <c:pt idx="287">
                  <c:v>44680</c:v>
                </c:pt>
                <c:pt idx="288">
                  <c:v>44685</c:v>
                </c:pt>
                <c:pt idx="289">
                  <c:v>44686</c:v>
                </c:pt>
                <c:pt idx="290">
                  <c:v>44687</c:v>
                </c:pt>
                <c:pt idx="291">
                  <c:v>44690</c:v>
                </c:pt>
                <c:pt idx="292">
                  <c:v>44691</c:v>
                </c:pt>
                <c:pt idx="293">
                  <c:v>44692</c:v>
                </c:pt>
                <c:pt idx="294">
                  <c:v>44693</c:v>
                </c:pt>
                <c:pt idx="295">
                  <c:v>44694</c:v>
                </c:pt>
                <c:pt idx="296">
                  <c:v>44697</c:v>
                </c:pt>
                <c:pt idx="297">
                  <c:v>44698</c:v>
                </c:pt>
                <c:pt idx="298">
                  <c:v>44699</c:v>
                </c:pt>
                <c:pt idx="299">
                  <c:v>44700</c:v>
                </c:pt>
                <c:pt idx="300">
                  <c:v>44701</c:v>
                </c:pt>
                <c:pt idx="301">
                  <c:v>44704</c:v>
                </c:pt>
                <c:pt idx="302">
                  <c:v>44705</c:v>
                </c:pt>
                <c:pt idx="303">
                  <c:v>44706</c:v>
                </c:pt>
                <c:pt idx="304">
                  <c:v>44707</c:v>
                </c:pt>
                <c:pt idx="305">
                  <c:v>44708</c:v>
                </c:pt>
                <c:pt idx="306">
                  <c:v>44711</c:v>
                </c:pt>
                <c:pt idx="307">
                  <c:v>44712</c:v>
                </c:pt>
                <c:pt idx="308">
                  <c:v>44713</c:v>
                </c:pt>
                <c:pt idx="309">
                  <c:v>44714</c:v>
                </c:pt>
                <c:pt idx="310">
                  <c:v>44715</c:v>
                </c:pt>
                <c:pt idx="311">
                  <c:v>44718</c:v>
                </c:pt>
                <c:pt idx="312">
                  <c:v>44719</c:v>
                </c:pt>
                <c:pt idx="313">
                  <c:v>44720</c:v>
                </c:pt>
                <c:pt idx="314">
                  <c:v>44721</c:v>
                </c:pt>
                <c:pt idx="315">
                  <c:v>44722</c:v>
                </c:pt>
                <c:pt idx="316">
                  <c:v>44725</c:v>
                </c:pt>
                <c:pt idx="317">
                  <c:v>44726</c:v>
                </c:pt>
                <c:pt idx="318">
                  <c:v>44727</c:v>
                </c:pt>
                <c:pt idx="319">
                  <c:v>44728</c:v>
                </c:pt>
                <c:pt idx="320">
                  <c:v>44729</c:v>
                </c:pt>
                <c:pt idx="321">
                  <c:v>44732</c:v>
                </c:pt>
                <c:pt idx="322">
                  <c:v>44733</c:v>
                </c:pt>
                <c:pt idx="323">
                  <c:v>44734</c:v>
                </c:pt>
                <c:pt idx="324">
                  <c:v>44735</c:v>
                </c:pt>
                <c:pt idx="325">
                  <c:v>44736</c:v>
                </c:pt>
                <c:pt idx="326">
                  <c:v>44739</c:v>
                </c:pt>
                <c:pt idx="327">
                  <c:v>44740</c:v>
                </c:pt>
                <c:pt idx="328">
                  <c:v>44741</c:v>
                </c:pt>
                <c:pt idx="329">
                  <c:v>44742</c:v>
                </c:pt>
                <c:pt idx="330">
                  <c:v>44743</c:v>
                </c:pt>
                <c:pt idx="331">
                  <c:v>44746</c:v>
                </c:pt>
                <c:pt idx="332">
                  <c:v>44747</c:v>
                </c:pt>
                <c:pt idx="333">
                  <c:v>44748</c:v>
                </c:pt>
                <c:pt idx="334">
                  <c:v>44749</c:v>
                </c:pt>
                <c:pt idx="335">
                  <c:v>44750</c:v>
                </c:pt>
                <c:pt idx="336">
                  <c:v>44753</c:v>
                </c:pt>
                <c:pt idx="337">
                  <c:v>44754</c:v>
                </c:pt>
                <c:pt idx="338">
                  <c:v>44755</c:v>
                </c:pt>
                <c:pt idx="339">
                  <c:v>44756</c:v>
                </c:pt>
                <c:pt idx="340">
                  <c:v>44757</c:v>
                </c:pt>
                <c:pt idx="341">
                  <c:v>44760</c:v>
                </c:pt>
                <c:pt idx="342">
                  <c:v>44761</c:v>
                </c:pt>
                <c:pt idx="343">
                  <c:v>44762</c:v>
                </c:pt>
                <c:pt idx="344">
                  <c:v>44763</c:v>
                </c:pt>
                <c:pt idx="345">
                  <c:v>44764</c:v>
                </c:pt>
                <c:pt idx="346">
                  <c:v>44767</c:v>
                </c:pt>
                <c:pt idx="347">
                  <c:v>44768</c:v>
                </c:pt>
                <c:pt idx="348">
                  <c:v>44769</c:v>
                </c:pt>
                <c:pt idx="349">
                  <c:v>44770</c:v>
                </c:pt>
                <c:pt idx="350">
                  <c:v>44771</c:v>
                </c:pt>
                <c:pt idx="351">
                  <c:v>44774</c:v>
                </c:pt>
                <c:pt idx="352">
                  <c:v>44775</c:v>
                </c:pt>
                <c:pt idx="353">
                  <c:v>44776</c:v>
                </c:pt>
                <c:pt idx="354">
                  <c:v>44777</c:v>
                </c:pt>
                <c:pt idx="355">
                  <c:v>44778</c:v>
                </c:pt>
                <c:pt idx="356">
                  <c:v>44781</c:v>
                </c:pt>
                <c:pt idx="357">
                  <c:v>44782</c:v>
                </c:pt>
                <c:pt idx="358">
                  <c:v>44783</c:v>
                </c:pt>
                <c:pt idx="359">
                  <c:v>44784</c:v>
                </c:pt>
                <c:pt idx="360">
                  <c:v>44785</c:v>
                </c:pt>
                <c:pt idx="361">
                  <c:v>44788</c:v>
                </c:pt>
                <c:pt idx="362">
                  <c:v>44789</c:v>
                </c:pt>
                <c:pt idx="363">
                  <c:v>44790</c:v>
                </c:pt>
                <c:pt idx="364">
                  <c:v>44791</c:v>
                </c:pt>
                <c:pt idx="365">
                  <c:v>44792</c:v>
                </c:pt>
                <c:pt idx="366">
                  <c:v>44795</c:v>
                </c:pt>
                <c:pt idx="367">
                  <c:v>44796</c:v>
                </c:pt>
                <c:pt idx="368">
                  <c:v>44797</c:v>
                </c:pt>
                <c:pt idx="369">
                  <c:v>44798</c:v>
                </c:pt>
                <c:pt idx="370">
                  <c:v>44799</c:v>
                </c:pt>
                <c:pt idx="371">
                  <c:v>44802</c:v>
                </c:pt>
                <c:pt idx="372">
                  <c:v>44803</c:v>
                </c:pt>
                <c:pt idx="373">
                  <c:v>44804</c:v>
                </c:pt>
                <c:pt idx="374">
                  <c:v>44809</c:v>
                </c:pt>
                <c:pt idx="375">
                  <c:v>44810</c:v>
                </c:pt>
                <c:pt idx="376">
                  <c:v>44811</c:v>
                </c:pt>
                <c:pt idx="377">
                  <c:v>44812</c:v>
                </c:pt>
                <c:pt idx="378">
                  <c:v>44813</c:v>
                </c:pt>
                <c:pt idx="379">
                  <c:v>44816</c:v>
                </c:pt>
                <c:pt idx="380">
                  <c:v>44817</c:v>
                </c:pt>
                <c:pt idx="381">
                  <c:v>44818</c:v>
                </c:pt>
                <c:pt idx="382">
                  <c:v>44819</c:v>
                </c:pt>
                <c:pt idx="383">
                  <c:v>44820</c:v>
                </c:pt>
                <c:pt idx="384">
                  <c:v>44823</c:v>
                </c:pt>
                <c:pt idx="385">
                  <c:v>44824</c:v>
                </c:pt>
                <c:pt idx="386">
                  <c:v>44825</c:v>
                </c:pt>
                <c:pt idx="387">
                  <c:v>44826</c:v>
                </c:pt>
                <c:pt idx="388">
                  <c:v>44827</c:v>
                </c:pt>
                <c:pt idx="389">
                  <c:v>44830</c:v>
                </c:pt>
                <c:pt idx="390">
                  <c:v>44831</c:v>
                </c:pt>
                <c:pt idx="391">
                  <c:v>44832</c:v>
                </c:pt>
                <c:pt idx="392">
                  <c:v>44833</c:v>
                </c:pt>
                <c:pt idx="393">
                  <c:v>44834</c:v>
                </c:pt>
                <c:pt idx="394">
                  <c:v>44837</c:v>
                </c:pt>
                <c:pt idx="395">
                  <c:v>44838</c:v>
                </c:pt>
                <c:pt idx="396">
                  <c:v>44839</c:v>
                </c:pt>
                <c:pt idx="397">
                  <c:v>44840</c:v>
                </c:pt>
                <c:pt idx="398">
                  <c:v>44841</c:v>
                </c:pt>
                <c:pt idx="399">
                  <c:v>44844</c:v>
                </c:pt>
                <c:pt idx="400">
                  <c:v>44845</c:v>
                </c:pt>
                <c:pt idx="401">
                  <c:v>44846</c:v>
                </c:pt>
                <c:pt idx="402">
                  <c:v>44847</c:v>
                </c:pt>
                <c:pt idx="403">
                  <c:v>44848</c:v>
                </c:pt>
                <c:pt idx="404">
                  <c:v>44851</c:v>
                </c:pt>
                <c:pt idx="405">
                  <c:v>44852</c:v>
                </c:pt>
                <c:pt idx="406">
                  <c:v>44853</c:v>
                </c:pt>
                <c:pt idx="407">
                  <c:v>44854</c:v>
                </c:pt>
                <c:pt idx="408">
                  <c:v>44855</c:v>
                </c:pt>
                <c:pt idx="409">
                  <c:v>44858</c:v>
                </c:pt>
                <c:pt idx="410">
                  <c:v>44859</c:v>
                </c:pt>
                <c:pt idx="411">
                  <c:v>44860</c:v>
                </c:pt>
                <c:pt idx="412">
                  <c:v>44861</c:v>
                </c:pt>
                <c:pt idx="413">
                  <c:v>44862</c:v>
                </c:pt>
                <c:pt idx="414">
                  <c:v>44865</c:v>
                </c:pt>
                <c:pt idx="415">
                  <c:v>44866</c:v>
                </c:pt>
                <c:pt idx="416">
                  <c:v>44867</c:v>
                </c:pt>
                <c:pt idx="417">
                  <c:v>44868</c:v>
                </c:pt>
                <c:pt idx="418">
                  <c:v>44869</c:v>
                </c:pt>
                <c:pt idx="419">
                  <c:v>44872</c:v>
                </c:pt>
                <c:pt idx="420">
                  <c:v>44873</c:v>
                </c:pt>
                <c:pt idx="421">
                  <c:v>44874</c:v>
                </c:pt>
                <c:pt idx="422">
                  <c:v>44875</c:v>
                </c:pt>
                <c:pt idx="423">
                  <c:v>44876</c:v>
                </c:pt>
                <c:pt idx="424">
                  <c:v>44879</c:v>
                </c:pt>
                <c:pt idx="425">
                  <c:v>44880</c:v>
                </c:pt>
                <c:pt idx="426">
                  <c:v>44881</c:v>
                </c:pt>
                <c:pt idx="427">
                  <c:v>44882</c:v>
                </c:pt>
                <c:pt idx="428">
                  <c:v>44883</c:v>
                </c:pt>
                <c:pt idx="429">
                  <c:v>44886</c:v>
                </c:pt>
                <c:pt idx="430">
                  <c:v>44887</c:v>
                </c:pt>
                <c:pt idx="431">
                  <c:v>44888</c:v>
                </c:pt>
                <c:pt idx="432">
                  <c:v>44889</c:v>
                </c:pt>
                <c:pt idx="433">
                  <c:v>44890</c:v>
                </c:pt>
                <c:pt idx="434">
                  <c:v>44893</c:v>
                </c:pt>
                <c:pt idx="435">
                  <c:v>44894</c:v>
                </c:pt>
                <c:pt idx="436">
                  <c:v>44895</c:v>
                </c:pt>
                <c:pt idx="437">
                  <c:v>44896</c:v>
                </c:pt>
                <c:pt idx="438">
                  <c:v>44897</c:v>
                </c:pt>
                <c:pt idx="439">
                  <c:v>44900</c:v>
                </c:pt>
                <c:pt idx="440">
                  <c:v>44901</c:v>
                </c:pt>
                <c:pt idx="441">
                  <c:v>44902</c:v>
                </c:pt>
                <c:pt idx="442">
                  <c:v>44903</c:v>
                </c:pt>
                <c:pt idx="443">
                  <c:v>44904</c:v>
                </c:pt>
                <c:pt idx="444">
                  <c:v>44907</c:v>
                </c:pt>
                <c:pt idx="445">
                  <c:v>44908</c:v>
                </c:pt>
                <c:pt idx="446">
                  <c:v>44909</c:v>
                </c:pt>
                <c:pt idx="447">
                  <c:v>44910</c:v>
                </c:pt>
                <c:pt idx="448">
                  <c:v>44911</c:v>
                </c:pt>
                <c:pt idx="449">
                  <c:v>44914</c:v>
                </c:pt>
                <c:pt idx="450">
                  <c:v>44915</c:v>
                </c:pt>
                <c:pt idx="451">
                  <c:v>44916</c:v>
                </c:pt>
                <c:pt idx="452">
                  <c:v>44917</c:v>
                </c:pt>
                <c:pt idx="453">
                  <c:v>44918</c:v>
                </c:pt>
                <c:pt idx="454">
                  <c:v>44921</c:v>
                </c:pt>
                <c:pt idx="455">
                  <c:v>44922</c:v>
                </c:pt>
                <c:pt idx="456">
                  <c:v>44923</c:v>
                </c:pt>
                <c:pt idx="457">
                  <c:v>44924</c:v>
                </c:pt>
                <c:pt idx="458">
                  <c:v>44925</c:v>
                </c:pt>
                <c:pt idx="459">
                  <c:v>44929</c:v>
                </c:pt>
                <c:pt idx="460">
                  <c:v>44930</c:v>
                </c:pt>
                <c:pt idx="461">
                  <c:v>44931</c:v>
                </c:pt>
                <c:pt idx="462">
                  <c:v>44932</c:v>
                </c:pt>
                <c:pt idx="463">
                  <c:v>44935</c:v>
                </c:pt>
                <c:pt idx="464">
                  <c:v>44936</c:v>
                </c:pt>
                <c:pt idx="465">
                  <c:v>44937</c:v>
                </c:pt>
                <c:pt idx="466">
                  <c:v>44938</c:v>
                </c:pt>
                <c:pt idx="467">
                  <c:v>44939</c:v>
                </c:pt>
                <c:pt idx="468">
                  <c:v>44942</c:v>
                </c:pt>
                <c:pt idx="469">
                  <c:v>44943</c:v>
                </c:pt>
                <c:pt idx="470">
                  <c:v>44944</c:v>
                </c:pt>
                <c:pt idx="471">
                  <c:v>44945</c:v>
                </c:pt>
                <c:pt idx="472">
                  <c:v>44953</c:v>
                </c:pt>
                <c:pt idx="473">
                  <c:v>44956</c:v>
                </c:pt>
                <c:pt idx="474">
                  <c:v>44957</c:v>
                </c:pt>
                <c:pt idx="475">
                  <c:v>44958</c:v>
                </c:pt>
                <c:pt idx="476">
                  <c:v>44959</c:v>
                </c:pt>
                <c:pt idx="477">
                  <c:v>44960</c:v>
                </c:pt>
                <c:pt idx="478">
                  <c:v>44963</c:v>
                </c:pt>
                <c:pt idx="479">
                  <c:v>44964</c:v>
                </c:pt>
                <c:pt idx="480">
                  <c:v>44965</c:v>
                </c:pt>
                <c:pt idx="481">
                  <c:v>44966</c:v>
                </c:pt>
                <c:pt idx="482">
                  <c:v>44967</c:v>
                </c:pt>
                <c:pt idx="483">
                  <c:v>44970</c:v>
                </c:pt>
                <c:pt idx="484">
                  <c:v>44971</c:v>
                </c:pt>
                <c:pt idx="485">
                  <c:v>44972</c:v>
                </c:pt>
                <c:pt idx="486">
                  <c:v>44973</c:v>
                </c:pt>
                <c:pt idx="487">
                  <c:v>44974</c:v>
                </c:pt>
                <c:pt idx="488">
                  <c:v>44977</c:v>
                </c:pt>
                <c:pt idx="489">
                  <c:v>44978</c:v>
                </c:pt>
                <c:pt idx="490">
                  <c:v>44979</c:v>
                </c:pt>
                <c:pt idx="491">
                  <c:v>44980</c:v>
                </c:pt>
                <c:pt idx="492">
                  <c:v>44981</c:v>
                </c:pt>
                <c:pt idx="493">
                  <c:v>44984</c:v>
                </c:pt>
                <c:pt idx="494">
                  <c:v>44985</c:v>
                </c:pt>
                <c:pt idx="495">
                  <c:v>44986</c:v>
                </c:pt>
                <c:pt idx="496">
                  <c:v>44987</c:v>
                </c:pt>
                <c:pt idx="497">
                  <c:v>44988</c:v>
                </c:pt>
                <c:pt idx="498">
                  <c:v>44991</c:v>
                </c:pt>
                <c:pt idx="499">
                  <c:v>44992</c:v>
                </c:pt>
                <c:pt idx="500">
                  <c:v>44993</c:v>
                </c:pt>
                <c:pt idx="501">
                  <c:v>44994</c:v>
                </c:pt>
                <c:pt idx="502">
                  <c:v>44995</c:v>
                </c:pt>
                <c:pt idx="503">
                  <c:v>44998</c:v>
                </c:pt>
                <c:pt idx="504">
                  <c:v>44999</c:v>
                </c:pt>
                <c:pt idx="505">
                  <c:v>45000</c:v>
                </c:pt>
                <c:pt idx="506">
                  <c:v>45001</c:v>
                </c:pt>
                <c:pt idx="507">
                  <c:v>45002</c:v>
                </c:pt>
                <c:pt idx="508">
                  <c:v>45005</c:v>
                </c:pt>
                <c:pt idx="509">
                  <c:v>45006</c:v>
                </c:pt>
                <c:pt idx="510">
                  <c:v>45007</c:v>
                </c:pt>
                <c:pt idx="511">
                  <c:v>45008</c:v>
                </c:pt>
                <c:pt idx="512">
                  <c:v>45009</c:v>
                </c:pt>
                <c:pt idx="513">
                  <c:v>45012</c:v>
                </c:pt>
                <c:pt idx="514">
                  <c:v>45013</c:v>
                </c:pt>
                <c:pt idx="515">
                  <c:v>45014</c:v>
                </c:pt>
                <c:pt idx="516">
                  <c:v>45015</c:v>
                </c:pt>
                <c:pt idx="517">
                  <c:v>45016</c:v>
                </c:pt>
                <c:pt idx="518">
                  <c:v>45019</c:v>
                </c:pt>
                <c:pt idx="519">
                  <c:v>45020</c:v>
                </c:pt>
                <c:pt idx="520">
                  <c:v>45021</c:v>
                </c:pt>
                <c:pt idx="521">
                  <c:v>45022</c:v>
                </c:pt>
                <c:pt idx="522">
                  <c:v>45023</c:v>
                </c:pt>
                <c:pt idx="523">
                  <c:v>45026</c:v>
                </c:pt>
                <c:pt idx="524">
                  <c:v>45027</c:v>
                </c:pt>
                <c:pt idx="525">
                  <c:v>45028</c:v>
                </c:pt>
                <c:pt idx="526">
                  <c:v>45029</c:v>
                </c:pt>
                <c:pt idx="527">
                  <c:v>45030</c:v>
                </c:pt>
                <c:pt idx="528">
                  <c:v>45033</c:v>
                </c:pt>
                <c:pt idx="529">
                  <c:v>45034</c:v>
                </c:pt>
                <c:pt idx="530">
                  <c:v>45035</c:v>
                </c:pt>
                <c:pt idx="531">
                  <c:v>45036</c:v>
                </c:pt>
                <c:pt idx="532">
                  <c:v>45037</c:v>
                </c:pt>
                <c:pt idx="533">
                  <c:v>45040</c:v>
                </c:pt>
                <c:pt idx="534">
                  <c:v>45041</c:v>
                </c:pt>
                <c:pt idx="535">
                  <c:v>45042</c:v>
                </c:pt>
                <c:pt idx="536">
                  <c:v>45043</c:v>
                </c:pt>
                <c:pt idx="537">
                  <c:v>45044</c:v>
                </c:pt>
                <c:pt idx="538">
                  <c:v>45050</c:v>
                </c:pt>
                <c:pt idx="539">
                  <c:v>45051</c:v>
                </c:pt>
                <c:pt idx="540">
                  <c:v>45054</c:v>
                </c:pt>
                <c:pt idx="541">
                  <c:v>45055</c:v>
                </c:pt>
                <c:pt idx="542">
                  <c:v>45056</c:v>
                </c:pt>
                <c:pt idx="543">
                  <c:v>45057</c:v>
                </c:pt>
                <c:pt idx="544">
                  <c:v>45058</c:v>
                </c:pt>
                <c:pt idx="545">
                  <c:v>45061</c:v>
                </c:pt>
                <c:pt idx="546">
                  <c:v>45062</c:v>
                </c:pt>
                <c:pt idx="547">
                  <c:v>45063</c:v>
                </c:pt>
                <c:pt idx="548">
                  <c:v>45064</c:v>
                </c:pt>
                <c:pt idx="549">
                  <c:v>45065</c:v>
                </c:pt>
                <c:pt idx="550">
                  <c:v>45068</c:v>
                </c:pt>
                <c:pt idx="551">
                  <c:v>45069</c:v>
                </c:pt>
                <c:pt idx="552">
                  <c:v>45070</c:v>
                </c:pt>
                <c:pt idx="553">
                  <c:v>45071</c:v>
                </c:pt>
                <c:pt idx="554">
                  <c:v>45072</c:v>
                </c:pt>
                <c:pt idx="555">
                  <c:v>45075</c:v>
                </c:pt>
                <c:pt idx="556">
                  <c:v>45076</c:v>
                </c:pt>
                <c:pt idx="557">
                  <c:v>45077</c:v>
                </c:pt>
                <c:pt idx="558">
                  <c:v>45078</c:v>
                </c:pt>
                <c:pt idx="559">
                  <c:v>45079</c:v>
                </c:pt>
                <c:pt idx="560">
                  <c:v>45082</c:v>
                </c:pt>
                <c:pt idx="561">
                  <c:v>45083</c:v>
                </c:pt>
                <c:pt idx="562">
                  <c:v>45084</c:v>
                </c:pt>
                <c:pt idx="563">
                  <c:v>45085</c:v>
                </c:pt>
                <c:pt idx="564">
                  <c:v>45086</c:v>
                </c:pt>
                <c:pt idx="565">
                  <c:v>45089</c:v>
                </c:pt>
                <c:pt idx="566">
                  <c:v>45090</c:v>
                </c:pt>
                <c:pt idx="567">
                  <c:v>45091</c:v>
                </c:pt>
                <c:pt idx="568">
                  <c:v>45092</c:v>
                </c:pt>
                <c:pt idx="569">
                  <c:v>45093</c:v>
                </c:pt>
                <c:pt idx="570">
                  <c:v>45096</c:v>
                </c:pt>
                <c:pt idx="571">
                  <c:v>45097</c:v>
                </c:pt>
                <c:pt idx="572">
                  <c:v>45098</c:v>
                </c:pt>
                <c:pt idx="573">
                  <c:v>45099</c:v>
                </c:pt>
                <c:pt idx="574">
                  <c:v>45100</c:v>
                </c:pt>
                <c:pt idx="575">
                  <c:v>45103</c:v>
                </c:pt>
                <c:pt idx="576">
                  <c:v>45104</c:v>
                </c:pt>
                <c:pt idx="577">
                  <c:v>45105</c:v>
                </c:pt>
                <c:pt idx="578">
                  <c:v>45106</c:v>
                </c:pt>
                <c:pt idx="579">
                  <c:v>45107</c:v>
                </c:pt>
                <c:pt idx="580">
                  <c:v>45110</c:v>
                </c:pt>
                <c:pt idx="581">
                  <c:v>45111</c:v>
                </c:pt>
                <c:pt idx="582">
                  <c:v>45112</c:v>
                </c:pt>
                <c:pt idx="583">
                  <c:v>45113</c:v>
                </c:pt>
                <c:pt idx="584">
                  <c:v>45114</c:v>
                </c:pt>
                <c:pt idx="585">
                  <c:v>45117</c:v>
                </c:pt>
                <c:pt idx="586">
                  <c:v>45118</c:v>
                </c:pt>
                <c:pt idx="587">
                  <c:v>45119</c:v>
                </c:pt>
                <c:pt idx="588">
                  <c:v>45120</c:v>
                </c:pt>
                <c:pt idx="589">
                  <c:v>45121</c:v>
                </c:pt>
                <c:pt idx="590">
                  <c:v>45124</c:v>
                </c:pt>
                <c:pt idx="591">
                  <c:v>45125</c:v>
                </c:pt>
                <c:pt idx="592">
                  <c:v>45126</c:v>
                </c:pt>
                <c:pt idx="593">
                  <c:v>45127</c:v>
                </c:pt>
                <c:pt idx="594">
                  <c:v>45128</c:v>
                </c:pt>
                <c:pt idx="595">
                  <c:v>45131</c:v>
                </c:pt>
                <c:pt idx="596">
                  <c:v>45132</c:v>
                </c:pt>
                <c:pt idx="597">
                  <c:v>45133</c:v>
                </c:pt>
                <c:pt idx="598">
                  <c:v>45134</c:v>
                </c:pt>
                <c:pt idx="599">
                  <c:v>45135</c:v>
                </c:pt>
                <c:pt idx="600">
                  <c:v>45138</c:v>
                </c:pt>
                <c:pt idx="601">
                  <c:v>45139</c:v>
                </c:pt>
                <c:pt idx="602">
                  <c:v>45140</c:v>
                </c:pt>
                <c:pt idx="603">
                  <c:v>45141</c:v>
                </c:pt>
                <c:pt idx="604">
                  <c:v>45142</c:v>
                </c:pt>
                <c:pt idx="605">
                  <c:v>45145</c:v>
                </c:pt>
                <c:pt idx="606">
                  <c:v>45146</c:v>
                </c:pt>
                <c:pt idx="607">
                  <c:v>45147</c:v>
                </c:pt>
                <c:pt idx="608">
                  <c:v>45148</c:v>
                </c:pt>
                <c:pt idx="609">
                  <c:v>45149</c:v>
                </c:pt>
                <c:pt idx="610">
                  <c:v>45152</c:v>
                </c:pt>
                <c:pt idx="611">
                  <c:v>45153</c:v>
                </c:pt>
                <c:pt idx="612">
                  <c:v>45154</c:v>
                </c:pt>
                <c:pt idx="613">
                  <c:v>45155</c:v>
                </c:pt>
                <c:pt idx="614">
                  <c:v>45156</c:v>
                </c:pt>
                <c:pt idx="615">
                  <c:v>45159</c:v>
                </c:pt>
                <c:pt idx="616">
                  <c:v>45160</c:v>
                </c:pt>
                <c:pt idx="617">
                  <c:v>45161</c:v>
                </c:pt>
                <c:pt idx="618">
                  <c:v>45162</c:v>
                </c:pt>
                <c:pt idx="619">
                  <c:v>45163</c:v>
                </c:pt>
                <c:pt idx="620">
                  <c:v>45166</c:v>
                </c:pt>
                <c:pt idx="621">
                  <c:v>45167</c:v>
                </c:pt>
                <c:pt idx="622">
                  <c:v>45168</c:v>
                </c:pt>
                <c:pt idx="623">
                  <c:v>45169</c:v>
                </c:pt>
                <c:pt idx="624">
                  <c:v>45174</c:v>
                </c:pt>
                <c:pt idx="625">
                  <c:v>45175</c:v>
                </c:pt>
                <c:pt idx="626">
                  <c:v>45176</c:v>
                </c:pt>
                <c:pt idx="627">
                  <c:v>45177</c:v>
                </c:pt>
                <c:pt idx="628">
                  <c:v>45180</c:v>
                </c:pt>
                <c:pt idx="629">
                  <c:v>45181</c:v>
                </c:pt>
                <c:pt idx="630">
                  <c:v>45182</c:v>
                </c:pt>
                <c:pt idx="631">
                  <c:v>45183</c:v>
                </c:pt>
                <c:pt idx="632">
                  <c:v>45184</c:v>
                </c:pt>
                <c:pt idx="633">
                  <c:v>45187</c:v>
                </c:pt>
                <c:pt idx="634">
                  <c:v>45188</c:v>
                </c:pt>
                <c:pt idx="635">
                  <c:v>45189</c:v>
                </c:pt>
                <c:pt idx="636">
                  <c:v>45190</c:v>
                </c:pt>
                <c:pt idx="637">
                  <c:v>45191</c:v>
                </c:pt>
                <c:pt idx="638">
                  <c:v>45194</c:v>
                </c:pt>
                <c:pt idx="639">
                  <c:v>45195</c:v>
                </c:pt>
                <c:pt idx="640">
                  <c:v>45196</c:v>
                </c:pt>
                <c:pt idx="641">
                  <c:v>45197</c:v>
                </c:pt>
                <c:pt idx="642">
                  <c:v>45198</c:v>
                </c:pt>
                <c:pt idx="643">
                  <c:v>45201</c:v>
                </c:pt>
                <c:pt idx="644">
                  <c:v>45202</c:v>
                </c:pt>
                <c:pt idx="645">
                  <c:v>45203</c:v>
                </c:pt>
                <c:pt idx="646">
                  <c:v>45204</c:v>
                </c:pt>
                <c:pt idx="647">
                  <c:v>45205</c:v>
                </c:pt>
                <c:pt idx="648">
                  <c:v>45208</c:v>
                </c:pt>
                <c:pt idx="649">
                  <c:v>45209</c:v>
                </c:pt>
                <c:pt idx="650">
                  <c:v>45210</c:v>
                </c:pt>
                <c:pt idx="651">
                  <c:v>45211</c:v>
                </c:pt>
                <c:pt idx="652">
                  <c:v>45212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45222</c:v>
                </c:pt>
                <c:pt idx="659">
                  <c:v>45223</c:v>
                </c:pt>
                <c:pt idx="660">
                  <c:v>45224</c:v>
                </c:pt>
                <c:pt idx="661">
                  <c:v>45225</c:v>
                </c:pt>
                <c:pt idx="662">
                  <c:v>45226</c:v>
                </c:pt>
                <c:pt idx="663">
                  <c:v>45229</c:v>
                </c:pt>
                <c:pt idx="664">
                  <c:v>45230</c:v>
                </c:pt>
                <c:pt idx="665">
                  <c:v>45231</c:v>
                </c:pt>
                <c:pt idx="666">
                  <c:v>45232</c:v>
                </c:pt>
                <c:pt idx="667">
                  <c:v>45233</c:v>
                </c:pt>
                <c:pt idx="668">
                  <c:v>45236</c:v>
                </c:pt>
                <c:pt idx="669">
                  <c:v>45237</c:v>
                </c:pt>
                <c:pt idx="670">
                  <c:v>45238</c:v>
                </c:pt>
                <c:pt idx="671">
                  <c:v>45239</c:v>
                </c:pt>
                <c:pt idx="672">
                  <c:v>45240</c:v>
                </c:pt>
                <c:pt idx="673">
                  <c:v>45243</c:v>
                </c:pt>
                <c:pt idx="674">
                  <c:v>45244</c:v>
                </c:pt>
                <c:pt idx="675">
                  <c:v>45245</c:v>
                </c:pt>
                <c:pt idx="676">
                  <c:v>45246</c:v>
                </c:pt>
                <c:pt idx="677">
                  <c:v>45247</c:v>
                </c:pt>
                <c:pt idx="678">
                  <c:v>45250</c:v>
                </c:pt>
                <c:pt idx="679">
                  <c:v>45251</c:v>
                </c:pt>
                <c:pt idx="680">
                  <c:v>45252</c:v>
                </c:pt>
                <c:pt idx="681">
                  <c:v>45253</c:v>
                </c:pt>
                <c:pt idx="682">
                  <c:v>45254</c:v>
                </c:pt>
                <c:pt idx="683">
                  <c:v>45257</c:v>
                </c:pt>
                <c:pt idx="684">
                  <c:v>45258</c:v>
                </c:pt>
                <c:pt idx="685">
                  <c:v>45259</c:v>
                </c:pt>
                <c:pt idx="686">
                  <c:v>45260</c:v>
                </c:pt>
                <c:pt idx="687">
                  <c:v>45261</c:v>
                </c:pt>
                <c:pt idx="688">
                  <c:v>45264</c:v>
                </c:pt>
                <c:pt idx="689">
                  <c:v>45265</c:v>
                </c:pt>
                <c:pt idx="690">
                  <c:v>45266</c:v>
                </c:pt>
                <c:pt idx="691">
                  <c:v>45267</c:v>
                </c:pt>
                <c:pt idx="692">
                  <c:v>45268</c:v>
                </c:pt>
                <c:pt idx="693">
                  <c:v>45271</c:v>
                </c:pt>
                <c:pt idx="694">
                  <c:v>45272</c:v>
                </c:pt>
                <c:pt idx="695">
                  <c:v>45273</c:v>
                </c:pt>
                <c:pt idx="696">
                  <c:v>45274</c:v>
                </c:pt>
                <c:pt idx="697">
                  <c:v>45275</c:v>
                </c:pt>
                <c:pt idx="698">
                  <c:v>45278</c:v>
                </c:pt>
                <c:pt idx="699">
                  <c:v>45279</c:v>
                </c:pt>
                <c:pt idx="700">
                  <c:v>45280</c:v>
                </c:pt>
                <c:pt idx="701">
                  <c:v>45281</c:v>
                </c:pt>
                <c:pt idx="702">
                  <c:v>45282</c:v>
                </c:pt>
                <c:pt idx="703">
                  <c:v>45285</c:v>
                </c:pt>
                <c:pt idx="704">
                  <c:v>45286</c:v>
                </c:pt>
                <c:pt idx="705">
                  <c:v>45287</c:v>
                </c:pt>
                <c:pt idx="706">
                  <c:v>45288</c:v>
                </c:pt>
                <c:pt idx="707">
                  <c:v>45289</c:v>
                </c:pt>
                <c:pt idx="708">
                  <c:v>45293</c:v>
                </c:pt>
                <c:pt idx="709">
                  <c:v>45294</c:v>
                </c:pt>
                <c:pt idx="710">
                  <c:v>45295</c:v>
                </c:pt>
                <c:pt idx="711">
                  <c:v>45296</c:v>
                </c:pt>
                <c:pt idx="712">
                  <c:v>45299</c:v>
                </c:pt>
                <c:pt idx="713">
                  <c:v>45300</c:v>
                </c:pt>
                <c:pt idx="714">
                  <c:v>45301</c:v>
                </c:pt>
                <c:pt idx="715">
                  <c:v>45302</c:v>
                </c:pt>
                <c:pt idx="716">
                  <c:v>45303</c:v>
                </c:pt>
                <c:pt idx="717">
                  <c:v>45306</c:v>
                </c:pt>
                <c:pt idx="718">
                  <c:v>45307</c:v>
                </c:pt>
                <c:pt idx="719">
                  <c:v>45308</c:v>
                </c:pt>
                <c:pt idx="720">
                  <c:v>45309</c:v>
                </c:pt>
                <c:pt idx="721">
                  <c:v>45310</c:v>
                </c:pt>
                <c:pt idx="722">
                  <c:v>45313</c:v>
                </c:pt>
                <c:pt idx="723">
                  <c:v>45314</c:v>
                </c:pt>
                <c:pt idx="724">
                  <c:v>45315</c:v>
                </c:pt>
                <c:pt idx="725">
                  <c:v>45316</c:v>
                </c:pt>
                <c:pt idx="726">
                  <c:v>45317</c:v>
                </c:pt>
                <c:pt idx="727">
                  <c:v>45320</c:v>
                </c:pt>
                <c:pt idx="728">
                  <c:v>45321</c:v>
                </c:pt>
                <c:pt idx="729">
                  <c:v>45322</c:v>
                </c:pt>
                <c:pt idx="730">
                  <c:v>45323</c:v>
                </c:pt>
                <c:pt idx="731">
                  <c:v>45324</c:v>
                </c:pt>
                <c:pt idx="732">
                  <c:v>45327</c:v>
                </c:pt>
                <c:pt idx="733">
                  <c:v>45328</c:v>
                </c:pt>
                <c:pt idx="734">
                  <c:v>45329</c:v>
                </c:pt>
                <c:pt idx="735">
                  <c:v>45337</c:v>
                </c:pt>
                <c:pt idx="736">
                  <c:v>45338</c:v>
                </c:pt>
                <c:pt idx="737">
                  <c:v>45341</c:v>
                </c:pt>
                <c:pt idx="738">
                  <c:v>45342</c:v>
                </c:pt>
                <c:pt idx="739">
                  <c:v>45343</c:v>
                </c:pt>
                <c:pt idx="740">
                  <c:v>45344</c:v>
                </c:pt>
                <c:pt idx="741">
                  <c:v>45345</c:v>
                </c:pt>
                <c:pt idx="742">
                  <c:v>45348</c:v>
                </c:pt>
                <c:pt idx="743">
                  <c:v>45349</c:v>
                </c:pt>
                <c:pt idx="744">
                  <c:v>45350</c:v>
                </c:pt>
                <c:pt idx="745">
                  <c:v>45351</c:v>
                </c:pt>
                <c:pt idx="746">
                  <c:v>45352</c:v>
                </c:pt>
                <c:pt idx="747">
                  <c:v>45355</c:v>
                </c:pt>
                <c:pt idx="748">
                  <c:v>45356</c:v>
                </c:pt>
                <c:pt idx="749">
                  <c:v>45357</c:v>
                </c:pt>
                <c:pt idx="750">
                  <c:v>45358</c:v>
                </c:pt>
                <c:pt idx="751">
                  <c:v>45359</c:v>
                </c:pt>
                <c:pt idx="752">
                  <c:v>45362</c:v>
                </c:pt>
                <c:pt idx="753">
                  <c:v>45363</c:v>
                </c:pt>
                <c:pt idx="754">
                  <c:v>45364</c:v>
                </c:pt>
                <c:pt idx="755">
                  <c:v>45365</c:v>
                </c:pt>
                <c:pt idx="756">
                  <c:v>45366</c:v>
                </c:pt>
                <c:pt idx="757">
                  <c:v>45369</c:v>
                </c:pt>
                <c:pt idx="758">
                  <c:v>45370</c:v>
                </c:pt>
                <c:pt idx="759">
                  <c:v>45371</c:v>
                </c:pt>
                <c:pt idx="760">
                  <c:v>45372</c:v>
                </c:pt>
                <c:pt idx="761">
                  <c:v>45373</c:v>
                </c:pt>
                <c:pt idx="762">
                  <c:v>45376</c:v>
                </c:pt>
                <c:pt idx="763">
                  <c:v>45377</c:v>
                </c:pt>
                <c:pt idx="764">
                  <c:v>45378</c:v>
                </c:pt>
                <c:pt idx="765">
                  <c:v>45379</c:v>
                </c:pt>
                <c:pt idx="766">
                  <c:v>45380</c:v>
                </c:pt>
                <c:pt idx="767">
                  <c:v>45383</c:v>
                </c:pt>
                <c:pt idx="768">
                  <c:v>45384</c:v>
                </c:pt>
                <c:pt idx="769">
                  <c:v>45385</c:v>
                </c:pt>
                <c:pt idx="770">
                  <c:v>45386</c:v>
                </c:pt>
                <c:pt idx="771">
                  <c:v>45387</c:v>
                </c:pt>
                <c:pt idx="772">
                  <c:v>45390</c:v>
                </c:pt>
                <c:pt idx="773">
                  <c:v>45391</c:v>
                </c:pt>
                <c:pt idx="774">
                  <c:v>45392</c:v>
                </c:pt>
                <c:pt idx="775">
                  <c:v>45393</c:v>
                </c:pt>
                <c:pt idx="776">
                  <c:v>45394</c:v>
                </c:pt>
                <c:pt idx="777">
                  <c:v>45397</c:v>
                </c:pt>
                <c:pt idx="778">
                  <c:v>45398</c:v>
                </c:pt>
                <c:pt idx="779">
                  <c:v>45399</c:v>
                </c:pt>
                <c:pt idx="780">
                  <c:v>45401</c:v>
                </c:pt>
                <c:pt idx="781">
                  <c:v>45404</c:v>
                </c:pt>
                <c:pt idx="782">
                  <c:v>45405</c:v>
                </c:pt>
                <c:pt idx="783">
                  <c:v>45406</c:v>
                </c:pt>
                <c:pt idx="784">
                  <c:v>45407</c:v>
                </c:pt>
                <c:pt idx="785">
                  <c:v>45408</c:v>
                </c:pt>
                <c:pt idx="786">
                  <c:v>45414</c:v>
                </c:pt>
                <c:pt idx="787">
                  <c:v>45415</c:v>
                </c:pt>
                <c:pt idx="788">
                  <c:v>45418</c:v>
                </c:pt>
                <c:pt idx="789">
                  <c:v>45419</c:v>
                </c:pt>
                <c:pt idx="790">
                  <c:v>45420</c:v>
                </c:pt>
                <c:pt idx="791">
                  <c:v>45421</c:v>
                </c:pt>
                <c:pt idx="792">
                  <c:v>45422</c:v>
                </c:pt>
                <c:pt idx="793">
                  <c:v>45425</c:v>
                </c:pt>
                <c:pt idx="794">
                  <c:v>45426</c:v>
                </c:pt>
                <c:pt idx="795">
                  <c:v>45427</c:v>
                </c:pt>
                <c:pt idx="796">
                  <c:v>45428</c:v>
                </c:pt>
                <c:pt idx="797">
                  <c:v>45429</c:v>
                </c:pt>
                <c:pt idx="798">
                  <c:v>45432</c:v>
                </c:pt>
                <c:pt idx="799">
                  <c:v>45433</c:v>
                </c:pt>
                <c:pt idx="800">
                  <c:v>45434</c:v>
                </c:pt>
                <c:pt idx="801">
                  <c:v>45435</c:v>
                </c:pt>
                <c:pt idx="802">
                  <c:v>45436</c:v>
                </c:pt>
                <c:pt idx="803">
                  <c:v>45439</c:v>
                </c:pt>
                <c:pt idx="804">
                  <c:v>45440</c:v>
                </c:pt>
                <c:pt idx="805">
                  <c:v>45441</c:v>
                </c:pt>
                <c:pt idx="806">
                  <c:v>45442</c:v>
                </c:pt>
                <c:pt idx="807">
                  <c:v>45443</c:v>
                </c:pt>
                <c:pt idx="808">
                  <c:v>45446</c:v>
                </c:pt>
                <c:pt idx="809">
                  <c:v>45447</c:v>
                </c:pt>
                <c:pt idx="810">
                  <c:v>45448</c:v>
                </c:pt>
                <c:pt idx="811">
                  <c:v>45449</c:v>
                </c:pt>
                <c:pt idx="812">
                  <c:v>45450</c:v>
                </c:pt>
                <c:pt idx="813">
                  <c:v>45453</c:v>
                </c:pt>
                <c:pt idx="814">
                  <c:v>45454</c:v>
                </c:pt>
                <c:pt idx="815">
                  <c:v>45455</c:v>
                </c:pt>
                <c:pt idx="816">
                  <c:v>45456</c:v>
                </c:pt>
                <c:pt idx="817">
                  <c:v>45457</c:v>
                </c:pt>
                <c:pt idx="818">
                  <c:v>45460</c:v>
                </c:pt>
                <c:pt idx="819">
                  <c:v>45461</c:v>
                </c:pt>
                <c:pt idx="820">
                  <c:v>45462</c:v>
                </c:pt>
                <c:pt idx="821">
                  <c:v>45463</c:v>
                </c:pt>
                <c:pt idx="822">
                  <c:v>45464</c:v>
                </c:pt>
                <c:pt idx="823">
                  <c:v>45467</c:v>
                </c:pt>
                <c:pt idx="824">
                  <c:v>45468</c:v>
                </c:pt>
                <c:pt idx="825">
                  <c:v>45469</c:v>
                </c:pt>
                <c:pt idx="826">
                  <c:v>45470</c:v>
                </c:pt>
                <c:pt idx="827">
                  <c:v>45471</c:v>
                </c:pt>
                <c:pt idx="828">
                  <c:v>45474</c:v>
                </c:pt>
                <c:pt idx="829">
                  <c:v>45475</c:v>
                </c:pt>
                <c:pt idx="830">
                  <c:v>45476</c:v>
                </c:pt>
                <c:pt idx="831">
                  <c:v>45477</c:v>
                </c:pt>
                <c:pt idx="832">
                  <c:v>45478</c:v>
                </c:pt>
                <c:pt idx="833">
                  <c:v>45481</c:v>
                </c:pt>
                <c:pt idx="834">
                  <c:v>45482</c:v>
                </c:pt>
                <c:pt idx="835">
                  <c:v>45483</c:v>
                </c:pt>
                <c:pt idx="836">
                  <c:v>45484</c:v>
                </c:pt>
                <c:pt idx="837">
                  <c:v>45485</c:v>
                </c:pt>
                <c:pt idx="838">
                  <c:v>45488</c:v>
                </c:pt>
                <c:pt idx="839">
                  <c:v>45489</c:v>
                </c:pt>
                <c:pt idx="840">
                  <c:v>45490</c:v>
                </c:pt>
                <c:pt idx="841">
                  <c:v>45491</c:v>
                </c:pt>
                <c:pt idx="842">
                  <c:v>45492</c:v>
                </c:pt>
                <c:pt idx="843">
                  <c:v>45495</c:v>
                </c:pt>
                <c:pt idx="844">
                  <c:v>45496</c:v>
                </c:pt>
                <c:pt idx="845">
                  <c:v>45497</c:v>
                </c:pt>
                <c:pt idx="846">
                  <c:v>45498</c:v>
                </c:pt>
                <c:pt idx="847">
                  <c:v>45499</c:v>
                </c:pt>
                <c:pt idx="848">
                  <c:v>45502</c:v>
                </c:pt>
                <c:pt idx="849">
                  <c:v>45503</c:v>
                </c:pt>
                <c:pt idx="850">
                  <c:v>45504</c:v>
                </c:pt>
                <c:pt idx="851">
                  <c:v>45505</c:v>
                </c:pt>
                <c:pt idx="852">
                  <c:v>45506</c:v>
                </c:pt>
                <c:pt idx="853">
                  <c:v>45509</c:v>
                </c:pt>
                <c:pt idx="854">
                  <c:v>45510</c:v>
                </c:pt>
                <c:pt idx="855">
                  <c:v>45511</c:v>
                </c:pt>
                <c:pt idx="856">
                  <c:v>45512</c:v>
                </c:pt>
                <c:pt idx="857">
                  <c:v>45513</c:v>
                </c:pt>
                <c:pt idx="858">
                  <c:v>45516</c:v>
                </c:pt>
                <c:pt idx="859">
                  <c:v>45517</c:v>
                </c:pt>
                <c:pt idx="860">
                  <c:v>45518</c:v>
                </c:pt>
                <c:pt idx="861">
                  <c:v>45519</c:v>
                </c:pt>
                <c:pt idx="862">
                  <c:v>45520</c:v>
                </c:pt>
                <c:pt idx="863">
                  <c:v>45523</c:v>
                </c:pt>
                <c:pt idx="864">
                  <c:v>45524</c:v>
                </c:pt>
                <c:pt idx="865">
                  <c:v>45525</c:v>
                </c:pt>
                <c:pt idx="866">
                  <c:v>45526</c:v>
                </c:pt>
                <c:pt idx="867">
                  <c:v>45527</c:v>
                </c:pt>
                <c:pt idx="868">
                  <c:v>45530</c:v>
                </c:pt>
                <c:pt idx="869">
                  <c:v>45531</c:v>
                </c:pt>
                <c:pt idx="870">
                  <c:v>45532</c:v>
                </c:pt>
                <c:pt idx="871">
                  <c:v>45533</c:v>
                </c:pt>
                <c:pt idx="872">
                  <c:v>45534</c:v>
                </c:pt>
                <c:pt idx="873">
                  <c:v>45539</c:v>
                </c:pt>
                <c:pt idx="874">
                  <c:v>45540</c:v>
                </c:pt>
                <c:pt idx="875">
                  <c:v>45541</c:v>
                </c:pt>
                <c:pt idx="876">
                  <c:v>45544</c:v>
                </c:pt>
                <c:pt idx="877">
                  <c:v>45545</c:v>
                </c:pt>
                <c:pt idx="878">
                  <c:v>45546</c:v>
                </c:pt>
                <c:pt idx="879">
                  <c:v>45547</c:v>
                </c:pt>
                <c:pt idx="880">
                  <c:v>45548</c:v>
                </c:pt>
                <c:pt idx="881">
                  <c:v>45551</c:v>
                </c:pt>
                <c:pt idx="882">
                  <c:v>45552</c:v>
                </c:pt>
                <c:pt idx="883">
                  <c:v>45553</c:v>
                </c:pt>
                <c:pt idx="884">
                  <c:v>45554</c:v>
                </c:pt>
                <c:pt idx="885">
                  <c:v>45555</c:v>
                </c:pt>
                <c:pt idx="886">
                  <c:v>45558</c:v>
                </c:pt>
                <c:pt idx="887">
                  <c:v>45559</c:v>
                </c:pt>
                <c:pt idx="888">
                  <c:v>45560</c:v>
                </c:pt>
                <c:pt idx="889">
                  <c:v>45561</c:v>
                </c:pt>
                <c:pt idx="890">
                  <c:v>45562</c:v>
                </c:pt>
                <c:pt idx="891">
                  <c:v>45565</c:v>
                </c:pt>
                <c:pt idx="892">
                  <c:v>45566</c:v>
                </c:pt>
                <c:pt idx="893">
                  <c:v>45567</c:v>
                </c:pt>
                <c:pt idx="894">
                  <c:v>45568</c:v>
                </c:pt>
                <c:pt idx="895">
                  <c:v>45569</c:v>
                </c:pt>
                <c:pt idx="896">
                  <c:v>45572</c:v>
                </c:pt>
                <c:pt idx="897">
                  <c:v>45573</c:v>
                </c:pt>
                <c:pt idx="898">
                  <c:v>45574</c:v>
                </c:pt>
                <c:pt idx="899">
                  <c:v>45575</c:v>
                </c:pt>
                <c:pt idx="900">
                  <c:v>45576</c:v>
                </c:pt>
                <c:pt idx="901">
                  <c:v>45579</c:v>
                </c:pt>
                <c:pt idx="902">
                  <c:v>45580</c:v>
                </c:pt>
                <c:pt idx="903">
                  <c:v>45581</c:v>
                </c:pt>
                <c:pt idx="904">
                  <c:v>45582</c:v>
                </c:pt>
                <c:pt idx="905">
                  <c:v>45583</c:v>
                </c:pt>
                <c:pt idx="906">
                  <c:v>45586</c:v>
                </c:pt>
                <c:pt idx="907">
                  <c:v>45587</c:v>
                </c:pt>
                <c:pt idx="908">
                  <c:v>45588</c:v>
                </c:pt>
                <c:pt idx="909">
                  <c:v>45589</c:v>
                </c:pt>
                <c:pt idx="910">
                  <c:v>45590</c:v>
                </c:pt>
                <c:pt idx="911">
                  <c:v>45593</c:v>
                </c:pt>
                <c:pt idx="912">
                  <c:v>45594</c:v>
                </c:pt>
                <c:pt idx="913">
                  <c:v>45595</c:v>
                </c:pt>
                <c:pt idx="914">
                  <c:v>45596</c:v>
                </c:pt>
                <c:pt idx="915">
                  <c:v>45597</c:v>
                </c:pt>
                <c:pt idx="916">
                  <c:v>45600</c:v>
                </c:pt>
                <c:pt idx="917">
                  <c:v>45601</c:v>
                </c:pt>
                <c:pt idx="918">
                  <c:v>45602</c:v>
                </c:pt>
                <c:pt idx="919">
                  <c:v>45603</c:v>
                </c:pt>
                <c:pt idx="920">
                  <c:v>45604</c:v>
                </c:pt>
                <c:pt idx="921">
                  <c:v>45607</c:v>
                </c:pt>
                <c:pt idx="922">
                  <c:v>45608</c:v>
                </c:pt>
                <c:pt idx="923">
                  <c:v>45609</c:v>
                </c:pt>
                <c:pt idx="924">
                  <c:v>45610</c:v>
                </c:pt>
                <c:pt idx="925">
                  <c:v>45611</c:v>
                </c:pt>
                <c:pt idx="926">
                  <c:v>45614</c:v>
                </c:pt>
                <c:pt idx="927">
                  <c:v>45615</c:v>
                </c:pt>
                <c:pt idx="928">
                  <c:v>45616</c:v>
                </c:pt>
                <c:pt idx="929">
                  <c:v>45617</c:v>
                </c:pt>
                <c:pt idx="930">
                  <c:v>45618</c:v>
                </c:pt>
                <c:pt idx="931">
                  <c:v>45621</c:v>
                </c:pt>
                <c:pt idx="932">
                  <c:v>45622</c:v>
                </c:pt>
                <c:pt idx="933">
                  <c:v>45623</c:v>
                </c:pt>
                <c:pt idx="934">
                  <c:v>45624</c:v>
                </c:pt>
                <c:pt idx="935">
                  <c:v>45625</c:v>
                </c:pt>
                <c:pt idx="936">
                  <c:v>45628</c:v>
                </c:pt>
                <c:pt idx="937">
                  <c:v>45629</c:v>
                </c:pt>
                <c:pt idx="938">
                  <c:v>45630</c:v>
                </c:pt>
                <c:pt idx="939">
                  <c:v>45631</c:v>
                </c:pt>
                <c:pt idx="940">
                  <c:v>45632</c:v>
                </c:pt>
                <c:pt idx="941">
                  <c:v>45635</c:v>
                </c:pt>
                <c:pt idx="942">
                  <c:v>45636</c:v>
                </c:pt>
                <c:pt idx="943">
                  <c:v>45637</c:v>
                </c:pt>
                <c:pt idx="944">
                  <c:v>45638</c:v>
                </c:pt>
                <c:pt idx="945">
                  <c:v>45639</c:v>
                </c:pt>
                <c:pt idx="946">
                  <c:v>45642</c:v>
                </c:pt>
                <c:pt idx="947">
                  <c:v>45643</c:v>
                </c:pt>
                <c:pt idx="948">
                  <c:v>45644</c:v>
                </c:pt>
                <c:pt idx="949">
                  <c:v>45645</c:v>
                </c:pt>
                <c:pt idx="950">
                  <c:v>45646</c:v>
                </c:pt>
                <c:pt idx="951">
                  <c:v>45649</c:v>
                </c:pt>
                <c:pt idx="952">
                  <c:v>45650</c:v>
                </c:pt>
                <c:pt idx="953">
                  <c:v>45651</c:v>
                </c:pt>
                <c:pt idx="954">
                  <c:v>45652</c:v>
                </c:pt>
                <c:pt idx="955">
                  <c:v>45653</c:v>
                </c:pt>
                <c:pt idx="956">
                  <c:v>45656</c:v>
                </c:pt>
                <c:pt idx="957">
                  <c:v>45657</c:v>
                </c:pt>
                <c:pt idx="958">
                  <c:v>45659</c:v>
                </c:pt>
                <c:pt idx="959">
                  <c:v>45660</c:v>
                </c:pt>
                <c:pt idx="960">
                  <c:v>45663</c:v>
                </c:pt>
                <c:pt idx="961">
                  <c:v>45664</c:v>
                </c:pt>
                <c:pt idx="962">
                  <c:v>45665</c:v>
                </c:pt>
                <c:pt idx="963">
                  <c:v>45666</c:v>
                </c:pt>
                <c:pt idx="964">
                  <c:v>45667</c:v>
                </c:pt>
                <c:pt idx="965">
                  <c:v>45670</c:v>
                </c:pt>
                <c:pt idx="966">
                  <c:v>45671</c:v>
                </c:pt>
                <c:pt idx="967">
                  <c:v>45672</c:v>
                </c:pt>
                <c:pt idx="968">
                  <c:v>45673</c:v>
                </c:pt>
                <c:pt idx="969">
                  <c:v>45674</c:v>
                </c:pt>
                <c:pt idx="970">
                  <c:v>45677</c:v>
                </c:pt>
                <c:pt idx="971">
                  <c:v>45678</c:v>
                </c:pt>
                <c:pt idx="972">
                  <c:v>45679</c:v>
                </c:pt>
                <c:pt idx="973">
                  <c:v>45680</c:v>
                </c:pt>
                <c:pt idx="974">
                  <c:v>45681</c:v>
                </c:pt>
                <c:pt idx="975">
                  <c:v>45691</c:v>
                </c:pt>
                <c:pt idx="976">
                  <c:v>45692</c:v>
                </c:pt>
                <c:pt idx="977">
                  <c:v>45693</c:v>
                </c:pt>
                <c:pt idx="978">
                  <c:v>45694</c:v>
                </c:pt>
                <c:pt idx="979">
                  <c:v>45695</c:v>
                </c:pt>
                <c:pt idx="980">
                  <c:v>45698</c:v>
                </c:pt>
                <c:pt idx="981">
                  <c:v>45699</c:v>
                </c:pt>
                <c:pt idx="982">
                  <c:v>45700</c:v>
                </c:pt>
                <c:pt idx="983">
                  <c:v>45701</c:v>
                </c:pt>
                <c:pt idx="984">
                  <c:v>45702</c:v>
                </c:pt>
                <c:pt idx="985">
                  <c:v>45705</c:v>
                </c:pt>
                <c:pt idx="986">
                  <c:v>45706</c:v>
                </c:pt>
                <c:pt idx="987">
                  <c:v>45707</c:v>
                </c:pt>
                <c:pt idx="988">
                  <c:v>45708</c:v>
                </c:pt>
                <c:pt idx="989">
                  <c:v>45709</c:v>
                </c:pt>
                <c:pt idx="990">
                  <c:v>45712</c:v>
                </c:pt>
                <c:pt idx="991">
                  <c:v>45713</c:v>
                </c:pt>
                <c:pt idx="992">
                  <c:v>45714</c:v>
                </c:pt>
                <c:pt idx="993">
                  <c:v>45715</c:v>
                </c:pt>
                <c:pt idx="994">
                  <c:v>45716</c:v>
                </c:pt>
                <c:pt idx="995">
                  <c:v>45719</c:v>
                </c:pt>
                <c:pt idx="996">
                  <c:v>45720</c:v>
                </c:pt>
                <c:pt idx="997">
                  <c:v>45721</c:v>
                </c:pt>
                <c:pt idx="998">
                  <c:v>45722</c:v>
                </c:pt>
                <c:pt idx="999">
                  <c:v>45723</c:v>
                </c:pt>
                <c:pt idx="1000">
                  <c:v>45726</c:v>
                </c:pt>
                <c:pt idx="1001">
                  <c:v>45727</c:v>
                </c:pt>
                <c:pt idx="1002">
                  <c:v>45728</c:v>
                </c:pt>
                <c:pt idx="1003">
                  <c:v>45729</c:v>
                </c:pt>
                <c:pt idx="1004">
                  <c:v>45730</c:v>
                </c:pt>
                <c:pt idx="1005">
                  <c:v>45733</c:v>
                </c:pt>
                <c:pt idx="1006">
                  <c:v>45734</c:v>
                </c:pt>
                <c:pt idx="1007">
                  <c:v>45735</c:v>
                </c:pt>
                <c:pt idx="1008">
                  <c:v>45736</c:v>
                </c:pt>
                <c:pt idx="1009">
                  <c:v>45737</c:v>
                </c:pt>
                <c:pt idx="1010">
                  <c:v>45740</c:v>
                </c:pt>
                <c:pt idx="1011">
                  <c:v>45741</c:v>
                </c:pt>
                <c:pt idx="1012">
                  <c:v>45742</c:v>
                </c:pt>
                <c:pt idx="1013">
                  <c:v>45743</c:v>
                </c:pt>
                <c:pt idx="1014">
                  <c:v>45744</c:v>
                </c:pt>
                <c:pt idx="1015">
                  <c:v>45747</c:v>
                </c:pt>
                <c:pt idx="1016">
                  <c:v>45748</c:v>
                </c:pt>
                <c:pt idx="1017">
                  <c:v>45749</c:v>
                </c:pt>
                <c:pt idx="1018">
                  <c:v>45750</c:v>
                </c:pt>
                <c:pt idx="1019">
                  <c:v>45751</c:v>
                </c:pt>
                <c:pt idx="1020">
                  <c:v>45755</c:v>
                </c:pt>
                <c:pt idx="1021">
                  <c:v>45756</c:v>
                </c:pt>
                <c:pt idx="1022">
                  <c:v>45757</c:v>
                </c:pt>
                <c:pt idx="1023">
                  <c:v>45758</c:v>
                </c:pt>
                <c:pt idx="1024">
                  <c:v>45761</c:v>
                </c:pt>
                <c:pt idx="1025">
                  <c:v>45762</c:v>
                </c:pt>
                <c:pt idx="1026">
                  <c:v>45763</c:v>
                </c:pt>
                <c:pt idx="1027">
                  <c:v>45764</c:v>
                </c:pt>
                <c:pt idx="1028">
                  <c:v>45765</c:v>
                </c:pt>
                <c:pt idx="1029">
                  <c:v>45768</c:v>
                </c:pt>
                <c:pt idx="1030">
                  <c:v>45769</c:v>
                </c:pt>
                <c:pt idx="1031">
                  <c:v>45770</c:v>
                </c:pt>
                <c:pt idx="1032">
                  <c:v>45771</c:v>
                </c:pt>
                <c:pt idx="1033">
                  <c:v>45772</c:v>
                </c:pt>
                <c:pt idx="1034">
                  <c:v>45775</c:v>
                </c:pt>
                <c:pt idx="1035">
                  <c:v>45776</c:v>
                </c:pt>
                <c:pt idx="1036">
                  <c:v>45782</c:v>
                </c:pt>
                <c:pt idx="1037">
                  <c:v>45783</c:v>
                </c:pt>
                <c:pt idx="1038">
                  <c:v>45784</c:v>
                </c:pt>
                <c:pt idx="1039">
                  <c:v>45785</c:v>
                </c:pt>
                <c:pt idx="1040">
                  <c:v>45786</c:v>
                </c:pt>
                <c:pt idx="1041">
                  <c:v>45789</c:v>
                </c:pt>
                <c:pt idx="1042">
                  <c:v>45790</c:v>
                </c:pt>
                <c:pt idx="1043">
                  <c:v>45791</c:v>
                </c:pt>
                <c:pt idx="1044">
                  <c:v>45792</c:v>
                </c:pt>
                <c:pt idx="1045">
                  <c:v>45793</c:v>
                </c:pt>
                <c:pt idx="1046">
                  <c:v>45796</c:v>
                </c:pt>
                <c:pt idx="1047">
                  <c:v>45797</c:v>
                </c:pt>
                <c:pt idx="1048">
                  <c:v>45798</c:v>
                </c:pt>
                <c:pt idx="1049">
                  <c:v>45799</c:v>
                </c:pt>
                <c:pt idx="1050">
                  <c:v>45800</c:v>
                </c:pt>
                <c:pt idx="1051">
                  <c:v>45803</c:v>
                </c:pt>
                <c:pt idx="1052">
                  <c:v>45804</c:v>
                </c:pt>
                <c:pt idx="1053">
                  <c:v>45805</c:v>
                </c:pt>
                <c:pt idx="1054">
                  <c:v>45806</c:v>
                </c:pt>
                <c:pt idx="1055">
                  <c:v>45807</c:v>
                </c:pt>
                <c:pt idx="1056">
                  <c:v>45810</c:v>
                </c:pt>
                <c:pt idx="1057">
                  <c:v>45811</c:v>
                </c:pt>
                <c:pt idx="1058">
                  <c:v>45812</c:v>
                </c:pt>
                <c:pt idx="1059">
                  <c:v>45813</c:v>
                </c:pt>
                <c:pt idx="1060">
                  <c:v>45814</c:v>
                </c:pt>
                <c:pt idx="1061">
                  <c:v>45817</c:v>
                </c:pt>
                <c:pt idx="1062">
                  <c:v>45818</c:v>
                </c:pt>
                <c:pt idx="1063">
                  <c:v>45819</c:v>
                </c:pt>
                <c:pt idx="1064">
                  <c:v>45820</c:v>
                </c:pt>
                <c:pt idx="1065">
                  <c:v>45821</c:v>
                </c:pt>
                <c:pt idx="1066">
                  <c:v>45824</c:v>
                </c:pt>
                <c:pt idx="1067">
                  <c:v>45825</c:v>
                </c:pt>
                <c:pt idx="1068">
                  <c:v>45826</c:v>
                </c:pt>
                <c:pt idx="1069">
                  <c:v>45827</c:v>
                </c:pt>
                <c:pt idx="1070">
                  <c:v>45828</c:v>
                </c:pt>
                <c:pt idx="1071">
                  <c:v>45831</c:v>
                </c:pt>
                <c:pt idx="1072">
                  <c:v>45832</c:v>
                </c:pt>
                <c:pt idx="1073">
                  <c:v>45833</c:v>
                </c:pt>
                <c:pt idx="1074">
                  <c:v>45834</c:v>
                </c:pt>
                <c:pt idx="1075">
                  <c:v>45835</c:v>
                </c:pt>
                <c:pt idx="1076">
                  <c:v>45838</c:v>
                </c:pt>
                <c:pt idx="1077">
                  <c:v>45839</c:v>
                </c:pt>
                <c:pt idx="1078">
                  <c:v>45840</c:v>
                </c:pt>
                <c:pt idx="1079">
                  <c:v>45841</c:v>
                </c:pt>
                <c:pt idx="1080">
                  <c:v>45842</c:v>
                </c:pt>
                <c:pt idx="1081">
                  <c:v>45845</c:v>
                </c:pt>
                <c:pt idx="1082">
                  <c:v>45846</c:v>
                </c:pt>
                <c:pt idx="1083">
                  <c:v>45847</c:v>
                </c:pt>
                <c:pt idx="1084">
                  <c:v>45848</c:v>
                </c:pt>
                <c:pt idx="1085">
                  <c:v>45849</c:v>
                </c:pt>
                <c:pt idx="1086">
                  <c:v>45852</c:v>
                </c:pt>
                <c:pt idx="1087">
                  <c:v>45853</c:v>
                </c:pt>
                <c:pt idx="1088">
                  <c:v>45854</c:v>
                </c:pt>
                <c:pt idx="1089">
                  <c:v>45855</c:v>
                </c:pt>
                <c:pt idx="1090">
                  <c:v>45856</c:v>
                </c:pt>
                <c:pt idx="1091">
                  <c:v>45859</c:v>
                </c:pt>
                <c:pt idx="1092">
                  <c:v>45860</c:v>
                </c:pt>
                <c:pt idx="1093">
                  <c:v>45861</c:v>
                </c:pt>
                <c:pt idx="1094">
                  <c:v>45862</c:v>
                </c:pt>
                <c:pt idx="1095">
                  <c:v>45863</c:v>
                </c:pt>
                <c:pt idx="1096">
                  <c:v>45866</c:v>
                </c:pt>
                <c:pt idx="1097">
                  <c:v>45867</c:v>
                </c:pt>
                <c:pt idx="1098">
                  <c:v>45868</c:v>
                </c:pt>
                <c:pt idx="1099">
                  <c:v>45869</c:v>
                </c:pt>
                <c:pt idx="1100">
                  <c:v>45870</c:v>
                </c:pt>
                <c:pt idx="1101">
                  <c:v>45873</c:v>
                </c:pt>
                <c:pt idx="1102">
                  <c:v>45874</c:v>
                </c:pt>
                <c:pt idx="1103">
                  <c:v>45875</c:v>
                </c:pt>
                <c:pt idx="1104">
                  <c:v>45876</c:v>
                </c:pt>
                <c:pt idx="1105">
                  <c:v>45877</c:v>
                </c:pt>
                <c:pt idx="1106">
                  <c:v>45880</c:v>
                </c:pt>
                <c:pt idx="1107">
                  <c:v>45881</c:v>
                </c:pt>
                <c:pt idx="1108">
                  <c:v>45882</c:v>
                </c:pt>
                <c:pt idx="1109">
                  <c:v>45883</c:v>
                </c:pt>
                <c:pt idx="1110">
                  <c:v>45884</c:v>
                </c:pt>
                <c:pt idx="1111">
                  <c:v>45887</c:v>
                </c:pt>
                <c:pt idx="1112">
                  <c:v>45888</c:v>
                </c:pt>
                <c:pt idx="1113">
                  <c:v>45889</c:v>
                </c:pt>
                <c:pt idx="1114">
                  <c:v>45890</c:v>
                </c:pt>
                <c:pt idx="1115">
                  <c:v>45891</c:v>
                </c:pt>
                <c:pt idx="1116">
                  <c:v>45894</c:v>
                </c:pt>
                <c:pt idx="1117">
                  <c:v>45895</c:v>
                </c:pt>
                <c:pt idx="1118">
                  <c:v>45896</c:v>
                </c:pt>
                <c:pt idx="1119">
                  <c:v>45897</c:v>
                </c:pt>
                <c:pt idx="1120">
                  <c:v>45898</c:v>
                </c:pt>
                <c:pt idx="1121">
                  <c:v>45903</c:v>
                </c:pt>
                <c:pt idx="1122">
                  <c:v>45904</c:v>
                </c:pt>
                <c:pt idx="1123">
                  <c:v>45905</c:v>
                </c:pt>
                <c:pt idx="1124">
                  <c:v>45908</c:v>
                </c:pt>
                <c:pt idx="1125">
                  <c:v>45909</c:v>
                </c:pt>
                <c:pt idx="1126">
                  <c:v>45910</c:v>
                </c:pt>
                <c:pt idx="1127">
                  <c:v>45911</c:v>
                </c:pt>
                <c:pt idx="1128">
                  <c:v>45912</c:v>
                </c:pt>
                <c:pt idx="1129">
                  <c:v>45915</c:v>
                </c:pt>
                <c:pt idx="1130">
                  <c:v>45916</c:v>
                </c:pt>
                <c:pt idx="1131">
                  <c:v>45917</c:v>
                </c:pt>
                <c:pt idx="1132">
                  <c:v>45918</c:v>
                </c:pt>
                <c:pt idx="1133">
                  <c:v>45919</c:v>
                </c:pt>
                <c:pt idx="1134">
                  <c:v>45922</c:v>
                </c:pt>
                <c:pt idx="1135">
                  <c:v>45923</c:v>
                </c:pt>
                <c:pt idx="1136">
                  <c:v>45924</c:v>
                </c:pt>
                <c:pt idx="1137">
                  <c:v>45925</c:v>
                </c:pt>
                <c:pt idx="1138">
                  <c:v>45926</c:v>
                </c:pt>
                <c:pt idx="1139">
                  <c:v>45929</c:v>
                </c:pt>
                <c:pt idx="1140">
                  <c:v>45930</c:v>
                </c:pt>
                <c:pt idx="1141">
                  <c:v>45931</c:v>
                </c:pt>
                <c:pt idx="1142">
                  <c:v>45932</c:v>
                </c:pt>
                <c:pt idx="1143">
                  <c:v>45933</c:v>
                </c:pt>
                <c:pt idx="1144">
                  <c:v>45936</c:v>
                </c:pt>
                <c:pt idx="1145">
                  <c:v>45937</c:v>
                </c:pt>
                <c:pt idx="1146">
                  <c:v>45938</c:v>
                </c:pt>
                <c:pt idx="1147">
                  <c:v>45939</c:v>
                </c:pt>
                <c:pt idx="1148">
                  <c:v>45940</c:v>
                </c:pt>
                <c:pt idx="1149">
                  <c:v>45943</c:v>
                </c:pt>
                <c:pt idx="1150">
                  <c:v>45944</c:v>
                </c:pt>
                <c:pt idx="1151">
                  <c:v>45945</c:v>
                </c:pt>
                <c:pt idx="1152">
                  <c:v>45946</c:v>
                </c:pt>
                <c:pt idx="1153">
                  <c:v>45947</c:v>
                </c:pt>
                <c:pt idx="1154">
                  <c:v>45950</c:v>
                </c:pt>
                <c:pt idx="1155">
                  <c:v>45951</c:v>
                </c:pt>
                <c:pt idx="1156">
                  <c:v>45952</c:v>
                </c:pt>
                <c:pt idx="1157">
                  <c:v>45953</c:v>
                </c:pt>
                <c:pt idx="1158">
                  <c:v>45954</c:v>
                </c:pt>
                <c:pt idx="1159">
                  <c:v>45957</c:v>
                </c:pt>
                <c:pt idx="1160">
                  <c:v>45958</c:v>
                </c:pt>
                <c:pt idx="1161">
                  <c:v>45959</c:v>
                </c:pt>
                <c:pt idx="1162">
                  <c:v>45960</c:v>
                </c:pt>
                <c:pt idx="1163">
                  <c:v>45961</c:v>
                </c:pt>
                <c:pt idx="1164">
                  <c:v>45964</c:v>
                </c:pt>
                <c:pt idx="1165">
                  <c:v>45965</c:v>
                </c:pt>
                <c:pt idx="1166">
                  <c:v>45966</c:v>
                </c:pt>
                <c:pt idx="1167">
                  <c:v>45967</c:v>
                </c:pt>
                <c:pt idx="1168">
                  <c:v>45968</c:v>
                </c:pt>
                <c:pt idx="1169">
                  <c:v>45971</c:v>
                </c:pt>
                <c:pt idx="1170">
                  <c:v>45972</c:v>
                </c:pt>
                <c:pt idx="1171">
                  <c:v>45973</c:v>
                </c:pt>
                <c:pt idx="1172">
                  <c:v>45974</c:v>
                </c:pt>
                <c:pt idx="1173">
                  <c:v>45975</c:v>
                </c:pt>
                <c:pt idx="1174">
                  <c:v>45978</c:v>
                </c:pt>
                <c:pt idx="1175">
                  <c:v>45979</c:v>
                </c:pt>
                <c:pt idx="1176">
                  <c:v>45980</c:v>
                </c:pt>
                <c:pt idx="1177">
                  <c:v>45981</c:v>
                </c:pt>
                <c:pt idx="1178">
                  <c:v>45982</c:v>
                </c:pt>
                <c:pt idx="1179">
                  <c:v>45985</c:v>
                </c:pt>
                <c:pt idx="1180">
                  <c:v>45986</c:v>
                </c:pt>
                <c:pt idx="1181">
                  <c:v>45987</c:v>
                </c:pt>
                <c:pt idx="1182">
                  <c:v>45988</c:v>
                </c:pt>
                <c:pt idx="1183">
                  <c:v>45989</c:v>
                </c:pt>
                <c:pt idx="1184">
                  <c:v>45992</c:v>
                </c:pt>
                <c:pt idx="1185">
                  <c:v>45993</c:v>
                </c:pt>
                <c:pt idx="1186">
                  <c:v>45994</c:v>
                </c:pt>
                <c:pt idx="1187">
                  <c:v>45995</c:v>
                </c:pt>
                <c:pt idx="1188">
                  <c:v>45996</c:v>
                </c:pt>
                <c:pt idx="1189">
                  <c:v>45999</c:v>
                </c:pt>
                <c:pt idx="1190">
                  <c:v>46000</c:v>
                </c:pt>
                <c:pt idx="1191">
                  <c:v>46001</c:v>
                </c:pt>
                <c:pt idx="1192">
                  <c:v>46002</c:v>
                </c:pt>
                <c:pt idx="1193">
                  <c:v>46003</c:v>
                </c:pt>
                <c:pt idx="1194">
                  <c:v>46006</c:v>
                </c:pt>
                <c:pt idx="1195">
                  <c:v>46007</c:v>
                </c:pt>
                <c:pt idx="1196">
                  <c:v>46008</c:v>
                </c:pt>
                <c:pt idx="1197">
                  <c:v>46009</c:v>
                </c:pt>
                <c:pt idx="1198">
                  <c:v>46010</c:v>
                </c:pt>
                <c:pt idx="1199">
                  <c:v>46013</c:v>
                </c:pt>
                <c:pt idx="1200">
                  <c:v>46014</c:v>
                </c:pt>
                <c:pt idx="1201">
                  <c:v>46015</c:v>
                </c:pt>
                <c:pt idx="1202">
                  <c:v>46016</c:v>
                </c:pt>
                <c:pt idx="1203">
                  <c:v>46017</c:v>
                </c:pt>
                <c:pt idx="1204">
                  <c:v>46020</c:v>
                </c:pt>
                <c:pt idx="1205">
                  <c:v>46021</c:v>
                </c:pt>
                <c:pt idx="1206">
                  <c:v>46022</c:v>
                </c:pt>
                <c:pt idx="1207">
                  <c:v>46027</c:v>
                </c:pt>
                <c:pt idx="1208">
                  <c:v>46028</c:v>
                </c:pt>
                <c:pt idx="1209">
                  <c:v>46029</c:v>
                </c:pt>
                <c:pt idx="1210">
                  <c:v>46030</c:v>
                </c:pt>
                <c:pt idx="1211">
                  <c:v>46031</c:v>
                </c:pt>
                <c:pt idx="1212">
                  <c:v>46034</c:v>
                </c:pt>
                <c:pt idx="1213">
                  <c:v>46035</c:v>
                </c:pt>
                <c:pt idx="1214">
                  <c:v>46036</c:v>
                </c:pt>
                <c:pt idx="1215">
                  <c:v>46037</c:v>
                </c:pt>
                <c:pt idx="1216">
                  <c:v>46038</c:v>
                </c:pt>
                <c:pt idx="1217">
                  <c:v>46041</c:v>
                </c:pt>
                <c:pt idx="1218">
                  <c:v>46042</c:v>
                </c:pt>
                <c:pt idx="1219">
                  <c:v>46043</c:v>
                </c:pt>
                <c:pt idx="1220">
                  <c:v>46044</c:v>
                </c:pt>
                <c:pt idx="1221">
                  <c:v>46045</c:v>
                </c:pt>
                <c:pt idx="1222">
                  <c:v>46048</c:v>
                </c:pt>
                <c:pt idx="1223">
                  <c:v>46049</c:v>
                </c:pt>
                <c:pt idx="1224">
                  <c:v>46050</c:v>
                </c:pt>
                <c:pt idx="1225">
                  <c:v>46051</c:v>
                </c:pt>
                <c:pt idx="1226">
                  <c:v>46052</c:v>
                </c:pt>
                <c:pt idx="1227">
                  <c:v>46055</c:v>
                </c:pt>
                <c:pt idx="1228">
                  <c:v>46056</c:v>
                </c:pt>
                <c:pt idx="1229">
                  <c:v>46057</c:v>
                </c:pt>
                <c:pt idx="1230">
                  <c:v>46058</c:v>
                </c:pt>
                <c:pt idx="1231">
                  <c:v>46059</c:v>
                </c:pt>
                <c:pt idx="1232">
                  <c:v>46062</c:v>
                </c:pt>
                <c:pt idx="1233">
                  <c:v>46063</c:v>
                </c:pt>
                <c:pt idx="1234">
                  <c:v>46064</c:v>
                </c:pt>
                <c:pt idx="1235">
                  <c:v>46065</c:v>
                </c:pt>
                <c:pt idx="1236">
                  <c:v>46066</c:v>
                </c:pt>
                <c:pt idx="1237">
                  <c:v>46076</c:v>
                </c:pt>
                <c:pt idx="1238">
                  <c:v>46077</c:v>
                </c:pt>
                <c:pt idx="1239">
                  <c:v>46078</c:v>
                </c:pt>
                <c:pt idx="1240">
                  <c:v>46079</c:v>
                </c:pt>
                <c:pt idx="1241">
                  <c:v>46080</c:v>
                </c:pt>
                <c:pt idx="1242">
                  <c:v>46083</c:v>
                </c:pt>
                <c:pt idx="1243">
                  <c:v>46084</c:v>
                </c:pt>
                <c:pt idx="1244">
                  <c:v>46085</c:v>
                </c:pt>
                <c:pt idx="1245">
                  <c:v>46086</c:v>
                </c:pt>
                <c:pt idx="1246">
                  <c:v>46087</c:v>
                </c:pt>
              </c:numCache>
            </c:numRef>
          </c:cat>
          <c:val>
            <c:numRef>
              <c:f>'FX Data'!$G$957:$G$2203</c:f>
              <c:numCache>
                <c:formatCode>0.0</c:formatCode>
                <c:ptCount val="1247"/>
                <c:pt idx="0">
                  <c:v>27.569559842869719</c:v>
                </c:pt>
                <c:pt idx="1">
                  <c:v>27.569559842869719</c:v>
                </c:pt>
                <c:pt idx="2">
                  <c:v>27.569559842869719</c:v>
                </c:pt>
                <c:pt idx="3">
                  <c:v>27.569559842869719</c:v>
                </c:pt>
                <c:pt idx="4">
                  <c:v>27.569559842869719</c:v>
                </c:pt>
                <c:pt idx="5">
                  <c:v>27.569559842869719</c:v>
                </c:pt>
                <c:pt idx="6">
                  <c:v>27.569559842869719</c:v>
                </c:pt>
                <c:pt idx="7">
                  <c:v>27.569559842869719</c:v>
                </c:pt>
                <c:pt idx="8">
                  <c:v>27.569559842869719</c:v>
                </c:pt>
                <c:pt idx="9">
                  <c:v>27.569559842869719</c:v>
                </c:pt>
                <c:pt idx="10">
                  <c:v>27.569559842869719</c:v>
                </c:pt>
                <c:pt idx="11">
                  <c:v>27.569559842869719</c:v>
                </c:pt>
                <c:pt idx="12">
                  <c:v>27.569559842869719</c:v>
                </c:pt>
                <c:pt idx="13">
                  <c:v>27.569559842869719</c:v>
                </c:pt>
                <c:pt idx="14">
                  <c:v>27.569559842869719</c:v>
                </c:pt>
                <c:pt idx="15">
                  <c:v>27.569559842869719</c:v>
                </c:pt>
                <c:pt idx="16">
                  <c:v>27.569559842869719</c:v>
                </c:pt>
                <c:pt idx="17">
                  <c:v>27.569559842869719</c:v>
                </c:pt>
                <c:pt idx="18">
                  <c:v>27.569559842869719</c:v>
                </c:pt>
                <c:pt idx="19">
                  <c:v>27.569559842869719</c:v>
                </c:pt>
                <c:pt idx="20">
                  <c:v>27.569559842869719</c:v>
                </c:pt>
                <c:pt idx="21">
                  <c:v>27.569559842869719</c:v>
                </c:pt>
                <c:pt idx="22">
                  <c:v>27.569559842869719</c:v>
                </c:pt>
                <c:pt idx="23">
                  <c:v>27.569559842869719</c:v>
                </c:pt>
                <c:pt idx="24">
                  <c:v>27.569559842869719</c:v>
                </c:pt>
                <c:pt idx="25">
                  <c:v>27.569559842869719</c:v>
                </c:pt>
                <c:pt idx="26">
                  <c:v>27.569559842869719</c:v>
                </c:pt>
                <c:pt idx="27">
                  <c:v>27.569559842869719</c:v>
                </c:pt>
                <c:pt idx="28">
                  <c:v>27.569559842869719</c:v>
                </c:pt>
                <c:pt idx="29">
                  <c:v>27.569559842869719</c:v>
                </c:pt>
                <c:pt idx="30">
                  <c:v>27.569559842869719</c:v>
                </c:pt>
                <c:pt idx="31">
                  <c:v>27.569559842869719</c:v>
                </c:pt>
                <c:pt idx="32">
                  <c:v>27.569559842869719</c:v>
                </c:pt>
                <c:pt idx="33">
                  <c:v>27.569559842869719</c:v>
                </c:pt>
                <c:pt idx="34">
                  <c:v>27.569559842869719</c:v>
                </c:pt>
                <c:pt idx="35">
                  <c:v>27.569559842869719</c:v>
                </c:pt>
                <c:pt idx="36">
                  <c:v>27.569559842869719</c:v>
                </c:pt>
                <c:pt idx="37">
                  <c:v>27.569559842869719</c:v>
                </c:pt>
                <c:pt idx="38">
                  <c:v>27.569559842869719</c:v>
                </c:pt>
                <c:pt idx="39">
                  <c:v>27.569559842869719</c:v>
                </c:pt>
                <c:pt idx="40">
                  <c:v>27.569559842869719</c:v>
                </c:pt>
                <c:pt idx="41">
                  <c:v>27.569559842869719</c:v>
                </c:pt>
                <c:pt idx="42">
                  <c:v>27.569559842869719</c:v>
                </c:pt>
                <c:pt idx="43">
                  <c:v>27.569559842869719</c:v>
                </c:pt>
                <c:pt idx="44">
                  <c:v>27.569559842869719</c:v>
                </c:pt>
                <c:pt idx="45">
                  <c:v>27.569559842869719</c:v>
                </c:pt>
                <c:pt idx="46">
                  <c:v>27.569559842869719</c:v>
                </c:pt>
                <c:pt idx="47">
                  <c:v>27.569559842869719</c:v>
                </c:pt>
                <c:pt idx="48">
                  <c:v>27.569559842869719</c:v>
                </c:pt>
                <c:pt idx="49">
                  <c:v>27.569559842869719</c:v>
                </c:pt>
                <c:pt idx="50">
                  <c:v>27.569559842869719</c:v>
                </c:pt>
                <c:pt idx="51">
                  <c:v>27.569559842869719</c:v>
                </c:pt>
                <c:pt idx="52">
                  <c:v>27.569559842869719</c:v>
                </c:pt>
                <c:pt idx="53">
                  <c:v>27.569559842869719</c:v>
                </c:pt>
                <c:pt idx="54">
                  <c:v>27.569559842869719</c:v>
                </c:pt>
                <c:pt idx="55">
                  <c:v>27.569559842869719</c:v>
                </c:pt>
                <c:pt idx="56">
                  <c:v>27.569559842869719</c:v>
                </c:pt>
                <c:pt idx="57">
                  <c:v>27.569559842869719</c:v>
                </c:pt>
                <c:pt idx="58">
                  <c:v>27.569559842869719</c:v>
                </c:pt>
                <c:pt idx="59">
                  <c:v>27.569559842869719</c:v>
                </c:pt>
                <c:pt idx="60">
                  <c:v>27.569559842869719</c:v>
                </c:pt>
                <c:pt idx="61">
                  <c:v>27.569559842869719</c:v>
                </c:pt>
                <c:pt idx="62">
                  <c:v>27.569559842869719</c:v>
                </c:pt>
                <c:pt idx="63">
                  <c:v>27.569559842869719</c:v>
                </c:pt>
                <c:pt idx="64">
                  <c:v>27.569559842869719</c:v>
                </c:pt>
                <c:pt idx="65">
                  <c:v>27.569559842869719</c:v>
                </c:pt>
                <c:pt idx="66">
                  <c:v>27.569559842869719</c:v>
                </c:pt>
                <c:pt idx="67">
                  <c:v>27.569559842869719</c:v>
                </c:pt>
                <c:pt idx="68">
                  <c:v>27.569559842869719</c:v>
                </c:pt>
                <c:pt idx="69">
                  <c:v>27.569559842869719</c:v>
                </c:pt>
                <c:pt idx="70">
                  <c:v>27.569559842869719</c:v>
                </c:pt>
                <c:pt idx="71">
                  <c:v>27.569559842869719</c:v>
                </c:pt>
                <c:pt idx="72">
                  <c:v>27.569559842869719</c:v>
                </c:pt>
                <c:pt idx="73">
                  <c:v>27.569559842869719</c:v>
                </c:pt>
                <c:pt idx="74">
                  <c:v>27.569559842869719</c:v>
                </c:pt>
                <c:pt idx="75">
                  <c:v>27.569559842869719</c:v>
                </c:pt>
                <c:pt idx="76">
                  <c:v>27.569559842869719</c:v>
                </c:pt>
                <c:pt idx="77">
                  <c:v>27.569559842869719</c:v>
                </c:pt>
                <c:pt idx="78">
                  <c:v>27.569559842869719</c:v>
                </c:pt>
                <c:pt idx="79">
                  <c:v>27.569559842869719</c:v>
                </c:pt>
                <c:pt idx="80">
                  <c:v>27.569559842869719</c:v>
                </c:pt>
                <c:pt idx="81">
                  <c:v>27.569559842869719</c:v>
                </c:pt>
                <c:pt idx="82">
                  <c:v>27.569559842869719</c:v>
                </c:pt>
                <c:pt idx="83">
                  <c:v>27.569559842869719</c:v>
                </c:pt>
                <c:pt idx="84">
                  <c:v>27.569559842869719</c:v>
                </c:pt>
                <c:pt idx="85">
                  <c:v>27.569559842869719</c:v>
                </c:pt>
                <c:pt idx="86">
                  <c:v>27.569559842869719</c:v>
                </c:pt>
                <c:pt idx="87">
                  <c:v>27.569559842869719</c:v>
                </c:pt>
                <c:pt idx="88">
                  <c:v>27.569559842869719</c:v>
                </c:pt>
                <c:pt idx="89">
                  <c:v>27.569559842869719</c:v>
                </c:pt>
                <c:pt idx="90">
                  <c:v>27.569559842869719</c:v>
                </c:pt>
                <c:pt idx="91">
                  <c:v>27.569559842869719</c:v>
                </c:pt>
                <c:pt idx="92">
                  <c:v>27.569559842869719</c:v>
                </c:pt>
                <c:pt idx="93">
                  <c:v>27.569559842869719</c:v>
                </c:pt>
                <c:pt idx="94">
                  <c:v>27.569559842869719</c:v>
                </c:pt>
                <c:pt idx="95">
                  <c:v>27.569559842869719</c:v>
                </c:pt>
                <c:pt idx="96">
                  <c:v>27.569559842869719</c:v>
                </c:pt>
                <c:pt idx="97">
                  <c:v>27.569559842869719</c:v>
                </c:pt>
                <c:pt idx="98">
                  <c:v>27.569559842869719</c:v>
                </c:pt>
                <c:pt idx="99">
                  <c:v>27.569559842869719</c:v>
                </c:pt>
                <c:pt idx="100">
                  <c:v>27.569559842869719</c:v>
                </c:pt>
                <c:pt idx="101">
                  <c:v>27.569559842869719</c:v>
                </c:pt>
                <c:pt idx="102">
                  <c:v>27.569559842869719</c:v>
                </c:pt>
                <c:pt idx="103">
                  <c:v>27.569559842869719</c:v>
                </c:pt>
                <c:pt idx="104">
                  <c:v>27.569559842869719</c:v>
                </c:pt>
                <c:pt idx="105">
                  <c:v>27.569559842869719</c:v>
                </c:pt>
                <c:pt idx="106">
                  <c:v>27.569559842869719</c:v>
                </c:pt>
                <c:pt idx="107">
                  <c:v>27.569559842869719</c:v>
                </c:pt>
                <c:pt idx="108">
                  <c:v>27.569559842869719</c:v>
                </c:pt>
                <c:pt idx="109">
                  <c:v>27.569559842869719</c:v>
                </c:pt>
                <c:pt idx="110">
                  <c:v>27.569559842869719</c:v>
                </c:pt>
                <c:pt idx="111">
                  <c:v>27.569559842869719</c:v>
                </c:pt>
                <c:pt idx="112">
                  <c:v>27.569559842869719</c:v>
                </c:pt>
                <c:pt idx="113">
                  <c:v>27.569559842869719</c:v>
                </c:pt>
                <c:pt idx="114">
                  <c:v>27.569559842869719</c:v>
                </c:pt>
                <c:pt idx="115">
                  <c:v>27.569559842869719</c:v>
                </c:pt>
                <c:pt idx="116">
                  <c:v>27.569559842869719</c:v>
                </c:pt>
                <c:pt idx="117">
                  <c:v>27.569559842869719</c:v>
                </c:pt>
                <c:pt idx="118">
                  <c:v>27.569559842869719</c:v>
                </c:pt>
                <c:pt idx="119">
                  <c:v>27.569559842869719</c:v>
                </c:pt>
                <c:pt idx="120">
                  <c:v>27.569559842869719</c:v>
                </c:pt>
                <c:pt idx="121">
                  <c:v>27.569559842869719</c:v>
                </c:pt>
                <c:pt idx="122">
                  <c:v>27.569559842869719</c:v>
                </c:pt>
                <c:pt idx="123">
                  <c:v>27.569559842869719</c:v>
                </c:pt>
                <c:pt idx="124">
                  <c:v>27.569559842869719</c:v>
                </c:pt>
                <c:pt idx="125">
                  <c:v>27.569559842869719</c:v>
                </c:pt>
                <c:pt idx="126">
                  <c:v>27.569559842869719</c:v>
                </c:pt>
                <c:pt idx="127">
                  <c:v>27.569559842869719</c:v>
                </c:pt>
                <c:pt idx="128">
                  <c:v>27.569559842869719</c:v>
                </c:pt>
                <c:pt idx="129">
                  <c:v>27.569559842869719</c:v>
                </c:pt>
                <c:pt idx="130">
                  <c:v>27.569559842869719</c:v>
                </c:pt>
                <c:pt idx="131">
                  <c:v>27.569559842869719</c:v>
                </c:pt>
                <c:pt idx="132">
                  <c:v>27.569559842869719</c:v>
                </c:pt>
                <c:pt idx="133">
                  <c:v>27.569559842869719</c:v>
                </c:pt>
                <c:pt idx="134">
                  <c:v>27.569559842869719</c:v>
                </c:pt>
                <c:pt idx="135">
                  <c:v>27.569559842869719</c:v>
                </c:pt>
                <c:pt idx="136">
                  <c:v>27.569559842869719</c:v>
                </c:pt>
                <c:pt idx="137">
                  <c:v>27.569559842869719</c:v>
                </c:pt>
                <c:pt idx="138">
                  <c:v>27.569559842869719</c:v>
                </c:pt>
                <c:pt idx="139">
                  <c:v>27.569559842869719</c:v>
                </c:pt>
                <c:pt idx="140">
                  <c:v>27.569559842869719</c:v>
                </c:pt>
                <c:pt idx="141">
                  <c:v>27.569559842869719</c:v>
                </c:pt>
                <c:pt idx="142">
                  <c:v>27.569559842869719</c:v>
                </c:pt>
                <c:pt idx="143">
                  <c:v>27.569559842869719</c:v>
                </c:pt>
                <c:pt idx="144">
                  <c:v>27.569559842869719</c:v>
                </c:pt>
                <c:pt idx="145">
                  <c:v>27.569559842869719</c:v>
                </c:pt>
                <c:pt idx="146">
                  <c:v>27.569559842869719</c:v>
                </c:pt>
                <c:pt idx="147">
                  <c:v>27.569559842869719</c:v>
                </c:pt>
                <c:pt idx="148">
                  <c:v>27.569559842869719</c:v>
                </c:pt>
                <c:pt idx="149">
                  <c:v>27.569559842869719</c:v>
                </c:pt>
                <c:pt idx="150">
                  <c:v>27.569559842869719</c:v>
                </c:pt>
                <c:pt idx="151">
                  <c:v>27.569559842869719</c:v>
                </c:pt>
                <c:pt idx="152">
                  <c:v>27.569559842869719</c:v>
                </c:pt>
                <c:pt idx="153">
                  <c:v>27.569559842869719</c:v>
                </c:pt>
                <c:pt idx="154">
                  <c:v>27.569559842869719</c:v>
                </c:pt>
                <c:pt idx="155">
                  <c:v>27.569559842869719</c:v>
                </c:pt>
                <c:pt idx="156">
                  <c:v>27.569559842869719</c:v>
                </c:pt>
                <c:pt idx="157">
                  <c:v>27.569559842869719</c:v>
                </c:pt>
                <c:pt idx="158">
                  <c:v>27.569559842869719</c:v>
                </c:pt>
                <c:pt idx="159">
                  <c:v>27.569559842869719</c:v>
                </c:pt>
                <c:pt idx="160">
                  <c:v>27.569559842869719</c:v>
                </c:pt>
                <c:pt idx="161">
                  <c:v>27.569559842869719</c:v>
                </c:pt>
                <c:pt idx="162">
                  <c:v>27.569559842869719</c:v>
                </c:pt>
                <c:pt idx="163">
                  <c:v>27.569559842869719</c:v>
                </c:pt>
                <c:pt idx="164">
                  <c:v>27.569559842869719</c:v>
                </c:pt>
                <c:pt idx="165">
                  <c:v>27.569559842869719</c:v>
                </c:pt>
                <c:pt idx="166">
                  <c:v>27.569559842869719</c:v>
                </c:pt>
                <c:pt idx="167">
                  <c:v>27.569559842869719</c:v>
                </c:pt>
                <c:pt idx="168">
                  <c:v>27.569559842869719</c:v>
                </c:pt>
                <c:pt idx="169">
                  <c:v>27.569559842869719</c:v>
                </c:pt>
                <c:pt idx="170">
                  <c:v>27.569559842869719</c:v>
                </c:pt>
                <c:pt idx="171">
                  <c:v>27.569559842869719</c:v>
                </c:pt>
                <c:pt idx="172">
                  <c:v>27.569559842869719</c:v>
                </c:pt>
                <c:pt idx="173">
                  <c:v>27.569559842869719</c:v>
                </c:pt>
                <c:pt idx="174">
                  <c:v>27.569559842869719</c:v>
                </c:pt>
                <c:pt idx="175">
                  <c:v>27.569559842869719</c:v>
                </c:pt>
                <c:pt idx="176">
                  <c:v>27.569559842869719</c:v>
                </c:pt>
                <c:pt idx="177">
                  <c:v>27.569559842869719</c:v>
                </c:pt>
                <c:pt idx="178">
                  <c:v>27.569559842869719</c:v>
                </c:pt>
                <c:pt idx="179">
                  <c:v>27.569559842869719</c:v>
                </c:pt>
                <c:pt idx="180">
                  <c:v>27.569559842869719</c:v>
                </c:pt>
                <c:pt idx="181">
                  <c:v>27.569559842869719</c:v>
                </c:pt>
                <c:pt idx="182">
                  <c:v>27.569559842869719</c:v>
                </c:pt>
                <c:pt idx="183">
                  <c:v>27.569559842869719</c:v>
                </c:pt>
                <c:pt idx="184">
                  <c:v>27.569559842869719</c:v>
                </c:pt>
                <c:pt idx="185">
                  <c:v>27.569559842869719</c:v>
                </c:pt>
                <c:pt idx="186">
                  <c:v>27.569559842869719</c:v>
                </c:pt>
                <c:pt idx="187">
                  <c:v>27.569559842869719</c:v>
                </c:pt>
                <c:pt idx="188">
                  <c:v>27.569559842869719</c:v>
                </c:pt>
                <c:pt idx="189">
                  <c:v>27.569559842869719</c:v>
                </c:pt>
                <c:pt idx="190">
                  <c:v>27.569559842869719</c:v>
                </c:pt>
                <c:pt idx="191">
                  <c:v>27.569559842869719</c:v>
                </c:pt>
                <c:pt idx="192">
                  <c:v>27.569559842869719</c:v>
                </c:pt>
                <c:pt idx="193">
                  <c:v>27.569559842869719</c:v>
                </c:pt>
                <c:pt idx="194">
                  <c:v>27.569559842869719</c:v>
                </c:pt>
                <c:pt idx="195">
                  <c:v>27.569559842869719</c:v>
                </c:pt>
                <c:pt idx="196">
                  <c:v>27.569559842869719</c:v>
                </c:pt>
                <c:pt idx="197">
                  <c:v>27.569559842869719</c:v>
                </c:pt>
                <c:pt idx="198">
                  <c:v>27.569559842869719</c:v>
                </c:pt>
                <c:pt idx="199">
                  <c:v>27.569559842869719</c:v>
                </c:pt>
                <c:pt idx="200">
                  <c:v>27.569559842869719</c:v>
                </c:pt>
                <c:pt idx="201">
                  <c:v>27.569559842869719</c:v>
                </c:pt>
                <c:pt idx="202">
                  <c:v>27.569559842869719</c:v>
                </c:pt>
                <c:pt idx="203">
                  <c:v>27.569559842869719</c:v>
                </c:pt>
                <c:pt idx="204">
                  <c:v>27.569559842869719</c:v>
                </c:pt>
                <c:pt idx="205">
                  <c:v>27.569559842869719</c:v>
                </c:pt>
                <c:pt idx="206">
                  <c:v>27.569559842869719</c:v>
                </c:pt>
                <c:pt idx="207">
                  <c:v>27.569559842869719</c:v>
                </c:pt>
                <c:pt idx="208">
                  <c:v>27.569559842869719</c:v>
                </c:pt>
                <c:pt idx="209">
                  <c:v>27.569559842869719</c:v>
                </c:pt>
                <c:pt idx="210">
                  <c:v>27.569559842869719</c:v>
                </c:pt>
                <c:pt idx="211">
                  <c:v>27.569559842869719</c:v>
                </c:pt>
                <c:pt idx="212">
                  <c:v>27.569559842869719</c:v>
                </c:pt>
                <c:pt idx="213">
                  <c:v>27.569559842869719</c:v>
                </c:pt>
                <c:pt idx="214">
                  <c:v>27.569559842869719</c:v>
                </c:pt>
                <c:pt idx="215">
                  <c:v>27.569559842869719</c:v>
                </c:pt>
                <c:pt idx="216">
                  <c:v>27.569559842869719</c:v>
                </c:pt>
                <c:pt idx="217">
                  <c:v>27.569559842869719</c:v>
                </c:pt>
                <c:pt idx="218">
                  <c:v>27.569559842869719</c:v>
                </c:pt>
                <c:pt idx="219">
                  <c:v>27.569559842869719</c:v>
                </c:pt>
                <c:pt idx="220">
                  <c:v>27.569559842869719</c:v>
                </c:pt>
                <c:pt idx="221">
                  <c:v>27.569559842869719</c:v>
                </c:pt>
                <c:pt idx="222">
                  <c:v>27.569559842869719</c:v>
                </c:pt>
                <c:pt idx="223">
                  <c:v>27.569559842869719</c:v>
                </c:pt>
                <c:pt idx="224">
                  <c:v>27.569559842869719</c:v>
                </c:pt>
                <c:pt idx="225">
                  <c:v>27.569559842869719</c:v>
                </c:pt>
                <c:pt idx="226">
                  <c:v>27.569559842869719</c:v>
                </c:pt>
                <c:pt idx="227">
                  <c:v>27.569559842869719</c:v>
                </c:pt>
                <c:pt idx="228">
                  <c:v>27.569559842869719</c:v>
                </c:pt>
                <c:pt idx="229">
                  <c:v>27.569559842869719</c:v>
                </c:pt>
                <c:pt idx="230">
                  <c:v>27.569559842869719</c:v>
                </c:pt>
                <c:pt idx="231">
                  <c:v>27.569559842869719</c:v>
                </c:pt>
                <c:pt idx="232">
                  <c:v>27.569559842869719</c:v>
                </c:pt>
                <c:pt idx="233">
                  <c:v>27.569559842869719</c:v>
                </c:pt>
                <c:pt idx="234">
                  <c:v>27.569559842869719</c:v>
                </c:pt>
                <c:pt idx="235">
                  <c:v>27.569559842869719</c:v>
                </c:pt>
                <c:pt idx="236">
                  <c:v>27.569559842869719</c:v>
                </c:pt>
                <c:pt idx="237">
                  <c:v>27.569559842869719</c:v>
                </c:pt>
                <c:pt idx="238">
                  <c:v>27.569559842869719</c:v>
                </c:pt>
                <c:pt idx="239">
                  <c:v>27.569559842869719</c:v>
                </c:pt>
                <c:pt idx="240">
                  <c:v>27.569559842869719</c:v>
                </c:pt>
                <c:pt idx="241">
                  <c:v>27.569559842869719</c:v>
                </c:pt>
                <c:pt idx="242">
                  <c:v>27.569559842869719</c:v>
                </c:pt>
                <c:pt idx="243">
                  <c:v>27.569559842869719</c:v>
                </c:pt>
                <c:pt idx="244">
                  <c:v>27.569559842869719</c:v>
                </c:pt>
                <c:pt idx="245">
                  <c:v>27.569559842869719</c:v>
                </c:pt>
                <c:pt idx="246">
                  <c:v>27.569559842869719</c:v>
                </c:pt>
                <c:pt idx="247">
                  <c:v>27.569559842869719</c:v>
                </c:pt>
                <c:pt idx="248">
                  <c:v>27.569559842869719</c:v>
                </c:pt>
                <c:pt idx="249">
                  <c:v>27.569559842869719</c:v>
                </c:pt>
                <c:pt idx="250">
                  <c:v>27.569559842869719</c:v>
                </c:pt>
                <c:pt idx="251">
                  <c:v>27.569559842869719</c:v>
                </c:pt>
                <c:pt idx="252">
                  <c:v>27.569559842869719</c:v>
                </c:pt>
                <c:pt idx="253">
                  <c:v>27.569559842869719</c:v>
                </c:pt>
                <c:pt idx="254">
                  <c:v>27.569559842869719</c:v>
                </c:pt>
                <c:pt idx="255">
                  <c:v>27.569559842869719</c:v>
                </c:pt>
                <c:pt idx="256">
                  <c:v>27.569559842869719</c:v>
                </c:pt>
                <c:pt idx="257">
                  <c:v>27.569559842869719</c:v>
                </c:pt>
                <c:pt idx="258">
                  <c:v>27.569559842869719</c:v>
                </c:pt>
                <c:pt idx="259">
                  <c:v>27.569559842869719</c:v>
                </c:pt>
                <c:pt idx="260">
                  <c:v>27.569559842869719</c:v>
                </c:pt>
                <c:pt idx="261">
                  <c:v>27.569559842869719</c:v>
                </c:pt>
                <c:pt idx="262">
                  <c:v>27.569559842869719</c:v>
                </c:pt>
                <c:pt idx="263">
                  <c:v>27.569559842869719</c:v>
                </c:pt>
                <c:pt idx="264">
                  <c:v>27.569559842869719</c:v>
                </c:pt>
                <c:pt idx="265">
                  <c:v>27.569559842869719</c:v>
                </c:pt>
                <c:pt idx="266">
                  <c:v>27.569559842869719</c:v>
                </c:pt>
                <c:pt idx="267">
                  <c:v>27.569559842869719</c:v>
                </c:pt>
                <c:pt idx="268">
                  <c:v>27.569559842869719</c:v>
                </c:pt>
                <c:pt idx="269">
                  <c:v>27.569559842869719</c:v>
                </c:pt>
                <c:pt idx="270">
                  <c:v>27.569559842869719</c:v>
                </c:pt>
                <c:pt idx="271">
                  <c:v>27.569559842869719</c:v>
                </c:pt>
                <c:pt idx="272">
                  <c:v>27.569559842869719</c:v>
                </c:pt>
                <c:pt idx="273">
                  <c:v>27.569559842869719</c:v>
                </c:pt>
                <c:pt idx="274">
                  <c:v>27.569559842869719</c:v>
                </c:pt>
                <c:pt idx="275">
                  <c:v>27.569559842869719</c:v>
                </c:pt>
                <c:pt idx="276">
                  <c:v>27.569559842869719</c:v>
                </c:pt>
                <c:pt idx="277">
                  <c:v>27.569559842869719</c:v>
                </c:pt>
                <c:pt idx="278">
                  <c:v>27.569559842869719</c:v>
                </c:pt>
                <c:pt idx="279">
                  <c:v>27.569559842869719</c:v>
                </c:pt>
                <c:pt idx="280">
                  <c:v>27.569559842869719</c:v>
                </c:pt>
                <c:pt idx="281">
                  <c:v>27.569559842869719</c:v>
                </c:pt>
                <c:pt idx="282">
                  <c:v>27.569559842869719</c:v>
                </c:pt>
                <c:pt idx="283">
                  <c:v>27.569559842869719</c:v>
                </c:pt>
                <c:pt idx="284">
                  <c:v>27.569559842869719</c:v>
                </c:pt>
                <c:pt idx="285">
                  <c:v>27.569559842869719</c:v>
                </c:pt>
                <c:pt idx="286">
                  <c:v>27.569559842869719</c:v>
                </c:pt>
                <c:pt idx="287">
                  <c:v>27.569559842869719</c:v>
                </c:pt>
                <c:pt idx="288">
                  <c:v>27.569559842869719</c:v>
                </c:pt>
                <c:pt idx="289">
                  <c:v>27.569559842869719</c:v>
                </c:pt>
                <c:pt idx="290">
                  <c:v>27.569559842869719</c:v>
                </c:pt>
                <c:pt idx="291">
                  <c:v>27.569559842869719</c:v>
                </c:pt>
                <c:pt idx="292">
                  <c:v>27.569559842869719</c:v>
                </c:pt>
                <c:pt idx="293">
                  <c:v>27.569559842869719</c:v>
                </c:pt>
                <c:pt idx="294">
                  <c:v>27.569559842869719</c:v>
                </c:pt>
                <c:pt idx="295">
                  <c:v>27.569559842869719</c:v>
                </c:pt>
                <c:pt idx="296">
                  <c:v>27.569559842869719</c:v>
                </c:pt>
                <c:pt idx="297">
                  <c:v>27.569559842869719</c:v>
                </c:pt>
                <c:pt idx="298">
                  <c:v>27.569559842869719</c:v>
                </c:pt>
                <c:pt idx="299">
                  <c:v>27.569559842869719</c:v>
                </c:pt>
                <c:pt idx="300">
                  <c:v>27.569559842869719</c:v>
                </c:pt>
                <c:pt idx="301">
                  <c:v>27.569559842869719</c:v>
                </c:pt>
                <c:pt idx="302">
                  <c:v>27.569559842869719</c:v>
                </c:pt>
                <c:pt idx="303">
                  <c:v>27.569559842869719</c:v>
                </c:pt>
                <c:pt idx="304">
                  <c:v>27.569559842869719</c:v>
                </c:pt>
                <c:pt idx="305">
                  <c:v>27.569559842869719</c:v>
                </c:pt>
                <c:pt idx="306">
                  <c:v>27.569559842869719</c:v>
                </c:pt>
                <c:pt idx="307">
                  <c:v>27.569559842869719</c:v>
                </c:pt>
                <c:pt idx="308">
                  <c:v>27.569559842869719</c:v>
                </c:pt>
                <c:pt idx="309">
                  <c:v>27.569559842869719</c:v>
                </c:pt>
                <c:pt idx="310">
                  <c:v>27.569559842869719</c:v>
                </c:pt>
                <c:pt idx="311">
                  <c:v>27.569559842869719</c:v>
                </c:pt>
                <c:pt idx="312">
                  <c:v>27.569559842869719</c:v>
                </c:pt>
                <c:pt idx="313">
                  <c:v>27.569559842869719</c:v>
                </c:pt>
                <c:pt idx="314">
                  <c:v>27.569559842869719</c:v>
                </c:pt>
                <c:pt idx="315">
                  <c:v>27.569559842869719</c:v>
                </c:pt>
                <c:pt idx="316">
                  <c:v>27.569559842869719</c:v>
                </c:pt>
                <c:pt idx="317">
                  <c:v>27.569559842869719</c:v>
                </c:pt>
                <c:pt idx="318">
                  <c:v>27.569559842869719</c:v>
                </c:pt>
                <c:pt idx="319">
                  <c:v>27.569559842869719</c:v>
                </c:pt>
                <c:pt idx="320">
                  <c:v>27.569559842869719</c:v>
                </c:pt>
                <c:pt idx="321">
                  <c:v>27.569559842869719</c:v>
                </c:pt>
                <c:pt idx="322">
                  <c:v>27.569559842869719</c:v>
                </c:pt>
                <c:pt idx="323">
                  <c:v>27.569559842869719</c:v>
                </c:pt>
                <c:pt idx="324">
                  <c:v>27.569559842869719</c:v>
                </c:pt>
                <c:pt idx="325">
                  <c:v>27.569559842869719</c:v>
                </c:pt>
                <c:pt idx="326">
                  <c:v>27.569559842869719</c:v>
                </c:pt>
                <c:pt idx="327">
                  <c:v>27.569559842869719</c:v>
                </c:pt>
                <c:pt idx="328">
                  <c:v>27.569559842869719</c:v>
                </c:pt>
                <c:pt idx="329">
                  <c:v>27.569559842869719</c:v>
                </c:pt>
                <c:pt idx="330">
                  <c:v>27.569559842869719</c:v>
                </c:pt>
                <c:pt idx="331">
                  <c:v>27.569559842869719</c:v>
                </c:pt>
                <c:pt idx="332">
                  <c:v>27.569559842869719</c:v>
                </c:pt>
                <c:pt idx="333">
                  <c:v>27.569559842869719</c:v>
                </c:pt>
                <c:pt idx="334">
                  <c:v>27.569559842869719</c:v>
                </c:pt>
                <c:pt idx="335">
                  <c:v>27.569559842869719</c:v>
                </c:pt>
                <c:pt idx="336">
                  <c:v>27.569559842869719</c:v>
                </c:pt>
                <c:pt idx="337">
                  <c:v>27.569559842869719</c:v>
                </c:pt>
                <c:pt idx="338">
                  <c:v>27.569559842869719</c:v>
                </c:pt>
                <c:pt idx="339">
                  <c:v>27.569559842869719</c:v>
                </c:pt>
                <c:pt idx="340">
                  <c:v>27.569559842869719</c:v>
                </c:pt>
                <c:pt idx="341">
                  <c:v>27.569559842869719</c:v>
                </c:pt>
                <c:pt idx="342">
                  <c:v>27.569559842869719</c:v>
                </c:pt>
                <c:pt idx="343">
                  <c:v>27.569559842869719</c:v>
                </c:pt>
                <c:pt idx="344">
                  <c:v>27.569559842869719</c:v>
                </c:pt>
                <c:pt idx="345">
                  <c:v>27.569559842869719</c:v>
                </c:pt>
                <c:pt idx="346">
                  <c:v>27.569559842869719</c:v>
                </c:pt>
                <c:pt idx="347">
                  <c:v>27.569559842869719</c:v>
                </c:pt>
                <c:pt idx="348">
                  <c:v>27.569559842869719</c:v>
                </c:pt>
                <c:pt idx="349">
                  <c:v>27.569559842869719</c:v>
                </c:pt>
                <c:pt idx="350">
                  <c:v>27.569559842869719</c:v>
                </c:pt>
                <c:pt idx="351">
                  <c:v>27.569559842869719</c:v>
                </c:pt>
                <c:pt idx="352">
                  <c:v>27.569559842869719</c:v>
                </c:pt>
                <c:pt idx="353">
                  <c:v>27.569559842869719</c:v>
                </c:pt>
                <c:pt idx="354">
                  <c:v>27.569559842869719</c:v>
                </c:pt>
                <c:pt idx="355">
                  <c:v>27.569559842869719</c:v>
                </c:pt>
                <c:pt idx="356">
                  <c:v>27.569559842869719</c:v>
                </c:pt>
                <c:pt idx="357">
                  <c:v>27.569559842869719</c:v>
                </c:pt>
                <c:pt idx="358">
                  <c:v>27.569559842869719</c:v>
                </c:pt>
                <c:pt idx="359">
                  <c:v>27.569559842869719</c:v>
                </c:pt>
                <c:pt idx="360">
                  <c:v>27.569559842869719</c:v>
                </c:pt>
                <c:pt idx="361">
                  <c:v>27.569559842869719</c:v>
                </c:pt>
                <c:pt idx="362">
                  <c:v>27.569559842869719</c:v>
                </c:pt>
                <c:pt idx="363">
                  <c:v>27.569559842869719</c:v>
                </c:pt>
                <c:pt idx="364">
                  <c:v>27.569559842869719</c:v>
                </c:pt>
                <c:pt idx="365">
                  <c:v>27.569559842869719</c:v>
                </c:pt>
                <c:pt idx="366">
                  <c:v>27.569559842869719</c:v>
                </c:pt>
                <c:pt idx="367">
                  <c:v>27.569559842869719</c:v>
                </c:pt>
                <c:pt idx="368">
                  <c:v>27.569559842869719</c:v>
                </c:pt>
                <c:pt idx="369">
                  <c:v>27.569559842869719</c:v>
                </c:pt>
                <c:pt idx="370">
                  <c:v>27.569559842869719</c:v>
                </c:pt>
                <c:pt idx="371">
                  <c:v>27.569559842869719</c:v>
                </c:pt>
                <c:pt idx="372">
                  <c:v>27.569559842869719</c:v>
                </c:pt>
                <c:pt idx="373">
                  <c:v>27.569559842869719</c:v>
                </c:pt>
                <c:pt idx="374">
                  <c:v>27.569559842869719</c:v>
                </c:pt>
                <c:pt idx="375">
                  <c:v>27.569559842869719</c:v>
                </c:pt>
                <c:pt idx="376">
                  <c:v>27.569559842869719</c:v>
                </c:pt>
                <c:pt idx="377">
                  <c:v>27.569559842869719</c:v>
                </c:pt>
                <c:pt idx="378">
                  <c:v>27.569559842869719</c:v>
                </c:pt>
                <c:pt idx="379">
                  <c:v>27.569559842869719</c:v>
                </c:pt>
                <c:pt idx="380">
                  <c:v>27.569559842869719</c:v>
                </c:pt>
                <c:pt idx="381">
                  <c:v>27.569559842869719</c:v>
                </c:pt>
                <c:pt idx="382">
                  <c:v>27.569559842869719</c:v>
                </c:pt>
                <c:pt idx="383">
                  <c:v>27.569559842869719</c:v>
                </c:pt>
                <c:pt idx="384">
                  <c:v>27.569559842869719</c:v>
                </c:pt>
                <c:pt idx="385">
                  <c:v>27.569559842869719</c:v>
                </c:pt>
                <c:pt idx="386">
                  <c:v>27.569559842869719</c:v>
                </c:pt>
                <c:pt idx="387">
                  <c:v>27.569559842869719</c:v>
                </c:pt>
                <c:pt idx="388">
                  <c:v>27.569559842869719</c:v>
                </c:pt>
                <c:pt idx="389">
                  <c:v>27.569559842869719</c:v>
                </c:pt>
                <c:pt idx="390">
                  <c:v>27.569559842869719</c:v>
                </c:pt>
                <c:pt idx="391">
                  <c:v>27.569559842869719</c:v>
                </c:pt>
                <c:pt idx="392">
                  <c:v>27.569559842869719</c:v>
                </c:pt>
                <c:pt idx="393">
                  <c:v>27.569559842869719</c:v>
                </c:pt>
                <c:pt idx="394">
                  <c:v>27.569559842869719</c:v>
                </c:pt>
                <c:pt idx="395">
                  <c:v>27.569559842869719</c:v>
                </c:pt>
                <c:pt idx="396">
                  <c:v>27.569559842869719</c:v>
                </c:pt>
                <c:pt idx="397">
                  <c:v>27.569559842869719</c:v>
                </c:pt>
                <c:pt idx="398">
                  <c:v>27.569559842869719</c:v>
                </c:pt>
                <c:pt idx="399">
                  <c:v>27.569559842869719</c:v>
                </c:pt>
                <c:pt idx="400">
                  <c:v>27.569559842869719</c:v>
                </c:pt>
                <c:pt idx="401">
                  <c:v>27.569559842869719</c:v>
                </c:pt>
                <c:pt idx="402">
                  <c:v>27.569559842869719</c:v>
                </c:pt>
                <c:pt idx="403">
                  <c:v>27.569559842869719</c:v>
                </c:pt>
                <c:pt idx="404">
                  <c:v>27.569559842869719</c:v>
                </c:pt>
                <c:pt idx="405">
                  <c:v>27.569559842869719</c:v>
                </c:pt>
                <c:pt idx="406">
                  <c:v>27.569559842869719</c:v>
                </c:pt>
                <c:pt idx="407">
                  <c:v>27.569559842869719</c:v>
                </c:pt>
                <c:pt idx="408">
                  <c:v>27.569559842869719</c:v>
                </c:pt>
                <c:pt idx="409">
                  <c:v>27.569559842869719</c:v>
                </c:pt>
                <c:pt idx="410">
                  <c:v>27.569559842869719</c:v>
                </c:pt>
                <c:pt idx="411">
                  <c:v>27.569559842869719</c:v>
                </c:pt>
                <c:pt idx="412">
                  <c:v>27.569559842869719</c:v>
                </c:pt>
                <c:pt idx="413">
                  <c:v>27.569559842869719</c:v>
                </c:pt>
                <c:pt idx="414">
                  <c:v>27.569559842869719</c:v>
                </c:pt>
                <c:pt idx="415">
                  <c:v>27.569559842869719</c:v>
                </c:pt>
                <c:pt idx="416">
                  <c:v>27.569559842869719</c:v>
                </c:pt>
                <c:pt idx="417">
                  <c:v>27.569559842869719</c:v>
                </c:pt>
                <c:pt idx="418">
                  <c:v>27.569559842869719</c:v>
                </c:pt>
                <c:pt idx="419">
                  <c:v>27.569559842869719</c:v>
                </c:pt>
                <c:pt idx="420">
                  <c:v>27.569559842869719</c:v>
                </c:pt>
                <c:pt idx="421">
                  <c:v>27.569559842869719</c:v>
                </c:pt>
                <c:pt idx="422">
                  <c:v>27.569559842869719</c:v>
                </c:pt>
                <c:pt idx="423">
                  <c:v>27.569559842869719</c:v>
                </c:pt>
                <c:pt idx="424">
                  <c:v>27.569559842869719</c:v>
                </c:pt>
                <c:pt idx="425">
                  <c:v>27.569559842869719</c:v>
                </c:pt>
                <c:pt idx="426">
                  <c:v>27.569559842869719</c:v>
                </c:pt>
                <c:pt idx="427">
                  <c:v>27.569559842869719</c:v>
                </c:pt>
                <c:pt idx="428">
                  <c:v>27.569559842869719</c:v>
                </c:pt>
                <c:pt idx="429">
                  <c:v>27.569559842869719</c:v>
                </c:pt>
                <c:pt idx="430">
                  <c:v>27.569559842869719</c:v>
                </c:pt>
                <c:pt idx="431">
                  <c:v>27.569559842869719</c:v>
                </c:pt>
                <c:pt idx="432">
                  <c:v>27.569559842869719</c:v>
                </c:pt>
                <c:pt idx="433">
                  <c:v>27.569559842869719</c:v>
                </c:pt>
                <c:pt idx="434">
                  <c:v>27.569559842869719</c:v>
                </c:pt>
                <c:pt idx="435">
                  <c:v>27.569559842869719</c:v>
                </c:pt>
                <c:pt idx="436">
                  <c:v>27.569559842869719</c:v>
                </c:pt>
                <c:pt idx="437">
                  <c:v>27.569559842869719</c:v>
                </c:pt>
                <c:pt idx="438">
                  <c:v>27.569559842869719</c:v>
                </c:pt>
                <c:pt idx="439">
                  <c:v>27.569559842869719</c:v>
                </c:pt>
                <c:pt idx="440">
                  <c:v>27.569559842869719</c:v>
                </c:pt>
                <c:pt idx="441">
                  <c:v>27.569559842869719</c:v>
                </c:pt>
                <c:pt idx="442">
                  <c:v>27.569559842869719</c:v>
                </c:pt>
                <c:pt idx="443">
                  <c:v>27.569559842869719</c:v>
                </c:pt>
                <c:pt idx="444">
                  <c:v>27.569559842869719</c:v>
                </c:pt>
                <c:pt idx="445">
                  <c:v>27.569559842869719</c:v>
                </c:pt>
                <c:pt idx="446">
                  <c:v>27.569559842869719</c:v>
                </c:pt>
                <c:pt idx="447">
                  <c:v>27.569559842869719</c:v>
                </c:pt>
                <c:pt idx="448">
                  <c:v>27.569559842869719</c:v>
                </c:pt>
                <c:pt idx="449">
                  <c:v>27.569559842869719</c:v>
                </c:pt>
                <c:pt idx="450">
                  <c:v>27.569559842869719</c:v>
                </c:pt>
                <c:pt idx="451">
                  <c:v>27.569559842869719</c:v>
                </c:pt>
                <c:pt idx="452">
                  <c:v>27.569559842869719</c:v>
                </c:pt>
                <c:pt idx="453">
                  <c:v>27.569559842869719</c:v>
                </c:pt>
                <c:pt idx="454">
                  <c:v>27.569559842869719</c:v>
                </c:pt>
                <c:pt idx="455">
                  <c:v>27.569559842869719</c:v>
                </c:pt>
                <c:pt idx="456">
                  <c:v>27.569559842869719</c:v>
                </c:pt>
                <c:pt idx="457">
                  <c:v>27.569559842869719</c:v>
                </c:pt>
                <c:pt idx="458">
                  <c:v>27.569559842869719</c:v>
                </c:pt>
                <c:pt idx="459">
                  <c:v>27.569559842869719</c:v>
                </c:pt>
                <c:pt idx="460">
                  <c:v>27.569559842869719</c:v>
                </c:pt>
                <c:pt idx="461">
                  <c:v>27.569559842869719</c:v>
                </c:pt>
                <c:pt idx="462">
                  <c:v>27.569559842869719</c:v>
                </c:pt>
                <c:pt idx="463">
                  <c:v>27.569559842869719</c:v>
                </c:pt>
                <c:pt idx="464">
                  <c:v>27.569559842869719</c:v>
                </c:pt>
                <c:pt idx="465">
                  <c:v>27.569559842869719</c:v>
                </c:pt>
                <c:pt idx="466">
                  <c:v>27.569559842869719</c:v>
                </c:pt>
                <c:pt idx="467">
                  <c:v>27.569559842869719</c:v>
                </c:pt>
                <c:pt idx="468">
                  <c:v>27.569559842869719</c:v>
                </c:pt>
                <c:pt idx="469">
                  <c:v>27.569559842869719</c:v>
                </c:pt>
                <c:pt idx="470">
                  <c:v>27.569559842869719</c:v>
                </c:pt>
                <c:pt idx="471">
                  <c:v>27.569559842869719</c:v>
                </c:pt>
                <c:pt idx="472">
                  <c:v>27.569559842869719</c:v>
                </c:pt>
                <c:pt idx="473">
                  <c:v>27.569559842869719</c:v>
                </c:pt>
                <c:pt idx="474">
                  <c:v>27.569559842869719</c:v>
                </c:pt>
                <c:pt idx="475">
                  <c:v>27.569559842869719</c:v>
                </c:pt>
                <c:pt idx="476">
                  <c:v>27.569559842869719</c:v>
                </c:pt>
                <c:pt idx="477">
                  <c:v>27.569559842869719</c:v>
                </c:pt>
                <c:pt idx="478">
                  <c:v>27.569559842869719</c:v>
                </c:pt>
                <c:pt idx="479">
                  <c:v>27.569559842869719</c:v>
                </c:pt>
                <c:pt idx="480">
                  <c:v>27.569559842869719</c:v>
                </c:pt>
                <c:pt idx="481">
                  <c:v>27.569559842869719</c:v>
                </c:pt>
                <c:pt idx="482">
                  <c:v>27.569559842869719</c:v>
                </c:pt>
                <c:pt idx="483">
                  <c:v>27.569559842869719</c:v>
                </c:pt>
                <c:pt idx="484">
                  <c:v>27.569559842869719</c:v>
                </c:pt>
                <c:pt idx="485">
                  <c:v>27.569559842869719</c:v>
                </c:pt>
                <c:pt idx="486">
                  <c:v>27.569559842869719</c:v>
                </c:pt>
                <c:pt idx="487">
                  <c:v>27.569559842869719</c:v>
                </c:pt>
                <c:pt idx="488">
                  <c:v>27.569559842869719</c:v>
                </c:pt>
                <c:pt idx="489">
                  <c:v>27.569559842869719</c:v>
                </c:pt>
                <c:pt idx="490">
                  <c:v>27.569559842869719</c:v>
                </c:pt>
                <c:pt idx="491">
                  <c:v>27.569559842869719</c:v>
                </c:pt>
                <c:pt idx="492">
                  <c:v>27.569559842869719</c:v>
                </c:pt>
                <c:pt idx="493">
                  <c:v>27.569559842869719</c:v>
                </c:pt>
                <c:pt idx="494">
                  <c:v>27.569559842869719</c:v>
                </c:pt>
                <c:pt idx="495">
                  <c:v>27.569559842869719</c:v>
                </c:pt>
                <c:pt idx="496">
                  <c:v>27.569559842869719</c:v>
                </c:pt>
                <c:pt idx="497">
                  <c:v>27.569559842869719</c:v>
                </c:pt>
                <c:pt idx="498">
                  <c:v>27.569559842869719</c:v>
                </c:pt>
                <c:pt idx="499">
                  <c:v>27.569559842869719</c:v>
                </c:pt>
                <c:pt idx="500">
                  <c:v>27.569559842869719</c:v>
                </c:pt>
                <c:pt idx="501">
                  <c:v>27.569559842869719</c:v>
                </c:pt>
                <c:pt idx="502">
                  <c:v>27.569559842869719</c:v>
                </c:pt>
                <c:pt idx="503">
                  <c:v>27.569559842869719</c:v>
                </c:pt>
                <c:pt idx="504">
                  <c:v>27.569559842869719</c:v>
                </c:pt>
                <c:pt idx="505">
                  <c:v>27.569559842869719</c:v>
                </c:pt>
                <c:pt idx="506">
                  <c:v>27.569559842869719</c:v>
                </c:pt>
                <c:pt idx="507">
                  <c:v>27.569559842869719</c:v>
                </c:pt>
                <c:pt idx="508">
                  <c:v>27.569559842869719</c:v>
                </c:pt>
                <c:pt idx="509">
                  <c:v>27.569559842869719</c:v>
                </c:pt>
                <c:pt idx="510">
                  <c:v>27.569559842869719</c:v>
                </c:pt>
                <c:pt idx="511">
                  <c:v>27.569559842869719</c:v>
                </c:pt>
                <c:pt idx="512">
                  <c:v>27.569559842869719</c:v>
                </c:pt>
                <c:pt idx="513">
                  <c:v>27.569559842869719</c:v>
                </c:pt>
                <c:pt idx="514">
                  <c:v>27.569559842869719</c:v>
                </c:pt>
                <c:pt idx="515">
                  <c:v>27.569559842869719</c:v>
                </c:pt>
                <c:pt idx="516">
                  <c:v>27.569559842869719</c:v>
                </c:pt>
                <c:pt idx="517">
                  <c:v>27.569559842869719</c:v>
                </c:pt>
                <c:pt idx="518">
                  <c:v>27.569559842869719</c:v>
                </c:pt>
                <c:pt idx="519">
                  <c:v>27.569559842869719</c:v>
                </c:pt>
                <c:pt idx="520">
                  <c:v>27.569559842869719</c:v>
                </c:pt>
                <c:pt idx="521">
                  <c:v>27.569559842869719</c:v>
                </c:pt>
                <c:pt idx="522">
                  <c:v>27.569559842869719</c:v>
                </c:pt>
                <c:pt idx="523">
                  <c:v>27.569559842869719</c:v>
                </c:pt>
                <c:pt idx="524">
                  <c:v>27.569559842869719</c:v>
                </c:pt>
                <c:pt idx="525">
                  <c:v>27.569559842869719</c:v>
                </c:pt>
                <c:pt idx="526">
                  <c:v>27.569559842869719</c:v>
                </c:pt>
                <c:pt idx="527">
                  <c:v>27.569559842869719</c:v>
                </c:pt>
                <c:pt idx="528">
                  <c:v>27.569559842869719</c:v>
                </c:pt>
                <c:pt idx="529">
                  <c:v>27.569559842869719</c:v>
                </c:pt>
                <c:pt idx="530">
                  <c:v>27.569559842869719</c:v>
                </c:pt>
                <c:pt idx="531">
                  <c:v>27.569559842869719</c:v>
                </c:pt>
                <c:pt idx="532">
                  <c:v>27.569559842869719</c:v>
                </c:pt>
                <c:pt idx="533">
                  <c:v>27.569559842869719</c:v>
                </c:pt>
                <c:pt idx="534">
                  <c:v>27.569559842869719</c:v>
                </c:pt>
                <c:pt idx="535">
                  <c:v>27.569559842869719</c:v>
                </c:pt>
                <c:pt idx="536">
                  <c:v>27.569559842869719</c:v>
                </c:pt>
                <c:pt idx="537">
                  <c:v>27.569559842869719</c:v>
                </c:pt>
                <c:pt idx="538">
                  <c:v>27.569559842869719</c:v>
                </c:pt>
                <c:pt idx="539">
                  <c:v>27.569559842869719</c:v>
                </c:pt>
                <c:pt idx="540">
                  <c:v>27.569559842869719</c:v>
                </c:pt>
                <c:pt idx="541">
                  <c:v>27.569559842869719</c:v>
                </c:pt>
                <c:pt idx="542">
                  <c:v>27.569559842869719</c:v>
                </c:pt>
                <c:pt idx="543">
                  <c:v>27.569559842869719</c:v>
                </c:pt>
                <c:pt idx="544">
                  <c:v>27.569559842869719</c:v>
                </c:pt>
                <c:pt idx="545">
                  <c:v>27.569559842869719</c:v>
                </c:pt>
                <c:pt idx="546">
                  <c:v>27.569559842869719</c:v>
                </c:pt>
                <c:pt idx="547">
                  <c:v>27.569559842869719</c:v>
                </c:pt>
                <c:pt idx="548">
                  <c:v>27.569559842869719</c:v>
                </c:pt>
                <c:pt idx="549">
                  <c:v>27.569559842869719</c:v>
                </c:pt>
                <c:pt idx="550">
                  <c:v>27.569559842869719</c:v>
                </c:pt>
                <c:pt idx="551">
                  <c:v>27.569559842869719</c:v>
                </c:pt>
                <c:pt idx="552">
                  <c:v>27.569559842869719</c:v>
                </c:pt>
                <c:pt idx="553">
                  <c:v>27.569559842869719</c:v>
                </c:pt>
                <c:pt idx="554">
                  <c:v>27.569559842869719</c:v>
                </c:pt>
                <c:pt idx="555">
                  <c:v>27.569559842869719</c:v>
                </c:pt>
                <c:pt idx="556">
                  <c:v>27.569559842869719</c:v>
                </c:pt>
                <c:pt idx="557">
                  <c:v>27.569559842869719</c:v>
                </c:pt>
                <c:pt idx="558">
                  <c:v>27.569559842869719</c:v>
                </c:pt>
                <c:pt idx="559">
                  <c:v>27.569559842869719</c:v>
                </c:pt>
                <c:pt idx="560">
                  <c:v>27.569559842869719</c:v>
                </c:pt>
                <c:pt idx="561">
                  <c:v>27.569559842869719</c:v>
                </c:pt>
                <c:pt idx="562">
                  <c:v>27.569559842869719</c:v>
                </c:pt>
                <c:pt idx="563">
                  <c:v>27.569559842869719</c:v>
                </c:pt>
                <c:pt idx="564">
                  <c:v>27.569559842869719</c:v>
                </c:pt>
                <c:pt idx="565">
                  <c:v>27.569559842869719</c:v>
                </c:pt>
                <c:pt idx="566">
                  <c:v>27.569559842869719</c:v>
                </c:pt>
                <c:pt idx="567">
                  <c:v>27.569559842869719</c:v>
                </c:pt>
                <c:pt idx="568">
                  <c:v>27.569559842869719</c:v>
                </c:pt>
                <c:pt idx="569">
                  <c:v>27.569559842869719</c:v>
                </c:pt>
                <c:pt idx="570">
                  <c:v>27.569559842869719</c:v>
                </c:pt>
                <c:pt idx="571">
                  <c:v>27.569559842869719</c:v>
                </c:pt>
                <c:pt idx="572">
                  <c:v>27.569559842869719</c:v>
                </c:pt>
                <c:pt idx="573">
                  <c:v>27.569559842869719</c:v>
                </c:pt>
                <c:pt idx="574">
                  <c:v>27.569559842869719</c:v>
                </c:pt>
                <c:pt idx="575">
                  <c:v>27.569559842869719</c:v>
                </c:pt>
                <c:pt idx="576">
                  <c:v>27.569559842869719</c:v>
                </c:pt>
                <c:pt idx="577">
                  <c:v>27.569559842869719</c:v>
                </c:pt>
                <c:pt idx="578">
                  <c:v>27.569559842869719</c:v>
                </c:pt>
                <c:pt idx="579">
                  <c:v>27.569559842869719</c:v>
                </c:pt>
                <c:pt idx="580">
                  <c:v>27.569559842869719</c:v>
                </c:pt>
                <c:pt idx="581">
                  <c:v>27.569559842869719</c:v>
                </c:pt>
                <c:pt idx="582">
                  <c:v>27.569559842869719</c:v>
                </c:pt>
                <c:pt idx="583">
                  <c:v>27.569559842869719</c:v>
                </c:pt>
                <c:pt idx="584">
                  <c:v>27.569559842869719</c:v>
                </c:pt>
                <c:pt idx="585">
                  <c:v>27.569559842869719</c:v>
                </c:pt>
                <c:pt idx="586">
                  <c:v>27.569559842869719</c:v>
                </c:pt>
                <c:pt idx="587">
                  <c:v>27.569559842869719</c:v>
                </c:pt>
                <c:pt idx="588">
                  <c:v>27.569559842869719</c:v>
                </c:pt>
                <c:pt idx="589">
                  <c:v>27.569559842869719</c:v>
                </c:pt>
                <c:pt idx="590">
                  <c:v>27.569559842869719</c:v>
                </c:pt>
                <c:pt idx="591">
                  <c:v>27.569559842869719</c:v>
                </c:pt>
                <c:pt idx="592">
                  <c:v>27.569559842869719</c:v>
                </c:pt>
                <c:pt idx="593">
                  <c:v>27.569559842869719</c:v>
                </c:pt>
                <c:pt idx="594">
                  <c:v>27.569559842869719</c:v>
                </c:pt>
                <c:pt idx="595">
                  <c:v>27.569559842869719</c:v>
                </c:pt>
                <c:pt idx="596">
                  <c:v>27.569559842869719</c:v>
                </c:pt>
                <c:pt idx="597">
                  <c:v>27.569559842869719</c:v>
                </c:pt>
                <c:pt idx="598">
                  <c:v>27.569559842869719</c:v>
                </c:pt>
                <c:pt idx="599">
                  <c:v>27.569559842869719</c:v>
                </c:pt>
                <c:pt idx="600">
                  <c:v>27.569559842869719</c:v>
                </c:pt>
                <c:pt idx="601">
                  <c:v>27.569559842869719</c:v>
                </c:pt>
                <c:pt idx="602">
                  <c:v>27.569559842869719</c:v>
                </c:pt>
                <c:pt idx="603">
                  <c:v>27.569559842869719</c:v>
                </c:pt>
                <c:pt idx="604">
                  <c:v>27.569559842869719</c:v>
                </c:pt>
                <c:pt idx="605">
                  <c:v>27.569559842869719</c:v>
                </c:pt>
                <c:pt idx="606">
                  <c:v>27.569559842869719</c:v>
                </c:pt>
                <c:pt idx="607">
                  <c:v>27.569559842869719</c:v>
                </c:pt>
                <c:pt idx="608">
                  <c:v>27.569559842869719</c:v>
                </c:pt>
                <c:pt idx="609">
                  <c:v>27.569559842869719</c:v>
                </c:pt>
                <c:pt idx="610">
                  <c:v>27.569559842869719</c:v>
                </c:pt>
                <c:pt idx="611">
                  <c:v>27.569559842869719</c:v>
                </c:pt>
                <c:pt idx="612">
                  <c:v>27.569559842869719</c:v>
                </c:pt>
                <c:pt idx="613">
                  <c:v>27.569559842869719</c:v>
                </c:pt>
                <c:pt idx="614">
                  <c:v>27.569559842869719</c:v>
                </c:pt>
                <c:pt idx="615">
                  <c:v>27.569559842869719</c:v>
                </c:pt>
                <c:pt idx="616">
                  <c:v>27.569559842869719</c:v>
                </c:pt>
                <c:pt idx="617">
                  <c:v>27.569559842869719</c:v>
                </c:pt>
                <c:pt idx="618">
                  <c:v>27.569559842869719</c:v>
                </c:pt>
                <c:pt idx="619">
                  <c:v>27.569559842869719</c:v>
                </c:pt>
                <c:pt idx="620">
                  <c:v>27.569559842869719</c:v>
                </c:pt>
                <c:pt idx="621">
                  <c:v>27.569559842869719</c:v>
                </c:pt>
                <c:pt idx="622">
                  <c:v>27.569559842869719</c:v>
                </c:pt>
                <c:pt idx="623">
                  <c:v>27.569559842869719</c:v>
                </c:pt>
                <c:pt idx="624">
                  <c:v>27.569559842869719</c:v>
                </c:pt>
                <c:pt idx="625">
                  <c:v>27.569559842869719</c:v>
                </c:pt>
                <c:pt idx="626">
                  <c:v>27.569559842869719</c:v>
                </c:pt>
                <c:pt idx="627">
                  <c:v>27.569559842869719</c:v>
                </c:pt>
                <c:pt idx="628">
                  <c:v>27.569559842869719</c:v>
                </c:pt>
                <c:pt idx="629">
                  <c:v>27.569559842869719</c:v>
                </c:pt>
                <c:pt idx="630">
                  <c:v>27.569559842869719</c:v>
                </c:pt>
                <c:pt idx="631">
                  <c:v>27.569559842869719</c:v>
                </c:pt>
                <c:pt idx="632">
                  <c:v>27.569559842869719</c:v>
                </c:pt>
                <c:pt idx="633">
                  <c:v>27.569559842869719</c:v>
                </c:pt>
                <c:pt idx="634">
                  <c:v>27.569559842869719</c:v>
                </c:pt>
                <c:pt idx="635">
                  <c:v>27.569559842869719</c:v>
                </c:pt>
                <c:pt idx="636">
                  <c:v>27.569559842869719</c:v>
                </c:pt>
                <c:pt idx="637">
                  <c:v>27.569559842869719</c:v>
                </c:pt>
                <c:pt idx="638">
                  <c:v>27.569559842869719</c:v>
                </c:pt>
                <c:pt idx="639">
                  <c:v>27.569559842869719</c:v>
                </c:pt>
                <c:pt idx="640">
                  <c:v>27.569559842869719</c:v>
                </c:pt>
                <c:pt idx="641">
                  <c:v>27.569559842869719</c:v>
                </c:pt>
                <c:pt idx="642">
                  <c:v>27.569559842869719</c:v>
                </c:pt>
                <c:pt idx="643">
                  <c:v>27.569559842869719</c:v>
                </c:pt>
                <c:pt idx="644">
                  <c:v>27.569559842869719</c:v>
                </c:pt>
                <c:pt idx="645">
                  <c:v>27.569559842869719</c:v>
                </c:pt>
                <c:pt idx="646">
                  <c:v>27.569559842869719</c:v>
                </c:pt>
                <c:pt idx="647">
                  <c:v>27.569559842869719</c:v>
                </c:pt>
                <c:pt idx="648">
                  <c:v>27.569559842869719</c:v>
                </c:pt>
                <c:pt idx="649">
                  <c:v>27.569559842869719</c:v>
                </c:pt>
                <c:pt idx="650">
                  <c:v>27.569559842869719</c:v>
                </c:pt>
                <c:pt idx="651">
                  <c:v>27.569559842869719</c:v>
                </c:pt>
                <c:pt idx="652">
                  <c:v>27.569559842869719</c:v>
                </c:pt>
                <c:pt idx="653">
                  <c:v>27.569559842869719</c:v>
                </c:pt>
                <c:pt idx="654">
                  <c:v>27.569559842869719</c:v>
                </c:pt>
                <c:pt idx="655">
                  <c:v>27.569559842869719</c:v>
                </c:pt>
                <c:pt idx="656">
                  <c:v>27.569559842869719</c:v>
                </c:pt>
                <c:pt idx="657">
                  <c:v>27.569559842869719</c:v>
                </c:pt>
                <c:pt idx="658">
                  <c:v>27.569559842869719</c:v>
                </c:pt>
                <c:pt idx="659">
                  <c:v>27.569559842869719</c:v>
                </c:pt>
                <c:pt idx="660">
                  <c:v>27.569559842869719</c:v>
                </c:pt>
                <c:pt idx="661">
                  <c:v>27.569559842869719</c:v>
                </c:pt>
                <c:pt idx="662">
                  <c:v>27.569559842869719</c:v>
                </c:pt>
                <c:pt idx="663">
                  <c:v>27.569559842869719</c:v>
                </c:pt>
                <c:pt idx="664">
                  <c:v>27.569559842869719</c:v>
                </c:pt>
                <c:pt idx="665">
                  <c:v>27.569559842869719</c:v>
                </c:pt>
                <c:pt idx="666">
                  <c:v>27.569559842869719</c:v>
                </c:pt>
                <c:pt idx="667">
                  <c:v>27.569559842869719</c:v>
                </c:pt>
                <c:pt idx="668">
                  <c:v>27.569559842869719</c:v>
                </c:pt>
                <c:pt idx="669">
                  <c:v>27.569559842869719</c:v>
                </c:pt>
                <c:pt idx="670">
                  <c:v>27.569559842869719</c:v>
                </c:pt>
                <c:pt idx="671">
                  <c:v>27.569559842869719</c:v>
                </c:pt>
                <c:pt idx="672">
                  <c:v>27.569559842869719</c:v>
                </c:pt>
                <c:pt idx="673">
                  <c:v>27.569559842869719</c:v>
                </c:pt>
                <c:pt idx="674">
                  <c:v>27.569559842869719</c:v>
                </c:pt>
                <c:pt idx="675">
                  <c:v>27.569559842869719</c:v>
                </c:pt>
                <c:pt idx="676">
                  <c:v>27.569559842869719</c:v>
                </c:pt>
                <c:pt idx="677">
                  <c:v>27.569559842869719</c:v>
                </c:pt>
                <c:pt idx="678">
                  <c:v>27.569559842869719</c:v>
                </c:pt>
                <c:pt idx="679">
                  <c:v>27.569559842869719</c:v>
                </c:pt>
                <c:pt idx="680">
                  <c:v>27.569559842869719</c:v>
                </c:pt>
                <c:pt idx="681">
                  <c:v>27.569559842869719</c:v>
                </c:pt>
                <c:pt idx="682">
                  <c:v>27.569559842869719</c:v>
                </c:pt>
                <c:pt idx="683">
                  <c:v>27.569559842869719</c:v>
                </c:pt>
                <c:pt idx="684">
                  <c:v>27.569559842869719</c:v>
                </c:pt>
                <c:pt idx="685">
                  <c:v>27.569559842869719</c:v>
                </c:pt>
                <c:pt idx="686">
                  <c:v>27.569559842869719</c:v>
                </c:pt>
                <c:pt idx="687">
                  <c:v>27.569559842869719</c:v>
                </c:pt>
                <c:pt idx="688">
                  <c:v>27.569559842869719</c:v>
                </c:pt>
                <c:pt idx="689">
                  <c:v>27.569559842869719</c:v>
                </c:pt>
                <c:pt idx="690">
                  <c:v>27.569559842869719</c:v>
                </c:pt>
                <c:pt idx="691">
                  <c:v>27.569559842869719</c:v>
                </c:pt>
                <c:pt idx="692">
                  <c:v>27.569559842869719</c:v>
                </c:pt>
                <c:pt idx="693">
                  <c:v>27.569559842869719</c:v>
                </c:pt>
                <c:pt idx="694">
                  <c:v>27.569559842869719</c:v>
                </c:pt>
                <c:pt idx="695">
                  <c:v>27.569559842869719</c:v>
                </c:pt>
                <c:pt idx="696">
                  <c:v>27.569559842869719</c:v>
                </c:pt>
                <c:pt idx="697">
                  <c:v>27.569559842869719</c:v>
                </c:pt>
                <c:pt idx="698">
                  <c:v>27.569559842869719</c:v>
                </c:pt>
                <c:pt idx="699">
                  <c:v>27.569559842869719</c:v>
                </c:pt>
                <c:pt idx="700">
                  <c:v>27.569559842869719</c:v>
                </c:pt>
                <c:pt idx="701">
                  <c:v>27.569559842869719</c:v>
                </c:pt>
                <c:pt idx="702">
                  <c:v>27.569559842869719</c:v>
                </c:pt>
                <c:pt idx="703">
                  <c:v>27.569559842869719</c:v>
                </c:pt>
                <c:pt idx="704">
                  <c:v>27.569559842869719</c:v>
                </c:pt>
                <c:pt idx="705">
                  <c:v>27.569559842869719</c:v>
                </c:pt>
                <c:pt idx="706">
                  <c:v>27.569559842869719</c:v>
                </c:pt>
                <c:pt idx="707">
                  <c:v>27.569559842869719</c:v>
                </c:pt>
                <c:pt idx="708">
                  <c:v>27.569559842869719</c:v>
                </c:pt>
                <c:pt idx="709">
                  <c:v>27.569559842869719</c:v>
                </c:pt>
                <c:pt idx="710">
                  <c:v>27.569559842869719</c:v>
                </c:pt>
                <c:pt idx="711">
                  <c:v>27.569559842869719</c:v>
                </c:pt>
                <c:pt idx="712">
                  <c:v>27.569559842869719</c:v>
                </c:pt>
                <c:pt idx="713">
                  <c:v>27.569559842869719</c:v>
                </c:pt>
                <c:pt idx="714">
                  <c:v>27.569559842869719</c:v>
                </c:pt>
                <c:pt idx="715">
                  <c:v>27.569559842869719</c:v>
                </c:pt>
                <c:pt idx="716">
                  <c:v>27.569559842869719</c:v>
                </c:pt>
                <c:pt idx="717">
                  <c:v>27.569559842869719</c:v>
                </c:pt>
                <c:pt idx="718">
                  <c:v>27.569559842869719</c:v>
                </c:pt>
                <c:pt idx="719">
                  <c:v>27.569559842869719</c:v>
                </c:pt>
                <c:pt idx="720">
                  <c:v>27.569559842869719</c:v>
                </c:pt>
                <c:pt idx="721">
                  <c:v>27.569559842869719</c:v>
                </c:pt>
                <c:pt idx="722">
                  <c:v>27.569559842869719</c:v>
                </c:pt>
                <c:pt idx="723">
                  <c:v>27.569559842869719</c:v>
                </c:pt>
                <c:pt idx="724">
                  <c:v>27.569559842869719</c:v>
                </c:pt>
                <c:pt idx="725">
                  <c:v>27.569559842869719</c:v>
                </c:pt>
                <c:pt idx="726">
                  <c:v>27.569559842869719</c:v>
                </c:pt>
                <c:pt idx="727">
                  <c:v>27.569559842869719</c:v>
                </c:pt>
                <c:pt idx="728">
                  <c:v>27.569559842869719</c:v>
                </c:pt>
                <c:pt idx="729">
                  <c:v>27.569559842869719</c:v>
                </c:pt>
                <c:pt idx="730">
                  <c:v>27.569559842869719</c:v>
                </c:pt>
                <c:pt idx="731">
                  <c:v>27.569559842869719</c:v>
                </c:pt>
                <c:pt idx="732">
                  <c:v>27.569559842869719</c:v>
                </c:pt>
                <c:pt idx="733">
                  <c:v>27.569559842869719</c:v>
                </c:pt>
                <c:pt idx="734">
                  <c:v>27.569559842869719</c:v>
                </c:pt>
                <c:pt idx="735">
                  <c:v>27.569559842869719</c:v>
                </c:pt>
                <c:pt idx="736">
                  <c:v>27.569559842869719</c:v>
                </c:pt>
                <c:pt idx="737">
                  <c:v>27.569559842869719</c:v>
                </c:pt>
                <c:pt idx="738">
                  <c:v>27.569559842869719</c:v>
                </c:pt>
                <c:pt idx="739">
                  <c:v>27.569559842869719</c:v>
                </c:pt>
                <c:pt idx="740">
                  <c:v>27.569559842869719</c:v>
                </c:pt>
                <c:pt idx="741">
                  <c:v>27.569559842869719</c:v>
                </c:pt>
                <c:pt idx="742">
                  <c:v>27.569559842869719</c:v>
                </c:pt>
                <c:pt idx="743">
                  <c:v>27.569559842869719</c:v>
                </c:pt>
                <c:pt idx="744">
                  <c:v>27.569559842869719</c:v>
                </c:pt>
                <c:pt idx="745">
                  <c:v>27.569559842869719</c:v>
                </c:pt>
                <c:pt idx="746">
                  <c:v>27.569559842869719</c:v>
                </c:pt>
                <c:pt idx="747">
                  <c:v>27.569559842869719</c:v>
                </c:pt>
                <c:pt idx="748">
                  <c:v>27.569559842869719</c:v>
                </c:pt>
                <c:pt idx="749">
                  <c:v>27.569559842869719</c:v>
                </c:pt>
                <c:pt idx="750">
                  <c:v>27.569559842869719</c:v>
                </c:pt>
                <c:pt idx="751">
                  <c:v>27.569559842869719</c:v>
                </c:pt>
                <c:pt idx="752">
                  <c:v>27.569559842869719</c:v>
                </c:pt>
                <c:pt idx="753">
                  <c:v>27.569559842869719</c:v>
                </c:pt>
                <c:pt idx="754">
                  <c:v>27.569559842869719</c:v>
                </c:pt>
                <c:pt idx="755">
                  <c:v>27.569559842869719</c:v>
                </c:pt>
                <c:pt idx="756">
                  <c:v>27.569559842869719</c:v>
                </c:pt>
                <c:pt idx="757">
                  <c:v>27.569559842869719</c:v>
                </c:pt>
                <c:pt idx="758">
                  <c:v>27.569559842869719</c:v>
                </c:pt>
                <c:pt idx="759">
                  <c:v>27.569559842869719</c:v>
                </c:pt>
                <c:pt idx="760">
                  <c:v>27.569559842869719</c:v>
                </c:pt>
                <c:pt idx="761">
                  <c:v>27.569559842869719</c:v>
                </c:pt>
                <c:pt idx="762">
                  <c:v>27.569559842869719</c:v>
                </c:pt>
                <c:pt idx="763">
                  <c:v>27.569559842869719</c:v>
                </c:pt>
                <c:pt idx="764">
                  <c:v>27.569559842869719</c:v>
                </c:pt>
                <c:pt idx="765">
                  <c:v>27.569559842869719</c:v>
                </c:pt>
                <c:pt idx="766">
                  <c:v>27.569559842869719</c:v>
                </c:pt>
                <c:pt idx="767">
                  <c:v>27.569559842869719</c:v>
                </c:pt>
                <c:pt idx="768">
                  <c:v>27.569559842869719</c:v>
                </c:pt>
                <c:pt idx="769">
                  <c:v>27.569559842869719</c:v>
                </c:pt>
                <c:pt idx="770">
                  <c:v>27.569559842869719</c:v>
                </c:pt>
                <c:pt idx="771">
                  <c:v>27.569559842869719</c:v>
                </c:pt>
                <c:pt idx="772">
                  <c:v>27.569559842869719</c:v>
                </c:pt>
                <c:pt idx="773">
                  <c:v>27.569559842869719</c:v>
                </c:pt>
                <c:pt idx="774">
                  <c:v>27.569559842869719</c:v>
                </c:pt>
                <c:pt idx="775">
                  <c:v>27.569559842869719</c:v>
                </c:pt>
                <c:pt idx="776">
                  <c:v>27.569559842869719</c:v>
                </c:pt>
                <c:pt idx="777">
                  <c:v>27.569559842869719</c:v>
                </c:pt>
                <c:pt idx="778">
                  <c:v>27.569559842869719</c:v>
                </c:pt>
                <c:pt idx="779">
                  <c:v>27.569559842869719</c:v>
                </c:pt>
                <c:pt idx="780">
                  <c:v>27.569559842869719</c:v>
                </c:pt>
                <c:pt idx="781">
                  <c:v>27.569559842869719</c:v>
                </c:pt>
                <c:pt idx="782">
                  <c:v>27.569559842869719</c:v>
                </c:pt>
                <c:pt idx="783">
                  <c:v>27.569559842869719</c:v>
                </c:pt>
                <c:pt idx="784">
                  <c:v>27.569559842869719</c:v>
                </c:pt>
                <c:pt idx="785">
                  <c:v>27.569559842869719</c:v>
                </c:pt>
                <c:pt idx="786">
                  <c:v>27.569559842869719</c:v>
                </c:pt>
                <c:pt idx="787">
                  <c:v>27.569559842869719</c:v>
                </c:pt>
                <c:pt idx="788">
                  <c:v>27.569559842869719</c:v>
                </c:pt>
                <c:pt idx="789">
                  <c:v>27.569559842869719</c:v>
                </c:pt>
                <c:pt idx="790">
                  <c:v>27.569559842869719</c:v>
                </c:pt>
                <c:pt idx="791">
                  <c:v>27.569559842869719</c:v>
                </c:pt>
                <c:pt idx="792">
                  <c:v>27.569559842869719</c:v>
                </c:pt>
                <c:pt idx="793">
                  <c:v>27.569559842869719</c:v>
                </c:pt>
                <c:pt idx="794">
                  <c:v>27.569559842869719</c:v>
                </c:pt>
                <c:pt idx="795">
                  <c:v>27.569559842869719</c:v>
                </c:pt>
                <c:pt idx="796">
                  <c:v>27.569559842869719</c:v>
                </c:pt>
                <c:pt idx="797">
                  <c:v>27.569559842869719</c:v>
                </c:pt>
                <c:pt idx="798">
                  <c:v>27.569559842869719</c:v>
                </c:pt>
                <c:pt idx="799">
                  <c:v>27.569559842869719</c:v>
                </c:pt>
                <c:pt idx="800">
                  <c:v>27.569559842869719</c:v>
                </c:pt>
                <c:pt idx="801">
                  <c:v>27.569559842869719</c:v>
                </c:pt>
                <c:pt idx="802">
                  <c:v>27.569559842869719</c:v>
                </c:pt>
                <c:pt idx="803">
                  <c:v>27.569559842869719</c:v>
                </c:pt>
                <c:pt idx="804">
                  <c:v>27.569559842869719</c:v>
                </c:pt>
                <c:pt idx="805">
                  <c:v>27.569559842869719</c:v>
                </c:pt>
                <c:pt idx="806">
                  <c:v>27.569559842869719</c:v>
                </c:pt>
                <c:pt idx="807">
                  <c:v>27.569559842869719</c:v>
                </c:pt>
                <c:pt idx="808">
                  <c:v>27.569559842869719</c:v>
                </c:pt>
                <c:pt idx="809">
                  <c:v>27.569559842869719</c:v>
                </c:pt>
                <c:pt idx="810">
                  <c:v>27.569559842869719</c:v>
                </c:pt>
                <c:pt idx="811">
                  <c:v>27.569559842869719</c:v>
                </c:pt>
                <c:pt idx="812">
                  <c:v>27.569559842869719</c:v>
                </c:pt>
                <c:pt idx="813">
                  <c:v>27.569559842869719</c:v>
                </c:pt>
                <c:pt idx="814">
                  <c:v>27.569559842869719</c:v>
                </c:pt>
                <c:pt idx="815">
                  <c:v>27.569559842869719</c:v>
                </c:pt>
                <c:pt idx="816">
                  <c:v>27.569559842869719</c:v>
                </c:pt>
                <c:pt idx="817">
                  <c:v>27.569559842869719</c:v>
                </c:pt>
                <c:pt idx="818">
                  <c:v>27.569559842869719</c:v>
                </c:pt>
                <c:pt idx="819">
                  <c:v>27.569559842869719</c:v>
                </c:pt>
                <c:pt idx="820">
                  <c:v>27.569559842869719</c:v>
                </c:pt>
                <c:pt idx="821">
                  <c:v>27.569559842869719</c:v>
                </c:pt>
                <c:pt idx="822">
                  <c:v>27.569559842869719</c:v>
                </c:pt>
                <c:pt idx="823">
                  <c:v>27.569559842869719</c:v>
                </c:pt>
                <c:pt idx="824">
                  <c:v>27.569559842869719</c:v>
                </c:pt>
                <c:pt idx="825">
                  <c:v>27.569559842869719</c:v>
                </c:pt>
                <c:pt idx="826">
                  <c:v>27.569559842869719</c:v>
                </c:pt>
                <c:pt idx="827">
                  <c:v>27.569559842869719</c:v>
                </c:pt>
                <c:pt idx="828">
                  <c:v>27.569559842869719</c:v>
                </c:pt>
                <c:pt idx="829">
                  <c:v>27.569559842869719</c:v>
                </c:pt>
                <c:pt idx="830">
                  <c:v>27.569559842869719</c:v>
                </c:pt>
                <c:pt idx="831">
                  <c:v>27.569559842869719</c:v>
                </c:pt>
                <c:pt idx="832">
                  <c:v>27.569559842869719</c:v>
                </c:pt>
                <c:pt idx="833">
                  <c:v>27.569559842869719</c:v>
                </c:pt>
                <c:pt idx="834">
                  <c:v>27.569559842869719</c:v>
                </c:pt>
                <c:pt idx="835">
                  <c:v>27.569559842869719</c:v>
                </c:pt>
                <c:pt idx="836">
                  <c:v>27.569559842869719</c:v>
                </c:pt>
                <c:pt idx="837">
                  <c:v>27.569559842869719</c:v>
                </c:pt>
                <c:pt idx="838">
                  <c:v>27.569559842869719</c:v>
                </c:pt>
                <c:pt idx="839">
                  <c:v>27.569559842869719</c:v>
                </c:pt>
                <c:pt idx="840">
                  <c:v>27.569559842869719</c:v>
                </c:pt>
                <c:pt idx="841">
                  <c:v>27.569559842869719</c:v>
                </c:pt>
                <c:pt idx="842">
                  <c:v>27.569559842869719</c:v>
                </c:pt>
                <c:pt idx="843">
                  <c:v>27.569559842869719</c:v>
                </c:pt>
                <c:pt idx="844">
                  <c:v>27.569559842869719</c:v>
                </c:pt>
                <c:pt idx="845">
                  <c:v>27.569559842869719</c:v>
                </c:pt>
                <c:pt idx="846">
                  <c:v>27.569559842869719</c:v>
                </c:pt>
                <c:pt idx="847">
                  <c:v>27.569559842869719</c:v>
                </c:pt>
                <c:pt idx="848">
                  <c:v>27.569559842869719</c:v>
                </c:pt>
                <c:pt idx="849">
                  <c:v>27.569559842869719</c:v>
                </c:pt>
                <c:pt idx="850">
                  <c:v>27.569559842869719</c:v>
                </c:pt>
                <c:pt idx="851">
                  <c:v>27.569559842869719</c:v>
                </c:pt>
                <c:pt idx="852">
                  <c:v>27.569559842869719</c:v>
                </c:pt>
                <c:pt idx="853">
                  <c:v>27.569559842869719</c:v>
                </c:pt>
                <c:pt idx="854">
                  <c:v>27.569559842869719</c:v>
                </c:pt>
                <c:pt idx="855">
                  <c:v>27.569559842869719</c:v>
                </c:pt>
                <c:pt idx="856">
                  <c:v>27.569559842869719</c:v>
                </c:pt>
                <c:pt idx="857">
                  <c:v>27.569559842869719</c:v>
                </c:pt>
                <c:pt idx="858">
                  <c:v>27.569559842869719</c:v>
                </c:pt>
                <c:pt idx="859">
                  <c:v>27.569559842869719</c:v>
                </c:pt>
                <c:pt idx="860">
                  <c:v>27.569559842869719</c:v>
                </c:pt>
                <c:pt idx="861">
                  <c:v>27.569559842869719</c:v>
                </c:pt>
                <c:pt idx="862">
                  <c:v>27.569559842869719</c:v>
                </c:pt>
                <c:pt idx="863">
                  <c:v>27.569559842869719</c:v>
                </c:pt>
                <c:pt idx="864">
                  <c:v>27.569559842869719</c:v>
                </c:pt>
                <c:pt idx="865">
                  <c:v>27.569559842869719</c:v>
                </c:pt>
                <c:pt idx="866">
                  <c:v>27.569559842869719</c:v>
                </c:pt>
                <c:pt idx="867">
                  <c:v>27.569559842869719</c:v>
                </c:pt>
                <c:pt idx="868">
                  <c:v>27.569559842869719</c:v>
                </c:pt>
                <c:pt idx="869">
                  <c:v>27.569559842869719</c:v>
                </c:pt>
                <c:pt idx="870">
                  <c:v>27.569559842869719</c:v>
                </c:pt>
                <c:pt idx="871">
                  <c:v>27.569559842869719</c:v>
                </c:pt>
                <c:pt idx="872">
                  <c:v>27.569559842869719</c:v>
                </c:pt>
                <c:pt idx="873">
                  <c:v>27.569559842869719</c:v>
                </c:pt>
                <c:pt idx="874">
                  <c:v>27.569559842869719</c:v>
                </c:pt>
                <c:pt idx="875">
                  <c:v>27.569559842869719</c:v>
                </c:pt>
                <c:pt idx="876">
                  <c:v>27.569559842869719</c:v>
                </c:pt>
                <c:pt idx="877">
                  <c:v>27.569559842869719</c:v>
                </c:pt>
                <c:pt idx="878">
                  <c:v>27.569559842869719</c:v>
                </c:pt>
                <c:pt idx="879">
                  <c:v>27.569559842869719</c:v>
                </c:pt>
                <c:pt idx="880">
                  <c:v>27.569559842869719</c:v>
                </c:pt>
                <c:pt idx="881">
                  <c:v>27.569559842869719</c:v>
                </c:pt>
                <c:pt idx="882">
                  <c:v>27.569559842869719</c:v>
                </c:pt>
                <c:pt idx="883">
                  <c:v>27.569559842869719</c:v>
                </c:pt>
                <c:pt idx="884">
                  <c:v>27.569559842869719</c:v>
                </c:pt>
                <c:pt idx="885">
                  <c:v>27.569559842869719</c:v>
                </c:pt>
                <c:pt idx="886">
                  <c:v>27.569559842869719</c:v>
                </c:pt>
                <c:pt idx="887">
                  <c:v>27.569559842869719</c:v>
                </c:pt>
                <c:pt idx="888">
                  <c:v>27.569559842869719</c:v>
                </c:pt>
                <c:pt idx="889">
                  <c:v>27.569559842869719</c:v>
                </c:pt>
                <c:pt idx="890">
                  <c:v>27.569559842869719</c:v>
                </c:pt>
                <c:pt idx="891">
                  <c:v>27.569559842869719</c:v>
                </c:pt>
                <c:pt idx="892">
                  <c:v>27.569559842869719</c:v>
                </c:pt>
                <c:pt idx="893">
                  <c:v>27.569559842869719</c:v>
                </c:pt>
                <c:pt idx="894">
                  <c:v>27.569559842869719</c:v>
                </c:pt>
                <c:pt idx="895">
                  <c:v>27.569559842869719</c:v>
                </c:pt>
                <c:pt idx="896">
                  <c:v>27.569559842869719</c:v>
                </c:pt>
                <c:pt idx="897">
                  <c:v>27.569559842869719</c:v>
                </c:pt>
                <c:pt idx="898">
                  <c:v>27.569559842869719</c:v>
                </c:pt>
                <c:pt idx="899">
                  <c:v>27.569559842869719</c:v>
                </c:pt>
                <c:pt idx="900">
                  <c:v>27.569559842869719</c:v>
                </c:pt>
                <c:pt idx="901">
                  <c:v>27.569559842869719</c:v>
                </c:pt>
                <c:pt idx="902">
                  <c:v>27.569559842869719</c:v>
                </c:pt>
                <c:pt idx="903">
                  <c:v>27.569559842869719</c:v>
                </c:pt>
                <c:pt idx="904">
                  <c:v>27.569559842869719</c:v>
                </c:pt>
                <c:pt idx="905">
                  <c:v>27.569559842869719</c:v>
                </c:pt>
                <c:pt idx="906">
                  <c:v>27.569559842869719</c:v>
                </c:pt>
                <c:pt idx="907">
                  <c:v>27.569559842869719</c:v>
                </c:pt>
                <c:pt idx="908">
                  <c:v>27.569559842869719</c:v>
                </c:pt>
                <c:pt idx="909">
                  <c:v>27.569559842869719</c:v>
                </c:pt>
                <c:pt idx="910">
                  <c:v>27.569559842869719</c:v>
                </c:pt>
                <c:pt idx="911">
                  <c:v>27.569559842869719</c:v>
                </c:pt>
                <c:pt idx="912">
                  <c:v>27.569559842869719</c:v>
                </c:pt>
                <c:pt idx="913">
                  <c:v>27.569559842869719</c:v>
                </c:pt>
                <c:pt idx="914">
                  <c:v>27.569559842869719</c:v>
                </c:pt>
                <c:pt idx="915">
                  <c:v>27.569559842869719</c:v>
                </c:pt>
                <c:pt idx="916">
                  <c:v>27.569559842869719</c:v>
                </c:pt>
                <c:pt idx="917">
                  <c:v>27.569559842869719</c:v>
                </c:pt>
                <c:pt idx="918">
                  <c:v>27.569559842869719</c:v>
                </c:pt>
                <c:pt idx="919">
                  <c:v>27.569559842869719</c:v>
                </c:pt>
                <c:pt idx="920">
                  <c:v>27.569559842869719</c:v>
                </c:pt>
                <c:pt idx="921">
                  <c:v>27.569559842869719</c:v>
                </c:pt>
                <c:pt idx="922">
                  <c:v>27.569559842869719</c:v>
                </c:pt>
                <c:pt idx="923">
                  <c:v>27.569559842869719</c:v>
                </c:pt>
                <c:pt idx="924">
                  <c:v>27.569559842869719</c:v>
                </c:pt>
                <c:pt idx="925">
                  <c:v>27.569559842869719</c:v>
                </c:pt>
                <c:pt idx="926">
                  <c:v>27.569559842869719</c:v>
                </c:pt>
                <c:pt idx="927">
                  <c:v>27.569559842869719</c:v>
                </c:pt>
                <c:pt idx="928">
                  <c:v>27.569559842869719</c:v>
                </c:pt>
                <c:pt idx="929">
                  <c:v>27.569559842869719</c:v>
                </c:pt>
                <c:pt idx="930">
                  <c:v>27.569559842869719</c:v>
                </c:pt>
                <c:pt idx="931">
                  <c:v>27.569559842869719</c:v>
                </c:pt>
                <c:pt idx="932">
                  <c:v>27.569559842869719</c:v>
                </c:pt>
                <c:pt idx="933">
                  <c:v>27.569559842869719</c:v>
                </c:pt>
                <c:pt idx="934">
                  <c:v>27.569559842869719</c:v>
                </c:pt>
                <c:pt idx="935">
                  <c:v>27.569559842869719</c:v>
                </c:pt>
                <c:pt idx="936">
                  <c:v>27.569559842869719</c:v>
                </c:pt>
                <c:pt idx="937">
                  <c:v>27.569559842869719</c:v>
                </c:pt>
                <c:pt idx="938">
                  <c:v>27.569559842869719</c:v>
                </c:pt>
                <c:pt idx="939">
                  <c:v>27.569559842869719</c:v>
                </c:pt>
                <c:pt idx="940">
                  <c:v>27.569559842869719</c:v>
                </c:pt>
                <c:pt idx="941">
                  <c:v>27.569559842869719</c:v>
                </c:pt>
                <c:pt idx="942">
                  <c:v>27.569559842869719</c:v>
                </c:pt>
                <c:pt idx="943">
                  <c:v>27.569559842869719</c:v>
                </c:pt>
                <c:pt idx="944">
                  <c:v>27.569559842869719</c:v>
                </c:pt>
                <c:pt idx="945">
                  <c:v>27.569559842869719</c:v>
                </c:pt>
                <c:pt idx="946">
                  <c:v>27.569559842869719</c:v>
                </c:pt>
                <c:pt idx="947">
                  <c:v>27.569559842869719</c:v>
                </c:pt>
                <c:pt idx="948">
                  <c:v>27.569559842869719</c:v>
                </c:pt>
                <c:pt idx="949">
                  <c:v>27.569559842869719</c:v>
                </c:pt>
                <c:pt idx="950">
                  <c:v>27.569559842869719</c:v>
                </c:pt>
                <c:pt idx="951">
                  <c:v>27.569559842869719</c:v>
                </c:pt>
                <c:pt idx="952">
                  <c:v>27.569559842869719</c:v>
                </c:pt>
                <c:pt idx="953">
                  <c:v>27.569559842869719</c:v>
                </c:pt>
                <c:pt idx="954">
                  <c:v>27.569559842869719</c:v>
                </c:pt>
                <c:pt idx="955">
                  <c:v>27.569559842869719</c:v>
                </c:pt>
                <c:pt idx="956">
                  <c:v>27.569559842869719</c:v>
                </c:pt>
                <c:pt idx="957">
                  <c:v>27.569559842869719</c:v>
                </c:pt>
                <c:pt idx="958">
                  <c:v>27.569559842869719</c:v>
                </c:pt>
                <c:pt idx="959">
                  <c:v>27.569559842869719</c:v>
                </c:pt>
                <c:pt idx="960">
                  <c:v>27.569559842869719</c:v>
                </c:pt>
                <c:pt idx="961">
                  <c:v>27.569559842869719</c:v>
                </c:pt>
                <c:pt idx="962">
                  <c:v>27.569559842869719</c:v>
                </c:pt>
                <c:pt idx="963">
                  <c:v>27.569559842869719</c:v>
                </c:pt>
                <c:pt idx="964">
                  <c:v>27.569559842869719</c:v>
                </c:pt>
                <c:pt idx="965">
                  <c:v>27.569559842869719</c:v>
                </c:pt>
                <c:pt idx="966">
                  <c:v>27.569559842869719</c:v>
                </c:pt>
                <c:pt idx="967">
                  <c:v>27.569559842869719</c:v>
                </c:pt>
                <c:pt idx="968">
                  <c:v>27.569559842869719</c:v>
                </c:pt>
                <c:pt idx="969">
                  <c:v>27.569559842869719</c:v>
                </c:pt>
                <c:pt idx="970">
                  <c:v>27.569559842869719</c:v>
                </c:pt>
                <c:pt idx="971">
                  <c:v>27.569559842869719</c:v>
                </c:pt>
                <c:pt idx="972">
                  <c:v>27.569559842869719</c:v>
                </c:pt>
                <c:pt idx="973">
                  <c:v>27.569559842869719</c:v>
                </c:pt>
                <c:pt idx="974">
                  <c:v>27.569559842869719</c:v>
                </c:pt>
                <c:pt idx="975">
                  <c:v>27.569559842869719</c:v>
                </c:pt>
                <c:pt idx="976">
                  <c:v>27.569559842869719</c:v>
                </c:pt>
                <c:pt idx="977">
                  <c:v>27.569559842869719</c:v>
                </c:pt>
                <c:pt idx="978">
                  <c:v>27.569559842869719</c:v>
                </c:pt>
                <c:pt idx="979">
                  <c:v>27.569559842869719</c:v>
                </c:pt>
                <c:pt idx="980">
                  <c:v>27.569559842869719</c:v>
                </c:pt>
                <c:pt idx="981">
                  <c:v>27.569559842869719</c:v>
                </c:pt>
                <c:pt idx="982">
                  <c:v>27.569559842869719</c:v>
                </c:pt>
                <c:pt idx="983">
                  <c:v>27.569559842869719</c:v>
                </c:pt>
                <c:pt idx="984">
                  <c:v>27.569559842869719</c:v>
                </c:pt>
                <c:pt idx="985">
                  <c:v>27.569559842869719</c:v>
                </c:pt>
                <c:pt idx="986">
                  <c:v>27.569559842869719</c:v>
                </c:pt>
                <c:pt idx="987">
                  <c:v>27.569559842869719</c:v>
                </c:pt>
                <c:pt idx="988">
                  <c:v>27.569559842869719</c:v>
                </c:pt>
                <c:pt idx="989">
                  <c:v>27.569559842869719</c:v>
                </c:pt>
                <c:pt idx="990">
                  <c:v>27.569559842869719</c:v>
                </c:pt>
                <c:pt idx="991">
                  <c:v>27.569559842869719</c:v>
                </c:pt>
                <c:pt idx="992">
                  <c:v>27.569559842869719</c:v>
                </c:pt>
                <c:pt idx="993">
                  <c:v>27.569559842869719</c:v>
                </c:pt>
                <c:pt idx="994">
                  <c:v>27.569559842869719</c:v>
                </c:pt>
                <c:pt idx="995">
                  <c:v>27.569559842869719</c:v>
                </c:pt>
                <c:pt idx="996">
                  <c:v>27.569559842869719</c:v>
                </c:pt>
                <c:pt idx="997">
                  <c:v>27.569559842869719</c:v>
                </c:pt>
                <c:pt idx="998">
                  <c:v>27.569559842869719</c:v>
                </c:pt>
                <c:pt idx="999">
                  <c:v>27.569559842869719</c:v>
                </c:pt>
                <c:pt idx="1000">
                  <c:v>27.569559842869719</c:v>
                </c:pt>
                <c:pt idx="1001">
                  <c:v>27.569559842869719</c:v>
                </c:pt>
                <c:pt idx="1002">
                  <c:v>27.569559842869719</c:v>
                </c:pt>
                <c:pt idx="1003">
                  <c:v>27.569559842869719</c:v>
                </c:pt>
                <c:pt idx="1004">
                  <c:v>27.569559842869719</c:v>
                </c:pt>
                <c:pt idx="1005">
                  <c:v>27.569559842869719</c:v>
                </c:pt>
                <c:pt idx="1006">
                  <c:v>27.569559842869719</c:v>
                </c:pt>
                <c:pt idx="1007">
                  <c:v>27.569559842869719</c:v>
                </c:pt>
                <c:pt idx="1008">
                  <c:v>27.569559842869719</c:v>
                </c:pt>
                <c:pt idx="1009">
                  <c:v>27.569559842869719</c:v>
                </c:pt>
                <c:pt idx="1010">
                  <c:v>27.569559842869719</c:v>
                </c:pt>
                <c:pt idx="1011">
                  <c:v>27.569559842869719</c:v>
                </c:pt>
                <c:pt idx="1012">
                  <c:v>27.569559842869719</c:v>
                </c:pt>
                <c:pt idx="1013">
                  <c:v>27.569559842869719</c:v>
                </c:pt>
                <c:pt idx="1014">
                  <c:v>27.569559842869719</c:v>
                </c:pt>
                <c:pt idx="1015">
                  <c:v>27.569559842869719</c:v>
                </c:pt>
                <c:pt idx="1016">
                  <c:v>27.569559842869719</c:v>
                </c:pt>
                <c:pt idx="1017">
                  <c:v>27.569559842869719</c:v>
                </c:pt>
                <c:pt idx="1018">
                  <c:v>27.569559842869719</c:v>
                </c:pt>
                <c:pt idx="1019">
                  <c:v>27.569559842869719</c:v>
                </c:pt>
                <c:pt idx="1020">
                  <c:v>27.569559842869719</c:v>
                </c:pt>
                <c:pt idx="1021">
                  <c:v>27.569559842869719</c:v>
                </c:pt>
                <c:pt idx="1022">
                  <c:v>27.569559842869719</c:v>
                </c:pt>
                <c:pt idx="1023">
                  <c:v>27.569559842869719</c:v>
                </c:pt>
                <c:pt idx="1024">
                  <c:v>27.569559842869719</c:v>
                </c:pt>
                <c:pt idx="1025">
                  <c:v>27.569559842869719</c:v>
                </c:pt>
                <c:pt idx="1026">
                  <c:v>27.569559842869719</c:v>
                </c:pt>
                <c:pt idx="1027">
                  <c:v>27.569559842869719</c:v>
                </c:pt>
                <c:pt idx="1028">
                  <c:v>27.569559842869719</c:v>
                </c:pt>
                <c:pt idx="1029">
                  <c:v>27.569559842869719</c:v>
                </c:pt>
                <c:pt idx="1030">
                  <c:v>27.569559842869719</c:v>
                </c:pt>
                <c:pt idx="1031">
                  <c:v>27.569559842869719</c:v>
                </c:pt>
                <c:pt idx="1032">
                  <c:v>27.569559842869719</c:v>
                </c:pt>
                <c:pt idx="1033">
                  <c:v>27.569559842869719</c:v>
                </c:pt>
                <c:pt idx="1034">
                  <c:v>27.569559842869719</c:v>
                </c:pt>
                <c:pt idx="1035">
                  <c:v>27.569559842869719</c:v>
                </c:pt>
                <c:pt idx="1036">
                  <c:v>27.569559842869719</c:v>
                </c:pt>
                <c:pt idx="1037">
                  <c:v>27.569559842869719</c:v>
                </c:pt>
                <c:pt idx="1038">
                  <c:v>27.569559842869719</c:v>
                </c:pt>
                <c:pt idx="1039">
                  <c:v>27.569559842869719</c:v>
                </c:pt>
                <c:pt idx="1040">
                  <c:v>27.569559842869719</c:v>
                </c:pt>
                <c:pt idx="1041">
                  <c:v>27.569559842869719</c:v>
                </c:pt>
                <c:pt idx="1042">
                  <c:v>27.569559842869719</c:v>
                </c:pt>
                <c:pt idx="1043">
                  <c:v>27.569559842869719</c:v>
                </c:pt>
                <c:pt idx="1044">
                  <c:v>27.569559842869719</c:v>
                </c:pt>
                <c:pt idx="1045">
                  <c:v>27.569559842869719</c:v>
                </c:pt>
                <c:pt idx="1046">
                  <c:v>27.569559842869719</c:v>
                </c:pt>
                <c:pt idx="1047">
                  <c:v>27.569559842869719</c:v>
                </c:pt>
                <c:pt idx="1048">
                  <c:v>27.569559842869719</c:v>
                </c:pt>
                <c:pt idx="1049">
                  <c:v>27.569559842869719</c:v>
                </c:pt>
                <c:pt idx="1050">
                  <c:v>27.569559842869719</c:v>
                </c:pt>
                <c:pt idx="1051">
                  <c:v>27.569559842869719</c:v>
                </c:pt>
                <c:pt idx="1052">
                  <c:v>27.569559842869719</c:v>
                </c:pt>
                <c:pt idx="1053">
                  <c:v>27.569559842869719</c:v>
                </c:pt>
                <c:pt idx="1054">
                  <c:v>27.569559842869719</c:v>
                </c:pt>
                <c:pt idx="1055">
                  <c:v>27.569559842869719</c:v>
                </c:pt>
                <c:pt idx="1056">
                  <c:v>27.569559842869719</c:v>
                </c:pt>
                <c:pt idx="1057">
                  <c:v>27.569559842869719</c:v>
                </c:pt>
                <c:pt idx="1058">
                  <c:v>27.569559842869719</c:v>
                </c:pt>
                <c:pt idx="1059">
                  <c:v>27.569559842869719</c:v>
                </c:pt>
                <c:pt idx="1060">
                  <c:v>27.569559842869719</c:v>
                </c:pt>
                <c:pt idx="1061">
                  <c:v>27.569559842869719</c:v>
                </c:pt>
                <c:pt idx="1062">
                  <c:v>27.569559842869719</c:v>
                </c:pt>
                <c:pt idx="1063">
                  <c:v>27.569559842869719</c:v>
                </c:pt>
                <c:pt idx="1064">
                  <c:v>27.569559842869719</c:v>
                </c:pt>
                <c:pt idx="1065">
                  <c:v>27.569559842869719</c:v>
                </c:pt>
                <c:pt idx="1066">
                  <c:v>27.569559842869719</c:v>
                </c:pt>
                <c:pt idx="1067">
                  <c:v>27.569559842869719</c:v>
                </c:pt>
                <c:pt idx="1068">
                  <c:v>27.569559842869719</c:v>
                </c:pt>
                <c:pt idx="1069">
                  <c:v>27.569559842869719</c:v>
                </c:pt>
                <c:pt idx="1070">
                  <c:v>27.569559842869719</c:v>
                </c:pt>
                <c:pt idx="1071">
                  <c:v>27.569559842869719</c:v>
                </c:pt>
                <c:pt idx="1072">
                  <c:v>27.569559842869719</c:v>
                </c:pt>
                <c:pt idx="1073">
                  <c:v>27.569559842869719</c:v>
                </c:pt>
                <c:pt idx="1074">
                  <c:v>27.569559842869719</c:v>
                </c:pt>
                <c:pt idx="1075">
                  <c:v>27.569559842869719</c:v>
                </c:pt>
                <c:pt idx="1076">
                  <c:v>27.569559842869719</c:v>
                </c:pt>
                <c:pt idx="1077">
                  <c:v>27.569559842869719</c:v>
                </c:pt>
                <c:pt idx="1078">
                  <c:v>27.569559842869719</c:v>
                </c:pt>
                <c:pt idx="1079">
                  <c:v>27.569559842869719</c:v>
                </c:pt>
                <c:pt idx="1080">
                  <c:v>27.569559842869719</c:v>
                </c:pt>
                <c:pt idx="1081">
                  <c:v>27.569559842869719</c:v>
                </c:pt>
                <c:pt idx="1082">
                  <c:v>27.569559842869719</c:v>
                </c:pt>
                <c:pt idx="1083">
                  <c:v>27.569559842869719</c:v>
                </c:pt>
                <c:pt idx="1084">
                  <c:v>27.569559842869719</c:v>
                </c:pt>
                <c:pt idx="1085">
                  <c:v>27.569559842869719</c:v>
                </c:pt>
                <c:pt idx="1086">
                  <c:v>27.569559842869719</c:v>
                </c:pt>
                <c:pt idx="1087">
                  <c:v>27.569559842869719</c:v>
                </c:pt>
                <c:pt idx="1088">
                  <c:v>27.569559842869719</c:v>
                </c:pt>
                <c:pt idx="1089">
                  <c:v>27.569559842869719</c:v>
                </c:pt>
                <c:pt idx="1090">
                  <c:v>27.569559842869719</c:v>
                </c:pt>
                <c:pt idx="1091">
                  <c:v>27.569559842869719</c:v>
                </c:pt>
                <c:pt idx="1092">
                  <c:v>27.569559842869719</c:v>
                </c:pt>
                <c:pt idx="1093">
                  <c:v>27.569559842869719</c:v>
                </c:pt>
                <c:pt idx="1094">
                  <c:v>27.569559842869719</c:v>
                </c:pt>
                <c:pt idx="1095">
                  <c:v>27.569559842869719</c:v>
                </c:pt>
                <c:pt idx="1096">
                  <c:v>27.569559842869719</c:v>
                </c:pt>
                <c:pt idx="1097">
                  <c:v>27.569559842869719</c:v>
                </c:pt>
                <c:pt idx="1098">
                  <c:v>27.569559842869719</c:v>
                </c:pt>
                <c:pt idx="1099">
                  <c:v>27.569559842869719</c:v>
                </c:pt>
                <c:pt idx="1100">
                  <c:v>27.569559842869719</c:v>
                </c:pt>
                <c:pt idx="1101">
                  <c:v>27.569559842869719</c:v>
                </c:pt>
                <c:pt idx="1102">
                  <c:v>27.569559842869719</c:v>
                </c:pt>
                <c:pt idx="1103">
                  <c:v>27.569559842869719</c:v>
                </c:pt>
                <c:pt idx="1104">
                  <c:v>27.569559842869719</c:v>
                </c:pt>
                <c:pt idx="1105">
                  <c:v>27.569559842869719</c:v>
                </c:pt>
                <c:pt idx="1106">
                  <c:v>27.569559842869719</c:v>
                </c:pt>
                <c:pt idx="1107">
                  <c:v>27.569559842869719</c:v>
                </c:pt>
                <c:pt idx="1108">
                  <c:v>27.569559842869719</c:v>
                </c:pt>
                <c:pt idx="1109">
                  <c:v>27.569559842869719</c:v>
                </c:pt>
                <c:pt idx="1110">
                  <c:v>27.569559842869719</c:v>
                </c:pt>
                <c:pt idx="1111">
                  <c:v>27.569559842869719</c:v>
                </c:pt>
                <c:pt idx="1112">
                  <c:v>27.569559842869719</c:v>
                </c:pt>
                <c:pt idx="1113">
                  <c:v>27.569559842869719</c:v>
                </c:pt>
                <c:pt idx="1114">
                  <c:v>27.569559842869719</c:v>
                </c:pt>
                <c:pt idx="1115">
                  <c:v>27.569559842869719</c:v>
                </c:pt>
                <c:pt idx="1116">
                  <c:v>27.569559842869719</c:v>
                </c:pt>
                <c:pt idx="1117">
                  <c:v>27.569559842869719</c:v>
                </c:pt>
                <c:pt idx="1118">
                  <c:v>27.569559842869719</c:v>
                </c:pt>
                <c:pt idx="1119">
                  <c:v>27.569559842869719</c:v>
                </c:pt>
                <c:pt idx="1120">
                  <c:v>27.569559842869719</c:v>
                </c:pt>
                <c:pt idx="1121">
                  <c:v>27.569559842869719</c:v>
                </c:pt>
                <c:pt idx="1122">
                  <c:v>27.569559842869719</c:v>
                </c:pt>
                <c:pt idx="1123">
                  <c:v>27.569559842869719</c:v>
                </c:pt>
                <c:pt idx="1124">
                  <c:v>27.569559842869719</c:v>
                </c:pt>
                <c:pt idx="1125">
                  <c:v>27.569559842869719</c:v>
                </c:pt>
                <c:pt idx="1126">
                  <c:v>27.569559842869719</c:v>
                </c:pt>
                <c:pt idx="1127">
                  <c:v>27.569559842869719</c:v>
                </c:pt>
                <c:pt idx="1128">
                  <c:v>27.569559842869719</c:v>
                </c:pt>
                <c:pt idx="1129">
                  <c:v>27.569559842869719</c:v>
                </c:pt>
                <c:pt idx="1130">
                  <c:v>27.569559842869719</c:v>
                </c:pt>
                <c:pt idx="1131">
                  <c:v>27.569559842869719</c:v>
                </c:pt>
                <c:pt idx="1132">
                  <c:v>27.569559842869719</c:v>
                </c:pt>
                <c:pt idx="1133">
                  <c:v>27.569559842869719</c:v>
                </c:pt>
                <c:pt idx="1134">
                  <c:v>27.569559842869719</c:v>
                </c:pt>
                <c:pt idx="1135">
                  <c:v>27.569559842869719</c:v>
                </c:pt>
                <c:pt idx="1136">
                  <c:v>27.569559842869719</c:v>
                </c:pt>
                <c:pt idx="1137">
                  <c:v>27.569559842869719</c:v>
                </c:pt>
                <c:pt idx="1138">
                  <c:v>27.569559842869719</c:v>
                </c:pt>
                <c:pt idx="1139">
                  <c:v>27.569559842869719</c:v>
                </c:pt>
                <c:pt idx="1140">
                  <c:v>27.569559842869719</c:v>
                </c:pt>
                <c:pt idx="1141">
                  <c:v>27.569559842869719</c:v>
                </c:pt>
                <c:pt idx="1142">
                  <c:v>27.569559842869719</c:v>
                </c:pt>
                <c:pt idx="1143">
                  <c:v>27.569559842869719</c:v>
                </c:pt>
                <c:pt idx="1144">
                  <c:v>27.569559842869719</c:v>
                </c:pt>
                <c:pt idx="1145">
                  <c:v>27.569559842869719</c:v>
                </c:pt>
                <c:pt idx="1146">
                  <c:v>27.569559842869719</c:v>
                </c:pt>
                <c:pt idx="1147">
                  <c:v>27.569559842869719</c:v>
                </c:pt>
                <c:pt idx="1148">
                  <c:v>27.569559842869719</c:v>
                </c:pt>
                <c:pt idx="1149">
                  <c:v>27.569559842869719</c:v>
                </c:pt>
                <c:pt idx="1150">
                  <c:v>27.569559842869719</c:v>
                </c:pt>
                <c:pt idx="1151">
                  <c:v>27.569559842869719</c:v>
                </c:pt>
                <c:pt idx="1152">
                  <c:v>27.569559842869719</c:v>
                </c:pt>
                <c:pt idx="1153">
                  <c:v>27.569559842869719</c:v>
                </c:pt>
                <c:pt idx="1154">
                  <c:v>27.569559842869719</c:v>
                </c:pt>
                <c:pt idx="1155">
                  <c:v>27.569559842869719</c:v>
                </c:pt>
                <c:pt idx="1156">
                  <c:v>27.569559842869719</c:v>
                </c:pt>
                <c:pt idx="1157">
                  <c:v>27.569559842869719</c:v>
                </c:pt>
                <c:pt idx="1158">
                  <c:v>27.569559842869719</c:v>
                </c:pt>
                <c:pt idx="1159">
                  <c:v>27.569559842869719</c:v>
                </c:pt>
                <c:pt idx="1160">
                  <c:v>27.569559842869719</c:v>
                </c:pt>
                <c:pt idx="1161">
                  <c:v>27.569559842869719</c:v>
                </c:pt>
                <c:pt idx="1162">
                  <c:v>27.569559842869719</c:v>
                </c:pt>
                <c:pt idx="1163">
                  <c:v>27.569559842869719</c:v>
                </c:pt>
                <c:pt idx="1164">
                  <c:v>27.569559842869719</c:v>
                </c:pt>
                <c:pt idx="1165">
                  <c:v>27.569559842869719</c:v>
                </c:pt>
                <c:pt idx="1166">
                  <c:v>27.569559842869719</c:v>
                </c:pt>
                <c:pt idx="1167">
                  <c:v>27.569559842869719</c:v>
                </c:pt>
                <c:pt idx="1168">
                  <c:v>27.569559842869719</c:v>
                </c:pt>
                <c:pt idx="1169">
                  <c:v>27.569559842869719</c:v>
                </c:pt>
                <c:pt idx="1170">
                  <c:v>27.569559842869719</c:v>
                </c:pt>
                <c:pt idx="1171">
                  <c:v>27.569559842869719</c:v>
                </c:pt>
                <c:pt idx="1172">
                  <c:v>27.569559842869719</c:v>
                </c:pt>
                <c:pt idx="1173">
                  <c:v>27.569559842869719</c:v>
                </c:pt>
                <c:pt idx="1174">
                  <c:v>27.569559842869719</c:v>
                </c:pt>
                <c:pt idx="1175">
                  <c:v>27.569559842869719</c:v>
                </c:pt>
                <c:pt idx="1176">
                  <c:v>27.569559842869719</c:v>
                </c:pt>
                <c:pt idx="1177">
                  <c:v>27.569559842869719</c:v>
                </c:pt>
                <c:pt idx="1178">
                  <c:v>27.569559842869719</c:v>
                </c:pt>
                <c:pt idx="1179">
                  <c:v>27.569559842869719</c:v>
                </c:pt>
                <c:pt idx="1180">
                  <c:v>27.569559842869719</c:v>
                </c:pt>
                <c:pt idx="1181">
                  <c:v>27.569559842869719</c:v>
                </c:pt>
                <c:pt idx="1182">
                  <c:v>27.569559842869719</c:v>
                </c:pt>
                <c:pt idx="1183">
                  <c:v>27.569559842869719</c:v>
                </c:pt>
                <c:pt idx="1184">
                  <c:v>27.569559842869719</c:v>
                </c:pt>
                <c:pt idx="1185">
                  <c:v>27.569559842869719</c:v>
                </c:pt>
                <c:pt idx="1186">
                  <c:v>27.569559842869719</c:v>
                </c:pt>
                <c:pt idx="1187">
                  <c:v>27.569559842869719</c:v>
                </c:pt>
                <c:pt idx="1188">
                  <c:v>27.569559842869719</c:v>
                </c:pt>
                <c:pt idx="1189">
                  <c:v>27.569559842869719</c:v>
                </c:pt>
                <c:pt idx="1190">
                  <c:v>27.569559842869719</c:v>
                </c:pt>
                <c:pt idx="1191">
                  <c:v>27.569559842869719</c:v>
                </c:pt>
                <c:pt idx="1192">
                  <c:v>27.569559842869719</c:v>
                </c:pt>
                <c:pt idx="1193">
                  <c:v>27.569559842869719</c:v>
                </c:pt>
                <c:pt idx="1194">
                  <c:v>27.569559842869719</c:v>
                </c:pt>
                <c:pt idx="1195">
                  <c:v>27.569559842869719</c:v>
                </c:pt>
                <c:pt idx="1196">
                  <c:v>27.569559842869719</c:v>
                </c:pt>
                <c:pt idx="1197">
                  <c:v>27.569559842869719</c:v>
                </c:pt>
                <c:pt idx="1198">
                  <c:v>27.569559842869719</c:v>
                </c:pt>
                <c:pt idx="1199">
                  <c:v>27.569559842869719</c:v>
                </c:pt>
                <c:pt idx="1200">
                  <c:v>27.569559842869719</c:v>
                </c:pt>
                <c:pt idx="1201">
                  <c:v>27.569559842869719</c:v>
                </c:pt>
                <c:pt idx="1202">
                  <c:v>27.569559842869719</c:v>
                </c:pt>
                <c:pt idx="1203">
                  <c:v>27.569559842869719</c:v>
                </c:pt>
                <c:pt idx="1204">
                  <c:v>27.569559842869719</c:v>
                </c:pt>
                <c:pt idx="1205">
                  <c:v>27.569559842869719</c:v>
                </c:pt>
                <c:pt idx="1206">
                  <c:v>27.569559842869719</c:v>
                </c:pt>
                <c:pt idx="1207">
                  <c:v>27.569559842869719</c:v>
                </c:pt>
                <c:pt idx="1208">
                  <c:v>27.569559842869719</c:v>
                </c:pt>
                <c:pt idx="1209">
                  <c:v>27.569559842869719</c:v>
                </c:pt>
                <c:pt idx="1210">
                  <c:v>27.569559842869719</c:v>
                </c:pt>
                <c:pt idx="1211">
                  <c:v>27.569559842869719</c:v>
                </c:pt>
                <c:pt idx="1212">
                  <c:v>27.569559842869719</c:v>
                </c:pt>
                <c:pt idx="1213">
                  <c:v>27.569559842869719</c:v>
                </c:pt>
                <c:pt idx="1214">
                  <c:v>27.569559842869719</c:v>
                </c:pt>
                <c:pt idx="1215">
                  <c:v>27.569559842869719</c:v>
                </c:pt>
                <c:pt idx="1216">
                  <c:v>27.569559842869719</c:v>
                </c:pt>
                <c:pt idx="1217">
                  <c:v>27.569559842869719</c:v>
                </c:pt>
                <c:pt idx="1218">
                  <c:v>27.569559842869719</c:v>
                </c:pt>
                <c:pt idx="1219">
                  <c:v>27.569559842869719</c:v>
                </c:pt>
                <c:pt idx="1220">
                  <c:v>27.569559842869719</c:v>
                </c:pt>
                <c:pt idx="1221">
                  <c:v>27.569559842869719</c:v>
                </c:pt>
                <c:pt idx="1222">
                  <c:v>27.569559842869719</c:v>
                </c:pt>
                <c:pt idx="1223">
                  <c:v>27.569559842869719</c:v>
                </c:pt>
                <c:pt idx="1224">
                  <c:v>27.569559842869719</c:v>
                </c:pt>
                <c:pt idx="1225">
                  <c:v>27.569559842869719</c:v>
                </c:pt>
                <c:pt idx="1226">
                  <c:v>27.569559842869719</c:v>
                </c:pt>
                <c:pt idx="1227">
                  <c:v>27.569559842869719</c:v>
                </c:pt>
                <c:pt idx="1228">
                  <c:v>27.569559842869719</c:v>
                </c:pt>
                <c:pt idx="1229">
                  <c:v>27.569559842869719</c:v>
                </c:pt>
                <c:pt idx="1230">
                  <c:v>27.569559842869719</c:v>
                </c:pt>
                <c:pt idx="1231">
                  <c:v>27.569559842869719</c:v>
                </c:pt>
                <c:pt idx="1232">
                  <c:v>27.569559842869719</c:v>
                </c:pt>
                <c:pt idx="1233">
                  <c:v>27.569559842869719</c:v>
                </c:pt>
                <c:pt idx="1234">
                  <c:v>27.569559842869719</c:v>
                </c:pt>
                <c:pt idx="1235">
                  <c:v>27.569559842869719</c:v>
                </c:pt>
                <c:pt idx="1236">
                  <c:v>27.569559842869719</c:v>
                </c:pt>
                <c:pt idx="1237">
                  <c:v>27.569559842869719</c:v>
                </c:pt>
                <c:pt idx="1238">
                  <c:v>27.569559842869719</c:v>
                </c:pt>
                <c:pt idx="1239">
                  <c:v>27.569559842869719</c:v>
                </c:pt>
                <c:pt idx="1240">
                  <c:v>27.569559842869719</c:v>
                </c:pt>
                <c:pt idx="1241">
                  <c:v>27.569559842869719</c:v>
                </c:pt>
                <c:pt idx="1242">
                  <c:v>27.569559842869719</c:v>
                </c:pt>
                <c:pt idx="1243">
                  <c:v>27.569559842869719</c:v>
                </c:pt>
                <c:pt idx="1244">
                  <c:v>27.569559842869719</c:v>
                </c:pt>
                <c:pt idx="1245">
                  <c:v>27.569559842869719</c:v>
                </c:pt>
                <c:pt idx="1246">
                  <c:v>27.569559842869719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2CF-43BC-82C0-BDBD0A0DFF68}"/>
            </c:ext>
          </c:extLst>
        </c:ser>
        <c:ser>
          <c:idx val="0"/>
          <c:order val="5"/>
          <c:tx>
            <c:strRef>
              <c:f>'FX Data'!$E$956</c:f>
              <c:strCache>
                <c:ptCount val="1"/>
                <c:pt idx="0">
                  <c:v>Average P/E</c:v>
                </c:pt>
              </c:strCache>
            </c:strRef>
          </c:tx>
          <c:spPr>
            <a:ln w="28575" cap="rnd">
              <a:solidFill>
                <a:sysClr val="windowText" lastClr="000000">
                  <a:lumMod val="50000"/>
                  <a:lumOff val="50000"/>
                </a:sysClr>
              </a:solidFill>
              <a:round/>
            </a:ln>
            <a:effectLst/>
          </c:spPr>
          <c:marker>
            <c:symbol val="none"/>
          </c:marker>
          <c:cat>
            <c:numRef>
              <c:f>'FX Data'!$B$957:$B$2203</c:f>
              <c:numCache>
                <c:formatCode>m/d/yyyy</c:formatCode>
                <c:ptCount val="1247"/>
                <c:pt idx="0">
                  <c:v>44263</c:v>
                </c:pt>
                <c:pt idx="1">
                  <c:v>44264</c:v>
                </c:pt>
                <c:pt idx="2">
                  <c:v>44265</c:v>
                </c:pt>
                <c:pt idx="3">
                  <c:v>44266</c:v>
                </c:pt>
                <c:pt idx="4">
                  <c:v>44267</c:v>
                </c:pt>
                <c:pt idx="5">
                  <c:v>44270</c:v>
                </c:pt>
                <c:pt idx="6">
                  <c:v>44271</c:v>
                </c:pt>
                <c:pt idx="7">
                  <c:v>44272</c:v>
                </c:pt>
                <c:pt idx="8">
                  <c:v>44273</c:v>
                </c:pt>
                <c:pt idx="9">
                  <c:v>44274</c:v>
                </c:pt>
                <c:pt idx="10">
                  <c:v>44277</c:v>
                </c:pt>
                <c:pt idx="11">
                  <c:v>44278</c:v>
                </c:pt>
                <c:pt idx="12">
                  <c:v>44279</c:v>
                </c:pt>
                <c:pt idx="13">
                  <c:v>44280</c:v>
                </c:pt>
                <c:pt idx="14">
                  <c:v>44281</c:v>
                </c:pt>
                <c:pt idx="15">
                  <c:v>44284</c:v>
                </c:pt>
                <c:pt idx="16">
                  <c:v>44285</c:v>
                </c:pt>
                <c:pt idx="17">
                  <c:v>44286</c:v>
                </c:pt>
                <c:pt idx="18">
                  <c:v>44287</c:v>
                </c:pt>
                <c:pt idx="19">
                  <c:v>44288</c:v>
                </c:pt>
                <c:pt idx="20">
                  <c:v>44291</c:v>
                </c:pt>
                <c:pt idx="21">
                  <c:v>44292</c:v>
                </c:pt>
                <c:pt idx="22">
                  <c:v>44293</c:v>
                </c:pt>
                <c:pt idx="23">
                  <c:v>44294</c:v>
                </c:pt>
                <c:pt idx="24">
                  <c:v>44295</c:v>
                </c:pt>
                <c:pt idx="25">
                  <c:v>44298</c:v>
                </c:pt>
                <c:pt idx="26">
                  <c:v>44299</c:v>
                </c:pt>
                <c:pt idx="27">
                  <c:v>44300</c:v>
                </c:pt>
                <c:pt idx="28">
                  <c:v>44301</c:v>
                </c:pt>
                <c:pt idx="29">
                  <c:v>44302</c:v>
                </c:pt>
                <c:pt idx="30">
                  <c:v>44305</c:v>
                </c:pt>
                <c:pt idx="31">
                  <c:v>44306</c:v>
                </c:pt>
                <c:pt idx="32">
                  <c:v>44308</c:v>
                </c:pt>
                <c:pt idx="33">
                  <c:v>44309</c:v>
                </c:pt>
                <c:pt idx="34">
                  <c:v>44312</c:v>
                </c:pt>
                <c:pt idx="35">
                  <c:v>44313</c:v>
                </c:pt>
                <c:pt idx="36">
                  <c:v>44314</c:v>
                </c:pt>
                <c:pt idx="37">
                  <c:v>44315</c:v>
                </c:pt>
                <c:pt idx="38">
                  <c:v>44320</c:v>
                </c:pt>
                <c:pt idx="39">
                  <c:v>44321</c:v>
                </c:pt>
                <c:pt idx="40">
                  <c:v>44322</c:v>
                </c:pt>
                <c:pt idx="41">
                  <c:v>44323</c:v>
                </c:pt>
                <c:pt idx="42">
                  <c:v>44326</c:v>
                </c:pt>
                <c:pt idx="43">
                  <c:v>44327</c:v>
                </c:pt>
                <c:pt idx="44">
                  <c:v>44328</c:v>
                </c:pt>
                <c:pt idx="45">
                  <c:v>44329</c:v>
                </c:pt>
                <c:pt idx="46">
                  <c:v>44330</c:v>
                </c:pt>
                <c:pt idx="47">
                  <c:v>44333</c:v>
                </c:pt>
                <c:pt idx="48">
                  <c:v>44334</c:v>
                </c:pt>
                <c:pt idx="49">
                  <c:v>44335</c:v>
                </c:pt>
                <c:pt idx="50">
                  <c:v>44336</c:v>
                </c:pt>
                <c:pt idx="51">
                  <c:v>44337</c:v>
                </c:pt>
                <c:pt idx="52">
                  <c:v>44340</c:v>
                </c:pt>
                <c:pt idx="53">
                  <c:v>44341</c:v>
                </c:pt>
                <c:pt idx="54">
                  <c:v>44342</c:v>
                </c:pt>
                <c:pt idx="55">
                  <c:v>44343</c:v>
                </c:pt>
                <c:pt idx="56">
                  <c:v>44344</c:v>
                </c:pt>
                <c:pt idx="57">
                  <c:v>44347</c:v>
                </c:pt>
                <c:pt idx="58">
                  <c:v>44348</c:v>
                </c:pt>
                <c:pt idx="59">
                  <c:v>44349</c:v>
                </c:pt>
                <c:pt idx="60">
                  <c:v>44350</c:v>
                </c:pt>
                <c:pt idx="61">
                  <c:v>44351</c:v>
                </c:pt>
                <c:pt idx="62">
                  <c:v>44354</c:v>
                </c:pt>
                <c:pt idx="63">
                  <c:v>44355</c:v>
                </c:pt>
                <c:pt idx="64">
                  <c:v>44356</c:v>
                </c:pt>
                <c:pt idx="65">
                  <c:v>44357</c:v>
                </c:pt>
                <c:pt idx="66">
                  <c:v>44358</c:v>
                </c:pt>
                <c:pt idx="67">
                  <c:v>44361</c:v>
                </c:pt>
                <c:pt idx="68">
                  <c:v>44362</c:v>
                </c:pt>
                <c:pt idx="69">
                  <c:v>44363</c:v>
                </c:pt>
                <c:pt idx="70">
                  <c:v>44364</c:v>
                </c:pt>
                <c:pt idx="71">
                  <c:v>44365</c:v>
                </c:pt>
                <c:pt idx="72">
                  <c:v>44368</c:v>
                </c:pt>
                <c:pt idx="73">
                  <c:v>44369</c:v>
                </c:pt>
                <c:pt idx="74">
                  <c:v>44370</c:v>
                </c:pt>
                <c:pt idx="75">
                  <c:v>44371</c:v>
                </c:pt>
                <c:pt idx="76">
                  <c:v>44372</c:v>
                </c:pt>
                <c:pt idx="77">
                  <c:v>44375</c:v>
                </c:pt>
                <c:pt idx="78">
                  <c:v>44376</c:v>
                </c:pt>
                <c:pt idx="79">
                  <c:v>44377</c:v>
                </c:pt>
                <c:pt idx="80">
                  <c:v>44378</c:v>
                </c:pt>
                <c:pt idx="81">
                  <c:v>44379</c:v>
                </c:pt>
                <c:pt idx="82">
                  <c:v>44382</c:v>
                </c:pt>
                <c:pt idx="83">
                  <c:v>44383</c:v>
                </c:pt>
                <c:pt idx="84">
                  <c:v>44384</c:v>
                </c:pt>
                <c:pt idx="85">
                  <c:v>44385</c:v>
                </c:pt>
                <c:pt idx="86">
                  <c:v>44386</c:v>
                </c:pt>
                <c:pt idx="87">
                  <c:v>44389</c:v>
                </c:pt>
                <c:pt idx="88">
                  <c:v>44390</c:v>
                </c:pt>
                <c:pt idx="89">
                  <c:v>44391</c:v>
                </c:pt>
                <c:pt idx="90">
                  <c:v>44392</c:v>
                </c:pt>
                <c:pt idx="91">
                  <c:v>44393</c:v>
                </c:pt>
                <c:pt idx="92">
                  <c:v>44396</c:v>
                </c:pt>
                <c:pt idx="93">
                  <c:v>44397</c:v>
                </c:pt>
                <c:pt idx="94">
                  <c:v>44398</c:v>
                </c:pt>
                <c:pt idx="95">
                  <c:v>44399</c:v>
                </c:pt>
                <c:pt idx="96">
                  <c:v>44400</c:v>
                </c:pt>
                <c:pt idx="97">
                  <c:v>44403</c:v>
                </c:pt>
                <c:pt idx="98">
                  <c:v>44404</c:v>
                </c:pt>
                <c:pt idx="99">
                  <c:v>44405</c:v>
                </c:pt>
                <c:pt idx="100">
                  <c:v>44406</c:v>
                </c:pt>
                <c:pt idx="101">
                  <c:v>44407</c:v>
                </c:pt>
                <c:pt idx="102">
                  <c:v>44410</c:v>
                </c:pt>
                <c:pt idx="103">
                  <c:v>44411</c:v>
                </c:pt>
                <c:pt idx="104">
                  <c:v>44412</c:v>
                </c:pt>
                <c:pt idx="105">
                  <c:v>44413</c:v>
                </c:pt>
                <c:pt idx="106">
                  <c:v>44414</c:v>
                </c:pt>
                <c:pt idx="107">
                  <c:v>44417</c:v>
                </c:pt>
                <c:pt idx="108">
                  <c:v>44418</c:v>
                </c:pt>
                <c:pt idx="109">
                  <c:v>44419</c:v>
                </c:pt>
                <c:pt idx="110">
                  <c:v>44420</c:v>
                </c:pt>
                <c:pt idx="111">
                  <c:v>44421</c:v>
                </c:pt>
                <c:pt idx="112">
                  <c:v>44424</c:v>
                </c:pt>
                <c:pt idx="113">
                  <c:v>44425</c:v>
                </c:pt>
                <c:pt idx="114">
                  <c:v>44426</c:v>
                </c:pt>
                <c:pt idx="115">
                  <c:v>44427</c:v>
                </c:pt>
                <c:pt idx="116">
                  <c:v>44428</c:v>
                </c:pt>
                <c:pt idx="117">
                  <c:v>44431</c:v>
                </c:pt>
                <c:pt idx="118">
                  <c:v>44432</c:v>
                </c:pt>
                <c:pt idx="119">
                  <c:v>44433</c:v>
                </c:pt>
                <c:pt idx="120">
                  <c:v>44434</c:v>
                </c:pt>
                <c:pt idx="121">
                  <c:v>44435</c:v>
                </c:pt>
                <c:pt idx="122">
                  <c:v>44438</c:v>
                </c:pt>
                <c:pt idx="123">
                  <c:v>44439</c:v>
                </c:pt>
                <c:pt idx="124">
                  <c:v>44440</c:v>
                </c:pt>
                <c:pt idx="125">
                  <c:v>44445</c:v>
                </c:pt>
                <c:pt idx="126">
                  <c:v>44446</c:v>
                </c:pt>
                <c:pt idx="127">
                  <c:v>44447</c:v>
                </c:pt>
                <c:pt idx="128">
                  <c:v>44448</c:v>
                </c:pt>
                <c:pt idx="129">
                  <c:v>44449</c:v>
                </c:pt>
                <c:pt idx="130">
                  <c:v>44452</c:v>
                </c:pt>
                <c:pt idx="131">
                  <c:v>44453</c:v>
                </c:pt>
                <c:pt idx="132">
                  <c:v>44454</c:v>
                </c:pt>
                <c:pt idx="133">
                  <c:v>44455</c:v>
                </c:pt>
                <c:pt idx="134">
                  <c:v>44456</c:v>
                </c:pt>
                <c:pt idx="135">
                  <c:v>44459</c:v>
                </c:pt>
                <c:pt idx="136">
                  <c:v>44460</c:v>
                </c:pt>
                <c:pt idx="137">
                  <c:v>44461</c:v>
                </c:pt>
                <c:pt idx="138">
                  <c:v>44462</c:v>
                </c:pt>
                <c:pt idx="139">
                  <c:v>44463</c:v>
                </c:pt>
                <c:pt idx="140">
                  <c:v>44466</c:v>
                </c:pt>
                <c:pt idx="141">
                  <c:v>44467</c:v>
                </c:pt>
                <c:pt idx="142">
                  <c:v>44468</c:v>
                </c:pt>
                <c:pt idx="143">
                  <c:v>44469</c:v>
                </c:pt>
                <c:pt idx="144">
                  <c:v>44470</c:v>
                </c:pt>
                <c:pt idx="145">
                  <c:v>44473</c:v>
                </c:pt>
                <c:pt idx="146">
                  <c:v>44474</c:v>
                </c:pt>
                <c:pt idx="147">
                  <c:v>44475</c:v>
                </c:pt>
                <c:pt idx="148">
                  <c:v>44476</c:v>
                </c:pt>
                <c:pt idx="149">
                  <c:v>44477</c:v>
                </c:pt>
                <c:pt idx="150">
                  <c:v>44480</c:v>
                </c:pt>
                <c:pt idx="151">
                  <c:v>44481</c:v>
                </c:pt>
                <c:pt idx="152">
                  <c:v>44482</c:v>
                </c:pt>
                <c:pt idx="153">
                  <c:v>44483</c:v>
                </c:pt>
                <c:pt idx="154">
                  <c:v>44484</c:v>
                </c:pt>
                <c:pt idx="155">
                  <c:v>44487</c:v>
                </c:pt>
                <c:pt idx="156">
                  <c:v>44488</c:v>
                </c:pt>
                <c:pt idx="157">
                  <c:v>44489</c:v>
                </c:pt>
                <c:pt idx="158">
                  <c:v>44490</c:v>
                </c:pt>
                <c:pt idx="159">
                  <c:v>44491</c:v>
                </c:pt>
                <c:pt idx="160">
                  <c:v>44494</c:v>
                </c:pt>
                <c:pt idx="161">
                  <c:v>44495</c:v>
                </c:pt>
                <c:pt idx="162">
                  <c:v>44496</c:v>
                </c:pt>
                <c:pt idx="163">
                  <c:v>44497</c:v>
                </c:pt>
                <c:pt idx="164">
                  <c:v>44498</c:v>
                </c:pt>
                <c:pt idx="165">
                  <c:v>44501</c:v>
                </c:pt>
                <c:pt idx="166">
                  <c:v>44502</c:v>
                </c:pt>
                <c:pt idx="167">
                  <c:v>44503</c:v>
                </c:pt>
                <c:pt idx="168">
                  <c:v>44504</c:v>
                </c:pt>
                <c:pt idx="169">
                  <c:v>44505</c:v>
                </c:pt>
                <c:pt idx="170">
                  <c:v>44508</c:v>
                </c:pt>
                <c:pt idx="171">
                  <c:v>44509</c:v>
                </c:pt>
                <c:pt idx="172">
                  <c:v>44510</c:v>
                </c:pt>
                <c:pt idx="173">
                  <c:v>44511</c:v>
                </c:pt>
                <c:pt idx="174">
                  <c:v>44512</c:v>
                </c:pt>
                <c:pt idx="175">
                  <c:v>44515</c:v>
                </c:pt>
                <c:pt idx="176">
                  <c:v>44516</c:v>
                </c:pt>
                <c:pt idx="177">
                  <c:v>44517</c:v>
                </c:pt>
                <c:pt idx="178">
                  <c:v>44518</c:v>
                </c:pt>
                <c:pt idx="179">
                  <c:v>44519</c:v>
                </c:pt>
                <c:pt idx="180">
                  <c:v>44522</c:v>
                </c:pt>
                <c:pt idx="181">
                  <c:v>44523</c:v>
                </c:pt>
                <c:pt idx="182">
                  <c:v>44524</c:v>
                </c:pt>
                <c:pt idx="183">
                  <c:v>44525</c:v>
                </c:pt>
                <c:pt idx="184">
                  <c:v>44526</c:v>
                </c:pt>
                <c:pt idx="185">
                  <c:v>44529</c:v>
                </c:pt>
                <c:pt idx="186">
                  <c:v>44530</c:v>
                </c:pt>
                <c:pt idx="187">
                  <c:v>44531</c:v>
                </c:pt>
                <c:pt idx="188">
                  <c:v>44532</c:v>
                </c:pt>
                <c:pt idx="189">
                  <c:v>44533</c:v>
                </c:pt>
                <c:pt idx="190">
                  <c:v>44536</c:v>
                </c:pt>
                <c:pt idx="191">
                  <c:v>44537</c:v>
                </c:pt>
                <c:pt idx="192">
                  <c:v>44538</c:v>
                </c:pt>
                <c:pt idx="193">
                  <c:v>44539</c:v>
                </c:pt>
                <c:pt idx="194">
                  <c:v>44540</c:v>
                </c:pt>
                <c:pt idx="195">
                  <c:v>44543</c:v>
                </c:pt>
                <c:pt idx="196">
                  <c:v>44544</c:v>
                </c:pt>
                <c:pt idx="197">
                  <c:v>44545</c:v>
                </c:pt>
                <c:pt idx="198">
                  <c:v>44546</c:v>
                </c:pt>
                <c:pt idx="199">
                  <c:v>44547</c:v>
                </c:pt>
                <c:pt idx="200">
                  <c:v>44550</c:v>
                </c:pt>
                <c:pt idx="201">
                  <c:v>44551</c:v>
                </c:pt>
                <c:pt idx="202">
                  <c:v>44552</c:v>
                </c:pt>
                <c:pt idx="203">
                  <c:v>44553</c:v>
                </c:pt>
                <c:pt idx="204">
                  <c:v>44554</c:v>
                </c:pt>
                <c:pt idx="205">
                  <c:v>44557</c:v>
                </c:pt>
                <c:pt idx="206">
                  <c:v>44558</c:v>
                </c:pt>
                <c:pt idx="207">
                  <c:v>44559</c:v>
                </c:pt>
                <c:pt idx="208">
                  <c:v>44560</c:v>
                </c:pt>
                <c:pt idx="209">
                  <c:v>44561</c:v>
                </c:pt>
                <c:pt idx="210">
                  <c:v>44565</c:v>
                </c:pt>
                <c:pt idx="211">
                  <c:v>44566</c:v>
                </c:pt>
                <c:pt idx="212">
                  <c:v>44567</c:v>
                </c:pt>
                <c:pt idx="213">
                  <c:v>44568</c:v>
                </c:pt>
                <c:pt idx="214">
                  <c:v>44571</c:v>
                </c:pt>
                <c:pt idx="215">
                  <c:v>44572</c:v>
                </c:pt>
                <c:pt idx="216">
                  <c:v>44573</c:v>
                </c:pt>
                <c:pt idx="217">
                  <c:v>44574</c:v>
                </c:pt>
                <c:pt idx="218">
                  <c:v>44575</c:v>
                </c:pt>
                <c:pt idx="219">
                  <c:v>44578</c:v>
                </c:pt>
                <c:pt idx="220">
                  <c:v>44579</c:v>
                </c:pt>
                <c:pt idx="221">
                  <c:v>44580</c:v>
                </c:pt>
                <c:pt idx="222">
                  <c:v>44581</c:v>
                </c:pt>
                <c:pt idx="223">
                  <c:v>44582</c:v>
                </c:pt>
                <c:pt idx="224">
                  <c:v>44585</c:v>
                </c:pt>
                <c:pt idx="225">
                  <c:v>44586</c:v>
                </c:pt>
                <c:pt idx="226">
                  <c:v>44587</c:v>
                </c:pt>
                <c:pt idx="227">
                  <c:v>44588</c:v>
                </c:pt>
                <c:pt idx="228">
                  <c:v>44589</c:v>
                </c:pt>
                <c:pt idx="229">
                  <c:v>44599</c:v>
                </c:pt>
                <c:pt idx="230">
                  <c:v>44600</c:v>
                </c:pt>
                <c:pt idx="231">
                  <c:v>44601</c:v>
                </c:pt>
                <c:pt idx="232">
                  <c:v>44602</c:v>
                </c:pt>
                <c:pt idx="233">
                  <c:v>44603</c:v>
                </c:pt>
                <c:pt idx="234">
                  <c:v>44606</c:v>
                </c:pt>
                <c:pt idx="235">
                  <c:v>44607</c:v>
                </c:pt>
                <c:pt idx="236">
                  <c:v>44608</c:v>
                </c:pt>
                <c:pt idx="237">
                  <c:v>44609</c:v>
                </c:pt>
                <c:pt idx="238">
                  <c:v>44610</c:v>
                </c:pt>
                <c:pt idx="239">
                  <c:v>44613</c:v>
                </c:pt>
                <c:pt idx="240">
                  <c:v>44614</c:v>
                </c:pt>
                <c:pt idx="241">
                  <c:v>44615</c:v>
                </c:pt>
                <c:pt idx="242">
                  <c:v>44616</c:v>
                </c:pt>
                <c:pt idx="243">
                  <c:v>44617</c:v>
                </c:pt>
                <c:pt idx="244">
                  <c:v>44620</c:v>
                </c:pt>
                <c:pt idx="245">
                  <c:v>44621</c:v>
                </c:pt>
                <c:pt idx="246">
                  <c:v>44622</c:v>
                </c:pt>
                <c:pt idx="247">
                  <c:v>44623</c:v>
                </c:pt>
                <c:pt idx="248">
                  <c:v>44624</c:v>
                </c:pt>
                <c:pt idx="249">
                  <c:v>44627</c:v>
                </c:pt>
                <c:pt idx="250">
                  <c:v>44628</c:v>
                </c:pt>
                <c:pt idx="251">
                  <c:v>44629</c:v>
                </c:pt>
                <c:pt idx="252">
                  <c:v>44630</c:v>
                </c:pt>
                <c:pt idx="253">
                  <c:v>44631</c:v>
                </c:pt>
                <c:pt idx="254">
                  <c:v>44634</c:v>
                </c:pt>
                <c:pt idx="255">
                  <c:v>44635</c:v>
                </c:pt>
                <c:pt idx="256">
                  <c:v>44636</c:v>
                </c:pt>
                <c:pt idx="257">
                  <c:v>44637</c:v>
                </c:pt>
                <c:pt idx="258">
                  <c:v>44638</c:v>
                </c:pt>
                <c:pt idx="259">
                  <c:v>44641</c:v>
                </c:pt>
                <c:pt idx="260">
                  <c:v>44642</c:v>
                </c:pt>
                <c:pt idx="261">
                  <c:v>44643</c:v>
                </c:pt>
                <c:pt idx="262">
                  <c:v>44644</c:v>
                </c:pt>
                <c:pt idx="263">
                  <c:v>44645</c:v>
                </c:pt>
                <c:pt idx="264">
                  <c:v>44648</c:v>
                </c:pt>
                <c:pt idx="265">
                  <c:v>44649</c:v>
                </c:pt>
                <c:pt idx="266">
                  <c:v>44650</c:v>
                </c:pt>
                <c:pt idx="267">
                  <c:v>44651</c:v>
                </c:pt>
                <c:pt idx="268">
                  <c:v>44652</c:v>
                </c:pt>
                <c:pt idx="269">
                  <c:v>44655</c:v>
                </c:pt>
                <c:pt idx="270">
                  <c:v>44656</c:v>
                </c:pt>
                <c:pt idx="271">
                  <c:v>44657</c:v>
                </c:pt>
                <c:pt idx="272">
                  <c:v>44658</c:v>
                </c:pt>
                <c:pt idx="273">
                  <c:v>44659</c:v>
                </c:pt>
                <c:pt idx="274">
                  <c:v>44663</c:v>
                </c:pt>
                <c:pt idx="275">
                  <c:v>44664</c:v>
                </c:pt>
                <c:pt idx="276">
                  <c:v>44665</c:v>
                </c:pt>
                <c:pt idx="277">
                  <c:v>44666</c:v>
                </c:pt>
                <c:pt idx="278">
                  <c:v>44669</c:v>
                </c:pt>
                <c:pt idx="279">
                  <c:v>44670</c:v>
                </c:pt>
                <c:pt idx="280">
                  <c:v>44671</c:v>
                </c:pt>
                <c:pt idx="281">
                  <c:v>44672</c:v>
                </c:pt>
                <c:pt idx="282">
                  <c:v>44673</c:v>
                </c:pt>
                <c:pt idx="283">
                  <c:v>44676</c:v>
                </c:pt>
                <c:pt idx="284">
                  <c:v>44677</c:v>
                </c:pt>
                <c:pt idx="285">
                  <c:v>44678</c:v>
                </c:pt>
                <c:pt idx="286">
                  <c:v>44679</c:v>
                </c:pt>
                <c:pt idx="287">
                  <c:v>44680</c:v>
                </c:pt>
                <c:pt idx="288">
                  <c:v>44685</c:v>
                </c:pt>
                <c:pt idx="289">
                  <c:v>44686</c:v>
                </c:pt>
                <c:pt idx="290">
                  <c:v>44687</c:v>
                </c:pt>
                <c:pt idx="291">
                  <c:v>44690</c:v>
                </c:pt>
                <c:pt idx="292">
                  <c:v>44691</c:v>
                </c:pt>
                <c:pt idx="293">
                  <c:v>44692</c:v>
                </c:pt>
                <c:pt idx="294">
                  <c:v>44693</c:v>
                </c:pt>
                <c:pt idx="295">
                  <c:v>44694</c:v>
                </c:pt>
                <c:pt idx="296">
                  <c:v>44697</c:v>
                </c:pt>
                <c:pt idx="297">
                  <c:v>44698</c:v>
                </c:pt>
                <c:pt idx="298">
                  <c:v>44699</c:v>
                </c:pt>
                <c:pt idx="299">
                  <c:v>44700</c:v>
                </c:pt>
                <c:pt idx="300">
                  <c:v>44701</c:v>
                </c:pt>
                <c:pt idx="301">
                  <c:v>44704</c:v>
                </c:pt>
                <c:pt idx="302">
                  <c:v>44705</c:v>
                </c:pt>
                <c:pt idx="303">
                  <c:v>44706</c:v>
                </c:pt>
                <c:pt idx="304">
                  <c:v>44707</c:v>
                </c:pt>
                <c:pt idx="305">
                  <c:v>44708</c:v>
                </c:pt>
                <c:pt idx="306">
                  <c:v>44711</c:v>
                </c:pt>
                <c:pt idx="307">
                  <c:v>44712</c:v>
                </c:pt>
                <c:pt idx="308">
                  <c:v>44713</c:v>
                </c:pt>
                <c:pt idx="309">
                  <c:v>44714</c:v>
                </c:pt>
                <c:pt idx="310">
                  <c:v>44715</c:v>
                </c:pt>
                <c:pt idx="311">
                  <c:v>44718</c:v>
                </c:pt>
                <c:pt idx="312">
                  <c:v>44719</c:v>
                </c:pt>
                <c:pt idx="313">
                  <c:v>44720</c:v>
                </c:pt>
                <c:pt idx="314">
                  <c:v>44721</c:v>
                </c:pt>
                <c:pt idx="315">
                  <c:v>44722</c:v>
                </c:pt>
                <c:pt idx="316">
                  <c:v>44725</c:v>
                </c:pt>
                <c:pt idx="317">
                  <c:v>44726</c:v>
                </c:pt>
                <c:pt idx="318">
                  <c:v>44727</c:v>
                </c:pt>
                <c:pt idx="319">
                  <c:v>44728</c:v>
                </c:pt>
                <c:pt idx="320">
                  <c:v>44729</c:v>
                </c:pt>
                <c:pt idx="321">
                  <c:v>44732</c:v>
                </c:pt>
                <c:pt idx="322">
                  <c:v>44733</c:v>
                </c:pt>
                <c:pt idx="323">
                  <c:v>44734</c:v>
                </c:pt>
                <c:pt idx="324">
                  <c:v>44735</c:v>
                </c:pt>
                <c:pt idx="325">
                  <c:v>44736</c:v>
                </c:pt>
                <c:pt idx="326">
                  <c:v>44739</c:v>
                </c:pt>
                <c:pt idx="327">
                  <c:v>44740</c:v>
                </c:pt>
                <c:pt idx="328">
                  <c:v>44741</c:v>
                </c:pt>
                <c:pt idx="329">
                  <c:v>44742</c:v>
                </c:pt>
                <c:pt idx="330">
                  <c:v>44743</c:v>
                </c:pt>
                <c:pt idx="331">
                  <c:v>44746</c:v>
                </c:pt>
                <c:pt idx="332">
                  <c:v>44747</c:v>
                </c:pt>
                <c:pt idx="333">
                  <c:v>44748</c:v>
                </c:pt>
                <c:pt idx="334">
                  <c:v>44749</c:v>
                </c:pt>
                <c:pt idx="335">
                  <c:v>44750</c:v>
                </c:pt>
                <c:pt idx="336">
                  <c:v>44753</c:v>
                </c:pt>
                <c:pt idx="337">
                  <c:v>44754</c:v>
                </c:pt>
                <c:pt idx="338">
                  <c:v>44755</c:v>
                </c:pt>
                <c:pt idx="339">
                  <c:v>44756</c:v>
                </c:pt>
                <c:pt idx="340">
                  <c:v>44757</c:v>
                </c:pt>
                <c:pt idx="341">
                  <c:v>44760</c:v>
                </c:pt>
                <c:pt idx="342">
                  <c:v>44761</c:v>
                </c:pt>
                <c:pt idx="343">
                  <c:v>44762</c:v>
                </c:pt>
                <c:pt idx="344">
                  <c:v>44763</c:v>
                </c:pt>
                <c:pt idx="345">
                  <c:v>44764</c:v>
                </c:pt>
                <c:pt idx="346">
                  <c:v>44767</c:v>
                </c:pt>
                <c:pt idx="347">
                  <c:v>44768</c:v>
                </c:pt>
                <c:pt idx="348">
                  <c:v>44769</c:v>
                </c:pt>
                <c:pt idx="349">
                  <c:v>44770</c:v>
                </c:pt>
                <c:pt idx="350">
                  <c:v>44771</c:v>
                </c:pt>
                <c:pt idx="351">
                  <c:v>44774</c:v>
                </c:pt>
                <c:pt idx="352">
                  <c:v>44775</c:v>
                </c:pt>
                <c:pt idx="353">
                  <c:v>44776</c:v>
                </c:pt>
                <c:pt idx="354">
                  <c:v>44777</c:v>
                </c:pt>
                <c:pt idx="355">
                  <c:v>44778</c:v>
                </c:pt>
                <c:pt idx="356">
                  <c:v>44781</c:v>
                </c:pt>
                <c:pt idx="357">
                  <c:v>44782</c:v>
                </c:pt>
                <c:pt idx="358">
                  <c:v>44783</c:v>
                </c:pt>
                <c:pt idx="359">
                  <c:v>44784</c:v>
                </c:pt>
                <c:pt idx="360">
                  <c:v>44785</c:v>
                </c:pt>
                <c:pt idx="361">
                  <c:v>44788</c:v>
                </c:pt>
                <c:pt idx="362">
                  <c:v>44789</c:v>
                </c:pt>
                <c:pt idx="363">
                  <c:v>44790</c:v>
                </c:pt>
                <c:pt idx="364">
                  <c:v>44791</c:v>
                </c:pt>
                <c:pt idx="365">
                  <c:v>44792</c:v>
                </c:pt>
                <c:pt idx="366">
                  <c:v>44795</c:v>
                </c:pt>
                <c:pt idx="367">
                  <c:v>44796</c:v>
                </c:pt>
                <c:pt idx="368">
                  <c:v>44797</c:v>
                </c:pt>
                <c:pt idx="369">
                  <c:v>44798</c:v>
                </c:pt>
                <c:pt idx="370">
                  <c:v>44799</c:v>
                </c:pt>
                <c:pt idx="371">
                  <c:v>44802</c:v>
                </c:pt>
                <c:pt idx="372">
                  <c:v>44803</c:v>
                </c:pt>
                <c:pt idx="373">
                  <c:v>44804</c:v>
                </c:pt>
                <c:pt idx="374">
                  <c:v>44809</c:v>
                </c:pt>
                <c:pt idx="375">
                  <c:v>44810</c:v>
                </c:pt>
                <c:pt idx="376">
                  <c:v>44811</c:v>
                </c:pt>
                <c:pt idx="377">
                  <c:v>44812</c:v>
                </c:pt>
                <c:pt idx="378">
                  <c:v>44813</c:v>
                </c:pt>
                <c:pt idx="379">
                  <c:v>44816</c:v>
                </c:pt>
                <c:pt idx="380">
                  <c:v>44817</c:v>
                </c:pt>
                <c:pt idx="381">
                  <c:v>44818</c:v>
                </c:pt>
                <c:pt idx="382">
                  <c:v>44819</c:v>
                </c:pt>
                <c:pt idx="383">
                  <c:v>44820</c:v>
                </c:pt>
                <c:pt idx="384">
                  <c:v>44823</c:v>
                </c:pt>
                <c:pt idx="385">
                  <c:v>44824</c:v>
                </c:pt>
                <c:pt idx="386">
                  <c:v>44825</c:v>
                </c:pt>
                <c:pt idx="387">
                  <c:v>44826</c:v>
                </c:pt>
                <c:pt idx="388">
                  <c:v>44827</c:v>
                </c:pt>
                <c:pt idx="389">
                  <c:v>44830</c:v>
                </c:pt>
                <c:pt idx="390">
                  <c:v>44831</c:v>
                </c:pt>
                <c:pt idx="391">
                  <c:v>44832</c:v>
                </c:pt>
                <c:pt idx="392">
                  <c:v>44833</c:v>
                </c:pt>
                <c:pt idx="393">
                  <c:v>44834</c:v>
                </c:pt>
                <c:pt idx="394">
                  <c:v>44837</c:v>
                </c:pt>
                <c:pt idx="395">
                  <c:v>44838</c:v>
                </c:pt>
                <c:pt idx="396">
                  <c:v>44839</c:v>
                </c:pt>
                <c:pt idx="397">
                  <c:v>44840</c:v>
                </c:pt>
                <c:pt idx="398">
                  <c:v>44841</c:v>
                </c:pt>
                <c:pt idx="399">
                  <c:v>44844</c:v>
                </c:pt>
                <c:pt idx="400">
                  <c:v>44845</c:v>
                </c:pt>
                <c:pt idx="401">
                  <c:v>44846</c:v>
                </c:pt>
                <c:pt idx="402">
                  <c:v>44847</c:v>
                </c:pt>
                <c:pt idx="403">
                  <c:v>44848</c:v>
                </c:pt>
                <c:pt idx="404">
                  <c:v>44851</c:v>
                </c:pt>
                <c:pt idx="405">
                  <c:v>44852</c:v>
                </c:pt>
                <c:pt idx="406">
                  <c:v>44853</c:v>
                </c:pt>
                <c:pt idx="407">
                  <c:v>44854</c:v>
                </c:pt>
                <c:pt idx="408">
                  <c:v>44855</c:v>
                </c:pt>
                <c:pt idx="409">
                  <c:v>44858</c:v>
                </c:pt>
                <c:pt idx="410">
                  <c:v>44859</c:v>
                </c:pt>
                <c:pt idx="411">
                  <c:v>44860</c:v>
                </c:pt>
                <c:pt idx="412">
                  <c:v>44861</c:v>
                </c:pt>
                <c:pt idx="413">
                  <c:v>44862</c:v>
                </c:pt>
                <c:pt idx="414">
                  <c:v>44865</c:v>
                </c:pt>
                <c:pt idx="415">
                  <c:v>44866</c:v>
                </c:pt>
                <c:pt idx="416">
                  <c:v>44867</c:v>
                </c:pt>
                <c:pt idx="417">
                  <c:v>44868</c:v>
                </c:pt>
                <c:pt idx="418">
                  <c:v>44869</c:v>
                </c:pt>
                <c:pt idx="419">
                  <c:v>44872</c:v>
                </c:pt>
                <c:pt idx="420">
                  <c:v>44873</c:v>
                </c:pt>
                <c:pt idx="421">
                  <c:v>44874</c:v>
                </c:pt>
                <c:pt idx="422">
                  <c:v>44875</c:v>
                </c:pt>
                <c:pt idx="423">
                  <c:v>44876</c:v>
                </c:pt>
                <c:pt idx="424">
                  <c:v>44879</c:v>
                </c:pt>
                <c:pt idx="425">
                  <c:v>44880</c:v>
                </c:pt>
                <c:pt idx="426">
                  <c:v>44881</c:v>
                </c:pt>
                <c:pt idx="427">
                  <c:v>44882</c:v>
                </c:pt>
                <c:pt idx="428">
                  <c:v>44883</c:v>
                </c:pt>
                <c:pt idx="429">
                  <c:v>44886</c:v>
                </c:pt>
                <c:pt idx="430">
                  <c:v>44887</c:v>
                </c:pt>
                <c:pt idx="431">
                  <c:v>44888</c:v>
                </c:pt>
                <c:pt idx="432">
                  <c:v>44889</c:v>
                </c:pt>
                <c:pt idx="433">
                  <c:v>44890</c:v>
                </c:pt>
                <c:pt idx="434">
                  <c:v>44893</c:v>
                </c:pt>
                <c:pt idx="435">
                  <c:v>44894</c:v>
                </c:pt>
                <c:pt idx="436">
                  <c:v>44895</c:v>
                </c:pt>
                <c:pt idx="437">
                  <c:v>44896</c:v>
                </c:pt>
                <c:pt idx="438">
                  <c:v>44897</c:v>
                </c:pt>
                <c:pt idx="439">
                  <c:v>44900</c:v>
                </c:pt>
                <c:pt idx="440">
                  <c:v>44901</c:v>
                </c:pt>
                <c:pt idx="441">
                  <c:v>44902</c:v>
                </c:pt>
                <c:pt idx="442">
                  <c:v>44903</c:v>
                </c:pt>
                <c:pt idx="443">
                  <c:v>44904</c:v>
                </c:pt>
                <c:pt idx="444">
                  <c:v>44907</c:v>
                </c:pt>
                <c:pt idx="445">
                  <c:v>44908</c:v>
                </c:pt>
                <c:pt idx="446">
                  <c:v>44909</c:v>
                </c:pt>
                <c:pt idx="447">
                  <c:v>44910</c:v>
                </c:pt>
                <c:pt idx="448">
                  <c:v>44911</c:v>
                </c:pt>
                <c:pt idx="449">
                  <c:v>44914</c:v>
                </c:pt>
                <c:pt idx="450">
                  <c:v>44915</c:v>
                </c:pt>
                <c:pt idx="451">
                  <c:v>44916</c:v>
                </c:pt>
                <c:pt idx="452">
                  <c:v>44917</c:v>
                </c:pt>
                <c:pt idx="453">
                  <c:v>44918</c:v>
                </c:pt>
                <c:pt idx="454">
                  <c:v>44921</c:v>
                </c:pt>
                <c:pt idx="455">
                  <c:v>44922</c:v>
                </c:pt>
                <c:pt idx="456">
                  <c:v>44923</c:v>
                </c:pt>
                <c:pt idx="457">
                  <c:v>44924</c:v>
                </c:pt>
                <c:pt idx="458">
                  <c:v>44925</c:v>
                </c:pt>
                <c:pt idx="459">
                  <c:v>44929</c:v>
                </c:pt>
                <c:pt idx="460">
                  <c:v>44930</c:v>
                </c:pt>
                <c:pt idx="461">
                  <c:v>44931</c:v>
                </c:pt>
                <c:pt idx="462">
                  <c:v>44932</c:v>
                </c:pt>
                <c:pt idx="463">
                  <c:v>44935</c:v>
                </c:pt>
                <c:pt idx="464">
                  <c:v>44936</c:v>
                </c:pt>
                <c:pt idx="465">
                  <c:v>44937</c:v>
                </c:pt>
                <c:pt idx="466">
                  <c:v>44938</c:v>
                </c:pt>
                <c:pt idx="467">
                  <c:v>44939</c:v>
                </c:pt>
                <c:pt idx="468">
                  <c:v>44942</c:v>
                </c:pt>
                <c:pt idx="469">
                  <c:v>44943</c:v>
                </c:pt>
                <c:pt idx="470">
                  <c:v>44944</c:v>
                </c:pt>
                <c:pt idx="471">
                  <c:v>44945</c:v>
                </c:pt>
                <c:pt idx="472">
                  <c:v>44953</c:v>
                </c:pt>
                <c:pt idx="473">
                  <c:v>44956</c:v>
                </c:pt>
                <c:pt idx="474">
                  <c:v>44957</c:v>
                </c:pt>
                <c:pt idx="475">
                  <c:v>44958</c:v>
                </c:pt>
                <c:pt idx="476">
                  <c:v>44959</c:v>
                </c:pt>
                <c:pt idx="477">
                  <c:v>44960</c:v>
                </c:pt>
                <c:pt idx="478">
                  <c:v>44963</c:v>
                </c:pt>
                <c:pt idx="479">
                  <c:v>44964</c:v>
                </c:pt>
                <c:pt idx="480">
                  <c:v>44965</c:v>
                </c:pt>
                <c:pt idx="481">
                  <c:v>44966</c:v>
                </c:pt>
                <c:pt idx="482">
                  <c:v>44967</c:v>
                </c:pt>
                <c:pt idx="483">
                  <c:v>44970</c:v>
                </c:pt>
                <c:pt idx="484">
                  <c:v>44971</c:v>
                </c:pt>
                <c:pt idx="485">
                  <c:v>44972</c:v>
                </c:pt>
                <c:pt idx="486">
                  <c:v>44973</c:v>
                </c:pt>
                <c:pt idx="487">
                  <c:v>44974</c:v>
                </c:pt>
                <c:pt idx="488">
                  <c:v>44977</c:v>
                </c:pt>
                <c:pt idx="489">
                  <c:v>44978</c:v>
                </c:pt>
                <c:pt idx="490">
                  <c:v>44979</c:v>
                </c:pt>
                <c:pt idx="491">
                  <c:v>44980</c:v>
                </c:pt>
                <c:pt idx="492">
                  <c:v>44981</c:v>
                </c:pt>
                <c:pt idx="493">
                  <c:v>44984</c:v>
                </c:pt>
                <c:pt idx="494">
                  <c:v>44985</c:v>
                </c:pt>
                <c:pt idx="495">
                  <c:v>44986</c:v>
                </c:pt>
                <c:pt idx="496">
                  <c:v>44987</c:v>
                </c:pt>
                <c:pt idx="497">
                  <c:v>44988</c:v>
                </c:pt>
                <c:pt idx="498">
                  <c:v>44991</c:v>
                </c:pt>
                <c:pt idx="499">
                  <c:v>44992</c:v>
                </c:pt>
                <c:pt idx="500">
                  <c:v>44993</c:v>
                </c:pt>
                <c:pt idx="501">
                  <c:v>44994</c:v>
                </c:pt>
                <c:pt idx="502">
                  <c:v>44995</c:v>
                </c:pt>
                <c:pt idx="503">
                  <c:v>44998</c:v>
                </c:pt>
                <c:pt idx="504">
                  <c:v>44999</c:v>
                </c:pt>
                <c:pt idx="505">
                  <c:v>45000</c:v>
                </c:pt>
                <c:pt idx="506">
                  <c:v>45001</c:v>
                </c:pt>
                <c:pt idx="507">
                  <c:v>45002</c:v>
                </c:pt>
                <c:pt idx="508">
                  <c:v>45005</c:v>
                </c:pt>
                <c:pt idx="509">
                  <c:v>45006</c:v>
                </c:pt>
                <c:pt idx="510">
                  <c:v>45007</c:v>
                </c:pt>
                <c:pt idx="511">
                  <c:v>45008</c:v>
                </c:pt>
                <c:pt idx="512">
                  <c:v>45009</c:v>
                </c:pt>
                <c:pt idx="513">
                  <c:v>45012</c:v>
                </c:pt>
                <c:pt idx="514">
                  <c:v>45013</c:v>
                </c:pt>
                <c:pt idx="515">
                  <c:v>45014</c:v>
                </c:pt>
                <c:pt idx="516">
                  <c:v>45015</c:v>
                </c:pt>
                <c:pt idx="517">
                  <c:v>45016</c:v>
                </c:pt>
                <c:pt idx="518">
                  <c:v>45019</c:v>
                </c:pt>
                <c:pt idx="519">
                  <c:v>45020</c:v>
                </c:pt>
                <c:pt idx="520">
                  <c:v>45021</c:v>
                </c:pt>
                <c:pt idx="521">
                  <c:v>45022</c:v>
                </c:pt>
                <c:pt idx="522">
                  <c:v>45023</c:v>
                </c:pt>
                <c:pt idx="523">
                  <c:v>45026</c:v>
                </c:pt>
                <c:pt idx="524">
                  <c:v>45027</c:v>
                </c:pt>
                <c:pt idx="525">
                  <c:v>45028</c:v>
                </c:pt>
                <c:pt idx="526">
                  <c:v>45029</c:v>
                </c:pt>
                <c:pt idx="527">
                  <c:v>45030</c:v>
                </c:pt>
                <c:pt idx="528">
                  <c:v>45033</c:v>
                </c:pt>
                <c:pt idx="529">
                  <c:v>45034</c:v>
                </c:pt>
                <c:pt idx="530">
                  <c:v>45035</c:v>
                </c:pt>
                <c:pt idx="531">
                  <c:v>45036</c:v>
                </c:pt>
                <c:pt idx="532">
                  <c:v>45037</c:v>
                </c:pt>
                <c:pt idx="533">
                  <c:v>45040</c:v>
                </c:pt>
                <c:pt idx="534">
                  <c:v>45041</c:v>
                </c:pt>
                <c:pt idx="535">
                  <c:v>45042</c:v>
                </c:pt>
                <c:pt idx="536">
                  <c:v>45043</c:v>
                </c:pt>
                <c:pt idx="537">
                  <c:v>45044</c:v>
                </c:pt>
                <c:pt idx="538">
                  <c:v>45050</c:v>
                </c:pt>
                <c:pt idx="539">
                  <c:v>45051</c:v>
                </c:pt>
                <c:pt idx="540">
                  <c:v>45054</c:v>
                </c:pt>
                <c:pt idx="541">
                  <c:v>45055</c:v>
                </c:pt>
                <c:pt idx="542">
                  <c:v>45056</c:v>
                </c:pt>
                <c:pt idx="543">
                  <c:v>45057</c:v>
                </c:pt>
                <c:pt idx="544">
                  <c:v>45058</c:v>
                </c:pt>
                <c:pt idx="545">
                  <c:v>45061</c:v>
                </c:pt>
                <c:pt idx="546">
                  <c:v>45062</c:v>
                </c:pt>
                <c:pt idx="547">
                  <c:v>45063</c:v>
                </c:pt>
                <c:pt idx="548">
                  <c:v>45064</c:v>
                </c:pt>
                <c:pt idx="549">
                  <c:v>45065</c:v>
                </c:pt>
                <c:pt idx="550">
                  <c:v>45068</c:v>
                </c:pt>
                <c:pt idx="551">
                  <c:v>45069</c:v>
                </c:pt>
                <c:pt idx="552">
                  <c:v>45070</c:v>
                </c:pt>
                <c:pt idx="553">
                  <c:v>45071</c:v>
                </c:pt>
                <c:pt idx="554">
                  <c:v>45072</c:v>
                </c:pt>
                <c:pt idx="555">
                  <c:v>45075</c:v>
                </c:pt>
                <c:pt idx="556">
                  <c:v>45076</c:v>
                </c:pt>
                <c:pt idx="557">
                  <c:v>45077</c:v>
                </c:pt>
                <c:pt idx="558">
                  <c:v>45078</c:v>
                </c:pt>
                <c:pt idx="559">
                  <c:v>45079</c:v>
                </c:pt>
                <c:pt idx="560">
                  <c:v>45082</c:v>
                </c:pt>
                <c:pt idx="561">
                  <c:v>45083</c:v>
                </c:pt>
                <c:pt idx="562">
                  <c:v>45084</c:v>
                </c:pt>
                <c:pt idx="563">
                  <c:v>45085</c:v>
                </c:pt>
                <c:pt idx="564">
                  <c:v>45086</c:v>
                </c:pt>
                <c:pt idx="565">
                  <c:v>45089</c:v>
                </c:pt>
                <c:pt idx="566">
                  <c:v>45090</c:v>
                </c:pt>
                <c:pt idx="567">
                  <c:v>45091</c:v>
                </c:pt>
                <c:pt idx="568">
                  <c:v>45092</c:v>
                </c:pt>
                <c:pt idx="569">
                  <c:v>45093</c:v>
                </c:pt>
                <c:pt idx="570">
                  <c:v>45096</c:v>
                </c:pt>
                <c:pt idx="571">
                  <c:v>45097</c:v>
                </c:pt>
                <c:pt idx="572">
                  <c:v>45098</c:v>
                </c:pt>
                <c:pt idx="573">
                  <c:v>45099</c:v>
                </c:pt>
                <c:pt idx="574">
                  <c:v>45100</c:v>
                </c:pt>
                <c:pt idx="575">
                  <c:v>45103</c:v>
                </c:pt>
                <c:pt idx="576">
                  <c:v>45104</c:v>
                </c:pt>
                <c:pt idx="577">
                  <c:v>45105</c:v>
                </c:pt>
                <c:pt idx="578">
                  <c:v>45106</c:v>
                </c:pt>
                <c:pt idx="579">
                  <c:v>45107</c:v>
                </c:pt>
                <c:pt idx="580">
                  <c:v>45110</c:v>
                </c:pt>
                <c:pt idx="581">
                  <c:v>45111</c:v>
                </c:pt>
                <c:pt idx="582">
                  <c:v>45112</c:v>
                </c:pt>
                <c:pt idx="583">
                  <c:v>45113</c:v>
                </c:pt>
                <c:pt idx="584">
                  <c:v>45114</c:v>
                </c:pt>
                <c:pt idx="585">
                  <c:v>45117</c:v>
                </c:pt>
                <c:pt idx="586">
                  <c:v>45118</c:v>
                </c:pt>
                <c:pt idx="587">
                  <c:v>45119</c:v>
                </c:pt>
                <c:pt idx="588">
                  <c:v>45120</c:v>
                </c:pt>
                <c:pt idx="589">
                  <c:v>45121</c:v>
                </c:pt>
                <c:pt idx="590">
                  <c:v>45124</c:v>
                </c:pt>
                <c:pt idx="591">
                  <c:v>45125</c:v>
                </c:pt>
                <c:pt idx="592">
                  <c:v>45126</c:v>
                </c:pt>
                <c:pt idx="593">
                  <c:v>45127</c:v>
                </c:pt>
                <c:pt idx="594">
                  <c:v>45128</c:v>
                </c:pt>
                <c:pt idx="595">
                  <c:v>45131</c:v>
                </c:pt>
                <c:pt idx="596">
                  <c:v>45132</c:v>
                </c:pt>
                <c:pt idx="597">
                  <c:v>45133</c:v>
                </c:pt>
                <c:pt idx="598">
                  <c:v>45134</c:v>
                </c:pt>
                <c:pt idx="599">
                  <c:v>45135</c:v>
                </c:pt>
                <c:pt idx="600">
                  <c:v>45138</c:v>
                </c:pt>
                <c:pt idx="601">
                  <c:v>45139</c:v>
                </c:pt>
                <c:pt idx="602">
                  <c:v>45140</c:v>
                </c:pt>
                <c:pt idx="603">
                  <c:v>45141</c:v>
                </c:pt>
                <c:pt idx="604">
                  <c:v>45142</c:v>
                </c:pt>
                <c:pt idx="605">
                  <c:v>45145</c:v>
                </c:pt>
                <c:pt idx="606">
                  <c:v>45146</c:v>
                </c:pt>
                <c:pt idx="607">
                  <c:v>45147</c:v>
                </c:pt>
                <c:pt idx="608">
                  <c:v>45148</c:v>
                </c:pt>
                <c:pt idx="609">
                  <c:v>45149</c:v>
                </c:pt>
                <c:pt idx="610">
                  <c:v>45152</c:v>
                </c:pt>
                <c:pt idx="611">
                  <c:v>45153</c:v>
                </c:pt>
                <c:pt idx="612">
                  <c:v>45154</c:v>
                </c:pt>
                <c:pt idx="613">
                  <c:v>45155</c:v>
                </c:pt>
                <c:pt idx="614">
                  <c:v>45156</c:v>
                </c:pt>
                <c:pt idx="615">
                  <c:v>45159</c:v>
                </c:pt>
                <c:pt idx="616">
                  <c:v>45160</c:v>
                </c:pt>
                <c:pt idx="617">
                  <c:v>45161</c:v>
                </c:pt>
                <c:pt idx="618">
                  <c:v>45162</c:v>
                </c:pt>
                <c:pt idx="619">
                  <c:v>45163</c:v>
                </c:pt>
                <c:pt idx="620">
                  <c:v>45166</c:v>
                </c:pt>
                <c:pt idx="621">
                  <c:v>45167</c:v>
                </c:pt>
                <c:pt idx="622">
                  <c:v>45168</c:v>
                </c:pt>
                <c:pt idx="623">
                  <c:v>45169</c:v>
                </c:pt>
                <c:pt idx="624">
                  <c:v>45174</c:v>
                </c:pt>
                <c:pt idx="625">
                  <c:v>45175</c:v>
                </c:pt>
                <c:pt idx="626">
                  <c:v>45176</c:v>
                </c:pt>
                <c:pt idx="627">
                  <c:v>45177</c:v>
                </c:pt>
                <c:pt idx="628">
                  <c:v>45180</c:v>
                </c:pt>
                <c:pt idx="629">
                  <c:v>45181</c:v>
                </c:pt>
                <c:pt idx="630">
                  <c:v>45182</c:v>
                </c:pt>
                <c:pt idx="631">
                  <c:v>45183</c:v>
                </c:pt>
                <c:pt idx="632">
                  <c:v>45184</c:v>
                </c:pt>
                <c:pt idx="633">
                  <c:v>45187</c:v>
                </c:pt>
                <c:pt idx="634">
                  <c:v>45188</c:v>
                </c:pt>
                <c:pt idx="635">
                  <c:v>45189</c:v>
                </c:pt>
                <c:pt idx="636">
                  <c:v>45190</c:v>
                </c:pt>
                <c:pt idx="637">
                  <c:v>45191</c:v>
                </c:pt>
                <c:pt idx="638">
                  <c:v>45194</c:v>
                </c:pt>
                <c:pt idx="639">
                  <c:v>45195</c:v>
                </c:pt>
                <c:pt idx="640">
                  <c:v>45196</c:v>
                </c:pt>
                <c:pt idx="641">
                  <c:v>45197</c:v>
                </c:pt>
                <c:pt idx="642">
                  <c:v>45198</c:v>
                </c:pt>
                <c:pt idx="643">
                  <c:v>45201</c:v>
                </c:pt>
                <c:pt idx="644">
                  <c:v>45202</c:v>
                </c:pt>
                <c:pt idx="645">
                  <c:v>45203</c:v>
                </c:pt>
                <c:pt idx="646">
                  <c:v>45204</c:v>
                </c:pt>
                <c:pt idx="647">
                  <c:v>45205</c:v>
                </c:pt>
                <c:pt idx="648">
                  <c:v>45208</c:v>
                </c:pt>
                <c:pt idx="649">
                  <c:v>45209</c:v>
                </c:pt>
                <c:pt idx="650">
                  <c:v>45210</c:v>
                </c:pt>
                <c:pt idx="651">
                  <c:v>45211</c:v>
                </c:pt>
                <c:pt idx="652">
                  <c:v>45212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45222</c:v>
                </c:pt>
                <c:pt idx="659">
                  <c:v>45223</c:v>
                </c:pt>
                <c:pt idx="660">
                  <c:v>45224</c:v>
                </c:pt>
                <c:pt idx="661">
                  <c:v>45225</c:v>
                </c:pt>
                <c:pt idx="662">
                  <c:v>45226</c:v>
                </c:pt>
                <c:pt idx="663">
                  <c:v>45229</c:v>
                </c:pt>
                <c:pt idx="664">
                  <c:v>45230</c:v>
                </c:pt>
                <c:pt idx="665">
                  <c:v>45231</c:v>
                </c:pt>
                <c:pt idx="666">
                  <c:v>45232</c:v>
                </c:pt>
                <c:pt idx="667">
                  <c:v>45233</c:v>
                </c:pt>
                <c:pt idx="668">
                  <c:v>45236</c:v>
                </c:pt>
                <c:pt idx="669">
                  <c:v>45237</c:v>
                </c:pt>
                <c:pt idx="670">
                  <c:v>45238</c:v>
                </c:pt>
                <c:pt idx="671">
                  <c:v>45239</c:v>
                </c:pt>
                <c:pt idx="672">
                  <c:v>45240</c:v>
                </c:pt>
                <c:pt idx="673">
                  <c:v>45243</c:v>
                </c:pt>
                <c:pt idx="674">
                  <c:v>45244</c:v>
                </c:pt>
                <c:pt idx="675">
                  <c:v>45245</c:v>
                </c:pt>
                <c:pt idx="676">
                  <c:v>45246</c:v>
                </c:pt>
                <c:pt idx="677">
                  <c:v>45247</c:v>
                </c:pt>
                <c:pt idx="678">
                  <c:v>45250</c:v>
                </c:pt>
                <c:pt idx="679">
                  <c:v>45251</c:v>
                </c:pt>
                <c:pt idx="680">
                  <c:v>45252</c:v>
                </c:pt>
                <c:pt idx="681">
                  <c:v>45253</c:v>
                </c:pt>
                <c:pt idx="682">
                  <c:v>45254</c:v>
                </c:pt>
                <c:pt idx="683">
                  <c:v>45257</c:v>
                </c:pt>
                <c:pt idx="684">
                  <c:v>45258</c:v>
                </c:pt>
                <c:pt idx="685">
                  <c:v>45259</c:v>
                </c:pt>
                <c:pt idx="686">
                  <c:v>45260</c:v>
                </c:pt>
                <c:pt idx="687">
                  <c:v>45261</c:v>
                </c:pt>
                <c:pt idx="688">
                  <c:v>45264</c:v>
                </c:pt>
                <c:pt idx="689">
                  <c:v>45265</c:v>
                </c:pt>
                <c:pt idx="690">
                  <c:v>45266</c:v>
                </c:pt>
                <c:pt idx="691">
                  <c:v>45267</c:v>
                </c:pt>
                <c:pt idx="692">
                  <c:v>45268</c:v>
                </c:pt>
                <c:pt idx="693">
                  <c:v>45271</c:v>
                </c:pt>
                <c:pt idx="694">
                  <c:v>45272</c:v>
                </c:pt>
                <c:pt idx="695">
                  <c:v>45273</c:v>
                </c:pt>
                <c:pt idx="696">
                  <c:v>45274</c:v>
                </c:pt>
                <c:pt idx="697">
                  <c:v>45275</c:v>
                </c:pt>
                <c:pt idx="698">
                  <c:v>45278</c:v>
                </c:pt>
                <c:pt idx="699">
                  <c:v>45279</c:v>
                </c:pt>
                <c:pt idx="700">
                  <c:v>45280</c:v>
                </c:pt>
                <c:pt idx="701">
                  <c:v>45281</c:v>
                </c:pt>
                <c:pt idx="702">
                  <c:v>45282</c:v>
                </c:pt>
                <c:pt idx="703">
                  <c:v>45285</c:v>
                </c:pt>
                <c:pt idx="704">
                  <c:v>45286</c:v>
                </c:pt>
                <c:pt idx="705">
                  <c:v>45287</c:v>
                </c:pt>
                <c:pt idx="706">
                  <c:v>45288</c:v>
                </c:pt>
                <c:pt idx="707">
                  <c:v>45289</c:v>
                </c:pt>
                <c:pt idx="708">
                  <c:v>45293</c:v>
                </c:pt>
                <c:pt idx="709">
                  <c:v>45294</c:v>
                </c:pt>
                <c:pt idx="710">
                  <c:v>45295</c:v>
                </c:pt>
                <c:pt idx="711">
                  <c:v>45296</c:v>
                </c:pt>
                <c:pt idx="712">
                  <c:v>45299</c:v>
                </c:pt>
                <c:pt idx="713">
                  <c:v>45300</c:v>
                </c:pt>
                <c:pt idx="714">
                  <c:v>45301</c:v>
                </c:pt>
                <c:pt idx="715">
                  <c:v>45302</c:v>
                </c:pt>
                <c:pt idx="716">
                  <c:v>45303</c:v>
                </c:pt>
                <c:pt idx="717">
                  <c:v>45306</c:v>
                </c:pt>
                <c:pt idx="718">
                  <c:v>45307</c:v>
                </c:pt>
                <c:pt idx="719">
                  <c:v>45308</c:v>
                </c:pt>
                <c:pt idx="720">
                  <c:v>45309</c:v>
                </c:pt>
                <c:pt idx="721">
                  <c:v>45310</c:v>
                </c:pt>
                <c:pt idx="722">
                  <c:v>45313</c:v>
                </c:pt>
                <c:pt idx="723">
                  <c:v>45314</c:v>
                </c:pt>
                <c:pt idx="724">
                  <c:v>45315</c:v>
                </c:pt>
                <c:pt idx="725">
                  <c:v>45316</c:v>
                </c:pt>
                <c:pt idx="726">
                  <c:v>45317</c:v>
                </c:pt>
                <c:pt idx="727">
                  <c:v>45320</c:v>
                </c:pt>
                <c:pt idx="728">
                  <c:v>45321</c:v>
                </c:pt>
                <c:pt idx="729">
                  <c:v>45322</c:v>
                </c:pt>
                <c:pt idx="730">
                  <c:v>45323</c:v>
                </c:pt>
                <c:pt idx="731">
                  <c:v>45324</c:v>
                </c:pt>
                <c:pt idx="732">
                  <c:v>45327</c:v>
                </c:pt>
                <c:pt idx="733">
                  <c:v>45328</c:v>
                </c:pt>
                <c:pt idx="734">
                  <c:v>45329</c:v>
                </c:pt>
                <c:pt idx="735">
                  <c:v>45337</c:v>
                </c:pt>
                <c:pt idx="736">
                  <c:v>45338</c:v>
                </c:pt>
                <c:pt idx="737">
                  <c:v>45341</c:v>
                </c:pt>
                <c:pt idx="738">
                  <c:v>45342</c:v>
                </c:pt>
                <c:pt idx="739">
                  <c:v>45343</c:v>
                </c:pt>
                <c:pt idx="740">
                  <c:v>45344</c:v>
                </c:pt>
                <c:pt idx="741">
                  <c:v>45345</c:v>
                </c:pt>
                <c:pt idx="742">
                  <c:v>45348</c:v>
                </c:pt>
                <c:pt idx="743">
                  <c:v>45349</c:v>
                </c:pt>
                <c:pt idx="744">
                  <c:v>45350</c:v>
                </c:pt>
                <c:pt idx="745">
                  <c:v>45351</c:v>
                </c:pt>
                <c:pt idx="746">
                  <c:v>45352</c:v>
                </c:pt>
                <c:pt idx="747">
                  <c:v>45355</c:v>
                </c:pt>
                <c:pt idx="748">
                  <c:v>45356</c:v>
                </c:pt>
                <c:pt idx="749">
                  <c:v>45357</c:v>
                </c:pt>
                <c:pt idx="750">
                  <c:v>45358</c:v>
                </c:pt>
                <c:pt idx="751">
                  <c:v>45359</c:v>
                </c:pt>
                <c:pt idx="752">
                  <c:v>45362</c:v>
                </c:pt>
                <c:pt idx="753">
                  <c:v>45363</c:v>
                </c:pt>
                <c:pt idx="754">
                  <c:v>45364</c:v>
                </c:pt>
                <c:pt idx="755">
                  <c:v>45365</c:v>
                </c:pt>
                <c:pt idx="756">
                  <c:v>45366</c:v>
                </c:pt>
                <c:pt idx="757">
                  <c:v>45369</c:v>
                </c:pt>
                <c:pt idx="758">
                  <c:v>45370</c:v>
                </c:pt>
                <c:pt idx="759">
                  <c:v>45371</c:v>
                </c:pt>
                <c:pt idx="760">
                  <c:v>45372</c:v>
                </c:pt>
                <c:pt idx="761">
                  <c:v>45373</c:v>
                </c:pt>
                <c:pt idx="762">
                  <c:v>45376</c:v>
                </c:pt>
                <c:pt idx="763">
                  <c:v>45377</c:v>
                </c:pt>
                <c:pt idx="764">
                  <c:v>45378</c:v>
                </c:pt>
                <c:pt idx="765">
                  <c:v>45379</c:v>
                </c:pt>
                <c:pt idx="766">
                  <c:v>45380</c:v>
                </c:pt>
                <c:pt idx="767">
                  <c:v>45383</c:v>
                </c:pt>
                <c:pt idx="768">
                  <c:v>45384</c:v>
                </c:pt>
                <c:pt idx="769">
                  <c:v>45385</c:v>
                </c:pt>
                <c:pt idx="770">
                  <c:v>45386</c:v>
                </c:pt>
                <c:pt idx="771">
                  <c:v>45387</c:v>
                </c:pt>
                <c:pt idx="772">
                  <c:v>45390</c:v>
                </c:pt>
                <c:pt idx="773">
                  <c:v>45391</c:v>
                </c:pt>
                <c:pt idx="774">
                  <c:v>45392</c:v>
                </c:pt>
                <c:pt idx="775">
                  <c:v>45393</c:v>
                </c:pt>
                <c:pt idx="776">
                  <c:v>45394</c:v>
                </c:pt>
                <c:pt idx="777">
                  <c:v>45397</c:v>
                </c:pt>
                <c:pt idx="778">
                  <c:v>45398</c:v>
                </c:pt>
                <c:pt idx="779">
                  <c:v>45399</c:v>
                </c:pt>
                <c:pt idx="780">
                  <c:v>45401</c:v>
                </c:pt>
                <c:pt idx="781">
                  <c:v>45404</c:v>
                </c:pt>
                <c:pt idx="782">
                  <c:v>45405</c:v>
                </c:pt>
                <c:pt idx="783">
                  <c:v>45406</c:v>
                </c:pt>
                <c:pt idx="784">
                  <c:v>45407</c:v>
                </c:pt>
                <c:pt idx="785">
                  <c:v>45408</c:v>
                </c:pt>
                <c:pt idx="786">
                  <c:v>45414</c:v>
                </c:pt>
                <c:pt idx="787">
                  <c:v>45415</c:v>
                </c:pt>
                <c:pt idx="788">
                  <c:v>45418</c:v>
                </c:pt>
                <c:pt idx="789">
                  <c:v>45419</c:v>
                </c:pt>
                <c:pt idx="790">
                  <c:v>45420</c:v>
                </c:pt>
                <c:pt idx="791">
                  <c:v>45421</c:v>
                </c:pt>
                <c:pt idx="792">
                  <c:v>45422</c:v>
                </c:pt>
                <c:pt idx="793">
                  <c:v>45425</c:v>
                </c:pt>
                <c:pt idx="794">
                  <c:v>45426</c:v>
                </c:pt>
                <c:pt idx="795">
                  <c:v>45427</c:v>
                </c:pt>
                <c:pt idx="796">
                  <c:v>45428</c:v>
                </c:pt>
                <c:pt idx="797">
                  <c:v>45429</c:v>
                </c:pt>
                <c:pt idx="798">
                  <c:v>45432</c:v>
                </c:pt>
                <c:pt idx="799">
                  <c:v>45433</c:v>
                </c:pt>
                <c:pt idx="800">
                  <c:v>45434</c:v>
                </c:pt>
                <c:pt idx="801">
                  <c:v>45435</c:v>
                </c:pt>
                <c:pt idx="802">
                  <c:v>45436</c:v>
                </c:pt>
                <c:pt idx="803">
                  <c:v>45439</c:v>
                </c:pt>
                <c:pt idx="804">
                  <c:v>45440</c:v>
                </c:pt>
                <c:pt idx="805">
                  <c:v>45441</c:v>
                </c:pt>
                <c:pt idx="806">
                  <c:v>45442</c:v>
                </c:pt>
                <c:pt idx="807">
                  <c:v>45443</c:v>
                </c:pt>
                <c:pt idx="808">
                  <c:v>45446</c:v>
                </c:pt>
                <c:pt idx="809">
                  <c:v>45447</c:v>
                </c:pt>
                <c:pt idx="810">
                  <c:v>45448</c:v>
                </c:pt>
                <c:pt idx="811">
                  <c:v>45449</c:v>
                </c:pt>
                <c:pt idx="812">
                  <c:v>45450</c:v>
                </c:pt>
                <c:pt idx="813">
                  <c:v>45453</c:v>
                </c:pt>
                <c:pt idx="814">
                  <c:v>45454</c:v>
                </c:pt>
                <c:pt idx="815">
                  <c:v>45455</c:v>
                </c:pt>
                <c:pt idx="816">
                  <c:v>45456</c:v>
                </c:pt>
                <c:pt idx="817">
                  <c:v>45457</c:v>
                </c:pt>
                <c:pt idx="818">
                  <c:v>45460</c:v>
                </c:pt>
                <c:pt idx="819">
                  <c:v>45461</c:v>
                </c:pt>
                <c:pt idx="820">
                  <c:v>45462</c:v>
                </c:pt>
                <c:pt idx="821">
                  <c:v>45463</c:v>
                </c:pt>
                <c:pt idx="822">
                  <c:v>45464</c:v>
                </c:pt>
                <c:pt idx="823">
                  <c:v>45467</c:v>
                </c:pt>
                <c:pt idx="824">
                  <c:v>45468</c:v>
                </c:pt>
                <c:pt idx="825">
                  <c:v>45469</c:v>
                </c:pt>
                <c:pt idx="826">
                  <c:v>45470</c:v>
                </c:pt>
                <c:pt idx="827">
                  <c:v>45471</c:v>
                </c:pt>
                <c:pt idx="828">
                  <c:v>45474</c:v>
                </c:pt>
                <c:pt idx="829">
                  <c:v>45475</c:v>
                </c:pt>
                <c:pt idx="830">
                  <c:v>45476</c:v>
                </c:pt>
                <c:pt idx="831">
                  <c:v>45477</c:v>
                </c:pt>
                <c:pt idx="832">
                  <c:v>45478</c:v>
                </c:pt>
                <c:pt idx="833">
                  <c:v>45481</c:v>
                </c:pt>
                <c:pt idx="834">
                  <c:v>45482</c:v>
                </c:pt>
                <c:pt idx="835">
                  <c:v>45483</c:v>
                </c:pt>
                <c:pt idx="836">
                  <c:v>45484</c:v>
                </c:pt>
                <c:pt idx="837">
                  <c:v>45485</c:v>
                </c:pt>
                <c:pt idx="838">
                  <c:v>45488</c:v>
                </c:pt>
                <c:pt idx="839">
                  <c:v>45489</c:v>
                </c:pt>
                <c:pt idx="840">
                  <c:v>45490</c:v>
                </c:pt>
                <c:pt idx="841">
                  <c:v>45491</c:v>
                </c:pt>
                <c:pt idx="842">
                  <c:v>45492</c:v>
                </c:pt>
                <c:pt idx="843">
                  <c:v>45495</c:v>
                </c:pt>
                <c:pt idx="844">
                  <c:v>45496</c:v>
                </c:pt>
                <c:pt idx="845">
                  <c:v>45497</c:v>
                </c:pt>
                <c:pt idx="846">
                  <c:v>45498</c:v>
                </c:pt>
                <c:pt idx="847">
                  <c:v>45499</c:v>
                </c:pt>
                <c:pt idx="848">
                  <c:v>45502</c:v>
                </c:pt>
                <c:pt idx="849">
                  <c:v>45503</c:v>
                </c:pt>
                <c:pt idx="850">
                  <c:v>45504</c:v>
                </c:pt>
                <c:pt idx="851">
                  <c:v>45505</c:v>
                </c:pt>
                <c:pt idx="852">
                  <c:v>45506</c:v>
                </c:pt>
                <c:pt idx="853">
                  <c:v>45509</c:v>
                </c:pt>
                <c:pt idx="854">
                  <c:v>45510</c:v>
                </c:pt>
                <c:pt idx="855">
                  <c:v>45511</c:v>
                </c:pt>
                <c:pt idx="856">
                  <c:v>45512</c:v>
                </c:pt>
                <c:pt idx="857">
                  <c:v>45513</c:v>
                </c:pt>
                <c:pt idx="858">
                  <c:v>45516</c:v>
                </c:pt>
                <c:pt idx="859">
                  <c:v>45517</c:v>
                </c:pt>
                <c:pt idx="860">
                  <c:v>45518</c:v>
                </c:pt>
                <c:pt idx="861">
                  <c:v>45519</c:v>
                </c:pt>
                <c:pt idx="862">
                  <c:v>45520</c:v>
                </c:pt>
                <c:pt idx="863">
                  <c:v>45523</c:v>
                </c:pt>
                <c:pt idx="864">
                  <c:v>45524</c:v>
                </c:pt>
                <c:pt idx="865">
                  <c:v>45525</c:v>
                </c:pt>
                <c:pt idx="866">
                  <c:v>45526</c:v>
                </c:pt>
                <c:pt idx="867">
                  <c:v>45527</c:v>
                </c:pt>
                <c:pt idx="868">
                  <c:v>45530</c:v>
                </c:pt>
                <c:pt idx="869">
                  <c:v>45531</c:v>
                </c:pt>
                <c:pt idx="870">
                  <c:v>45532</c:v>
                </c:pt>
                <c:pt idx="871">
                  <c:v>45533</c:v>
                </c:pt>
                <c:pt idx="872">
                  <c:v>45534</c:v>
                </c:pt>
                <c:pt idx="873">
                  <c:v>45539</c:v>
                </c:pt>
                <c:pt idx="874">
                  <c:v>45540</c:v>
                </c:pt>
                <c:pt idx="875">
                  <c:v>45541</c:v>
                </c:pt>
                <c:pt idx="876">
                  <c:v>45544</c:v>
                </c:pt>
                <c:pt idx="877">
                  <c:v>45545</c:v>
                </c:pt>
                <c:pt idx="878">
                  <c:v>45546</c:v>
                </c:pt>
                <c:pt idx="879">
                  <c:v>45547</c:v>
                </c:pt>
                <c:pt idx="880">
                  <c:v>45548</c:v>
                </c:pt>
                <c:pt idx="881">
                  <c:v>45551</c:v>
                </c:pt>
                <c:pt idx="882">
                  <c:v>45552</c:v>
                </c:pt>
                <c:pt idx="883">
                  <c:v>45553</c:v>
                </c:pt>
                <c:pt idx="884">
                  <c:v>45554</c:v>
                </c:pt>
                <c:pt idx="885">
                  <c:v>45555</c:v>
                </c:pt>
                <c:pt idx="886">
                  <c:v>45558</c:v>
                </c:pt>
                <c:pt idx="887">
                  <c:v>45559</c:v>
                </c:pt>
                <c:pt idx="888">
                  <c:v>45560</c:v>
                </c:pt>
                <c:pt idx="889">
                  <c:v>45561</c:v>
                </c:pt>
                <c:pt idx="890">
                  <c:v>45562</c:v>
                </c:pt>
                <c:pt idx="891">
                  <c:v>45565</c:v>
                </c:pt>
                <c:pt idx="892">
                  <c:v>45566</c:v>
                </c:pt>
                <c:pt idx="893">
                  <c:v>45567</c:v>
                </c:pt>
                <c:pt idx="894">
                  <c:v>45568</c:v>
                </c:pt>
                <c:pt idx="895">
                  <c:v>45569</c:v>
                </c:pt>
                <c:pt idx="896">
                  <c:v>45572</c:v>
                </c:pt>
                <c:pt idx="897">
                  <c:v>45573</c:v>
                </c:pt>
                <c:pt idx="898">
                  <c:v>45574</c:v>
                </c:pt>
                <c:pt idx="899">
                  <c:v>45575</c:v>
                </c:pt>
                <c:pt idx="900">
                  <c:v>45576</c:v>
                </c:pt>
                <c:pt idx="901">
                  <c:v>45579</c:v>
                </c:pt>
                <c:pt idx="902">
                  <c:v>45580</c:v>
                </c:pt>
                <c:pt idx="903">
                  <c:v>45581</c:v>
                </c:pt>
                <c:pt idx="904">
                  <c:v>45582</c:v>
                </c:pt>
                <c:pt idx="905">
                  <c:v>45583</c:v>
                </c:pt>
                <c:pt idx="906">
                  <c:v>45586</c:v>
                </c:pt>
                <c:pt idx="907">
                  <c:v>45587</c:v>
                </c:pt>
                <c:pt idx="908">
                  <c:v>45588</c:v>
                </c:pt>
                <c:pt idx="909">
                  <c:v>45589</c:v>
                </c:pt>
                <c:pt idx="910">
                  <c:v>45590</c:v>
                </c:pt>
                <c:pt idx="911">
                  <c:v>45593</c:v>
                </c:pt>
                <c:pt idx="912">
                  <c:v>45594</c:v>
                </c:pt>
                <c:pt idx="913">
                  <c:v>45595</c:v>
                </c:pt>
                <c:pt idx="914">
                  <c:v>45596</c:v>
                </c:pt>
                <c:pt idx="915">
                  <c:v>45597</c:v>
                </c:pt>
                <c:pt idx="916">
                  <c:v>45600</c:v>
                </c:pt>
                <c:pt idx="917">
                  <c:v>45601</c:v>
                </c:pt>
                <c:pt idx="918">
                  <c:v>45602</c:v>
                </c:pt>
                <c:pt idx="919">
                  <c:v>45603</c:v>
                </c:pt>
                <c:pt idx="920">
                  <c:v>45604</c:v>
                </c:pt>
                <c:pt idx="921">
                  <c:v>45607</c:v>
                </c:pt>
                <c:pt idx="922">
                  <c:v>45608</c:v>
                </c:pt>
                <c:pt idx="923">
                  <c:v>45609</c:v>
                </c:pt>
                <c:pt idx="924">
                  <c:v>45610</c:v>
                </c:pt>
                <c:pt idx="925">
                  <c:v>45611</c:v>
                </c:pt>
                <c:pt idx="926">
                  <c:v>45614</c:v>
                </c:pt>
                <c:pt idx="927">
                  <c:v>45615</c:v>
                </c:pt>
                <c:pt idx="928">
                  <c:v>45616</c:v>
                </c:pt>
                <c:pt idx="929">
                  <c:v>45617</c:v>
                </c:pt>
                <c:pt idx="930">
                  <c:v>45618</c:v>
                </c:pt>
                <c:pt idx="931">
                  <c:v>45621</c:v>
                </c:pt>
                <c:pt idx="932">
                  <c:v>45622</c:v>
                </c:pt>
                <c:pt idx="933">
                  <c:v>45623</c:v>
                </c:pt>
                <c:pt idx="934">
                  <c:v>45624</c:v>
                </c:pt>
                <c:pt idx="935">
                  <c:v>45625</c:v>
                </c:pt>
                <c:pt idx="936">
                  <c:v>45628</c:v>
                </c:pt>
                <c:pt idx="937">
                  <c:v>45629</c:v>
                </c:pt>
                <c:pt idx="938">
                  <c:v>45630</c:v>
                </c:pt>
                <c:pt idx="939">
                  <c:v>45631</c:v>
                </c:pt>
                <c:pt idx="940">
                  <c:v>45632</c:v>
                </c:pt>
                <c:pt idx="941">
                  <c:v>45635</c:v>
                </c:pt>
                <c:pt idx="942">
                  <c:v>45636</c:v>
                </c:pt>
                <c:pt idx="943">
                  <c:v>45637</c:v>
                </c:pt>
                <c:pt idx="944">
                  <c:v>45638</c:v>
                </c:pt>
                <c:pt idx="945">
                  <c:v>45639</c:v>
                </c:pt>
                <c:pt idx="946">
                  <c:v>45642</c:v>
                </c:pt>
                <c:pt idx="947">
                  <c:v>45643</c:v>
                </c:pt>
                <c:pt idx="948">
                  <c:v>45644</c:v>
                </c:pt>
                <c:pt idx="949">
                  <c:v>45645</c:v>
                </c:pt>
                <c:pt idx="950">
                  <c:v>45646</c:v>
                </c:pt>
                <c:pt idx="951">
                  <c:v>45649</c:v>
                </c:pt>
                <c:pt idx="952">
                  <c:v>45650</c:v>
                </c:pt>
                <c:pt idx="953">
                  <c:v>45651</c:v>
                </c:pt>
                <c:pt idx="954">
                  <c:v>45652</c:v>
                </c:pt>
                <c:pt idx="955">
                  <c:v>45653</c:v>
                </c:pt>
                <c:pt idx="956">
                  <c:v>45656</c:v>
                </c:pt>
                <c:pt idx="957">
                  <c:v>45657</c:v>
                </c:pt>
                <c:pt idx="958">
                  <c:v>45659</c:v>
                </c:pt>
                <c:pt idx="959">
                  <c:v>45660</c:v>
                </c:pt>
                <c:pt idx="960">
                  <c:v>45663</c:v>
                </c:pt>
                <c:pt idx="961">
                  <c:v>45664</c:v>
                </c:pt>
                <c:pt idx="962">
                  <c:v>45665</c:v>
                </c:pt>
                <c:pt idx="963">
                  <c:v>45666</c:v>
                </c:pt>
                <c:pt idx="964">
                  <c:v>45667</c:v>
                </c:pt>
                <c:pt idx="965">
                  <c:v>45670</c:v>
                </c:pt>
                <c:pt idx="966">
                  <c:v>45671</c:v>
                </c:pt>
                <c:pt idx="967">
                  <c:v>45672</c:v>
                </c:pt>
                <c:pt idx="968">
                  <c:v>45673</c:v>
                </c:pt>
                <c:pt idx="969">
                  <c:v>45674</c:v>
                </c:pt>
                <c:pt idx="970">
                  <c:v>45677</c:v>
                </c:pt>
                <c:pt idx="971">
                  <c:v>45678</c:v>
                </c:pt>
                <c:pt idx="972">
                  <c:v>45679</c:v>
                </c:pt>
                <c:pt idx="973">
                  <c:v>45680</c:v>
                </c:pt>
                <c:pt idx="974">
                  <c:v>45681</c:v>
                </c:pt>
                <c:pt idx="975">
                  <c:v>45691</c:v>
                </c:pt>
                <c:pt idx="976">
                  <c:v>45692</c:v>
                </c:pt>
                <c:pt idx="977">
                  <c:v>45693</c:v>
                </c:pt>
                <c:pt idx="978">
                  <c:v>45694</c:v>
                </c:pt>
                <c:pt idx="979">
                  <c:v>45695</c:v>
                </c:pt>
                <c:pt idx="980">
                  <c:v>45698</c:v>
                </c:pt>
                <c:pt idx="981">
                  <c:v>45699</c:v>
                </c:pt>
                <c:pt idx="982">
                  <c:v>45700</c:v>
                </c:pt>
                <c:pt idx="983">
                  <c:v>45701</c:v>
                </c:pt>
                <c:pt idx="984">
                  <c:v>45702</c:v>
                </c:pt>
                <c:pt idx="985">
                  <c:v>45705</c:v>
                </c:pt>
                <c:pt idx="986">
                  <c:v>45706</c:v>
                </c:pt>
                <c:pt idx="987">
                  <c:v>45707</c:v>
                </c:pt>
                <c:pt idx="988">
                  <c:v>45708</c:v>
                </c:pt>
                <c:pt idx="989">
                  <c:v>45709</c:v>
                </c:pt>
                <c:pt idx="990">
                  <c:v>45712</c:v>
                </c:pt>
                <c:pt idx="991">
                  <c:v>45713</c:v>
                </c:pt>
                <c:pt idx="992">
                  <c:v>45714</c:v>
                </c:pt>
                <c:pt idx="993">
                  <c:v>45715</c:v>
                </c:pt>
                <c:pt idx="994">
                  <c:v>45716</c:v>
                </c:pt>
                <c:pt idx="995">
                  <c:v>45719</c:v>
                </c:pt>
                <c:pt idx="996">
                  <c:v>45720</c:v>
                </c:pt>
                <c:pt idx="997">
                  <c:v>45721</c:v>
                </c:pt>
                <c:pt idx="998">
                  <c:v>45722</c:v>
                </c:pt>
                <c:pt idx="999">
                  <c:v>45723</c:v>
                </c:pt>
                <c:pt idx="1000">
                  <c:v>45726</c:v>
                </c:pt>
                <c:pt idx="1001">
                  <c:v>45727</c:v>
                </c:pt>
                <c:pt idx="1002">
                  <c:v>45728</c:v>
                </c:pt>
                <c:pt idx="1003">
                  <c:v>45729</c:v>
                </c:pt>
                <c:pt idx="1004">
                  <c:v>45730</c:v>
                </c:pt>
                <c:pt idx="1005">
                  <c:v>45733</c:v>
                </c:pt>
                <c:pt idx="1006">
                  <c:v>45734</c:v>
                </c:pt>
                <c:pt idx="1007">
                  <c:v>45735</c:v>
                </c:pt>
                <c:pt idx="1008">
                  <c:v>45736</c:v>
                </c:pt>
                <c:pt idx="1009">
                  <c:v>45737</c:v>
                </c:pt>
                <c:pt idx="1010">
                  <c:v>45740</c:v>
                </c:pt>
                <c:pt idx="1011">
                  <c:v>45741</c:v>
                </c:pt>
                <c:pt idx="1012">
                  <c:v>45742</c:v>
                </c:pt>
                <c:pt idx="1013">
                  <c:v>45743</c:v>
                </c:pt>
                <c:pt idx="1014">
                  <c:v>45744</c:v>
                </c:pt>
                <c:pt idx="1015">
                  <c:v>45747</c:v>
                </c:pt>
                <c:pt idx="1016">
                  <c:v>45748</c:v>
                </c:pt>
                <c:pt idx="1017">
                  <c:v>45749</c:v>
                </c:pt>
                <c:pt idx="1018">
                  <c:v>45750</c:v>
                </c:pt>
                <c:pt idx="1019">
                  <c:v>45751</c:v>
                </c:pt>
                <c:pt idx="1020">
                  <c:v>45755</c:v>
                </c:pt>
                <c:pt idx="1021">
                  <c:v>45756</c:v>
                </c:pt>
                <c:pt idx="1022">
                  <c:v>45757</c:v>
                </c:pt>
                <c:pt idx="1023">
                  <c:v>45758</c:v>
                </c:pt>
                <c:pt idx="1024">
                  <c:v>45761</c:v>
                </c:pt>
                <c:pt idx="1025">
                  <c:v>45762</c:v>
                </c:pt>
                <c:pt idx="1026">
                  <c:v>45763</c:v>
                </c:pt>
                <c:pt idx="1027">
                  <c:v>45764</c:v>
                </c:pt>
                <c:pt idx="1028">
                  <c:v>45765</c:v>
                </c:pt>
                <c:pt idx="1029">
                  <c:v>45768</c:v>
                </c:pt>
                <c:pt idx="1030">
                  <c:v>45769</c:v>
                </c:pt>
                <c:pt idx="1031">
                  <c:v>45770</c:v>
                </c:pt>
                <c:pt idx="1032">
                  <c:v>45771</c:v>
                </c:pt>
                <c:pt idx="1033">
                  <c:v>45772</c:v>
                </c:pt>
                <c:pt idx="1034">
                  <c:v>45775</c:v>
                </c:pt>
                <c:pt idx="1035">
                  <c:v>45776</c:v>
                </c:pt>
                <c:pt idx="1036">
                  <c:v>45782</c:v>
                </c:pt>
                <c:pt idx="1037">
                  <c:v>45783</c:v>
                </c:pt>
                <c:pt idx="1038">
                  <c:v>45784</c:v>
                </c:pt>
                <c:pt idx="1039">
                  <c:v>45785</c:v>
                </c:pt>
                <c:pt idx="1040">
                  <c:v>45786</c:v>
                </c:pt>
                <c:pt idx="1041">
                  <c:v>45789</c:v>
                </c:pt>
                <c:pt idx="1042">
                  <c:v>45790</c:v>
                </c:pt>
                <c:pt idx="1043">
                  <c:v>45791</c:v>
                </c:pt>
                <c:pt idx="1044">
                  <c:v>45792</c:v>
                </c:pt>
                <c:pt idx="1045">
                  <c:v>45793</c:v>
                </c:pt>
                <c:pt idx="1046">
                  <c:v>45796</c:v>
                </c:pt>
                <c:pt idx="1047">
                  <c:v>45797</c:v>
                </c:pt>
                <c:pt idx="1048">
                  <c:v>45798</c:v>
                </c:pt>
                <c:pt idx="1049">
                  <c:v>45799</c:v>
                </c:pt>
                <c:pt idx="1050">
                  <c:v>45800</c:v>
                </c:pt>
                <c:pt idx="1051">
                  <c:v>45803</c:v>
                </c:pt>
                <c:pt idx="1052">
                  <c:v>45804</c:v>
                </c:pt>
                <c:pt idx="1053">
                  <c:v>45805</c:v>
                </c:pt>
                <c:pt idx="1054">
                  <c:v>45806</c:v>
                </c:pt>
                <c:pt idx="1055">
                  <c:v>45807</c:v>
                </c:pt>
                <c:pt idx="1056">
                  <c:v>45810</c:v>
                </c:pt>
                <c:pt idx="1057">
                  <c:v>45811</c:v>
                </c:pt>
                <c:pt idx="1058">
                  <c:v>45812</c:v>
                </c:pt>
                <c:pt idx="1059">
                  <c:v>45813</c:v>
                </c:pt>
                <c:pt idx="1060">
                  <c:v>45814</c:v>
                </c:pt>
                <c:pt idx="1061">
                  <c:v>45817</c:v>
                </c:pt>
                <c:pt idx="1062">
                  <c:v>45818</c:v>
                </c:pt>
                <c:pt idx="1063">
                  <c:v>45819</c:v>
                </c:pt>
                <c:pt idx="1064">
                  <c:v>45820</c:v>
                </c:pt>
                <c:pt idx="1065">
                  <c:v>45821</c:v>
                </c:pt>
                <c:pt idx="1066">
                  <c:v>45824</c:v>
                </c:pt>
                <c:pt idx="1067">
                  <c:v>45825</c:v>
                </c:pt>
                <c:pt idx="1068">
                  <c:v>45826</c:v>
                </c:pt>
                <c:pt idx="1069">
                  <c:v>45827</c:v>
                </c:pt>
                <c:pt idx="1070">
                  <c:v>45828</c:v>
                </c:pt>
                <c:pt idx="1071">
                  <c:v>45831</c:v>
                </c:pt>
                <c:pt idx="1072">
                  <c:v>45832</c:v>
                </c:pt>
                <c:pt idx="1073">
                  <c:v>45833</c:v>
                </c:pt>
                <c:pt idx="1074">
                  <c:v>45834</c:v>
                </c:pt>
                <c:pt idx="1075">
                  <c:v>45835</c:v>
                </c:pt>
                <c:pt idx="1076">
                  <c:v>45838</c:v>
                </c:pt>
                <c:pt idx="1077">
                  <c:v>45839</c:v>
                </c:pt>
                <c:pt idx="1078">
                  <c:v>45840</c:v>
                </c:pt>
                <c:pt idx="1079">
                  <c:v>45841</c:v>
                </c:pt>
                <c:pt idx="1080">
                  <c:v>45842</c:v>
                </c:pt>
                <c:pt idx="1081">
                  <c:v>45845</c:v>
                </c:pt>
                <c:pt idx="1082">
                  <c:v>45846</c:v>
                </c:pt>
                <c:pt idx="1083">
                  <c:v>45847</c:v>
                </c:pt>
                <c:pt idx="1084">
                  <c:v>45848</c:v>
                </c:pt>
                <c:pt idx="1085">
                  <c:v>45849</c:v>
                </c:pt>
                <c:pt idx="1086">
                  <c:v>45852</c:v>
                </c:pt>
                <c:pt idx="1087">
                  <c:v>45853</c:v>
                </c:pt>
                <c:pt idx="1088">
                  <c:v>45854</c:v>
                </c:pt>
                <c:pt idx="1089">
                  <c:v>45855</c:v>
                </c:pt>
                <c:pt idx="1090">
                  <c:v>45856</c:v>
                </c:pt>
                <c:pt idx="1091">
                  <c:v>45859</c:v>
                </c:pt>
                <c:pt idx="1092">
                  <c:v>45860</c:v>
                </c:pt>
                <c:pt idx="1093">
                  <c:v>45861</c:v>
                </c:pt>
                <c:pt idx="1094">
                  <c:v>45862</c:v>
                </c:pt>
                <c:pt idx="1095">
                  <c:v>45863</c:v>
                </c:pt>
                <c:pt idx="1096">
                  <c:v>45866</c:v>
                </c:pt>
                <c:pt idx="1097">
                  <c:v>45867</c:v>
                </c:pt>
                <c:pt idx="1098">
                  <c:v>45868</c:v>
                </c:pt>
                <c:pt idx="1099">
                  <c:v>45869</c:v>
                </c:pt>
                <c:pt idx="1100">
                  <c:v>45870</c:v>
                </c:pt>
                <c:pt idx="1101">
                  <c:v>45873</c:v>
                </c:pt>
                <c:pt idx="1102">
                  <c:v>45874</c:v>
                </c:pt>
                <c:pt idx="1103">
                  <c:v>45875</c:v>
                </c:pt>
                <c:pt idx="1104">
                  <c:v>45876</c:v>
                </c:pt>
                <c:pt idx="1105">
                  <c:v>45877</c:v>
                </c:pt>
                <c:pt idx="1106">
                  <c:v>45880</c:v>
                </c:pt>
                <c:pt idx="1107">
                  <c:v>45881</c:v>
                </c:pt>
                <c:pt idx="1108">
                  <c:v>45882</c:v>
                </c:pt>
                <c:pt idx="1109">
                  <c:v>45883</c:v>
                </c:pt>
                <c:pt idx="1110">
                  <c:v>45884</c:v>
                </c:pt>
                <c:pt idx="1111">
                  <c:v>45887</c:v>
                </c:pt>
                <c:pt idx="1112">
                  <c:v>45888</c:v>
                </c:pt>
                <c:pt idx="1113">
                  <c:v>45889</c:v>
                </c:pt>
                <c:pt idx="1114">
                  <c:v>45890</c:v>
                </c:pt>
                <c:pt idx="1115">
                  <c:v>45891</c:v>
                </c:pt>
                <c:pt idx="1116">
                  <c:v>45894</c:v>
                </c:pt>
                <c:pt idx="1117">
                  <c:v>45895</c:v>
                </c:pt>
                <c:pt idx="1118">
                  <c:v>45896</c:v>
                </c:pt>
                <c:pt idx="1119">
                  <c:v>45897</c:v>
                </c:pt>
                <c:pt idx="1120">
                  <c:v>45898</c:v>
                </c:pt>
                <c:pt idx="1121">
                  <c:v>45903</c:v>
                </c:pt>
                <c:pt idx="1122">
                  <c:v>45904</c:v>
                </c:pt>
                <c:pt idx="1123">
                  <c:v>45905</c:v>
                </c:pt>
                <c:pt idx="1124">
                  <c:v>45908</c:v>
                </c:pt>
                <c:pt idx="1125">
                  <c:v>45909</c:v>
                </c:pt>
                <c:pt idx="1126">
                  <c:v>45910</c:v>
                </c:pt>
                <c:pt idx="1127">
                  <c:v>45911</c:v>
                </c:pt>
                <c:pt idx="1128">
                  <c:v>45912</c:v>
                </c:pt>
                <c:pt idx="1129">
                  <c:v>45915</c:v>
                </c:pt>
                <c:pt idx="1130">
                  <c:v>45916</c:v>
                </c:pt>
                <c:pt idx="1131">
                  <c:v>45917</c:v>
                </c:pt>
                <c:pt idx="1132">
                  <c:v>45918</c:v>
                </c:pt>
                <c:pt idx="1133">
                  <c:v>45919</c:v>
                </c:pt>
                <c:pt idx="1134">
                  <c:v>45922</c:v>
                </c:pt>
                <c:pt idx="1135">
                  <c:v>45923</c:v>
                </c:pt>
                <c:pt idx="1136">
                  <c:v>45924</c:v>
                </c:pt>
                <c:pt idx="1137">
                  <c:v>45925</c:v>
                </c:pt>
                <c:pt idx="1138">
                  <c:v>45926</c:v>
                </c:pt>
                <c:pt idx="1139">
                  <c:v>45929</c:v>
                </c:pt>
                <c:pt idx="1140">
                  <c:v>45930</c:v>
                </c:pt>
                <c:pt idx="1141">
                  <c:v>45931</c:v>
                </c:pt>
                <c:pt idx="1142">
                  <c:v>45932</c:v>
                </c:pt>
                <c:pt idx="1143">
                  <c:v>45933</c:v>
                </c:pt>
                <c:pt idx="1144">
                  <c:v>45936</c:v>
                </c:pt>
                <c:pt idx="1145">
                  <c:v>45937</c:v>
                </c:pt>
                <c:pt idx="1146">
                  <c:v>45938</c:v>
                </c:pt>
                <c:pt idx="1147">
                  <c:v>45939</c:v>
                </c:pt>
                <c:pt idx="1148">
                  <c:v>45940</c:v>
                </c:pt>
                <c:pt idx="1149">
                  <c:v>45943</c:v>
                </c:pt>
                <c:pt idx="1150">
                  <c:v>45944</c:v>
                </c:pt>
                <c:pt idx="1151">
                  <c:v>45945</c:v>
                </c:pt>
                <c:pt idx="1152">
                  <c:v>45946</c:v>
                </c:pt>
                <c:pt idx="1153">
                  <c:v>45947</c:v>
                </c:pt>
                <c:pt idx="1154">
                  <c:v>45950</c:v>
                </c:pt>
                <c:pt idx="1155">
                  <c:v>45951</c:v>
                </c:pt>
                <c:pt idx="1156">
                  <c:v>45952</c:v>
                </c:pt>
                <c:pt idx="1157">
                  <c:v>45953</c:v>
                </c:pt>
                <c:pt idx="1158">
                  <c:v>45954</c:v>
                </c:pt>
                <c:pt idx="1159">
                  <c:v>45957</c:v>
                </c:pt>
                <c:pt idx="1160">
                  <c:v>45958</c:v>
                </c:pt>
                <c:pt idx="1161">
                  <c:v>45959</c:v>
                </c:pt>
                <c:pt idx="1162">
                  <c:v>45960</c:v>
                </c:pt>
                <c:pt idx="1163">
                  <c:v>45961</c:v>
                </c:pt>
                <c:pt idx="1164">
                  <c:v>45964</c:v>
                </c:pt>
                <c:pt idx="1165">
                  <c:v>45965</c:v>
                </c:pt>
                <c:pt idx="1166">
                  <c:v>45966</c:v>
                </c:pt>
                <c:pt idx="1167">
                  <c:v>45967</c:v>
                </c:pt>
                <c:pt idx="1168">
                  <c:v>45968</c:v>
                </c:pt>
                <c:pt idx="1169">
                  <c:v>45971</c:v>
                </c:pt>
                <c:pt idx="1170">
                  <c:v>45972</c:v>
                </c:pt>
                <c:pt idx="1171">
                  <c:v>45973</c:v>
                </c:pt>
                <c:pt idx="1172">
                  <c:v>45974</c:v>
                </c:pt>
                <c:pt idx="1173">
                  <c:v>45975</c:v>
                </c:pt>
                <c:pt idx="1174">
                  <c:v>45978</c:v>
                </c:pt>
                <c:pt idx="1175">
                  <c:v>45979</c:v>
                </c:pt>
                <c:pt idx="1176">
                  <c:v>45980</c:v>
                </c:pt>
                <c:pt idx="1177">
                  <c:v>45981</c:v>
                </c:pt>
                <c:pt idx="1178">
                  <c:v>45982</c:v>
                </c:pt>
                <c:pt idx="1179">
                  <c:v>45985</c:v>
                </c:pt>
                <c:pt idx="1180">
                  <c:v>45986</c:v>
                </c:pt>
                <c:pt idx="1181">
                  <c:v>45987</c:v>
                </c:pt>
                <c:pt idx="1182">
                  <c:v>45988</c:v>
                </c:pt>
                <c:pt idx="1183">
                  <c:v>45989</c:v>
                </c:pt>
                <c:pt idx="1184">
                  <c:v>45992</c:v>
                </c:pt>
                <c:pt idx="1185">
                  <c:v>45993</c:v>
                </c:pt>
                <c:pt idx="1186">
                  <c:v>45994</c:v>
                </c:pt>
                <c:pt idx="1187">
                  <c:v>45995</c:v>
                </c:pt>
                <c:pt idx="1188">
                  <c:v>45996</c:v>
                </c:pt>
                <c:pt idx="1189">
                  <c:v>45999</c:v>
                </c:pt>
                <c:pt idx="1190">
                  <c:v>46000</c:v>
                </c:pt>
                <c:pt idx="1191">
                  <c:v>46001</c:v>
                </c:pt>
                <c:pt idx="1192">
                  <c:v>46002</c:v>
                </c:pt>
                <c:pt idx="1193">
                  <c:v>46003</c:v>
                </c:pt>
                <c:pt idx="1194">
                  <c:v>46006</c:v>
                </c:pt>
                <c:pt idx="1195">
                  <c:v>46007</c:v>
                </c:pt>
                <c:pt idx="1196">
                  <c:v>46008</c:v>
                </c:pt>
                <c:pt idx="1197">
                  <c:v>46009</c:v>
                </c:pt>
                <c:pt idx="1198">
                  <c:v>46010</c:v>
                </c:pt>
                <c:pt idx="1199">
                  <c:v>46013</c:v>
                </c:pt>
                <c:pt idx="1200">
                  <c:v>46014</c:v>
                </c:pt>
                <c:pt idx="1201">
                  <c:v>46015</c:v>
                </c:pt>
                <c:pt idx="1202">
                  <c:v>46016</c:v>
                </c:pt>
                <c:pt idx="1203">
                  <c:v>46017</c:v>
                </c:pt>
                <c:pt idx="1204">
                  <c:v>46020</c:v>
                </c:pt>
                <c:pt idx="1205">
                  <c:v>46021</c:v>
                </c:pt>
                <c:pt idx="1206">
                  <c:v>46022</c:v>
                </c:pt>
                <c:pt idx="1207">
                  <c:v>46027</c:v>
                </c:pt>
                <c:pt idx="1208">
                  <c:v>46028</c:v>
                </c:pt>
                <c:pt idx="1209">
                  <c:v>46029</c:v>
                </c:pt>
                <c:pt idx="1210">
                  <c:v>46030</c:v>
                </c:pt>
                <c:pt idx="1211">
                  <c:v>46031</c:v>
                </c:pt>
                <c:pt idx="1212">
                  <c:v>46034</c:v>
                </c:pt>
                <c:pt idx="1213">
                  <c:v>46035</c:v>
                </c:pt>
                <c:pt idx="1214">
                  <c:v>46036</c:v>
                </c:pt>
                <c:pt idx="1215">
                  <c:v>46037</c:v>
                </c:pt>
                <c:pt idx="1216">
                  <c:v>46038</c:v>
                </c:pt>
                <c:pt idx="1217">
                  <c:v>46041</c:v>
                </c:pt>
                <c:pt idx="1218">
                  <c:v>46042</c:v>
                </c:pt>
                <c:pt idx="1219">
                  <c:v>46043</c:v>
                </c:pt>
                <c:pt idx="1220">
                  <c:v>46044</c:v>
                </c:pt>
                <c:pt idx="1221">
                  <c:v>46045</c:v>
                </c:pt>
                <c:pt idx="1222">
                  <c:v>46048</c:v>
                </c:pt>
                <c:pt idx="1223">
                  <c:v>46049</c:v>
                </c:pt>
                <c:pt idx="1224">
                  <c:v>46050</c:v>
                </c:pt>
                <c:pt idx="1225">
                  <c:v>46051</c:v>
                </c:pt>
                <c:pt idx="1226">
                  <c:v>46052</c:v>
                </c:pt>
                <c:pt idx="1227">
                  <c:v>46055</c:v>
                </c:pt>
                <c:pt idx="1228">
                  <c:v>46056</c:v>
                </c:pt>
                <c:pt idx="1229">
                  <c:v>46057</c:v>
                </c:pt>
                <c:pt idx="1230">
                  <c:v>46058</c:v>
                </c:pt>
                <c:pt idx="1231">
                  <c:v>46059</c:v>
                </c:pt>
                <c:pt idx="1232">
                  <c:v>46062</c:v>
                </c:pt>
                <c:pt idx="1233">
                  <c:v>46063</c:v>
                </c:pt>
                <c:pt idx="1234">
                  <c:v>46064</c:v>
                </c:pt>
                <c:pt idx="1235">
                  <c:v>46065</c:v>
                </c:pt>
                <c:pt idx="1236">
                  <c:v>46066</c:v>
                </c:pt>
                <c:pt idx="1237">
                  <c:v>46076</c:v>
                </c:pt>
                <c:pt idx="1238">
                  <c:v>46077</c:v>
                </c:pt>
                <c:pt idx="1239">
                  <c:v>46078</c:v>
                </c:pt>
                <c:pt idx="1240">
                  <c:v>46079</c:v>
                </c:pt>
                <c:pt idx="1241">
                  <c:v>46080</c:v>
                </c:pt>
                <c:pt idx="1242">
                  <c:v>46083</c:v>
                </c:pt>
                <c:pt idx="1243">
                  <c:v>46084</c:v>
                </c:pt>
                <c:pt idx="1244">
                  <c:v>46085</c:v>
                </c:pt>
                <c:pt idx="1245">
                  <c:v>46086</c:v>
                </c:pt>
                <c:pt idx="1246">
                  <c:v>46087</c:v>
                </c:pt>
              </c:numCache>
            </c:numRef>
          </c:cat>
          <c:val>
            <c:numRef>
              <c:f>'FX Data'!$E$957:$E$2203</c:f>
              <c:numCache>
                <c:formatCode>0.0</c:formatCode>
                <c:ptCount val="1247"/>
                <c:pt idx="0">
                  <c:v>20.496540945512795</c:v>
                </c:pt>
                <c:pt idx="1">
                  <c:v>20.496540945512795</c:v>
                </c:pt>
                <c:pt idx="2">
                  <c:v>20.496540945512795</c:v>
                </c:pt>
                <c:pt idx="3">
                  <c:v>20.496540945512795</c:v>
                </c:pt>
                <c:pt idx="4">
                  <c:v>20.496540945512795</c:v>
                </c:pt>
                <c:pt idx="5">
                  <c:v>20.496540945512795</c:v>
                </c:pt>
                <c:pt idx="6">
                  <c:v>20.496540945512795</c:v>
                </c:pt>
                <c:pt idx="7">
                  <c:v>20.496540945512795</c:v>
                </c:pt>
                <c:pt idx="8">
                  <c:v>20.496540945512795</c:v>
                </c:pt>
                <c:pt idx="9">
                  <c:v>20.496540945512795</c:v>
                </c:pt>
                <c:pt idx="10">
                  <c:v>20.496540945512795</c:v>
                </c:pt>
                <c:pt idx="11">
                  <c:v>20.496540945512795</c:v>
                </c:pt>
                <c:pt idx="12">
                  <c:v>20.496540945512795</c:v>
                </c:pt>
                <c:pt idx="13">
                  <c:v>20.496540945512795</c:v>
                </c:pt>
                <c:pt idx="14">
                  <c:v>20.496540945512795</c:v>
                </c:pt>
                <c:pt idx="15">
                  <c:v>20.496540945512795</c:v>
                </c:pt>
                <c:pt idx="16">
                  <c:v>20.496540945512795</c:v>
                </c:pt>
                <c:pt idx="17">
                  <c:v>20.496540945512795</c:v>
                </c:pt>
                <c:pt idx="18">
                  <c:v>20.496540945512795</c:v>
                </c:pt>
                <c:pt idx="19">
                  <c:v>20.496540945512795</c:v>
                </c:pt>
                <c:pt idx="20">
                  <c:v>20.496540945512795</c:v>
                </c:pt>
                <c:pt idx="21">
                  <c:v>20.496540945512795</c:v>
                </c:pt>
                <c:pt idx="22">
                  <c:v>20.496540945512795</c:v>
                </c:pt>
                <c:pt idx="23">
                  <c:v>20.496540945512795</c:v>
                </c:pt>
                <c:pt idx="24">
                  <c:v>20.496540945512795</c:v>
                </c:pt>
                <c:pt idx="25">
                  <c:v>20.496540945512795</c:v>
                </c:pt>
                <c:pt idx="26">
                  <c:v>20.496540945512795</c:v>
                </c:pt>
                <c:pt idx="27">
                  <c:v>20.496540945512795</c:v>
                </c:pt>
                <c:pt idx="28">
                  <c:v>20.496540945512795</c:v>
                </c:pt>
                <c:pt idx="29">
                  <c:v>20.496540945512795</c:v>
                </c:pt>
                <c:pt idx="30">
                  <c:v>20.496540945512795</c:v>
                </c:pt>
                <c:pt idx="31">
                  <c:v>20.496540945512795</c:v>
                </c:pt>
                <c:pt idx="32">
                  <c:v>20.496540945512795</c:v>
                </c:pt>
                <c:pt idx="33">
                  <c:v>20.496540945512795</c:v>
                </c:pt>
                <c:pt idx="34">
                  <c:v>20.496540945512795</c:v>
                </c:pt>
                <c:pt idx="35">
                  <c:v>20.496540945512795</c:v>
                </c:pt>
                <c:pt idx="36">
                  <c:v>20.496540945512795</c:v>
                </c:pt>
                <c:pt idx="37">
                  <c:v>20.496540945512795</c:v>
                </c:pt>
                <c:pt idx="38">
                  <c:v>20.496540945512795</c:v>
                </c:pt>
                <c:pt idx="39">
                  <c:v>20.496540945512795</c:v>
                </c:pt>
                <c:pt idx="40">
                  <c:v>20.496540945512795</c:v>
                </c:pt>
                <c:pt idx="41">
                  <c:v>20.496540945512795</c:v>
                </c:pt>
                <c:pt idx="42">
                  <c:v>20.496540945512795</c:v>
                </c:pt>
                <c:pt idx="43">
                  <c:v>20.496540945512795</c:v>
                </c:pt>
                <c:pt idx="44">
                  <c:v>20.496540945512795</c:v>
                </c:pt>
                <c:pt idx="45">
                  <c:v>20.496540945512795</c:v>
                </c:pt>
                <c:pt idx="46">
                  <c:v>20.496540945512795</c:v>
                </c:pt>
                <c:pt idx="47">
                  <c:v>20.496540945512795</c:v>
                </c:pt>
                <c:pt idx="48">
                  <c:v>20.496540945512795</c:v>
                </c:pt>
                <c:pt idx="49">
                  <c:v>20.496540945512795</c:v>
                </c:pt>
                <c:pt idx="50">
                  <c:v>20.496540945512795</c:v>
                </c:pt>
                <c:pt idx="51">
                  <c:v>20.496540945512795</c:v>
                </c:pt>
                <c:pt idx="52">
                  <c:v>20.496540945512795</c:v>
                </c:pt>
                <c:pt idx="53">
                  <c:v>20.496540945512795</c:v>
                </c:pt>
                <c:pt idx="54">
                  <c:v>20.496540945512795</c:v>
                </c:pt>
                <c:pt idx="55">
                  <c:v>20.496540945512795</c:v>
                </c:pt>
                <c:pt idx="56">
                  <c:v>20.496540945512795</c:v>
                </c:pt>
                <c:pt idx="57">
                  <c:v>20.496540945512795</c:v>
                </c:pt>
                <c:pt idx="58">
                  <c:v>20.496540945512795</c:v>
                </c:pt>
                <c:pt idx="59">
                  <c:v>20.496540945512795</c:v>
                </c:pt>
                <c:pt idx="60">
                  <c:v>20.496540945512795</c:v>
                </c:pt>
                <c:pt idx="61">
                  <c:v>20.496540945512795</c:v>
                </c:pt>
                <c:pt idx="62">
                  <c:v>20.496540945512795</c:v>
                </c:pt>
                <c:pt idx="63">
                  <c:v>20.496540945512795</c:v>
                </c:pt>
                <c:pt idx="64">
                  <c:v>20.496540945512795</c:v>
                </c:pt>
                <c:pt idx="65">
                  <c:v>20.496540945512795</c:v>
                </c:pt>
                <c:pt idx="66">
                  <c:v>20.496540945512795</c:v>
                </c:pt>
                <c:pt idx="67">
                  <c:v>20.496540945512795</c:v>
                </c:pt>
                <c:pt idx="68">
                  <c:v>20.496540945512795</c:v>
                </c:pt>
                <c:pt idx="69">
                  <c:v>20.496540945512795</c:v>
                </c:pt>
                <c:pt idx="70">
                  <c:v>20.496540945512795</c:v>
                </c:pt>
                <c:pt idx="71">
                  <c:v>20.496540945512795</c:v>
                </c:pt>
                <c:pt idx="72">
                  <c:v>20.496540945512795</c:v>
                </c:pt>
                <c:pt idx="73">
                  <c:v>20.496540945512795</c:v>
                </c:pt>
                <c:pt idx="74">
                  <c:v>20.496540945512795</c:v>
                </c:pt>
                <c:pt idx="75">
                  <c:v>20.496540945512795</c:v>
                </c:pt>
                <c:pt idx="76">
                  <c:v>20.496540945512795</c:v>
                </c:pt>
                <c:pt idx="77">
                  <c:v>20.496540945512795</c:v>
                </c:pt>
                <c:pt idx="78">
                  <c:v>20.496540945512795</c:v>
                </c:pt>
                <c:pt idx="79">
                  <c:v>20.496540945512795</c:v>
                </c:pt>
                <c:pt idx="80">
                  <c:v>20.496540945512795</c:v>
                </c:pt>
                <c:pt idx="81">
                  <c:v>20.496540945512795</c:v>
                </c:pt>
                <c:pt idx="82">
                  <c:v>20.496540945512795</c:v>
                </c:pt>
                <c:pt idx="83">
                  <c:v>20.496540945512795</c:v>
                </c:pt>
                <c:pt idx="84">
                  <c:v>20.496540945512795</c:v>
                </c:pt>
                <c:pt idx="85">
                  <c:v>20.496540945512795</c:v>
                </c:pt>
                <c:pt idx="86">
                  <c:v>20.496540945512795</c:v>
                </c:pt>
                <c:pt idx="87">
                  <c:v>20.496540945512795</c:v>
                </c:pt>
                <c:pt idx="88">
                  <c:v>20.496540945512795</c:v>
                </c:pt>
                <c:pt idx="89">
                  <c:v>20.496540945512795</c:v>
                </c:pt>
                <c:pt idx="90">
                  <c:v>20.496540945512795</c:v>
                </c:pt>
                <c:pt idx="91">
                  <c:v>20.496540945512795</c:v>
                </c:pt>
                <c:pt idx="92">
                  <c:v>20.496540945512795</c:v>
                </c:pt>
                <c:pt idx="93">
                  <c:v>20.496540945512795</c:v>
                </c:pt>
                <c:pt idx="94">
                  <c:v>20.496540945512795</c:v>
                </c:pt>
                <c:pt idx="95">
                  <c:v>20.496540945512795</c:v>
                </c:pt>
                <c:pt idx="96">
                  <c:v>20.496540945512795</c:v>
                </c:pt>
                <c:pt idx="97">
                  <c:v>20.496540945512795</c:v>
                </c:pt>
                <c:pt idx="98">
                  <c:v>20.496540945512795</c:v>
                </c:pt>
                <c:pt idx="99">
                  <c:v>20.496540945512795</c:v>
                </c:pt>
                <c:pt idx="100">
                  <c:v>20.496540945512795</c:v>
                </c:pt>
                <c:pt idx="101">
                  <c:v>20.496540945512795</c:v>
                </c:pt>
                <c:pt idx="102">
                  <c:v>20.496540945512795</c:v>
                </c:pt>
                <c:pt idx="103">
                  <c:v>20.496540945512795</c:v>
                </c:pt>
                <c:pt idx="104">
                  <c:v>20.496540945512795</c:v>
                </c:pt>
                <c:pt idx="105">
                  <c:v>20.496540945512795</c:v>
                </c:pt>
                <c:pt idx="106">
                  <c:v>20.496540945512795</c:v>
                </c:pt>
                <c:pt idx="107">
                  <c:v>20.496540945512795</c:v>
                </c:pt>
                <c:pt idx="108">
                  <c:v>20.496540945512795</c:v>
                </c:pt>
                <c:pt idx="109">
                  <c:v>20.496540945512795</c:v>
                </c:pt>
                <c:pt idx="110">
                  <c:v>20.496540945512795</c:v>
                </c:pt>
                <c:pt idx="111">
                  <c:v>20.496540945512795</c:v>
                </c:pt>
                <c:pt idx="112">
                  <c:v>20.496540945512795</c:v>
                </c:pt>
                <c:pt idx="113">
                  <c:v>20.496540945512795</c:v>
                </c:pt>
                <c:pt idx="114">
                  <c:v>20.496540945512795</c:v>
                </c:pt>
                <c:pt idx="115">
                  <c:v>20.496540945512795</c:v>
                </c:pt>
                <c:pt idx="116">
                  <c:v>20.496540945512795</c:v>
                </c:pt>
                <c:pt idx="117">
                  <c:v>20.496540945512795</c:v>
                </c:pt>
                <c:pt idx="118">
                  <c:v>20.496540945512795</c:v>
                </c:pt>
                <c:pt idx="119">
                  <c:v>20.496540945512795</c:v>
                </c:pt>
                <c:pt idx="120">
                  <c:v>20.496540945512795</c:v>
                </c:pt>
                <c:pt idx="121">
                  <c:v>20.496540945512795</c:v>
                </c:pt>
                <c:pt idx="122">
                  <c:v>20.496540945512795</c:v>
                </c:pt>
                <c:pt idx="123">
                  <c:v>20.496540945512795</c:v>
                </c:pt>
                <c:pt idx="124">
                  <c:v>20.496540945512795</c:v>
                </c:pt>
                <c:pt idx="125">
                  <c:v>20.496540945512795</c:v>
                </c:pt>
                <c:pt idx="126">
                  <c:v>20.496540945512795</c:v>
                </c:pt>
                <c:pt idx="127">
                  <c:v>20.496540945512795</c:v>
                </c:pt>
                <c:pt idx="128">
                  <c:v>20.496540945512795</c:v>
                </c:pt>
                <c:pt idx="129">
                  <c:v>20.496540945512795</c:v>
                </c:pt>
                <c:pt idx="130">
                  <c:v>20.496540945512795</c:v>
                </c:pt>
                <c:pt idx="131">
                  <c:v>20.496540945512795</c:v>
                </c:pt>
                <c:pt idx="132">
                  <c:v>20.496540945512795</c:v>
                </c:pt>
                <c:pt idx="133">
                  <c:v>20.496540945512795</c:v>
                </c:pt>
                <c:pt idx="134">
                  <c:v>20.496540945512795</c:v>
                </c:pt>
                <c:pt idx="135">
                  <c:v>20.496540945512795</c:v>
                </c:pt>
                <c:pt idx="136">
                  <c:v>20.496540945512795</c:v>
                </c:pt>
                <c:pt idx="137">
                  <c:v>20.496540945512795</c:v>
                </c:pt>
                <c:pt idx="138">
                  <c:v>20.496540945512795</c:v>
                </c:pt>
                <c:pt idx="139">
                  <c:v>20.496540945512795</c:v>
                </c:pt>
                <c:pt idx="140">
                  <c:v>20.496540945512795</c:v>
                </c:pt>
                <c:pt idx="141">
                  <c:v>20.496540945512795</c:v>
                </c:pt>
                <c:pt idx="142">
                  <c:v>20.496540945512795</c:v>
                </c:pt>
                <c:pt idx="143">
                  <c:v>20.496540945512795</c:v>
                </c:pt>
                <c:pt idx="144">
                  <c:v>20.496540945512795</c:v>
                </c:pt>
                <c:pt idx="145">
                  <c:v>20.496540945512795</c:v>
                </c:pt>
                <c:pt idx="146">
                  <c:v>20.496540945512795</c:v>
                </c:pt>
                <c:pt idx="147">
                  <c:v>20.496540945512795</c:v>
                </c:pt>
                <c:pt idx="148">
                  <c:v>20.496540945512795</c:v>
                </c:pt>
                <c:pt idx="149">
                  <c:v>20.496540945512795</c:v>
                </c:pt>
                <c:pt idx="150">
                  <c:v>20.496540945512795</c:v>
                </c:pt>
                <c:pt idx="151">
                  <c:v>20.496540945512795</c:v>
                </c:pt>
                <c:pt idx="152">
                  <c:v>20.496540945512795</c:v>
                </c:pt>
                <c:pt idx="153">
                  <c:v>20.496540945512795</c:v>
                </c:pt>
                <c:pt idx="154">
                  <c:v>20.496540945512795</c:v>
                </c:pt>
                <c:pt idx="155">
                  <c:v>20.496540945512795</c:v>
                </c:pt>
                <c:pt idx="156">
                  <c:v>20.496540945512795</c:v>
                </c:pt>
                <c:pt idx="157">
                  <c:v>20.496540945512795</c:v>
                </c:pt>
                <c:pt idx="158">
                  <c:v>20.496540945512795</c:v>
                </c:pt>
                <c:pt idx="159">
                  <c:v>20.496540945512795</c:v>
                </c:pt>
                <c:pt idx="160">
                  <c:v>20.496540945512795</c:v>
                </c:pt>
                <c:pt idx="161">
                  <c:v>20.496540945512795</c:v>
                </c:pt>
                <c:pt idx="162">
                  <c:v>20.496540945512795</c:v>
                </c:pt>
                <c:pt idx="163">
                  <c:v>20.496540945512795</c:v>
                </c:pt>
                <c:pt idx="164">
                  <c:v>20.496540945512795</c:v>
                </c:pt>
                <c:pt idx="165">
                  <c:v>20.496540945512795</c:v>
                </c:pt>
                <c:pt idx="166">
                  <c:v>20.496540945512795</c:v>
                </c:pt>
                <c:pt idx="167">
                  <c:v>20.496540945512795</c:v>
                </c:pt>
                <c:pt idx="168">
                  <c:v>20.496540945512795</c:v>
                </c:pt>
                <c:pt idx="169">
                  <c:v>20.496540945512795</c:v>
                </c:pt>
                <c:pt idx="170">
                  <c:v>20.496540945512795</c:v>
                </c:pt>
                <c:pt idx="171">
                  <c:v>20.496540945512795</c:v>
                </c:pt>
                <c:pt idx="172">
                  <c:v>20.496540945512795</c:v>
                </c:pt>
                <c:pt idx="173">
                  <c:v>20.496540945512795</c:v>
                </c:pt>
                <c:pt idx="174">
                  <c:v>20.496540945512795</c:v>
                </c:pt>
                <c:pt idx="175">
                  <c:v>20.496540945512795</c:v>
                </c:pt>
                <c:pt idx="176">
                  <c:v>20.496540945512795</c:v>
                </c:pt>
                <c:pt idx="177">
                  <c:v>20.496540945512795</c:v>
                </c:pt>
                <c:pt idx="178">
                  <c:v>20.496540945512795</c:v>
                </c:pt>
                <c:pt idx="179">
                  <c:v>20.496540945512795</c:v>
                </c:pt>
                <c:pt idx="180">
                  <c:v>20.496540945512795</c:v>
                </c:pt>
                <c:pt idx="181">
                  <c:v>20.496540945512795</c:v>
                </c:pt>
                <c:pt idx="182">
                  <c:v>20.496540945512795</c:v>
                </c:pt>
                <c:pt idx="183">
                  <c:v>20.496540945512795</c:v>
                </c:pt>
                <c:pt idx="184">
                  <c:v>20.496540945512795</c:v>
                </c:pt>
                <c:pt idx="185">
                  <c:v>20.496540945512795</c:v>
                </c:pt>
                <c:pt idx="186">
                  <c:v>20.496540945512795</c:v>
                </c:pt>
                <c:pt idx="187">
                  <c:v>20.496540945512795</c:v>
                </c:pt>
                <c:pt idx="188">
                  <c:v>20.496540945512795</c:v>
                </c:pt>
                <c:pt idx="189">
                  <c:v>20.496540945512795</c:v>
                </c:pt>
                <c:pt idx="190">
                  <c:v>20.496540945512795</c:v>
                </c:pt>
                <c:pt idx="191">
                  <c:v>20.496540945512795</c:v>
                </c:pt>
                <c:pt idx="192">
                  <c:v>20.496540945512795</c:v>
                </c:pt>
                <c:pt idx="193">
                  <c:v>20.496540945512795</c:v>
                </c:pt>
                <c:pt idx="194">
                  <c:v>20.496540945512795</c:v>
                </c:pt>
                <c:pt idx="195">
                  <c:v>20.496540945512795</c:v>
                </c:pt>
                <c:pt idx="196">
                  <c:v>20.496540945512795</c:v>
                </c:pt>
                <c:pt idx="197">
                  <c:v>20.496540945512795</c:v>
                </c:pt>
                <c:pt idx="198">
                  <c:v>20.496540945512795</c:v>
                </c:pt>
                <c:pt idx="199">
                  <c:v>20.496540945512795</c:v>
                </c:pt>
                <c:pt idx="200">
                  <c:v>20.496540945512795</c:v>
                </c:pt>
                <c:pt idx="201">
                  <c:v>20.496540945512795</c:v>
                </c:pt>
                <c:pt idx="202">
                  <c:v>20.496540945512795</c:v>
                </c:pt>
                <c:pt idx="203">
                  <c:v>20.496540945512795</c:v>
                </c:pt>
                <c:pt idx="204">
                  <c:v>20.496540945512795</c:v>
                </c:pt>
                <c:pt idx="205">
                  <c:v>20.496540945512795</c:v>
                </c:pt>
                <c:pt idx="206">
                  <c:v>20.496540945512795</c:v>
                </c:pt>
                <c:pt idx="207">
                  <c:v>20.496540945512795</c:v>
                </c:pt>
                <c:pt idx="208">
                  <c:v>20.496540945512795</c:v>
                </c:pt>
                <c:pt idx="209">
                  <c:v>20.496540945512795</c:v>
                </c:pt>
                <c:pt idx="210">
                  <c:v>20.496540945512795</c:v>
                </c:pt>
                <c:pt idx="211">
                  <c:v>20.496540945512795</c:v>
                </c:pt>
                <c:pt idx="212">
                  <c:v>20.496540945512795</c:v>
                </c:pt>
                <c:pt idx="213">
                  <c:v>20.496540945512795</c:v>
                </c:pt>
                <c:pt idx="214">
                  <c:v>20.496540945512795</c:v>
                </c:pt>
                <c:pt idx="215">
                  <c:v>20.496540945512795</c:v>
                </c:pt>
                <c:pt idx="216">
                  <c:v>20.496540945512795</c:v>
                </c:pt>
                <c:pt idx="217">
                  <c:v>20.496540945512795</c:v>
                </c:pt>
                <c:pt idx="218">
                  <c:v>20.496540945512795</c:v>
                </c:pt>
                <c:pt idx="219">
                  <c:v>20.496540945512795</c:v>
                </c:pt>
                <c:pt idx="220">
                  <c:v>20.496540945512795</c:v>
                </c:pt>
                <c:pt idx="221">
                  <c:v>20.496540945512795</c:v>
                </c:pt>
                <c:pt idx="222">
                  <c:v>20.496540945512795</c:v>
                </c:pt>
                <c:pt idx="223">
                  <c:v>20.496540945512795</c:v>
                </c:pt>
                <c:pt idx="224">
                  <c:v>20.496540945512795</c:v>
                </c:pt>
                <c:pt idx="225">
                  <c:v>20.496540945512795</c:v>
                </c:pt>
                <c:pt idx="226">
                  <c:v>20.496540945512795</c:v>
                </c:pt>
                <c:pt idx="227">
                  <c:v>20.496540945512795</c:v>
                </c:pt>
                <c:pt idx="228">
                  <c:v>20.496540945512795</c:v>
                </c:pt>
                <c:pt idx="229">
                  <c:v>20.496540945512795</c:v>
                </c:pt>
                <c:pt idx="230">
                  <c:v>20.496540945512795</c:v>
                </c:pt>
                <c:pt idx="231">
                  <c:v>20.496540945512795</c:v>
                </c:pt>
                <c:pt idx="232">
                  <c:v>20.496540945512795</c:v>
                </c:pt>
                <c:pt idx="233">
                  <c:v>20.496540945512795</c:v>
                </c:pt>
                <c:pt idx="234">
                  <c:v>20.496540945512795</c:v>
                </c:pt>
                <c:pt idx="235">
                  <c:v>20.496540945512795</c:v>
                </c:pt>
                <c:pt idx="236">
                  <c:v>20.496540945512795</c:v>
                </c:pt>
                <c:pt idx="237">
                  <c:v>20.496540945512795</c:v>
                </c:pt>
                <c:pt idx="238">
                  <c:v>20.496540945512795</c:v>
                </c:pt>
                <c:pt idx="239">
                  <c:v>20.496540945512795</c:v>
                </c:pt>
                <c:pt idx="240">
                  <c:v>20.496540945512795</c:v>
                </c:pt>
                <c:pt idx="241">
                  <c:v>20.496540945512795</c:v>
                </c:pt>
                <c:pt idx="242">
                  <c:v>20.496540945512795</c:v>
                </c:pt>
                <c:pt idx="243">
                  <c:v>20.496540945512795</c:v>
                </c:pt>
                <c:pt idx="244">
                  <c:v>20.496540945512795</c:v>
                </c:pt>
                <c:pt idx="245">
                  <c:v>20.496540945512795</c:v>
                </c:pt>
                <c:pt idx="246">
                  <c:v>20.496540945512795</c:v>
                </c:pt>
                <c:pt idx="247">
                  <c:v>20.496540945512795</c:v>
                </c:pt>
                <c:pt idx="248">
                  <c:v>20.496540945512795</c:v>
                </c:pt>
                <c:pt idx="249">
                  <c:v>20.496540945512795</c:v>
                </c:pt>
                <c:pt idx="250">
                  <c:v>20.496540945512795</c:v>
                </c:pt>
                <c:pt idx="251">
                  <c:v>20.496540945512795</c:v>
                </c:pt>
                <c:pt idx="252">
                  <c:v>20.496540945512795</c:v>
                </c:pt>
                <c:pt idx="253">
                  <c:v>20.496540945512795</c:v>
                </c:pt>
                <c:pt idx="254">
                  <c:v>20.496540945512795</c:v>
                </c:pt>
                <c:pt idx="255">
                  <c:v>20.496540945512795</c:v>
                </c:pt>
                <c:pt idx="256">
                  <c:v>20.496540945512795</c:v>
                </c:pt>
                <c:pt idx="257">
                  <c:v>20.496540945512795</c:v>
                </c:pt>
                <c:pt idx="258">
                  <c:v>20.496540945512795</c:v>
                </c:pt>
                <c:pt idx="259">
                  <c:v>20.496540945512795</c:v>
                </c:pt>
                <c:pt idx="260">
                  <c:v>20.496540945512795</c:v>
                </c:pt>
                <c:pt idx="261">
                  <c:v>20.496540945512795</c:v>
                </c:pt>
                <c:pt idx="262">
                  <c:v>20.496540945512795</c:v>
                </c:pt>
                <c:pt idx="263">
                  <c:v>20.496540945512795</c:v>
                </c:pt>
                <c:pt idx="264">
                  <c:v>20.496540945512795</c:v>
                </c:pt>
                <c:pt idx="265">
                  <c:v>20.496540945512795</c:v>
                </c:pt>
                <c:pt idx="266">
                  <c:v>20.496540945512795</c:v>
                </c:pt>
                <c:pt idx="267">
                  <c:v>20.496540945512795</c:v>
                </c:pt>
                <c:pt idx="268">
                  <c:v>20.496540945512795</c:v>
                </c:pt>
                <c:pt idx="269">
                  <c:v>20.496540945512795</c:v>
                </c:pt>
                <c:pt idx="270">
                  <c:v>20.496540945512795</c:v>
                </c:pt>
                <c:pt idx="271">
                  <c:v>20.496540945512795</c:v>
                </c:pt>
                <c:pt idx="272">
                  <c:v>20.496540945512795</c:v>
                </c:pt>
                <c:pt idx="273">
                  <c:v>20.496540945512795</c:v>
                </c:pt>
                <c:pt idx="274">
                  <c:v>20.496540945512795</c:v>
                </c:pt>
                <c:pt idx="275">
                  <c:v>20.496540945512795</c:v>
                </c:pt>
                <c:pt idx="276">
                  <c:v>20.496540945512795</c:v>
                </c:pt>
                <c:pt idx="277">
                  <c:v>20.496540945512795</c:v>
                </c:pt>
                <c:pt idx="278">
                  <c:v>20.496540945512795</c:v>
                </c:pt>
                <c:pt idx="279">
                  <c:v>20.496540945512795</c:v>
                </c:pt>
                <c:pt idx="280">
                  <c:v>20.496540945512795</c:v>
                </c:pt>
                <c:pt idx="281">
                  <c:v>20.496540945512795</c:v>
                </c:pt>
                <c:pt idx="282">
                  <c:v>20.496540945512795</c:v>
                </c:pt>
                <c:pt idx="283">
                  <c:v>20.496540945512795</c:v>
                </c:pt>
                <c:pt idx="284">
                  <c:v>20.496540945512795</c:v>
                </c:pt>
                <c:pt idx="285">
                  <c:v>20.496540945512795</c:v>
                </c:pt>
                <c:pt idx="286">
                  <c:v>20.496540945512795</c:v>
                </c:pt>
                <c:pt idx="287">
                  <c:v>20.496540945512795</c:v>
                </c:pt>
                <c:pt idx="288">
                  <c:v>20.496540945512795</c:v>
                </c:pt>
                <c:pt idx="289">
                  <c:v>20.496540945512795</c:v>
                </c:pt>
                <c:pt idx="290">
                  <c:v>20.496540945512795</c:v>
                </c:pt>
                <c:pt idx="291">
                  <c:v>20.496540945512795</c:v>
                </c:pt>
                <c:pt idx="292">
                  <c:v>20.496540945512795</c:v>
                </c:pt>
                <c:pt idx="293">
                  <c:v>20.496540945512795</c:v>
                </c:pt>
                <c:pt idx="294">
                  <c:v>20.496540945512795</c:v>
                </c:pt>
                <c:pt idx="295">
                  <c:v>20.496540945512795</c:v>
                </c:pt>
                <c:pt idx="296">
                  <c:v>20.496540945512795</c:v>
                </c:pt>
                <c:pt idx="297">
                  <c:v>20.496540945512795</c:v>
                </c:pt>
                <c:pt idx="298">
                  <c:v>20.496540945512795</c:v>
                </c:pt>
                <c:pt idx="299">
                  <c:v>20.496540945512795</c:v>
                </c:pt>
                <c:pt idx="300">
                  <c:v>20.496540945512795</c:v>
                </c:pt>
                <c:pt idx="301">
                  <c:v>20.496540945512795</c:v>
                </c:pt>
                <c:pt idx="302">
                  <c:v>20.496540945512795</c:v>
                </c:pt>
                <c:pt idx="303">
                  <c:v>20.496540945512795</c:v>
                </c:pt>
                <c:pt idx="304">
                  <c:v>20.496540945512795</c:v>
                </c:pt>
                <c:pt idx="305">
                  <c:v>20.496540945512795</c:v>
                </c:pt>
                <c:pt idx="306">
                  <c:v>20.496540945512795</c:v>
                </c:pt>
                <c:pt idx="307">
                  <c:v>20.496540945512795</c:v>
                </c:pt>
                <c:pt idx="308">
                  <c:v>20.496540945512795</c:v>
                </c:pt>
                <c:pt idx="309">
                  <c:v>20.496540945512795</c:v>
                </c:pt>
                <c:pt idx="310">
                  <c:v>20.496540945512795</c:v>
                </c:pt>
                <c:pt idx="311">
                  <c:v>20.496540945512795</c:v>
                </c:pt>
                <c:pt idx="312">
                  <c:v>20.496540945512795</c:v>
                </c:pt>
                <c:pt idx="313">
                  <c:v>20.496540945512795</c:v>
                </c:pt>
                <c:pt idx="314">
                  <c:v>20.496540945512795</c:v>
                </c:pt>
                <c:pt idx="315">
                  <c:v>20.496540945512795</c:v>
                </c:pt>
                <c:pt idx="316">
                  <c:v>20.496540945512795</c:v>
                </c:pt>
                <c:pt idx="317">
                  <c:v>20.496540945512795</c:v>
                </c:pt>
                <c:pt idx="318">
                  <c:v>20.496540945512795</c:v>
                </c:pt>
                <c:pt idx="319">
                  <c:v>20.496540945512795</c:v>
                </c:pt>
                <c:pt idx="320">
                  <c:v>20.496540945512795</c:v>
                </c:pt>
                <c:pt idx="321">
                  <c:v>20.496540945512795</c:v>
                </c:pt>
                <c:pt idx="322">
                  <c:v>20.496540945512795</c:v>
                </c:pt>
                <c:pt idx="323">
                  <c:v>20.496540945512795</c:v>
                </c:pt>
                <c:pt idx="324">
                  <c:v>20.496540945512795</c:v>
                </c:pt>
                <c:pt idx="325">
                  <c:v>20.496540945512795</c:v>
                </c:pt>
                <c:pt idx="326">
                  <c:v>20.496540945512795</c:v>
                </c:pt>
                <c:pt idx="327">
                  <c:v>20.496540945512795</c:v>
                </c:pt>
                <c:pt idx="328">
                  <c:v>20.496540945512795</c:v>
                </c:pt>
                <c:pt idx="329">
                  <c:v>20.496540945512795</c:v>
                </c:pt>
                <c:pt idx="330">
                  <c:v>20.496540945512795</c:v>
                </c:pt>
                <c:pt idx="331">
                  <c:v>20.496540945512795</c:v>
                </c:pt>
                <c:pt idx="332">
                  <c:v>20.496540945512795</c:v>
                </c:pt>
                <c:pt idx="333">
                  <c:v>20.496540945512795</c:v>
                </c:pt>
                <c:pt idx="334">
                  <c:v>20.496540945512795</c:v>
                </c:pt>
                <c:pt idx="335">
                  <c:v>20.496540945512795</c:v>
                </c:pt>
                <c:pt idx="336">
                  <c:v>20.496540945512795</c:v>
                </c:pt>
                <c:pt idx="337">
                  <c:v>20.496540945512795</c:v>
                </c:pt>
                <c:pt idx="338">
                  <c:v>20.496540945512795</c:v>
                </c:pt>
                <c:pt idx="339">
                  <c:v>20.496540945512795</c:v>
                </c:pt>
                <c:pt idx="340">
                  <c:v>20.496540945512795</c:v>
                </c:pt>
                <c:pt idx="341">
                  <c:v>20.496540945512795</c:v>
                </c:pt>
                <c:pt idx="342">
                  <c:v>20.496540945512795</c:v>
                </c:pt>
                <c:pt idx="343">
                  <c:v>20.496540945512795</c:v>
                </c:pt>
                <c:pt idx="344">
                  <c:v>20.496540945512795</c:v>
                </c:pt>
                <c:pt idx="345">
                  <c:v>20.496540945512795</c:v>
                </c:pt>
                <c:pt idx="346">
                  <c:v>20.496540945512795</c:v>
                </c:pt>
                <c:pt idx="347">
                  <c:v>20.496540945512795</c:v>
                </c:pt>
                <c:pt idx="348">
                  <c:v>20.496540945512795</c:v>
                </c:pt>
                <c:pt idx="349">
                  <c:v>20.496540945512795</c:v>
                </c:pt>
                <c:pt idx="350">
                  <c:v>20.496540945512795</c:v>
                </c:pt>
                <c:pt idx="351">
                  <c:v>20.496540945512795</c:v>
                </c:pt>
                <c:pt idx="352">
                  <c:v>20.496540945512795</c:v>
                </c:pt>
                <c:pt idx="353">
                  <c:v>20.496540945512795</c:v>
                </c:pt>
                <c:pt idx="354">
                  <c:v>20.496540945512795</c:v>
                </c:pt>
                <c:pt idx="355">
                  <c:v>20.496540945512795</c:v>
                </c:pt>
                <c:pt idx="356">
                  <c:v>20.496540945512795</c:v>
                </c:pt>
                <c:pt idx="357">
                  <c:v>20.496540945512795</c:v>
                </c:pt>
                <c:pt idx="358">
                  <c:v>20.496540945512795</c:v>
                </c:pt>
                <c:pt idx="359">
                  <c:v>20.496540945512795</c:v>
                </c:pt>
                <c:pt idx="360">
                  <c:v>20.496540945512795</c:v>
                </c:pt>
                <c:pt idx="361">
                  <c:v>20.496540945512795</c:v>
                </c:pt>
                <c:pt idx="362">
                  <c:v>20.496540945512795</c:v>
                </c:pt>
                <c:pt idx="363">
                  <c:v>20.496540945512795</c:v>
                </c:pt>
                <c:pt idx="364">
                  <c:v>20.496540945512795</c:v>
                </c:pt>
                <c:pt idx="365">
                  <c:v>20.496540945512795</c:v>
                </c:pt>
                <c:pt idx="366">
                  <c:v>20.496540945512795</c:v>
                </c:pt>
                <c:pt idx="367">
                  <c:v>20.496540945512795</c:v>
                </c:pt>
                <c:pt idx="368">
                  <c:v>20.496540945512795</c:v>
                </c:pt>
                <c:pt idx="369">
                  <c:v>20.496540945512795</c:v>
                </c:pt>
                <c:pt idx="370">
                  <c:v>20.496540945512795</c:v>
                </c:pt>
                <c:pt idx="371">
                  <c:v>20.496540945512795</c:v>
                </c:pt>
                <c:pt idx="372">
                  <c:v>20.496540945512795</c:v>
                </c:pt>
                <c:pt idx="373">
                  <c:v>20.496540945512795</c:v>
                </c:pt>
                <c:pt idx="374">
                  <c:v>20.496540945512795</c:v>
                </c:pt>
                <c:pt idx="375">
                  <c:v>20.496540945512795</c:v>
                </c:pt>
                <c:pt idx="376">
                  <c:v>20.496540945512795</c:v>
                </c:pt>
                <c:pt idx="377">
                  <c:v>20.496540945512795</c:v>
                </c:pt>
                <c:pt idx="378">
                  <c:v>20.496540945512795</c:v>
                </c:pt>
                <c:pt idx="379">
                  <c:v>20.496540945512795</c:v>
                </c:pt>
                <c:pt idx="380">
                  <c:v>20.496540945512795</c:v>
                </c:pt>
                <c:pt idx="381">
                  <c:v>20.496540945512795</c:v>
                </c:pt>
                <c:pt idx="382">
                  <c:v>20.496540945512795</c:v>
                </c:pt>
                <c:pt idx="383">
                  <c:v>20.496540945512795</c:v>
                </c:pt>
                <c:pt idx="384">
                  <c:v>20.496540945512795</c:v>
                </c:pt>
                <c:pt idx="385">
                  <c:v>20.496540945512795</c:v>
                </c:pt>
                <c:pt idx="386">
                  <c:v>20.496540945512795</c:v>
                </c:pt>
                <c:pt idx="387">
                  <c:v>20.496540945512795</c:v>
                </c:pt>
                <c:pt idx="388">
                  <c:v>20.496540945512795</c:v>
                </c:pt>
                <c:pt idx="389">
                  <c:v>20.496540945512795</c:v>
                </c:pt>
                <c:pt idx="390">
                  <c:v>20.496540945512795</c:v>
                </c:pt>
                <c:pt idx="391">
                  <c:v>20.496540945512795</c:v>
                </c:pt>
                <c:pt idx="392">
                  <c:v>20.496540945512795</c:v>
                </c:pt>
                <c:pt idx="393">
                  <c:v>20.496540945512795</c:v>
                </c:pt>
                <c:pt idx="394">
                  <c:v>20.496540945512795</c:v>
                </c:pt>
                <c:pt idx="395">
                  <c:v>20.496540945512795</c:v>
                </c:pt>
                <c:pt idx="396">
                  <c:v>20.496540945512795</c:v>
                </c:pt>
                <c:pt idx="397">
                  <c:v>20.496540945512795</c:v>
                </c:pt>
                <c:pt idx="398">
                  <c:v>20.496540945512795</c:v>
                </c:pt>
                <c:pt idx="399">
                  <c:v>20.496540945512795</c:v>
                </c:pt>
                <c:pt idx="400">
                  <c:v>20.496540945512795</c:v>
                </c:pt>
                <c:pt idx="401">
                  <c:v>20.496540945512795</c:v>
                </c:pt>
                <c:pt idx="402">
                  <c:v>20.496540945512795</c:v>
                </c:pt>
                <c:pt idx="403">
                  <c:v>20.496540945512795</c:v>
                </c:pt>
                <c:pt idx="404">
                  <c:v>20.496540945512795</c:v>
                </c:pt>
                <c:pt idx="405">
                  <c:v>20.496540945512795</c:v>
                </c:pt>
                <c:pt idx="406">
                  <c:v>20.496540945512795</c:v>
                </c:pt>
                <c:pt idx="407">
                  <c:v>20.496540945512795</c:v>
                </c:pt>
                <c:pt idx="408">
                  <c:v>20.496540945512795</c:v>
                </c:pt>
                <c:pt idx="409">
                  <c:v>20.496540945512795</c:v>
                </c:pt>
                <c:pt idx="410">
                  <c:v>20.496540945512795</c:v>
                </c:pt>
                <c:pt idx="411">
                  <c:v>20.496540945512795</c:v>
                </c:pt>
                <c:pt idx="412">
                  <c:v>20.496540945512795</c:v>
                </c:pt>
                <c:pt idx="413">
                  <c:v>20.496540945512795</c:v>
                </c:pt>
                <c:pt idx="414">
                  <c:v>20.496540945512795</c:v>
                </c:pt>
                <c:pt idx="415">
                  <c:v>20.496540945512795</c:v>
                </c:pt>
                <c:pt idx="416">
                  <c:v>20.496540945512795</c:v>
                </c:pt>
                <c:pt idx="417">
                  <c:v>20.496540945512795</c:v>
                </c:pt>
                <c:pt idx="418">
                  <c:v>20.496540945512795</c:v>
                </c:pt>
                <c:pt idx="419">
                  <c:v>20.496540945512795</c:v>
                </c:pt>
                <c:pt idx="420">
                  <c:v>20.496540945512795</c:v>
                </c:pt>
                <c:pt idx="421">
                  <c:v>20.496540945512795</c:v>
                </c:pt>
                <c:pt idx="422">
                  <c:v>20.496540945512795</c:v>
                </c:pt>
                <c:pt idx="423">
                  <c:v>20.496540945512795</c:v>
                </c:pt>
                <c:pt idx="424">
                  <c:v>20.496540945512795</c:v>
                </c:pt>
                <c:pt idx="425">
                  <c:v>20.496540945512795</c:v>
                </c:pt>
                <c:pt idx="426">
                  <c:v>20.496540945512795</c:v>
                </c:pt>
                <c:pt idx="427">
                  <c:v>20.496540945512795</c:v>
                </c:pt>
                <c:pt idx="428">
                  <c:v>20.496540945512795</c:v>
                </c:pt>
                <c:pt idx="429">
                  <c:v>20.496540945512795</c:v>
                </c:pt>
                <c:pt idx="430">
                  <c:v>20.496540945512795</c:v>
                </c:pt>
                <c:pt idx="431">
                  <c:v>20.496540945512795</c:v>
                </c:pt>
                <c:pt idx="432">
                  <c:v>20.496540945512795</c:v>
                </c:pt>
                <c:pt idx="433">
                  <c:v>20.496540945512795</c:v>
                </c:pt>
                <c:pt idx="434">
                  <c:v>20.496540945512795</c:v>
                </c:pt>
                <c:pt idx="435">
                  <c:v>20.496540945512795</c:v>
                </c:pt>
                <c:pt idx="436">
                  <c:v>20.496540945512795</c:v>
                </c:pt>
                <c:pt idx="437">
                  <c:v>20.496540945512795</c:v>
                </c:pt>
                <c:pt idx="438">
                  <c:v>20.496540945512795</c:v>
                </c:pt>
                <c:pt idx="439">
                  <c:v>20.496540945512795</c:v>
                </c:pt>
                <c:pt idx="440">
                  <c:v>20.496540945512795</c:v>
                </c:pt>
                <c:pt idx="441">
                  <c:v>20.496540945512795</c:v>
                </c:pt>
                <c:pt idx="442">
                  <c:v>20.496540945512795</c:v>
                </c:pt>
                <c:pt idx="443">
                  <c:v>20.496540945512795</c:v>
                </c:pt>
                <c:pt idx="444">
                  <c:v>20.496540945512795</c:v>
                </c:pt>
                <c:pt idx="445">
                  <c:v>20.496540945512795</c:v>
                </c:pt>
                <c:pt idx="446">
                  <c:v>20.496540945512795</c:v>
                </c:pt>
                <c:pt idx="447">
                  <c:v>20.496540945512795</c:v>
                </c:pt>
                <c:pt idx="448">
                  <c:v>20.496540945512795</c:v>
                </c:pt>
                <c:pt idx="449">
                  <c:v>20.496540945512795</c:v>
                </c:pt>
                <c:pt idx="450">
                  <c:v>20.496540945512795</c:v>
                </c:pt>
                <c:pt idx="451">
                  <c:v>20.496540945512795</c:v>
                </c:pt>
                <c:pt idx="452">
                  <c:v>20.496540945512795</c:v>
                </c:pt>
                <c:pt idx="453">
                  <c:v>20.496540945512795</c:v>
                </c:pt>
                <c:pt idx="454">
                  <c:v>20.496540945512795</c:v>
                </c:pt>
                <c:pt idx="455">
                  <c:v>20.496540945512795</c:v>
                </c:pt>
                <c:pt idx="456">
                  <c:v>20.496540945512795</c:v>
                </c:pt>
                <c:pt idx="457">
                  <c:v>20.496540945512795</c:v>
                </c:pt>
                <c:pt idx="458">
                  <c:v>20.496540945512795</c:v>
                </c:pt>
                <c:pt idx="459">
                  <c:v>20.496540945512795</c:v>
                </c:pt>
                <c:pt idx="460">
                  <c:v>20.496540945512795</c:v>
                </c:pt>
                <c:pt idx="461">
                  <c:v>20.496540945512795</c:v>
                </c:pt>
                <c:pt idx="462">
                  <c:v>20.496540945512795</c:v>
                </c:pt>
                <c:pt idx="463">
                  <c:v>20.496540945512795</c:v>
                </c:pt>
                <c:pt idx="464">
                  <c:v>20.496540945512795</c:v>
                </c:pt>
                <c:pt idx="465">
                  <c:v>20.496540945512795</c:v>
                </c:pt>
                <c:pt idx="466">
                  <c:v>20.496540945512795</c:v>
                </c:pt>
                <c:pt idx="467">
                  <c:v>20.496540945512795</c:v>
                </c:pt>
                <c:pt idx="468">
                  <c:v>20.496540945512795</c:v>
                </c:pt>
                <c:pt idx="469">
                  <c:v>20.496540945512795</c:v>
                </c:pt>
                <c:pt idx="470">
                  <c:v>20.496540945512795</c:v>
                </c:pt>
                <c:pt idx="471">
                  <c:v>20.496540945512795</c:v>
                </c:pt>
                <c:pt idx="472">
                  <c:v>20.496540945512795</c:v>
                </c:pt>
                <c:pt idx="473">
                  <c:v>20.496540945512795</c:v>
                </c:pt>
                <c:pt idx="474">
                  <c:v>20.496540945512795</c:v>
                </c:pt>
                <c:pt idx="475">
                  <c:v>20.496540945512795</c:v>
                </c:pt>
                <c:pt idx="476">
                  <c:v>20.496540945512795</c:v>
                </c:pt>
                <c:pt idx="477">
                  <c:v>20.496540945512795</c:v>
                </c:pt>
                <c:pt idx="478">
                  <c:v>20.496540945512795</c:v>
                </c:pt>
                <c:pt idx="479">
                  <c:v>20.496540945512795</c:v>
                </c:pt>
                <c:pt idx="480">
                  <c:v>20.496540945512795</c:v>
                </c:pt>
                <c:pt idx="481">
                  <c:v>20.496540945512795</c:v>
                </c:pt>
                <c:pt idx="482">
                  <c:v>20.496540945512795</c:v>
                </c:pt>
                <c:pt idx="483">
                  <c:v>20.496540945512795</c:v>
                </c:pt>
                <c:pt idx="484">
                  <c:v>20.496540945512795</c:v>
                </c:pt>
                <c:pt idx="485">
                  <c:v>20.496540945512795</c:v>
                </c:pt>
                <c:pt idx="486">
                  <c:v>20.496540945512795</c:v>
                </c:pt>
                <c:pt idx="487">
                  <c:v>20.496540945512795</c:v>
                </c:pt>
                <c:pt idx="488">
                  <c:v>20.496540945512795</c:v>
                </c:pt>
                <c:pt idx="489">
                  <c:v>20.496540945512795</c:v>
                </c:pt>
                <c:pt idx="490">
                  <c:v>20.496540945512795</c:v>
                </c:pt>
                <c:pt idx="491">
                  <c:v>20.496540945512795</c:v>
                </c:pt>
                <c:pt idx="492">
                  <c:v>20.496540945512795</c:v>
                </c:pt>
                <c:pt idx="493">
                  <c:v>20.496540945512795</c:v>
                </c:pt>
                <c:pt idx="494">
                  <c:v>20.496540945512795</c:v>
                </c:pt>
                <c:pt idx="495">
                  <c:v>20.496540945512795</c:v>
                </c:pt>
                <c:pt idx="496">
                  <c:v>20.496540945512795</c:v>
                </c:pt>
                <c:pt idx="497">
                  <c:v>20.496540945512795</c:v>
                </c:pt>
                <c:pt idx="498">
                  <c:v>20.496540945512795</c:v>
                </c:pt>
                <c:pt idx="499">
                  <c:v>20.496540945512795</c:v>
                </c:pt>
                <c:pt idx="500">
                  <c:v>20.496540945512795</c:v>
                </c:pt>
                <c:pt idx="501">
                  <c:v>20.496540945512795</c:v>
                </c:pt>
                <c:pt idx="502">
                  <c:v>20.496540945512795</c:v>
                </c:pt>
                <c:pt idx="503">
                  <c:v>20.496540945512795</c:v>
                </c:pt>
                <c:pt idx="504">
                  <c:v>20.496540945512795</c:v>
                </c:pt>
                <c:pt idx="505">
                  <c:v>20.496540945512795</c:v>
                </c:pt>
                <c:pt idx="506">
                  <c:v>20.496540945512795</c:v>
                </c:pt>
                <c:pt idx="507">
                  <c:v>20.496540945512795</c:v>
                </c:pt>
                <c:pt idx="508">
                  <c:v>20.496540945512795</c:v>
                </c:pt>
                <c:pt idx="509">
                  <c:v>20.496540945512795</c:v>
                </c:pt>
                <c:pt idx="510">
                  <c:v>20.496540945512795</c:v>
                </c:pt>
                <c:pt idx="511">
                  <c:v>20.496540945512795</c:v>
                </c:pt>
                <c:pt idx="512">
                  <c:v>20.496540945512795</c:v>
                </c:pt>
                <c:pt idx="513">
                  <c:v>20.496540945512795</c:v>
                </c:pt>
                <c:pt idx="514">
                  <c:v>20.496540945512795</c:v>
                </c:pt>
                <c:pt idx="515">
                  <c:v>20.496540945512795</c:v>
                </c:pt>
                <c:pt idx="516">
                  <c:v>20.496540945512795</c:v>
                </c:pt>
                <c:pt idx="517">
                  <c:v>20.496540945512795</c:v>
                </c:pt>
                <c:pt idx="518">
                  <c:v>20.496540945512795</c:v>
                </c:pt>
                <c:pt idx="519">
                  <c:v>20.496540945512795</c:v>
                </c:pt>
                <c:pt idx="520">
                  <c:v>20.496540945512795</c:v>
                </c:pt>
                <c:pt idx="521">
                  <c:v>20.496540945512795</c:v>
                </c:pt>
                <c:pt idx="522">
                  <c:v>20.496540945512795</c:v>
                </c:pt>
                <c:pt idx="523">
                  <c:v>20.496540945512795</c:v>
                </c:pt>
                <c:pt idx="524">
                  <c:v>20.496540945512795</c:v>
                </c:pt>
                <c:pt idx="525">
                  <c:v>20.496540945512795</c:v>
                </c:pt>
                <c:pt idx="526">
                  <c:v>20.496540945512795</c:v>
                </c:pt>
                <c:pt idx="527">
                  <c:v>20.496540945512795</c:v>
                </c:pt>
                <c:pt idx="528">
                  <c:v>20.496540945512795</c:v>
                </c:pt>
                <c:pt idx="529">
                  <c:v>20.496540945512795</c:v>
                </c:pt>
                <c:pt idx="530">
                  <c:v>20.496540945512795</c:v>
                </c:pt>
                <c:pt idx="531">
                  <c:v>20.496540945512795</c:v>
                </c:pt>
                <c:pt idx="532">
                  <c:v>20.496540945512795</c:v>
                </c:pt>
                <c:pt idx="533">
                  <c:v>20.496540945512795</c:v>
                </c:pt>
                <c:pt idx="534">
                  <c:v>20.496540945512795</c:v>
                </c:pt>
                <c:pt idx="535">
                  <c:v>20.496540945512795</c:v>
                </c:pt>
                <c:pt idx="536">
                  <c:v>20.496540945512795</c:v>
                </c:pt>
                <c:pt idx="537">
                  <c:v>20.496540945512795</c:v>
                </c:pt>
                <c:pt idx="538">
                  <c:v>20.496540945512795</c:v>
                </c:pt>
                <c:pt idx="539">
                  <c:v>20.496540945512795</c:v>
                </c:pt>
                <c:pt idx="540">
                  <c:v>20.496540945512795</c:v>
                </c:pt>
                <c:pt idx="541">
                  <c:v>20.496540945512795</c:v>
                </c:pt>
                <c:pt idx="542">
                  <c:v>20.496540945512795</c:v>
                </c:pt>
                <c:pt idx="543">
                  <c:v>20.496540945512795</c:v>
                </c:pt>
                <c:pt idx="544">
                  <c:v>20.496540945512795</c:v>
                </c:pt>
                <c:pt idx="545">
                  <c:v>20.496540945512795</c:v>
                </c:pt>
                <c:pt idx="546">
                  <c:v>20.496540945512795</c:v>
                </c:pt>
                <c:pt idx="547">
                  <c:v>20.496540945512795</c:v>
                </c:pt>
                <c:pt idx="548">
                  <c:v>20.496540945512795</c:v>
                </c:pt>
                <c:pt idx="549">
                  <c:v>20.496540945512795</c:v>
                </c:pt>
                <c:pt idx="550">
                  <c:v>20.496540945512795</c:v>
                </c:pt>
                <c:pt idx="551">
                  <c:v>20.496540945512795</c:v>
                </c:pt>
                <c:pt idx="552">
                  <c:v>20.496540945512795</c:v>
                </c:pt>
                <c:pt idx="553">
                  <c:v>20.496540945512795</c:v>
                </c:pt>
                <c:pt idx="554">
                  <c:v>20.496540945512795</c:v>
                </c:pt>
                <c:pt idx="555">
                  <c:v>20.496540945512795</c:v>
                </c:pt>
                <c:pt idx="556">
                  <c:v>20.496540945512795</c:v>
                </c:pt>
                <c:pt idx="557">
                  <c:v>20.496540945512795</c:v>
                </c:pt>
                <c:pt idx="558">
                  <c:v>20.496540945512795</c:v>
                </c:pt>
                <c:pt idx="559">
                  <c:v>20.496540945512795</c:v>
                </c:pt>
                <c:pt idx="560">
                  <c:v>20.496540945512795</c:v>
                </c:pt>
                <c:pt idx="561">
                  <c:v>20.496540945512795</c:v>
                </c:pt>
                <c:pt idx="562">
                  <c:v>20.496540945512795</c:v>
                </c:pt>
                <c:pt idx="563">
                  <c:v>20.496540945512795</c:v>
                </c:pt>
                <c:pt idx="564">
                  <c:v>20.496540945512795</c:v>
                </c:pt>
                <c:pt idx="565">
                  <c:v>20.496540945512795</c:v>
                </c:pt>
                <c:pt idx="566">
                  <c:v>20.496540945512795</c:v>
                </c:pt>
                <c:pt idx="567">
                  <c:v>20.496540945512795</c:v>
                </c:pt>
                <c:pt idx="568">
                  <c:v>20.496540945512795</c:v>
                </c:pt>
                <c:pt idx="569">
                  <c:v>20.496540945512795</c:v>
                </c:pt>
                <c:pt idx="570">
                  <c:v>20.496540945512795</c:v>
                </c:pt>
                <c:pt idx="571">
                  <c:v>20.496540945512795</c:v>
                </c:pt>
                <c:pt idx="572">
                  <c:v>20.496540945512795</c:v>
                </c:pt>
                <c:pt idx="573">
                  <c:v>20.496540945512795</c:v>
                </c:pt>
                <c:pt idx="574">
                  <c:v>20.496540945512795</c:v>
                </c:pt>
                <c:pt idx="575">
                  <c:v>20.496540945512795</c:v>
                </c:pt>
                <c:pt idx="576">
                  <c:v>20.496540945512795</c:v>
                </c:pt>
                <c:pt idx="577">
                  <c:v>20.496540945512795</c:v>
                </c:pt>
                <c:pt idx="578">
                  <c:v>20.496540945512795</c:v>
                </c:pt>
                <c:pt idx="579">
                  <c:v>20.496540945512795</c:v>
                </c:pt>
                <c:pt idx="580">
                  <c:v>20.496540945512795</c:v>
                </c:pt>
                <c:pt idx="581">
                  <c:v>20.496540945512795</c:v>
                </c:pt>
                <c:pt idx="582">
                  <c:v>20.496540945512795</c:v>
                </c:pt>
                <c:pt idx="583">
                  <c:v>20.496540945512795</c:v>
                </c:pt>
                <c:pt idx="584">
                  <c:v>20.496540945512795</c:v>
                </c:pt>
                <c:pt idx="585">
                  <c:v>20.496540945512795</c:v>
                </c:pt>
                <c:pt idx="586">
                  <c:v>20.496540945512795</c:v>
                </c:pt>
                <c:pt idx="587">
                  <c:v>20.496540945512795</c:v>
                </c:pt>
                <c:pt idx="588">
                  <c:v>20.496540945512795</c:v>
                </c:pt>
                <c:pt idx="589">
                  <c:v>20.496540945512795</c:v>
                </c:pt>
                <c:pt idx="590">
                  <c:v>20.496540945512795</c:v>
                </c:pt>
                <c:pt idx="591">
                  <c:v>20.496540945512795</c:v>
                </c:pt>
                <c:pt idx="592">
                  <c:v>20.496540945512795</c:v>
                </c:pt>
                <c:pt idx="593">
                  <c:v>20.496540945512795</c:v>
                </c:pt>
                <c:pt idx="594">
                  <c:v>20.496540945512795</c:v>
                </c:pt>
                <c:pt idx="595">
                  <c:v>20.496540945512795</c:v>
                </c:pt>
                <c:pt idx="596">
                  <c:v>20.496540945512795</c:v>
                </c:pt>
                <c:pt idx="597">
                  <c:v>20.496540945512795</c:v>
                </c:pt>
                <c:pt idx="598">
                  <c:v>20.496540945512795</c:v>
                </c:pt>
                <c:pt idx="599">
                  <c:v>20.496540945512795</c:v>
                </c:pt>
                <c:pt idx="600">
                  <c:v>20.496540945512795</c:v>
                </c:pt>
                <c:pt idx="601">
                  <c:v>20.496540945512795</c:v>
                </c:pt>
                <c:pt idx="602">
                  <c:v>20.496540945512795</c:v>
                </c:pt>
                <c:pt idx="603">
                  <c:v>20.496540945512795</c:v>
                </c:pt>
                <c:pt idx="604">
                  <c:v>20.496540945512795</c:v>
                </c:pt>
                <c:pt idx="605">
                  <c:v>20.496540945512795</c:v>
                </c:pt>
                <c:pt idx="606">
                  <c:v>20.496540945512795</c:v>
                </c:pt>
                <c:pt idx="607">
                  <c:v>20.496540945512795</c:v>
                </c:pt>
                <c:pt idx="608">
                  <c:v>20.496540945512795</c:v>
                </c:pt>
                <c:pt idx="609">
                  <c:v>20.496540945512795</c:v>
                </c:pt>
                <c:pt idx="610">
                  <c:v>20.496540945512795</c:v>
                </c:pt>
                <c:pt idx="611">
                  <c:v>20.496540945512795</c:v>
                </c:pt>
                <c:pt idx="612">
                  <c:v>20.496540945512795</c:v>
                </c:pt>
                <c:pt idx="613">
                  <c:v>20.496540945512795</c:v>
                </c:pt>
                <c:pt idx="614">
                  <c:v>20.496540945512795</c:v>
                </c:pt>
                <c:pt idx="615">
                  <c:v>20.496540945512795</c:v>
                </c:pt>
                <c:pt idx="616">
                  <c:v>20.496540945512795</c:v>
                </c:pt>
                <c:pt idx="617">
                  <c:v>20.496540945512795</c:v>
                </c:pt>
                <c:pt idx="618">
                  <c:v>20.496540945512795</c:v>
                </c:pt>
                <c:pt idx="619">
                  <c:v>20.496540945512795</c:v>
                </c:pt>
                <c:pt idx="620">
                  <c:v>20.496540945512795</c:v>
                </c:pt>
                <c:pt idx="621">
                  <c:v>20.496540945512795</c:v>
                </c:pt>
                <c:pt idx="622">
                  <c:v>20.496540945512795</c:v>
                </c:pt>
                <c:pt idx="623">
                  <c:v>20.496540945512795</c:v>
                </c:pt>
                <c:pt idx="624">
                  <c:v>20.496540945512795</c:v>
                </c:pt>
                <c:pt idx="625">
                  <c:v>20.496540945512795</c:v>
                </c:pt>
                <c:pt idx="626">
                  <c:v>20.496540945512795</c:v>
                </c:pt>
                <c:pt idx="627">
                  <c:v>20.496540945512795</c:v>
                </c:pt>
                <c:pt idx="628">
                  <c:v>20.496540945512795</c:v>
                </c:pt>
                <c:pt idx="629">
                  <c:v>20.496540945512795</c:v>
                </c:pt>
                <c:pt idx="630">
                  <c:v>20.496540945512795</c:v>
                </c:pt>
                <c:pt idx="631">
                  <c:v>20.496540945512795</c:v>
                </c:pt>
                <c:pt idx="632">
                  <c:v>20.496540945512795</c:v>
                </c:pt>
                <c:pt idx="633">
                  <c:v>20.496540945512795</c:v>
                </c:pt>
                <c:pt idx="634">
                  <c:v>20.496540945512795</c:v>
                </c:pt>
                <c:pt idx="635">
                  <c:v>20.496540945512795</c:v>
                </c:pt>
                <c:pt idx="636">
                  <c:v>20.496540945512795</c:v>
                </c:pt>
                <c:pt idx="637">
                  <c:v>20.496540945512795</c:v>
                </c:pt>
                <c:pt idx="638">
                  <c:v>20.496540945512795</c:v>
                </c:pt>
                <c:pt idx="639">
                  <c:v>20.496540945512795</c:v>
                </c:pt>
                <c:pt idx="640">
                  <c:v>20.496540945512795</c:v>
                </c:pt>
                <c:pt idx="641">
                  <c:v>20.496540945512795</c:v>
                </c:pt>
                <c:pt idx="642">
                  <c:v>20.496540945512795</c:v>
                </c:pt>
                <c:pt idx="643">
                  <c:v>20.496540945512795</c:v>
                </c:pt>
                <c:pt idx="644">
                  <c:v>20.496540945512795</c:v>
                </c:pt>
                <c:pt idx="645">
                  <c:v>20.496540945512795</c:v>
                </c:pt>
                <c:pt idx="646">
                  <c:v>20.496540945512795</c:v>
                </c:pt>
                <c:pt idx="647">
                  <c:v>20.496540945512795</c:v>
                </c:pt>
                <c:pt idx="648">
                  <c:v>20.496540945512795</c:v>
                </c:pt>
                <c:pt idx="649">
                  <c:v>20.496540945512795</c:v>
                </c:pt>
                <c:pt idx="650">
                  <c:v>20.496540945512795</c:v>
                </c:pt>
                <c:pt idx="651">
                  <c:v>20.496540945512795</c:v>
                </c:pt>
                <c:pt idx="652">
                  <c:v>20.496540945512795</c:v>
                </c:pt>
                <c:pt idx="653">
                  <c:v>20.496540945512795</c:v>
                </c:pt>
                <c:pt idx="654">
                  <c:v>20.496540945512795</c:v>
                </c:pt>
                <c:pt idx="655">
                  <c:v>20.496540945512795</c:v>
                </c:pt>
                <c:pt idx="656">
                  <c:v>20.496540945512795</c:v>
                </c:pt>
                <c:pt idx="657">
                  <c:v>20.496540945512795</c:v>
                </c:pt>
                <c:pt idx="658">
                  <c:v>20.496540945512795</c:v>
                </c:pt>
                <c:pt idx="659">
                  <c:v>20.496540945512795</c:v>
                </c:pt>
                <c:pt idx="660">
                  <c:v>20.496540945512795</c:v>
                </c:pt>
                <c:pt idx="661">
                  <c:v>20.496540945512795</c:v>
                </c:pt>
                <c:pt idx="662">
                  <c:v>20.496540945512795</c:v>
                </c:pt>
                <c:pt idx="663">
                  <c:v>20.496540945512795</c:v>
                </c:pt>
                <c:pt idx="664">
                  <c:v>20.496540945512795</c:v>
                </c:pt>
                <c:pt idx="665">
                  <c:v>20.496540945512795</c:v>
                </c:pt>
                <c:pt idx="666">
                  <c:v>20.496540945512795</c:v>
                </c:pt>
                <c:pt idx="667">
                  <c:v>20.496540945512795</c:v>
                </c:pt>
                <c:pt idx="668">
                  <c:v>20.496540945512795</c:v>
                </c:pt>
                <c:pt idx="669">
                  <c:v>20.496540945512795</c:v>
                </c:pt>
                <c:pt idx="670">
                  <c:v>20.496540945512795</c:v>
                </c:pt>
                <c:pt idx="671">
                  <c:v>20.496540945512795</c:v>
                </c:pt>
                <c:pt idx="672">
                  <c:v>20.496540945512795</c:v>
                </c:pt>
                <c:pt idx="673">
                  <c:v>20.496540945512795</c:v>
                </c:pt>
                <c:pt idx="674">
                  <c:v>20.496540945512795</c:v>
                </c:pt>
                <c:pt idx="675">
                  <c:v>20.496540945512795</c:v>
                </c:pt>
                <c:pt idx="676">
                  <c:v>20.496540945512795</c:v>
                </c:pt>
                <c:pt idx="677">
                  <c:v>20.496540945512795</c:v>
                </c:pt>
                <c:pt idx="678">
                  <c:v>20.496540945512795</c:v>
                </c:pt>
                <c:pt idx="679">
                  <c:v>20.496540945512795</c:v>
                </c:pt>
                <c:pt idx="680">
                  <c:v>20.496540945512795</c:v>
                </c:pt>
                <c:pt idx="681">
                  <c:v>20.496540945512795</c:v>
                </c:pt>
                <c:pt idx="682">
                  <c:v>20.496540945512795</c:v>
                </c:pt>
                <c:pt idx="683">
                  <c:v>20.496540945512795</c:v>
                </c:pt>
                <c:pt idx="684">
                  <c:v>20.496540945512795</c:v>
                </c:pt>
                <c:pt idx="685">
                  <c:v>20.496540945512795</c:v>
                </c:pt>
                <c:pt idx="686">
                  <c:v>20.496540945512795</c:v>
                </c:pt>
                <c:pt idx="687">
                  <c:v>20.496540945512795</c:v>
                </c:pt>
                <c:pt idx="688">
                  <c:v>20.496540945512795</c:v>
                </c:pt>
                <c:pt idx="689">
                  <c:v>20.496540945512795</c:v>
                </c:pt>
                <c:pt idx="690">
                  <c:v>20.496540945512795</c:v>
                </c:pt>
                <c:pt idx="691">
                  <c:v>20.496540945512795</c:v>
                </c:pt>
                <c:pt idx="692">
                  <c:v>20.496540945512795</c:v>
                </c:pt>
                <c:pt idx="693">
                  <c:v>20.496540945512795</c:v>
                </c:pt>
                <c:pt idx="694">
                  <c:v>20.496540945512795</c:v>
                </c:pt>
                <c:pt idx="695">
                  <c:v>20.496540945512795</c:v>
                </c:pt>
                <c:pt idx="696">
                  <c:v>20.496540945512795</c:v>
                </c:pt>
                <c:pt idx="697">
                  <c:v>20.496540945512795</c:v>
                </c:pt>
                <c:pt idx="698">
                  <c:v>20.496540945512795</c:v>
                </c:pt>
                <c:pt idx="699">
                  <c:v>20.496540945512795</c:v>
                </c:pt>
                <c:pt idx="700">
                  <c:v>20.496540945512795</c:v>
                </c:pt>
                <c:pt idx="701">
                  <c:v>20.496540945512795</c:v>
                </c:pt>
                <c:pt idx="702">
                  <c:v>20.496540945512795</c:v>
                </c:pt>
                <c:pt idx="703">
                  <c:v>20.496540945512795</c:v>
                </c:pt>
                <c:pt idx="704">
                  <c:v>20.496540945512795</c:v>
                </c:pt>
                <c:pt idx="705">
                  <c:v>20.496540945512795</c:v>
                </c:pt>
                <c:pt idx="706">
                  <c:v>20.496540945512795</c:v>
                </c:pt>
                <c:pt idx="707">
                  <c:v>20.496540945512795</c:v>
                </c:pt>
                <c:pt idx="708">
                  <c:v>20.496540945512795</c:v>
                </c:pt>
                <c:pt idx="709">
                  <c:v>20.496540945512795</c:v>
                </c:pt>
                <c:pt idx="710">
                  <c:v>20.496540945512795</c:v>
                </c:pt>
                <c:pt idx="711">
                  <c:v>20.496540945512795</c:v>
                </c:pt>
                <c:pt idx="712">
                  <c:v>20.496540945512795</c:v>
                </c:pt>
                <c:pt idx="713">
                  <c:v>20.496540945512795</c:v>
                </c:pt>
                <c:pt idx="714">
                  <c:v>20.496540945512795</c:v>
                </c:pt>
                <c:pt idx="715">
                  <c:v>20.496540945512795</c:v>
                </c:pt>
                <c:pt idx="716">
                  <c:v>20.496540945512795</c:v>
                </c:pt>
                <c:pt idx="717">
                  <c:v>20.496540945512795</c:v>
                </c:pt>
                <c:pt idx="718">
                  <c:v>20.496540945512795</c:v>
                </c:pt>
                <c:pt idx="719">
                  <c:v>20.496540945512795</c:v>
                </c:pt>
                <c:pt idx="720">
                  <c:v>20.496540945512795</c:v>
                </c:pt>
                <c:pt idx="721">
                  <c:v>20.496540945512795</c:v>
                </c:pt>
                <c:pt idx="722">
                  <c:v>20.496540945512795</c:v>
                </c:pt>
                <c:pt idx="723">
                  <c:v>20.496540945512795</c:v>
                </c:pt>
                <c:pt idx="724">
                  <c:v>20.496540945512795</c:v>
                </c:pt>
                <c:pt idx="725">
                  <c:v>20.496540945512795</c:v>
                </c:pt>
                <c:pt idx="726">
                  <c:v>20.496540945512795</c:v>
                </c:pt>
                <c:pt idx="727">
                  <c:v>20.496540945512795</c:v>
                </c:pt>
                <c:pt idx="728">
                  <c:v>20.496540945512795</c:v>
                </c:pt>
                <c:pt idx="729">
                  <c:v>20.496540945512795</c:v>
                </c:pt>
                <c:pt idx="730">
                  <c:v>20.496540945512795</c:v>
                </c:pt>
                <c:pt idx="731">
                  <c:v>20.496540945512795</c:v>
                </c:pt>
                <c:pt idx="732">
                  <c:v>20.496540945512795</c:v>
                </c:pt>
                <c:pt idx="733">
                  <c:v>20.496540945512795</c:v>
                </c:pt>
                <c:pt idx="734">
                  <c:v>20.496540945512795</c:v>
                </c:pt>
                <c:pt idx="735">
                  <c:v>20.496540945512795</c:v>
                </c:pt>
                <c:pt idx="736">
                  <c:v>20.496540945512795</c:v>
                </c:pt>
                <c:pt idx="737">
                  <c:v>20.496540945512795</c:v>
                </c:pt>
                <c:pt idx="738">
                  <c:v>20.496540945512795</c:v>
                </c:pt>
                <c:pt idx="739">
                  <c:v>20.496540945512795</c:v>
                </c:pt>
                <c:pt idx="740">
                  <c:v>20.496540945512795</c:v>
                </c:pt>
                <c:pt idx="741">
                  <c:v>20.496540945512795</c:v>
                </c:pt>
                <c:pt idx="742">
                  <c:v>20.496540945512795</c:v>
                </c:pt>
                <c:pt idx="743">
                  <c:v>20.496540945512795</c:v>
                </c:pt>
                <c:pt idx="744">
                  <c:v>20.496540945512795</c:v>
                </c:pt>
                <c:pt idx="745">
                  <c:v>20.496540945512795</c:v>
                </c:pt>
                <c:pt idx="746">
                  <c:v>20.496540945512795</c:v>
                </c:pt>
                <c:pt idx="747">
                  <c:v>20.496540945512795</c:v>
                </c:pt>
                <c:pt idx="748">
                  <c:v>20.496540945512795</c:v>
                </c:pt>
                <c:pt idx="749">
                  <c:v>20.496540945512795</c:v>
                </c:pt>
                <c:pt idx="750">
                  <c:v>20.496540945512795</c:v>
                </c:pt>
                <c:pt idx="751">
                  <c:v>20.496540945512795</c:v>
                </c:pt>
                <c:pt idx="752">
                  <c:v>20.496540945512795</c:v>
                </c:pt>
                <c:pt idx="753">
                  <c:v>20.496540945512795</c:v>
                </c:pt>
                <c:pt idx="754">
                  <c:v>20.496540945512795</c:v>
                </c:pt>
                <c:pt idx="755">
                  <c:v>20.496540945512795</c:v>
                </c:pt>
                <c:pt idx="756">
                  <c:v>20.496540945512795</c:v>
                </c:pt>
                <c:pt idx="757">
                  <c:v>20.496540945512795</c:v>
                </c:pt>
                <c:pt idx="758">
                  <c:v>20.496540945512795</c:v>
                </c:pt>
                <c:pt idx="759">
                  <c:v>20.496540945512795</c:v>
                </c:pt>
                <c:pt idx="760">
                  <c:v>20.496540945512795</c:v>
                </c:pt>
                <c:pt idx="761">
                  <c:v>20.496540945512795</c:v>
                </c:pt>
                <c:pt idx="762">
                  <c:v>20.496540945512795</c:v>
                </c:pt>
                <c:pt idx="763">
                  <c:v>20.496540945512795</c:v>
                </c:pt>
                <c:pt idx="764">
                  <c:v>20.496540945512795</c:v>
                </c:pt>
                <c:pt idx="765">
                  <c:v>20.496540945512795</c:v>
                </c:pt>
                <c:pt idx="766">
                  <c:v>20.496540945512795</c:v>
                </c:pt>
                <c:pt idx="767">
                  <c:v>20.496540945512795</c:v>
                </c:pt>
                <c:pt idx="768">
                  <c:v>20.496540945512795</c:v>
                </c:pt>
                <c:pt idx="769">
                  <c:v>20.496540945512795</c:v>
                </c:pt>
                <c:pt idx="770">
                  <c:v>20.496540945512795</c:v>
                </c:pt>
                <c:pt idx="771">
                  <c:v>20.496540945512795</c:v>
                </c:pt>
                <c:pt idx="772">
                  <c:v>20.496540945512795</c:v>
                </c:pt>
                <c:pt idx="773">
                  <c:v>20.496540945512795</c:v>
                </c:pt>
                <c:pt idx="774">
                  <c:v>20.496540945512795</c:v>
                </c:pt>
                <c:pt idx="775">
                  <c:v>20.496540945512795</c:v>
                </c:pt>
                <c:pt idx="776">
                  <c:v>20.496540945512795</c:v>
                </c:pt>
                <c:pt idx="777">
                  <c:v>20.496540945512795</c:v>
                </c:pt>
                <c:pt idx="778">
                  <c:v>20.496540945512795</c:v>
                </c:pt>
                <c:pt idx="779">
                  <c:v>20.496540945512795</c:v>
                </c:pt>
                <c:pt idx="780">
                  <c:v>20.496540945512795</c:v>
                </c:pt>
                <c:pt idx="781">
                  <c:v>20.496540945512795</c:v>
                </c:pt>
                <c:pt idx="782">
                  <c:v>20.496540945512795</c:v>
                </c:pt>
                <c:pt idx="783">
                  <c:v>20.496540945512795</c:v>
                </c:pt>
                <c:pt idx="784">
                  <c:v>20.496540945512795</c:v>
                </c:pt>
                <c:pt idx="785">
                  <c:v>20.496540945512795</c:v>
                </c:pt>
                <c:pt idx="786">
                  <c:v>20.496540945512795</c:v>
                </c:pt>
                <c:pt idx="787">
                  <c:v>20.496540945512795</c:v>
                </c:pt>
                <c:pt idx="788">
                  <c:v>20.496540945512795</c:v>
                </c:pt>
                <c:pt idx="789">
                  <c:v>20.496540945512795</c:v>
                </c:pt>
                <c:pt idx="790">
                  <c:v>20.496540945512795</c:v>
                </c:pt>
                <c:pt idx="791">
                  <c:v>20.496540945512795</c:v>
                </c:pt>
                <c:pt idx="792">
                  <c:v>20.496540945512795</c:v>
                </c:pt>
                <c:pt idx="793">
                  <c:v>20.496540945512795</c:v>
                </c:pt>
                <c:pt idx="794">
                  <c:v>20.496540945512795</c:v>
                </c:pt>
                <c:pt idx="795">
                  <c:v>20.496540945512795</c:v>
                </c:pt>
                <c:pt idx="796">
                  <c:v>20.496540945512795</c:v>
                </c:pt>
                <c:pt idx="797">
                  <c:v>20.496540945512795</c:v>
                </c:pt>
                <c:pt idx="798">
                  <c:v>20.496540945512795</c:v>
                </c:pt>
                <c:pt idx="799">
                  <c:v>20.496540945512795</c:v>
                </c:pt>
                <c:pt idx="800">
                  <c:v>20.496540945512795</c:v>
                </c:pt>
                <c:pt idx="801">
                  <c:v>20.496540945512795</c:v>
                </c:pt>
                <c:pt idx="802">
                  <c:v>20.496540945512795</c:v>
                </c:pt>
                <c:pt idx="803">
                  <c:v>20.496540945512795</c:v>
                </c:pt>
                <c:pt idx="804">
                  <c:v>20.496540945512795</c:v>
                </c:pt>
                <c:pt idx="805">
                  <c:v>20.496540945512795</c:v>
                </c:pt>
                <c:pt idx="806">
                  <c:v>20.496540945512795</c:v>
                </c:pt>
                <c:pt idx="807">
                  <c:v>20.496540945512795</c:v>
                </c:pt>
                <c:pt idx="808">
                  <c:v>20.496540945512795</c:v>
                </c:pt>
                <c:pt idx="809">
                  <c:v>20.496540945512795</c:v>
                </c:pt>
                <c:pt idx="810">
                  <c:v>20.496540945512795</c:v>
                </c:pt>
                <c:pt idx="811">
                  <c:v>20.496540945512795</c:v>
                </c:pt>
                <c:pt idx="812">
                  <c:v>20.496540945512795</c:v>
                </c:pt>
                <c:pt idx="813">
                  <c:v>20.496540945512795</c:v>
                </c:pt>
                <c:pt idx="814">
                  <c:v>20.496540945512795</c:v>
                </c:pt>
                <c:pt idx="815">
                  <c:v>20.496540945512795</c:v>
                </c:pt>
                <c:pt idx="816">
                  <c:v>20.496540945512795</c:v>
                </c:pt>
                <c:pt idx="817">
                  <c:v>20.496540945512795</c:v>
                </c:pt>
                <c:pt idx="818">
                  <c:v>20.496540945512795</c:v>
                </c:pt>
                <c:pt idx="819">
                  <c:v>20.496540945512795</c:v>
                </c:pt>
                <c:pt idx="820">
                  <c:v>20.496540945512795</c:v>
                </c:pt>
                <c:pt idx="821">
                  <c:v>20.496540945512795</c:v>
                </c:pt>
                <c:pt idx="822">
                  <c:v>20.496540945512795</c:v>
                </c:pt>
                <c:pt idx="823">
                  <c:v>20.496540945512795</c:v>
                </c:pt>
                <c:pt idx="824">
                  <c:v>20.496540945512795</c:v>
                </c:pt>
                <c:pt idx="825">
                  <c:v>20.496540945512795</c:v>
                </c:pt>
                <c:pt idx="826">
                  <c:v>20.496540945512795</c:v>
                </c:pt>
                <c:pt idx="827">
                  <c:v>20.496540945512795</c:v>
                </c:pt>
                <c:pt idx="828">
                  <c:v>20.496540945512795</c:v>
                </c:pt>
                <c:pt idx="829">
                  <c:v>20.496540945512795</c:v>
                </c:pt>
                <c:pt idx="830">
                  <c:v>20.496540945512795</c:v>
                </c:pt>
                <c:pt idx="831">
                  <c:v>20.496540945512795</c:v>
                </c:pt>
                <c:pt idx="832">
                  <c:v>20.496540945512795</c:v>
                </c:pt>
                <c:pt idx="833">
                  <c:v>20.496540945512795</c:v>
                </c:pt>
                <c:pt idx="834">
                  <c:v>20.496540945512795</c:v>
                </c:pt>
                <c:pt idx="835">
                  <c:v>20.496540945512795</c:v>
                </c:pt>
                <c:pt idx="836">
                  <c:v>20.496540945512795</c:v>
                </c:pt>
                <c:pt idx="837">
                  <c:v>20.496540945512795</c:v>
                </c:pt>
                <c:pt idx="838">
                  <c:v>20.496540945512795</c:v>
                </c:pt>
                <c:pt idx="839">
                  <c:v>20.496540945512795</c:v>
                </c:pt>
                <c:pt idx="840">
                  <c:v>20.496540945512795</c:v>
                </c:pt>
                <c:pt idx="841">
                  <c:v>20.496540945512795</c:v>
                </c:pt>
                <c:pt idx="842">
                  <c:v>20.496540945512795</c:v>
                </c:pt>
                <c:pt idx="843">
                  <c:v>20.496540945512795</c:v>
                </c:pt>
                <c:pt idx="844">
                  <c:v>20.496540945512795</c:v>
                </c:pt>
                <c:pt idx="845">
                  <c:v>20.496540945512795</c:v>
                </c:pt>
                <c:pt idx="846">
                  <c:v>20.496540945512795</c:v>
                </c:pt>
                <c:pt idx="847">
                  <c:v>20.496540945512795</c:v>
                </c:pt>
                <c:pt idx="848">
                  <c:v>20.496540945512795</c:v>
                </c:pt>
                <c:pt idx="849">
                  <c:v>20.496540945512795</c:v>
                </c:pt>
                <c:pt idx="850">
                  <c:v>20.496540945512795</c:v>
                </c:pt>
                <c:pt idx="851">
                  <c:v>20.496540945512795</c:v>
                </c:pt>
                <c:pt idx="852">
                  <c:v>20.496540945512795</c:v>
                </c:pt>
                <c:pt idx="853">
                  <c:v>20.496540945512795</c:v>
                </c:pt>
                <c:pt idx="854">
                  <c:v>20.496540945512795</c:v>
                </c:pt>
                <c:pt idx="855">
                  <c:v>20.496540945512795</c:v>
                </c:pt>
                <c:pt idx="856">
                  <c:v>20.496540945512795</c:v>
                </c:pt>
                <c:pt idx="857">
                  <c:v>20.496540945512795</c:v>
                </c:pt>
                <c:pt idx="858">
                  <c:v>20.496540945512795</c:v>
                </c:pt>
                <c:pt idx="859">
                  <c:v>20.496540945512795</c:v>
                </c:pt>
                <c:pt idx="860">
                  <c:v>20.496540945512795</c:v>
                </c:pt>
                <c:pt idx="861">
                  <c:v>20.496540945512795</c:v>
                </c:pt>
                <c:pt idx="862">
                  <c:v>20.496540945512795</c:v>
                </c:pt>
                <c:pt idx="863">
                  <c:v>20.496540945512795</c:v>
                </c:pt>
                <c:pt idx="864">
                  <c:v>20.496540945512795</c:v>
                </c:pt>
                <c:pt idx="865">
                  <c:v>20.496540945512795</c:v>
                </c:pt>
                <c:pt idx="866">
                  <c:v>20.496540945512795</c:v>
                </c:pt>
                <c:pt idx="867">
                  <c:v>20.496540945512795</c:v>
                </c:pt>
                <c:pt idx="868">
                  <c:v>20.496540945512795</c:v>
                </c:pt>
                <c:pt idx="869">
                  <c:v>20.496540945512795</c:v>
                </c:pt>
                <c:pt idx="870">
                  <c:v>20.496540945512795</c:v>
                </c:pt>
                <c:pt idx="871">
                  <c:v>20.496540945512795</c:v>
                </c:pt>
                <c:pt idx="872">
                  <c:v>20.496540945512795</c:v>
                </c:pt>
                <c:pt idx="873">
                  <c:v>20.496540945512795</c:v>
                </c:pt>
                <c:pt idx="874">
                  <c:v>20.496540945512795</c:v>
                </c:pt>
                <c:pt idx="875">
                  <c:v>20.496540945512795</c:v>
                </c:pt>
                <c:pt idx="876">
                  <c:v>20.496540945512795</c:v>
                </c:pt>
                <c:pt idx="877">
                  <c:v>20.496540945512795</c:v>
                </c:pt>
                <c:pt idx="878">
                  <c:v>20.496540945512795</c:v>
                </c:pt>
                <c:pt idx="879">
                  <c:v>20.496540945512795</c:v>
                </c:pt>
                <c:pt idx="880">
                  <c:v>20.496540945512795</c:v>
                </c:pt>
                <c:pt idx="881">
                  <c:v>20.496540945512795</c:v>
                </c:pt>
                <c:pt idx="882">
                  <c:v>20.496540945512795</c:v>
                </c:pt>
                <c:pt idx="883">
                  <c:v>20.496540945512795</c:v>
                </c:pt>
                <c:pt idx="884">
                  <c:v>20.496540945512795</c:v>
                </c:pt>
                <c:pt idx="885">
                  <c:v>20.496540945512795</c:v>
                </c:pt>
                <c:pt idx="886">
                  <c:v>20.496540945512795</c:v>
                </c:pt>
                <c:pt idx="887">
                  <c:v>20.496540945512795</c:v>
                </c:pt>
                <c:pt idx="888">
                  <c:v>20.496540945512795</c:v>
                </c:pt>
                <c:pt idx="889">
                  <c:v>20.496540945512795</c:v>
                </c:pt>
                <c:pt idx="890">
                  <c:v>20.496540945512795</c:v>
                </c:pt>
                <c:pt idx="891">
                  <c:v>20.496540945512795</c:v>
                </c:pt>
                <c:pt idx="892">
                  <c:v>20.496540945512795</c:v>
                </c:pt>
                <c:pt idx="893">
                  <c:v>20.496540945512795</c:v>
                </c:pt>
                <c:pt idx="894">
                  <c:v>20.496540945512795</c:v>
                </c:pt>
                <c:pt idx="895">
                  <c:v>20.496540945512795</c:v>
                </c:pt>
                <c:pt idx="896">
                  <c:v>20.496540945512795</c:v>
                </c:pt>
                <c:pt idx="897">
                  <c:v>20.496540945512795</c:v>
                </c:pt>
                <c:pt idx="898">
                  <c:v>20.496540945512795</c:v>
                </c:pt>
                <c:pt idx="899">
                  <c:v>20.496540945512795</c:v>
                </c:pt>
                <c:pt idx="900">
                  <c:v>20.496540945512795</c:v>
                </c:pt>
                <c:pt idx="901">
                  <c:v>20.496540945512795</c:v>
                </c:pt>
                <c:pt idx="902">
                  <c:v>20.496540945512795</c:v>
                </c:pt>
                <c:pt idx="903">
                  <c:v>20.496540945512795</c:v>
                </c:pt>
                <c:pt idx="904">
                  <c:v>20.496540945512795</c:v>
                </c:pt>
                <c:pt idx="905">
                  <c:v>20.496540945512795</c:v>
                </c:pt>
                <c:pt idx="906">
                  <c:v>20.496540945512795</c:v>
                </c:pt>
                <c:pt idx="907">
                  <c:v>20.496540945512795</c:v>
                </c:pt>
                <c:pt idx="908">
                  <c:v>20.496540945512795</c:v>
                </c:pt>
                <c:pt idx="909">
                  <c:v>20.496540945512795</c:v>
                </c:pt>
                <c:pt idx="910">
                  <c:v>20.496540945512795</c:v>
                </c:pt>
                <c:pt idx="911">
                  <c:v>20.496540945512795</c:v>
                </c:pt>
                <c:pt idx="912">
                  <c:v>20.496540945512795</c:v>
                </c:pt>
                <c:pt idx="913">
                  <c:v>20.496540945512795</c:v>
                </c:pt>
                <c:pt idx="914">
                  <c:v>20.496540945512795</c:v>
                </c:pt>
                <c:pt idx="915">
                  <c:v>20.496540945512795</c:v>
                </c:pt>
                <c:pt idx="916">
                  <c:v>20.496540945512795</c:v>
                </c:pt>
                <c:pt idx="917">
                  <c:v>20.496540945512795</c:v>
                </c:pt>
                <c:pt idx="918">
                  <c:v>20.496540945512795</c:v>
                </c:pt>
                <c:pt idx="919">
                  <c:v>20.496540945512795</c:v>
                </c:pt>
                <c:pt idx="920">
                  <c:v>20.496540945512795</c:v>
                </c:pt>
                <c:pt idx="921">
                  <c:v>20.496540945512795</c:v>
                </c:pt>
                <c:pt idx="922">
                  <c:v>20.496540945512795</c:v>
                </c:pt>
                <c:pt idx="923">
                  <c:v>20.496540945512795</c:v>
                </c:pt>
                <c:pt idx="924">
                  <c:v>20.496540945512795</c:v>
                </c:pt>
                <c:pt idx="925">
                  <c:v>20.496540945512795</c:v>
                </c:pt>
                <c:pt idx="926">
                  <c:v>20.496540945512795</c:v>
                </c:pt>
                <c:pt idx="927">
                  <c:v>20.496540945512795</c:v>
                </c:pt>
                <c:pt idx="928">
                  <c:v>20.496540945512795</c:v>
                </c:pt>
                <c:pt idx="929">
                  <c:v>20.496540945512795</c:v>
                </c:pt>
                <c:pt idx="930">
                  <c:v>20.496540945512795</c:v>
                </c:pt>
                <c:pt idx="931">
                  <c:v>20.496540945512795</c:v>
                </c:pt>
                <c:pt idx="932">
                  <c:v>20.496540945512795</c:v>
                </c:pt>
                <c:pt idx="933">
                  <c:v>20.496540945512795</c:v>
                </c:pt>
                <c:pt idx="934">
                  <c:v>20.496540945512795</c:v>
                </c:pt>
                <c:pt idx="935">
                  <c:v>20.496540945512795</c:v>
                </c:pt>
                <c:pt idx="936">
                  <c:v>20.496540945512795</c:v>
                </c:pt>
                <c:pt idx="937">
                  <c:v>20.496540945512795</c:v>
                </c:pt>
                <c:pt idx="938">
                  <c:v>20.496540945512795</c:v>
                </c:pt>
                <c:pt idx="939">
                  <c:v>20.496540945512795</c:v>
                </c:pt>
                <c:pt idx="940">
                  <c:v>20.496540945512795</c:v>
                </c:pt>
                <c:pt idx="941">
                  <c:v>20.496540945512795</c:v>
                </c:pt>
                <c:pt idx="942">
                  <c:v>20.496540945512795</c:v>
                </c:pt>
                <c:pt idx="943">
                  <c:v>20.496540945512795</c:v>
                </c:pt>
                <c:pt idx="944">
                  <c:v>20.496540945512795</c:v>
                </c:pt>
                <c:pt idx="945">
                  <c:v>20.496540945512795</c:v>
                </c:pt>
                <c:pt idx="946">
                  <c:v>20.496540945512795</c:v>
                </c:pt>
                <c:pt idx="947">
                  <c:v>20.496540945512795</c:v>
                </c:pt>
                <c:pt idx="948">
                  <c:v>20.496540945512795</c:v>
                </c:pt>
                <c:pt idx="949">
                  <c:v>20.496540945512795</c:v>
                </c:pt>
                <c:pt idx="950">
                  <c:v>20.496540945512795</c:v>
                </c:pt>
                <c:pt idx="951">
                  <c:v>20.496540945512795</c:v>
                </c:pt>
                <c:pt idx="952">
                  <c:v>20.496540945512795</c:v>
                </c:pt>
                <c:pt idx="953">
                  <c:v>20.496540945512795</c:v>
                </c:pt>
                <c:pt idx="954">
                  <c:v>20.496540945512795</c:v>
                </c:pt>
                <c:pt idx="955">
                  <c:v>20.496540945512795</c:v>
                </c:pt>
                <c:pt idx="956">
                  <c:v>20.496540945512795</c:v>
                </c:pt>
                <c:pt idx="957">
                  <c:v>20.496540945512795</c:v>
                </c:pt>
                <c:pt idx="958">
                  <c:v>20.496540945512795</c:v>
                </c:pt>
                <c:pt idx="959">
                  <c:v>20.496540945512795</c:v>
                </c:pt>
                <c:pt idx="960">
                  <c:v>20.496540945512795</c:v>
                </c:pt>
                <c:pt idx="961">
                  <c:v>20.496540945512795</c:v>
                </c:pt>
                <c:pt idx="962">
                  <c:v>20.496540945512795</c:v>
                </c:pt>
                <c:pt idx="963">
                  <c:v>20.496540945512795</c:v>
                </c:pt>
                <c:pt idx="964">
                  <c:v>20.496540945512795</c:v>
                </c:pt>
                <c:pt idx="965">
                  <c:v>20.496540945512795</c:v>
                </c:pt>
                <c:pt idx="966">
                  <c:v>20.496540945512795</c:v>
                </c:pt>
                <c:pt idx="967">
                  <c:v>20.496540945512795</c:v>
                </c:pt>
                <c:pt idx="968">
                  <c:v>20.496540945512795</c:v>
                </c:pt>
                <c:pt idx="969">
                  <c:v>20.496540945512795</c:v>
                </c:pt>
                <c:pt idx="970">
                  <c:v>20.496540945512795</c:v>
                </c:pt>
                <c:pt idx="971">
                  <c:v>20.496540945512795</c:v>
                </c:pt>
                <c:pt idx="972">
                  <c:v>20.496540945512795</c:v>
                </c:pt>
                <c:pt idx="973">
                  <c:v>20.496540945512795</c:v>
                </c:pt>
                <c:pt idx="974">
                  <c:v>20.496540945512795</c:v>
                </c:pt>
                <c:pt idx="975">
                  <c:v>20.496540945512795</c:v>
                </c:pt>
                <c:pt idx="976">
                  <c:v>20.496540945512795</c:v>
                </c:pt>
                <c:pt idx="977">
                  <c:v>20.496540945512795</c:v>
                </c:pt>
                <c:pt idx="978">
                  <c:v>20.496540945512795</c:v>
                </c:pt>
                <c:pt idx="979">
                  <c:v>20.496540945512795</c:v>
                </c:pt>
                <c:pt idx="980">
                  <c:v>20.496540945512795</c:v>
                </c:pt>
                <c:pt idx="981">
                  <c:v>20.496540945512795</c:v>
                </c:pt>
                <c:pt idx="982">
                  <c:v>20.496540945512795</c:v>
                </c:pt>
                <c:pt idx="983">
                  <c:v>20.496540945512795</c:v>
                </c:pt>
                <c:pt idx="984">
                  <c:v>20.496540945512795</c:v>
                </c:pt>
                <c:pt idx="985">
                  <c:v>20.496540945512795</c:v>
                </c:pt>
                <c:pt idx="986">
                  <c:v>20.496540945512795</c:v>
                </c:pt>
                <c:pt idx="987">
                  <c:v>20.496540945512795</c:v>
                </c:pt>
                <c:pt idx="988">
                  <c:v>20.496540945512795</c:v>
                </c:pt>
                <c:pt idx="989">
                  <c:v>20.496540945512795</c:v>
                </c:pt>
                <c:pt idx="990">
                  <c:v>20.496540945512795</c:v>
                </c:pt>
                <c:pt idx="991">
                  <c:v>20.496540945512795</c:v>
                </c:pt>
                <c:pt idx="992">
                  <c:v>20.496540945512795</c:v>
                </c:pt>
                <c:pt idx="993">
                  <c:v>20.496540945512795</c:v>
                </c:pt>
                <c:pt idx="994">
                  <c:v>20.496540945512795</c:v>
                </c:pt>
                <c:pt idx="995">
                  <c:v>20.496540945512795</c:v>
                </c:pt>
                <c:pt idx="996">
                  <c:v>20.496540945512795</c:v>
                </c:pt>
                <c:pt idx="997">
                  <c:v>20.496540945512795</c:v>
                </c:pt>
                <c:pt idx="998">
                  <c:v>20.496540945512795</c:v>
                </c:pt>
                <c:pt idx="999">
                  <c:v>20.496540945512795</c:v>
                </c:pt>
                <c:pt idx="1000">
                  <c:v>20.496540945512795</c:v>
                </c:pt>
                <c:pt idx="1001">
                  <c:v>20.496540945512795</c:v>
                </c:pt>
                <c:pt idx="1002">
                  <c:v>20.496540945512795</c:v>
                </c:pt>
                <c:pt idx="1003">
                  <c:v>20.496540945512795</c:v>
                </c:pt>
                <c:pt idx="1004">
                  <c:v>20.496540945512795</c:v>
                </c:pt>
                <c:pt idx="1005">
                  <c:v>20.496540945512795</c:v>
                </c:pt>
                <c:pt idx="1006">
                  <c:v>20.496540945512795</c:v>
                </c:pt>
                <c:pt idx="1007">
                  <c:v>20.496540945512795</c:v>
                </c:pt>
                <c:pt idx="1008">
                  <c:v>20.496540945512795</c:v>
                </c:pt>
                <c:pt idx="1009">
                  <c:v>20.496540945512795</c:v>
                </c:pt>
                <c:pt idx="1010">
                  <c:v>20.496540945512795</c:v>
                </c:pt>
                <c:pt idx="1011">
                  <c:v>20.496540945512795</c:v>
                </c:pt>
                <c:pt idx="1012">
                  <c:v>20.496540945512795</c:v>
                </c:pt>
                <c:pt idx="1013">
                  <c:v>20.496540945512795</c:v>
                </c:pt>
                <c:pt idx="1014">
                  <c:v>20.496540945512795</c:v>
                </c:pt>
                <c:pt idx="1015">
                  <c:v>20.496540945512795</c:v>
                </c:pt>
                <c:pt idx="1016">
                  <c:v>20.496540945512795</c:v>
                </c:pt>
                <c:pt idx="1017">
                  <c:v>20.496540945512795</c:v>
                </c:pt>
                <c:pt idx="1018">
                  <c:v>20.496540945512795</c:v>
                </c:pt>
                <c:pt idx="1019">
                  <c:v>20.496540945512795</c:v>
                </c:pt>
                <c:pt idx="1020">
                  <c:v>20.496540945512795</c:v>
                </c:pt>
                <c:pt idx="1021">
                  <c:v>20.496540945512795</c:v>
                </c:pt>
                <c:pt idx="1022">
                  <c:v>20.496540945512795</c:v>
                </c:pt>
                <c:pt idx="1023">
                  <c:v>20.496540945512795</c:v>
                </c:pt>
                <c:pt idx="1024">
                  <c:v>20.496540945512795</c:v>
                </c:pt>
                <c:pt idx="1025">
                  <c:v>20.496540945512795</c:v>
                </c:pt>
                <c:pt idx="1026">
                  <c:v>20.496540945512795</c:v>
                </c:pt>
                <c:pt idx="1027">
                  <c:v>20.496540945512795</c:v>
                </c:pt>
                <c:pt idx="1028">
                  <c:v>20.496540945512795</c:v>
                </c:pt>
                <c:pt idx="1029">
                  <c:v>20.496540945512795</c:v>
                </c:pt>
                <c:pt idx="1030">
                  <c:v>20.496540945512795</c:v>
                </c:pt>
                <c:pt idx="1031">
                  <c:v>20.496540945512795</c:v>
                </c:pt>
                <c:pt idx="1032">
                  <c:v>20.496540945512795</c:v>
                </c:pt>
                <c:pt idx="1033">
                  <c:v>20.496540945512795</c:v>
                </c:pt>
                <c:pt idx="1034">
                  <c:v>20.496540945512795</c:v>
                </c:pt>
                <c:pt idx="1035">
                  <c:v>20.496540945512795</c:v>
                </c:pt>
                <c:pt idx="1036">
                  <c:v>20.496540945512795</c:v>
                </c:pt>
                <c:pt idx="1037">
                  <c:v>20.496540945512795</c:v>
                </c:pt>
                <c:pt idx="1038">
                  <c:v>20.496540945512795</c:v>
                </c:pt>
                <c:pt idx="1039">
                  <c:v>20.496540945512795</c:v>
                </c:pt>
                <c:pt idx="1040">
                  <c:v>20.496540945512795</c:v>
                </c:pt>
                <c:pt idx="1041">
                  <c:v>20.496540945512795</c:v>
                </c:pt>
                <c:pt idx="1042">
                  <c:v>20.496540945512795</c:v>
                </c:pt>
                <c:pt idx="1043">
                  <c:v>20.496540945512795</c:v>
                </c:pt>
                <c:pt idx="1044">
                  <c:v>20.496540945512795</c:v>
                </c:pt>
                <c:pt idx="1045">
                  <c:v>20.496540945512795</c:v>
                </c:pt>
                <c:pt idx="1046">
                  <c:v>20.496540945512795</c:v>
                </c:pt>
                <c:pt idx="1047">
                  <c:v>20.496540945512795</c:v>
                </c:pt>
                <c:pt idx="1048">
                  <c:v>20.496540945512795</c:v>
                </c:pt>
                <c:pt idx="1049">
                  <c:v>20.496540945512795</c:v>
                </c:pt>
                <c:pt idx="1050">
                  <c:v>20.496540945512795</c:v>
                </c:pt>
                <c:pt idx="1051">
                  <c:v>20.496540945512795</c:v>
                </c:pt>
                <c:pt idx="1052">
                  <c:v>20.496540945512795</c:v>
                </c:pt>
                <c:pt idx="1053">
                  <c:v>20.496540945512795</c:v>
                </c:pt>
                <c:pt idx="1054">
                  <c:v>20.496540945512795</c:v>
                </c:pt>
                <c:pt idx="1055">
                  <c:v>20.496540945512795</c:v>
                </c:pt>
                <c:pt idx="1056">
                  <c:v>20.496540945512795</c:v>
                </c:pt>
                <c:pt idx="1057">
                  <c:v>20.496540945512795</c:v>
                </c:pt>
                <c:pt idx="1058">
                  <c:v>20.496540945512795</c:v>
                </c:pt>
                <c:pt idx="1059">
                  <c:v>20.496540945512795</c:v>
                </c:pt>
                <c:pt idx="1060">
                  <c:v>20.496540945512795</c:v>
                </c:pt>
                <c:pt idx="1061">
                  <c:v>20.496540945512795</c:v>
                </c:pt>
                <c:pt idx="1062">
                  <c:v>20.496540945512795</c:v>
                </c:pt>
                <c:pt idx="1063">
                  <c:v>20.496540945512795</c:v>
                </c:pt>
                <c:pt idx="1064">
                  <c:v>20.496540945512795</c:v>
                </c:pt>
                <c:pt idx="1065">
                  <c:v>20.496540945512795</c:v>
                </c:pt>
                <c:pt idx="1066">
                  <c:v>20.496540945512795</c:v>
                </c:pt>
                <c:pt idx="1067">
                  <c:v>20.496540945512795</c:v>
                </c:pt>
                <c:pt idx="1068">
                  <c:v>20.496540945512795</c:v>
                </c:pt>
                <c:pt idx="1069">
                  <c:v>20.496540945512795</c:v>
                </c:pt>
                <c:pt idx="1070">
                  <c:v>20.496540945512795</c:v>
                </c:pt>
                <c:pt idx="1071">
                  <c:v>20.496540945512795</c:v>
                </c:pt>
                <c:pt idx="1072">
                  <c:v>20.496540945512795</c:v>
                </c:pt>
                <c:pt idx="1073">
                  <c:v>20.496540945512795</c:v>
                </c:pt>
                <c:pt idx="1074">
                  <c:v>20.496540945512795</c:v>
                </c:pt>
                <c:pt idx="1075">
                  <c:v>20.496540945512795</c:v>
                </c:pt>
                <c:pt idx="1076">
                  <c:v>20.496540945512795</c:v>
                </c:pt>
                <c:pt idx="1077">
                  <c:v>20.496540945512795</c:v>
                </c:pt>
                <c:pt idx="1078">
                  <c:v>20.496540945512795</c:v>
                </c:pt>
                <c:pt idx="1079">
                  <c:v>20.496540945512795</c:v>
                </c:pt>
                <c:pt idx="1080">
                  <c:v>20.496540945512795</c:v>
                </c:pt>
                <c:pt idx="1081">
                  <c:v>20.496540945512795</c:v>
                </c:pt>
                <c:pt idx="1082">
                  <c:v>20.496540945512795</c:v>
                </c:pt>
                <c:pt idx="1083">
                  <c:v>20.496540945512795</c:v>
                </c:pt>
                <c:pt idx="1084">
                  <c:v>20.496540945512795</c:v>
                </c:pt>
                <c:pt idx="1085">
                  <c:v>20.496540945512795</c:v>
                </c:pt>
                <c:pt idx="1086">
                  <c:v>20.496540945512795</c:v>
                </c:pt>
                <c:pt idx="1087">
                  <c:v>20.496540945512795</c:v>
                </c:pt>
                <c:pt idx="1088">
                  <c:v>20.496540945512795</c:v>
                </c:pt>
                <c:pt idx="1089">
                  <c:v>20.496540945512795</c:v>
                </c:pt>
                <c:pt idx="1090">
                  <c:v>20.496540945512795</c:v>
                </c:pt>
                <c:pt idx="1091">
                  <c:v>20.496540945512795</c:v>
                </c:pt>
                <c:pt idx="1092">
                  <c:v>20.496540945512795</c:v>
                </c:pt>
                <c:pt idx="1093">
                  <c:v>20.496540945512795</c:v>
                </c:pt>
                <c:pt idx="1094">
                  <c:v>20.496540945512795</c:v>
                </c:pt>
                <c:pt idx="1095">
                  <c:v>20.496540945512795</c:v>
                </c:pt>
                <c:pt idx="1096">
                  <c:v>20.496540945512795</c:v>
                </c:pt>
                <c:pt idx="1097">
                  <c:v>20.496540945512795</c:v>
                </c:pt>
                <c:pt idx="1098">
                  <c:v>20.496540945512795</c:v>
                </c:pt>
                <c:pt idx="1099">
                  <c:v>20.496540945512795</c:v>
                </c:pt>
                <c:pt idx="1100">
                  <c:v>20.496540945512795</c:v>
                </c:pt>
                <c:pt idx="1101">
                  <c:v>20.496540945512795</c:v>
                </c:pt>
                <c:pt idx="1102">
                  <c:v>20.496540945512795</c:v>
                </c:pt>
                <c:pt idx="1103">
                  <c:v>20.496540945512795</c:v>
                </c:pt>
                <c:pt idx="1104">
                  <c:v>20.496540945512795</c:v>
                </c:pt>
                <c:pt idx="1105">
                  <c:v>20.496540945512795</c:v>
                </c:pt>
                <c:pt idx="1106">
                  <c:v>20.496540945512795</c:v>
                </c:pt>
                <c:pt idx="1107">
                  <c:v>20.496540945512795</c:v>
                </c:pt>
                <c:pt idx="1108">
                  <c:v>20.496540945512795</c:v>
                </c:pt>
                <c:pt idx="1109">
                  <c:v>20.496540945512795</c:v>
                </c:pt>
                <c:pt idx="1110">
                  <c:v>20.496540945512795</c:v>
                </c:pt>
                <c:pt idx="1111">
                  <c:v>20.496540945512795</c:v>
                </c:pt>
                <c:pt idx="1112">
                  <c:v>20.496540945512795</c:v>
                </c:pt>
                <c:pt idx="1113">
                  <c:v>20.496540945512795</c:v>
                </c:pt>
                <c:pt idx="1114">
                  <c:v>20.496540945512795</c:v>
                </c:pt>
                <c:pt idx="1115">
                  <c:v>20.496540945512795</c:v>
                </c:pt>
                <c:pt idx="1116">
                  <c:v>20.496540945512795</c:v>
                </c:pt>
                <c:pt idx="1117">
                  <c:v>20.496540945512795</c:v>
                </c:pt>
                <c:pt idx="1118">
                  <c:v>20.496540945512795</c:v>
                </c:pt>
                <c:pt idx="1119">
                  <c:v>20.496540945512795</c:v>
                </c:pt>
                <c:pt idx="1120">
                  <c:v>20.496540945512795</c:v>
                </c:pt>
                <c:pt idx="1121">
                  <c:v>20.496540945512795</c:v>
                </c:pt>
                <c:pt idx="1122">
                  <c:v>20.496540945512795</c:v>
                </c:pt>
                <c:pt idx="1123">
                  <c:v>20.496540945512795</c:v>
                </c:pt>
                <c:pt idx="1124">
                  <c:v>20.496540945512795</c:v>
                </c:pt>
                <c:pt idx="1125">
                  <c:v>20.496540945512795</c:v>
                </c:pt>
                <c:pt idx="1126">
                  <c:v>20.496540945512795</c:v>
                </c:pt>
                <c:pt idx="1127">
                  <c:v>20.496540945512795</c:v>
                </c:pt>
                <c:pt idx="1128">
                  <c:v>20.496540945512795</c:v>
                </c:pt>
                <c:pt idx="1129">
                  <c:v>20.496540945512795</c:v>
                </c:pt>
                <c:pt idx="1130">
                  <c:v>20.496540945512795</c:v>
                </c:pt>
                <c:pt idx="1131">
                  <c:v>20.496540945512795</c:v>
                </c:pt>
                <c:pt idx="1132">
                  <c:v>20.496540945512795</c:v>
                </c:pt>
                <c:pt idx="1133">
                  <c:v>20.496540945512795</c:v>
                </c:pt>
                <c:pt idx="1134">
                  <c:v>20.496540945512795</c:v>
                </c:pt>
                <c:pt idx="1135">
                  <c:v>20.496540945512795</c:v>
                </c:pt>
                <c:pt idx="1136">
                  <c:v>20.496540945512795</c:v>
                </c:pt>
                <c:pt idx="1137">
                  <c:v>20.496540945512795</c:v>
                </c:pt>
                <c:pt idx="1138">
                  <c:v>20.496540945512795</c:v>
                </c:pt>
                <c:pt idx="1139">
                  <c:v>20.496540945512795</c:v>
                </c:pt>
                <c:pt idx="1140">
                  <c:v>20.496540945512795</c:v>
                </c:pt>
                <c:pt idx="1141">
                  <c:v>20.496540945512795</c:v>
                </c:pt>
                <c:pt idx="1142">
                  <c:v>20.496540945512795</c:v>
                </c:pt>
                <c:pt idx="1143">
                  <c:v>20.496540945512795</c:v>
                </c:pt>
                <c:pt idx="1144">
                  <c:v>20.496540945512795</c:v>
                </c:pt>
                <c:pt idx="1145">
                  <c:v>20.496540945512795</c:v>
                </c:pt>
                <c:pt idx="1146">
                  <c:v>20.496540945512795</c:v>
                </c:pt>
                <c:pt idx="1147">
                  <c:v>20.496540945512795</c:v>
                </c:pt>
                <c:pt idx="1148">
                  <c:v>20.496540945512795</c:v>
                </c:pt>
                <c:pt idx="1149">
                  <c:v>20.496540945512795</c:v>
                </c:pt>
                <c:pt idx="1150">
                  <c:v>20.496540945512795</c:v>
                </c:pt>
                <c:pt idx="1151">
                  <c:v>20.496540945512795</c:v>
                </c:pt>
                <c:pt idx="1152">
                  <c:v>20.496540945512795</c:v>
                </c:pt>
                <c:pt idx="1153">
                  <c:v>20.496540945512795</c:v>
                </c:pt>
                <c:pt idx="1154">
                  <c:v>20.496540945512795</c:v>
                </c:pt>
                <c:pt idx="1155">
                  <c:v>20.496540945512795</c:v>
                </c:pt>
                <c:pt idx="1156">
                  <c:v>20.496540945512795</c:v>
                </c:pt>
                <c:pt idx="1157">
                  <c:v>20.496540945512795</c:v>
                </c:pt>
                <c:pt idx="1158">
                  <c:v>20.496540945512795</c:v>
                </c:pt>
                <c:pt idx="1159">
                  <c:v>20.496540945512795</c:v>
                </c:pt>
                <c:pt idx="1160">
                  <c:v>20.496540945512795</c:v>
                </c:pt>
                <c:pt idx="1161">
                  <c:v>20.496540945512795</c:v>
                </c:pt>
                <c:pt idx="1162">
                  <c:v>20.496540945512795</c:v>
                </c:pt>
                <c:pt idx="1163">
                  <c:v>20.496540945512795</c:v>
                </c:pt>
                <c:pt idx="1164">
                  <c:v>20.496540945512795</c:v>
                </c:pt>
                <c:pt idx="1165">
                  <c:v>20.496540945512795</c:v>
                </c:pt>
                <c:pt idx="1166">
                  <c:v>20.496540945512795</c:v>
                </c:pt>
                <c:pt idx="1167">
                  <c:v>20.496540945512795</c:v>
                </c:pt>
                <c:pt idx="1168">
                  <c:v>20.496540945512795</c:v>
                </c:pt>
                <c:pt idx="1169">
                  <c:v>20.496540945512795</c:v>
                </c:pt>
                <c:pt idx="1170">
                  <c:v>20.496540945512795</c:v>
                </c:pt>
                <c:pt idx="1171">
                  <c:v>20.496540945512795</c:v>
                </c:pt>
                <c:pt idx="1172">
                  <c:v>20.496540945512795</c:v>
                </c:pt>
                <c:pt idx="1173">
                  <c:v>20.496540945512795</c:v>
                </c:pt>
                <c:pt idx="1174">
                  <c:v>20.496540945512795</c:v>
                </c:pt>
                <c:pt idx="1175">
                  <c:v>20.496540945512795</c:v>
                </c:pt>
                <c:pt idx="1176">
                  <c:v>20.496540945512795</c:v>
                </c:pt>
                <c:pt idx="1177">
                  <c:v>20.496540945512795</c:v>
                </c:pt>
                <c:pt idx="1178">
                  <c:v>20.496540945512795</c:v>
                </c:pt>
                <c:pt idx="1179">
                  <c:v>20.496540945512795</c:v>
                </c:pt>
                <c:pt idx="1180">
                  <c:v>20.496540945512795</c:v>
                </c:pt>
                <c:pt idx="1181">
                  <c:v>20.496540945512795</c:v>
                </c:pt>
                <c:pt idx="1182">
                  <c:v>20.496540945512795</c:v>
                </c:pt>
                <c:pt idx="1183">
                  <c:v>20.496540945512795</c:v>
                </c:pt>
                <c:pt idx="1184">
                  <c:v>20.496540945512795</c:v>
                </c:pt>
                <c:pt idx="1185">
                  <c:v>20.496540945512795</c:v>
                </c:pt>
                <c:pt idx="1186">
                  <c:v>20.496540945512795</c:v>
                </c:pt>
                <c:pt idx="1187">
                  <c:v>20.496540945512795</c:v>
                </c:pt>
                <c:pt idx="1188">
                  <c:v>20.496540945512795</c:v>
                </c:pt>
                <c:pt idx="1189">
                  <c:v>20.496540945512795</c:v>
                </c:pt>
                <c:pt idx="1190">
                  <c:v>20.496540945512795</c:v>
                </c:pt>
                <c:pt idx="1191">
                  <c:v>20.496540945512795</c:v>
                </c:pt>
                <c:pt idx="1192">
                  <c:v>20.496540945512795</c:v>
                </c:pt>
                <c:pt idx="1193">
                  <c:v>20.496540945512795</c:v>
                </c:pt>
                <c:pt idx="1194">
                  <c:v>20.496540945512795</c:v>
                </c:pt>
                <c:pt idx="1195">
                  <c:v>20.496540945512795</c:v>
                </c:pt>
                <c:pt idx="1196">
                  <c:v>20.496540945512795</c:v>
                </c:pt>
                <c:pt idx="1197">
                  <c:v>20.496540945512795</c:v>
                </c:pt>
                <c:pt idx="1198">
                  <c:v>20.496540945512795</c:v>
                </c:pt>
                <c:pt idx="1199">
                  <c:v>20.496540945512795</c:v>
                </c:pt>
                <c:pt idx="1200">
                  <c:v>20.496540945512795</c:v>
                </c:pt>
                <c:pt idx="1201">
                  <c:v>20.496540945512795</c:v>
                </c:pt>
                <c:pt idx="1202">
                  <c:v>20.496540945512795</c:v>
                </c:pt>
                <c:pt idx="1203">
                  <c:v>20.496540945512795</c:v>
                </c:pt>
                <c:pt idx="1204">
                  <c:v>20.496540945512795</c:v>
                </c:pt>
                <c:pt idx="1205">
                  <c:v>20.496540945512795</c:v>
                </c:pt>
                <c:pt idx="1206">
                  <c:v>20.496540945512795</c:v>
                </c:pt>
                <c:pt idx="1207">
                  <c:v>20.496540945512795</c:v>
                </c:pt>
                <c:pt idx="1208">
                  <c:v>20.496540945512795</c:v>
                </c:pt>
                <c:pt idx="1209">
                  <c:v>20.496540945512795</c:v>
                </c:pt>
                <c:pt idx="1210">
                  <c:v>20.496540945512795</c:v>
                </c:pt>
                <c:pt idx="1211">
                  <c:v>20.496540945512795</c:v>
                </c:pt>
                <c:pt idx="1212">
                  <c:v>20.496540945512795</c:v>
                </c:pt>
                <c:pt idx="1213">
                  <c:v>20.496540945512795</c:v>
                </c:pt>
                <c:pt idx="1214">
                  <c:v>20.496540945512795</c:v>
                </c:pt>
                <c:pt idx="1215">
                  <c:v>20.496540945512795</c:v>
                </c:pt>
                <c:pt idx="1216">
                  <c:v>20.496540945512795</c:v>
                </c:pt>
                <c:pt idx="1217">
                  <c:v>20.496540945512795</c:v>
                </c:pt>
                <c:pt idx="1218">
                  <c:v>20.496540945512795</c:v>
                </c:pt>
                <c:pt idx="1219">
                  <c:v>20.496540945512795</c:v>
                </c:pt>
                <c:pt idx="1220">
                  <c:v>20.496540945512795</c:v>
                </c:pt>
                <c:pt idx="1221">
                  <c:v>20.496540945512795</c:v>
                </c:pt>
                <c:pt idx="1222">
                  <c:v>20.496540945512795</c:v>
                </c:pt>
                <c:pt idx="1223">
                  <c:v>20.496540945512795</c:v>
                </c:pt>
                <c:pt idx="1224">
                  <c:v>20.496540945512795</c:v>
                </c:pt>
                <c:pt idx="1225">
                  <c:v>20.496540945512795</c:v>
                </c:pt>
                <c:pt idx="1226">
                  <c:v>20.496540945512795</c:v>
                </c:pt>
                <c:pt idx="1227">
                  <c:v>20.496540945512795</c:v>
                </c:pt>
                <c:pt idx="1228">
                  <c:v>20.496540945512795</c:v>
                </c:pt>
                <c:pt idx="1229">
                  <c:v>20.496540945512795</c:v>
                </c:pt>
                <c:pt idx="1230">
                  <c:v>20.496540945512795</c:v>
                </c:pt>
                <c:pt idx="1231">
                  <c:v>20.496540945512795</c:v>
                </c:pt>
                <c:pt idx="1232">
                  <c:v>20.496540945512795</c:v>
                </c:pt>
                <c:pt idx="1233">
                  <c:v>20.496540945512795</c:v>
                </c:pt>
                <c:pt idx="1234">
                  <c:v>20.496540945512795</c:v>
                </c:pt>
                <c:pt idx="1235">
                  <c:v>20.496540945512795</c:v>
                </c:pt>
                <c:pt idx="1236">
                  <c:v>20.496540945512795</c:v>
                </c:pt>
                <c:pt idx="1237">
                  <c:v>20.496540945512795</c:v>
                </c:pt>
                <c:pt idx="1238">
                  <c:v>20.496540945512795</c:v>
                </c:pt>
                <c:pt idx="1239">
                  <c:v>20.496540945512795</c:v>
                </c:pt>
                <c:pt idx="1240">
                  <c:v>20.496540945512795</c:v>
                </c:pt>
                <c:pt idx="1241">
                  <c:v>20.496540945512795</c:v>
                </c:pt>
                <c:pt idx="1242">
                  <c:v>20.496540945512795</c:v>
                </c:pt>
                <c:pt idx="1243">
                  <c:v>20.496540945512795</c:v>
                </c:pt>
                <c:pt idx="1244">
                  <c:v>20.496540945512795</c:v>
                </c:pt>
                <c:pt idx="1245">
                  <c:v>20.496540945512795</c:v>
                </c:pt>
                <c:pt idx="1246">
                  <c:v>20.496540945512795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2CF-43BC-82C0-BDBD0A0DF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4353871"/>
        <c:axId val="1384354351"/>
      </c:lineChart>
      <c:dateAx>
        <c:axId val="1384353871"/>
        <c:scaling>
          <c:orientation val="minMax"/>
          <c:max val="45974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384354351"/>
        <c:crosses val="autoZero"/>
        <c:auto val="1"/>
        <c:lblOffset val="100"/>
        <c:baseTimeUnit val="days"/>
        <c:majorUnit val="12"/>
        <c:majorTimeUnit val="months"/>
      </c:dateAx>
      <c:valAx>
        <c:axId val="1384354351"/>
        <c:scaling>
          <c:orientation val="minMax"/>
          <c:max val="30"/>
          <c:min val="1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384353871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v>Global IT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EB966890-CBF2-4AD9-83C8-41CCE7E578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5C8-4180-AF3E-0CC7C8F4641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5B22E8E-D330-45C4-BE36-2A2121464B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5C8-4180-AF3E-0CC7C8F4641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C0B0972-0D03-47B4-98FF-5340BC715E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55C8-4180-AF3E-0CC7C8F4641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3D7EE4F-DEF3-4AA9-B365-29D4BFFD40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346D-469A-AD64-AAF4873E4CD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3B4A08B-71EC-457B-A88D-8B8979F725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346D-469A-AD64-AAF4873E4CD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01F3DDB-FF27-4704-8A8A-096FE7AACB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346D-469A-AD64-AAF4873E4CD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60F8B24-A339-425C-BCA1-D1C912512A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46D-469A-AD64-AAF4873E4CD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E216945-E813-4AF3-AACD-1C38ABB3FD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46D-469A-AD64-AAF4873E4CD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84BC521-6718-48DC-8C6D-902CF50E7C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46D-469A-AD64-AAF4873E4CD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E073BC5-1FF2-4CD7-80CE-EECB3923FB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46D-469A-AD64-AAF4873E4CD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5CAEDED-358C-4E1A-BF06-E8029DDB0F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46D-469A-AD64-AAF4873E4CD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57ED2D4C-514A-40C3-8ABE-7172859703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46D-469A-AD64-AAF4873E4CD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558B35E-59FC-400E-94C2-394E652FDF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46D-469A-AD64-AAF4873E4CD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051418B-6AAF-45A0-A45E-9B13598235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46D-469A-AD64-AAF4873E4CD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2D7DF23D-6BA1-45EA-BAEB-2152341630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46D-469A-AD64-AAF4873E4C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Revenue!$AM$1:$BA$1</c:f>
              <c:strCache>
                <c:ptCount val="15"/>
                <c:pt idx="0">
                  <c:v>1Q22</c:v>
                </c:pt>
                <c:pt idx="1">
                  <c:v>2Q22</c:v>
                </c:pt>
                <c:pt idx="2">
                  <c:v>3Q22</c:v>
                </c:pt>
                <c:pt idx="3">
                  <c:v>4Q22</c:v>
                </c:pt>
                <c:pt idx="4">
                  <c:v>1Q23</c:v>
                </c:pt>
                <c:pt idx="5">
                  <c:v>2Q23</c:v>
                </c:pt>
                <c:pt idx="6">
                  <c:v>3Q23</c:v>
                </c:pt>
                <c:pt idx="7">
                  <c:v>4Q23</c:v>
                </c:pt>
                <c:pt idx="8">
                  <c:v>1Q24</c:v>
                </c:pt>
                <c:pt idx="9">
                  <c:v>2Q24</c:v>
                </c:pt>
                <c:pt idx="10">
                  <c:v>3Q24</c:v>
                </c:pt>
                <c:pt idx="11">
                  <c:v>4Q24</c:v>
                </c:pt>
                <c:pt idx="12">
                  <c:v>1Q25</c:v>
                </c:pt>
                <c:pt idx="13">
                  <c:v>2Q25</c:v>
                </c:pt>
                <c:pt idx="14">
                  <c:v>3Q25</c:v>
                </c:pt>
              </c:strCache>
            </c:strRef>
          </c:cat>
          <c:val>
            <c:numRef>
              <c:f>Revenue!$AM$117:$BA$117</c:f>
              <c:numCache>
                <c:formatCode>_(* #,##0_);_(* \(#,##0\);_(* \-??_);_(@_)</c:formatCode>
                <c:ptCount val="15"/>
                <c:pt idx="0">
                  <c:v>667.28800000000001</c:v>
                </c:pt>
                <c:pt idx="1">
                  <c:v>699.58199999999988</c:v>
                </c:pt>
                <c:pt idx="2">
                  <c:v>852.55000000000018</c:v>
                </c:pt>
                <c:pt idx="3">
                  <c:v>771.98299999999972</c:v>
                </c:pt>
                <c:pt idx="4">
                  <c:v>888.34100000000001</c:v>
                </c:pt>
                <c:pt idx="5">
                  <c:v>945.65899999999999</c:v>
                </c:pt>
                <c:pt idx="6">
                  <c:v>1044</c:v>
                </c:pt>
                <c:pt idx="7">
                  <c:v>903.99999999999989</c:v>
                </c:pt>
                <c:pt idx="8">
                  <c:v>1115</c:v>
                </c:pt>
                <c:pt idx="9">
                  <c:v>1179</c:v>
                </c:pt>
                <c:pt idx="10">
                  <c:v>1320</c:v>
                </c:pt>
                <c:pt idx="11">
                  <c:v>1156</c:v>
                </c:pt>
                <c:pt idx="12">
                  <c:v>1391</c:v>
                </c:pt>
                <c:pt idx="13">
                  <c:v>1290</c:v>
                </c:pt>
                <c:pt idx="14">
                  <c:v>1392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Revenue!$AM$126:$BA$126</c15:f>
                <c15:dlblRangeCache>
                  <c:ptCount val="15"/>
                  <c:pt idx="0">
                    <c:v>38%</c:v>
                  </c:pt>
                  <c:pt idx="1">
                    <c:v>38%</c:v>
                  </c:pt>
                  <c:pt idx="2">
                    <c:v>42%</c:v>
                  </c:pt>
                  <c:pt idx="3">
                    <c:v>39%</c:v>
                  </c:pt>
                  <c:pt idx="4">
                    <c:v>42%</c:v>
                  </c:pt>
                  <c:pt idx="5">
                    <c:v>43%</c:v>
                  </c:pt>
                  <c:pt idx="6">
                    <c:v>43%</c:v>
                  </c:pt>
                  <c:pt idx="7">
                    <c:v>37%</c:v>
                  </c:pt>
                  <c:pt idx="8">
                    <c:v>44%</c:v>
                  </c:pt>
                  <c:pt idx="9">
                    <c:v>44%</c:v>
                  </c:pt>
                  <c:pt idx="10">
                    <c:v>45%</c:v>
                  </c:pt>
                  <c:pt idx="11">
                    <c:v>39%</c:v>
                  </c:pt>
                  <c:pt idx="12">
                    <c:v>46%</c:v>
                  </c:pt>
                  <c:pt idx="13">
                    <c:v>41%</c:v>
                  </c:pt>
                  <c:pt idx="14">
                    <c:v>41%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55C8-4180-AF3E-0CC7C8F46411}"/>
            </c:ext>
          </c:extLst>
        </c:ser>
        <c:ser>
          <c:idx val="1"/>
          <c:order val="1"/>
          <c:tx>
            <c:v>Domestic IT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FDEDAAE-4347-4490-928E-F1BBF1FC16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55C8-4180-AF3E-0CC7C8F4641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807DB6F-CBCE-4C7B-9562-0B80DE3F28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55C8-4180-AF3E-0CC7C8F4641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04E88B9-5DC3-4113-99E3-49B8B668DF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55C8-4180-AF3E-0CC7C8F4641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EC35415-6977-4DFB-AA09-ECD851C28C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46D-469A-AD64-AAF4873E4CD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64A7428-87EC-49B3-AF29-71121A2EE7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346D-469A-AD64-AAF4873E4CD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87FA2A9-6E4F-4BC7-9CBA-1661AF6E0B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346D-469A-AD64-AAF4873E4CD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9B7215A-60D6-4FEA-9D8E-838ECAE70C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346D-469A-AD64-AAF4873E4CD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F792626-6258-4E97-9672-DDEC1F4573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46D-469A-AD64-AAF4873E4CD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0124CA8-552D-4C1E-AEC0-826534778B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346D-469A-AD64-AAF4873E4CD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8070FEB-2871-40C5-ADF9-D1D58365B4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346D-469A-AD64-AAF4873E4CD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F96C8B6-B340-4443-AF11-B979ECDA8E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346D-469A-AD64-AAF4873E4CD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A603C0B-07BF-495E-B3DC-B04E03626E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346D-469A-AD64-AAF4873E4CD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D762D63-5884-49C8-8344-9CA384E1FF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346D-469A-AD64-AAF4873E4CD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86FEAC86-BC3B-4744-8152-F01E0DFA6E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346D-469A-AD64-AAF4873E4CD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0A5EEBC-8FD1-4BBC-AE51-DAFE5C0607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346D-469A-AD64-AAF4873E4C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Revenue!$AM$1:$BA$1</c:f>
              <c:strCache>
                <c:ptCount val="15"/>
                <c:pt idx="0">
                  <c:v>1Q22</c:v>
                </c:pt>
                <c:pt idx="1">
                  <c:v>2Q22</c:v>
                </c:pt>
                <c:pt idx="2">
                  <c:v>3Q22</c:v>
                </c:pt>
                <c:pt idx="3">
                  <c:v>4Q22</c:v>
                </c:pt>
                <c:pt idx="4">
                  <c:v>1Q23</c:v>
                </c:pt>
                <c:pt idx="5">
                  <c:v>2Q23</c:v>
                </c:pt>
                <c:pt idx="6">
                  <c:v>3Q23</c:v>
                </c:pt>
                <c:pt idx="7">
                  <c:v>4Q23</c:v>
                </c:pt>
                <c:pt idx="8">
                  <c:v>1Q24</c:v>
                </c:pt>
                <c:pt idx="9">
                  <c:v>2Q24</c:v>
                </c:pt>
                <c:pt idx="10">
                  <c:v>3Q24</c:v>
                </c:pt>
                <c:pt idx="11">
                  <c:v>4Q24</c:v>
                </c:pt>
                <c:pt idx="12">
                  <c:v>1Q25</c:v>
                </c:pt>
                <c:pt idx="13">
                  <c:v>2Q25</c:v>
                </c:pt>
                <c:pt idx="14">
                  <c:v>3Q25</c:v>
                </c:pt>
              </c:strCache>
            </c:strRef>
          </c:cat>
          <c:val>
            <c:numRef>
              <c:f>Revenue!$AM$118:$BA$118</c:f>
              <c:numCache>
                <c:formatCode>_(* #,##0_);_(* \(#,##0\);_(* \-??_);_(@_)</c:formatCode>
                <c:ptCount val="15"/>
                <c:pt idx="0">
                  <c:v>90.992000000000004</c:v>
                </c:pt>
                <c:pt idx="1">
                  <c:v>134.49900000000002</c:v>
                </c:pt>
                <c:pt idx="2">
                  <c:v>154.17499999999995</c:v>
                </c:pt>
                <c:pt idx="3">
                  <c:v>3.0110000000000241</c:v>
                </c:pt>
                <c:pt idx="4">
                  <c:v>17.224</c:v>
                </c:pt>
                <c:pt idx="5">
                  <c:v>153.77600000000001</c:v>
                </c:pt>
                <c:pt idx="6">
                  <c:v>78.999999999999986</c:v>
                </c:pt>
                <c:pt idx="7">
                  <c:v>129</c:v>
                </c:pt>
                <c:pt idx="8">
                  <c:v>41</c:v>
                </c:pt>
                <c:pt idx="9">
                  <c:v>116</c:v>
                </c:pt>
                <c:pt idx="10">
                  <c:v>40</c:v>
                </c:pt>
                <c:pt idx="11">
                  <c:v>263</c:v>
                </c:pt>
                <c:pt idx="12">
                  <c:v>24</c:v>
                </c:pt>
                <c:pt idx="13">
                  <c:v>130</c:v>
                </c:pt>
                <c:pt idx="14">
                  <c:v>106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Revenue!$AM$127:$BA$127</c15:f>
                <c15:dlblRangeCache>
                  <c:ptCount val="15"/>
                  <c:pt idx="0">
                    <c:v>5%</c:v>
                  </c:pt>
                  <c:pt idx="1">
                    <c:v>7%</c:v>
                  </c:pt>
                  <c:pt idx="2">
                    <c:v>8%</c:v>
                  </c:pt>
                  <c:pt idx="3">
                    <c:v>0%</c:v>
                  </c:pt>
                  <c:pt idx="4">
                    <c:v>1%</c:v>
                  </c:pt>
                  <c:pt idx="5">
                    <c:v>7%</c:v>
                  </c:pt>
                  <c:pt idx="6">
                    <c:v>3%</c:v>
                  </c:pt>
                  <c:pt idx="7">
                    <c:v>5%</c:v>
                  </c:pt>
                  <c:pt idx="8">
                    <c:v>2%</c:v>
                  </c:pt>
                  <c:pt idx="9">
                    <c:v>4%</c:v>
                  </c:pt>
                  <c:pt idx="10">
                    <c:v>1%</c:v>
                  </c:pt>
                  <c:pt idx="11">
                    <c:v>9%</c:v>
                  </c:pt>
                  <c:pt idx="12">
                    <c:v>1%</c:v>
                  </c:pt>
                  <c:pt idx="13">
                    <c:v>4%</c:v>
                  </c:pt>
                  <c:pt idx="14">
                    <c:v>3%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55C8-4180-AF3E-0CC7C8F46411}"/>
            </c:ext>
          </c:extLst>
        </c:ser>
        <c:ser>
          <c:idx val="2"/>
          <c:order val="2"/>
          <c:tx>
            <c:v>Telecom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9B423B58-8CC5-49D8-B7BE-D7AC086A55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55C8-4180-AF3E-0CC7C8F4641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DA1BDA6-C8BC-4305-BCBF-31796D642A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55C8-4180-AF3E-0CC7C8F4641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91FF5D0-7BCF-48F6-9129-13A10DB6D5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55C8-4180-AF3E-0CC7C8F4641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B483209-43E9-405E-A442-8E0CFBE1E2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346D-469A-AD64-AAF4873E4CD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3CCB818-159A-4525-9884-9CD3C83982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346D-469A-AD64-AAF4873E4CD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32C961C-CCC7-4B2F-AB64-A8FE647AAE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346D-469A-AD64-AAF4873E4CD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26CEA97-BDD5-4B30-B3CE-84901B2B41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346D-469A-AD64-AAF4873E4CD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62BB5C1-6992-411E-9917-9DF035DFBA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346D-469A-AD64-AAF4873E4CD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A987CF0-99F4-4FD9-95FF-7060C1201C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346D-469A-AD64-AAF4873E4CD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8EA9690-A566-4D95-8E67-CA00FD32DB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346D-469A-AD64-AAF4873E4CD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479A6EE-4AD2-4636-9C78-BB0F74ACC9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346D-469A-AD64-AAF4873E4CD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3C67ACA-4725-4A45-9C65-A9F780E84C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346D-469A-AD64-AAF4873E4CD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F6132A0-D5EC-4DD3-ABF1-1005B371D4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346D-469A-AD64-AAF4873E4CD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663E535-E506-4FA9-8511-82B0B57562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346D-469A-AD64-AAF4873E4CD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DAD87BD4-AC6C-4D42-A6CF-A5706A35BA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346D-469A-AD64-AAF4873E4C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Revenue!$AM$1:$BA$1</c:f>
              <c:strCache>
                <c:ptCount val="15"/>
                <c:pt idx="0">
                  <c:v>1Q22</c:v>
                </c:pt>
                <c:pt idx="1">
                  <c:v>2Q22</c:v>
                </c:pt>
                <c:pt idx="2">
                  <c:v>3Q22</c:v>
                </c:pt>
                <c:pt idx="3">
                  <c:v>4Q22</c:v>
                </c:pt>
                <c:pt idx="4">
                  <c:v>1Q23</c:v>
                </c:pt>
                <c:pt idx="5">
                  <c:v>2Q23</c:v>
                </c:pt>
                <c:pt idx="6">
                  <c:v>3Q23</c:v>
                </c:pt>
                <c:pt idx="7">
                  <c:v>4Q23</c:v>
                </c:pt>
                <c:pt idx="8">
                  <c:v>1Q24</c:v>
                </c:pt>
                <c:pt idx="9">
                  <c:v>2Q24</c:v>
                </c:pt>
                <c:pt idx="10">
                  <c:v>3Q24</c:v>
                </c:pt>
                <c:pt idx="11">
                  <c:v>4Q24</c:v>
                </c:pt>
                <c:pt idx="12">
                  <c:v>1Q25</c:v>
                </c:pt>
                <c:pt idx="13">
                  <c:v>2Q25</c:v>
                </c:pt>
                <c:pt idx="14">
                  <c:v>3Q25</c:v>
                </c:pt>
              </c:strCache>
            </c:strRef>
          </c:cat>
          <c:val>
            <c:numRef>
              <c:f>Revenue!$AM$120:$BA$120</c:f>
              <c:numCache>
                <c:formatCode>_(* #,##0_);_(* \(#,##0\);_(* \-??_);_(@_)</c:formatCode>
                <c:ptCount val="15"/>
                <c:pt idx="0">
                  <c:v>632.91999999999996</c:v>
                </c:pt>
                <c:pt idx="1">
                  <c:v>655.33100000000002</c:v>
                </c:pt>
                <c:pt idx="2">
                  <c:v>639.85400000000004</c:v>
                </c:pt>
                <c:pt idx="3">
                  <c:v>580.23199999999997</c:v>
                </c:pt>
                <c:pt idx="4">
                  <c:v>723.01599999999996</c:v>
                </c:pt>
                <c:pt idx="5">
                  <c:v>751.98400000000004</c:v>
                </c:pt>
                <c:pt idx="6">
                  <c:v>742.00000000000011</c:v>
                </c:pt>
                <c:pt idx="7">
                  <c:v>677.99999999999989</c:v>
                </c:pt>
                <c:pt idx="8">
                  <c:v>805</c:v>
                </c:pt>
                <c:pt idx="9">
                  <c:v>892</c:v>
                </c:pt>
                <c:pt idx="10">
                  <c:v>850</c:v>
                </c:pt>
                <c:pt idx="11">
                  <c:v>873</c:v>
                </c:pt>
                <c:pt idx="12">
                  <c:v>943</c:v>
                </c:pt>
                <c:pt idx="13">
                  <c:v>1074</c:v>
                </c:pt>
                <c:pt idx="14">
                  <c:v>1074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Revenue!$AM$129:$BA$129</c15:f>
                <c15:dlblRangeCache>
                  <c:ptCount val="15"/>
                  <c:pt idx="0">
                    <c:v>36%</c:v>
                  </c:pt>
                  <c:pt idx="1">
                    <c:v>35%</c:v>
                  </c:pt>
                  <c:pt idx="2">
                    <c:v>32%</c:v>
                  </c:pt>
                  <c:pt idx="3">
                    <c:v>29%</c:v>
                  </c:pt>
                  <c:pt idx="4">
                    <c:v>34%</c:v>
                  </c:pt>
                  <c:pt idx="5">
                    <c:v>34%</c:v>
                  </c:pt>
                  <c:pt idx="6">
                    <c:v>31%</c:v>
                  </c:pt>
                  <c:pt idx="7">
                    <c:v>28%</c:v>
                  </c:pt>
                  <c:pt idx="8">
                    <c:v>32%</c:v>
                  </c:pt>
                  <c:pt idx="9">
                    <c:v>33%</c:v>
                  </c:pt>
                  <c:pt idx="10">
                    <c:v>29%</c:v>
                  </c:pt>
                  <c:pt idx="11">
                    <c:v>29%</c:v>
                  </c:pt>
                  <c:pt idx="12">
                    <c:v>31%</c:v>
                  </c:pt>
                  <c:pt idx="13">
                    <c:v>34%</c:v>
                  </c:pt>
                  <c:pt idx="14">
                    <c:v>32%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55C8-4180-AF3E-0CC7C8F46411}"/>
            </c:ext>
          </c:extLst>
        </c:ser>
        <c:ser>
          <c:idx val="3"/>
          <c:order val="3"/>
          <c:tx>
            <c:v>Online Media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BB8721FA-E034-4223-BBB7-271944C2C1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55C8-4180-AF3E-0CC7C8F4641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B0AA146-F8CC-4A25-AB94-E155E40A4D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55C8-4180-AF3E-0CC7C8F4641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A09215C-6166-4032-8C3B-066F51EAB2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55C8-4180-AF3E-0CC7C8F4641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3009049-65F2-4BB8-AA14-A75115CA15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346D-469A-AD64-AAF4873E4CD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FCC5A5A-DC8B-4477-BDD8-0D6A5C3068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346D-469A-AD64-AAF4873E4CD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4D2B20B-81B5-413F-AD6D-EFC6EC58C5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346D-469A-AD64-AAF4873E4CD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E578ECA-8CE5-4EA5-8B69-AC52FE8AF3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346D-469A-AD64-AAF4873E4CD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8C477BF-5C61-4368-BD30-8406BA8700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346D-469A-AD64-AAF4873E4CD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235213C-5714-4413-889D-73C2839E84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346D-469A-AD64-AAF4873E4CD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3CCEBC0-A89B-4C13-A3D5-18C8B5565A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346D-469A-AD64-AAF4873E4CD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6CF7A3C-7338-4523-9677-0A76A87D62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346D-469A-AD64-AAF4873E4CD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C17530C-8FB2-4E95-90E1-40CF9B15C4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346D-469A-AD64-AAF4873E4CD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2D1B906-6756-42F8-9B84-06C5DE95B3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346D-469A-AD64-AAF4873E4CD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EB1DB69-4B5D-4529-8924-B31A0869AE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346D-469A-AD64-AAF4873E4CD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4987CC09-2D8F-45DD-8824-0DAE57FC93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346D-469A-AD64-AAF4873E4C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Revenue!$AM$1:$BA$1</c:f>
              <c:strCache>
                <c:ptCount val="15"/>
                <c:pt idx="0">
                  <c:v>1Q22</c:v>
                </c:pt>
                <c:pt idx="1">
                  <c:v>2Q22</c:v>
                </c:pt>
                <c:pt idx="2">
                  <c:v>3Q22</c:v>
                </c:pt>
                <c:pt idx="3">
                  <c:v>4Q22</c:v>
                </c:pt>
                <c:pt idx="4">
                  <c:v>1Q23</c:v>
                </c:pt>
                <c:pt idx="5">
                  <c:v>2Q23</c:v>
                </c:pt>
                <c:pt idx="6">
                  <c:v>3Q23</c:v>
                </c:pt>
                <c:pt idx="7">
                  <c:v>4Q23</c:v>
                </c:pt>
                <c:pt idx="8">
                  <c:v>1Q24</c:v>
                </c:pt>
                <c:pt idx="9">
                  <c:v>2Q24</c:v>
                </c:pt>
                <c:pt idx="10">
                  <c:v>3Q24</c:v>
                </c:pt>
                <c:pt idx="11">
                  <c:v>4Q24</c:v>
                </c:pt>
                <c:pt idx="12">
                  <c:v>1Q25</c:v>
                </c:pt>
                <c:pt idx="13">
                  <c:v>2Q25</c:v>
                </c:pt>
                <c:pt idx="14">
                  <c:v>3Q25</c:v>
                </c:pt>
              </c:strCache>
            </c:strRef>
          </c:cat>
          <c:val>
            <c:numRef>
              <c:f>Revenue!$AM$121:$BA$121</c:f>
              <c:numCache>
                <c:formatCode>_(* #,##0_);_(* \(#,##0\);_(* \-??_);_(@_)</c:formatCode>
                <c:ptCount val="15"/>
                <c:pt idx="0">
                  <c:v>68.055999999999997</c:v>
                </c:pt>
                <c:pt idx="1">
                  <c:v>88.946000000000012</c:v>
                </c:pt>
                <c:pt idx="2">
                  <c:v>83.512999999999977</c:v>
                </c:pt>
                <c:pt idx="3">
                  <c:v>68.745000000000005</c:v>
                </c:pt>
                <c:pt idx="4">
                  <c:v>0.67300000000000004</c:v>
                </c:pt>
                <c:pt idx="5">
                  <c:v>39.326999999999998</c:v>
                </c:pt>
                <c:pt idx="6">
                  <c:v>42</c:v>
                </c:pt>
                <c:pt idx="7">
                  <c:v>59</c:v>
                </c:pt>
                <c:pt idx="8">
                  <c:v>20</c:v>
                </c:pt>
                <c:pt idx="9">
                  <c:v>42</c:v>
                </c:pt>
                <c:pt idx="10">
                  <c:v>57</c:v>
                </c:pt>
                <c:pt idx="11">
                  <c:v>48</c:v>
                </c:pt>
                <c:pt idx="12">
                  <c:v>23</c:v>
                </c:pt>
                <c:pt idx="13">
                  <c:v>56</c:v>
                </c:pt>
                <c:pt idx="14">
                  <c:v>58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Revenue!$AM$130:$BA$130</c15:f>
                <c15:dlblRangeCache>
                  <c:ptCount val="15"/>
                  <c:pt idx="0">
                    <c:v>4%</c:v>
                  </c:pt>
                  <c:pt idx="1">
                    <c:v>5%</c:v>
                  </c:pt>
                  <c:pt idx="2">
                    <c:v>4%</c:v>
                  </c:pt>
                  <c:pt idx="3">
                    <c:v>3%</c:v>
                  </c:pt>
                  <c:pt idx="4">
                    <c:v>0%</c:v>
                  </c:pt>
                  <c:pt idx="5">
                    <c:v>2%</c:v>
                  </c:pt>
                  <c:pt idx="6">
                    <c:v>2%</c:v>
                  </c:pt>
                  <c:pt idx="7">
                    <c:v>2%</c:v>
                  </c:pt>
                  <c:pt idx="8">
                    <c:v>1%</c:v>
                  </c:pt>
                  <c:pt idx="9">
                    <c:v>2%</c:v>
                  </c:pt>
                  <c:pt idx="10">
                    <c:v>2%</c:v>
                  </c:pt>
                  <c:pt idx="11">
                    <c:v>2%</c:v>
                  </c:pt>
                  <c:pt idx="12">
                    <c:v>1%</c:v>
                  </c:pt>
                  <c:pt idx="13">
                    <c:v>2%</c:v>
                  </c:pt>
                  <c:pt idx="14">
                    <c:v>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55C8-4180-AF3E-0CC7C8F46411}"/>
            </c:ext>
          </c:extLst>
        </c:ser>
        <c:ser>
          <c:idx val="4"/>
          <c:order val="4"/>
          <c:tx>
            <c:v>Education &amp; others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CE5C5309-3D91-4B54-B690-BC59BCAEF9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55C8-4180-AF3E-0CC7C8F4641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D7F044D-1E76-48DF-85A8-8F3A65FA70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55C8-4180-AF3E-0CC7C8F4641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494C4FE-8102-48AB-AF5F-882BDB192C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55C8-4180-AF3E-0CC7C8F4641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E4A318B-6DB8-46CA-B636-13374D7834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346D-469A-AD64-AAF4873E4CD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CE1B09B-97F0-4779-82DD-0B13FC35D4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346D-469A-AD64-AAF4873E4CD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4286B5F-28E2-41AF-8544-E4E9FC141F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346D-469A-AD64-AAF4873E4CD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B2A477B-F336-4EE2-A0C9-E083D02A28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346D-469A-AD64-AAF4873E4CD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9A7EA19-FA17-4808-8432-9EF15FBE3D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346D-469A-AD64-AAF4873E4CD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0623A0A-E6E5-4D93-B16E-98DE2D8F50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346D-469A-AD64-AAF4873E4CD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B5647B4-D7BE-421F-90BF-E4B326ED9F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346D-469A-AD64-AAF4873E4CD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59CB95B-98B3-46BA-9C82-735ECA1F69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346D-469A-AD64-AAF4873E4CD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FD73499-1967-42F7-AA24-4A5C8290AD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346D-469A-AD64-AAF4873E4CD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90DDEC8-2380-4355-A6FB-E4547C0F03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346D-469A-AD64-AAF4873E4CD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0C37F93-7ADB-4718-B46E-68684E3507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346D-469A-AD64-AAF4873E4CD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79DC8221-3ADC-4C1E-9501-44967537DA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346D-469A-AD64-AAF4873E4C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Revenue!$AM$1:$BA$1</c:f>
              <c:strCache>
                <c:ptCount val="15"/>
                <c:pt idx="0">
                  <c:v>1Q22</c:v>
                </c:pt>
                <c:pt idx="1">
                  <c:v>2Q22</c:v>
                </c:pt>
                <c:pt idx="2">
                  <c:v>3Q22</c:v>
                </c:pt>
                <c:pt idx="3">
                  <c:v>4Q22</c:v>
                </c:pt>
                <c:pt idx="4">
                  <c:v>1Q23</c:v>
                </c:pt>
                <c:pt idx="5">
                  <c:v>2Q23</c:v>
                </c:pt>
                <c:pt idx="6">
                  <c:v>3Q23</c:v>
                </c:pt>
                <c:pt idx="7">
                  <c:v>4Q23</c:v>
                </c:pt>
                <c:pt idx="8">
                  <c:v>1Q24</c:v>
                </c:pt>
                <c:pt idx="9">
                  <c:v>2Q24</c:v>
                </c:pt>
                <c:pt idx="10">
                  <c:v>3Q24</c:v>
                </c:pt>
                <c:pt idx="11">
                  <c:v>4Q24</c:v>
                </c:pt>
                <c:pt idx="12">
                  <c:v>1Q25</c:v>
                </c:pt>
                <c:pt idx="13">
                  <c:v>2Q25</c:v>
                </c:pt>
                <c:pt idx="14">
                  <c:v>3Q25</c:v>
                </c:pt>
              </c:strCache>
            </c:strRef>
          </c:cat>
          <c:val>
            <c:numRef>
              <c:f>Revenue!$AM$122:$BA$122</c:f>
              <c:numCache>
                <c:formatCode>_(* #,##0_);_(* \(#,##0\);_(* \-??_);_(@_)</c:formatCode>
                <c:ptCount val="15"/>
                <c:pt idx="0">
                  <c:v>319.79184668000016</c:v>
                </c:pt>
                <c:pt idx="1">
                  <c:v>279.48662638700102</c:v>
                </c:pt>
                <c:pt idx="2">
                  <c:v>297.93281992399938</c:v>
                </c:pt>
                <c:pt idx="3">
                  <c:v>565.05763091400013</c:v>
                </c:pt>
                <c:pt idx="4">
                  <c:v>491.38900000000012</c:v>
                </c:pt>
                <c:pt idx="5">
                  <c:v>328.61099999999988</c:v>
                </c:pt>
                <c:pt idx="6">
                  <c:v>521</c:v>
                </c:pt>
                <c:pt idx="7">
                  <c:v>664</c:v>
                </c:pt>
                <c:pt idx="8">
                  <c:v>553</c:v>
                </c:pt>
                <c:pt idx="9">
                  <c:v>434</c:v>
                </c:pt>
                <c:pt idx="10">
                  <c:v>646</c:v>
                </c:pt>
                <c:pt idx="11">
                  <c:v>621</c:v>
                </c:pt>
                <c:pt idx="12">
                  <c:v>642</c:v>
                </c:pt>
                <c:pt idx="13">
                  <c:v>594</c:v>
                </c:pt>
                <c:pt idx="14">
                  <c:v>743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Revenue!$AM$131:$BA$131</c15:f>
                <c15:dlblRangeCache>
                  <c:ptCount val="15"/>
                  <c:pt idx="0">
                    <c:v>18%</c:v>
                  </c:pt>
                  <c:pt idx="1">
                    <c:v>15%</c:v>
                  </c:pt>
                  <c:pt idx="2">
                    <c:v>15%</c:v>
                  </c:pt>
                  <c:pt idx="3">
                    <c:v>28%</c:v>
                  </c:pt>
                  <c:pt idx="4">
                    <c:v>23%</c:v>
                  </c:pt>
                  <c:pt idx="5">
                    <c:v>15%</c:v>
                  </c:pt>
                  <c:pt idx="6">
                    <c:v>21%</c:v>
                  </c:pt>
                  <c:pt idx="7">
                    <c:v>27%</c:v>
                  </c:pt>
                  <c:pt idx="8">
                    <c:v>22%</c:v>
                  </c:pt>
                  <c:pt idx="9">
                    <c:v>16%</c:v>
                  </c:pt>
                  <c:pt idx="10">
                    <c:v>22%</c:v>
                  </c:pt>
                  <c:pt idx="11">
                    <c:v>21%</c:v>
                  </c:pt>
                  <c:pt idx="12">
                    <c:v>21%</c:v>
                  </c:pt>
                  <c:pt idx="13">
                    <c:v>19%</c:v>
                  </c:pt>
                  <c:pt idx="14">
                    <c:v>22%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55C8-4180-AF3E-0CC7C8F4641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613212671"/>
        <c:axId val="1613214111"/>
      </c:barChart>
      <c:catAx>
        <c:axId val="1613212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14111"/>
        <c:crosses val="autoZero"/>
        <c:auto val="1"/>
        <c:lblAlgn val="ctr"/>
        <c:lblOffset val="100"/>
        <c:noMultiLvlLbl val="0"/>
      </c:catAx>
      <c:valAx>
        <c:axId val="1613214111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12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Global IT revenue growth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Revenue!$AI$1:$BA$1</c15:sqref>
                  </c15:fullRef>
                </c:ext>
              </c:extLst>
              <c:f>Revenue!$AM$1:$BA$1</c:f>
              <c:strCache>
                <c:ptCount val="15"/>
                <c:pt idx="0">
                  <c:v>1Q22</c:v>
                </c:pt>
                <c:pt idx="1">
                  <c:v>2Q22</c:v>
                </c:pt>
                <c:pt idx="2">
                  <c:v>3Q22</c:v>
                </c:pt>
                <c:pt idx="3">
                  <c:v>4Q22</c:v>
                </c:pt>
                <c:pt idx="4">
                  <c:v>1Q23</c:v>
                </c:pt>
                <c:pt idx="5">
                  <c:v>2Q23</c:v>
                </c:pt>
                <c:pt idx="6">
                  <c:v>3Q23</c:v>
                </c:pt>
                <c:pt idx="7">
                  <c:v>4Q23</c:v>
                </c:pt>
                <c:pt idx="8">
                  <c:v>1Q24</c:v>
                </c:pt>
                <c:pt idx="9">
                  <c:v>2Q24</c:v>
                </c:pt>
                <c:pt idx="10">
                  <c:v>3Q24</c:v>
                </c:pt>
                <c:pt idx="11">
                  <c:v>4Q24</c:v>
                </c:pt>
                <c:pt idx="12">
                  <c:v>1Q25</c:v>
                </c:pt>
                <c:pt idx="13">
                  <c:v>2Q25</c:v>
                </c:pt>
                <c:pt idx="14">
                  <c:v>3Q25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Revenue!$AI$20:$BA$20</c15:sqref>
                  </c15:fullRef>
                </c:ext>
              </c:extLst>
              <c:f>Revenue!$AM$20:$BA$20</c:f>
              <c:numCache>
                <c:formatCode>0.0%</c:formatCode>
                <c:ptCount val="15"/>
                <c:pt idx="0">
                  <c:v>0.35040411973999763</c:v>
                </c:pt>
                <c:pt idx="1">
                  <c:v>0.1497338567855504</c:v>
                </c:pt>
                <c:pt idx="2">
                  <c:v>0.25325743782591559</c:v>
                </c:pt>
                <c:pt idx="3">
                  <c:v>0.21025569572492353</c:v>
                </c:pt>
                <c:pt idx="4">
                  <c:v>0.21337619249538031</c:v>
                </c:pt>
                <c:pt idx="5">
                  <c:v>0.28771297330902557</c:v>
                </c:pt>
                <c:pt idx="6">
                  <c:v>0.26675788135925016</c:v>
                </c:pt>
                <c:pt idx="7">
                  <c:v>0.1375202364493473</c:v>
                </c:pt>
                <c:pt idx="8">
                  <c:v>0.2375834411890736</c:v>
                </c:pt>
                <c:pt idx="9">
                  <c:v>0.30565816466543216</c:v>
                </c:pt>
                <c:pt idx="10">
                  <c:v>0.18905592303066743</c:v>
                </c:pt>
                <c:pt idx="11">
                  <c:v>0.24787281683833418</c:v>
                </c:pt>
                <c:pt idx="12">
                  <c:v>0.15322866249557321</c:v>
                </c:pt>
                <c:pt idx="13">
                  <c:v>7.8388507183010603E-2</c:v>
                </c:pt>
                <c:pt idx="14">
                  <c:v>9.4467482552847093E-2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D2-4835-A855-50755BDD7967}"/>
            </c:ext>
          </c:extLst>
        </c:ser>
        <c:ser>
          <c:idx val="1"/>
          <c:order val="1"/>
          <c:tx>
            <c:v>Global IT PBT growth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Revenue!$AI$1:$BA$1</c15:sqref>
                  </c15:fullRef>
                </c:ext>
              </c:extLst>
              <c:f>Revenue!$AM$1:$BA$1</c:f>
              <c:strCache>
                <c:ptCount val="15"/>
                <c:pt idx="0">
                  <c:v>1Q22</c:v>
                </c:pt>
                <c:pt idx="1">
                  <c:v>2Q22</c:v>
                </c:pt>
                <c:pt idx="2">
                  <c:v>3Q22</c:v>
                </c:pt>
                <c:pt idx="3">
                  <c:v>4Q22</c:v>
                </c:pt>
                <c:pt idx="4">
                  <c:v>1Q23</c:v>
                </c:pt>
                <c:pt idx="5">
                  <c:v>2Q23</c:v>
                </c:pt>
                <c:pt idx="6">
                  <c:v>3Q23</c:v>
                </c:pt>
                <c:pt idx="7">
                  <c:v>4Q23</c:v>
                </c:pt>
                <c:pt idx="8">
                  <c:v>1Q24</c:v>
                </c:pt>
                <c:pt idx="9">
                  <c:v>2Q24</c:v>
                </c:pt>
                <c:pt idx="10">
                  <c:v>3Q24</c:v>
                </c:pt>
                <c:pt idx="11">
                  <c:v>4Q24</c:v>
                </c:pt>
                <c:pt idx="12">
                  <c:v>1Q25</c:v>
                </c:pt>
                <c:pt idx="13">
                  <c:v>2Q25</c:v>
                </c:pt>
                <c:pt idx="14">
                  <c:v>3Q25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Revenue!$AI$144:$BA$144</c15:sqref>
                  </c15:fullRef>
                </c:ext>
              </c:extLst>
              <c:f>Revenue!$AM$144:$BA$144</c:f>
              <c:numCache>
                <c:formatCode>0.0%</c:formatCode>
                <c:ptCount val="15"/>
                <c:pt idx="0">
                  <c:v>0.40034016808957373</c:v>
                </c:pt>
                <c:pt idx="1">
                  <c:v>0.12928823840019477</c:v>
                </c:pt>
                <c:pt idx="2">
                  <c:v>0.28482547380511791</c:v>
                </c:pt>
                <c:pt idx="3">
                  <c:v>0.13224588188027298</c:v>
                </c:pt>
                <c:pt idx="4">
                  <c:v>0.1942356385504036</c:v>
                </c:pt>
                <c:pt idx="5">
                  <c:v>0.31813936536139775</c:v>
                </c:pt>
                <c:pt idx="6">
                  <c:v>0.11549827410663283</c:v>
                </c:pt>
                <c:pt idx="7">
                  <c:v>0.33291354513712412</c:v>
                </c:pt>
                <c:pt idx="8">
                  <c:v>0.2765511034547492</c:v>
                </c:pt>
                <c:pt idx="9">
                  <c:v>0.17787772810579994</c:v>
                </c:pt>
                <c:pt idx="10">
                  <c:v>0.21193232413178986</c:v>
                </c:pt>
                <c:pt idx="11">
                  <c:v>0.37173281703775407</c:v>
                </c:pt>
                <c:pt idx="12">
                  <c:v>0.22491349480968847</c:v>
                </c:pt>
                <c:pt idx="13">
                  <c:v>9.4980694980695057E-2</c:v>
                </c:pt>
                <c:pt idx="14">
                  <c:v>0.10139603232916983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D2-4835-A855-50755BDD7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587983"/>
        <c:axId val="1041591823"/>
      </c:lineChart>
      <c:catAx>
        <c:axId val="1041587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591823"/>
        <c:crosses val="autoZero"/>
        <c:auto val="1"/>
        <c:lblAlgn val="ctr"/>
        <c:lblOffset val="100"/>
        <c:noMultiLvlLbl val="0"/>
      </c:catAx>
      <c:valAx>
        <c:axId val="1041591823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587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Telecom PBT growth (%YoY)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Revenue!$AM$1:$BA$1</c15:sqref>
                  </c15:fullRef>
                </c:ext>
              </c:extLst>
              <c:f>Revenue!$AQ$1:$BA$1</c:f>
              <c:strCache>
                <c:ptCount val="11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  <c:pt idx="6">
                  <c:v>3Q24</c:v>
                </c:pt>
                <c:pt idx="7">
                  <c:v>4Q24</c:v>
                </c:pt>
                <c:pt idx="8">
                  <c:v>1Q25</c:v>
                </c:pt>
                <c:pt idx="9">
                  <c:v>2Q25</c:v>
                </c:pt>
                <c:pt idx="10">
                  <c:v>3Q25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Revenue!$AM$147:$BA$147</c15:sqref>
                  </c15:fullRef>
                </c:ext>
              </c:extLst>
              <c:f>Revenue!$AQ$147:$BA$147</c:f>
              <c:numCache>
                <c:formatCode>0.0%</c:formatCode>
                <c:ptCount val="11"/>
                <c:pt idx="0">
                  <c:v>3.2401965259866161E-2</c:v>
                </c:pt>
                <c:pt idx="1">
                  <c:v>6.1850628193535373E-2</c:v>
                </c:pt>
                <c:pt idx="2">
                  <c:v>8.5202946775288169E-2</c:v>
                </c:pt>
                <c:pt idx="3">
                  <c:v>0.13563346620912586</c:v>
                </c:pt>
                <c:pt idx="4">
                  <c:v>0.13999245532265947</c:v>
                </c:pt>
                <c:pt idx="5">
                  <c:v>0.18181323554904338</c:v>
                </c:pt>
                <c:pt idx="6">
                  <c:v>0.15541401273885369</c:v>
                </c:pt>
                <c:pt idx="7">
                  <c:v>0.25101763907734087</c:v>
                </c:pt>
                <c:pt idx="8">
                  <c:v>0.17212121212121212</c:v>
                </c:pt>
                <c:pt idx="9">
                  <c:v>0.20877944325481801</c:v>
                </c:pt>
                <c:pt idx="10">
                  <c:v>0.24807056229327462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34-4E8E-95BE-C9AC6F27C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1590863"/>
        <c:axId val="1041598063"/>
      </c:barChart>
      <c:catAx>
        <c:axId val="104159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598063"/>
        <c:crosses val="autoZero"/>
        <c:auto val="1"/>
        <c:lblAlgn val="ctr"/>
        <c:lblOffset val="100"/>
        <c:noMultiLvlLbl val="0"/>
      </c:catAx>
      <c:valAx>
        <c:axId val="1041598063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590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0"/>
          <c:tx>
            <c:v>Domestic IT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(Revenue!$E$1:$H$1,Revenue!$BL$1)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9M25</c:v>
                </c:pt>
              </c:strCache>
            </c:strRef>
          </c:cat>
          <c:val>
            <c:numRef>
              <c:f>(Revenue!$E$13:$H$13,Revenue!$BL$13)</c:f>
              <c:numCache>
                <c:formatCode>_(* #,##0_);_(* \(#,##0\);_(* \-??_);_(@_)</c:formatCode>
                <c:ptCount val="5"/>
                <c:pt idx="0">
                  <c:v>6331.4430000000002</c:v>
                </c:pt>
                <c:pt idx="1">
                  <c:v>6847.4080000000004</c:v>
                </c:pt>
                <c:pt idx="2">
                  <c:v>7161</c:v>
                </c:pt>
                <c:pt idx="3">
                  <c:v>8157</c:v>
                </c:pt>
                <c:pt idx="4">
                  <c:v>5376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EA-4D68-B54B-96ACF45F88B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201859407"/>
        <c:axId val="201853167"/>
        <c:extLst>
          <c:ext xmlns:c15="http://schemas.microsoft.com/office/drawing/2012/chart" uri="{02D57815-91ED-43cb-92C2-25804820EDAC}">
            <c15:filteredBarSeries>
              <c15:ser>
                <c:idx val="0"/>
                <c:order val="1"/>
                <c:tx>
                  <c:v>Global IT</c:v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ormulaRef>
                          <c15:sqref>(Revenue!$E$1:$H$1,Revenue!$BL$1)</c15:sqref>
                        </c15:formulaRef>
                      </c:ext>
                    </c:extLst>
                    <c:strCache>
                      <c:ptCount val="5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  <c:pt idx="4">
                        <c:v>9M25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(Revenue!$E$12:$H$12,Revenue!$BL$12)</c15:sqref>
                        </c15:formulaRef>
                      </c:ext>
                    </c:extLst>
                    <c:numCache>
                      <c:formatCode>_(* #,##0_);_(* \(#,##0\);_(* \-??_);_(@_)</c:formatCode>
                      <c:ptCount val="5"/>
                      <c:pt idx="0">
                        <c:v>14540.800999999999</c:v>
                      </c:pt>
                      <c:pt idx="1">
                        <c:v>18915.493999999999</c:v>
                      </c:pt>
                      <c:pt idx="2">
                        <c:v>24288</c:v>
                      </c:pt>
                      <c:pt idx="3">
                        <c:v>30953</c:v>
                      </c:pt>
                      <c:pt idx="4">
                        <c:v>25574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46EA-4D68-B54B-96ACF45F88B3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v>Domestic IT PBT margin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(Revenue!$E$1:$H$1,Revenue!$BL$1)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9M25</c:v>
                </c:pt>
              </c:strCache>
            </c:strRef>
          </c:cat>
          <c:val>
            <c:numRef>
              <c:f>(Revenue!$E$137:$H$137,Revenue!$BL$137)</c:f>
              <c:numCache>
                <c:formatCode>0.0%</c:formatCode>
                <c:ptCount val="5"/>
                <c:pt idx="0">
                  <c:v>5.1591872500471064E-2</c:v>
                </c:pt>
                <c:pt idx="1">
                  <c:v>5.6878164701154074E-2</c:v>
                </c:pt>
                <c:pt idx="2">
                  <c:v>5.306521435553694E-2</c:v>
                </c:pt>
                <c:pt idx="3">
                  <c:v>5.6393281843815125E-2</c:v>
                </c:pt>
                <c:pt idx="4">
                  <c:v>4.836309523809524E-2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EA-4D68-B54B-96ACF45F88B3}"/>
            </c:ext>
          </c:extLst>
        </c:ser>
        <c:ser>
          <c:idx val="5"/>
          <c:order val="5"/>
          <c:tx>
            <c:v>Domestic IT revenue growth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(Revenue!$E$1:$H$1,Revenue!$BL$1)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9M25</c:v>
                </c:pt>
              </c:strCache>
            </c:strRef>
          </c:cat>
          <c:val>
            <c:numRef>
              <c:f>(Revenue!$E$22:$H$22,Revenue!$BL$22)</c:f>
              <c:numCache>
                <c:formatCode>0.0%</c:formatCode>
                <c:ptCount val="5"/>
                <c:pt idx="0">
                  <c:v>0.31776799748245055</c:v>
                </c:pt>
                <c:pt idx="1">
                  <c:v>8.1492481255852844E-2</c:v>
                </c:pt>
                <c:pt idx="2">
                  <c:v>4.5797183401368846E-2</c:v>
                </c:pt>
                <c:pt idx="3">
                  <c:v>0.13908671973188103</c:v>
                </c:pt>
                <c:pt idx="4">
                  <c:v>1.4999999999999999E-2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EA-4D68-B54B-96ACF45F88B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1064015"/>
        <c:axId val="951063055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v>Global IT PBT margin</c:v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(Revenue!$E$1:$H$1,Revenue!$BL$1)</c15:sqref>
                        </c15:formulaRef>
                      </c:ext>
                    </c:extLst>
                    <c:strCache>
                      <c:ptCount val="5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  <c:pt idx="4">
                        <c:v>9M25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(Revenue!$E$136:$H$136,Revenue!$BL$136)</c15:sqref>
                        </c15:formulaRef>
                      </c:ext>
                    </c:extLst>
                    <c:numCache>
                      <c:formatCode>0.0%</c:formatCode>
                      <c:ptCount val="5"/>
                      <c:pt idx="0">
                        <c:v>0.16669453078960367</c:v>
                      </c:pt>
                      <c:pt idx="1">
                        <c:v>0.15736987889399029</c:v>
                      </c:pt>
                      <c:pt idx="2">
                        <c:v>0.15571475625823453</c:v>
                      </c:pt>
                      <c:pt idx="3">
                        <c:v>0.15410461021548799</c:v>
                      </c:pt>
                      <c:pt idx="4">
                        <c:v>0.15926331430358959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46EA-4D68-B54B-96ACF45F88B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Global IT revenue growth </c:v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(Revenue!$E$1:$H$1,Revenue!$BL$1)</c15:sqref>
                        </c15:formulaRef>
                      </c:ext>
                    </c:extLst>
                    <c:strCache>
                      <c:ptCount val="5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  <c:pt idx="4">
                        <c:v>9M25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(Revenue!$E$21:$H$21,Revenue!$BL$21)</c15:sqref>
                        </c15:formulaRef>
                      </c:ext>
                    </c:extLst>
                    <c:numCache>
                      <c:formatCode>0.0%</c:formatCode>
                      <c:ptCount val="5"/>
                      <c:pt idx="0">
                        <c:v>0.21170716301146797</c:v>
                      </c:pt>
                      <c:pt idx="1">
                        <c:v>0.30085639711319878</c:v>
                      </c:pt>
                      <c:pt idx="2">
                        <c:v>0.28402673490843022</c:v>
                      </c:pt>
                      <c:pt idx="3">
                        <c:v>0.2744153491436101</c:v>
                      </c:pt>
                      <c:pt idx="4">
                        <c:v>0.128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6EA-4D68-B54B-96ACF45F88B3}"/>
                  </c:ext>
                </c:extLst>
              </c15:ser>
            </c15:filteredLineSeries>
          </c:ext>
        </c:extLst>
      </c:lineChart>
      <c:catAx>
        <c:axId val="20185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53167"/>
        <c:crosses val="autoZero"/>
        <c:auto val="1"/>
        <c:lblAlgn val="ctr"/>
        <c:lblOffset val="100"/>
        <c:noMultiLvlLbl val="0"/>
      </c:catAx>
      <c:valAx>
        <c:axId val="201853167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59407"/>
        <c:crosses val="autoZero"/>
        <c:crossBetween val="between"/>
      </c:valAx>
      <c:valAx>
        <c:axId val="951063055"/>
        <c:scaling>
          <c:orientation val="minMax"/>
          <c:max val="0.25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064015"/>
        <c:crosses val="max"/>
        <c:crossBetween val="between"/>
      </c:valAx>
      <c:catAx>
        <c:axId val="9510640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510630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6051824887908E-2"/>
          <c:y val="0.18043989919454165"/>
          <c:w val="0.84949021586560047"/>
          <c:h val="0.73336982992993327"/>
        </c:manualLayout>
      </c:layout>
      <c:barChart>
        <c:barDir val="col"/>
        <c:grouping val="stacked"/>
        <c:varyColors val="0"/>
        <c:ser>
          <c:idx val="0"/>
          <c:order val="1"/>
          <c:tx>
            <c:v>Global IT</c:v>
          </c:tx>
          <c:spPr>
            <a:solidFill>
              <a:schemeClr val="tx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(Revenue!$E$1:$H$1,Revenue!$BL$1)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9M25</c:v>
                </c:pt>
              </c:strCache>
            </c:strRef>
          </c:cat>
          <c:val>
            <c:numRef>
              <c:f>(Revenue!$E$12:$H$12,Revenue!$BL$12)</c:f>
              <c:numCache>
                <c:formatCode>_(* #,##0_);_(* \(#,##0\);_(* \-??_);_(@_)</c:formatCode>
                <c:ptCount val="5"/>
                <c:pt idx="0">
                  <c:v>14540.800999999999</c:v>
                </c:pt>
                <c:pt idx="1">
                  <c:v>18915.493999999999</c:v>
                </c:pt>
                <c:pt idx="2">
                  <c:v>24288</c:v>
                </c:pt>
                <c:pt idx="3">
                  <c:v>30953</c:v>
                </c:pt>
                <c:pt idx="4">
                  <c:v>25574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AA-43C9-9C9A-EAFF1E59D08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201859407"/>
        <c:axId val="201853167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v>Domestic IT</c:v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ormulaRef>
                          <c15:sqref>(Revenue!$E$1:$H$1,Revenue!$BL$1)</c15:sqref>
                        </c15:formulaRef>
                      </c:ext>
                    </c:extLst>
                    <c:strCache>
                      <c:ptCount val="5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  <c:pt idx="4">
                        <c:v>9M25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(Revenue!$E$13:$H$13,Revenue!$BL$13)</c15:sqref>
                        </c15:formulaRef>
                      </c:ext>
                    </c:extLst>
                    <c:numCache>
                      <c:formatCode>_(* #,##0_);_(* \(#,##0\);_(* \-??_);_(@_)</c:formatCode>
                      <c:ptCount val="5"/>
                      <c:pt idx="0">
                        <c:v>6331.4430000000002</c:v>
                      </c:pt>
                      <c:pt idx="1">
                        <c:v>6847.4080000000004</c:v>
                      </c:pt>
                      <c:pt idx="2">
                        <c:v>7161</c:v>
                      </c:pt>
                      <c:pt idx="3">
                        <c:v>8157</c:v>
                      </c:pt>
                      <c:pt idx="4">
                        <c:v>5376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49AA-43C9-9C9A-EAFF1E59D087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v>Global IT PBT margin</c:v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lt1"/>
              </a:solidFill>
              <a:ln w="12700" cap="flat" cmpd="sng" algn="ctr">
                <a:solidFill>
                  <a:schemeClr val="accent5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(Revenue!$E$1:$H$1,Revenue!$BL$1)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9M25</c:v>
                </c:pt>
              </c:strCache>
            </c:strRef>
          </c:cat>
          <c:val>
            <c:numRef>
              <c:f>(Revenue!$E$136:$H$136,Revenue!$BL$136)</c:f>
              <c:numCache>
                <c:formatCode>0.0%</c:formatCode>
                <c:ptCount val="5"/>
                <c:pt idx="0">
                  <c:v>0.16669453078960367</c:v>
                </c:pt>
                <c:pt idx="1">
                  <c:v>0.15736987889399029</c:v>
                </c:pt>
                <c:pt idx="2">
                  <c:v>0.15571475625823453</c:v>
                </c:pt>
                <c:pt idx="3">
                  <c:v>0.15410461021548799</c:v>
                </c:pt>
                <c:pt idx="4">
                  <c:v>0.15926331430358959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AA-43C9-9C9A-EAFF1E59D087}"/>
            </c:ext>
          </c:extLst>
        </c:ser>
        <c:ser>
          <c:idx val="4"/>
          <c:order val="4"/>
          <c:tx>
            <c:v>Global IT revenue growth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(Revenue!$E$1:$H$1,Revenue!$BL$1)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9M25</c:v>
                </c:pt>
              </c:strCache>
            </c:strRef>
          </c:cat>
          <c:val>
            <c:numRef>
              <c:f>(Revenue!$E$21:$H$21,Revenue!$BL$21)</c:f>
              <c:numCache>
                <c:formatCode>0.0%</c:formatCode>
                <c:ptCount val="5"/>
                <c:pt idx="0">
                  <c:v>0.21170716301146797</c:v>
                </c:pt>
                <c:pt idx="1">
                  <c:v>0.30085639711319878</c:v>
                </c:pt>
                <c:pt idx="2">
                  <c:v>0.28402673490843022</c:v>
                </c:pt>
                <c:pt idx="3">
                  <c:v>0.2744153491436101</c:v>
                </c:pt>
                <c:pt idx="4">
                  <c:v>0.128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AA-43C9-9C9A-EAFF1E59D08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1064015"/>
        <c:axId val="951063055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v>Domestic IT PBT margin</c:v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solidFill>
                      <a:schemeClr val="lt1"/>
                    </a:solidFill>
                    <a:ln w="12700" cap="flat" cmpd="sng" algn="ctr">
                      <a:solidFill>
                        <a:schemeClr val="accent2"/>
                      </a:solidFill>
                      <a:prstDash val="solid"/>
                      <a:miter lim="800000"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(Revenue!$E$1:$H$1,Revenue!$BL$1)</c15:sqref>
                        </c15:formulaRef>
                      </c:ext>
                    </c:extLst>
                    <c:strCache>
                      <c:ptCount val="5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  <c:pt idx="4">
                        <c:v>9M25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(Revenue!$E$137:$H$137,Revenue!$BL$137)</c15:sqref>
                        </c15:formulaRef>
                      </c:ext>
                    </c:extLst>
                    <c:numCache>
                      <c:formatCode>0.0%</c:formatCode>
                      <c:ptCount val="5"/>
                      <c:pt idx="0">
                        <c:v>5.1591872500471064E-2</c:v>
                      </c:pt>
                      <c:pt idx="1">
                        <c:v>5.6878164701154074E-2</c:v>
                      </c:pt>
                      <c:pt idx="2">
                        <c:v>5.306521435553694E-2</c:v>
                      </c:pt>
                      <c:pt idx="3">
                        <c:v>5.6393281843815125E-2</c:v>
                      </c:pt>
                      <c:pt idx="4">
                        <c:v>4.836309523809524E-2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49AA-43C9-9C9A-EAFF1E59D087}"/>
                  </c:ext>
                </c:extLst>
              </c15:ser>
            </c15:filteredLineSeries>
          </c:ext>
        </c:extLst>
      </c:lineChart>
      <c:catAx>
        <c:axId val="20185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201853167"/>
        <c:crosses val="autoZero"/>
        <c:auto val="1"/>
        <c:lblAlgn val="ctr"/>
        <c:lblOffset val="100"/>
        <c:noMultiLvlLbl val="0"/>
      </c:catAx>
      <c:valAx>
        <c:axId val="201853167"/>
        <c:scaling>
          <c:orientation val="minMax"/>
          <c:max val="30000"/>
          <c:min val="0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201859407"/>
        <c:crosses val="autoZero"/>
        <c:crossBetween val="between"/>
        <c:majorUnit val="10000"/>
      </c:valAx>
      <c:valAx>
        <c:axId val="951063055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951064015"/>
        <c:crosses val="max"/>
        <c:crossBetween val="between"/>
      </c:valAx>
      <c:catAx>
        <c:axId val="951064015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r>
                  <a:rPr lang="en-US" sz="1200" dirty="0"/>
                  <a:t>(VNDbn)</a:t>
                </a:r>
              </a:p>
            </c:rich>
          </c:tx>
          <c:layout>
            <c:manualLayout>
              <c:xMode val="edge"/>
              <c:yMode val="edge"/>
              <c:x val="1.0041525547654442E-3"/>
              <c:y val="9.772584321841169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" panose="020B0502040504020204" pitchFamily="34" charset="0"/>
                  <a:ea typeface="Noto Sans" panose="020B0502040504020204" pitchFamily="34" charset="0"/>
                  <a:cs typeface="Noto Sans" panose="020B0502040504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9510630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8.5068585860738413E-2"/>
          <c:y val="0"/>
          <c:w val="0.89243810297836135"/>
          <c:h val="0.11700513536520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6051824887908E-2"/>
          <c:y val="0.18043989919454165"/>
          <c:w val="0.84949021586560047"/>
          <c:h val="0.73336982992993327"/>
        </c:manualLayout>
      </c:layout>
      <c:barChart>
        <c:barDir val="col"/>
        <c:grouping val="stacked"/>
        <c:varyColors val="0"/>
        <c:ser>
          <c:idx val="1"/>
          <c:order val="0"/>
          <c:tx>
            <c:v>Domestic IT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(Revenue!$E$1:$H$1,Revenue!$BL$1)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9M25</c:v>
                </c:pt>
              </c:strCache>
            </c:strRef>
          </c:cat>
          <c:val>
            <c:numRef>
              <c:f>(Revenue!$E$13:$H$13,Revenue!$BL$13)</c:f>
              <c:numCache>
                <c:formatCode>_(* #,##0_);_(* \(#,##0\);_(* \-??_);_(@_)</c:formatCode>
                <c:ptCount val="5"/>
                <c:pt idx="0">
                  <c:v>6331.4430000000002</c:v>
                </c:pt>
                <c:pt idx="1">
                  <c:v>6847.4080000000004</c:v>
                </c:pt>
                <c:pt idx="2">
                  <c:v>7161</c:v>
                </c:pt>
                <c:pt idx="3">
                  <c:v>8157</c:v>
                </c:pt>
                <c:pt idx="4">
                  <c:v>5376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D9-4F28-920F-F7B5D3C7A1C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201859407"/>
        <c:axId val="201853167"/>
        <c:extLst>
          <c:ext xmlns:c15="http://schemas.microsoft.com/office/drawing/2012/chart" uri="{02D57815-91ED-43cb-92C2-25804820EDAC}">
            <c15:filteredBarSeries>
              <c15:ser>
                <c:idx val="0"/>
                <c:order val="1"/>
                <c:tx>
                  <c:v>Global IT</c:v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ormulaRef>
                          <c15:sqref>(Revenue!$E$1:$H$1,Revenue!$BL$1)</c15:sqref>
                        </c15:formulaRef>
                      </c:ext>
                    </c:extLst>
                    <c:strCache>
                      <c:ptCount val="5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  <c:pt idx="4">
                        <c:v>9M25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(Revenue!$E$12:$H$12,Revenue!$BL$12)</c15:sqref>
                        </c15:formulaRef>
                      </c:ext>
                    </c:extLst>
                    <c:numCache>
                      <c:formatCode>_(* #,##0_);_(* \(#,##0\);_(* \-??_);_(@_)</c:formatCode>
                      <c:ptCount val="5"/>
                      <c:pt idx="0">
                        <c:v>14540.800999999999</c:v>
                      </c:pt>
                      <c:pt idx="1">
                        <c:v>18915.493999999999</c:v>
                      </c:pt>
                      <c:pt idx="2">
                        <c:v>24288</c:v>
                      </c:pt>
                      <c:pt idx="3">
                        <c:v>30953</c:v>
                      </c:pt>
                      <c:pt idx="4">
                        <c:v>25574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43D9-4F28-920F-F7B5D3C7A1C2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v>Domestic IT PBT margin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lt1"/>
              </a:solidFill>
              <a:ln w="12700" cap="flat" cmpd="sng" algn="ctr">
                <a:solidFill>
                  <a:schemeClr val="accent2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(Revenue!$E$1:$H$1,Revenue!$BL$1)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9M25</c:v>
                </c:pt>
              </c:strCache>
            </c:strRef>
          </c:cat>
          <c:val>
            <c:numRef>
              <c:f>(Revenue!$E$137:$H$137,Revenue!$BL$137)</c:f>
              <c:numCache>
                <c:formatCode>0.0%</c:formatCode>
                <c:ptCount val="5"/>
                <c:pt idx="0">
                  <c:v>5.1591872500471064E-2</c:v>
                </c:pt>
                <c:pt idx="1">
                  <c:v>5.6878164701154074E-2</c:v>
                </c:pt>
                <c:pt idx="2">
                  <c:v>5.306521435553694E-2</c:v>
                </c:pt>
                <c:pt idx="3">
                  <c:v>5.6393281843815125E-2</c:v>
                </c:pt>
                <c:pt idx="4">
                  <c:v>4.836309523809524E-2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D9-4F28-920F-F7B5D3C7A1C2}"/>
            </c:ext>
          </c:extLst>
        </c:ser>
        <c:ser>
          <c:idx val="4"/>
          <c:order val="4"/>
          <c:tx>
            <c:v>Domestic IT revenue growth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(Revenue!$E$1:$H$1,Revenue!$BL$1)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9M25</c:v>
                </c:pt>
              </c:strCache>
            </c:strRef>
          </c:cat>
          <c:val>
            <c:numRef>
              <c:f>(Revenue!$E$22:$H$22,Revenue!$BL$22)</c:f>
              <c:numCache>
                <c:formatCode>0.0%</c:formatCode>
                <c:ptCount val="5"/>
                <c:pt idx="0">
                  <c:v>0.31776799748245055</c:v>
                </c:pt>
                <c:pt idx="1">
                  <c:v>8.1492481255852844E-2</c:v>
                </c:pt>
                <c:pt idx="2">
                  <c:v>4.5797183401368846E-2</c:v>
                </c:pt>
                <c:pt idx="3">
                  <c:v>0.13908671973188103</c:v>
                </c:pt>
                <c:pt idx="4">
                  <c:v>1.4999999999999999E-2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3D9-4F28-920F-F7B5D3C7A1C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1064015"/>
        <c:axId val="951063055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v>Global IT PBT margin</c:v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solidFill>
                      <a:schemeClr val="lt1"/>
                    </a:solidFill>
                    <a:ln w="12700" cap="flat" cmpd="sng" algn="ctr">
                      <a:solidFill>
                        <a:schemeClr val="accent5"/>
                      </a:solidFill>
                      <a:prstDash val="solid"/>
                      <a:miter lim="800000"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(Revenue!$E$1:$H$1,Revenue!$BL$1)</c15:sqref>
                        </c15:formulaRef>
                      </c:ext>
                    </c:extLst>
                    <c:strCache>
                      <c:ptCount val="5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  <c:pt idx="4">
                        <c:v>9M25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(Revenue!$E$136:$H$136,Revenue!$BL$136)</c15:sqref>
                        </c15:formulaRef>
                      </c:ext>
                    </c:extLst>
                    <c:numCache>
                      <c:formatCode>0.0%</c:formatCode>
                      <c:ptCount val="5"/>
                      <c:pt idx="0">
                        <c:v>0.16669453078960367</c:v>
                      </c:pt>
                      <c:pt idx="1">
                        <c:v>0.15736987889399029</c:v>
                      </c:pt>
                      <c:pt idx="2">
                        <c:v>0.15571475625823453</c:v>
                      </c:pt>
                      <c:pt idx="3">
                        <c:v>0.15410461021548799</c:v>
                      </c:pt>
                      <c:pt idx="4">
                        <c:v>0.15926331430358959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43D9-4F28-920F-F7B5D3C7A1C2}"/>
                  </c:ext>
                </c:extLst>
              </c15:ser>
            </c15:filteredLineSeries>
          </c:ext>
        </c:extLst>
      </c:lineChart>
      <c:catAx>
        <c:axId val="20185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201853167"/>
        <c:crosses val="autoZero"/>
        <c:auto val="1"/>
        <c:lblAlgn val="ctr"/>
        <c:lblOffset val="100"/>
        <c:noMultiLvlLbl val="0"/>
      </c:catAx>
      <c:valAx>
        <c:axId val="201853167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201859407"/>
        <c:crosses val="autoZero"/>
        <c:crossBetween val="between"/>
        <c:majorUnit val="10000"/>
      </c:valAx>
      <c:valAx>
        <c:axId val="951063055"/>
        <c:scaling>
          <c:orientation val="minMax"/>
          <c:max val="6.0000000000000012E-2"/>
          <c:min val="3.0000000000000006E-2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951064015"/>
        <c:crosses val="max"/>
        <c:crossBetween val="between"/>
        <c:majorUnit val="1.0000000000000002E-2"/>
      </c:valAx>
      <c:catAx>
        <c:axId val="951064015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r>
                  <a:rPr lang="en-US" sz="1200" dirty="0"/>
                  <a:t>(VNDbn)</a:t>
                </a:r>
              </a:p>
            </c:rich>
          </c:tx>
          <c:layout>
            <c:manualLayout>
              <c:xMode val="edge"/>
              <c:yMode val="edge"/>
              <c:x val="1.0041525547654442E-3"/>
              <c:y val="0.100150887394314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" panose="020B0502040504020204" pitchFamily="34" charset="0"/>
                  <a:ea typeface="Noto Sans" panose="020B0502040504020204" pitchFamily="34" charset="0"/>
                  <a:cs typeface="Noto Sans" panose="020B0502040504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9510630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5272855401297278"/>
          <c:y val="0"/>
          <c:w val="0.49150456810417614"/>
          <c:h val="0.177326486179730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9733688217450777E-2"/>
          <c:y val="8.912242265024195E-2"/>
          <c:w val="0.90557620309895337"/>
          <c:h val="0.70856781522231582"/>
        </c:manualLayout>
      </c:layout>
      <c:barChart>
        <c:barDir val="col"/>
        <c:grouping val="stacked"/>
        <c:varyColors val="0"/>
        <c:ser>
          <c:idx val="0"/>
          <c:order val="0"/>
          <c:tx>
            <c:v>CNTTnước ngoài</c:v>
          </c:tx>
          <c:spPr>
            <a:solidFill>
              <a:srgbClr val="13335E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D72279DA-31DE-4232-AC13-BCB4D05D0B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383E-472E-88F9-5B737D233D8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6E7F706-DEF2-4C81-AA28-CD938CE977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383E-472E-88F9-5B737D233D8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7FAD172-7250-49BF-B95F-13F1D3AA5B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383E-472E-88F9-5B737D233D8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A6DA605-BCF8-4512-9834-90E3A33918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5267-4F3D-883D-C2EFDDEFC96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A0CBDA2-C48C-4D84-BD47-0F5D6EE590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5267-4F3D-883D-C2EFDDEFC96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E2190CF-2A4F-45A2-B132-63C33DEBEC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5267-4F3D-883D-C2EFDDEFC96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E86C553-54F0-459B-99E6-388005ACDB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267-4F3D-883D-C2EFDDEFC9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bg1"/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Revenue!$AU$1:$BA$1</c:f>
              <c:strCache>
                <c:ptCount val="7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</c:strCache>
              <c:extLst/>
            </c:strRef>
          </c:cat>
          <c:val>
            <c:numRef>
              <c:f>Revenue!$AU$117:$BA$117</c:f>
              <c:numCache>
                <c:formatCode>_(* #,##0_);_(* \(#,##0\);_(* \-??_);_(@_)</c:formatCode>
                <c:ptCount val="7"/>
                <c:pt idx="0">
                  <c:v>1115</c:v>
                </c:pt>
                <c:pt idx="1">
                  <c:v>1179</c:v>
                </c:pt>
                <c:pt idx="2">
                  <c:v>1320</c:v>
                </c:pt>
                <c:pt idx="3">
                  <c:v>1156</c:v>
                </c:pt>
                <c:pt idx="4">
                  <c:v>1391</c:v>
                </c:pt>
                <c:pt idx="5">
                  <c:v>1290</c:v>
                </c:pt>
                <c:pt idx="6">
                  <c:v>1392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datalabelsRange>
                <c15:f>Revenue!$AM$126:$BA$126</c15:f>
                <c15:dlblRangeCache>
                  <c:ptCount val="15"/>
                  <c:pt idx="0">
                    <c:v>38%</c:v>
                  </c:pt>
                  <c:pt idx="1">
                    <c:v>38%</c:v>
                  </c:pt>
                  <c:pt idx="2">
                    <c:v>42%</c:v>
                  </c:pt>
                  <c:pt idx="3">
                    <c:v>39%</c:v>
                  </c:pt>
                  <c:pt idx="4">
                    <c:v>42%</c:v>
                  </c:pt>
                  <c:pt idx="5">
                    <c:v>43%</c:v>
                  </c:pt>
                  <c:pt idx="6">
                    <c:v>43%</c:v>
                  </c:pt>
                  <c:pt idx="7">
                    <c:v>37%</c:v>
                  </c:pt>
                  <c:pt idx="8">
                    <c:v>44%</c:v>
                  </c:pt>
                  <c:pt idx="9">
                    <c:v>44%</c:v>
                  </c:pt>
                  <c:pt idx="10">
                    <c:v>45%</c:v>
                  </c:pt>
                  <c:pt idx="11">
                    <c:v>39%</c:v>
                  </c:pt>
                  <c:pt idx="12">
                    <c:v>46%</c:v>
                  </c:pt>
                  <c:pt idx="13">
                    <c:v>41%</c:v>
                  </c:pt>
                  <c:pt idx="14">
                    <c:v>41%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383E-472E-88F9-5B737D233D81}"/>
            </c:ext>
          </c:extLst>
        </c:ser>
        <c:ser>
          <c:idx val="1"/>
          <c:order val="1"/>
          <c:tx>
            <c:v>CNTT trong nước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B4AF6D44-C25E-4E79-8959-6FB0E3BAD7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83E-472E-88F9-5B737D233D8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0192467-F276-454C-9DD7-2D601EBFD4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83E-472E-88F9-5B737D233D8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A54650B-9093-4C50-8D4A-1BE0A9CB49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83E-472E-88F9-5B737D233D8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DA8A927-2278-4D71-8988-82B51890DE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267-4F3D-883D-C2EFDDEFC96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B214956-3AD5-42CC-BBA4-FEC42B27BC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267-4F3D-883D-C2EFDDEFC96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2B07ADE-8FD7-4413-99A9-7C9F272434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267-4F3D-883D-C2EFDDEFC96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31A037B-BC18-4E51-9E8C-2009EEE06F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267-4F3D-883D-C2EFDDEFC9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Revenue!$AU$1:$BA$1</c:f>
              <c:strCache>
                <c:ptCount val="7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</c:strCache>
              <c:extLst/>
            </c:strRef>
          </c:cat>
          <c:val>
            <c:numRef>
              <c:f>Revenue!$AU$118:$BA$118</c:f>
              <c:numCache>
                <c:formatCode>_(* #,##0_);_(* \(#,##0\);_(* \-??_);_(@_)</c:formatCode>
                <c:ptCount val="7"/>
                <c:pt idx="0">
                  <c:v>41</c:v>
                </c:pt>
                <c:pt idx="1">
                  <c:v>116</c:v>
                </c:pt>
                <c:pt idx="2">
                  <c:v>40</c:v>
                </c:pt>
                <c:pt idx="3">
                  <c:v>263</c:v>
                </c:pt>
                <c:pt idx="4">
                  <c:v>24</c:v>
                </c:pt>
                <c:pt idx="5">
                  <c:v>130</c:v>
                </c:pt>
                <c:pt idx="6">
                  <c:v>106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datalabelsRange>
                <c15:f>Revenue!$AM$127:$BA$127</c15:f>
                <c15:dlblRangeCache>
                  <c:ptCount val="15"/>
                  <c:pt idx="0">
                    <c:v>5%</c:v>
                  </c:pt>
                  <c:pt idx="1">
                    <c:v>7%</c:v>
                  </c:pt>
                  <c:pt idx="2">
                    <c:v>8%</c:v>
                  </c:pt>
                  <c:pt idx="3">
                    <c:v>0%</c:v>
                  </c:pt>
                  <c:pt idx="4">
                    <c:v>1%</c:v>
                  </c:pt>
                  <c:pt idx="5">
                    <c:v>7%</c:v>
                  </c:pt>
                  <c:pt idx="6">
                    <c:v>3%</c:v>
                  </c:pt>
                  <c:pt idx="7">
                    <c:v>5%</c:v>
                  </c:pt>
                  <c:pt idx="8">
                    <c:v>2%</c:v>
                  </c:pt>
                  <c:pt idx="9">
                    <c:v>4%</c:v>
                  </c:pt>
                  <c:pt idx="10">
                    <c:v>1%</c:v>
                  </c:pt>
                  <c:pt idx="11">
                    <c:v>9%</c:v>
                  </c:pt>
                  <c:pt idx="12">
                    <c:v>1%</c:v>
                  </c:pt>
                  <c:pt idx="13">
                    <c:v>4%</c:v>
                  </c:pt>
                  <c:pt idx="14">
                    <c:v>3%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383E-472E-88F9-5B737D233D81}"/>
            </c:ext>
          </c:extLst>
        </c:ser>
        <c:ser>
          <c:idx val="2"/>
          <c:order val="2"/>
          <c:tx>
            <c:v>Viễn thông</c:v>
          </c:tx>
          <c:spPr>
            <a:solidFill>
              <a:srgbClr val="0087B7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80B24C54-8C97-4DC4-9D8F-B08ABF4A13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83E-472E-88F9-5B737D233D8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C400F5F-208F-4E46-834F-F789DD6B0D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383E-472E-88F9-5B737D233D8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71FDBAB-6A32-483C-BB04-0384C0535B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383E-472E-88F9-5B737D233D8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082DD52-06B9-4716-B850-62F328BB5F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267-4F3D-883D-C2EFDDEFC96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6BA0B89-93C1-416C-9F30-73BC410EF6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5267-4F3D-883D-C2EFDDEFC96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A330A6D-BD0F-4146-A76F-C22F08734C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267-4F3D-883D-C2EFDDEFC96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D8B59D3-8641-4D6D-8BE7-EA08C23CFD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5267-4F3D-883D-C2EFDDEFC9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Revenue!$AU$1:$BA$1</c:f>
              <c:strCache>
                <c:ptCount val="7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</c:strCache>
              <c:extLst/>
            </c:strRef>
          </c:cat>
          <c:val>
            <c:numRef>
              <c:f>Revenue!$AU$120:$BA$120</c:f>
              <c:numCache>
                <c:formatCode>_(* #,##0_);_(* \(#,##0\);_(* \-??_);_(@_)</c:formatCode>
                <c:ptCount val="7"/>
                <c:pt idx="0">
                  <c:v>805</c:v>
                </c:pt>
                <c:pt idx="1">
                  <c:v>892</c:v>
                </c:pt>
                <c:pt idx="2">
                  <c:v>850</c:v>
                </c:pt>
                <c:pt idx="3">
                  <c:v>873</c:v>
                </c:pt>
                <c:pt idx="4">
                  <c:v>943</c:v>
                </c:pt>
                <c:pt idx="5">
                  <c:v>1074</c:v>
                </c:pt>
                <c:pt idx="6">
                  <c:v>1074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datalabelsRange>
                <c15:f>Revenue!$AM$129:$BA$129</c15:f>
                <c15:dlblRangeCache>
                  <c:ptCount val="15"/>
                  <c:pt idx="0">
                    <c:v>36%</c:v>
                  </c:pt>
                  <c:pt idx="1">
                    <c:v>35%</c:v>
                  </c:pt>
                  <c:pt idx="2">
                    <c:v>32%</c:v>
                  </c:pt>
                  <c:pt idx="3">
                    <c:v>29%</c:v>
                  </c:pt>
                  <c:pt idx="4">
                    <c:v>34%</c:v>
                  </c:pt>
                  <c:pt idx="5">
                    <c:v>34%</c:v>
                  </c:pt>
                  <c:pt idx="6">
                    <c:v>31%</c:v>
                  </c:pt>
                  <c:pt idx="7">
                    <c:v>28%</c:v>
                  </c:pt>
                  <c:pt idx="8">
                    <c:v>32%</c:v>
                  </c:pt>
                  <c:pt idx="9">
                    <c:v>33%</c:v>
                  </c:pt>
                  <c:pt idx="10">
                    <c:v>29%</c:v>
                  </c:pt>
                  <c:pt idx="11">
                    <c:v>29%</c:v>
                  </c:pt>
                  <c:pt idx="12">
                    <c:v>31%</c:v>
                  </c:pt>
                  <c:pt idx="13">
                    <c:v>34%</c:v>
                  </c:pt>
                  <c:pt idx="14">
                    <c:v>32%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7-383E-472E-88F9-5B737D233D81}"/>
            </c:ext>
          </c:extLst>
        </c:ser>
        <c:ser>
          <c:idx val="3"/>
          <c:order val="3"/>
          <c:tx>
            <c:v>Quảng cáo online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78AA8561-9738-4CE3-941C-CF4FE316F1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383E-472E-88F9-5B737D233D8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B106279-7132-4B52-A6EC-56AB65A8DB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383E-472E-88F9-5B737D233D8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9815FF0-AE72-46FE-B0FA-2F5E5EE954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383E-472E-88F9-5B737D233D8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8752682-599E-4573-BBA5-31D56C753F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5267-4F3D-883D-C2EFDDEFC96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FFD15C4-2C41-4007-8689-E0A6EE1985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5267-4F3D-883D-C2EFDDEFC96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A259B49-7177-4CD9-8348-9A72FB9258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5267-4F3D-883D-C2EFDDEFC96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5C2994D-9DE0-4DFD-A5F4-B917D19251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5267-4F3D-883D-C2EFDDEFC9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Revenue!$AU$1:$BA$1</c:f>
              <c:strCache>
                <c:ptCount val="7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</c:strCache>
              <c:extLst/>
            </c:strRef>
          </c:cat>
          <c:val>
            <c:numRef>
              <c:f>Revenue!$AU$121:$BA$121</c:f>
              <c:numCache>
                <c:formatCode>_(* #,##0_);_(* \(#,##0\);_(* \-??_);_(@_)</c:formatCode>
                <c:ptCount val="7"/>
                <c:pt idx="0">
                  <c:v>20</c:v>
                </c:pt>
                <c:pt idx="1">
                  <c:v>42</c:v>
                </c:pt>
                <c:pt idx="2">
                  <c:v>57</c:v>
                </c:pt>
                <c:pt idx="3">
                  <c:v>48</c:v>
                </c:pt>
                <c:pt idx="4">
                  <c:v>23</c:v>
                </c:pt>
                <c:pt idx="5">
                  <c:v>56</c:v>
                </c:pt>
                <c:pt idx="6">
                  <c:v>58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datalabelsRange>
                <c15:f>Revenue!$AM$130:$BA$130</c15:f>
                <c15:dlblRangeCache>
                  <c:ptCount val="15"/>
                  <c:pt idx="0">
                    <c:v>4%</c:v>
                  </c:pt>
                  <c:pt idx="1">
                    <c:v>5%</c:v>
                  </c:pt>
                  <c:pt idx="2">
                    <c:v>4%</c:v>
                  </c:pt>
                  <c:pt idx="3">
                    <c:v>3%</c:v>
                  </c:pt>
                  <c:pt idx="4">
                    <c:v>0%</c:v>
                  </c:pt>
                  <c:pt idx="5">
                    <c:v>2%</c:v>
                  </c:pt>
                  <c:pt idx="6">
                    <c:v>2%</c:v>
                  </c:pt>
                  <c:pt idx="7">
                    <c:v>2%</c:v>
                  </c:pt>
                  <c:pt idx="8">
                    <c:v>1%</c:v>
                  </c:pt>
                  <c:pt idx="9">
                    <c:v>2%</c:v>
                  </c:pt>
                  <c:pt idx="10">
                    <c:v>2%</c:v>
                  </c:pt>
                  <c:pt idx="11">
                    <c:v>2%</c:v>
                  </c:pt>
                  <c:pt idx="12">
                    <c:v>1%</c:v>
                  </c:pt>
                  <c:pt idx="13">
                    <c:v>2%</c:v>
                  </c:pt>
                  <c:pt idx="14">
                    <c:v>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F-383E-472E-88F9-5B737D233D81}"/>
            </c:ext>
          </c:extLst>
        </c:ser>
        <c:ser>
          <c:idx val="4"/>
          <c:order val="4"/>
          <c:tx>
            <c:v>Giáo dục &amp; khác</c:v>
          </c:tx>
          <c:spPr>
            <a:solidFill>
              <a:srgbClr val="8DC8E8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186FDE0B-1EAD-4A6E-8689-3520E36F25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383E-472E-88F9-5B737D233D8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876C246-5C76-4E02-9D4A-70921FAA29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383E-472E-88F9-5B737D233D8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C42FB44-E7F2-4D13-A549-27EF941E8B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383E-472E-88F9-5B737D233D8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23BD16D-C4F2-4AB0-825E-7A636A33B3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5267-4F3D-883D-C2EFDDEFC96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2669724-8FE3-47B4-822C-237B08BA27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5267-4F3D-883D-C2EFDDEFC96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F7C0C99-1207-42DA-BBC4-192E7F37A7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5267-4F3D-883D-C2EFDDEFC96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662ACD7-F209-4B3B-98B9-10C51F8638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5267-4F3D-883D-C2EFDDEFC9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Revenue!$AU$1:$BA$1</c:f>
              <c:strCache>
                <c:ptCount val="7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</c:strCache>
              <c:extLst/>
            </c:strRef>
          </c:cat>
          <c:val>
            <c:numRef>
              <c:f>Revenue!$AU$122:$BA$122</c:f>
              <c:numCache>
                <c:formatCode>_(* #,##0_);_(* \(#,##0\);_(* \-??_);_(@_)</c:formatCode>
                <c:ptCount val="7"/>
                <c:pt idx="0">
                  <c:v>553</c:v>
                </c:pt>
                <c:pt idx="1">
                  <c:v>434</c:v>
                </c:pt>
                <c:pt idx="2">
                  <c:v>646</c:v>
                </c:pt>
                <c:pt idx="3">
                  <c:v>621</c:v>
                </c:pt>
                <c:pt idx="4">
                  <c:v>642</c:v>
                </c:pt>
                <c:pt idx="5">
                  <c:v>594</c:v>
                </c:pt>
                <c:pt idx="6">
                  <c:v>743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datalabelsRange>
                <c15:f>Revenue!$AM$131:$BA$131</c15:f>
                <c15:dlblRangeCache>
                  <c:ptCount val="15"/>
                  <c:pt idx="0">
                    <c:v>18%</c:v>
                  </c:pt>
                  <c:pt idx="1">
                    <c:v>15%</c:v>
                  </c:pt>
                  <c:pt idx="2">
                    <c:v>15%</c:v>
                  </c:pt>
                  <c:pt idx="3">
                    <c:v>28%</c:v>
                  </c:pt>
                  <c:pt idx="4">
                    <c:v>23%</c:v>
                  </c:pt>
                  <c:pt idx="5">
                    <c:v>15%</c:v>
                  </c:pt>
                  <c:pt idx="6">
                    <c:v>21%</c:v>
                  </c:pt>
                  <c:pt idx="7">
                    <c:v>27%</c:v>
                  </c:pt>
                  <c:pt idx="8">
                    <c:v>22%</c:v>
                  </c:pt>
                  <c:pt idx="9">
                    <c:v>16%</c:v>
                  </c:pt>
                  <c:pt idx="10">
                    <c:v>22%</c:v>
                  </c:pt>
                  <c:pt idx="11">
                    <c:v>21%</c:v>
                  </c:pt>
                  <c:pt idx="12">
                    <c:v>21%</c:v>
                  </c:pt>
                  <c:pt idx="13">
                    <c:v>19%</c:v>
                  </c:pt>
                  <c:pt idx="14">
                    <c:v>22%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7-383E-472E-88F9-5B737D233D8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613212671"/>
        <c:axId val="1613214111"/>
      </c:barChart>
      <c:catAx>
        <c:axId val="1613212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r>
                  <a:rPr lang="en-US"/>
                  <a:t>(VNDbn)</a:t>
                </a:r>
              </a:p>
            </c:rich>
          </c:tx>
          <c:layout>
            <c:manualLayout>
              <c:xMode val="edge"/>
              <c:yMode val="edge"/>
              <c:x val="4.8677373681683652E-4"/>
              <c:y val="8.4208109428031142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" panose="020B0502040504020204" pitchFamily="34" charset="0"/>
                  <a:ea typeface="Noto Sans" panose="020B0502040504020204" pitchFamily="34" charset="0"/>
                  <a:cs typeface="Noto Sans" panose="020B0502040504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613214111"/>
        <c:crosses val="autoZero"/>
        <c:auto val="1"/>
        <c:lblAlgn val="ctr"/>
        <c:lblOffset val="100"/>
        <c:noMultiLvlLbl val="0"/>
      </c:catAx>
      <c:valAx>
        <c:axId val="1613214111"/>
        <c:scaling>
          <c:orientation val="minMax"/>
          <c:max val="3500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613212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6355560624431884E-2"/>
          <c:y val="0.88263983693944836"/>
          <c:w val="0.88257892989470199"/>
          <c:h val="8.87869109164624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9733688217450777E-2"/>
          <c:y val="8.912242265024195E-2"/>
          <c:w val="0.90557620309895337"/>
          <c:h val="0.70856781522231582"/>
        </c:manualLayout>
      </c:layout>
      <c:barChart>
        <c:barDir val="col"/>
        <c:grouping val="stacked"/>
        <c:varyColors val="0"/>
        <c:ser>
          <c:idx val="0"/>
          <c:order val="0"/>
          <c:tx>
            <c:v>Global IT</c:v>
          </c:tx>
          <c:spPr>
            <a:solidFill>
              <a:srgbClr val="13335E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F1365D17-05D7-473F-8299-DD9932C8DC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2C7D-4EB5-968F-470F93DFCB6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8BE5A68-CD0B-4C9F-9E44-880BFD60D0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2C7D-4EB5-968F-470F93DFCB6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DC226FB-BD0B-4D0D-8C4D-22050A5531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2C7D-4EB5-968F-470F93DFCB6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B89AF7B-0BFB-45F1-8920-4EE29822C4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229A-49E7-A2CC-82678D90C92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BE3BCB3-7AAB-4A23-A04F-9A554A09F5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229A-49E7-A2CC-82678D90C92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544F0C2-E266-4410-ADAE-2B5146E91D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229A-49E7-A2CC-82678D90C92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4D0EE0E-9D35-42C0-B498-17A564526D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229A-49E7-A2CC-82678D90C92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4E2DC0C-90FB-4B82-99F8-F3AA7C694B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229A-49E7-A2CC-82678D90C92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F205271-ECC3-4D46-A6E5-D656088294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29A-49E7-A2CC-82678D90C92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38BB52B-A07D-4602-B723-308F2D46C0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229A-49E7-A2CC-82678D90C92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DEEEEABC-F0F4-4B01-8630-1738589C73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229A-49E7-A2CC-82678D90C92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A72DDB2-AA5C-4662-B641-87566BA1A6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229A-49E7-A2CC-82678D90C92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772FD6C-F471-45E2-A9B4-39BC686B9D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229A-49E7-A2CC-82678D90C92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15CAB57-A5B5-4CCB-8DA9-F20FED581D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29A-49E7-A2CC-82678D90C92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2DE7970-2EF5-488B-A991-0F162E542F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229A-49E7-A2CC-82678D90C9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bg1"/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Revenue!$AM$1:$BA$1</c:f>
              <c:strCache>
                <c:ptCount val="15"/>
                <c:pt idx="0">
                  <c:v>1Q22</c:v>
                </c:pt>
                <c:pt idx="1">
                  <c:v>2Q22</c:v>
                </c:pt>
                <c:pt idx="2">
                  <c:v>3Q22</c:v>
                </c:pt>
                <c:pt idx="3">
                  <c:v>4Q22</c:v>
                </c:pt>
                <c:pt idx="4">
                  <c:v>1Q23</c:v>
                </c:pt>
                <c:pt idx="5">
                  <c:v>2Q23</c:v>
                </c:pt>
                <c:pt idx="6">
                  <c:v>3Q23</c:v>
                </c:pt>
                <c:pt idx="7">
                  <c:v>4Q23</c:v>
                </c:pt>
                <c:pt idx="8">
                  <c:v>1Q24</c:v>
                </c:pt>
                <c:pt idx="9">
                  <c:v>2Q24</c:v>
                </c:pt>
                <c:pt idx="10">
                  <c:v>3Q24</c:v>
                </c:pt>
                <c:pt idx="11">
                  <c:v>4Q24</c:v>
                </c:pt>
                <c:pt idx="12">
                  <c:v>1Q25</c:v>
                </c:pt>
                <c:pt idx="13">
                  <c:v>2Q25</c:v>
                </c:pt>
                <c:pt idx="14">
                  <c:v>3Q25</c:v>
                </c:pt>
              </c:strCache>
              <c:extLst/>
            </c:strRef>
          </c:cat>
          <c:val>
            <c:numRef>
              <c:f>Revenue!$AM$117:$BA$117</c:f>
              <c:numCache>
                <c:formatCode>_(* #,##0_);_(* \(#,##0\);_(* \-??_);_(@_)</c:formatCode>
                <c:ptCount val="15"/>
                <c:pt idx="0">
                  <c:v>667.28800000000001</c:v>
                </c:pt>
                <c:pt idx="1">
                  <c:v>699.58199999999988</c:v>
                </c:pt>
                <c:pt idx="2">
                  <c:v>852.55000000000018</c:v>
                </c:pt>
                <c:pt idx="3">
                  <c:v>771.98299999999972</c:v>
                </c:pt>
                <c:pt idx="4">
                  <c:v>888.34100000000001</c:v>
                </c:pt>
                <c:pt idx="5">
                  <c:v>945.65899999999999</c:v>
                </c:pt>
                <c:pt idx="6">
                  <c:v>1044</c:v>
                </c:pt>
                <c:pt idx="7">
                  <c:v>903.99999999999989</c:v>
                </c:pt>
                <c:pt idx="8">
                  <c:v>1115</c:v>
                </c:pt>
                <c:pt idx="9">
                  <c:v>1179</c:v>
                </c:pt>
                <c:pt idx="10">
                  <c:v>1320</c:v>
                </c:pt>
                <c:pt idx="11">
                  <c:v>1156</c:v>
                </c:pt>
                <c:pt idx="12">
                  <c:v>1391</c:v>
                </c:pt>
                <c:pt idx="13">
                  <c:v>1290</c:v>
                </c:pt>
                <c:pt idx="14">
                  <c:v>1392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datalabelsRange>
                <c15:f>Revenue!$AM$126:$BA$126</c15:f>
                <c15:dlblRangeCache>
                  <c:ptCount val="15"/>
                  <c:pt idx="0">
                    <c:v>38%</c:v>
                  </c:pt>
                  <c:pt idx="1">
                    <c:v>38%</c:v>
                  </c:pt>
                  <c:pt idx="2">
                    <c:v>42%</c:v>
                  </c:pt>
                  <c:pt idx="3">
                    <c:v>39%</c:v>
                  </c:pt>
                  <c:pt idx="4">
                    <c:v>42%</c:v>
                  </c:pt>
                  <c:pt idx="5">
                    <c:v>43%</c:v>
                  </c:pt>
                  <c:pt idx="6">
                    <c:v>43%</c:v>
                  </c:pt>
                  <c:pt idx="7">
                    <c:v>37%</c:v>
                  </c:pt>
                  <c:pt idx="8">
                    <c:v>44%</c:v>
                  </c:pt>
                  <c:pt idx="9">
                    <c:v>44%</c:v>
                  </c:pt>
                  <c:pt idx="10">
                    <c:v>45%</c:v>
                  </c:pt>
                  <c:pt idx="11">
                    <c:v>39%</c:v>
                  </c:pt>
                  <c:pt idx="12">
                    <c:v>46%</c:v>
                  </c:pt>
                  <c:pt idx="13">
                    <c:v>41%</c:v>
                  </c:pt>
                  <c:pt idx="14">
                    <c:v>41%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2C7D-4EB5-968F-470F93DFCB62}"/>
            </c:ext>
          </c:extLst>
        </c:ser>
        <c:ser>
          <c:idx val="1"/>
          <c:order val="1"/>
          <c:tx>
            <c:v>Domestic IT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8B2D8582-55F7-4635-BF2C-B30BC41FAA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2C7D-4EB5-968F-470F93DFCB6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D35A8FD-9171-41D6-951E-5B8F27C231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2C7D-4EB5-968F-470F93DFCB6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0343778-5929-4962-BD5B-97211D8B5D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C7D-4EB5-968F-470F93DFCB6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95C16D6-EEE1-43B0-A217-BF334AF8E9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229A-49E7-A2CC-82678D90C92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9CBDA55-E3DE-4244-9B7E-2E80D9EA3F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229A-49E7-A2CC-82678D90C92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C843D90-C500-4849-903E-1AAD238EDB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229A-49E7-A2CC-82678D90C92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8FC22F7-97F7-459B-8E4F-7EE582AC9B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229A-49E7-A2CC-82678D90C92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EF6D310-DF84-4EA8-9EEF-4245E68F99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229A-49E7-A2CC-82678D90C92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7C054B1-0372-4C17-AF1A-6A4412661C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229A-49E7-A2CC-82678D90C92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BC84CC1-86E1-4BB7-8BE3-37AFE3C123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229A-49E7-A2CC-82678D90C92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496784F-5E62-463E-B27F-238F898DEB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229A-49E7-A2CC-82678D90C92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8A49550-632F-494F-86F1-E1117B6D37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229A-49E7-A2CC-82678D90C92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D1040599-C5F1-469F-8481-50B788E618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229A-49E7-A2CC-82678D90C92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2D31A79-45D6-4924-85EA-3F0EC213AF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229A-49E7-A2CC-82678D90C92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6446F037-2F85-4920-8044-3E9FCF3B84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229A-49E7-A2CC-82678D90C9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Revenue!$AM$1:$BA$1</c:f>
              <c:strCache>
                <c:ptCount val="15"/>
                <c:pt idx="0">
                  <c:v>1Q22</c:v>
                </c:pt>
                <c:pt idx="1">
                  <c:v>2Q22</c:v>
                </c:pt>
                <c:pt idx="2">
                  <c:v>3Q22</c:v>
                </c:pt>
                <c:pt idx="3">
                  <c:v>4Q22</c:v>
                </c:pt>
                <c:pt idx="4">
                  <c:v>1Q23</c:v>
                </c:pt>
                <c:pt idx="5">
                  <c:v>2Q23</c:v>
                </c:pt>
                <c:pt idx="6">
                  <c:v>3Q23</c:v>
                </c:pt>
                <c:pt idx="7">
                  <c:v>4Q23</c:v>
                </c:pt>
                <c:pt idx="8">
                  <c:v>1Q24</c:v>
                </c:pt>
                <c:pt idx="9">
                  <c:v>2Q24</c:v>
                </c:pt>
                <c:pt idx="10">
                  <c:v>3Q24</c:v>
                </c:pt>
                <c:pt idx="11">
                  <c:v>4Q24</c:v>
                </c:pt>
                <c:pt idx="12">
                  <c:v>1Q25</c:v>
                </c:pt>
                <c:pt idx="13">
                  <c:v>2Q25</c:v>
                </c:pt>
                <c:pt idx="14">
                  <c:v>3Q25</c:v>
                </c:pt>
              </c:strCache>
              <c:extLst/>
            </c:strRef>
          </c:cat>
          <c:val>
            <c:numRef>
              <c:f>Revenue!$AM$118:$BA$118</c:f>
              <c:numCache>
                <c:formatCode>_(* #,##0_);_(* \(#,##0\);_(* \-??_);_(@_)</c:formatCode>
                <c:ptCount val="15"/>
                <c:pt idx="0">
                  <c:v>90.992000000000004</c:v>
                </c:pt>
                <c:pt idx="1">
                  <c:v>134.49900000000002</c:v>
                </c:pt>
                <c:pt idx="2">
                  <c:v>154.17499999999995</c:v>
                </c:pt>
                <c:pt idx="3">
                  <c:v>3.0110000000000241</c:v>
                </c:pt>
                <c:pt idx="4">
                  <c:v>17.224</c:v>
                </c:pt>
                <c:pt idx="5">
                  <c:v>153.77600000000001</c:v>
                </c:pt>
                <c:pt idx="6">
                  <c:v>78.999999999999986</c:v>
                </c:pt>
                <c:pt idx="7">
                  <c:v>129</c:v>
                </c:pt>
                <c:pt idx="8">
                  <c:v>41</c:v>
                </c:pt>
                <c:pt idx="9">
                  <c:v>116</c:v>
                </c:pt>
                <c:pt idx="10">
                  <c:v>40</c:v>
                </c:pt>
                <c:pt idx="11">
                  <c:v>263</c:v>
                </c:pt>
                <c:pt idx="12">
                  <c:v>24</c:v>
                </c:pt>
                <c:pt idx="13">
                  <c:v>130</c:v>
                </c:pt>
                <c:pt idx="14">
                  <c:v>106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datalabelsRange>
                <c15:f>Revenue!$AM$127:$BA$127</c15:f>
                <c15:dlblRangeCache>
                  <c:ptCount val="15"/>
                  <c:pt idx="0">
                    <c:v>5%</c:v>
                  </c:pt>
                  <c:pt idx="1">
                    <c:v>7%</c:v>
                  </c:pt>
                  <c:pt idx="2">
                    <c:v>8%</c:v>
                  </c:pt>
                  <c:pt idx="3">
                    <c:v>0%</c:v>
                  </c:pt>
                  <c:pt idx="4">
                    <c:v>1%</c:v>
                  </c:pt>
                  <c:pt idx="5">
                    <c:v>7%</c:v>
                  </c:pt>
                  <c:pt idx="6">
                    <c:v>3%</c:v>
                  </c:pt>
                  <c:pt idx="7">
                    <c:v>5%</c:v>
                  </c:pt>
                  <c:pt idx="8">
                    <c:v>2%</c:v>
                  </c:pt>
                  <c:pt idx="9">
                    <c:v>4%</c:v>
                  </c:pt>
                  <c:pt idx="10">
                    <c:v>1%</c:v>
                  </c:pt>
                  <c:pt idx="11">
                    <c:v>9%</c:v>
                  </c:pt>
                  <c:pt idx="12">
                    <c:v>1%</c:v>
                  </c:pt>
                  <c:pt idx="13">
                    <c:v>4%</c:v>
                  </c:pt>
                  <c:pt idx="14">
                    <c:v>3%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2C7D-4EB5-968F-470F93DFCB62}"/>
            </c:ext>
          </c:extLst>
        </c:ser>
        <c:ser>
          <c:idx val="2"/>
          <c:order val="2"/>
          <c:tx>
            <c:v>Telecom</c:v>
          </c:tx>
          <c:spPr>
            <a:solidFill>
              <a:srgbClr val="0087B7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48BE77AE-1919-4930-BA4C-C6320EA754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2C7D-4EB5-968F-470F93DFCB6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B751F5F-442C-4169-B3BD-4210E83218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2C7D-4EB5-968F-470F93DFCB6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457FA79-74DC-4C01-9A79-547FE3E25E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2C7D-4EB5-968F-470F93DFCB6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1F7587B-D441-47F4-AED1-4F61BAB535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229A-49E7-A2CC-82678D90C92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4920E4C-5C6B-4DB7-9713-37E40E9DBD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229A-49E7-A2CC-82678D90C92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B7DBC24-F33B-40E6-8730-5DE70D3DC2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229A-49E7-A2CC-82678D90C92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6F2B71D-5786-4260-8F0D-E23A4D95B8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229A-49E7-A2CC-82678D90C92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1031B5E-85DD-4F52-9B40-89870BFE9D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229A-49E7-A2CC-82678D90C92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C772C6A-9312-4DE1-BC2A-7F972D6373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229A-49E7-A2CC-82678D90C92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CB43758-D0B0-4330-B21F-8A0DEB0CE7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229A-49E7-A2CC-82678D90C92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47FBD84-4D1B-4F4D-90CD-59D9DC93C7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229A-49E7-A2CC-82678D90C92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5763289-ADA1-4879-8F92-4603FA1837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229A-49E7-A2CC-82678D90C92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172D61A3-4F1E-437F-BE41-7DB07F7A6D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229A-49E7-A2CC-82678D90C92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00654EA9-4230-42F7-896A-1EBB027773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229A-49E7-A2CC-82678D90C92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B13ACE81-95F5-4A21-89A6-FF2C63FBA3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229A-49E7-A2CC-82678D90C9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Revenue!$AM$1:$BA$1</c:f>
              <c:strCache>
                <c:ptCount val="15"/>
                <c:pt idx="0">
                  <c:v>1Q22</c:v>
                </c:pt>
                <c:pt idx="1">
                  <c:v>2Q22</c:v>
                </c:pt>
                <c:pt idx="2">
                  <c:v>3Q22</c:v>
                </c:pt>
                <c:pt idx="3">
                  <c:v>4Q22</c:v>
                </c:pt>
                <c:pt idx="4">
                  <c:v>1Q23</c:v>
                </c:pt>
                <c:pt idx="5">
                  <c:v>2Q23</c:v>
                </c:pt>
                <c:pt idx="6">
                  <c:v>3Q23</c:v>
                </c:pt>
                <c:pt idx="7">
                  <c:v>4Q23</c:v>
                </c:pt>
                <c:pt idx="8">
                  <c:v>1Q24</c:v>
                </c:pt>
                <c:pt idx="9">
                  <c:v>2Q24</c:v>
                </c:pt>
                <c:pt idx="10">
                  <c:v>3Q24</c:v>
                </c:pt>
                <c:pt idx="11">
                  <c:v>4Q24</c:v>
                </c:pt>
                <c:pt idx="12">
                  <c:v>1Q25</c:v>
                </c:pt>
                <c:pt idx="13">
                  <c:v>2Q25</c:v>
                </c:pt>
                <c:pt idx="14">
                  <c:v>3Q25</c:v>
                </c:pt>
              </c:strCache>
              <c:extLst/>
            </c:strRef>
          </c:cat>
          <c:val>
            <c:numRef>
              <c:f>Revenue!$AM$120:$BA$120</c:f>
              <c:numCache>
                <c:formatCode>_(* #,##0_);_(* \(#,##0\);_(* \-??_);_(@_)</c:formatCode>
                <c:ptCount val="15"/>
                <c:pt idx="0">
                  <c:v>632.91999999999996</c:v>
                </c:pt>
                <c:pt idx="1">
                  <c:v>655.33100000000002</c:v>
                </c:pt>
                <c:pt idx="2">
                  <c:v>639.85400000000004</c:v>
                </c:pt>
                <c:pt idx="3">
                  <c:v>580.23199999999997</c:v>
                </c:pt>
                <c:pt idx="4">
                  <c:v>723.01599999999996</c:v>
                </c:pt>
                <c:pt idx="5">
                  <c:v>751.98400000000004</c:v>
                </c:pt>
                <c:pt idx="6">
                  <c:v>742.00000000000011</c:v>
                </c:pt>
                <c:pt idx="7">
                  <c:v>677.99999999999989</c:v>
                </c:pt>
                <c:pt idx="8">
                  <c:v>805</c:v>
                </c:pt>
                <c:pt idx="9">
                  <c:v>892</c:v>
                </c:pt>
                <c:pt idx="10">
                  <c:v>850</c:v>
                </c:pt>
                <c:pt idx="11">
                  <c:v>873</c:v>
                </c:pt>
                <c:pt idx="12">
                  <c:v>943</c:v>
                </c:pt>
                <c:pt idx="13">
                  <c:v>1074</c:v>
                </c:pt>
                <c:pt idx="14">
                  <c:v>1074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datalabelsRange>
                <c15:f>Revenue!$AM$129:$BA$129</c15:f>
                <c15:dlblRangeCache>
                  <c:ptCount val="15"/>
                  <c:pt idx="0">
                    <c:v>36%</c:v>
                  </c:pt>
                  <c:pt idx="1">
                    <c:v>35%</c:v>
                  </c:pt>
                  <c:pt idx="2">
                    <c:v>32%</c:v>
                  </c:pt>
                  <c:pt idx="3">
                    <c:v>29%</c:v>
                  </c:pt>
                  <c:pt idx="4">
                    <c:v>34%</c:v>
                  </c:pt>
                  <c:pt idx="5">
                    <c:v>34%</c:v>
                  </c:pt>
                  <c:pt idx="6">
                    <c:v>31%</c:v>
                  </c:pt>
                  <c:pt idx="7">
                    <c:v>28%</c:v>
                  </c:pt>
                  <c:pt idx="8">
                    <c:v>32%</c:v>
                  </c:pt>
                  <c:pt idx="9">
                    <c:v>33%</c:v>
                  </c:pt>
                  <c:pt idx="10">
                    <c:v>29%</c:v>
                  </c:pt>
                  <c:pt idx="11">
                    <c:v>29%</c:v>
                  </c:pt>
                  <c:pt idx="12">
                    <c:v>31%</c:v>
                  </c:pt>
                  <c:pt idx="13">
                    <c:v>34%</c:v>
                  </c:pt>
                  <c:pt idx="14">
                    <c:v>32%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7-2C7D-4EB5-968F-470F93DFCB62}"/>
            </c:ext>
          </c:extLst>
        </c:ser>
        <c:ser>
          <c:idx val="3"/>
          <c:order val="3"/>
          <c:tx>
            <c:v>Online Media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914AEEFE-6FB7-4850-8D61-5EF9616E68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2C7D-4EB5-968F-470F93DFCB6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5B15BA6-2A77-4C52-B485-02B4F52036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2C7D-4EB5-968F-470F93DFCB6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D6901DA-987D-49D9-8050-CA82F7B207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2C7D-4EB5-968F-470F93DFCB6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B55F0CB-F1DB-460E-8050-EF03FEA3A6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229A-49E7-A2CC-82678D90C92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3F0CE2B-9344-4036-AAAB-11D73752CC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229A-49E7-A2CC-82678D90C92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5C06695-9043-4AC7-BF10-867EB0B309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229A-49E7-A2CC-82678D90C92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CB00B0D-2999-45B6-B876-0D2A7784FD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229A-49E7-A2CC-82678D90C92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A6FB405-353B-48B7-85CE-896A05BBC6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229A-49E7-A2CC-82678D90C92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F1FD512-F2B0-4EE6-B692-5FC6BEA047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229A-49E7-A2CC-82678D90C92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202988D-F0F4-4823-9A85-70FA221168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229A-49E7-A2CC-82678D90C92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96C9043-3649-42D0-A3E0-67606E74AA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229A-49E7-A2CC-82678D90C92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227F689F-F568-4668-BF04-35D8865687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229A-49E7-A2CC-82678D90C92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36139A0-4022-4F36-A311-B581F9FEEB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229A-49E7-A2CC-82678D90C92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F8303B4-627B-4BF9-BB9A-6F5F6B8DDA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229A-49E7-A2CC-82678D90C92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411A9A1-2ADD-4595-9BF8-1A6F4157FA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229A-49E7-A2CC-82678D90C9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Revenue!$AM$1:$BA$1</c:f>
              <c:strCache>
                <c:ptCount val="15"/>
                <c:pt idx="0">
                  <c:v>1Q22</c:v>
                </c:pt>
                <c:pt idx="1">
                  <c:v>2Q22</c:v>
                </c:pt>
                <c:pt idx="2">
                  <c:v>3Q22</c:v>
                </c:pt>
                <c:pt idx="3">
                  <c:v>4Q22</c:v>
                </c:pt>
                <c:pt idx="4">
                  <c:v>1Q23</c:v>
                </c:pt>
                <c:pt idx="5">
                  <c:v>2Q23</c:v>
                </c:pt>
                <c:pt idx="6">
                  <c:v>3Q23</c:v>
                </c:pt>
                <c:pt idx="7">
                  <c:v>4Q23</c:v>
                </c:pt>
                <c:pt idx="8">
                  <c:v>1Q24</c:v>
                </c:pt>
                <c:pt idx="9">
                  <c:v>2Q24</c:v>
                </c:pt>
                <c:pt idx="10">
                  <c:v>3Q24</c:v>
                </c:pt>
                <c:pt idx="11">
                  <c:v>4Q24</c:v>
                </c:pt>
                <c:pt idx="12">
                  <c:v>1Q25</c:v>
                </c:pt>
                <c:pt idx="13">
                  <c:v>2Q25</c:v>
                </c:pt>
                <c:pt idx="14">
                  <c:v>3Q25</c:v>
                </c:pt>
              </c:strCache>
              <c:extLst/>
            </c:strRef>
          </c:cat>
          <c:val>
            <c:numRef>
              <c:f>Revenue!$AM$121:$BA$121</c:f>
              <c:numCache>
                <c:formatCode>_(* #,##0_);_(* \(#,##0\);_(* \-??_);_(@_)</c:formatCode>
                <c:ptCount val="15"/>
                <c:pt idx="0">
                  <c:v>68.055999999999997</c:v>
                </c:pt>
                <c:pt idx="1">
                  <c:v>88.946000000000012</c:v>
                </c:pt>
                <c:pt idx="2">
                  <c:v>83.512999999999977</c:v>
                </c:pt>
                <c:pt idx="3">
                  <c:v>68.745000000000005</c:v>
                </c:pt>
                <c:pt idx="4">
                  <c:v>0.67300000000000004</c:v>
                </c:pt>
                <c:pt idx="5">
                  <c:v>39.326999999999998</c:v>
                </c:pt>
                <c:pt idx="6">
                  <c:v>42</c:v>
                </c:pt>
                <c:pt idx="7">
                  <c:v>59</c:v>
                </c:pt>
                <c:pt idx="8">
                  <c:v>20</c:v>
                </c:pt>
                <c:pt idx="9">
                  <c:v>42</c:v>
                </c:pt>
                <c:pt idx="10">
                  <c:v>57</c:v>
                </c:pt>
                <c:pt idx="11">
                  <c:v>48</c:v>
                </c:pt>
                <c:pt idx="12">
                  <c:v>23</c:v>
                </c:pt>
                <c:pt idx="13">
                  <c:v>56</c:v>
                </c:pt>
                <c:pt idx="14">
                  <c:v>58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datalabelsRange>
                <c15:f>Revenue!$AM$130:$BA$130</c15:f>
                <c15:dlblRangeCache>
                  <c:ptCount val="15"/>
                  <c:pt idx="0">
                    <c:v>4%</c:v>
                  </c:pt>
                  <c:pt idx="1">
                    <c:v>5%</c:v>
                  </c:pt>
                  <c:pt idx="2">
                    <c:v>4%</c:v>
                  </c:pt>
                  <c:pt idx="3">
                    <c:v>3%</c:v>
                  </c:pt>
                  <c:pt idx="4">
                    <c:v>0%</c:v>
                  </c:pt>
                  <c:pt idx="5">
                    <c:v>2%</c:v>
                  </c:pt>
                  <c:pt idx="6">
                    <c:v>2%</c:v>
                  </c:pt>
                  <c:pt idx="7">
                    <c:v>2%</c:v>
                  </c:pt>
                  <c:pt idx="8">
                    <c:v>1%</c:v>
                  </c:pt>
                  <c:pt idx="9">
                    <c:v>2%</c:v>
                  </c:pt>
                  <c:pt idx="10">
                    <c:v>2%</c:v>
                  </c:pt>
                  <c:pt idx="11">
                    <c:v>2%</c:v>
                  </c:pt>
                  <c:pt idx="12">
                    <c:v>1%</c:v>
                  </c:pt>
                  <c:pt idx="13">
                    <c:v>2%</c:v>
                  </c:pt>
                  <c:pt idx="14">
                    <c:v>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F-2C7D-4EB5-968F-470F93DFCB62}"/>
            </c:ext>
          </c:extLst>
        </c:ser>
        <c:ser>
          <c:idx val="4"/>
          <c:order val="4"/>
          <c:tx>
            <c:v>Education &amp; others</c:v>
          </c:tx>
          <c:spPr>
            <a:solidFill>
              <a:srgbClr val="8DC8E8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E58A37C6-982C-4431-BFE3-D5D384490B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2C7D-4EB5-968F-470F93DFCB6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340B295-1C56-45CD-A12E-4739BF816A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2C7D-4EB5-968F-470F93DFCB6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7D952D7-FEB2-4E80-ACE2-3E50657D44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2C7D-4EB5-968F-470F93DFCB6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2D81A22-AB77-4428-B9BF-56441EEBBE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229A-49E7-A2CC-82678D90C92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03F2AA8-ECF0-489F-99C4-50FC48DE80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229A-49E7-A2CC-82678D90C92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70C2C9D-A39E-4643-A037-FA725824A2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229A-49E7-A2CC-82678D90C92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5B0CECA-FB2E-43D1-80EB-240CF65C2A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229A-49E7-A2CC-82678D90C92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D58378E-E265-444A-BBAD-087D6F4716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229A-49E7-A2CC-82678D90C92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E6073FC-EEA9-47D3-B641-532F79B532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229A-49E7-A2CC-82678D90C92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74DD37C-7421-4A00-8415-9C5CAFEB5C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229A-49E7-A2CC-82678D90C92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107FEE2-1C95-4126-8291-0D8A17C15A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229A-49E7-A2CC-82678D90C92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31425C0-0589-48E7-A188-3BC78185FE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229A-49E7-A2CC-82678D90C92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D1C8E93-B4F1-4EC0-A4E5-CA4E0578BD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229A-49E7-A2CC-82678D90C92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814E844-AF04-4326-ADEA-F0F84970D4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229A-49E7-A2CC-82678D90C92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41195F97-7E61-404E-BD6C-76438F6BC5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229A-49E7-A2CC-82678D90C9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Revenue!$AM$1:$BA$1</c:f>
              <c:strCache>
                <c:ptCount val="15"/>
                <c:pt idx="0">
                  <c:v>1Q22</c:v>
                </c:pt>
                <c:pt idx="1">
                  <c:v>2Q22</c:v>
                </c:pt>
                <c:pt idx="2">
                  <c:v>3Q22</c:v>
                </c:pt>
                <c:pt idx="3">
                  <c:v>4Q22</c:v>
                </c:pt>
                <c:pt idx="4">
                  <c:v>1Q23</c:v>
                </c:pt>
                <c:pt idx="5">
                  <c:v>2Q23</c:v>
                </c:pt>
                <c:pt idx="6">
                  <c:v>3Q23</c:v>
                </c:pt>
                <c:pt idx="7">
                  <c:v>4Q23</c:v>
                </c:pt>
                <c:pt idx="8">
                  <c:v>1Q24</c:v>
                </c:pt>
                <c:pt idx="9">
                  <c:v>2Q24</c:v>
                </c:pt>
                <c:pt idx="10">
                  <c:v>3Q24</c:v>
                </c:pt>
                <c:pt idx="11">
                  <c:v>4Q24</c:v>
                </c:pt>
                <c:pt idx="12">
                  <c:v>1Q25</c:v>
                </c:pt>
                <c:pt idx="13">
                  <c:v>2Q25</c:v>
                </c:pt>
                <c:pt idx="14">
                  <c:v>3Q25</c:v>
                </c:pt>
              </c:strCache>
              <c:extLst/>
            </c:strRef>
          </c:cat>
          <c:val>
            <c:numRef>
              <c:f>Revenue!$AM$122:$BA$122</c:f>
              <c:numCache>
                <c:formatCode>_(* #,##0_);_(* \(#,##0\);_(* \-??_);_(@_)</c:formatCode>
                <c:ptCount val="15"/>
                <c:pt idx="0">
                  <c:v>319.79184668000016</c:v>
                </c:pt>
                <c:pt idx="1">
                  <c:v>279.48662638700102</c:v>
                </c:pt>
                <c:pt idx="2">
                  <c:v>297.93281992399938</c:v>
                </c:pt>
                <c:pt idx="3">
                  <c:v>565.05763091400013</c:v>
                </c:pt>
                <c:pt idx="4">
                  <c:v>491.38900000000012</c:v>
                </c:pt>
                <c:pt idx="5">
                  <c:v>328.61099999999988</c:v>
                </c:pt>
                <c:pt idx="6">
                  <c:v>521</c:v>
                </c:pt>
                <c:pt idx="7">
                  <c:v>664</c:v>
                </c:pt>
                <c:pt idx="8">
                  <c:v>553</c:v>
                </c:pt>
                <c:pt idx="9">
                  <c:v>434</c:v>
                </c:pt>
                <c:pt idx="10">
                  <c:v>646</c:v>
                </c:pt>
                <c:pt idx="11">
                  <c:v>621</c:v>
                </c:pt>
                <c:pt idx="12">
                  <c:v>642</c:v>
                </c:pt>
                <c:pt idx="13">
                  <c:v>594</c:v>
                </c:pt>
                <c:pt idx="14">
                  <c:v>743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datalabelsRange>
                <c15:f>Revenue!$AM$131:$BA$131</c15:f>
                <c15:dlblRangeCache>
                  <c:ptCount val="15"/>
                  <c:pt idx="0">
                    <c:v>18%</c:v>
                  </c:pt>
                  <c:pt idx="1">
                    <c:v>15%</c:v>
                  </c:pt>
                  <c:pt idx="2">
                    <c:v>15%</c:v>
                  </c:pt>
                  <c:pt idx="3">
                    <c:v>28%</c:v>
                  </c:pt>
                  <c:pt idx="4">
                    <c:v>23%</c:v>
                  </c:pt>
                  <c:pt idx="5">
                    <c:v>15%</c:v>
                  </c:pt>
                  <c:pt idx="6">
                    <c:v>21%</c:v>
                  </c:pt>
                  <c:pt idx="7">
                    <c:v>27%</c:v>
                  </c:pt>
                  <c:pt idx="8">
                    <c:v>22%</c:v>
                  </c:pt>
                  <c:pt idx="9">
                    <c:v>16%</c:v>
                  </c:pt>
                  <c:pt idx="10">
                    <c:v>22%</c:v>
                  </c:pt>
                  <c:pt idx="11">
                    <c:v>21%</c:v>
                  </c:pt>
                  <c:pt idx="12">
                    <c:v>21%</c:v>
                  </c:pt>
                  <c:pt idx="13">
                    <c:v>19%</c:v>
                  </c:pt>
                  <c:pt idx="14">
                    <c:v>22%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7-2C7D-4EB5-968F-470F93DFCB6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613212671"/>
        <c:axId val="1613214111"/>
      </c:barChart>
      <c:catAx>
        <c:axId val="1613212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r>
                  <a:rPr lang="en-US"/>
                  <a:t>(VNDbn)</a:t>
                </a:r>
              </a:p>
            </c:rich>
          </c:tx>
          <c:layout>
            <c:manualLayout>
              <c:xMode val="edge"/>
              <c:yMode val="edge"/>
              <c:x val="4.8677373681683652E-4"/>
              <c:y val="8.4208109428031142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" panose="020B0502040504020204" pitchFamily="34" charset="0"/>
                  <a:ea typeface="Noto Sans" panose="020B0502040504020204" pitchFamily="34" charset="0"/>
                  <a:cs typeface="Noto Sans" panose="020B0502040504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613214111"/>
        <c:crosses val="autoZero"/>
        <c:auto val="1"/>
        <c:lblAlgn val="ctr"/>
        <c:lblOffset val="100"/>
        <c:noMultiLvlLbl val="0"/>
      </c:catAx>
      <c:valAx>
        <c:axId val="1613214111"/>
        <c:scaling>
          <c:orientation val="minMax"/>
          <c:max val="3500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613212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6355560624431884E-2"/>
          <c:y val="0.88263983693944836"/>
          <c:w val="0.88257892989470199"/>
          <c:h val="8.87869109164624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Total revenue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(Revenue!$D$1:$H$1,Revenue!$AY$1:$BB$1)</c:f>
              <c:strCache>
                <c:ptCount val="9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1Q25</c:v>
                </c:pt>
                <c:pt idx="6">
                  <c:v>2Q25</c:v>
                </c:pt>
                <c:pt idx="7">
                  <c:v>3Q25</c:v>
                </c:pt>
                <c:pt idx="8">
                  <c:v>4Q25</c:v>
                </c:pt>
              </c:strCache>
            </c:strRef>
          </c:cat>
          <c:val>
            <c:numRef>
              <c:f>(Revenue!$D$19:$H$19,Revenue!$AY$19:$BB$19)</c:f>
              <c:numCache>
                <c:formatCode>0.0%</c:formatCode>
                <c:ptCount val="9"/>
                <c:pt idx="0">
                  <c:v>7.6250799616477183E-2</c:v>
                </c:pt>
                <c:pt idx="1">
                  <c:v>0.19533301314420481</c:v>
                </c:pt>
                <c:pt idx="2">
                  <c:v>0.23423741868397707</c:v>
                </c:pt>
                <c:pt idx="3">
                  <c:v>0.19560474226181945</c:v>
                </c:pt>
                <c:pt idx="4">
                  <c:v>0.19445817020791356</c:v>
                </c:pt>
                <c:pt idx="5">
                  <c:v>0.13951177973318196</c:v>
                </c:pt>
                <c:pt idx="6">
                  <c:v>9.044995408631773E-2</c:v>
                </c:pt>
                <c:pt idx="7">
                  <c:v>8.1808463811859466E-2</c:v>
                </c:pt>
                <c:pt idx="8">
                  <c:v>-8.8028169014084501E-2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AAA-4DDC-9E52-8BB926C6F471}"/>
            </c:ext>
          </c:extLst>
        </c:ser>
        <c:ser>
          <c:idx val="1"/>
          <c:order val="1"/>
          <c:tx>
            <c:v>IT segment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(Revenue!$D$1:$H$1,Revenue!$AY$1:$BB$1)</c:f>
              <c:strCache>
                <c:ptCount val="9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1Q25</c:v>
                </c:pt>
                <c:pt idx="6">
                  <c:v>2Q25</c:v>
                </c:pt>
                <c:pt idx="7">
                  <c:v>3Q25</c:v>
                </c:pt>
                <c:pt idx="8">
                  <c:v>4Q25</c:v>
                </c:pt>
              </c:strCache>
            </c:strRef>
          </c:cat>
          <c:val>
            <c:numRef>
              <c:f>(Revenue!$D$20:$H$20,Revenue!$AY$20:$BB$20)</c:f>
              <c:numCache>
                <c:formatCode>0.0%</c:formatCode>
                <c:ptCount val="9"/>
                <c:pt idx="0">
                  <c:v>6.4720506409858825E-2</c:v>
                </c:pt>
                <c:pt idx="1">
                  <c:v>0.24203085141909519</c:v>
                </c:pt>
                <c:pt idx="2">
                  <c:v>0.23431395301818059</c:v>
                </c:pt>
                <c:pt idx="3">
                  <c:v>0.22070875400605106</c:v>
                </c:pt>
                <c:pt idx="4">
                  <c:v>0.24360075042131712</c:v>
                </c:pt>
                <c:pt idx="5">
                  <c:v>0.15322866249557321</c:v>
                </c:pt>
                <c:pt idx="6">
                  <c:v>7.8388507183010603E-2</c:v>
                </c:pt>
                <c:pt idx="7">
                  <c:v>9.4467482552847093E-2</c:v>
                </c:pt>
                <c:pt idx="8">
                  <c:v>0.21352951731562886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AAA-4DDC-9E52-8BB926C6F471}"/>
            </c:ext>
          </c:extLst>
        </c:ser>
        <c:ser>
          <c:idx val="2"/>
          <c:order val="2"/>
          <c:tx>
            <c:v>Global IT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(Revenue!$D$1:$H$1,Revenue!$AY$1:$BB$1)</c:f>
              <c:strCache>
                <c:ptCount val="9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1Q25</c:v>
                </c:pt>
                <c:pt idx="6">
                  <c:v>2Q25</c:v>
                </c:pt>
                <c:pt idx="7">
                  <c:v>3Q25</c:v>
                </c:pt>
                <c:pt idx="8">
                  <c:v>4Q25</c:v>
                </c:pt>
              </c:strCache>
            </c:strRef>
          </c:cat>
          <c:val>
            <c:numRef>
              <c:f>(Revenue!$D$21:$H$21,Revenue!$AY$21:$BB$21)</c:f>
              <c:numCache>
                <c:formatCode>0.0%</c:formatCode>
                <c:ptCount val="9"/>
                <c:pt idx="0">
                  <c:v>0.10621223346508968</c:v>
                </c:pt>
                <c:pt idx="1">
                  <c:v>0.21170716301146797</c:v>
                </c:pt>
                <c:pt idx="2">
                  <c:v>0.30085639711319878</c:v>
                </c:pt>
                <c:pt idx="3">
                  <c:v>0.28402673490843022</c:v>
                </c:pt>
                <c:pt idx="4">
                  <c:v>0.2744153491436101</c:v>
                </c:pt>
                <c:pt idx="5">
                  <c:v>0.16959565652236042</c:v>
                </c:pt>
                <c:pt idx="6">
                  <c:v>0.12001584367573281</c:v>
                </c:pt>
                <c:pt idx="7">
                  <c:v>0.10006176652254473</c:v>
                </c:pt>
                <c:pt idx="8">
                  <c:v>0.1838261919130959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AAA-4DDC-9E52-8BB926C6F471}"/>
            </c:ext>
          </c:extLst>
        </c:ser>
        <c:ser>
          <c:idx val="3"/>
          <c:order val="3"/>
          <c:tx>
            <c:v>Domestic IT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(Revenue!$D$1:$H$1,Revenue!$AY$1:$BB$1)</c:f>
              <c:strCache>
                <c:ptCount val="9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1Q25</c:v>
                </c:pt>
                <c:pt idx="6">
                  <c:v>2Q25</c:v>
                </c:pt>
                <c:pt idx="7">
                  <c:v>3Q25</c:v>
                </c:pt>
                <c:pt idx="8">
                  <c:v>4Q25</c:v>
                </c:pt>
              </c:strCache>
            </c:strRef>
          </c:cat>
          <c:val>
            <c:numRef>
              <c:f>(Revenue!$D$22:$H$22,Revenue!$AY$22:$BB$22)</c:f>
              <c:numCache>
                <c:formatCode>0.0%</c:formatCode>
                <c:ptCount val="9"/>
                <c:pt idx="0">
                  <c:v>-2.6479538059853147E-2</c:v>
                </c:pt>
                <c:pt idx="1">
                  <c:v>0.31776799748245055</c:v>
                </c:pt>
                <c:pt idx="2">
                  <c:v>8.1492481255852844E-2</c:v>
                </c:pt>
                <c:pt idx="3">
                  <c:v>4.5797183401368846E-2</c:v>
                </c:pt>
                <c:pt idx="4">
                  <c:v>0.13908671973188103</c:v>
                </c:pt>
                <c:pt idx="5">
                  <c:v>7.5407608695652106E-2</c:v>
                </c:pt>
                <c:pt idx="6">
                  <c:v>-7.6771653543307061E-2</c:v>
                </c:pt>
                <c:pt idx="7">
                  <c:v>6.9754464285714191E-2</c:v>
                </c:pt>
                <c:pt idx="8">
                  <c:v>0.29919608528486541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AAA-4DDC-9E52-8BB926C6F471}"/>
            </c:ext>
          </c:extLst>
        </c:ser>
        <c:ser>
          <c:idx val="4"/>
          <c:order val="4"/>
          <c:tx>
            <c:v>Telecom segment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(Revenue!$D$1:$H$1,Revenue!$AY$1:$BB$1)</c:f>
              <c:strCache>
                <c:ptCount val="9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1Q25</c:v>
                </c:pt>
                <c:pt idx="6">
                  <c:v>2Q25</c:v>
                </c:pt>
                <c:pt idx="7">
                  <c:v>3Q25</c:v>
                </c:pt>
                <c:pt idx="8">
                  <c:v>4Q25</c:v>
                </c:pt>
              </c:strCache>
            </c:strRef>
          </c:cat>
          <c:val>
            <c:numRef>
              <c:f>(Revenue!$D$23:$H$23,Revenue!$AY$23:$BB$23)</c:f>
              <c:numCache>
                <c:formatCode>0.0%</c:formatCode>
                <c:ptCount val="9"/>
                <c:pt idx="0">
                  <c:v>0.1026815882825356</c:v>
                </c:pt>
                <c:pt idx="1">
                  <c:v>0.10642295577052252</c:v>
                </c:pt>
                <c:pt idx="2">
                  <c:v>0.16105675550919973</c:v>
                </c:pt>
                <c:pt idx="3">
                  <c:v>7.3073771140099941E-2</c:v>
                </c:pt>
                <c:pt idx="4">
                  <c:v>0.11413387321270396</c:v>
                </c:pt>
                <c:pt idx="5">
                  <c:v>0.14207377866400805</c:v>
                </c:pt>
                <c:pt idx="6">
                  <c:v>0.12830812854442342</c:v>
                </c:pt>
                <c:pt idx="7">
                  <c:v>8.2089552238805874E-2</c:v>
                </c:pt>
                <c:pt idx="8">
                  <c:v>8.5239085239085188E-2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AAA-4DDC-9E52-8BB926C6F471}"/>
            </c:ext>
          </c:extLst>
        </c:ser>
        <c:ser>
          <c:idx val="7"/>
          <c:order val="5"/>
          <c:tx>
            <c:v>Education segment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(Revenue!$D$1:$H$1,Revenue!$AY$1:$BB$1)</c:f>
              <c:strCache>
                <c:ptCount val="9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1Q25</c:v>
                </c:pt>
                <c:pt idx="6">
                  <c:v>2Q25</c:v>
                </c:pt>
                <c:pt idx="7">
                  <c:v>3Q25</c:v>
                </c:pt>
                <c:pt idx="8">
                  <c:v>4Q25</c:v>
                </c:pt>
              </c:strCache>
            </c:strRef>
          </c:cat>
          <c:val>
            <c:numRef>
              <c:f>(Revenue!$D$26:$H$26,Revenue!$AY$26:$BB$26)</c:f>
              <c:numCache>
                <c:formatCode>0.0%</c:formatCode>
                <c:ptCount val="9"/>
                <c:pt idx="0">
                  <c:v>1.5765867342744988E-2</c:v>
                </c:pt>
                <c:pt idx="1">
                  <c:v>0.34584941583365492</c:v>
                </c:pt>
                <c:pt idx="2">
                  <c:v>0.67586601343120711</c:v>
                </c:pt>
                <c:pt idx="3">
                  <c:v>0.52488926898736921</c:v>
                </c:pt>
                <c:pt idx="4">
                  <c:v>0.14283050531418984</c:v>
                </c:pt>
                <c:pt idx="5">
                  <c:v>6.0907395898073258E-2</c:v>
                </c:pt>
                <c:pt idx="6">
                  <c:v>5.8948863636363535E-2</c:v>
                </c:pt>
                <c:pt idx="7">
                  <c:v>-4.794520547945158E-3</c:v>
                </c:pt>
                <c:pt idx="8">
                  <c:v>-0.10351089588377727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AAA-4DDC-9E52-8BB926C6F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6421104"/>
        <c:axId val="1176441744"/>
        <c:extLst/>
      </c:lineChart>
      <c:catAx>
        <c:axId val="117642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441744"/>
        <c:crosses val="autoZero"/>
        <c:auto val="1"/>
        <c:lblAlgn val="ctr"/>
        <c:lblOffset val="100"/>
        <c:noMultiLvlLbl val="0"/>
      </c:catAx>
      <c:valAx>
        <c:axId val="1176441744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42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673567851558623"/>
          <c:y val="0.10718864441813024"/>
          <c:w val="0.89326432148441381"/>
          <c:h val="0.83966323072200977"/>
        </c:manualLayout>
      </c:layout>
      <c:lineChart>
        <c:grouping val="standard"/>
        <c:varyColors val="0"/>
        <c:ser>
          <c:idx val="1"/>
          <c:order val="1"/>
          <c:tx>
            <c:v>IT segment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(Revenue!$D$1:$H$1,Revenue!$AY$1:$BB$1)</c:f>
              <c:strCache>
                <c:ptCount val="9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1Q25</c:v>
                </c:pt>
                <c:pt idx="6">
                  <c:v>2Q25</c:v>
                </c:pt>
                <c:pt idx="7">
                  <c:v>3Q25</c:v>
                </c:pt>
                <c:pt idx="8">
                  <c:v>4Q25</c:v>
                </c:pt>
              </c:strCache>
            </c:strRef>
          </c:cat>
          <c:val>
            <c:numRef>
              <c:f>(Revenue!$D$20:$H$20,Revenue!$AY$20:$BB$20)</c:f>
              <c:numCache>
                <c:formatCode>0.0%</c:formatCode>
                <c:ptCount val="9"/>
                <c:pt idx="0">
                  <c:v>6.4720506409858825E-2</c:v>
                </c:pt>
                <c:pt idx="1">
                  <c:v>0.24203085141909519</c:v>
                </c:pt>
                <c:pt idx="2">
                  <c:v>0.23431395301818059</c:v>
                </c:pt>
                <c:pt idx="3">
                  <c:v>0.22070875400605106</c:v>
                </c:pt>
                <c:pt idx="4">
                  <c:v>0.24360075042131712</c:v>
                </c:pt>
                <c:pt idx="5">
                  <c:v>0.15322866249557321</c:v>
                </c:pt>
                <c:pt idx="6">
                  <c:v>7.8388507183010603E-2</c:v>
                </c:pt>
                <c:pt idx="7">
                  <c:v>9.4467482552847093E-2</c:v>
                </c:pt>
                <c:pt idx="8">
                  <c:v>0.21352951731562886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FD-4660-8CFE-D94A640A10BA}"/>
            </c:ext>
          </c:extLst>
        </c:ser>
        <c:ser>
          <c:idx val="2"/>
          <c:order val="2"/>
          <c:tx>
            <c:v>Global IT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(Revenue!$D$1:$H$1,Revenue!$AY$1:$BB$1)</c:f>
              <c:strCache>
                <c:ptCount val="9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1Q25</c:v>
                </c:pt>
                <c:pt idx="6">
                  <c:v>2Q25</c:v>
                </c:pt>
                <c:pt idx="7">
                  <c:v>3Q25</c:v>
                </c:pt>
                <c:pt idx="8">
                  <c:v>4Q25</c:v>
                </c:pt>
              </c:strCache>
            </c:strRef>
          </c:cat>
          <c:val>
            <c:numRef>
              <c:f>(Revenue!$D$21:$H$21,Revenue!$AY$21:$BB$21)</c:f>
              <c:numCache>
                <c:formatCode>0.0%</c:formatCode>
                <c:ptCount val="9"/>
                <c:pt idx="0">
                  <c:v>0.10621223346508968</c:v>
                </c:pt>
                <c:pt idx="1">
                  <c:v>0.21170716301146797</c:v>
                </c:pt>
                <c:pt idx="2">
                  <c:v>0.30085639711319878</c:v>
                </c:pt>
                <c:pt idx="3">
                  <c:v>0.28402673490843022</c:v>
                </c:pt>
                <c:pt idx="4">
                  <c:v>0.2744153491436101</c:v>
                </c:pt>
                <c:pt idx="5">
                  <c:v>0.16959565652236042</c:v>
                </c:pt>
                <c:pt idx="6">
                  <c:v>0.12001584367573281</c:v>
                </c:pt>
                <c:pt idx="7">
                  <c:v>0.10006176652254473</c:v>
                </c:pt>
                <c:pt idx="8">
                  <c:v>0.1838261919130959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BFD-4660-8CFE-D94A640A10BA}"/>
            </c:ext>
          </c:extLst>
        </c:ser>
        <c:ser>
          <c:idx val="3"/>
          <c:order val="3"/>
          <c:tx>
            <c:v>Domestic IT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(Revenue!$D$1:$H$1,Revenue!$AY$1:$BB$1)</c:f>
              <c:strCache>
                <c:ptCount val="9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1Q25</c:v>
                </c:pt>
                <c:pt idx="6">
                  <c:v>2Q25</c:v>
                </c:pt>
                <c:pt idx="7">
                  <c:v>3Q25</c:v>
                </c:pt>
                <c:pt idx="8">
                  <c:v>4Q25</c:v>
                </c:pt>
              </c:strCache>
            </c:strRef>
          </c:cat>
          <c:val>
            <c:numRef>
              <c:f>(Revenue!$D$22:$H$22,Revenue!$AY$22:$BB$22)</c:f>
              <c:numCache>
                <c:formatCode>0.0%</c:formatCode>
                <c:ptCount val="9"/>
                <c:pt idx="0">
                  <c:v>-2.6479538059853147E-2</c:v>
                </c:pt>
                <c:pt idx="1">
                  <c:v>0.31776799748245055</c:v>
                </c:pt>
                <c:pt idx="2">
                  <c:v>8.1492481255852844E-2</c:v>
                </c:pt>
                <c:pt idx="3">
                  <c:v>4.5797183401368846E-2</c:v>
                </c:pt>
                <c:pt idx="4">
                  <c:v>0.13908671973188103</c:v>
                </c:pt>
                <c:pt idx="5">
                  <c:v>7.5407608695652106E-2</c:v>
                </c:pt>
                <c:pt idx="6">
                  <c:v>-7.6771653543307061E-2</c:v>
                </c:pt>
                <c:pt idx="7">
                  <c:v>6.9754464285714191E-2</c:v>
                </c:pt>
                <c:pt idx="8">
                  <c:v>0.29919608528486541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BFD-4660-8CFE-D94A640A10BA}"/>
            </c:ext>
          </c:extLst>
        </c:ser>
        <c:ser>
          <c:idx val="5"/>
          <c:order val="6"/>
          <c:tx>
            <c:v>Global IT signed revenue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(Revenue!$D$1:$H$1,Revenue!$AY$1:$BB$1)</c:f>
              <c:strCache>
                <c:ptCount val="9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1Q25</c:v>
                </c:pt>
                <c:pt idx="6">
                  <c:v>2Q25</c:v>
                </c:pt>
                <c:pt idx="7">
                  <c:v>3Q25</c:v>
                </c:pt>
                <c:pt idx="8">
                  <c:v>4Q25</c:v>
                </c:pt>
              </c:strCache>
            </c:strRef>
          </c:cat>
          <c:val>
            <c:numRef>
              <c:f>(Revenue!$D$254:$H$254,Revenue!$AY$251:$BB$251)</c:f>
              <c:numCache>
                <c:formatCode>0.0%</c:formatCode>
                <c:ptCount val="9"/>
                <c:pt idx="0">
                  <c:v>0.23038616931316369</c:v>
                </c:pt>
                <c:pt idx="1">
                  <c:v>0.18678885070637641</c:v>
                </c:pt>
                <c:pt idx="2">
                  <c:v>0.38948587606975105</c:v>
                </c:pt>
                <c:pt idx="3">
                  <c:v>0.37616930628878387</c:v>
                </c:pt>
                <c:pt idx="4">
                  <c:v>0.13039674260524281</c:v>
                </c:pt>
                <c:pt idx="5">
                  <c:v>0.24336493236601564</c:v>
                </c:pt>
                <c:pt idx="6">
                  <c:v>0.19595425924585652</c:v>
                </c:pt>
                <c:pt idx="7">
                  <c:v>0.15441527446300718</c:v>
                </c:pt>
                <c:pt idx="8">
                  <c:v>0.14308790747261968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DBFD-4660-8CFE-D94A640A1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6421104"/>
        <c:axId val="11764417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Total revenue</c:v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(Revenue!$D$1:$H$1,Revenue!$AY$1:$BB$1)</c15:sqref>
                        </c15:formulaRef>
                      </c:ext>
                    </c:extLst>
                    <c:strCache>
                      <c:ptCount val="9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1Q25</c:v>
                      </c:pt>
                      <c:pt idx="6">
                        <c:v>2Q25</c:v>
                      </c:pt>
                      <c:pt idx="7">
                        <c:v>3Q25</c:v>
                      </c:pt>
                      <c:pt idx="8">
                        <c:v>4Q25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(Revenue!$D$19:$H$19,Revenue!$AY$19:$BB$19)</c15:sqref>
                        </c15:formulaRef>
                      </c:ext>
                    </c:extLst>
                    <c:numCache>
                      <c:formatCode>0.0%</c:formatCode>
                      <c:ptCount val="9"/>
                      <c:pt idx="0">
                        <c:v>7.6250799616477183E-2</c:v>
                      </c:pt>
                      <c:pt idx="1">
                        <c:v>0.19533301314420481</c:v>
                      </c:pt>
                      <c:pt idx="2">
                        <c:v>0.23423741868397707</c:v>
                      </c:pt>
                      <c:pt idx="3">
                        <c:v>0.19560474226181945</c:v>
                      </c:pt>
                      <c:pt idx="4">
                        <c:v>0.19445817020791356</c:v>
                      </c:pt>
                      <c:pt idx="5">
                        <c:v>0.13951177973318196</c:v>
                      </c:pt>
                      <c:pt idx="6">
                        <c:v>9.044995408631773E-2</c:v>
                      </c:pt>
                      <c:pt idx="7">
                        <c:v>8.1808463811859466E-2</c:v>
                      </c:pt>
                      <c:pt idx="8">
                        <c:v>-8.8028169014084501E-2</c:v>
                      </c:pt>
                    </c:numCache>
                  </c:numRef>
                </c:val>
                <c:smooth val="1"/>
                <c:extLst>
                  <c:ext xmlns:c16="http://schemas.microsoft.com/office/drawing/2014/chart" uri="{C3380CC4-5D6E-409C-BE32-E72D297353CC}">
                    <c16:uniqueId val="{00000000-DBFD-4660-8CFE-D94A640A10B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Telecom segment</c:v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(Revenue!$D$1:$H$1,Revenue!$AY$1:$BB$1)</c15:sqref>
                        </c15:formulaRef>
                      </c:ext>
                    </c:extLst>
                    <c:strCache>
                      <c:ptCount val="9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1Q25</c:v>
                      </c:pt>
                      <c:pt idx="6">
                        <c:v>2Q25</c:v>
                      </c:pt>
                      <c:pt idx="7">
                        <c:v>3Q25</c:v>
                      </c:pt>
                      <c:pt idx="8">
                        <c:v>4Q25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(Revenue!$D$23:$H$23,Revenue!$AY$23:$BB$23)</c15:sqref>
                        </c15:formulaRef>
                      </c:ext>
                    </c:extLst>
                    <c:numCache>
                      <c:formatCode>0.0%</c:formatCode>
                      <c:ptCount val="9"/>
                      <c:pt idx="0">
                        <c:v>0.1026815882825356</c:v>
                      </c:pt>
                      <c:pt idx="1">
                        <c:v>0.10642295577052252</c:v>
                      </c:pt>
                      <c:pt idx="2">
                        <c:v>0.16105675550919973</c:v>
                      </c:pt>
                      <c:pt idx="3">
                        <c:v>7.3073771140099941E-2</c:v>
                      </c:pt>
                      <c:pt idx="4">
                        <c:v>0.11413387321270396</c:v>
                      </c:pt>
                      <c:pt idx="5">
                        <c:v>0.14207377866400805</c:v>
                      </c:pt>
                      <c:pt idx="6">
                        <c:v>0.12830812854442342</c:v>
                      </c:pt>
                      <c:pt idx="7">
                        <c:v>8.2089552238805874E-2</c:v>
                      </c:pt>
                      <c:pt idx="8">
                        <c:v>8.5239085239085188E-2</c:v>
                      </c:pt>
                    </c:numCache>
                  </c:numRef>
                </c: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BFD-4660-8CFE-D94A640A10BA}"/>
                  </c:ext>
                </c:extLst>
              </c15:ser>
            </c15:filteredLineSeries>
            <c15:filteredLineSeries>
              <c15:ser>
                <c:idx val="7"/>
                <c:order val="5"/>
                <c:tx>
                  <c:v>Education segment</c:v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(Revenue!$D$1:$H$1,Revenue!$AY$1:$BB$1)</c15:sqref>
                        </c15:formulaRef>
                      </c:ext>
                    </c:extLst>
                    <c:strCache>
                      <c:ptCount val="9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1Q25</c:v>
                      </c:pt>
                      <c:pt idx="6">
                        <c:v>2Q25</c:v>
                      </c:pt>
                      <c:pt idx="7">
                        <c:v>3Q25</c:v>
                      </c:pt>
                      <c:pt idx="8">
                        <c:v>4Q25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(Revenue!$D$26:$H$26,Revenue!$AY$26:$BB$26)</c15:sqref>
                        </c15:formulaRef>
                      </c:ext>
                    </c:extLst>
                    <c:numCache>
                      <c:formatCode>0.0%</c:formatCode>
                      <c:ptCount val="9"/>
                      <c:pt idx="0">
                        <c:v>1.5765867342744988E-2</c:v>
                      </c:pt>
                      <c:pt idx="1">
                        <c:v>0.34584941583365492</c:v>
                      </c:pt>
                      <c:pt idx="2">
                        <c:v>0.67586601343120711</c:v>
                      </c:pt>
                      <c:pt idx="3">
                        <c:v>0.52488926898736921</c:v>
                      </c:pt>
                      <c:pt idx="4">
                        <c:v>0.14283050531418984</c:v>
                      </c:pt>
                      <c:pt idx="5">
                        <c:v>6.0907395898073258E-2</c:v>
                      </c:pt>
                      <c:pt idx="6">
                        <c:v>5.8948863636363535E-2</c:v>
                      </c:pt>
                      <c:pt idx="7">
                        <c:v>-4.794520547945158E-3</c:v>
                      </c:pt>
                      <c:pt idx="8">
                        <c:v>-0.10351089588377727</c:v>
                      </c:pt>
                    </c:numCache>
                  </c:numRef>
                </c: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BFD-4660-8CFE-D94A640A10BA}"/>
                  </c:ext>
                </c:extLst>
              </c15:ser>
            </c15:filteredLineSeries>
          </c:ext>
        </c:extLst>
      </c:lineChart>
      <c:catAx>
        <c:axId val="117642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441744"/>
        <c:crosses val="autoZero"/>
        <c:auto val="1"/>
        <c:lblAlgn val="ctr"/>
        <c:lblOffset val="100"/>
        <c:noMultiLvlLbl val="0"/>
      </c:catAx>
      <c:valAx>
        <c:axId val="1176441744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42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Total revenue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Revenue!$D$1:$I$1</c15:sqref>
                  </c15:fullRef>
                </c:ext>
              </c:extLst>
              <c:f>Revenue!$D$1:$I$1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Revenue!$D$19:$I$19</c15:sqref>
                  </c15:fullRef>
                </c:ext>
              </c:extLst>
              <c:f>Revenue!$D$19:$I$19</c:f>
              <c:numCache>
                <c:formatCode>0.0%</c:formatCode>
                <c:ptCount val="6"/>
                <c:pt idx="0">
                  <c:v>7.6250799616477183E-2</c:v>
                </c:pt>
                <c:pt idx="1">
                  <c:v>0.19533301314420481</c:v>
                </c:pt>
                <c:pt idx="2">
                  <c:v>0.23423741868397707</c:v>
                </c:pt>
                <c:pt idx="3">
                  <c:v>0.19560474226181945</c:v>
                </c:pt>
                <c:pt idx="4">
                  <c:v>0.19445817020791356</c:v>
                </c:pt>
                <c:pt idx="5">
                  <c:v>0.11557677008750988</c:v>
                </c:pt>
              </c:numCache>
            </c:numRef>
          </c: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4-B53B-4E03-90BB-007D73781BF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Revenue!$D$1:$I$1</c15:sqref>
                  </c15:fullRef>
                </c:ext>
              </c:extLst>
              <c:f>Revenue!$D$1:$I$1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Revenue!$D$20:$AT$20</c15:sqref>
                  </c15:fullRef>
                </c:ext>
              </c:extLst>
              <c:f>(Revenue!$D$20:$I$20,Revenue!$M$20:$AT$20)</c:f>
              <c:numCache>
                <c:formatCode>0.0%</c:formatCode>
                <c:ptCount val="40"/>
                <c:pt idx="0">
                  <c:v>6.4720506409858825E-2</c:v>
                </c:pt>
                <c:pt idx="1">
                  <c:v>0.24203085141909519</c:v>
                </c:pt>
                <c:pt idx="2">
                  <c:v>0.23431395301818059</c:v>
                </c:pt>
                <c:pt idx="3">
                  <c:v>0.22070875400605106</c:v>
                </c:pt>
                <c:pt idx="4">
                  <c:v>0.24360075042131712</c:v>
                </c:pt>
                <c:pt idx="5">
                  <c:v>0.13717719253387872</c:v>
                </c:pt>
                <c:pt idx="7">
                  <c:v>1.874533367425224E-2</c:v>
                </c:pt>
                <c:pt idx="8">
                  <c:v>1.5939139559286497E-2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0.16228497656566288</c:v>
                </c:pt>
                <c:pt idx="29">
                  <c:v>0.26341308760596815</c:v>
                </c:pt>
                <c:pt idx="30">
                  <c:v>0.25191568088000182</c:v>
                </c:pt>
                <c:pt idx="31">
                  <c:v>0.27366774316844089</c:v>
                </c:pt>
                <c:pt idx="32">
                  <c:v>0.35040411973999763</c:v>
                </c:pt>
                <c:pt idx="33">
                  <c:v>0.1497338567855504</c:v>
                </c:pt>
                <c:pt idx="34">
                  <c:v>0.25325743782591559</c:v>
                </c:pt>
                <c:pt idx="35">
                  <c:v>0.21025569572492353</c:v>
                </c:pt>
                <c:pt idx="36">
                  <c:v>0.21337619249538031</c:v>
                </c:pt>
                <c:pt idx="37">
                  <c:v>0.28771297330902557</c:v>
                </c:pt>
                <c:pt idx="38">
                  <c:v>0.26675788135925016</c:v>
                </c:pt>
                <c:pt idx="39">
                  <c:v>0.1375202364493473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53B-4E03-90BB-007D73781BF1}"/>
            </c:ext>
          </c:extLst>
        </c:ser>
        <c:ser>
          <c:idx val="4"/>
          <c:order val="4"/>
          <c:tx>
            <c:v>Telecom segment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Revenue!$D$1:$I$1</c15:sqref>
                  </c15:fullRef>
                </c:ext>
              </c:extLst>
              <c:f>Revenue!$D$1:$I$1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Revenue!$D$23:$I$23</c15:sqref>
                  </c15:fullRef>
                </c:ext>
              </c:extLst>
              <c:f>Revenue!$D$23:$I$23</c:f>
              <c:numCache>
                <c:formatCode>0.0%</c:formatCode>
                <c:ptCount val="6"/>
                <c:pt idx="0">
                  <c:v>0.1026815882825356</c:v>
                </c:pt>
                <c:pt idx="1">
                  <c:v>0.10642295577052252</c:v>
                </c:pt>
                <c:pt idx="2">
                  <c:v>0.16105675550919973</c:v>
                </c:pt>
                <c:pt idx="3">
                  <c:v>7.3073771140099941E-2</c:v>
                </c:pt>
                <c:pt idx="4">
                  <c:v>0.11413387321270396</c:v>
                </c:pt>
                <c:pt idx="5">
                  <c:v>0.10772288472458835</c:v>
                </c:pt>
              </c:numCache>
            </c:numRef>
          </c: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5-B53B-4E03-90BB-007D73781BF1}"/>
            </c:ext>
          </c:extLst>
        </c:ser>
        <c:ser>
          <c:idx val="7"/>
          <c:order val="5"/>
          <c:tx>
            <c:v>Education segment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Revenue!$D$1:$I$1</c15:sqref>
                  </c15:fullRef>
                </c:ext>
              </c:extLst>
              <c:f>Revenue!$D$1:$I$1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Revenue!$D$26:$I$26</c15:sqref>
                  </c15:fullRef>
                </c:ext>
              </c:extLst>
              <c:f>Revenue!$D$26:$I$26</c:f>
              <c:numCache>
                <c:formatCode>0.0%</c:formatCode>
                <c:ptCount val="6"/>
                <c:pt idx="0">
                  <c:v>1.5765867342744988E-2</c:v>
                </c:pt>
                <c:pt idx="1">
                  <c:v>0.34584941583365492</c:v>
                </c:pt>
                <c:pt idx="2">
                  <c:v>0.67586601343120711</c:v>
                </c:pt>
                <c:pt idx="3">
                  <c:v>0.52488926898736921</c:v>
                </c:pt>
                <c:pt idx="4">
                  <c:v>0.14283050531418984</c:v>
                </c:pt>
                <c:pt idx="5">
                  <c:v>4.8947626040130032E-4</c:v>
                </c:pt>
              </c:numCache>
            </c:numRef>
          </c: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6-B53B-4E03-90BB-007D73781B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6421104"/>
        <c:axId val="1176441744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v>Global IT</c:v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ullRef>
                          <c15:sqref>Revenue!$D$1:$I$1</c15:sqref>
                        </c15:fullRef>
                        <c15:formulaRef>
                          <c15:sqref>Revenue!$D$1:$I$1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(Revenue!$D$21:$H$21,Revenue!$AY$21:$BB$21)</c15:sqref>
                        </c15:fullRef>
                        <c15:formulaRef>
                          <c15:sqref>(Revenue!$D$21:$H$21,Revenue!$AY$21)</c15:sqref>
                        </c15:formulaRef>
                      </c:ext>
                    </c:extLst>
                    <c:numCache>
                      <c:formatCode>0.0%</c:formatCode>
                      <c:ptCount val="6"/>
                      <c:pt idx="0">
                        <c:v>0.10621223346508968</c:v>
                      </c:pt>
                      <c:pt idx="1">
                        <c:v>0.21170716301146797</c:v>
                      </c:pt>
                      <c:pt idx="2">
                        <c:v>0.30085639711319878</c:v>
                      </c:pt>
                      <c:pt idx="3">
                        <c:v>0.28402673490843022</c:v>
                      </c:pt>
                      <c:pt idx="4">
                        <c:v>0.2744153491436101</c:v>
                      </c:pt>
                      <c:pt idx="5">
                        <c:v>0.16959565652236042</c:v>
                      </c:pt>
                    </c:numCache>
                  </c:numRef>
                </c:val>
                <c:smooth val="1"/>
                <c:extLst>
                  <c:ext xmlns:c16="http://schemas.microsoft.com/office/drawing/2014/chart" uri="{C3380CC4-5D6E-409C-BE32-E72D297353CC}">
                    <c16:uniqueId val="{00000001-B53B-4E03-90BB-007D73781BF1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Domestic IT</c:v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Revenue!$D$1:$I$1</c15:sqref>
                        </c15:fullRef>
                        <c15:formulaRef>
                          <c15:sqref>Revenue!$D$1:$I$1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(Revenue!$D$22:$H$22,Revenue!$AY$22:$BB$22)</c15:sqref>
                        </c15:fullRef>
                        <c15:formulaRef>
                          <c15:sqref>(Revenue!$D$22:$H$22,Revenue!$AY$22)</c15:sqref>
                        </c15:formulaRef>
                      </c:ext>
                    </c:extLst>
                    <c:numCache>
                      <c:formatCode>0.0%</c:formatCode>
                      <c:ptCount val="6"/>
                      <c:pt idx="0">
                        <c:v>-2.6479538059853147E-2</c:v>
                      </c:pt>
                      <c:pt idx="1">
                        <c:v>0.31776799748245055</c:v>
                      </c:pt>
                      <c:pt idx="2">
                        <c:v>8.1492481255852844E-2</c:v>
                      </c:pt>
                      <c:pt idx="3">
                        <c:v>4.5797183401368846E-2</c:v>
                      </c:pt>
                      <c:pt idx="4">
                        <c:v>0.13908671973188103</c:v>
                      </c:pt>
                      <c:pt idx="5">
                        <c:v>7.5407608695652106E-2</c:v>
                      </c:pt>
                    </c:numCache>
                  </c:numRef>
                </c: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53B-4E03-90BB-007D73781BF1}"/>
                  </c:ext>
                </c:extLst>
              </c15:ser>
            </c15:filteredLineSeries>
            <c15:filteredLineSeries>
              <c15:ser>
                <c:idx val="5"/>
                <c:order val="6"/>
                <c:tx>
                  <c:v>Global IT signed revenue</c:v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Revenue!$D$1:$I$1</c15:sqref>
                        </c15:fullRef>
                        <c15:formulaRef>
                          <c15:sqref>Revenue!$D$1:$I$1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(Revenue!$D$254:$H$254,Revenue!$AY$251:$BB$251)</c15:sqref>
                        </c15:fullRef>
                        <c15:formulaRef>
                          <c15:sqref>(Revenue!$D$254:$H$254,Revenue!$AY$251)</c15:sqref>
                        </c15:formulaRef>
                      </c:ext>
                    </c:extLst>
                    <c:numCache>
                      <c:formatCode>0.0%</c:formatCode>
                      <c:ptCount val="6"/>
                      <c:pt idx="0">
                        <c:v>0.23038616931316369</c:v>
                      </c:pt>
                      <c:pt idx="1">
                        <c:v>0.18678885070637641</c:v>
                      </c:pt>
                      <c:pt idx="2">
                        <c:v>0.38948587606975105</c:v>
                      </c:pt>
                      <c:pt idx="3">
                        <c:v>0.37616930628878387</c:v>
                      </c:pt>
                      <c:pt idx="4">
                        <c:v>0.13039674260524281</c:v>
                      </c:pt>
                      <c:pt idx="5">
                        <c:v>0.24336493236601564</c:v>
                      </c:pt>
                    </c:numCache>
                  </c:numRef>
                </c: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53B-4E03-90BB-007D73781BF1}"/>
                  </c:ext>
                </c:extLst>
              </c15:ser>
            </c15:filteredLineSeries>
          </c:ext>
        </c:extLst>
      </c:lineChart>
      <c:catAx>
        <c:axId val="117642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441744"/>
        <c:crosses val="autoZero"/>
        <c:auto val="1"/>
        <c:lblAlgn val="ctr"/>
        <c:lblOffset val="100"/>
        <c:noMultiLvlLbl val="0"/>
      </c:catAx>
      <c:valAx>
        <c:axId val="1176441744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42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v>Global IT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Revenue!$D$1:$I$1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Revenue!$D$21:$AT$21</c:f>
              <c:numCache>
                <c:formatCode>0.0%</c:formatCode>
                <c:ptCount val="43"/>
                <c:pt idx="0">
                  <c:v>0.10621223346508968</c:v>
                </c:pt>
                <c:pt idx="1">
                  <c:v>0.21170716301146797</c:v>
                </c:pt>
                <c:pt idx="2">
                  <c:v>0.30085639711319878</c:v>
                </c:pt>
                <c:pt idx="3">
                  <c:v>0.28402673490843022</c:v>
                </c:pt>
                <c:pt idx="4">
                  <c:v>0.2744153491436101</c:v>
                </c:pt>
                <c:pt idx="5">
                  <c:v>0.14308790747261968</c:v>
                </c:pt>
                <c:pt idx="6">
                  <c:v>0.14668042169526019</c:v>
                </c:pt>
                <c:pt idx="7">
                  <c:v>0.16651158062367233</c:v>
                </c:pt>
                <c:pt idx="8">
                  <c:v>0.17659110654181842</c:v>
                </c:pt>
                <c:pt idx="10">
                  <c:v>-3.2307046166746289E-5</c:v>
                </c:pt>
                <c:pt idx="11">
                  <c:v>0</c:v>
                </c:pt>
                <c:pt idx="31">
                  <c:v>9.6374014113740136E-2</c:v>
                </c:pt>
                <c:pt idx="32">
                  <c:v>0.20348295140432615</c:v>
                </c:pt>
                <c:pt idx="33">
                  <c:v>0.25711212407151729</c:v>
                </c:pt>
                <c:pt idx="34">
                  <c:v>0.28081475928624711</c:v>
                </c:pt>
                <c:pt idx="35">
                  <c:v>0.2972075454076768</c:v>
                </c:pt>
                <c:pt idx="36">
                  <c:v>0.28380989895666531</c:v>
                </c:pt>
                <c:pt idx="37">
                  <c:v>0.30158646362061825</c:v>
                </c:pt>
                <c:pt idx="38">
                  <c:v>0.31939752238606323</c:v>
                </c:pt>
                <c:pt idx="39">
                  <c:v>0.32262359453680478</c:v>
                </c:pt>
                <c:pt idx="40">
                  <c:v>0.28343346516742352</c:v>
                </c:pt>
                <c:pt idx="41">
                  <c:v>0.31746826206809398</c:v>
                </c:pt>
                <c:pt idx="42">
                  <c:v>0.22370220429875465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026-473C-91A6-EB0F8D321AED}"/>
            </c:ext>
          </c:extLst>
        </c:ser>
        <c:ser>
          <c:idx val="0"/>
          <c:order val="1"/>
          <c:tx>
            <c:v>Domestic IT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Revenue!$D$1:$I$1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Revenue!$D$22:$I$22</c:f>
              <c:numCache>
                <c:formatCode>0.0%</c:formatCode>
                <c:ptCount val="6"/>
                <c:pt idx="0">
                  <c:v>-2.6479538059853147E-2</c:v>
                </c:pt>
                <c:pt idx="1">
                  <c:v>0.31776799748245055</c:v>
                </c:pt>
                <c:pt idx="2">
                  <c:v>8.1492481255852844E-2</c:v>
                </c:pt>
                <c:pt idx="3">
                  <c:v>4.5797183401368846E-2</c:v>
                </c:pt>
                <c:pt idx="4">
                  <c:v>0.13908671973188103</c:v>
                </c:pt>
                <c:pt idx="5">
                  <c:v>0.11474806914306734</c:v>
                </c:pt>
              </c:numCache>
            </c:numRef>
          </c: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7026-473C-91A6-EB0F8D321AED}"/>
            </c:ext>
          </c:extLst>
        </c:ser>
        <c:ser>
          <c:idx val="4"/>
          <c:order val="2"/>
          <c:tx>
            <c:v>Telecom &amp; Broadband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Revenue!$D$1:$I$1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Revenue!$D$24:$I$24</c:f>
              <c:numCache>
                <c:formatCode>0.0%</c:formatCode>
                <c:ptCount val="6"/>
                <c:pt idx="0">
                  <c:v>0.11006596754424192</c:v>
                </c:pt>
                <c:pt idx="1">
                  <c:v>0.11150038331635681</c:v>
                </c:pt>
                <c:pt idx="2">
                  <c:v>0.15527709241027865</c:v>
                </c:pt>
                <c:pt idx="3">
                  <c:v>8.8272938222272668E-2</c:v>
                </c:pt>
                <c:pt idx="4">
                  <c:v>0.11326221519820878</c:v>
                </c:pt>
                <c:pt idx="5">
                  <c:v>0.10623447296817701</c:v>
                </c:pt>
              </c:numCache>
            </c:numRef>
          </c: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7026-473C-91A6-EB0F8D321AED}"/>
            </c:ext>
          </c:extLst>
        </c:ser>
        <c:ser>
          <c:idx val="2"/>
          <c:order val="3"/>
          <c:tx>
            <c:v>Digital content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Revenue!$D$1:$I$1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Revenue!$D$25:$I$25</c:f>
              <c:numCache>
                <c:formatCode>0.0%</c:formatCode>
                <c:ptCount val="6"/>
                <c:pt idx="0">
                  <c:v>-1.6036694716512812E-2</c:v>
                </c:pt>
                <c:pt idx="1">
                  <c:v>1.433194637078139E-2</c:v>
                </c:pt>
                <c:pt idx="2">
                  <c:v>0.2759264683136482</c:v>
                </c:pt>
                <c:pt idx="3">
                  <c:v>-0.20044259371264161</c:v>
                </c:pt>
                <c:pt idx="4">
                  <c:v>0.13709677419354849</c:v>
                </c:pt>
                <c:pt idx="5">
                  <c:v>0.14184397163120566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7026-473C-91A6-EB0F8D321A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6421104"/>
        <c:axId val="1176441744"/>
        <c:extLst/>
      </c:lineChart>
      <c:catAx>
        <c:axId val="117642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441744"/>
        <c:crosses val="autoZero"/>
        <c:auto val="1"/>
        <c:lblAlgn val="ctr"/>
        <c:lblOffset val="100"/>
        <c:noMultiLvlLbl val="0"/>
      </c:catAx>
      <c:valAx>
        <c:axId val="1176441744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42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Revenue!$A$170</c:f>
              <c:strCache>
                <c:ptCount val="1"/>
                <c:pt idx="0">
                  <c:v>Japan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Revenue!$D$1:$I$1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Revenue!$D$170:$I$170</c:f>
              <c:numCache>
                <c:formatCode>0.0%</c:formatCode>
                <c:ptCount val="6"/>
                <c:pt idx="0">
                  <c:v>9.3513505646757533E-2</c:v>
                </c:pt>
                <c:pt idx="1">
                  <c:v>5.3402096157045387E-2</c:v>
                </c:pt>
                <c:pt idx="2">
                  <c:v>0.15950726468730259</c:v>
                </c:pt>
                <c:pt idx="3">
                  <c:v>0.26995369109234546</c:v>
                </c:pt>
                <c:pt idx="4">
                  <c:v>0.3218575718575718</c:v>
                </c:pt>
                <c:pt idx="5">
                  <c:v>0.25371196754563896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A77-465C-B497-137CF71E2627}"/>
            </c:ext>
          </c:extLst>
        </c:ser>
        <c:ser>
          <c:idx val="2"/>
          <c:order val="2"/>
          <c:tx>
            <c:strRef>
              <c:f>Revenue!$A$171</c:f>
              <c:strCache>
                <c:ptCount val="1"/>
                <c:pt idx="0">
                  <c:v>US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Revenue!$D$1:$I$1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Revenue!$D$171:$I$171</c:f>
              <c:numCache>
                <c:formatCode>0.0%</c:formatCode>
                <c:ptCount val="6"/>
                <c:pt idx="0">
                  <c:v>9.2651369041291343E-2</c:v>
                </c:pt>
                <c:pt idx="1">
                  <c:v>0.51806810284920091</c:v>
                </c:pt>
                <c:pt idx="2">
                  <c:v>0.49919890135042344</c:v>
                </c:pt>
                <c:pt idx="3">
                  <c:v>8.6259541984732735E-2</c:v>
                </c:pt>
                <c:pt idx="4">
                  <c:v>8.9388615600843213E-2</c:v>
                </c:pt>
                <c:pt idx="5">
                  <c:v>5.3154431686234016E-2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A77-465C-B497-137CF71E2627}"/>
            </c:ext>
          </c:extLst>
        </c:ser>
        <c:ser>
          <c:idx val="3"/>
          <c:order val="3"/>
          <c:tx>
            <c:strRef>
              <c:f>Revenue!$A$172</c:f>
              <c:strCache>
                <c:ptCount val="1"/>
                <c:pt idx="0">
                  <c:v>EU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Revenue!$D$1:$I$1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Revenue!$D$172:$I$172</c:f>
              <c:numCache>
                <c:formatCode>0.0%</c:formatCode>
                <c:ptCount val="6"/>
                <c:pt idx="0">
                  <c:v>-3.6558388636628303E-2</c:v>
                </c:pt>
                <c:pt idx="1">
                  <c:v>0.15206445115810685</c:v>
                </c:pt>
                <c:pt idx="2">
                  <c:v>0.19405594405594395</c:v>
                </c:pt>
                <c:pt idx="3">
                  <c:v>0.27086383601756947</c:v>
                </c:pt>
                <c:pt idx="4">
                  <c:v>0.51843317972350222</c:v>
                </c:pt>
                <c:pt idx="5">
                  <c:v>0.36305007587253413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A77-465C-B497-137CF71E2627}"/>
            </c:ext>
          </c:extLst>
        </c:ser>
        <c:ser>
          <c:idx val="4"/>
          <c:order val="4"/>
          <c:tx>
            <c:strRef>
              <c:f>Revenue!$A$173</c:f>
              <c:strCache>
                <c:ptCount val="1"/>
                <c:pt idx="0">
                  <c:v>APAC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Revenue!$D$1:$I$1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Revenue!$D$173:$I$173</c:f>
              <c:numCache>
                <c:formatCode>0.0%</c:formatCode>
                <c:ptCount val="6"/>
                <c:pt idx="0">
                  <c:v>0.2335545465129818</c:v>
                </c:pt>
                <c:pt idx="1">
                  <c:v>0.27229825389334583</c:v>
                </c:pt>
                <c:pt idx="2">
                  <c:v>0.36387240356083095</c:v>
                </c:pt>
                <c:pt idx="3">
                  <c:v>0.66249660048952941</c:v>
                </c:pt>
                <c:pt idx="4">
                  <c:v>0.3479469982005563</c:v>
                </c:pt>
                <c:pt idx="5">
                  <c:v>-8.1310679611650283E-3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6A77-465C-B497-137CF71E2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9677407"/>
        <c:axId val="17596759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Revenue!$A$169</c15:sqref>
                        </c15:formulaRef>
                      </c:ext>
                    </c:extLst>
                    <c:strCache>
                      <c:ptCount val="1"/>
                      <c:pt idx="0">
                        <c:v>Global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Revenue!$D$1:$I$1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Revenue!$D$169:$I$169</c15:sqref>
                        </c15:formulaRef>
                      </c:ext>
                    </c:extLst>
                    <c:numCache>
                      <c:formatCode>0.0%</c:formatCode>
                      <c:ptCount val="6"/>
                      <c:pt idx="0">
                        <c:v>4.7939224589591323E-2</c:v>
                      </c:pt>
                      <c:pt idx="1">
                        <c:v>0.21164902924756279</c:v>
                      </c:pt>
                      <c:pt idx="2">
                        <c:v>0.30218004263805787</c:v>
                      </c:pt>
                      <c:pt idx="3">
                        <c:v>0.28270398732505941</c:v>
                      </c:pt>
                      <c:pt idx="4">
                        <c:v>0.2743741765480896</c:v>
                      </c:pt>
                      <c:pt idx="5">
                        <c:v>0.14309253036960445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6A77-465C-B497-137CF71E2627}"/>
                  </c:ext>
                </c:extLst>
              </c15:ser>
            </c15:filteredLineSeries>
          </c:ext>
        </c:extLst>
      </c:lineChart>
      <c:catAx>
        <c:axId val="175967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675967"/>
        <c:crosses val="autoZero"/>
        <c:auto val="1"/>
        <c:lblAlgn val="ctr"/>
        <c:lblOffset val="100"/>
        <c:noMultiLvlLbl val="0"/>
      </c:catAx>
      <c:valAx>
        <c:axId val="1759675967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67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7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r>
              <a:rPr lang="en-US" sz="700"/>
              <a:t>(VNDbn)</a:t>
            </a:r>
          </a:p>
        </c:rich>
      </c:tx>
      <c:layout>
        <c:manualLayout>
          <c:xMode val="edge"/>
          <c:yMode val="edge"/>
          <c:x val="1.4150545996565246E-2"/>
          <c:y val="8.82028665931642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KR"/>
        </a:p>
      </c:txPr>
    </c:title>
    <c:autoTitleDeleted val="0"/>
    <c:plotArea>
      <c:layout>
        <c:manualLayout>
          <c:layoutTarget val="inner"/>
          <c:xMode val="edge"/>
          <c:yMode val="edge"/>
          <c:x val="0.1417664542773904"/>
          <c:y val="0.21613464248611705"/>
          <c:w val="0.71893622724768835"/>
          <c:h val="0.6133525481310425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Revenue!$A$253</c:f>
              <c:strCache>
                <c:ptCount val="1"/>
                <c:pt idx="0">
                  <c:v>Signed revenue 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Revenue!$D$1:$I$1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Revenue!$D$253:$I$253</c:f>
              <c:numCache>
                <c:formatCode>_(* #,##0_);_(* \(#,##0\);_(* "0"_);_(@_)</c:formatCode>
                <c:ptCount val="6"/>
                <c:pt idx="0" formatCode="_(* #,##0_);_(* \(#,##0\);_(* \-??_);_(@_)">
                  <c:v>13095</c:v>
                </c:pt>
                <c:pt idx="1">
                  <c:v>15541</c:v>
                </c:pt>
                <c:pt idx="2">
                  <c:v>21594</c:v>
                </c:pt>
                <c:pt idx="3">
                  <c:v>29717</c:v>
                </c:pt>
                <c:pt idx="4">
                  <c:v>33592</c:v>
                </c:pt>
                <c:pt idx="5">
                  <c:v>40636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AB-4A3D-8BC9-7D4D53133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66310896"/>
        <c:axId val="966333456"/>
      </c:barChart>
      <c:lineChart>
        <c:grouping val="standard"/>
        <c:varyColors val="0"/>
        <c:ser>
          <c:idx val="2"/>
          <c:order val="1"/>
          <c:tx>
            <c:strRef>
              <c:f>Revenue!$A$254</c:f>
              <c:strCache>
                <c:ptCount val="1"/>
                <c:pt idx="0">
                  <c:v>Signed revenue YoY% growth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dLbls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7.7%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C3AB-4A3D-8BC9-7D4D53133C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Revenue!$C$1:$I$1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Revenue!$D$254:$I$254</c:f>
              <c:numCache>
                <c:formatCode>0.0%</c:formatCode>
                <c:ptCount val="6"/>
                <c:pt idx="0">
                  <c:v>0.23038616931316369</c:v>
                </c:pt>
                <c:pt idx="1">
                  <c:v>0.18678885070637641</c:v>
                </c:pt>
                <c:pt idx="2">
                  <c:v>0.38948587606975105</c:v>
                </c:pt>
                <c:pt idx="3">
                  <c:v>0.37616930628878387</c:v>
                </c:pt>
                <c:pt idx="4">
                  <c:v>0.13039674260524281</c:v>
                </c:pt>
                <c:pt idx="5">
                  <c:v>0.20969278399618951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AB-4A3D-8BC9-7D4D53133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6359856"/>
        <c:axId val="966358896"/>
      </c:lineChart>
      <c:catAx>
        <c:axId val="96631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966333456"/>
        <c:crosses val="autoZero"/>
        <c:auto val="1"/>
        <c:lblAlgn val="ctr"/>
        <c:lblOffset val="100"/>
        <c:noMultiLvlLbl val="0"/>
      </c:catAx>
      <c:valAx>
        <c:axId val="966333456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966310896"/>
        <c:crosses val="autoZero"/>
        <c:crossBetween val="between"/>
        <c:majorUnit val="10000"/>
      </c:valAx>
      <c:valAx>
        <c:axId val="966358896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966359856"/>
        <c:crosses val="max"/>
        <c:crossBetween val="between"/>
      </c:valAx>
      <c:catAx>
        <c:axId val="9663598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663588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6639595134783236"/>
          <c:y val="3.8956266078647574E-3"/>
          <c:w val="0.64371330688041095"/>
          <c:h val="0.113447753981138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v>Global IT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Revenue!$D$1:$I$1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Revenue!$D$21:$I$21</c:f>
              <c:numCache>
                <c:formatCode>0.0%</c:formatCode>
                <c:ptCount val="6"/>
                <c:pt idx="0">
                  <c:v>0.10621223346508968</c:v>
                </c:pt>
                <c:pt idx="1">
                  <c:v>0.21170716301146797</c:v>
                </c:pt>
                <c:pt idx="2">
                  <c:v>0.30085639711319878</c:v>
                </c:pt>
                <c:pt idx="3">
                  <c:v>0.28402673490843022</c:v>
                </c:pt>
                <c:pt idx="4">
                  <c:v>0.2744153491436101</c:v>
                </c:pt>
                <c:pt idx="5">
                  <c:v>0.14308790747261968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68-4D87-B702-82B8ED370D81}"/>
            </c:ext>
          </c:extLst>
        </c:ser>
        <c:ser>
          <c:idx val="0"/>
          <c:order val="1"/>
          <c:tx>
            <c:v>Domestic IT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Revenue!$D$1:$I$1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Revenue!$D$22:$I$22</c:f>
              <c:numCache>
                <c:formatCode>0.0%</c:formatCode>
                <c:ptCount val="6"/>
                <c:pt idx="0">
                  <c:v>-2.6479538059853147E-2</c:v>
                </c:pt>
                <c:pt idx="1">
                  <c:v>0.31776799748245055</c:v>
                </c:pt>
                <c:pt idx="2">
                  <c:v>8.1492481255852844E-2</c:v>
                </c:pt>
                <c:pt idx="3">
                  <c:v>4.5797183401368846E-2</c:v>
                </c:pt>
                <c:pt idx="4">
                  <c:v>0.13908671973188103</c:v>
                </c:pt>
                <c:pt idx="5">
                  <c:v>0.11474806914306734</c:v>
                </c:pt>
              </c:numCache>
            </c:numRef>
          </c: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DB68-4D87-B702-82B8ED370D81}"/>
            </c:ext>
          </c:extLst>
        </c:ser>
        <c:ser>
          <c:idx val="4"/>
          <c:order val="2"/>
          <c:tx>
            <c:v>Telecom &amp; Broadband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Revenue!$D$1:$I$1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Revenue!$D$24:$I$24</c:f>
              <c:numCache>
                <c:formatCode>0.0%</c:formatCode>
                <c:ptCount val="6"/>
                <c:pt idx="0">
                  <c:v>0.11006596754424192</c:v>
                </c:pt>
                <c:pt idx="1">
                  <c:v>0.11150038331635681</c:v>
                </c:pt>
                <c:pt idx="2">
                  <c:v>0.15527709241027865</c:v>
                </c:pt>
                <c:pt idx="3">
                  <c:v>8.8272938222272668E-2</c:v>
                </c:pt>
                <c:pt idx="4">
                  <c:v>0.11326221519820878</c:v>
                </c:pt>
                <c:pt idx="5">
                  <c:v>0.10623447296817701</c:v>
                </c:pt>
              </c:numCache>
            </c:numRef>
          </c: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DB68-4D87-B702-82B8ED370D81}"/>
            </c:ext>
          </c:extLst>
        </c:ser>
        <c:ser>
          <c:idx val="2"/>
          <c:order val="3"/>
          <c:tx>
            <c:v>Digital content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Revenue!$D$1:$I$1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Revenue!$D$25:$I$25</c:f>
              <c:numCache>
                <c:formatCode>0.0%</c:formatCode>
                <c:ptCount val="6"/>
                <c:pt idx="0">
                  <c:v>-1.6036694716512812E-2</c:v>
                </c:pt>
                <c:pt idx="1">
                  <c:v>1.433194637078139E-2</c:v>
                </c:pt>
                <c:pt idx="2">
                  <c:v>0.2759264683136482</c:v>
                </c:pt>
                <c:pt idx="3">
                  <c:v>-0.20044259371264161</c:v>
                </c:pt>
                <c:pt idx="4">
                  <c:v>0.13709677419354849</c:v>
                </c:pt>
                <c:pt idx="5">
                  <c:v>0.14184397163120566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B68-4D87-B702-82B8ED370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6421104"/>
        <c:axId val="1176441744"/>
        <c:extLst/>
      </c:lineChart>
      <c:catAx>
        <c:axId val="117642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176441744"/>
        <c:crosses val="autoZero"/>
        <c:auto val="1"/>
        <c:lblAlgn val="ctr"/>
        <c:lblOffset val="100"/>
        <c:noMultiLvlLbl val="0"/>
      </c:catAx>
      <c:valAx>
        <c:axId val="1176441744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17642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365330175478906"/>
          <c:y val="0.83432727688699926"/>
          <c:w val="0.79888120045600375"/>
          <c:h val="0.129353110522201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Gross margin (%)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Revenue!$B$1:$I$1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Revenue!$B$8:$I$8</c:f>
              <c:numCache>
                <c:formatCode>0.0%</c:formatCode>
                <c:ptCount val="8"/>
                <c:pt idx="0">
                  <c:v>0.37576690872016782</c:v>
                </c:pt>
                <c:pt idx="1">
                  <c:v>0.38647995899516985</c:v>
                </c:pt>
                <c:pt idx="2">
                  <c:v>0.39602745072443657</c:v>
                </c:pt>
                <c:pt idx="3">
                  <c:v>0.38230540607439883</c:v>
                </c:pt>
                <c:pt idx="4">
                  <c:v>0.39008095623448957</c:v>
                </c:pt>
                <c:pt idx="5">
                  <c:v>0.38617187544864356</c:v>
                </c:pt>
                <c:pt idx="6">
                  <c:v>0.37706915280310094</c:v>
                </c:pt>
                <c:pt idx="7">
                  <c:v>0.51358252596588183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D1-426B-802B-1697E5B6722E}"/>
            </c:ext>
          </c:extLst>
        </c:ser>
        <c:ser>
          <c:idx val="1"/>
          <c:order val="1"/>
          <c:tx>
            <c:v>PBT margin (%)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Revenue!$B$1:$I$1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Revenue!$B$134:$I$134</c:f>
              <c:numCache>
                <c:formatCode>0.0%</c:formatCode>
                <c:ptCount val="8"/>
                <c:pt idx="0">
                  <c:v>0.16617900920696058</c:v>
                </c:pt>
                <c:pt idx="1">
                  <c:v>0.16829156177587301</c:v>
                </c:pt>
                <c:pt idx="2">
                  <c:v>0.17644605962410762</c:v>
                </c:pt>
                <c:pt idx="3">
                  <c:v>0.17772554561516188</c:v>
                </c:pt>
                <c:pt idx="4">
                  <c:v>0.17410509413859251</c:v>
                </c:pt>
                <c:pt idx="5">
                  <c:v>0.17490224065091786</c:v>
                </c:pt>
                <c:pt idx="6">
                  <c:v>0.17612824184566436</c:v>
                </c:pt>
                <c:pt idx="7">
                  <c:v>0.18731950822945495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D1-426B-802B-1697E5B6722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63766928"/>
        <c:axId val="1763772688"/>
      </c:lineChart>
      <c:catAx>
        <c:axId val="17637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772688"/>
        <c:crosses val="autoZero"/>
        <c:auto val="1"/>
        <c:lblAlgn val="ctr"/>
        <c:lblOffset val="100"/>
        <c:noMultiLvlLbl val="0"/>
      </c:catAx>
      <c:valAx>
        <c:axId val="1763772688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17637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v>Global IT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Revenue!$C$1:$J$1</c:f>
              <c:strCach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2026F</c:v>
                </c:pt>
              </c:strCache>
            </c:strRef>
          </c:cat>
          <c:val>
            <c:numRef>
              <c:f>Revenue!$C$21:$J$21</c:f>
              <c:numCache>
                <c:formatCode>0.0%</c:formatCode>
                <c:ptCount val="8"/>
                <c:pt idx="0">
                  <c:v>0.2847869928389648</c:v>
                </c:pt>
                <c:pt idx="1">
                  <c:v>0.10621223346508968</c:v>
                </c:pt>
                <c:pt idx="2">
                  <c:v>0.21170716301146797</c:v>
                </c:pt>
                <c:pt idx="3">
                  <c:v>0.30085639711319878</c:v>
                </c:pt>
                <c:pt idx="4">
                  <c:v>0.28402673490843022</c:v>
                </c:pt>
                <c:pt idx="5">
                  <c:v>0.2744153491436101</c:v>
                </c:pt>
                <c:pt idx="6">
                  <c:v>0.14308790747261968</c:v>
                </c:pt>
                <c:pt idx="7">
                  <c:v>0.14668042169526019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DB-4B9C-ACD2-9222EDAC5E27}"/>
            </c:ext>
          </c:extLst>
        </c:ser>
        <c:ser>
          <c:idx val="2"/>
          <c:order val="1"/>
          <c:tx>
            <c:v>Domestic IT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Revenue!$C$1:$J$1</c:f>
              <c:strCach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2026F</c:v>
                </c:pt>
              </c:strCache>
            </c:strRef>
          </c:cat>
          <c:val>
            <c:numRef>
              <c:f>Revenue!$C$22:$J$22</c:f>
              <c:numCache>
                <c:formatCode>0.0%</c:formatCode>
                <c:ptCount val="8"/>
                <c:pt idx="0">
                  <c:v>-4.5872392298503817E-3</c:v>
                </c:pt>
                <c:pt idx="1">
                  <c:v>-2.6479538059853147E-2</c:v>
                </c:pt>
                <c:pt idx="2">
                  <c:v>0.31776799748245055</c:v>
                </c:pt>
                <c:pt idx="3">
                  <c:v>8.1492481255852844E-2</c:v>
                </c:pt>
                <c:pt idx="4">
                  <c:v>4.5797183401368846E-2</c:v>
                </c:pt>
                <c:pt idx="5">
                  <c:v>0.13908671973188103</c:v>
                </c:pt>
                <c:pt idx="6">
                  <c:v>0.11474806914306734</c:v>
                </c:pt>
                <c:pt idx="7">
                  <c:v>0.12000000000000011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DB-4B9C-ACD2-9222EDAC5E27}"/>
            </c:ext>
          </c:extLst>
        </c:ser>
        <c:ser>
          <c:idx val="3"/>
          <c:order val="2"/>
          <c:tx>
            <c:v>Telecom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Revenue!$C$1:$J$1</c:f>
              <c:strCach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2026F</c:v>
                </c:pt>
              </c:strCache>
            </c:strRef>
          </c:cat>
          <c:val>
            <c:numRef>
              <c:f>Revenue!$C$23:$J$23</c:f>
              <c:numCache>
                <c:formatCode>0.0%</c:formatCode>
                <c:ptCount val="8"/>
                <c:pt idx="0">
                  <c:v>0.17749105056356562</c:v>
                </c:pt>
                <c:pt idx="1">
                  <c:v>0.1026815882825356</c:v>
                </c:pt>
                <c:pt idx="2">
                  <c:v>0.10642295577052252</c:v>
                </c:pt>
                <c:pt idx="3">
                  <c:v>0.16105675550919973</c:v>
                </c:pt>
                <c:pt idx="4">
                  <c:v>7.3073771140099941E-2</c:v>
                </c:pt>
                <c:pt idx="5">
                  <c:v>0.11413387321270396</c:v>
                </c:pt>
                <c:pt idx="6">
                  <c:v>0.10772288472458835</c:v>
                </c:pt>
                <c:pt idx="7">
                  <c:v>0.11499999999999999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DB-4B9C-ACD2-9222EDAC5E27}"/>
            </c:ext>
          </c:extLst>
        </c:ser>
        <c:ser>
          <c:idx val="6"/>
          <c:order val="3"/>
          <c:tx>
            <c:v>Education &amp; Investments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Revenue!$C$1:$J$1</c:f>
              <c:strCach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2026F</c:v>
                </c:pt>
              </c:strCache>
            </c:strRef>
          </c:cat>
          <c:val>
            <c:numRef>
              <c:f>Revenue!$C$26:$J$26</c:f>
              <c:numCache>
                <c:formatCode>0.0%</c:formatCode>
                <c:ptCount val="8"/>
                <c:pt idx="0">
                  <c:v>0.56490822757534787</c:v>
                </c:pt>
                <c:pt idx="1">
                  <c:v>1.5765867342744988E-2</c:v>
                </c:pt>
                <c:pt idx="2">
                  <c:v>0.34584941583365492</c:v>
                </c:pt>
                <c:pt idx="3">
                  <c:v>0.67586601343120711</c:v>
                </c:pt>
                <c:pt idx="4">
                  <c:v>0.52488926898736921</c:v>
                </c:pt>
                <c:pt idx="5">
                  <c:v>0.14283050531418984</c:v>
                </c:pt>
                <c:pt idx="6">
                  <c:v>4.8947626040130032E-4</c:v>
                </c:pt>
                <c:pt idx="7">
                  <c:v>5.0000000000000044E-2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DDB-4B9C-ACD2-9222EDAC5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1622480"/>
        <c:axId val="1741641200"/>
      </c:lineChart>
      <c:catAx>
        <c:axId val="174162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641200"/>
        <c:crosses val="autoZero"/>
        <c:auto val="1"/>
        <c:lblAlgn val="ctr"/>
        <c:lblOffset val="100"/>
        <c:noMultiLvlLbl val="0"/>
      </c:catAx>
      <c:valAx>
        <c:axId val="1741641200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622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Revenue!$A$170</c:f>
              <c:strCache>
                <c:ptCount val="1"/>
                <c:pt idx="0">
                  <c:v>Japan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Revenue!$C$1:$J$1</c15:sqref>
                  </c15:fullRef>
                </c:ext>
              </c:extLst>
              <c:f>Revenue!$F$1:$J$1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Revenue!$C$170:$J$170</c15:sqref>
                  </c15:fullRef>
                </c:ext>
              </c:extLst>
              <c:f>Revenue!$F$170:$J$170</c:f>
              <c:numCache>
                <c:formatCode>0.0%</c:formatCode>
                <c:ptCount val="5"/>
                <c:pt idx="0">
                  <c:v>0.15950726468730259</c:v>
                </c:pt>
                <c:pt idx="1">
                  <c:v>0.26995369109234546</c:v>
                </c:pt>
                <c:pt idx="2">
                  <c:v>0.3218575718575718</c:v>
                </c:pt>
                <c:pt idx="3">
                  <c:v>0.25371196754563896</c:v>
                </c:pt>
                <c:pt idx="4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74-4F37-A2C0-1AF994E3E17A}"/>
            </c:ext>
          </c:extLst>
        </c:ser>
        <c:ser>
          <c:idx val="1"/>
          <c:order val="1"/>
          <c:tx>
            <c:strRef>
              <c:f>Revenue!$A$171</c:f>
              <c:strCache>
                <c:ptCount val="1"/>
                <c:pt idx="0">
                  <c:v>US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Revenue!$C$1:$J$1</c15:sqref>
                  </c15:fullRef>
                </c:ext>
              </c:extLst>
              <c:f>Revenue!$F$1:$J$1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Revenue!$C$171:$J$171</c15:sqref>
                  </c15:fullRef>
                </c:ext>
              </c:extLst>
              <c:f>Revenue!$F$171:$J$171</c:f>
              <c:numCache>
                <c:formatCode>0.0%</c:formatCode>
                <c:ptCount val="5"/>
                <c:pt idx="0">
                  <c:v>0.49919890135042344</c:v>
                </c:pt>
                <c:pt idx="1">
                  <c:v>8.6259541984732735E-2</c:v>
                </c:pt>
                <c:pt idx="2">
                  <c:v>8.9388615600843213E-2</c:v>
                </c:pt>
                <c:pt idx="3">
                  <c:v>5.3154431686234016E-2</c:v>
                </c:pt>
                <c:pt idx="4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74-4F37-A2C0-1AF994E3E17A}"/>
            </c:ext>
          </c:extLst>
        </c:ser>
        <c:ser>
          <c:idx val="2"/>
          <c:order val="2"/>
          <c:tx>
            <c:strRef>
              <c:f>Revenue!$A$172</c:f>
              <c:strCache>
                <c:ptCount val="1"/>
                <c:pt idx="0">
                  <c:v>EU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Revenue!$C$1:$J$1</c15:sqref>
                  </c15:fullRef>
                </c:ext>
              </c:extLst>
              <c:f>Revenue!$F$1:$J$1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Revenue!$C$172:$J$172</c15:sqref>
                  </c15:fullRef>
                </c:ext>
              </c:extLst>
              <c:f>Revenue!$F$172:$J$172</c:f>
              <c:numCache>
                <c:formatCode>0.0%</c:formatCode>
                <c:ptCount val="5"/>
                <c:pt idx="0">
                  <c:v>0.19405594405594395</c:v>
                </c:pt>
                <c:pt idx="1">
                  <c:v>0.27086383601756947</c:v>
                </c:pt>
                <c:pt idx="2">
                  <c:v>0.51843317972350222</c:v>
                </c:pt>
                <c:pt idx="3">
                  <c:v>0.36305007587253413</c:v>
                </c:pt>
                <c:pt idx="4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74-4F37-A2C0-1AF994E3E17A}"/>
            </c:ext>
          </c:extLst>
        </c:ser>
        <c:ser>
          <c:idx val="3"/>
          <c:order val="3"/>
          <c:tx>
            <c:strRef>
              <c:f>Revenue!$A$173</c:f>
              <c:strCache>
                <c:ptCount val="1"/>
                <c:pt idx="0">
                  <c:v>APAC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Revenue!$C$1:$J$1</c15:sqref>
                  </c15:fullRef>
                </c:ext>
              </c:extLst>
              <c:f>Revenue!$F$1:$J$1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Revenue!$C$173:$J$173</c15:sqref>
                  </c15:fullRef>
                </c:ext>
              </c:extLst>
              <c:f>Revenue!$F$173:$J$173</c:f>
              <c:numCache>
                <c:formatCode>0.0%</c:formatCode>
                <c:ptCount val="5"/>
                <c:pt idx="0">
                  <c:v>0.36387240356083095</c:v>
                </c:pt>
                <c:pt idx="1">
                  <c:v>0.66249660048952941</c:v>
                </c:pt>
                <c:pt idx="2">
                  <c:v>0.3479469982005563</c:v>
                </c:pt>
                <c:pt idx="3">
                  <c:v>-8.1310679611650283E-3</c:v>
                </c:pt>
                <c:pt idx="4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774-4F37-A2C0-1AF994E3E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1632560"/>
        <c:axId val="1741634000"/>
      </c:lineChart>
      <c:catAx>
        <c:axId val="174163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634000"/>
        <c:crosses val="autoZero"/>
        <c:auto val="1"/>
        <c:lblAlgn val="ctr"/>
        <c:lblOffset val="100"/>
        <c:noMultiLvlLbl val="0"/>
      </c:catAx>
      <c:valAx>
        <c:axId val="174163400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63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v>IT segment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Revenue!$E$1:$I$1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Revenue!$E$11:$I$11</c:f>
              <c:numCache>
                <c:formatCode>_(* #,##0_);_(* \(#,##0\);_(* \-??_);_(@_)</c:formatCode>
                <c:ptCount val="5"/>
                <c:pt idx="0">
                  <c:v>20872.243999999999</c:v>
                </c:pt>
                <c:pt idx="1">
                  <c:v>25762.901999999998</c:v>
                </c:pt>
                <c:pt idx="2">
                  <c:v>31449</c:v>
                </c:pt>
                <c:pt idx="3">
                  <c:v>39110</c:v>
                </c:pt>
                <c:pt idx="4">
                  <c:v>44475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7E-4D8D-9D9A-AD2BDF42E18E}"/>
            </c:ext>
          </c:extLst>
        </c:ser>
        <c:ser>
          <c:idx val="1"/>
          <c:order val="1"/>
          <c:tx>
            <c:v>Telecom segment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Revenue!$E$1:$I$1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Revenue!$E$14:$I$14</c:f>
              <c:numCache>
                <c:formatCode>_(* #,##0_);_(* \(#,##0\);_(* \-??_);_(@_)</c:formatCode>
                <c:ptCount val="5"/>
                <c:pt idx="0">
                  <c:v>12686.415999999999</c:v>
                </c:pt>
                <c:pt idx="1">
                  <c:v>14729.648999999999</c:v>
                </c:pt>
                <c:pt idx="2">
                  <c:v>15806</c:v>
                </c:pt>
                <c:pt idx="3">
                  <c:v>17610</c:v>
                </c:pt>
                <c:pt idx="4" formatCode="#,##0">
                  <c:v>19507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7E-4D8D-9D9A-AD2BDF42E18E}"/>
            </c:ext>
          </c:extLst>
        </c:ser>
        <c:ser>
          <c:idx val="3"/>
          <c:order val="2"/>
          <c:tx>
            <c:v>Education segment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Revenue!$E$1:$I$1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Revenue!$E$17:$I$17</c:f>
              <c:numCache>
                <c:formatCode>_(* #,##0_);_(* \(#,##0\);_(* \-??_);_(@_)</c:formatCode>
                <c:ptCount val="5"/>
                <c:pt idx="0">
                  <c:v>2098.6025450270099</c:v>
                </c:pt>
                <c:pt idx="1">
                  <c:v>3516.9766809110006</c:v>
                </c:pt>
                <c:pt idx="2">
                  <c:v>5363</c:v>
                </c:pt>
                <c:pt idx="3">
                  <c:v>6129</c:v>
                </c:pt>
                <c:pt idx="4">
                  <c:v>6132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7E-4D8D-9D9A-AD2BDF42E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741694480"/>
        <c:axId val="1741677680"/>
      </c:barChart>
      <c:catAx>
        <c:axId val="1741694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677680"/>
        <c:crosses val="autoZero"/>
        <c:auto val="1"/>
        <c:lblAlgn val="ctr"/>
        <c:lblOffset val="100"/>
        <c:noMultiLvlLbl val="0"/>
      </c:catAx>
      <c:valAx>
        <c:axId val="1741677680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69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r>
              <a:rPr lang="en-US" sz="800"/>
              <a:t>(VNDbn)</a:t>
            </a:r>
          </a:p>
        </c:rich>
      </c:tx>
      <c:layout>
        <c:manualLayout>
          <c:xMode val="edge"/>
          <c:yMode val="edge"/>
          <c:x val="3.5658604958117368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525442970147763"/>
          <c:y val="9.533366783743101E-2"/>
          <c:w val="0.71853042591129401"/>
          <c:h val="0.48951685229010194"/>
        </c:manualLayout>
      </c:layout>
      <c:barChart>
        <c:barDir val="col"/>
        <c:grouping val="stacked"/>
        <c:varyColors val="0"/>
        <c:ser>
          <c:idx val="0"/>
          <c:order val="0"/>
          <c:tx>
            <c:v>Mảng Broadband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Revenue!$D$1:$I$1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Revenue!$D$199:$I$199</c:f>
              <c:numCache>
                <c:formatCode>_(* #,##0_);_(* \(#,##0\);_(* \-??_);_(@_)</c:formatCode>
                <c:ptCount val="6"/>
                <c:pt idx="0">
                  <c:v>6727</c:v>
                </c:pt>
                <c:pt idx="1">
                  <c:v>6787</c:v>
                </c:pt>
                <c:pt idx="2">
                  <c:v>7404</c:v>
                </c:pt>
                <c:pt idx="3">
                  <c:v>7838</c:v>
                </c:pt>
                <c:pt idx="4">
                  <c:v>8800</c:v>
                </c:pt>
                <c:pt idx="5">
                  <c:v>10007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F8-4F12-AD9A-63903D78FA26}"/>
            </c:ext>
          </c:extLst>
        </c:ser>
        <c:ser>
          <c:idx val="2"/>
          <c:order val="1"/>
          <c:tx>
            <c:v>Mảng ngoài Broadband (PayTV, Data Center)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Revenue!$D$1:$I$1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Revenue!$D$201:$I$201</c:f>
              <c:numCache>
                <c:formatCode>_(* #,##0_);_(* \(#,##0\);_(* \-??_);_(@_)</c:formatCode>
                <c:ptCount val="6"/>
                <c:pt idx="0">
                  <c:v>4140</c:v>
                </c:pt>
                <c:pt idx="1">
                  <c:v>5292</c:v>
                </c:pt>
                <c:pt idx="2">
                  <c:v>6550</c:v>
                </c:pt>
                <c:pt idx="3">
                  <c:v>7348</c:v>
                </c:pt>
                <c:pt idx="4">
                  <c:v>8106</c:v>
                </c:pt>
                <c:pt idx="5">
                  <c:v>8695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F8-4F12-AD9A-63903D78F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97378304"/>
        <c:axId val="1097375424"/>
      </c:barChart>
      <c:lineChart>
        <c:grouping val="standard"/>
        <c:varyColors val="0"/>
        <c:ser>
          <c:idx val="3"/>
          <c:order val="2"/>
          <c:tx>
            <c:v>Tăng trưởng doanh thu ngoài Broadband (%) 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Revenue!$D$1:$I$1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Revenue!$D$202:$I$202</c:f>
              <c:numCache>
                <c:formatCode>0.0%</c:formatCode>
                <c:ptCount val="6"/>
                <c:pt idx="0">
                  <c:v>0.11500134661998374</c:v>
                </c:pt>
                <c:pt idx="1">
                  <c:v>0.27826086956521734</c:v>
                </c:pt>
                <c:pt idx="2">
                  <c:v>0.23771730914588063</c:v>
                </c:pt>
                <c:pt idx="3">
                  <c:v>0.12183206106870226</c:v>
                </c:pt>
                <c:pt idx="4">
                  <c:v>0.10315732172019598</c:v>
                </c:pt>
                <c:pt idx="5">
                  <c:v>7.2662225511966438E-2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F8-4F12-AD9A-63903D78FA26}"/>
            </c:ext>
          </c:extLst>
        </c:ser>
        <c:ser>
          <c:idx val="1"/>
          <c:order val="3"/>
          <c:tx>
            <c:v>Tăng trưởng doanh thu Broadband (%) 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Revenue!$D$1:$I$1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Revenue!$D$200:$I$200</c:f>
              <c:numCache>
                <c:formatCode>0.0%</c:formatCode>
                <c:ptCount val="6"/>
                <c:pt idx="0">
                  <c:v>0.10714285714285721</c:v>
                </c:pt>
                <c:pt idx="1">
                  <c:v>8.9192805113720297E-3</c:v>
                </c:pt>
                <c:pt idx="2">
                  <c:v>9.0909090909090828E-2</c:v>
                </c:pt>
                <c:pt idx="3">
                  <c:v>5.8616963803349575E-2</c:v>
                </c:pt>
                <c:pt idx="4">
                  <c:v>0.12273539168155145</c:v>
                </c:pt>
                <c:pt idx="5">
                  <c:v>0.13715909090909095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F8-4F12-AD9A-63903D78F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7297664"/>
        <c:axId val="1097304864"/>
      </c:lineChart>
      <c:catAx>
        <c:axId val="109737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097375424"/>
        <c:crosses val="autoZero"/>
        <c:auto val="1"/>
        <c:lblAlgn val="ctr"/>
        <c:lblOffset val="100"/>
        <c:noMultiLvlLbl val="0"/>
      </c:catAx>
      <c:valAx>
        <c:axId val="1097375424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097378304"/>
        <c:crosses val="autoZero"/>
        <c:crossBetween val="between"/>
      </c:valAx>
      <c:valAx>
        <c:axId val="1097304864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097297664"/>
        <c:crosses val="max"/>
        <c:crossBetween val="between"/>
      </c:valAx>
      <c:catAx>
        <c:axId val="10972976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973048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71578398410183675"/>
          <c:w val="1"/>
          <c:h val="0.284216015898163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913100088078217"/>
          <c:y val="9.722222222222221E-2"/>
          <c:w val="0.70648980325270794"/>
          <c:h val="0.63391942905284993"/>
        </c:manualLayout>
      </c:layout>
      <c:barChart>
        <c:barDir val="col"/>
        <c:grouping val="clustered"/>
        <c:varyColors val="0"/>
        <c:ser>
          <c:idx val="0"/>
          <c:order val="0"/>
          <c:tx>
            <c:v>Số lượng học sinh trong hệ thống FPT Education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Revenue!$C$1:$I$1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Revenue!$C$214:$I$214</c:f>
              <c:numCache>
                <c:formatCode>_(* #,##0_);_(* \(#,##0\);_(* \-??_);_(@_)</c:formatCode>
                <c:ptCount val="7"/>
                <c:pt idx="0">
                  <c:v>39883</c:v>
                </c:pt>
                <c:pt idx="1">
                  <c:v>52005</c:v>
                </c:pt>
                <c:pt idx="2">
                  <c:v>74313</c:v>
                </c:pt>
                <c:pt idx="3">
                  <c:v>108100</c:v>
                </c:pt>
                <c:pt idx="4">
                  <c:v>145000</c:v>
                </c:pt>
                <c:pt idx="5">
                  <c:v>152000</c:v>
                </c:pt>
                <c:pt idx="6">
                  <c:v>160000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69E7-411B-9646-0B1851A1A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0195216"/>
        <c:axId val="1460176976"/>
      </c:barChart>
      <c:lineChart>
        <c:grouping val="standard"/>
        <c:varyColors val="0"/>
        <c:ser>
          <c:idx val="1"/>
          <c:order val="1"/>
          <c:tx>
            <c:v>Tăng trưởng số lượng học sinh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Revenue!$C$1:$I$1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Revenue!$C$215:$I$215</c:f>
              <c:numCache>
                <c:formatCode>0.0%</c:formatCode>
                <c:ptCount val="7"/>
                <c:pt idx="0">
                  <c:v>0.46958251962120934</c:v>
                </c:pt>
                <c:pt idx="1">
                  <c:v>0.30393902163829201</c:v>
                </c:pt>
                <c:pt idx="2">
                  <c:v>0.42895875396596472</c:v>
                </c:pt>
                <c:pt idx="3">
                  <c:v>0.4546580006190033</c:v>
                </c:pt>
                <c:pt idx="4">
                  <c:v>0.34135060129509709</c:v>
                </c:pt>
                <c:pt idx="5">
                  <c:v>4.8275862068965614E-2</c:v>
                </c:pt>
                <c:pt idx="6">
                  <c:v>5.2631578947368363E-2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E7-411B-9646-0B1851A1A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7279904"/>
        <c:axId val="1097302944"/>
      </c:lineChart>
      <c:catAx>
        <c:axId val="1460195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r>
                  <a:rPr lang="en-US" sz="700"/>
                  <a:t>(No. of Students)</a:t>
                </a:r>
              </a:p>
            </c:rich>
          </c:tx>
          <c:layout>
            <c:manualLayout>
              <c:xMode val="edge"/>
              <c:yMode val="edge"/>
              <c:x val="1.8519991398381573E-3"/>
              <c:y val="1.1778620265059461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" panose="020B0502040504020204" pitchFamily="34" charset="0"/>
                  <a:ea typeface="Noto Sans" panose="020B0502040504020204" pitchFamily="34" charset="0"/>
                  <a:cs typeface="Noto Sans" panose="020B0502040504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460176976"/>
        <c:crosses val="autoZero"/>
        <c:auto val="1"/>
        <c:lblAlgn val="ctr"/>
        <c:lblOffset val="100"/>
        <c:noMultiLvlLbl val="0"/>
      </c:catAx>
      <c:valAx>
        <c:axId val="1460176976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460195216"/>
        <c:crosses val="autoZero"/>
        <c:crossBetween val="between"/>
        <c:majorUnit val="50000"/>
      </c:valAx>
      <c:valAx>
        <c:axId val="1097302944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097279904"/>
        <c:crosses val="max"/>
        <c:crossBetween val="between"/>
      </c:valAx>
      <c:catAx>
        <c:axId val="10972799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973029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315108967780415"/>
          <c:y val="7.2222222222222215E-2"/>
          <c:w val="0.82455748394772455"/>
          <c:h val="0.60068567072081192"/>
        </c:manualLayout>
      </c:layout>
      <c:barChart>
        <c:barDir val="col"/>
        <c:grouping val="clustered"/>
        <c:varyColors val="0"/>
        <c:ser>
          <c:idx val="0"/>
          <c:order val="0"/>
          <c:tx>
            <c:v>Viễn thông</c:v>
          </c:tx>
          <c:spPr>
            <a:solidFill>
              <a:schemeClr val="accent1"/>
            </a:solidFill>
            <a:ln w="12700">
              <a:noFill/>
            </a:ln>
            <a:effectLst/>
          </c:spPr>
          <c:invertIfNegative val="0"/>
          <c:cat>
            <c:strRef>
              <c:f>Revenue!$F$1:$J$1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2026F</c:v>
                </c:pt>
              </c:strCache>
              <c:extLst/>
            </c:strRef>
          </c:cat>
          <c:val>
            <c:numRef>
              <c:f>Revenue!$F$24:$J$24</c:f>
              <c:numCache>
                <c:formatCode>0.0%</c:formatCode>
                <c:ptCount val="5"/>
                <c:pt idx="0">
                  <c:v>0.15527709241027865</c:v>
                </c:pt>
                <c:pt idx="1">
                  <c:v>8.8272938222272668E-2</c:v>
                </c:pt>
                <c:pt idx="2">
                  <c:v>0.11326221519820878</c:v>
                </c:pt>
                <c:pt idx="3">
                  <c:v>0.10623447296817701</c:v>
                </c:pt>
                <c:pt idx="4">
                  <c:v>0.11802614693615654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D1FD-4D04-BFC4-6BBFFDA576AE}"/>
            </c:ext>
          </c:extLst>
        </c:ser>
        <c:ser>
          <c:idx val="2"/>
          <c:order val="2"/>
          <c:tx>
            <c:v>Giáo dục</c:v>
          </c:tx>
          <c:spPr>
            <a:solidFill>
              <a:schemeClr val="accent3"/>
            </a:solidFill>
            <a:ln w="12700">
              <a:noFill/>
            </a:ln>
            <a:effectLst/>
          </c:spPr>
          <c:invertIfNegative val="0"/>
          <c:cat>
            <c:strRef>
              <c:f>Revenue!$F$1:$J$1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2026F</c:v>
                </c:pt>
              </c:strCache>
              <c:extLst/>
            </c:strRef>
          </c:cat>
          <c:val>
            <c:numRef>
              <c:f>Revenue!$F$26:$J$26</c:f>
              <c:numCache>
                <c:formatCode>0.0%</c:formatCode>
                <c:ptCount val="5"/>
                <c:pt idx="0">
                  <c:v>0.67586601343120711</c:v>
                </c:pt>
                <c:pt idx="1">
                  <c:v>0.52488926898736921</c:v>
                </c:pt>
                <c:pt idx="2">
                  <c:v>0.14283050531418984</c:v>
                </c:pt>
                <c:pt idx="3">
                  <c:v>4.8947626040130032E-4</c:v>
                </c:pt>
                <c:pt idx="4">
                  <c:v>5.0000000000000044E-2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1-D1FD-4D04-BFC4-6BBFFDA576AE}"/>
            </c:ext>
          </c:extLst>
        </c:ser>
        <c:ser>
          <c:idx val="3"/>
          <c:order val="3"/>
          <c:tx>
            <c:v>CNTT nước ngoài</c:v>
          </c:tx>
          <c:spPr>
            <a:solidFill>
              <a:schemeClr val="accent4"/>
            </a:solidFill>
            <a:ln w="12700">
              <a:noFill/>
            </a:ln>
            <a:effectLst/>
          </c:spPr>
          <c:invertIfNegative val="0"/>
          <c:cat>
            <c:strRef>
              <c:f>Revenue!$F$1:$J$1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2026F</c:v>
                </c:pt>
              </c:strCache>
              <c:extLst/>
            </c:strRef>
          </c:cat>
          <c:val>
            <c:numRef>
              <c:f>Revenue!$F$21:$J$21</c:f>
              <c:numCache>
                <c:formatCode>0.0%</c:formatCode>
                <c:ptCount val="5"/>
                <c:pt idx="0">
                  <c:v>0.30085639711319878</c:v>
                </c:pt>
                <c:pt idx="1">
                  <c:v>0.28402673490843022</c:v>
                </c:pt>
                <c:pt idx="2">
                  <c:v>0.2744153491436101</c:v>
                </c:pt>
                <c:pt idx="3">
                  <c:v>0.14308790747261968</c:v>
                </c:pt>
                <c:pt idx="4">
                  <c:v>0.14668042169526019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2-D1FD-4D04-BFC4-6BBFFDA576AE}"/>
            </c:ext>
          </c:extLst>
        </c:ser>
        <c:ser>
          <c:idx val="4"/>
          <c:order val="4"/>
          <c:tx>
            <c:v>CNTT trong nước</c:v>
          </c:tx>
          <c:spPr>
            <a:solidFill>
              <a:schemeClr val="accent5"/>
            </a:solidFill>
            <a:ln w="12700">
              <a:noFill/>
            </a:ln>
            <a:effectLst/>
          </c:spPr>
          <c:invertIfNegative val="0"/>
          <c:cat>
            <c:strRef>
              <c:f>Revenue!$F$1:$J$1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2026F</c:v>
                </c:pt>
              </c:strCache>
              <c:extLst/>
            </c:strRef>
          </c:cat>
          <c:val>
            <c:numRef>
              <c:f>Revenue!$F$22:$J$22</c:f>
              <c:numCache>
                <c:formatCode>0.0%</c:formatCode>
                <c:ptCount val="5"/>
                <c:pt idx="0">
                  <c:v>8.1492481255852844E-2</c:v>
                </c:pt>
                <c:pt idx="1">
                  <c:v>4.5797183401368846E-2</c:v>
                </c:pt>
                <c:pt idx="2">
                  <c:v>0.13908671973188103</c:v>
                </c:pt>
                <c:pt idx="3">
                  <c:v>0.11474806914306734</c:v>
                </c:pt>
                <c:pt idx="4">
                  <c:v>0.12000000000000011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3-D1FD-4D04-BFC4-6BBFFDA57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70"/>
        <c:axId val="1741638800"/>
        <c:axId val="174162872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Revenue!$A$25</c15:sqref>
                        </c15:formulaRef>
                      </c:ext>
                    </c:extLst>
                    <c:strCache>
                      <c:ptCount val="1"/>
                      <c:pt idx="0">
                        <c:v>Digital content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 w="12700"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Revenue!$F$1:$J$1</c15:sqref>
                        </c15:formulaRef>
                      </c:ext>
                    </c:extLst>
                    <c:strCache>
                      <c:ptCount val="5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  <c:pt idx="3">
                        <c:v>2025</c:v>
                      </c:pt>
                      <c:pt idx="4">
                        <c:v>2026F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Revenue!$F$25:$J$25</c15:sqref>
                        </c15:formulaRef>
                      </c:ext>
                    </c:extLst>
                    <c:numCache>
                      <c:formatCode>0.0%</c:formatCode>
                      <c:ptCount val="5"/>
                      <c:pt idx="0">
                        <c:v>0.2759264683136482</c:v>
                      </c:pt>
                      <c:pt idx="1">
                        <c:v>-0.20044259371264161</c:v>
                      </c:pt>
                      <c:pt idx="2">
                        <c:v>0.13709677419354849</c:v>
                      </c:pt>
                      <c:pt idx="3">
                        <c:v>0.14184397163120566</c:v>
                      </c:pt>
                      <c:pt idx="4">
                        <c:v>0.14000000000000001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D1FD-4D04-BFC4-6BBFFDA576AE}"/>
                  </c:ext>
                </c:extLst>
              </c15:ser>
            </c15:filteredBarSeries>
          </c:ext>
        </c:extLst>
      </c:barChart>
      <c:catAx>
        <c:axId val="174163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741628720"/>
        <c:crosses val="autoZero"/>
        <c:auto val="1"/>
        <c:lblAlgn val="ctr"/>
        <c:lblOffset val="100"/>
        <c:noMultiLvlLbl val="0"/>
      </c:catAx>
      <c:valAx>
        <c:axId val="174162872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741638800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2285060812179112"/>
          <c:w val="1"/>
          <c:h val="0.177149391878208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r>
              <a:rPr lang="en-US" sz="800"/>
              <a:t>(VNDbn)</a:t>
            </a:r>
          </a:p>
        </c:rich>
      </c:tx>
      <c:layout>
        <c:manualLayout>
          <c:xMode val="edge"/>
          <c:yMode val="edge"/>
          <c:x val="1.4150545996565246E-2"/>
          <c:y val="8.82028665931642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KR"/>
        </a:p>
      </c:txPr>
    </c:title>
    <c:autoTitleDeleted val="0"/>
    <c:plotArea>
      <c:layout>
        <c:manualLayout>
          <c:layoutTarget val="inner"/>
          <c:xMode val="edge"/>
          <c:yMode val="edge"/>
          <c:x val="0.16421314339074619"/>
          <c:y val="0.20340814859167103"/>
          <c:w val="0.69648953813433256"/>
          <c:h val="0.62607920112435833"/>
        </c:manualLayout>
      </c:layout>
      <c:barChart>
        <c:barDir val="col"/>
        <c:grouping val="clustered"/>
        <c:varyColors val="0"/>
        <c:ser>
          <c:idx val="1"/>
          <c:order val="0"/>
          <c:tx>
            <c:v>Signed revenue (VNDbn)</c:v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Revenue!$D$248:$J$249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 4M26 </c:v>
                </c:pt>
              </c:strCache>
            </c:strRef>
          </c:cat>
          <c:val>
            <c:numRef>
              <c:f>Revenue!$D$253:$J$253</c:f>
              <c:numCache>
                <c:formatCode>_(* #,##0_);_(* \(#,##0\);_(* "0"_);_(@_)</c:formatCode>
                <c:ptCount val="7"/>
                <c:pt idx="0" formatCode="_(* #,##0_);_(* \(#,##0\);_(* \-??_);_(@_)">
                  <c:v>13095</c:v>
                </c:pt>
                <c:pt idx="1">
                  <c:v>15541</c:v>
                </c:pt>
                <c:pt idx="2">
                  <c:v>21594</c:v>
                </c:pt>
                <c:pt idx="3">
                  <c:v>29717</c:v>
                </c:pt>
                <c:pt idx="4">
                  <c:v>33592</c:v>
                </c:pt>
                <c:pt idx="5">
                  <c:v>40636</c:v>
                </c:pt>
                <c:pt idx="6" formatCode="_(* #,##0_);_(* \(#,##0\);_(* \-??_);_(@_)">
                  <c:v>19976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33-4DCE-BF77-BE03874A1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66310896"/>
        <c:axId val="966333456"/>
      </c:barChart>
      <c:lineChart>
        <c:grouping val="standard"/>
        <c:varyColors val="0"/>
        <c:ser>
          <c:idx val="2"/>
          <c:order val="1"/>
          <c:tx>
            <c:v>Signed revenue growth (%)</c:v>
          </c:tx>
          <c:spPr>
            <a:ln w="28575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Revenue!$C$1:$J$1</c:f>
              <c:strCach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2026F</c:v>
                </c:pt>
              </c:strCache>
            </c:strRef>
          </c:cat>
          <c:val>
            <c:numRef>
              <c:f>Revenue!$D$254:$J$254</c:f>
              <c:numCache>
                <c:formatCode>0.0%</c:formatCode>
                <c:ptCount val="7"/>
                <c:pt idx="0">
                  <c:v>0.23038616931316369</c:v>
                </c:pt>
                <c:pt idx="1">
                  <c:v>0.18678885070637641</c:v>
                </c:pt>
                <c:pt idx="2">
                  <c:v>0.38948587606975105</c:v>
                </c:pt>
                <c:pt idx="3">
                  <c:v>0.37616930628878387</c:v>
                </c:pt>
                <c:pt idx="4">
                  <c:v>0.13039674260524281</c:v>
                </c:pt>
                <c:pt idx="5">
                  <c:v>0.20969278399618951</c:v>
                </c:pt>
                <c:pt idx="6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33-4DCE-BF77-BE03874A1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6359856"/>
        <c:axId val="966358896"/>
      </c:lineChart>
      <c:catAx>
        <c:axId val="96631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966333456"/>
        <c:crosses val="autoZero"/>
        <c:auto val="1"/>
        <c:lblAlgn val="ctr"/>
        <c:lblOffset val="100"/>
        <c:noMultiLvlLbl val="0"/>
      </c:catAx>
      <c:valAx>
        <c:axId val="966333456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966310896"/>
        <c:crosses val="autoZero"/>
        <c:crossBetween val="between"/>
        <c:majorUnit val="10000"/>
      </c:valAx>
      <c:valAx>
        <c:axId val="966358896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966359856"/>
        <c:crosses val="max"/>
        <c:crossBetween val="between"/>
      </c:valAx>
      <c:catAx>
        <c:axId val="9663598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663588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3646703253002465"/>
          <c:y val="3.8956266078647574E-3"/>
          <c:w val="0.740982293038286"/>
          <c:h val="0.113447753981138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r>
              <a:rPr lang="en-US" sz="800"/>
              <a:t>(VNDbn)</a:t>
            </a:r>
          </a:p>
        </c:rich>
      </c:tx>
      <c:layout>
        <c:manualLayout>
          <c:xMode val="edge"/>
          <c:yMode val="edge"/>
          <c:x val="1.9733644405560313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664136259061892"/>
          <c:y val="0.1025364274150027"/>
          <c:w val="0.80220637403489548"/>
          <c:h val="0.62843866723891029"/>
        </c:manualLayout>
      </c:layout>
      <c:barChart>
        <c:barDir val="col"/>
        <c:grouping val="clustered"/>
        <c:varyColors val="0"/>
        <c:ser>
          <c:idx val="0"/>
          <c:order val="0"/>
          <c:tx>
            <c:v>IT segment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Revenue!$E$1:$I$1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Revenue!$E$116:$I$116</c:f>
              <c:numCache>
                <c:formatCode>_(* #,##0_);_(* \(#,##0\);_(* \-??_);_(@_)</c:formatCode>
                <c:ptCount val="5"/>
                <c:pt idx="0">
                  <c:v>2750.5229999999997</c:v>
                </c:pt>
                <c:pt idx="1">
                  <c:v>3366.1969999999997</c:v>
                </c:pt>
                <c:pt idx="2">
                  <c:v>4162</c:v>
                </c:pt>
                <c:pt idx="3">
                  <c:v>5229</c:v>
                </c:pt>
                <c:pt idx="4">
                  <c:v>5883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2B-44D8-AF0C-6FDB48659AB3}"/>
            </c:ext>
          </c:extLst>
        </c:ser>
        <c:ser>
          <c:idx val="1"/>
          <c:order val="1"/>
          <c:tx>
            <c:v>Telecom segment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Revenue!$E$1:$I$1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Revenue!$E$119:$I$119</c:f>
              <c:numCache>
                <c:formatCode>_(* #,##0_);_(* \(#,##0\);_(* \-??_);_(@_)</c:formatCode>
                <c:ptCount val="5"/>
                <c:pt idx="0">
                  <c:v>2394.9290000000001</c:v>
                </c:pt>
                <c:pt idx="1">
                  <c:v>2817.5969999999998</c:v>
                </c:pt>
                <c:pt idx="2">
                  <c:v>3036</c:v>
                </c:pt>
                <c:pt idx="3">
                  <c:v>3588</c:v>
                </c:pt>
                <c:pt idx="4">
                  <c:v>4363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2B-44D8-AF0C-6FDB48659AB3}"/>
            </c:ext>
          </c:extLst>
        </c:ser>
        <c:ser>
          <c:idx val="3"/>
          <c:order val="2"/>
          <c:tx>
            <c:v>Education &amp; Investments segment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Revenue!$E$1:$I$1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Revenue!$E$122:$I$122</c:f>
              <c:numCache>
                <c:formatCode>_(* #,##0_);_(* \(#,##0\);_(* \-??_);_(@_)</c:formatCode>
                <c:ptCount val="5"/>
                <c:pt idx="0">
                  <c:v>1191.7544409580005</c:v>
                </c:pt>
                <c:pt idx="1">
                  <c:v>1478.48895988</c:v>
                </c:pt>
                <c:pt idx="2">
                  <c:v>2005</c:v>
                </c:pt>
                <c:pt idx="3">
                  <c:v>2254</c:v>
                </c:pt>
                <c:pt idx="4">
                  <c:v>2792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2B-44D8-AF0C-6FDB48659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41694480"/>
        <c:axId val="1741677680"/>
      </c:barChart>
      <c:catAx>
        <c:axId val="1741694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741677680"/>
        <c:crosses val="autoZero"/>
        <c:auto val="1"/>
        <c:lblAlgn val="ctr"/>
        <c:lblOffset val="100"/>
        <c:noMultiLvlLbl val="0"/>
      </c:catAx>
      <c:valAx>
        <c:axId val="1741677680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74169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r>
              <a:rPr lang="en-US" sz="800"/>
              <a:t>(VNDbn)</a:t>
            </a:r>
          </a:p>
        </c:rich>
      </c:tx>
      <c:layout>
        <c:manualLayout>
          <c:xMode val="edge"/>
          <c:yMode val="edge"/>
          <c:x val="3.5177263741686025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508378061738822"/>
          <c:y val="0.10117683319206892"/>
          <c:w val="0.78262479300814047"/>
          <c:h val="0.56064199988754371"/>
        </c:manualLayout>
      </c:layout>
      <c:barChart>
        <c:barDir val="col"/>
        <c:grouping val="stacked"/>
        <c:varyColors val="0"/>
        <c:ser>
          <c:idx val="0"/>
          <c:order val="0"/>
          <c:tx>
            <c:v>IT segment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Revenue!$E$1:$I$1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Revenue!$E$11:$I$11</c:f>
              <c:numCache>
                <c:formatCode>_(* #,##0_);_(* \(#,##0\);_(* \-??_);_(@_)</c:formatCode>
                <c:ptCount val="5"/>
                <c:pt idx="0">
                  <c:v>20872.243999999999</c:v>
                </c:pt>
                <c:pt idx="1">
                  <c:v>25762.901999999998</c:v>
                </c:pt>
                <c:pt idx="2">
                  <c:v>31449</c:v>
                </c:pt>
                <c:pt idx="3">
                  <c:v>39110</c:v>
                </c:pt>
                <c:pt idx="4">
                  <c:v>44475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A5-48D5-9DEC-A59A23079739}"/>
            </c:ext>
          </c:extLst>
        </c:ser>
        <c:ser>
          <c:idx val="1"/>
          <c:order val="1"/>
          <c:tx>
            <c:v>Telecom segment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Revenue!$E$1:$I$1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Revenue!$E$14:$I$14</c:f>
              <c:numCache>
                <c:formatCode>_(* #,##0_);_(* \(#,##0\);_(* \-??_);_(@_)</c:formatCode>
                <c:ptCount val="5"/>
                <c:pt idx="0">
                  <c:v>12686.415999999999</c:v>
                </c:pt>
                <c:pt idx="1">
                  <c:v>14729.648999999999</c:v>
                </c:pt>
                <c:pt idx="2">
                  <c:v>15806</c:v>
                </c:pt>
                <c:pt idx="3">
                  <c:v>17610</c:v>
                </c:pt>
                <c:pt idx="4" formatCode="#,##0">
                  <c:v>19507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A5-48D5-9DEC-A59A23079739}"/>
            </c:ext>
          </c:extLst>
        </c:ser>
        <c:ser>
          <c:idx val="3"/>
          <c:order val="2"/>
          <c:tx>
            <c:v>Education &amp; Investments segment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Revenue!$E$1:$I$1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Revenue!$E$17:$I$17</c:f>
              <c:numCache>
                <c:formatCode>_(* #,##0_);_(* \(#,##0\);_(* \-??_);_(@_)</c:formatCode>
                <c:ptCount val="5"/>
                <c:pt idx="0">
                  <c:v>2098.6025450270099</c:v>
                </c:pt>
                <c:pt idx="1">
                  <c:v>3516.9766809110006</c:v>
                </c:pt>
                <c:pt idx="2">
                  <c:v>5363</c:v>
                </c:pt>
                <c:pt idx="3">
                  <c:v>6129</c:v>
                </c:pt>
                <c:pt idx="4">
                  <c:v>6132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A5-48D5-9DEC-A59A23079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741694480"/>
        <c:axId val="1741677680"/>
      </c:barChart>
      <c:catAx>
        <c:axId val="1741694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741677680"/>
        <c:crosses val="autoZero"/>
        <c:auto val="1"/>
        <c:lblAlgn val="ctr"/>
        <c:lblOffset val="100"/>
        <c:noMultiLvlLbl val="0"/>
      </c:catAx>
      <c:valAx>
        <c:axId val="1741677680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741694480"/>
        <c:crosses val="autoZero"/>
        <c:crossBetween val="between"/>
        <c:majorUnit val="200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3197629256935324"/>
          <c:w val="0.97385560368967705"/>
          <c:h val="0.168023707430646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r>
              <a:rPr lang="en-US" sz="700"/>
              <a:t>(tỷ)</a:t>
            </a:r>
          </a:p>
        </c:rich>
      </c:tx>
      <c:layout>
        <c:manualLayout>
          <c:xMode val="edge"/>
          <c:yMode val="edge"/>
          <c:x val="5.4348972371719526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664136259061892"/>
          <c:y val="0.1025364274150027"/>
          <c:w val="0.80220637403489548"/>
          <c:h val="0.65146003512150907"/>
        </c:manualLayout>
      </c:layout>
      <c:barChart>
        <c:barDir val="col"/>
        <c:grouping val="clustered"/>
        <c:varyColors val="0"/>
        <c:ser>
          <c:idx val="0"/>
          <c:order val="0"/>
          <c:tx>
            <c:v>Mảng Công nghệ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Revenue!$E$1:$I$1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Revenue!$E$116:$I$116</c:f>
              <c:numCache>
                <c:formatCode>_(* #,##0_);_(* \(#,##0\);_(* \-??_);_(@_)</c:formatCode>
                <c:ptCount val="5"/>
                <c:pt idx="0">
                  <c:v>2750.5229999999997</c:v>
                </c:pt>
                <c:pt idx="1">
                  <c:v>3366.1969999999997</c:v>
                </c:pt>
                <c:pt idx="2">
                  <c:v>4162</c:v>
                </c:pt>
                <c:pt idx="3">
                  <c:v>5229</c:v>
                </c:pt>
                <c:pt idx="4">
                  <c:v>5883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25-46A6-8314-BE38BBFB225F}"/>
            </c:ext>
          </c:extLst>
        </c:ser>
        <c:ser>
          <c:idx val="1"/>
          <c:order val="1"/>
          <c:tx>
            <c:v>Mảng Viễn thông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Revenue!$E$1:$I$1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Revenue!$E$119:$I$119</c:f>
              <c:numCache>
                <c:formatCode>_(* #,##0_);_(* \(#,##0\);_(* \-??_);_(@_)</c:formatCode>
                <c:ptCount val="5"/>
                <c:pt idx="0">
                  <c:v>2394.9290000000001</c:v>
                </c:pt>
                <c:pt idx="1">
                  <c:v>2817.5969999999998</c:v>
                </c:pt>
                <c:pt idx="2">
                  <c:v>3036</c:v>
                </c:pt>
                <c:pt idx="3">
                  <c:v>3588</c:v>
                </c:pt>
                <c:pt idx="4">
                  <c:v>4363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25-46A6-8314-BE38BBFB225F}"/>
            </c:ext>
          </c:extLst>
        </c:ser>
        <c:ser>
          <c:idx val="3"/>
          <c:order val="2"/>
          <c:tx>
            <c:v>Mảng Giáo dục &amp; đầu tư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Revenue!$E$1:$I$1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Revenue!$E$122:$I$122</c:f>
              <c:numCache>
                <c:formatCode>_(* #,##0_);_(* \(#,##0\);_(* \-??_);_(@_)</c:formatCode>
                <c:ptCount val="5"/>
                <c:pt idx="0">
                  <c:v>1191.7544409580005</c:v>
                </c:pt>
                <c:pt idx="1">
                  <c:v>1478.48895988</c:v>
                </c:pt>
                <c:pt idx="2">
                  <c:v>2005</c:v>
                </c:pt>
                <c:pt idx="3">
                  <c:v>2254</c:v>
                </c:pt>
                <c:pt idx="4">
                  <c:v>2792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25-46A6-8314-BE38BBFB2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41694480"/>
        <c:axId val="1741677680"/>
      </c:barChart>
      <c:catAx>
        <c:axId val="1741694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741677680"/>
        <c:crosses val="autoZero"/>
        <c:auto val="1"/>
        <c:lblAlgn val="ctr"/>
        <c:lblOffset val="100"/>
        <c:noMultiLvlLbl val="0"/>
      </c:catAx>
      <c:valAx>
        <c:axId val="1741677680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74169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6258737859787728E-2"/>
          <c:y val="0.90338956551294403"/>
          <c:w val="0.9"/>
          <c:h val="9.66104344870560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525442970147763"/>
          <c:y val="0.11743981209630065"/>
          <c:w val="0.792454143924051"/>
          <c:h val="0.63076275770872159"/>
        </c:manualLayout>
      </c:layout>
      <c:barChart>
        <c:barDir val="col"/>
        <c:grouping val="stacked"/>
        <c:varyColors val="0"/>
        <c:ser>
          <c:idx val="0"/>
          <c:order val="0"/>
          <c:tx>
            <c:v>Mảng Công nghệ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Revenue!$E$1:$I$1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Revenue!$E$11:$I$11</c:f>
              <c:numCache>
                <c:formatCode>_(* #,##0_);_(* \(#,##0\);_(* \-??_);_(@_)</c:formatCode>
                <c:ptCount val="5"/>
                <c:pt idx="0">
                  <c:v>20872.243999999999</c:v>
                </c:pt>
                <c:pt idx="1">
                  <c:v>25762.901999999998</c:v>
                </c:pt>
                <c:pt idx="2">
                  <c:v>31449</c:v>
                </c:pt>
                <c:pt idx="3">
                  <c:v>39110</c:v>
                </c:pt>
                <c:pt idx="4">
                  <c:v>44475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06-4B5F-BC06-1E07F2815797}"/>
            </c:ext>
          </c:extLst>
        </c:ser>
        <c:ser>
          <c:idx val="1"/>
          <c:order val="1"/>
          <c:tx>
            <c:v>Mảng Viễn thông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Revenue!$E$1:$I$1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Revenue!$E$14:$I$14</c:f>
              <c:numCache>
                <c:formatCode>_(* #,##0_);_(* \(#,##0\);_(* \-??_);_(@_)</c:formatCode>
                <c:ptCount val="5"/>
                <c:pt idx="0">
                  <c:v>12686.415999999999</c:v>
                </c:pt>
                <c:pt idx="1">
                  <c:v>14729.648999999999</c:v>
                </c:pt>
                <c:pt idx="2">
                  <c:v>15806</c:v>
                </c:pt>
                <c:pt idx="3">
                  <c:v>17610</c:v>
                </c:pt>
                <c:pt idx="4" formatCode="#,##0">
                  <c:v>19507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06-4B5F-BC06-1E07F2815797}"/>
            </c:ext>
          </c:extLst>
        </c:ser>
        <c:ser>
          <c:idx val="3"/>
          <c:order val="2"/>
          <c:tx>
            <c:v>Mảng Giáo dục &amp; đầu tư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Revenue!$E$1:$I$1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Revenue!$E$17:$I$17</c:f>
              <c:numCache>
                <c:formatCode>_(* #,##0_);_(* \(#,##0\);_(* \-??_);_(@_)</c:formatCode>
                <c:ptCount val="5"/>
                <c:pt idx="0">
                  <c:v>2098.6025450270099</c:v>
                </c:pt>
                <c:pt idx="1">
                  <c:v>3516.9766809110006</c:v>
                </c:pt>
                <c:pt idx="2">
                  <c:v>5363</c:v>
                </c:pt>
                <c:pt idx="3">
                  <c:v>6129</c:v>
                </c:pt>
                <c:pt idx="4">
                  <c:v>6132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06-4B5F-BC06-1E07F2815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741694480"/>
        <c:axId val="1741677680"/>
      </c:barChart>
      <c:catAx>
        <c:axId val="1741694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r>
                  <a:rPr lang="en-US"/>
                  <a:t>(tỷ)</a:t>
                </a:r>
              </a:p>
            </c:rich>
          </c:tx>
          <c:layout>
            <c:manualLayout>
              <c:xMode val="edge"/>
              <c:yMode val="edge"/>
              <c:x val="6.6873431478504636E-2"/>
              <c:y val="3.0178332817029697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" panose="020B0502040504020204" pitchFamily="34" charset="0"/>
                  <a:ea typeface="Noto Sans" panose="020B0502040504020204" pitchFamily="34" charset="0"/>
                  <a:cs typeface="Noto Sans" panose="020B0502040504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741677680"/>
        <c:crosses val="autoZero"/>
        <c:auto val="1"/>
        <c:lblAlgn val="ctr"/>
        <c:lblOffset val="100"/>
        <c:noMultiLvlLbl val="0"/>
      </c:catAx>
      <c:valAx>
        <c:axId val="1741677680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74169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2310498384933719E-2"/>
          <c:y val="0.90143239581840284"/>
          <c:w val="0.9"/>
          <c:h val="9.85676041815970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315108967780415"/>
          <c:y val="7.2222222222222215E-2"/>
          <c:w val="0.82455748394772455"/>
          <c:h val="0.60068567072081192"/>
        </c:manualLayout>
      </c:layout>
      <c:barChart>
        <c:barDir val="col"/>
        <c:grouping val="clustered"/>
        <c:varyColors val="0"/>
        <c:ser>
          <c:idx val="0"/>
          <c:order val="0"/>
          <c:tx>
            <c:v>Viễn thông</c:v>
          </c:tx>
          <c:spPr>
            <a:solidFill>
              <a:schemeClr val="accent1"/>
            </a:solidFill>
            <a:ln w="12700">
              <a:noFill/>
            </a:ln>
            <a:effectLst/>
          </c:spPr>
          <c:invertIfNegative val="0"/>
          <c:cat>
            <c:strRef>
              <c:f>Revenue!$F$1:$J$1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2026F</c:v>
                </c:pt>
              </c:strCache>
              <c:extLst/>
            </c:strRef>
          </c:cat>
          <c:val>
            <c:numRef>
              <c:f>Revenue!$F$24:$J$24</c:f>
              <c:numCache>
                <c:formatCode>0.0%</c:formatCode>
                <c:ptCount val="5"/>
                <c:pt idx="0">
                  <c:v>0.15527709241027865</c:v>
                </c:pt>
                <c:pt idx="1">
                  <c:v>8.8272938222272668E-2</c:v>
                </c:pt>
                <c:pt idx="2">
                  <c:v>0.11326221519820878</c:v>
                </c:pt>
                <c:pt idx="3">
                  <c:v>0.10623447296817701</c:v>
                </c:pt>
                <c:pt idx="4">
                  <c:v>0.11802614693615654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CA2B-45B2-B5B5-2B2C95D5D387}"/>
            </c:ext>
          </c:extLst>
        </c:ser>
        <c:ser>
          <c:idx val="2"/>
          <c:order val="2"/>
          <c:tx>
            <c:v>Giáo dục</c:v>
          </c:tx>
          <c:spPr>
            <a:solidFill>
              <a:schemeClr val="accent3"/>
            </a:solidFill>
            <a:ln w="12700">
              <a:noFill/>
            </a:ln>
            <a:effectLst/>
          </c:spPr>
          <c:invertIfNegative val="0"/>
          <c:cat>
            <c:strRef>
              <c:f>Revenue!$F$1:$J$1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2026F</c:v>
                </c:pt>
              </c:strCache>
              <c:extLst/>
            </c:strRef>
          </c:cat>
          <c:val>
            <c:numRef>
              <c:f>Revenue!$F$26:$J$26</c:f>
              <c:numCache>
                <c:formatCode>0.0%</c:formatCode>
                <c:ptCount val="5"/>
                <c:pt idx="0">
                  <c:v>0.67586601343120711</c:v>
                </c:pt>
                <c:pt idx="1">
                  <c:v>0.52488926898736921</c:v>
                </c:pt>
                <c:pt idx="2">
                  <c:v>0.14283050531418984</c:v>
                </c:pt>
                <c:pt idx="3">
                  <c:v>4.8947626040130032E-4</c:v>
                </c:pt>
                <c:pt idx="4">
                  <c:v>5.0000000000000044E-2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1-CA2B-45B2-B5B5-2B2C95D5D387}"/>
            </c:ext>
          </c:extLst>
        </c:ser>
        <c:ser>
          <c:idx val="3"/>
          <c:order val="3"/>
          <c:tx>
            <c:v>CNTT nước ngoài</c:v>
          </c:tx>
          <c:spPr>
            <a:solidFill>
              <a:schemeClr val="accent4"/>
            </a:solidFill>
            <a:ln w="12700">
              <a:noFill/>
            </a:ln>
            <a:effectLst/>
          </c:spPr>
          <c:invertIfNegative val="0"/>
          <c:cat>
            <c:strRef>
              <c:f>Revenue!$F$1:$J$1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2026F</c:v>
                </c:pt>
              </c:strCache>
              <c:extLst/>
            </c:strRef>
          </c:cat>
          <c:val>
            <c:numRef>
              <c:f>Revenue!$F$21:$J$21</c:f>
              <c:numCache>
                <c:formatCode>0.0%</c:formatCode>
                <c:ptCount val="5"/>
                <c:pt idx="0">
                  <c:v>0.30085639711319878</c:v>
                </c:pt>
                <c:pt idx="1">
                  <c:v>0.28402673490843022</c:v>
                </c:pt>
                <c:pt idx="2">
                  <c:v>0.2744153491436101</c:v>
                </c:pt>
                <c:pt idx="3">
                  <c:v>0.14308790747261968</c:v>
                </c:pt>
                <c:pt idx="4">
                  <c:v>0.14668042169526019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2-CA2B-45B2-B5B5-2B2C95D5D387}"/>
            </c:ext>
          </c:extLst>
        </c:ser>
        <c:ser>
          <c:idx val="4"/>
          <c:order val="4"/>
          <c:tx>
            <c:v>CNTT trong nước</c:v>
          </c:tx>
          <c:spPr>
            <a:solidFill>
              <a:schemeClr val="accent5"/>
            </a:solidFill>
            <a:ln w="12700">
              <a:noFill/>
            </a:ln>
            <a:effectLst/>
          </c:spPr>
          <c:invertIfNegative val="0"/>
          <c:cat>
            <c:strRef>
              <c:f>Revenue!$F$1:$J$1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2026F</c:v>
                </c:pt>
              </c:strCache>
              <c:extLst/>
            </c:strRef>
          </c:cat>
          <c:val>
            <c:numRef>
              <c:f>Revenue!$F$22:$J$22</c:f>
              <c:numCache>
                <c:formatCode>0.0%</c:formatCode>
                <c:ptCount val="5"/>
                <c:pt idx="0">
                  <c:v>8.1492481255852844E-2</c:v>
                </c:pt>
                <c:pt idx="1">
                  <c:v>4.5797183401368846E-2</c:v>
                </c:pt>
                <c:pt idx="2">
                  <c:v>0.13908671973188103</c:v>
                </c:pt>
                <c:pt idx="3">
                  <c:v>0.11474806914306734</c:v>
                </c:pt>
                <c:pt idx="4">
                  <c:v>0.12000000000000011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3-CA2B-45B2-B5B5-2B2C95D5D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70"/>
        <c:axId val="1741638800"/>
        <c:axId val="174162872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Revenue!$A$25</c15:sqref>
                        </c15:formulaRef>
                      </c:ext>
                    </c:extLst>
                    <c:strCache>
                      <c:ptCount val="1"/>
                      <c:pt idx="0">
                        <c:v>Digital content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 w="12700"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Revenue!$F$1:$J$1</c15:sqref>
                        </c15:formulaRef>
                      </c:ext>
                    </c:extLst>
                    <c:strCache>
                      <c:ptCount val="5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  <c:pt idx="3">
                        <c:v>2025</c:v>
                      </c:pt>
                      <c:pt idx="4">
                        <c:v>2026F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Revenue!$F$25:$J$25</c15:sqref>
                        </c15:formulaRef>
                      </c:ext>
                    </c:extLst>
                    <c:numCache>
                      <c:formatCode>0.0%</c:formatCode>
                      <c:ptCount val="5"/>
                      <c:pt idx="0">
                        <c:v>0.2759264683136482</c:v>
                      </c:pt>
                      <c:pt idx="1">
                        <c:v>-0.20044259371264161</c:v>
                      </c:pt>
                      <c:pt idx="2">
                        <c:v>0.13709677419354849</c:v>
                      </c:pt>
                      <c:pt idx="3">
                        <c:v>0.14184397163120566</c:v>
                      </c:pt>
                      <c:pt idx="4">
                        <c:v>0.14000000000000001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CA2B-45B2-B5B5-2B2C95D5D387}"/>
                  </c:ext>
                </c:extLst>
              </c15:ser>
            </c15:filteredBarSeries>
          </c:ext>
        </c:extLst>
      </c:barChart>
      <c:catAx>
        <c:axId val="174163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741628720"/>
        <c:crosses val="autoZero"/>
        <c:auto val="1"/>
        <c:lblAlgn val="ctr"/>
        <c:lblOffset val="100"/>
        <c:noMultiLvlLbl val="0"/>
      </c:catAx>
      <c:valAx>
        <c:axId val="174162872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741638800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5758506480541963"/>
          <c:w val="1"/>
          <c:h val="0.142414935194580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r>
              <a:rPr lang="en-US" sz="800"/>
              <a:t>(VNDbn)</a:t>
            </a:r>
          </a:p>
        </c:rich>
      </c:tx>
      <c:layout>
        <c:manualLayout>
          <c:xMode val="edge"/>
          <c:yMode val="edge"/>
          <c:x val="1.4150545996565246E-2"/>
          <c:y val="8.82028665931642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KR"/>
        </a:p>
      </c:txPr>
    </c:title>
    <c:autoTitleDeleted val="0"/>
    <c:plotArea>
      <c:layout>
        <c:manualLayout>
          <c:layoutTarget val="inner"/>
          <c:xMode val="edge"/>
          <c:yMode val="edge"/>
          <c:x val="0.16421314339074619"/>
          <c:y val="0.20340814859167103"/>
          <c:w val="0.69648953813433256"/>
          <c:h val="0.62607920112435833"/>
        </c:manualLayout>
      </c:layout>
      <c:barChart>
        <c:barDir val="col"/>
        <c:grouping val="clustered"/>
        <c:varyColors val="0"/>
        <c:ser>
          <c:idx val="1"/>
          <c:order val="0"/>
          <c:tx>
            <c:v>Doanh thu ký mới (tỷ)</c:v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Revenue!$D$248:$J$249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 4M26 </c:v>
                </c:pt>
              </c:strCache>
            </c:strRef>
          </c:cat>
          <c:val>
            <c:numRef>
              <c:f>Revenue!$D$253:$J$253</c:f>
              <c:numCache>
                <c:formatCode>_(* #,##0_);_(* \(#,##0\);_(* "0"_);_(@_)</c:formatCode>
                <c:ptCount val="7"/>
                <c:pt idx="0" formatCode="_(* #,##0_);_(* \(#,##0\);_(* \-??_);_(@_)">
                  <c:v>13095</c:v>
                </c:pt>
                <c:pt idx="1">
                  <c:v>15541</c:v>
                </c:pt>
                <c:pt idx="2">
                  <c:v>21594</c:v>
                </c:pt>
                <c:pt idx="3">
                  <c:v>29717</c:v>
                </c:pt>
                <c:pt idx="4">
                  <c:v>33592</c:v>
                </c:pt>
                <c:pt idx="5">
                  <c:v>40636</c:v>
                </c:pt>
                <c:pt idx="6" formatCode="_(* #,##0_);_(* \(#,##0\);_(* \-??_);_(@_)">
                  <c:v>19976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02-4CFF-8A2F-CF5986D84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66310896"/>
        <c:axId val="966333456"/>
      </c:barChart>
      <c:lineChart>
        <c:grouping val="standard"/>
        <c:varyColors val="0"/>
        <c:ser>
          <c:idx val="2"/>
          <c:order val="1"/>
          <c:tx>
            <c:v>Tăng trưởng doanh thu ký mới (%)</c:v>
          </c:tx>
          <c:spPr>
            <a:ln w="28575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Revenue!$C$1:$J$1</c:f>
              <c:strCach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2026F</c:v>
                </c:pt>
              </c:strCache>
            </c:strRef>
          </c:cat>
          <c:val>
            <c:numRef>
              <c:f>Revenue!$D$254:$J$254</c:f>
              <c:numCache>
                <c:formatCode>0.0%</c:formatCode>
                <c:ptCount val="7"/>
                <c:pt idx="0">
                  <c:v>0.23038616931316369</c:v>
                </c:pt>
                <c:pt idx="1">
                  <c:v>0.18678885070637641</c:v>
                </c:pt>
                <c:pt idx="2">
                  <c:v>0.38948587606975105</c:v>
                </c:pt>
                <c:pt idx="3">
                  <c:v>0.37616930628878387</c:v>
                </c:pt>
                <c:pt idx="4">
                  <c:v>0.13039674260524281</c:v>
                </c:pt>
                <c:pt idx="5">
                  <c:v>0.20969278399618951</c:v>
                </c:pt>
                <c:pt idx="6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02-4CFF-8A2F-CF5986D84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6359856"/>
        <c:axId val="966358896"/>
      </c:lineChart>
      <c:catAx>
        <c:axId val="96631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966333456"/>
        <c:crosses val="autoZero"/>
        <c:auto val="1"/>
        <c:lblAlgn val="ctr"/>
        <c:lblOffset val="100"/>
        <c:noMultiLvlLbl val="0"/>
      </c:catAx>
      <c:valAx>
        <c:axId val="966333456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966310896"/>
        <c:crosses val="autoZero"/>
        <c:crossBetween val="between"/>
        <c:majorUnit val="10000"/>
      </c:valAx>
      <c:valAx>
        <c:axId val="966358896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966359856"/>
        <c:crosses val="max"/>
        <c:crossBetween val="between"/>
      </c:valAx>
      <c:catAx>
        <c:axId val="9663598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663588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3646703253002465"/>
          <c:y val="3.8956266078647574E-3"/>
          <c:w val="0.740982293038286"/>
          <c:h val="0.140329459825586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PL!$B$14</c:f>
              <c:strCache>
                <c:ptCount val="1"/>
                <c:pt idx="0">
                  <c:v>Gross Profit margin (%)</c:v>
                </c:pt>
              </c:strCache>
            </c:strRef>
          </c:tx>
          <c:spPr>
            <a:ln w="25400" cap="flat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lt1"/>
              </a:solidFill>
              <a:ln w="25400" cap="flat" cmpd="sng" algn="ctr">
                <a:solidFill>
                  <a:schemeClr val="accent1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PL!$BO$2:$CC$2</c15:sqref>
                  </c15:fullRef>
                </c:ext>
              </c:extLst>
              <c:f>PL!$BS$2:$CC$2</c:f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PL!$BO$14:$CC$14</c15:sqref>
                  </c15:fullRef>
                </c:ext>
              </c:extLst>
              <c:f>PL!$BS$14:$CC$14</c:f>
            </c:numRef>
          </c:val>
          <c:smooth val="0"/>
          <c:extLst>
            <c:ext xmlns:c16="http://schemas.microsoft.com/office/drawing/2014/chart" uri="{C3380CC4-5D6E-409C-BE32-E72D297353CC}">
              <c16:uniqueId val="{00000000-0555-4510-8595-0C3AC33F7953}"/>
            </c:ext>
          </c:extLst>
        </c:ser>
        <c:ser>
          <c:idx val="1"/>
          <c:order val="1"/>
          <c:tx>
            <c:strRef>
              <c:f>PL!$B$26</c:f>
              <c:strCache>
                <c:ptCount val="1"/>
                <c:pt idx="0">
                  <c:v>EBIT margin (%)</c:v>
                </c:pt>
              </c:strCache>
            </c:strRef>
          </c:tx>
          <c:spPr>
            <a:ln w="25400" cap="flat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lt1"/>
              </a:solidFill>
              <a:ln w="25400" cap="flat" cmpd="sng" algn="ctr">
                <a:solidFill>
                  <a:schemeClr val="accent2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PL!$BO$2:$CC$2</c15:sqref>
                  </c15:fullRef>
                </c:ext>
              </c:extLst>
              <c:f>PL!$BS$2:$CC$2</c:f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PL!$BO$26:$CC$26</c15:sqref>
                  </c15:fullRef>
                </c:ext>
              </c:extLst>
              <c:f>PL!$BS$26:$CC$26</c:f>
            </c:numRef>
          </c:val>
          <c:smooth val="0"/>
          <c:extLst>
            <c:ext xmlns:c16="http://schemas.microsoft.com/office/drawing/2014/chart" uri="{C3380CC4-5D6E-409C-BE32-E72D297353CC}">
              <c16:uniqueId val="{00000001-0555-4510-8595-0C3AC33F795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93304927"/>
        <c:axId val="1101568015"/>
      </c:lineChart>
      <c:catAx>
        <c:axId val="693304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568015"/>
        <c:crosses val="autoZero"/>
        <c:auto val="1"/>
        <c:lblAlgn val="ctr"/>
        <c:lblOffset val="100"/>
        <c:noMultiLvlLbl val="0"/>
      </c:catAx>
      <c:valAx>
        <c:axId val="1101568015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304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81812290298729"/>
          <c:y val="6.6889632107023408E-2"/>
          <c:w val="0.79343066123468575"/>
          <c:h val="0.70233060332341413"/>
        </c:manualLayout>
      </c:layout>
      <c:lineChart>
        <c:grouping val="standard"/>
        <c:varyColors val="0"/>
        <c:ser>
          <c:idx val="0"/>
          <c:order val="0"/>
          <c:tx>
            <c:strRef>
              <c:f>PL!$B$19</c:f>
              <c:strCache>
                <c:ptCount val="1"/>
                <c:pt idx="0">
                  <c:v>Selling expenses/Net sales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layout>
                <c:manualLayout>
                  <c:x val="0"/>
                  <c:y val="6.6889632107023408E-2"/>
                </c:manualLayout>
              </c:layout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1C2-4CC5-A096-9BC844C927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PL!$CA$2:$CJ$2</c:f>
            </c:multiLvlStrRef>
          </c:cat>
          <c:val>
            <c:numRef>
              <c:f>PL!$CA$19:$CJ$19</c:f>
            </c:numRef>
          </c:val>
          <c:smooth val="0"/>
          <c:extLst>
            <c:ext xmlns:c16="http://schemas.microsoft.com/office/drawing/2014/chart" uri="{C3380CC4-5D6E-409C-BE32-E72D297353CC}">
              <c16:uniqueId val="{00000001-F1C2-4CC5-A096-9BC844C92749}"/>
            </c:ext>
          </c:extLst>
        </c:ser>
        <c:ser>
          <c:idx val="1"/>
          <c:order val="1"/>
          <c:tx>
            <c:strRef>
              <c:f>PL!$B$22</c:f>
              <c:strCache>
                <c:ptCount val="1"/>
                <c:pt idx="0">
                  <c:v>Administration /Net sales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layout>
                <c:manualLayout>
                  <c:x val="0"/>
                  <c:y val="5.472788081483728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6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Noto Sans" panose="020B0502040504020204" pitchFamily="34" charset="0"/>
                      <a:ea typeface="Noto Sans" panose="020B0502040504020204" pitchFamily="34" charset="0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908716797605687"/>
                      <c:h val="0.1856189685015429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F1C2-4CC5-A096-9BC844C927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PL!$CA$2:$CJ$2</c:f>
            </c:multiLvlStrRef>
          </c:cat>
          <c:val>
            <c:numRef>
              <c:f>PL!$CA$22:$CJ$22</c:f>
            </c:numRef>
          </c:val>
          <c:smooth val="0"/>
          <c:extLst>
            <c:ext xmlns:c16="http://schemas.microsoft.com/office/drawing/2014/chart" uri="{C3380CC4-5D6E-409C-BE32-E72D297353CC}">
              <c16:uniqueId val="{00000003-F1C2-4CC5-A096-9BC844C92749}"/>
            </c:ext>
          </c:extLst>
        </c:ser>
        <c:ser>
          <c:idx val="2"/>
          <c:order val="2"/>
          <c:tx>
            <c:strRef>
              <c:f>PL!$B$26</c:f>
              <c:strCache>
                <c:ptCount val="1"/>
                <c:pt idx="0">
                  <c:v>EBIT margin 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layout>
                <c:manualLayout>
                  <c:x val="0"/>
                  <c:y val="-6.6889632107023408E-2"/>
                </c:manualLayout>
              </c:layout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1C2-4CC5-A096-9BC844C927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PL!$CA$2:$CJ$2</c:f>
            </c:multiLvlStrRef>
          </c:cat>
          <c:val>
            <c:numRef>
              <c:f>PL!$CA$26:$CJ$26</c:f>
            </c:numRef>
          </c:val>
          <c:smooth val="0"/>
          <c:extLst>
            <c:ext xmlns:c16="http://schemas.microsoft.com/office/drawing/2014/chart" uri="{C3380CC4-5D6E-409C-BE32-E72D297353CC}">
              <c16:uniqueId val="{00000005-F1C2-4CC5-A096-9BC844C92749}"/>
            </c:ext>
          </c:extLst>
        </c:ser>
        <c:ser>
          <c:idx val="3"/>
          <c:order val="3"/>
          <c:tx>
            <c:strRef>
              <c:f>PL!$B$57</c:f>
              <c:strCache>
                <c:ptCount val="1"/>
                <c:pt idx="0">
                  <c:v>Net margin (%)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layout>
                <c:manualLayout>
                  <c:x val="0"/>
                  <c:y val="4.2566129522651291E-2"/>
                </c:manualLayout>
              </c:layout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1C2-4CC5-A096-9BC844C927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PL!$CA$2:$CJ$2</c:f>
            </c:multiLvlStrRef>
          </c:cat>
          <c:val>
            <c:numRef>
              <c:f>PL!$CA$57:$CJ$57</c:f>
            </c:numRef>
          </c:val>
          <c:smooth val="0"/>
          <c:extLst>
            <c:ext xmlns:c16="http://schemas.microsoft.com/office/drawing/2014/chart" uri="{C3380CC4-5D6E-409C-BE32-E72D297353CC}">
              <c16:uniqueId val="{00000007-F1C2-4CC5-A096-9BC844C9274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9463840"/>
        <c:axId val="179444160"/>
      </c:lineChart>
      <c:catAx>
        <c:axId val="17946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US"/>
          </a:p>
        </c:txPr>
        <c:crossAx val="179444160"/>
        <c:crosses val="autoZero"/>
        <c:auto val="1"/>
        <c:lblAlgn val="ctr"/>
        <c:lblOffset val="100"/>
        <c:noMultiLvlLbl val="0"/>
      </c:catAx>
      <c:valAx>
        <c:axId val="179444160"/>
        <c:scaling>
          <c:orientation val="minMax"/>
          <c:max val="0.2"/>
          <c:min val="5.000000000000001E-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US"/>
          </a:p>
        </c:txPr>
        <c:crossAx val="17946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9327394681725388E-2"/>
          <c:y val="0.86812735364601168"/>
          <c:w val="0.93760409578432324"/>
          <c:h val="0.131872646353988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600">
          <a:latin typeface="Noto Sans" panose="020B0502040504020204" pitchFamily="34" charset="0"/>
          <a:ea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096491128179371E-2"/>
          <c:y val="8.7929824793925124E-2"/>
          <c:w val="0.74237410603132459"/>
          <c:h val="0.78123180200247333"/>
        </c:manualLayout>
      </c:layout>
      <c:lineChart>
        <c:grouping val="standard"/>
        <c:varyColors val="0"/>
        <c:ser>
          <c:idx val="0"/>
          <c:order val="0"/>
          <c:tx>
            <c:strRef>
              <c:f>PL!$B$19</c:f>
              <c:strCache>
                <c:ptCount val="1"/>
                <c:pt idx="0">
                  <c:v>Selling expenses/Net sales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A8A-4FC3-BA80-2CD640F540C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A8A-4FC3-BA80-2CD640F540C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A8A-4FC3-BA80-2CD640F540C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A8A-4FC3-BA80-2CD640F540C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A8A-4FC3-BA80-2CD640F540CF}"/>
                </c:ext>
              </c:extLst>
            </c:dLbl>
            <c:dLbl>
              <c:idx val="5"/>
              <c:layout>
                <c:manualLayout>
                  <c:x val="-2.1044507483702585E-3"/>
                  <c:y val="7.905186220831547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Selling expenses/Net sales (%), 10.4%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901593950587826"/>
                      <c:h val="0.16737634156326384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5-2A8A-4FC3-BA80-2CD640F540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PL!$CA$2:$CF$2</c:f>
            </c:multiLvlStrRef>
          </c:cat>
          <c:val>
            <c:numRef>
              <c:f>PL!$CA$19:$CF$19</c:f>
            </c:numRef>
          </c:val>
          <c:smooth val="0"/>
          <c:extLst>
            <c:ext xmlns:c16="http://schemas.microsoft.com/office/drawing/2014/chart" uri="{C3380CC4-5D6E-409C-BE32-E72D297353CC}">
              <c16:uniqueId val="{00000006-2A8A-4FC3-BA80-2CD640F540CF}"/>
            </c:ext>
          </c:extLst>
        </c:ser>
        <c:ser>
          <c:idx val="1"/>
          <c:order val="1"/>
          <c:tx>
            <c:strRef>
              <c:f>PL!$B$22</c:f>
              <c:strCache>
                <c:ptCount val="1"/>
                <c:pt idx="0">
                  <c:v>Administration /Net sales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A8A-4FC3-BA80-2CD640F540C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A8A-4FC3-BA80-2CD640F540C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A8A-4FC3-BA80-2CD640F540C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A8A-4FC3-BA80-2CD640F540C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A8A-4FC3-BA80-2CD640F540CF}"/>
                </c:ext>
              </c:extLst>
            </c:dLbl>
            <c:dLbl>
              <c:idx val="5"/>
              <c:layout>
                <c:manualLayout>
                  <c:x val="-1.8705574261129818E-2"/>
                  <c:y val="-3.64852538765582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Administration /Net sales (%), 11.3%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039284651708098"/>
                      <c:h val="0.16737634156326384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C-2A8A-4FC3-BA80-2CD640F540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PL!$CA$2:$CF$2</c:f>
            </c:multiLvlStrRef>
          </c:cat>
          <c:val>
            <c:numRef>
              <c:f>PL!$CA$22:$CF$22</c:f>
            </c:numRef>
          </c:val>
          <c:smooth val="0"/>
          <c:extLst>
            <c:ext xmlns:c16="http://schemas.microsoft.com/office/drawing/2014/chart" uri="{C3380CC4-5D6E-409C-BE32-E72D297353CC}">
              <c16:uniqueId val="{0000000D-2A8A-4FC3-BA80-2CD640F540CF}"/>
            </c:ext>
          </c:extLst>
        </c:ser>
        <c:ser>
          <c:idx val="2"/>
          <c:order val="2"/>
          <c:tx>
            <c:strRef>
              <c:f>PL!$B$26</c:f>
              <c:strCache>
                <c:ptCount val="1"/>
                <c:pt idx="0">
                  <c:v>EBIT margin 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A8A-4FC3-BA80-2CD640F540C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A8A-4FC3-BA80-2CD640F540C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A8A-4FC3-BA80-2CD640F540C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A8A-4FC3-BA80-2CD640F540C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A8A-4FC3-BA80-2CD640F540CF}"/>
                </c:ext>
              </c:extLst>
            </c:dLbl>
            <c:dLbl>
              <c:idx val="5"/>
              <c:layout>
                <c:manualLayout>
                  <c:x val="-1.0936457097768811E-2"/>
                  <c:y val="3.12251751356643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EBIT margin (%), 15.4%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001261079444333"/>
                      <c:h val="0.12982653347768855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13-2A8A-4FC3-BA80-2CD640F540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PL!$CA$2:$CF$2</c:f>
            </c:multiLvlStrRef>
          </c:cat>
          <c:val>
            <c:numRef>
              <c:f>PL!$CA$26:$CF$26</c:f>
            </c:numRef>
          </c:val>
          <c:smooth val="0"/>
          <c:extLst>
            <c:ext xmlns:c16="http://schemas.microsoft.com/office/drawing/2014/chart" uri="{C3380CC4-5D6E-409C-BE32-E72D297353CC}">
              <c16:uniqueId val="{00000014-2A8A-4FC3-BA80-2CD640F540CF}"/>
            </c:ext>
          </c:extLst>
        </c:ser>
        <c:ser>
          <c:idx val="3"/>
          <c:order val="3"/>
          <c:tx>
            <c:strRef>
              <c:f>PL!$B$57</c:f>
              <c:strCache>
                <c:ptCount val="1"/>
                <c:pt idx="0">
                  <c:v>Net margin (%)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A8A-4FC3-BA80-2CD640F540C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A8A-4FC3-BA80-2CD640F540C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A8A-4FC3-BA80-2CD640F540C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A8A-4FC3-BA80-2CD640F540C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2A8A-4FC3-BA80-2CD640F540CF}"/>
                </c:ext>
              </c:extLst>
            </c:dLbl>
            <c:dLbl>
              <c:idx val="5"/>
              <c:layout>
                <c:manualLayout>
                  <c:x val="-1.8705574261129818E-2"/>
                  <c:y val="-0.10945576162967467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Net margin (%), 16%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2A8A-4FC3-BA80-2CD640F540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PL!$CA$2:$CF$2</c:f>
            </c:multiLvlStrRef>
          </c:cat>
          <c:val>
            <c:numRef>
              <c:f>PL!$CA$57:$CF$57</c:f>
            </c:numRef>
          </c:val>
          <c:smooth val="0"/>
          <c:extLst>
            <c:ext xmlns:c16="http://schemas.microsoft.com/office/drawing/2014/chart" uri="{C3380CC4-5D6E-409C-BE32-E72D297353CC}">
              <c16:uniqueId val="{0000001B-2A8A-4FC3-BA80-2CD640F540CF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9463840"/>
        <c:axId val="179444160"/>
      </c:lineChart>
      <c:catAx>
        <c:axId val="17946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US"/>
          </a:p>
        </c:txPr>
        <c:crossAx val="179444160"/>
        <c:crosses val="autoZero"/>
        <c:auto val="1"/>
        <c:lblAlgn val="ctr"/>
        <c:lblOffset val="100"/>
        <c:noMultiLvlLbl val="0"/>
      </c:catAx>
      <c:valAx>
        <c:axId val="179444160"/>
        <c:scaling>
          <c:orientation val="minMax"/>
          <c:max val="0.2"/>
          <c:min val="5.000000000000001E-2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US"/>
          </a:p>
        </c:txPr>
        <c:crossAx val="179463840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Noto Sans" panose="020B0502040504020204" pitchFamily="34" charset="0"/>
          <a:ea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Doanh thu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PL!$L$4:$W$4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  <c:pt idx="3">
                  <c:v>2027</c:v>
                </c:pt>
                <c:pt idx="4">
                  <c:v>2028</c:v>
                </c:pt>
              </c:strCache>
            </c:strRef>
          </c:cat>
          <c:val>
            <c:numRef>
              <c:f>PL!$L$9:$W$9</c:f>
              <c:numCache>
                <c:formatCode>_(* #,##0_);[Red]_(* \(#,##0\);_(* \-??_);_(@_)</c:formatCode>
                <c:ptCount val="7"/>
                <c:pt idx="0" formatCode="#,##0">
                  <c:v>62848.79</c:v>
                </c:pt>
                <c:pt idx="1">
                  <c:v>70207.69</c:v>
                </c:pt>
                <c:pt idx="2">
                  <c:v>57194.606680421704</c:v>
                </c:pt>
                <c:pt idx="3">
                  <c:v>65945.020200000014</c:v>
                </c:pt>
                <c:pt idx="4">
                  <c:v>76536.739860000016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AB-4D09-B39D-2690914F0D2E}"/>
            </c:ext>
          </c:extLst>
        </c:ser>
        <c:ser>
          <c:idx val="1"/>
          <c:order val="1"/>
          <c:tx>
            <c:v>LNTT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PL!$L$4:$W$4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  <c:pt idx="3">
                  <c:v>2027</c:v>
                </c:pt>
                <c:pt idx="4">
                  <c:v>2028</c:v>
                </c:pt>
              </c:strCache>
            </c:strRef>
          </c:cat>
          <c:val>
            <c:numRef>
              <c:f>PL!$L$47:$W$47</c:f>
              <c:numCache>
                <c:formatCode>#,##0</c:formatCode>
                <c:ptCount val="7"/>
                <c:pt idx="0">
                  <c:v>11069.660000000005</c:v>
                </c:pt>
                <c:pt idx="1">
                  <c:v>13133.720000000005</c:v>
                </c:pt>
                <c:pt idx="2" formatCode="_(* #,##0_);[Red]_(* \(#,##0\);_(* \-??_);_(@_)">
                  <c:v>13271.82233705516</c:v>
                </c:pt>
                <c:pt idx="3" formatCode="_(* #,##0_);[Red]_(* \(#,##0\);_(* \-??_);_(@_)">
                  <c:v>15016.416682613406</c:v>
                </c:pt>
                <c:pt idx="4" formatCode="_(* #,##0_);[Red]_(* \(#,##0\);_(* \-??_);_(@_)">
                  <c:v>17014.72800224385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AB-4D09-B39D-2690914F0D2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axId val="260826608"/>
        <c:axId val="260817488"/>
      </c:barChart>
      <c:lineChart>
        <c:grouping val="standard"/>
        <c:varyColors val="0"/>
        <c:ser>
          <c:idx val="3"/>
          <c:order val="3"/>
          <c:tx>
            <c:v>Tăng trưởng LNTT (svck%)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PL!$L$4:$W$4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  <c:pt idx="3">
                  <c:v>2027</c:v>
                </c:pt>
                <c:pt idx="4">
                  <c:v>2028</c:v>
                </c:pt>
              </c:strCache>
            </c:strRef>
          </c:cat>
          <c:val>
            <c:numRef>
              <c:f>PL!$L$48:$W$48</c:f>
              <c:numCache>
                <c:formatCode>0.0%</c:formatCode>
                <c:ptCount val="7"/>
                <c:pt idx="0">
                  <c:v>0.20283088823770945</c:v>
                </c:pt>
                <c:pt idx="1">
                  <c:v>0.1864610114493126</c:v>
                </c:pt>
                <c:pt idx="2">
                  <c:v>1.0515096793228151E-2</c:v>
                </c:pt>
                <c:pt idx="3">
                  <c:v>0.13145100207432003</c:v>
                </c:pt>
                <c:pt idx="4">
                  <c:v>0.13307511118442572</c:v>
                </c:pt>
                <c:pt idx="6">
                  <c:v>1.0515096793228151E-2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1AB-4D09-B39D-2690914F0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0787248"/>
        <c:axId val="260779568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v>Tăng trưởng DT (%)</c:v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PL!$L$4:$W$4</c15:sqref>
                        </c15:formulaRef>
                      </c:ext>
                    </c:extLst>
                    <c:strCache>
                      <c:ptCount val="5"/>
                      <c:pt idx="0">
                        <c:v>2024</c:v>
                      </c:pt>
                      <c:pt idx="1">
                        <c:v>2025</c:v>
                      </c:pt>
                      <c:pt idx="2">
                        <c:v>2026F</c:v>
                      </c:pt>
                      <c:pt idx="3">
                        <c:v>2027</c:v>
                      </c:pt>
                      <c:pt idx="4">
                        <c:v>2028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PL!$L$10:$W$10</c15:sqref>
                        </c15:formulaRef>
                      </c:ext>
                    </c:extLst>
                    <c:numCache>
                      <c:formatCode>0.0%</c:formatCode>
                      <c:ptCount val="7"/>
                      <c:pt idx="0">
                        <c:v>0.19443742550995746</c:v>
                      </c:pt>
                      <c:pt idx="1">
                        <c:v>0.11708896861817064</c:v>
                      </c:pt>
                      <c:pt idx="2">
                        <c:v>-0.18535125311170753</c:v>
                      </c:pt>
                      <c:pt idx="3">
                        <c:v>0.15299368292663984</c:v>
                      </c:pt>
                      <c:pt idx="4">
                        <c:v>0.16061439708225311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21AB-4D09-B39D-2690914F0D2E}"/>
                  </c:ext>
                </c:extLst>
              </c15:ser>
            </c15:filteredLineSeries>
          </c:ext>
        </c:extLst>
      </c:lineChart>
      <c:catAx>
        <c:axId val="26082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817488"/>
        <c:crosses val="autoZero"/>
        <c:auto val="1"/>
        <c:lblAlgn val="ctr"/>
        <c:lblOffset val="100"/>
        <c:noMultiLvlLbl val="0"/>
      </c:catAx>
      <c:valAx>
        <c:axId val="26081748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826608"/>
        <c:crosses val="autoZero"/>
        <c:crossBetween val="between"/>
      </c:valAx>
      <c:valAx>
        <c:axId val="260779568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787248"/>
        <c:crosses val="max"/>
        <c:crossBetween val="between"/>
      </c:valAx>
      <c:catAx>
        <c:axId val="2607872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607795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PL!$A$334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PL!$M$4:$W$4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  <c:pt idx="3">
                  <c:v>2027</c:v>
                </c:pt>
                <c:pt idx="4">
                  <c:v>2028</c:v>
                </c:pt>
              </c:strCache>
            </c:strRef>
          </c:cat>
          <c:val>
            <c:numRef>
              <c:f>PL!$M$334:$W$334</c:f>
              <c:numCache>
                <c:formatCode>#,##0</c:formatCode>
                <c:ptCount val="7"/>
                <c:pt idx="0">
                  <c:v>2200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EC-42B1-BEDF-E2CB22DD46EF}"/>
            </c:ext>
          </c:extLst>
        </c:ser>
        <c:ser>
          <c:idx val="2"/>
          <c:order val="1"/>
          <c:tx>
            <c:strRef>
              <c:f>PL!$B$335</c:f>
              <c:strCache>
                <c:ptCount val="1"/>
                <c:pt idx="0">
                  <c:v>Telecom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PL!$M$4:$W$4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  <c:pt idx="3">
                  <c:v>2027</c:v>
                </c:pt>
                <c:pt idx="4">
                  <c:v>2028</c:v>
                </c:pt>
              </c:strCache>
            </c:strRef>
          </c:cat>
          <c:val>
            <c:numRef>
              <c:f>PL!$M$335:$W$335</c:f>
              <c:numCache>
                <c:formatCode>#,##0</c:formatCode>
                <c:ptCount val="7"/>
                <c:pt idx="0">
                  <c:v>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EC-42B1-BEDF-E2CB22DD46EF}"/>
            </c:ext>
          </c:extLst>
        </c:ser>
        <c:ser>
          <c:idx val="3"/>
          <c:order val="2"/>
          <c:tx>
            <c:strRef>
              <c:f>PL!$B$336</c:f>
              <c:strCache>
                <c:ptCount val="1"/>
                <c:pt idx="0">
                  <c:v>Education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PL!$M$4:$W$4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  <c:pt idx="3">
                  <c:v>2027</c:v>
                </c:pt>
                <c:pt idx="4">
                  <c:v>2028</c:v>
                </c:pt>
              </c:strCache>
            </c:strRef>
          </c:cat>
          <c:val>
            <c:numRef>
              <c:f>PL!$M$336:$W$336</c:f>
              <c:numCache>
                <c:formatCode>#,##0</c:formatCode>
                <c:ptCount val="7"/>
                <c:pt idx="0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EC-42B1-BEDF-E2CB22DD4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60803088"/>
        <c:axId val="260805008"/>
      </c:barChart>
      <c:catAx>
        <c:axId val="26080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805008"/>
        <c:crosses val="autoZero"/>
        <c:auto val="1"/>
        <c:lblAlgn val="ctr"/>
        <c:lblOffset val="100"/>
        <c:noMultiLvlLbl val="0"/>
      </c:catAx>
      <c:valAx>
        <c:axId val="26080500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803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12292213473316"/>
          <c:y val="5.0925925925925923E-2"/>
          <c:w val="0.84732152230971125"/>
          <c:h val="0.552658209390492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PL!$B$9</c:f>
              <c:strCache>
                <c:ptCount val="1"/>
                <c:pt idx="0">
                  <c:v>Net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PL!$CA$2:$CJ$2</c:f>
            </c:multiLvlStrRef>
          </c:cat>
          <c:val>
            <c:numRef>
              <c:f>PL!$CA$9:$CJ$9</c:f>
            </c:numRef>
          </c:val>
          <c:extLst>
            <c:ext xmlns:c16="http://schemas.microsoft.com/office/drawing/2014/chart" uri="{C3380CC4-5D6E-409C-BE32-E72D297353CC}">
              <c16:uniqueId val="{00000000-615C-40A5-8931-679E6B085CE9}"/>
            </c:ext>
          </c:extLst>
        </c:ser>
        <c:ser>
          <c:idx val="1"/>
          <c:order val="1"/>
          <c:tx>
            <c:strRef>
              <c:f>PL!$B$13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PL!$CA$2:$CJ$2</c:f>
            </c:multiLvlStrRef>
          </c:cat>
          <c:val>
            <c:numRef>
              <c:f>PL!$CA$13:$CJ$13</c:f>
            </c:numRef>
          </c:val>
          <c:extLst>
            <c:ext xmlns:c16="http://schemas.microsoft.com/office/drawing/2014/chart" uri="{C3380CC4-5D6E-409C-BE32-E72D297353CC}">
              <c16:uniqueId val="{00000001-615C-40A5-8931-679E6B085CE9}"/>
            </c:ext>
          </c:extLst>
        </c:ser>
        <c:ser>
          <c:idx val="2"/>
          <c:order val="2"/>
          <c:tx>
            <c:strRef>
              <c:f>PL!$B$24</c:f>
              <c:strCache>
                <c:ptCount val="1"/>
                <c:pt idx="0">
                  <c:v>Operating Profit (EBIT)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PL!$CA$2:$CJ$2</c:f>
            </c:multiLvlStrRef>
          </c:cat>
          <c:val>
            <c:numRef>
              <c:f>PL!$CA$24:$CJ$24</c:f>
            </c:numRef>
          </c:val>
          <c:extLst>
            <c:ext xmlns:c16="http://schemas.microsoft.com/office/drawing/2014/chart" uri="{C3380CC4-5D6E-409C-BE32-E72D297353CC}">
              <c16:uniqueId val="{00000002-615C-40A5-8931-679E6B085CE9}"/>
            </c:ext>
          </c:extLst>
        </c:ser>
        <c:ser>
          <c:idx val="3"/>
          <c:order val="3"/>
          <c:tx>
            <c:strRef>
              <c:f>PL!$B$39</c:f>
              <c:strCache>
                <c:ptCount val="1"/>
                <c:pt idx="0">
                  <c:v>Profit/Loss from Financial activities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PL!$CA$2:$CJ$2</c:f>
            </c:multiLvlStrRef>
          </c:cat>
          <c:val>
            <c:numRef>
              <c:f>PL!$CA$39:$CJ$39</c:f>
            </c:numRef>
          </c:val>
          <c:extLst>
            <c:ext xmlns:c16="http://schemas.microsoft.com/office/drawing/2014/chart" uri="{C3380CC4-5D6E-409C-BE32-E72D297353CC}">
              <c16:uniqueId val="{00000003-615C-40A5-8931-679E6B085CE9}"/>
            </c:ext>
          </c:extLst>
        </c:ser>
        <c:ser>
          <c:idx val="4"/>
          <c:order val="4"/>
          <c:tx>
            <c:strRef>
              <c:f>PL!$B$44</c:f>
              <c:strCache>
                <c:ptCount val="1"/>
                <c:pt idx="0">
                  <c:v>Profit/Loss from Other activities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PL!$CA$2:$CJ$2</c:f>
            </c:multiLvlStrRef>
          </c:cat>
          <c:val>
            <c:numRef>
              <c:f>PL!$CA$44:$CJ$44</c:f>
            </c:numRef>
          </c:val>
          <c:extLst>
            <c:ext xmlns:c16="http://schemas.microsoft.com/office/drawing/2014/chart" uri="{C3380CC4-5D6E-409C-BE32-E72D297353CC}">
              <c16:uniqueId val="{00000004-615C-40A5-8931-679E6B085CE9}"/>
            </c:ext>
          </c:extLst>
        </c:ser>
        <c:ser>
          <c:idx val="5"/>
          <c:order val="5"/>
          <c:tx>
            <c:strRef>
              <c:f>PL!$B$45</c:f>
              <c:strCache>
                <c:ptCount val="1"/>
                <c:pt idx="0">
                  <c:v>Profit from Joint venture partners/ Affiliates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PL!$CA$2:$CJ$2</c:f>
            </c:multiLvlStrRef>
          </c:cat>
          <c:val>
            <c:numRef>
              <c:f>PL!$CA$45:$CJ$45</c:f>
            </c:numRef>
          </c:val>
          <c:extLst>
            <c:ext xmlns:c16="http://schemas.microsoft.com/office/drawing/2014/chart" uri="{C3380CC4-5D6E-409C-BE32-E72D297353CC}">
              <c16:uniqueId val="{00000005-615C-40A5-8931-679E6B085CE9}"/>
            </c:ext>
          </c:extLst>
        </c:ser>
        <c:ser>
          <c:idx val="6"/>
          <c:order val="6"/>
          <c:tx>
            <c:strRef>
              <c:f>PL!$B$47</c:f>
              <c:strCache>
                <c:ptCount val="1"/>
                <c:pt idx="0">
                  <c:v>Profit before tax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PL!$CA$2:$CJ$2</c:f>
            </c:multiLvlStrRef>
          </c:cat>
          <c:val>
            <c:numRef>
              <c:f>PL!$CA$47:$CJ$47</c:f>
            </c:numRef>
          </c:val>
          <c:extLst>
            <c:ext xmlns:c16="http://schemas.microsoft.com/office/drawing/2014/chart" uri="{C3380CC4-5D6E-409C-BE32-E72D297353CC}">
              <c16:uniqueId val="{00000006-615C-40A5-8931-679E6B085C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9496143"/>
        <c:axId val="1399468303"/>
      </c:barChart>
      <c:catAx>
        <c:axId val="1399496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468303"/>
        <c:crosses val="autoZero"/>
        <c:auto val="1"/>
        <c:lblAlgn val="ctr"/>
        <c:lblOffset val="100"/>
        <c:noMultiLvlLbl val="0"/>
      </c:catAx>
      <c:valAx>
        <c:axId val="1399468303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496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67765824566459887"/>
          <c:w val="0.98074300087489064"/>
          <c:h val="0.294564012831729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PL!$B$63</c:f>
              <c:strCache>
                <c:ptCount val="1"/>
                <c:pt idx="0">
                  <c:v>EBIT/PBT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PL!$CA$2:$CJ$2</c:f>
            </c:multiLvlStrRef>
          </c:cat>
          <c:val>
            <c:numRef>
              <c:f>PL!$CA$63:$CJ$63</c:f>
            </c:numRef>
          </c:val>
          <c:extLst>
            <c:ext xmlns:c16="http://schemas.microsoft.com/office/drawing/2014/chart" uri="{C3380CC4-5D6E-409C-BE32-E72D297353CC}">
              <c16:uniqueId val="{00000000-A51C-4664-9FE4-85E15CB2CA5E}"/>
            </c:ext>
          </c:extLst>
        </c:ser>
        <c:ser>
          <c:idx val="1"/>
          <c:order val="1"/>
          <c:tx>
            <c:strRef>
              <c:f>PL!$B$65</c:f>
              <c:strCache>
                <c:ptCount val="1"/>
                <c:pt idx="0">
                  <c:v>Financial income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PL!$CA$2:$CJ$2</c:f>
            </c:multiLvlStrRef>
          </c:cat>
          <c:val>
            <c:numRef>
              <c:f>PL!$CA$65:$CJ$65</c:f>
            </c:numRef>
          </c:val>
          <c:extLst>
            <c:ext xmlns:c16="http://schemas.microsoft.com/office/drawing/2014/chart" uri="{C3380CC4-5D6E-409C-BE32-E72D297353CC}">
              <c16:uniqueId val="{00000001-A51C-4664-9FE4-85E15CB2CA5E}"/>
            </c:ext>
          </c:extLst>
        </c:ser>
        <c:ser>
          <c:idx val="2"/>
          <c:order val="2"/>
          <c:tx>
            <c:strRef>
              <c:f>PL!$B$66</c:f>
              <c:strCache>
                <c:ptCount val="1"/>
                <c:pt idx="0">
                  <c:v>Other activities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PL!$CA$2:$CJ$2</c:f>
            </c:multiLvlStrRef>
          </c:cat>
          <c:val>
            <c:numRef>
              <c:f>PL!$CA$66:$CJ$66</c:f>
            </c:numRef>
          </c:val>
          <c:extLst>
            <c:ext xmlns:c16="http://schemas.microsoft.com/office/drawing/2014/chart" uri="{C3380CC4-5D6E-409C-BE32-E72D297353CC}">
              <c16:uniqueId val="{00000002-A51C-4664-9FE4-85E15CB2CA5E}"/>
            </c:ext>
          </c:extLst>
        </c:ser>
        <c:ser>
          <c:idx val="3"/>
          <c:order val="3"/>
          <c:tx>
            <c:strRef>
              <c:f>PL!$B$67</c:f>
              <c:strCache>
                <c:ptCount val="1"/>
                <c:pt idx="0">
                  <c:v>Income from subsidiaries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PL!$CA$2:$CJ$2</c:f>
            </c:multiLvlStrRef>
          </c:cat>
          <c:val>
            <c:numRef>
              <c:f>PL!$CA$67:$CJ$67</c:f>
            </c:numRef>
          </c:val>
          <c:extLst>
            <c:ext xmlns:c16="http://schemas.microsoft.com/office/drawing/2014/chart" uri="{C3380CC4-5D6E-409C-BE32-E72D297353CC}">
              <c16:uniqueId val="{00000003-A51C-4664-9FE4-85E15CB2C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99517743"/>
        <c:axId val="1399509103"/>
      </c:barChart>
      <c:catAx>
        <c:axId val="1399517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509103"/>
        <c:crosses val="autoZero"/>
        <c:auto val="1"/>
        <c:lblAlgn val="ctr"/>
        <c:lblOffset val="100"/>
        <c:noMultiLvlLbl val="0"/>
      </c:catAx>
      <c:valAx>
        <c:axId val="1399509103"/>
        <c:scaling>
          <c:orientation val="minMax"/>
          <c:max val="1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517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64023528200843"/>
          <c:y val="6.8217054263565891E-2"/>
          <c:w val="0.83806833834352024"/>
          <c:h val="0.625514740889946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PL!$B$63</c:f>
              <c:strCache>
                <c:ptCount val="1"/>
                <c:pt idx="0">
                  <c:v>EBIT/PBT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9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B04-4F50-83E1-F78861BACD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PL!$CA$2:$CJ$2</c:f>
            </c:multiLvlStrRef>
          </c:cat>
          <c:val>
            <c:numRef>
              <c:f>PL!$CA$63:$CJ$63</c:f>
            </c:numRef>
          </c:val>
          <c:extLst>
            <c:ext xmlns:c16="http://schemas.microsoft.com/office/drawing/2014/chart" uri="{C3380CC4-5D6E-409C-BE32-E72D297353CC}">
              <c16:uniqueId val="{00000001-6B04-4F50-83E1-F78861BACD61}"/>
            </c:ext>
          </c:extLst>
        </c:ser>
        <c:ser>
          <c:idx val="1"/>
          <c:order val="1"/>
          <c:tx>
            <c:strRef>
              <c:f>PL!$B$65</c:f>
              <c:strCache>
                <c:ptCount val="1"/>
                <c:pt idx="0">
                  <c:v>Financial income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9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B04-4F50-83E1-F78861BACD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PL!$CA$2:$CJ$2</c:f>
            </c:multiLvlStrRef>
          </c:cat>
          <c:val>
            <c:numRef>
              <c:f>PL!$CA$65:$CJ$65</c:f>
            </c:numRef>
          </c:val>
          <c:extLst>
            <c:ext xmlns:c16="http://schemas.microsoft.com/office/drawing/2014/chart" uri="{C3380CC4-5D6E-409C-BE32-E72D297353CC}">
              <c16:uniqueId val="{00000003-6B04-4F50-83E1-F78861BACD61}"/>
            </c:ext>
          </c:extLst>
        </c:ser>
        <c:ser>
          <c:idx val="2"/>
          <c:order val="2"/>
          <c:tx>
            <c:strRef>
              <c:f>PL!$B$66</c:f>
              <c:strCache>
                <c:ptCount val="1"/>
                <c:pt idx="0">
                  <c:v>Other activities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PL!$CA$2:$CJ$2</c:f>
            </c:multiLvlStrRef>
          </c:cat>
          <c:val>
            <c:numRef>
              <c:f>PL!$CA$66:$CJ$66</c:f>
            </c:numRef>
          </c:val>
          <c:extLst>
            <c:ext xmlns:c16="http://schemas.microsoft.com/office/drawing/2014/chart" uri="{C3380CC4-5D6E-409C-BE32-E72D297353CC}">
              <c16:uniqueId val="{00000004-6B04-4F50-83E1-F78861BACD61}"/>
            </c:ext>
          </c:extLst>
        </c:ser>
        <c:ser>
          <c:idx val="3"/>
          <c:order val="3"/>
          <c:tx>
            <c:strRef>
              <c:f>PL!$B$67</c:f>
              <c:strCache>
                <c:ptCount val="1"/>
                <c:pt idx="0">
                  <c:v>Income from subsidiaries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9"/>
              <c:layout>
                <c:manualLayout>
                  <c:x val="-1.4096979275316256E-16"/>
                  <c:y val="-3.580400997593143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B04-4F50-83E1-F78861BACD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PL!$CA$2:$CJ$2</c:f>
            </c:multiLvlStrRef>
          </c:cat>
          <c:val>
            <c:numRef>
              <c:f>PL!$CA$67:$CJ$67</c:f>
            </c:numRef>
          </c:val>
          <c:extLst>
            <c:ext xmlns:c16="http://schemas.microsoft.com/office/drawing/2014/chart" uri="{C3380CC4-5D6E-409C-BE32-E72D297353CC}">
              <c16:uniqueId val="{00000006-6B04-4F50-83E1-F78861BAC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99517743"/>
        <c:axId val="1399509103"/>
      </c:barChart>
      <c:catAx>
        <c:axId val="1399517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399509103"/>
        <c:crosses val="autoZero"/>
        <c:auto val="1"/>
        <c:lblAlgn val="ctr"/>
        <c:lblOffset val="100"/>
        <c:noMultiLvlLbl val="0"/>
      </c:catAx>
      <c:valAx>
        <c:axId val="1399509103"/>
        <c:scaling>
          <c:orientation val="minMax"/>
          <c:max val="1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39951774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455133852213086E-2"/>
          <c:y val="0.84858017229174154"/>
          <c:w val="0.79786635667081396"/>
          <c:h val="0.140354820792629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v>Revenue (VNDbn)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6.1111111111111109E-2"/>
                  <c:y val="9.72222222222222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BB4-4771-AB6D-64078085E5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PL!$K$4:$Q$4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</c:strCache>
            </c:strRef>
          </c:cat>
          <c:val>
            <c:numRef>
              <c:f>PL!$K$9:$Q$9</c:f>
              <c:numCache>
                <c:formatCode>_(* #,##0_);[Red]_(* \(#,##0\);_(* \-??_);_(@_)</c:formatCode>
                <c:ptCount val="3"/>
                <c:pt idx="0" formatCode="#,##0">
                  <c:v>62848.79</c:v>
                </c:pt>
                <c:pt idx="1">
                  <c:v>70207.69</c:v>
                </c:pt>
                <c:pt idx="2">
                  <c:v>57194.606680421704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B4-4771-AB6D-64078085E5E0}"/>
            </c:ext>
          </c:extLst>
        </c:ser>
        <c:ser>
          <c:idx val="0"/>
          <c:order val="1"/>
          <c:tx>
            <c:v>NP (VNDbn)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PL!$K$4:$Q$4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</c:strCache>
            </c:strRef>
          </c:cat>
          <c:val>
            <c:numRef>
              <c:f>PL!$K$53:$Q$53</c:f>
              <c:numCache>
                <c:formatCode>#,##0</c:formatCode>
                <c:ptCount val="3"/>
                <c:pt idx="0">
                  <c:v>9427.4200000000055</c:v>
                </c:pt>
                <c:pt idx="1">
                  <c:v>11320.370000000004</c:v>
                </c:pt>
                <c:pt idx="2" formatCode="_(* #,##0_);[Red]_(* \(#,##0\);_(* \-??_);_(@_)">
                  <c:v>11281.048986496886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B4-4771-AB6D-64078085E5E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18262415"/>
        <c:axId val="118262895"/>
      </c:barChart>
      <c:lineChart>
        <c:grouping val="stacked"/>
        <c:varyColors val="0"/>
        <c:ser>
          <c:idx val="2"/>
          <c:order val="2"/>
          <c:tx>
            <c:v>Revenue growth (YoY%)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PL!$K$4:$Q$4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</c:strCache>
            </c:strRef>
          </c:cat>
          <c:val>
            <c:numRef>
              <c:f>PL!$K$10:$Q$10</c:f>
              <c:numCache>
                <c:formatCode>0.0%</c:formatCode>
                <c:ptCount val="3"/>
                <c:pt idx="0">
                  <c:v>0.19443742550995746</c:v>
                </c:pt>
                <c:pt idx="1">
                  <c:v>0.11708896861817064</c:v>
                </c:pt>
                <c:pt idx="2">
                  <c:v>-0.18535125311170753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BB4-4771-AB6D-64078085E5E0}"/>
            </c:ext>
          </c:extLst>
        </c:ser>
        <c:ser>
          <c:idx val="3"/>
          <c:order val="3"/>
          <c:tx>
            <c:v>NP growth (YoY%)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7777777777777776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BB4-4771-AB6D-64078085E5E0}"/>
                </c:ext>
              </c:extLst>
            </c:dLbl>
            <c:dLbl>
              <c:idx val="1"/>
              <c:layout>
                <c:manualLayout>
                  <c:x val="-2.500000000000005E-2"/>
                  <c:y val="-3.70370370370370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BB4-4771-AB6D-64078085E5E0}"/>
                </c:ext>
              </c:extLst>
            </c:dLbl>
            <c:dLbl>
              <c:idx val="2"/>
              <c:layout>
                <c:manualLayout>
                  <c:x val="-5.5555555555555558E-3"/>
                  <c:y val="-6.48148148148148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BB4-4771-AB6D-64078085E5E0}"/>
                </c:ext>
              </c:extLst>
            </c:dLbl>
            <c:dLbl>
              <c:idx val="3"/>
              <c:layout>
                <c:manualLayout>
                  <c:x val="1.3888888888888888E-2"/>
                  <c:y val="-3.2407407407407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BB4-4771-AB6D-64078085E5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PL!$K$4:$Q$4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</c:strCache>
            </c:strRef>
          </c:cat>
          <c:val>
            <c:numRef>
              <c:f>PL!$K$58:$Q$58</c:f>
              <c:numCache>
                <c:formatCode>0.0%</c:formatCode>
                <c:ptCount val="3"/>
                <c:pt idx="0">
                  <c:v>0.21524185279313524</c:v>
                </c:pt>
                <c:pt idx="1">
                  <c:v>0.20458661765585551</c:v>
                </c:pt>
                <c:pt idx="2">
                  <c:v>0.17420761684148656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BB4-4771-AB6D-64078085E5E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13008271"/>
        <c:axId val="1013005871"/>
      </c:lineChart>
      <c:catAx>
        <c:axId val="11826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62895"/>
        <c:crosses val="autoZero"/>
        <c:auto val="1"/>
        <c:lblAlgn val="ctr"/>
        <c:lblOffset val="100"/>
        <c:noMultiLvlLbl val="0"/>
      </c:catAx>
      <c:valAx>
        <c:axId val="118262895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62415"/>
        <c:crosses val="autoZero"/>
        <c:crossBetween val="between"/>
      </c:valAx>
      <c:valAx>
        <c:axId val="1013005871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008271"/>
        <c:crosses val="max"/>
        <c:crossBetween val="between"/>
      </c:valAx>
      <c:catAx>
        <c:axId val="10130082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130058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84992655921902"/>
          <c:y val="0.12141494577328778"/>
          <c:w val="0.7936122602453336"/>
          <c:h val="0.54990046055563813"/>
        </c:manualLayout>
      </c:layout>
      <c:barChart>
        <c:barDir val="col"/>
        <c:grouping val="clustered"/>
        <c:varyColors val="0"/>
        <c:ser>
          <c:idx val="1"/>
          <c:order val="0"/>
          <c:tx>
            <c:v>Doanh thu (tỷ)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PL!$L$4:$W$4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  <c:pt idx="3">
                  <c:v>2027</c:v>
                </c:pt>
                <c:pt idx="4">
                  <c:v>2028</c:v>
                </c:pt>
              </c:strCache>
            </c:strRef>
          </c:cat>
          <c:val>
            <c:numRef>
              <c:f>PL!$L$9:$W$9</c:f>
              <c:numCache>
                <c:formatCode>_(* #,##0_);[Red]_(* \(#,##0\);_(* \-??_);_(@_)</c:formatCode>
                <c:ptCount val="7"/>
                <c:pt idx="0" formatCode="#,##0">
                  <c:v>62848.79</c:v>
                </c:pt>
                <c:pt idx="1">
                  <c:v>70207.69</c:v>
                </c:pt>
                <c:pt idx="2">
                  <c:v>57194.606680421704</c:v>
                </c:pt>
                <c:pt idx="3">
                  <c:v>65945.020200000014</c:v>
                </c:pt>
                <c:pt idx="4">
                  <c:v>76536.739860000016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24-4012-8EF2-9B2CC0C8E8E7}"/>
            </c:ext>
          </c:extLst>
        </c:ser>
        <c:ser>
          <c:idx val="0"/>
          <c:order val="1"/>
          <c:tx>
            <c:v>LNST (tỷ)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PL!$L$4:$W$4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  <c:pt idx="3">
                  <c:v>2027</c:v>
                </c:pt>
                <c:pt idx="4">
                  <c:v>2028</c:v>
                </c:pt>
              </c:strCache>
            </c:strRef>
          </c:cat>
          <c:val>
            <c:numRef>
              <c:f>PL!$L$53:$W$53</c:f>
              <c:numCache>
                <c:formatCode>#,##0</c:formatCode>
                <c:ptCount val="7"/>
                <c:pt idx="0">
                  <c:v>9427.4200000000055</c:v>
                </c:pt>
                <c:pt idx="1">
                  <c:v>11320.370000000004</c:v>
                </c:pt>
                <c:pt idx="2" formatCode="_(* #,##0_);[Red]_(* \(#,##0\);_(* \-??_);_(@_)">
                  <c:v>11281.048986496886</c:v>
                </c:pt>
                <c:pt idx="3" formatCode="_(* #,##0_);[Red]_(* \(#,##0\);_(* \-??_);_(@_)">
                  <c:v>12763.954180221395</c:v>
                </c:pt>
                <c:pt idx="4" formatCode="_(* #,##0_);[Red]_(* \(#,##0\);_(* \-??_);_(@_)">
                  <c:v>14462.518801907272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24-4012-8EF2-9B2CC0C8E8E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18262415"/>
        <c:axId val="118262895"/>
      </c:barChart>
      <c:lineChart>
        <c:grouping val="stacked"/>
        <c:varyColors val="0"/>
        <c:ser>
          <c:idx val="2"/>
          <c:order val="2"/>
          <c:tx>
            <c:v>Tăng trưởng doanh thu svck (%)</c:v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PL!$L$4:$W$4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  <c:pt idx="3">
                  <c:v>2027</c:v>
                </c:pt>
                <c:pt idx="4">
                  <c:v>2028</c:v>
                </c:pt>
              </c:strCache>
            </c:strRef>
          </c:cat>
          <c:val>
            <c:numRef>
              <c:f>PL!$L$10:$W$10</c:f>
              <c:numCache>
                <c:formatCode>0.0%</c:formatCode>
                <c:ptCount val="7"/>
                <c:pt idx="0">
                  <c:v>0.19443742550995746</c:v>
                </c:pt>
                <c:pt idx="1">
                  <c:v>0.11708896861817064</c:v>
                </c:pt>
                <c:pt idx="2">
                  <c:v>-0.18535125311170753</c:v>
                </c:pt>
                <c:pt idx="3">
                  <c:v>0.15299368292663984</c:v>
                </c:pt>
                <c:pt idx="4">
                  <c:v>0.16061439708225311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24-4012-8EF2-9B2CC0C8E8E7}"/>
            </c:ext>
          </c:extLst>
        </c:ser>
        <c:ser>
          <c:idx val="3"/>
          <c:order val="3"/>
          <c:tx>
            <c:v>Tăng trưởng LNST svck (%)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7777777777777776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324-4012-8EF2-9B2CC0C8E8E7}"/>
                </c:ext>
              </c:extLst>
            </c:dLbl>
            <c:dLbl>
              <c:idx val="1"/>
              <c:layout>
                <c:manualLayout>
                  <c:x val="-2.500000000000005E-2"/>
                  <c:y val="-3.70370370370370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324-4012-8EF2-9B2CC0C8E8E7}"/>
                </c:ext>
              </c:extLst>
            </c:dLbl>
            <c:dLbl>
              <c:idx val="2"/>
              <c:layout>
                <c:manualLayout>
                  <c:x val="-5.5555555555555558E-3"/>
                  <c:y val="-6.48148148148148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324-4012-8EF2-9B2CC0C8E8E7}"/>
                </c:ext>
              </c:extLst>
            </c:dLbl>
            <c:dLbl>
              <c:idx val="3"/>
              <c:layout>
                <c:manualLayout>
                  <c:x val="1.3888888888888888E-2"/>
                  <c:y val="-3.2407407407407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324-4012-8EF2-9B2CC0C8E8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PL!$L$4:$W$4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  <c:pt idx="3">
                  <c:v>2027</c:v>
                </c:pt>
                <c:pt idx="4">
                  <c:v>2028</c:v>
                </c:pt>
              </c:strCache>
            </c:strRef>
          </c:cat>
          <c:val>
            <c:numRef>
              <c:f>PL!$L$58:$W$58</c:f>
              <c:numCache>
                <c:formatCode>0.0%</c:formatCode>
                <c:ptCount val="7"/>
                <c:pt idx="0">
                  <c:v>0.21524185279313524</c:v>
                </c:pt>
                <c:pt idx="1">
                  <c:v>0.20458661765585551</c:v>
                </c:pt>
                <c:pt idx="2">
                  <c:v>0.17420761684148656</c:v>
                </c:pt>
                <c:pt idx="3">
                  <c:v>0.12973889047103593</c:v>
                </c:pt>
                <c:pt idx="4">
                  <c:v>0.13307511118442572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324-4012-8EF2-9B2CC0C8E8E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13008271"/>
        <c:axId val="1013005871"/>
      </c:lineChart>
      <c:catAx>
        <c:axId val="11826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18262895"/>
        <c:crosses val="autoZero"/>
        <c:auto val="1"/>
        <c:lblAlgn val="ctr"/>
        <c:lblOffset val="100"/>
        <c:noMultiLvlLbl val="0"/>
      </c:catAx>
      <c:valAx>
        <c:axId val="118262895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18262415"/>
        <c:crosses val="autoZero"/>
        <c:crossBetween val="between"/>
      </c:valAx>
      <c:valAx>
        <c:axId val="1013005871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013008271"/>
        <c:crosses val="max"/>
        <c:crossBetween val="between"/>
      </c:valAx>
      <c:catAx>
        <c:axId val="1013008271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r>
                  <a:rPr lang="en-US"/>
                  <a:t>(tỷ)</a:t>
                </a:r>
              </a:p>
            </c:rich>
          </c:tx>
          <c:layout>
            <c:manualLayout>
              <c:xMode val="edge"/>
              <c:yMode val="edge"/>
              <c:x val="3.9943820482855906E-2"/>
              <c:y val="6.8001782796018422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" panose="020B0502040504020204" pitchFamily="34" charset="0"/>
                  <a:ea typeface="Noto Sans" panose="020B0502040504020204" pitchFamily="34" charset="0"/>
                  <a:cs typeface="Noto Sans" panose="020B0502040504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0130058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1437157206156463E-2"/>
          <c:y val="0.81368711929876691"/>
          <c:w val="0.96156420439664458"/>
          <c:h val="0.141029861833308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6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84992655921902"/>
          <c:y val="0.12141494577328778"/>
          <c:w val="0.7936122602453336"/>
          <c:h val="0.54990046055563813"/>
        </c:manualLayout>
      </c:layout>
      <c:barChart>
        <c:barDir val="col"/>
        <c:grouping val="clustered"/>
        <c:varyColors val="0"/>
        <c:ser>
          <c:idx val="1"/>
          <c:order val="0"/>
          <c:tx>
            <c:v>Revenue (bn)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PL!$L$4:$W$4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  <c:pt idx="3">
                  <c:v>2027</c:v>
                </c:pt>
                <c:pt idx="4">
                  <c:v>2028</c:v>
                </c:pt>
              </c:strCache>
            </c:strRef>
          </c:cat>
          <c:val>
            <c:numRef>
              <c:f>PL!$L$9:$W$9</c:f>
              <c:numCache>
                <c:formatCode>_(* #,##0_);[Red]_(* \(#,##0\);_(* \-??_);_(@_)</c:formatCode>
                <c:ptCount val="7"/>
                <c:pt idx="0" formatCode="#,##0">
                  <c:v>62848.79</c:v>
                </c:pt>
                <c:pt idx="1">
                  <c:v>70207.69</c:v>
                </c:pt>
                <c:pt idx="2">
                  <c:v>57194.606680421704</c:v>
                </c:pt>
                <c:pt idx="3">
                  <c:v>65945.020200000014</c:v>
                </c:pt>
                <c:pt idx="4">
                  <c:v>76536.739860000016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9E-4F87-9C0E-850AFAF84C9B}"/>
            </c:ext>
          </c:extLst>
        </c:ser>
        <c:ser>
          <c:idx val="0"/>
          <c:order val="1"/>
          <c:tx>
            <c:v>NP (VNDbn)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PL!$L$4:$W$4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  <c:pt idx="3">
                  <c:v>2027</c:v>
                </c:pt>
                <c:pt idx="4">
                  <c:v>2028</c:v>
                </c:pt>
              </c:strCache>
            </c:strRef>
          </c:cat>
          <c:val>
            <c:numRef>
              <c:f>PL!$L$53:$W$53</c:f>
              <c:numCache>
                <c:formatCode>#,##0</c:formatCode>
                <c:ptCount val="7"/>
                <c:pt idx="0">
                  <c:v>9427.4200000000055</c:v>
                </c:pt>
                <c:pt idx="1">
                  <c:v>11320.370000000004</c:v>
                </c:pt>
                <c:pt idx="2" formatCode="_(* #,##0_);[Red]_(* \(#,##0\);_(* \-??_);_(@_)">
                  <c:v>11281.048986496886</c:v>
                </c:pt>
                <c:pt idx="3" formatCode="_(* #,##0_);[Red]_(* \(#,##0\);_(* \-??_);_(@_)">
                  <c:v>12763.954180221395</c:v>
                </c:pt>
                <c:pt idx="4" formatCode="_(* #,##0_);[Red]_(* \(#,##0\);_(* \-??_);_(@_)">
                  <c:v>14462.518801907272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9E-4F87-9C0E-850AFAF84C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18262415"/>
        <c:axId val="118262895"/>
      </c:barChart>
      <c:lineChart>
        <c:grouping val="stacked"/>
        <c:varyColors val="0"/>
        <c:ser>
          <c:idx val="2"/>
          <c:order val="2"/>
          <c:tx>
            <c:v>Revenue growth YoY (%)</c:v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PL!$L$4:$W$4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  <c:pt idx="3">
                  <c:v>2027</c:v>
                </c:pt>
                <c:pt idx="4">
                  <c:v>2028</c:v>
                </c:pt>
              </c:strCache>
            </c:strRef>
          </c:cat>
          <c:val>
            <c:numRef>
              <c:f>PL!$L$10:$W$10</c:f>
              <c:numCache>
                <c:formatCode>0.0%</c:formatCode>
                <c:ptCount val="7"/>
                <c:pt idx="0">
                  <c:v>0.19443742550995746</c:v>
                </c:pt>
                <c:pt idx="1">
                  <c:v>0.11708896861817064</c:v>
                </c:pt>
                <c:pt idx="2">
                  <c:v>-0.18535125311170753</c:v>
                </c:pt>
                <c:pt idx="3">
                  <c:v>0.15299368292663984</c:v>
                </c:pt>
                <c:pt idx="4">
                  <c:v>0.16061439708225311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9E-4F87-9C0E-850AFAF84C9B}"/>
            </c:ext>
          </c:extLst>
        </c:ser>
        <c:ser>
          <c:idx val="3"/>
          <c:order val="3"/>
          <c:tx>
            <c:v>NP growth YoY (%)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7777777777777776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E-4F87-9C0E-850AFAF84C9B}"/>
                </c:ext>
              </c:extLst>
            </c:dLbl>
            <c:dLbl>
              <c:idx val="1"/>
              <c:layout>
                <c:manualLayout>
                  <c:x val="-2.500000000000005E-2"/>
                  <c:y val="-3.70370370370370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E-4F87-9C0E-850AFAF84C9B}"/>
                </c:ext>
              </c:extLst>
            </c:dLbl>
            <c:dLbl>
              <c:idx val="2"/>
              <c:layout>
                <c:manualLayout>
                  <c:x val="-5.5555555555555558E-3"/>
                  <c:y val="-6.48148148148148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39E-4F87-9C0E-850AFAF84C9B}"/>
                </c:ext>
              </c:extLst>
            </c:dLbl>
            <c:dLbl>
              <c:idx val="3"/>
              <c:layout>
                <c:manualLayout>
                  <c:x val="1.3888888888888888E-2"/>
                  <c:y val="-3.2407407407407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39E-4F87-9C0E-850AFAF84C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PL!$L$4:$W$4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  <c:pt idx="3">
                  <c:v>2027</c:v>
                </c:pt>
                <c:pt idx="4">
                  <c:v>2028</c:v>
                </c:pt>
              </c:strCache>
            </c:strRef>
          </c:cat>
          <c:val>
            <c:numRef>
              <c:f>PL!$L$58:$W$58</c:f>
              <c:numCache>
                <c:formatCode>0.0%</c:formatCode>
                <c:ptCount val="7"/>
                <c:pt idx="0">
                  <c:v>0.21524185279313524</c:v>
                </c:pt>
                <c:pt idx="1">
                  <c:v>0.20458661765585551</c:v>
                </c:pt>
                <c:pt idx="2">
                  <c:v>0.17420761684148656</c:v>
                </c:pt>
                <c:pt idx="3">
                  <c:v>0.12973889047103593</c:v>
                </c:pt>
                <c:pt idx="4">
                  <c:v>0.13307511118442572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39E-4F87-9C0E-850AFAF84C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13008271"/>
        <c:axId val="1013005871"/>
      </c:lineChart>
      <c:catAx>
        <c:axId val="11826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18262895"/>
        <c:crosses val="autoZero"/>
        <c:auto val="1"/>
        <c:lblAlgn val="ctr"/>
        <c:lblOffset val="100"/>
        <c:noMultiLvlLbl val="0"/>
      </c:catAx>
      <c:valAx>
        <c:axId val="118262895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18262415"/>
        <c:crosses val="autoZero"/>
        <c:crossBetween val="between"/>
      </c:valAx>
      <c:valAx>
        <c:axId val="1013005871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013008271"/>
        <c:crosses val="max"/>
        <c:crossBetween val="between"/>
      </c:valAx>
      <c:catAx>
        <c:axId val="1013008271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r>
                  <a:rPr lang="en-US"/>
                  <a:t>(tỷ)</a:t>
                </a:r>
              </a:p>
            </c:rich>
          </c:tx>
          <c:layout>
            <c:manualLayout>
              <c:xMode val="edge"/>
              <c:yMode val="edge"/>
              <c:x val="3.9943820482855906E-2"/>
              <c:y val="6.8001782796018422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" panose="020B0502040504020204" pitchFamily="34" charset="0"/>
                  <a:ea typeface="Noto Sans" panose="020B0502040504020204" pitchFamily="34" charset="0"/>
                  <a:cs typeface="Noto Sans" panose="020B0502040504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0130058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1437157206156463E-2"/>
          <c:y val="0.81368711929876691"/>
          <c:w val="0.96156420439664458"/>
          <c:h val="0.141029861833308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6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v>Revenue (VNDbn)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6.1111111111111109E-2"/>
                  <c:y val="9.72222222222222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7C8-4D2D-B34D-1F612BEDD9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PL!$L$4:$W$4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  <c:pt idx="3">
                  <c:v>2027</c:v>
                </c:pt>
                <c:pt idx="4">
                  <c:v>2028</c:v>
                </c:pt>
              </c:strCache>
            </c:strRef>
          </c:cat>
          <c:val>
            <c:numRef>
              <c:f>PL!$L$9:$W$9</c:f>
              <c:numCache>
                <c:formatCode>_(* #,##0_);[Red]_(* \(#,##0\);_(* \-??_);_(@_)</c:formatCode>
                <c:ptCount val="7"/>
                <c:pt idx="0" formatCode="#,##0">
                  <c:v>62848.79</c:v>
                </c:pt>
                <c:pt idx="1">
                  <c:v>70207.69</c:v>
                </c:pt>
                <c:pt idx="2">
                  <c:v>57194.606680421704</c:v>
                </c:pt>
                <c:pt idx="3">
                  <c:v>65945.020200000014</c:v>
                </c:pt>
                <c:pt idx="4">
                  <c:v>76536.739860000016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C8-4D2D-B34D-1F612BEDD939}"/>
            </c:ext>
          </c:extLst>
        </c:ser>
        <c:ser>
          <c:idx val="0"/>
          <c:order val="1"/>
          <c:tx>
            <c:v>NP (VNDbn)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PL!$L$4:$W$4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  <c:pt idx="3">
                  <c:v>2027</c:v>
                </c:pt>
                <c:pt idx="4">
                  <c:v>2028</c:v>
                </c:pt>
              </c:strCache>
            </c:strRef>
          </c:cat>
          <c:val>
            <c:numRef>
              <c:f>PL!$L$53:$W$53</c:f>
              <c:numCache>
                <c:formatCode>#,##0</c:formatCode>
                <c:ptCount val="7"/>
                <c:pt idx="0">
                  <c:v>9427.4200000000055</c:v>
                </c:pt>
                <c:pt idx="1">
                  <c:v>11320.370000000004</c:v>
                </c:pt>
                <c:pt idx="2" formatCode="_(* #,##0_);[Red]_(* \(#,##0\);_(* \-??_);_(@_)">
                  <c:v>11281.048986496886</c:v>
                </c:pt>
                <c:pt idx="3" formatCode="_(* #,##0_);[Red]_(* \(#,##0\);_(* \-??_);_(@_)">
                  <c:v>12763.954180221395</c:v>
                </c:pt>
                <c:pt idx="4" formatCode="_(* #,##0_);[Red]_(* \(#,##0\);_(* \-??_);_(@_)">
                  <c:v>14462.518801907272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C8-4D2D-B34D-1F612BEDD93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18262415"/>
        <c:axId val="118262895"/>
      </c:barChart>
      <c:lineChart>
        <c:grouping val="stacked"/>
        <c:varyColors val="0"/>
        <c:ser>
          <c:idx val="2"/>
          <c:order val="2"/>
          <c:tx>
            <c:v>Revenue growth YoY (%)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PL!$L$4:$W$4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  <c:pt idx="3">
                  <c:v>2027</c:v>
                </c:pt>
                <c:pt idx="4">
                  <c:v>2028</c:v>
                </c:pt>
              </c:strCache>
            </c:strRef>
          </c:cat>
          <c:val>
            <c:numRef>
              <c:f>PL!$L$10:$W$10</c:f>
              <c:numCache>
                <c:formatCode>0.0%</c:formatCode>
                <c:ptCount val="7"/>
                <c:pt idx="0">
                  <c:v>0.19443742550995746</c:v>
                </c:pt>
                <c:pt idx="1">
                  <c:v>0.11708896861817064</c:v>
                </c:pt>
                <c:pt idx="2">
                  <c:v>-0.18535125311170753</c:v>
                </c:pt>
                <c:pt idx="3">
                  <c:v>0.15299368292663984</c:v>
                </c:pt>
                <c:pt idx="4">
                  <c:v>0.16061439708225311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7C8-4D2D-B34D-1F612BEDD939}"/>
            </c:ext>
          </c:extLst>
        </c:ser>
        <c:ser>
          <c:idx val="3"/>
          <c:order val="3"/>
          <c:tx>
            <c:v>NP growth YoY (%)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7777777777777776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7C8-4D2D-B34D-1F612BEDD939}"/>
                </c:ext>
              </c:extLst>
            </c:dLbl>
            <c:dLbl>
              <c:idx val="1"/>
              <c:layout>
                <c:manualLayout>
                  <c:x val="-2.500000000000005E-2"/>
                  <c:y val="-3.70370370370370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7C8-4D2D-B34D-1F612BEDD939}"/>
                </c:ext>
              </c:extLst>
            </c:dLbl>
            <c:dLbl>
              <c:idx val="2"/>
              <c:layout>
                <c:manualLayout>
                  <c:x val="-5.5555555555555558E-3"/>
                  <c:y val="-6.48148148148148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7C8-4D2D-B34D-1F612BEDD939}"/>
                </c:ext>
              </c:extLst>
            </c:dLbl>
            <c:dLbl>
              <c:idx val="3"/>
              <c:layout>
                <c:manualLayout>
                  <c:x val="1.3888888888888888E-2"/>
                  <c:y val="-3.2407407407407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7C8-4D2D-B34D-1F612BEDD9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PL!$L$4:$W$4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  <c:pt idx="3">
                  <c:v>2027</c:v>
                </c:pt>
                <c:pt idx="4">
                  <c:v>2028</c:v>
                </c:pt>
              </c:strCache>
            </c:strRef>
          </c:cat>
          <c:val>
            <c:numRef>
              <c:f>PL!$L$58:$W$58</c:f>
              <c:numCache>
                <c:formatCode>0.0%</c:formatCode>
                <c:ptCount val="7"/>
                <c:pt idx="0">
                  <c:v>0.21524185279313524</c:v>
                </c:pt>
                <c:pt idx="1">
                  <c:v>0.20458661765585551</c:v>
                </c:pt>
                <c:pt idx="2">
                  <c:v>0.17420761684148656</c:v>
                </c:pt>
                <c:pt idx="3">
                  <c:v>0.12973889047103593</c:v>
                </c:pt>
                <c:pt idx="4">
                  <c:v>0.13307511118442572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7C8-4D2D-B34D-1F612BEDD93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13008271"/>
        <c:axId val="1013005871"/>
      </c:lineChart>
      <c:catAx>
        <c:axId val="11826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62895"/>
        <c:crosses val="autoZero"/>
        <c:auto val="1"/>
        <c:lblAlgn val="ctr"/>
        <c:lblOffset val="100"/>
        <c:noMultiLvlLbl val="0"/>
      </c:catAx>
      <c:valAx>
        <c:axId val="118262895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62415"/>
        <c:crosses val="autoZero"/>
        <c:crossBetween val="between"/>
      </c:valAx>
      <c:valAx>
        <c:axId val="1013005871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008271"/>
        <c:crosses val="max"/>
        <c:crossBetween val="between"/>
      </c:valAx>
      <c:catAx>
        <c:axId val="10130082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130058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PL!$BO$2</c:f>
              <c:strCache>
                <c:ptCount val="1"/>
                <c:pt idx="0">
                  <c:v>1Q20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(PL!$BO$39,PL!$BO$45)</c:f>
              <c:extLst/>
            </c:numRef>
          </c:val>
          <c:extLst>
            <c:ext xmlns:c16="http://schemas.microsoft.com/office/drawing/2014/chart" uri="{C3380CC4-5D6E-409C-BE32-E72D297353CC}">
              <c16:uniqueId val="{00000000-023C-41A0-B766-92C5841E0B7A}"/>
            </c:ext>
          </c:extLst>
        </c:ser>
        <c:ser>
          <c:idx val="1"/>
          <c:order val="1"/>
          <c:tx>
            <c:strRef>
              <c:f>PL!$BP$2</c:f>
              <c:strCache>
                <c:ptCount val="1"/>
                <c:pt idx="0">
                  <c:v>2Q20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(PL!$BP$39,PL!$BP$45)</c:f>
              <c:extLst/>
            </c:numRef>
          </c:val>
          <c:extLst>
            <c:ext xmlns:c16="http://schemas.microsoft.com/office/drawing/2014/chart" uri="{C3380CC4-5D6E-409C-BE32-E72D297353CC}">
              <c16:uniqueId val="{00000001-023C-41A0-B766-92C5841E0B7A}"/>
            </c:ext>
          </c:extLst>
        </c:ser>
        <c:ser>
          <c:idx val="2"/>
          <c:order val="2"/>
          <c:tx>
            <c:strRef>
              <c:f>PL!$BQ$2</c:f>
              <c:strCache>
                <c:ptCount val="1"/>
                <c:pt idx="0">
                  <c:v>3Q20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(PL!$BQ$39,PL!$BQ$45)</c:f>
              <c:extLst/>
            </c:numRef>
          </c:val>
          <c:extLst>
            <c:ext xmlns:c16="http://schemas.microsoft.com/office/drawing/2014/chart" uri="{C3380CC4-5D6E-409C-BE32-E72D297353CC}">
              <c16:uniqueId val="{00000002-023C-41A0-B766-92C5841E0B7A}"/>
            </c:ext>
          </c:extLst>
        </c:ser>
        <c:ser>
          <c:idx val="3"/>
          <c:order val="3"/>
          <c:tx>
            <c:strRef>
              <c:f>PL!$BR$2</c:f>
              <c:strCache>
                <c:ptCount val="1"/>
                <c:pt idx="0">
                  <c:v>4Q20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(PL!$BR$39,PL!$BR$45)</c:f>
              <c:extLst/>
            </c:numRef>
          </c:val>
          <c:extLst>
            <c:ext xmlns:c16="http://schemas.microsoft.com/office/drawing/2014/chart" uri="{C3380CC4-5D6E-409C-BE32-E72D297353CC}">
              <c16:uniqueId val="{00000003-023C-41A0-B766-92C5841E0B7A}"/>
            </c:ext>
          </c:extLst>
        </c:ser>
        <c:ser>
          <c:idx val="4"/>
          <c:order val="4"/>
          <c:tx>
            <c:strRef>
              <c:f>PL!$BS$2</c:f>
              <c:strCache>
                <c:ptCount val="1"/>
                <c:pt idx="0">
                  <c:v>1Q21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(PL!$BS$39,PL!$BS$45)</c:f>
              <c:extLst/>
            </c:numRef>
          </c:val>
          <c:extLst>
            <c:ext xmlns:c16="http://schemas.microsoft.com/office/drawing/2014/chart" uri="{C3380CC4-5D6E-409C-BE32-E72D297353CC}">
              <c16:uniqueId val="{00000004-023C-41A0-B766-92C5841E0B7A}"/>
            </c:ext>
          </c:extLst>
        </c:ser>
        <c:ser>
          <c:idx val="5"/>
          <c:order val="5"/>
          <c:tx>
            <c:strRef>
              <c:f>PL!$BT$2</c:f>
              <c:strCache>
                <c:ptCount val="1"/>
                <c:pt idx="0">
                  <c:v>2Q21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(PL!$BT$39,PL!$BT$45)</c:f>
              <c:extLst/>
            </c:numRef>
          </c:val>
          <c:extLst>
            <c:ext xmlns:c16="http://schemas.microsoft.com/office/drawing/2014/chart" uri="{C3380CC4-5D6E-409C-BE32-E72D297353CC}">
              <c16:uniqueId val="{00000005-023C-41A0-B766-92C5841E0B7A}"/>
            </c:ext>
          </c:extLst>
        </c:ser>
        <c:ser>
          <c:idx val="6"/>
          <c:order val="6"/>
          <c:tx>
            <c:strRef>
              <c:f>PL!$BU$2</c:f>
              <c:strCache>
                <c:ptCount val="1"/>
                <c:pt idx="0">
                  <c:v>3Q21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(PL!$BU$39,PL!$BU$45)</c:f>
              <c:extLst/>
            </c:numRef>
          </c:val>
          <c:extLst>
            <c:ext xmlns:c16="http://schemas.microsoft.com/office/drawing/2014/chart" uri="{C3380CC4-5D6E-409C-BE32-E72D297353CC}">
              <c16:uniqueId val="{00000006-023C-41A0-B766-92C5841E0B7A}"/>
            </c:ext>
          </c:extLst>
        </c:ser>
        <c:ser>
          <c:idx val="7"/>
          <c:order val="7"/>
          <c:tx>
            <c:strRef>
              <c:f>PL!$BV$2</c:f>
              <c:strCache>
                <c:ptCount val="1"/>
                <c:pt idx="0">
                  <c:v>4Q21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(PL!$BV$39,PL!$BV$45)</c:f>
              <c:extLst/>
            </c:numRef>
          </c:val>
          <c:extLst>
            <c:ext xmlns:c16="http://schemas.microsoft.com/office/drawing/2014/chart" uri="{C3380CC4-5D6E-409C-BE32-E72D297353CC}">
              <c16:uniqueId val="{00000007-023C-41A0-B766-92C5841E0B7A}"/>
            </c:ext>
          </c:extLst>
        </c:ser>
        <c:ser>
          <c:idx val="8"/>
          <c:order val="8"/>
          <c:tx>
            <c:strRef>
              <c:f>PL!$BW$2</c:f>
              <c:strCache>
                <c:ptCount val="1"/>
                <c:pt idx="0">
                  <c:v>1Q22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(PL!$BW$39,PL!$BW$45)</c:f>
              <c:extLst/>
            </c:numRef>
          </c:val>
          <c:extLst>
            <c:ext xmlns:c16="http://schemas.microsoft.com/office/drawing/2014/chart" uri="{C3380CC4-5D6E-409C-BE32-E72D297353CC}">
              <c16:uniqueId val="{00000008-023C-41A0-B766-92C5841E0B7A}"/>
            </c:ext>
          </c:extLst>
        </c:ser>
        <c:ser>
          <c:idx val="9"/>
          <c:order val="9"/>
          <c:tx>
            <c:strRef>
              <c:f>PL!$BX$2</c:f>
              <c:strCache>
                <c:ptCount val="1"/>
                <c:pt idx="0">
                  <c:v>2Q22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(PL!$BX$39,PL!$BX$45)</c:f>
              <c:extLst/>
            </c:numRef>
          </c:val>
          <c:extLst>
            <c:ext xmlns:c16="http://schemas.microsoft.com/office/drawing/2014/chart" uri="{C3380CC4-5D6E-409C-BE32-E72D297353CC}">
              <c16:uniqueId val="{00000009-023C-41A0-B766-92C5841E0B7A}"/>
            </c:ext>
          </c:extLst>
        </c:ser>
        <c:ser>
          <c:idx val="10"/>
          <c:order val="10"/>
          <c:tx>
            <c:strRef>
              <c:f>PL!$BY$2</c:f>
              <c:strCache>
                <c:ptCount val="1"/>
                <c:pt idx="0">
                  <c:v>3Q22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(PL!$BY$39,PL!$BY$45)</c:f>
              <c:extLst/>
            </c:numRef>
          </c:val>
          <c:extLst>
            <c:ext xmlns:c16="http://schemas.microsoft.com/office/drawing/2014/chart" uri="{C3380CC4-5D6E-409C-BE32-E72D297353CC}">
              <c16:uniqueId val="{0000000A-023C-41A0-B766-92C5841E0B7A}"/>
            </c:ext>
          </c:extLst>
        </c:ser>
        <c:ser>
          <c:idx val="11"/>
          <c:order val="11"/>
          <c:tx>
            <c:strRef>
              <c:f>PL!$BZ$2</c:f>
              <c:strCache>
                <c:ptCount val="1"/>
                <c:pt idx="0">
                  <c:v>4Q22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(PL!$BZ$39,PL!$BZ$45)</c:f>
              <c:extLst/>
            </c:numRef>
          </c:val>
          <c:extLst>
            <c:ext xmlns:c16="http://schemas.microsoft.com/office/drawing/2014/chart" uri="{C3380CC4-5D6E-409C-BE32-E72D297353CC}">
              <c16:uniqueId val="{0000000B-023C-41A0-B766-92C5841E0B7A}"/>
            </c:ext>
          </c:extLst>
        </c:ser>
        <c:ser>
          <c:idx val="12"/>
          <c:order val="12"/>
          <c:tx>
            <c:strRef>
              <c:f>PL!$CA$2</c:f>
              <c:strCache>
                <c:ptCount val="1"/>
                <c:pt idx="0">
                  <c:v>1Q23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(PL!$CA$39,PL!$CA$45)</c:f>
              <c:extLst/>
            </c:numRef>
          </c:val>
          <c:extLst>
            <c:ext xmlns:c16="http://schemas.microsoft.com/office/drawing/2014/chart" uri="{C3380CC4-5D6E-409C-BE32-E72D297353CC}">
              <c16:uniqueId val="{0000000C-023C-41A0-B766-92C5841E0B7A}"/>
            </c:ext>
          </c:extLst>
        </c:ser>
        <c:ser>
          <c:idx val="13"/>
          <c:order val="13"/>
          <c:tx>
            <c:strRef>
              <c:f>PL!$CB$2</c:f>
              <c:strCache>
                <c:ptCount val="1"/>
                <c:pt idx="0">
                  <c:v>2Q23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(PL!$CB$39,PL!$CB$45)</c:f>
              <c:extLst/>
            </c:numRef>
          </c:val>
          <c:extLst>
            <c:ext xmlns:c16="http://schemas.microsoft.com/office/drawing/2014/chart" uri="{C3380CC4-5D6E-409C-BE32-E72D297353CC}">
              <c16:uniqueId val="{0000000D-023C-41A0-B766-92C5841E0B7A}"/>
            </c:ext>
          </c:extLst>
        </c:ser>
        <c:ser>
          <c:idx val="14"/>
          <c:order val="14"/>
          <c:tx>
            <c:strRef>
              <c:f>PL!$CC$2</c:f>
              <c:strCache>
                <c:ptCount val="1"/>
                <c:pt idx="0">
                  <c:v>3Q23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(PL!$CC$39,PL!$CC$45)</c:f>
              <c:extLst/>
            </c:numRef>
          </c:val>
          <c:extLst>
            <c:ext xmlns:c16="http://schemas.microsoft.com/office/drawing/2014/chart" uri="{C3380CC4-5D6E-409C-BE32-E72D297353CC}">
              <c16:uniqueId val="{0000000E-023C-41A0-B766-92C5841E0B7A}"/>
            </c:ext>
          </c:extLst>
        </c:ser>
        <c:ser>
          <c:idx val="15"/>
          <c:order val="15"/>
          <c:tx>
            <c:strRef>
              <c:f>PL!$CD$2</c:f>
              <c:strCache>
                <c:ptCount val="1"/>
                <c:pt idx="0">
                  <c:v>4Q23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(PL!$CD$39,PL!$CD$45)</c:f>
              <c:extLst/>
            </c:numRef>
          </c:val>
          <c:extLst>
            <c:ext xmlns:c16="http://schemas.microsoft.com/office/drawing/2014/chart" uri="{C3380CC4-5D6E-409C-BE32-E72D297353CC}">
              <c16:uniqueId val="{0000000F-023C-41A0-B766-92C5841E0B7A}"/>
            </c:ext>
          </c:extLst>
        </c:ser>
        <c:ser>
          <c:idx val="16"/>
          <c:order val="16"/>
          <c:tx>
            <c:strRef>
              <c:f>PL!$CE$2</c:f>
              <c:strCache>
                <c:ptCount val="1"/>
                <c:pt idx="0">
                  <c:v>1Q24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(PL!$CE$39,PL!$CE$45)</c:f>
              <c:extLst/>
            </c:numRef>
          </c:val>
          <c:extLst>
            <c:ext xmlns:c16="http://schemas.microsoft.com/office/drawing/2014/chart" uri="{C3380CC4-5D6E-409C-BE32-E72D297353CC}">
              <c16:uniqueId val="{00000010-023C-41A0-B766-92C5841E0B7A}"/>
            </c:ext>
          </c:extLst>
        </c:ser>
        <c:ser>
          <c:idx val="17"/>
          <c:order val="17"/>
          <c:tx>
            <c:strRef>
              <c:f>PL!$CF$2</c:f>
              <c:strCache>
                <c:ptCount val="1"/>
                <c:pt idx="0">
                  <c:v>2Q24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(PL!$CF$39,PL!$CF$45)</c:f>
              <c:extLst/>
            </c:numRef>
          </c:val>
          <c:extLst>
            <c:ext xmlns:c16="http://schemas.microsoft.com/office/drawing/2014/chart" uri="{C3380CC4-5D6E-409C-BE32-E72D297353CC}">
              <c16:uniqueId val="{00000011-023C-41A0-B766-92C5841E0B7A}"/>
            </c:ext>
          </c:extLst>
        </c:ser>
        <c:ser>
          <c:idx val="18"/>
          <c:order val="18"/>
          <c:tx>
            <c:strRef>
              <c:f>PL!$CG$2</c:f>
              <c:strCache>
                <c:ptCount val="1"/>
                <c:pt idx="0">
                  <c:v>3Q24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(PL!$CG$39,PL!$CG$45)</c:f>
              <c:extLst/>
            </c:numRef>
          </c:val>
          <c:extLst>
            <c:ext xmlns:c16="http://schemas.microsoft.com/office/drawing/2014/chart" uri="{C3380CC4-5D6E-409C-BE32-E72D297353CC}">
              <c16:uniqueId val="{00000012-023C-41A0-B766-92C5841E0B7A}"/>
            </c:ext>
          </c:extLst>
        </c:ser>
        <c:ser>
          <c:idx val="19"/>
          <c:order val="19"/>
          <c:tx>
            <c:strRef>
              <c:f>PL!$CH$2</c:f>
              <c:strCache>
                <c:ptCount val="1"/>
                <c:pt idx="0">
                  <c:v>4Q24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(PL!$CH$39,PL!$CH$45)</c:f>
              <c:extLst/>
            </c:numRef>
          </c:val>
          <c:extLst>
            <c:ext xmlns:c16="http://schemas.microsoft.com/office/drawing/2014/chart" uri="{C3380CC4-5D6E-409C-BE32-E72D297353CC}">
              <c16:uniqueId val="{00000013-023C-41A0-B766-92C5841E0B7A}"/>
            </c:ext>
          </c:extLst>
        </c:ser>
        <c:ser>
          <c:idx val="20"/>
          <c:order val="20"/>
          <c:tx>
            <c:strRef>
              <c:f>PL!$CI$2</c:f>
              <c:strCache>
                <c:ptCount val="1"/>
                <c:pt idx="0">
                  <c:v>1Q25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(PL!$CI$39,PL!$CI$45)</c:f>
              <c:extLst/>
            </c:numRef>
          </c:val>
          <c:extLst>
            <c:ext xmlns:c16="http://schemas.microsoft.com/office/drawing/2014/chart" uri="{C3380CC4-5D6E-409C-BE32-E72D297353CC}">
              <c16:uniqueId val="{00000014-023C-41A0-B766-92C5841E0B7A}"/>
            </c:ext>
          </c:extLst>
        </c:ser>
        <c:ser>
          <c:idx val="21"/>
          <c:order val="21"/>
          <c:tx>
            <c:strRef>
              <c:f>PL!$CJ$2</c:f>
              <c:strCache>
                <c:ptCount val="1"/>
                <c:pt idx="0">
                  <c:v>2Q25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(PL!$A$39,PL!$A$45)</c:f>
              <c:strCache>
                <c:ptCount val="2"/>
                <c:pt idx="0">
                  <c:v>LN từ thu nhập tài chính</c:v>
                </c:pt>
                <c:pt idx="1">
                  <c:v>LN từ công ty con</c:v>
                </c:pt>
              </c:strCache>
            </c:strRef>
          </c:cat>
          <c:val>
            <c:numRef>
              <c:f>(PL!$CJ$39,PL!$CJ$45)</c:f>
              <c:extLst/>
            </c:numRef>
          </c:val>
          <c:extLst>
            <c:ext xmlns:c16="http://schemas.microsoft.com/office/drawing/2014/chart" uri="{C3380CC4-5D6E-409C-BE32-E72D297353CC}">
              <c16:uniqueId val="{00000015-023C-41A0-B766-92C5841E0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8946064"/>
        <c:axId val="628936464"/>
      </c:barChart>
      <c:catAx>
        <c:axId val="628946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628936464"/>
        <c:crosses val="autoZero"/>
        <c:auto val="1"/>
        <c:lblAlgn val="ctr"/>
        <c:lblOffset val="100"/>
        <c:noMultiLvlLbl val="0"/>
      </c:catAx>
      <c:valAx>
        <c:axId val="628936464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628946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dirty="0"/>
              <a:t>(%)</a:t>
            </a:r>
          </a:p>
        </c:rich>
      </c:tx>
      <c:layout>
        <c:manualLayout>
          <c:xMode val="edge"/>
          <c:yMode val="edge"/>
          <c:x val="1.2522768670309911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3235338410567535E-2"/>
          <c:y val="8.9338577811125419E-2"/>
          <c:w val="0.90171912424881318"/>
          <c:h val="0.79930032156959385"/>
        </c:manualLayout>
      </c:layout>
      <c:lineChart>
        <c:grouping val="standard"/>
        <c:varyColors val="0"/>
        <c:ser>
          <c:idx val="0"/>
          <c:order val="0"/>
          <c:tx>
            <c:strRef>
              <c:f>Revenue!$A$291</c:f>
              <c:strCache>
                <c:ptCount val="1"/>
                <c:pt idx="0">
                  <c:v>TCS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Revenue!$F$289:$J$289</c:f>
              <c:numCache>
                <c:formatCode>_(* #,##0_);_(* \(#,##0\);_(* \-??_);_(@_)</c:formatCode>
                <c:ptCount val="5"/>
                <c:pt idx="0">
                  <c:v>18277.919999999998</c:v>
                </c:pt>
                <c:pt idx="1">
                  <c:v>19591.87</c:v>
                </c:pt>
                <c:pt idx="2">
                  <c:v>19282.689999999999</c:v>
                </c:pt>
                <c:pt idx="4" formatCode="#,##0">
                  <c:v>21007.29</c:v>
                </c:pt>
              </c:numCache>
            </c:numRef>
          </c:cat>
          <c:val>
            <c:numRef>
              <c:f>Revenue!$F$291:$J$291</c:f>
              <c:numCache>
                <c:formatCode>_(* #,##0_);_(* \(#,##0\);_(* \-??_);_(@_)</c:formatCode>
                <c:ptCount val="5"/>
                <c:pt idx="0">
                  <c:v>28077.86</c:v>
                </c:pt>
                <c:pt idx="1">
                  <c:v>29107.23</c:v>
                </c:pt>
                <c:pt idx="2">
                  <c:v>30206.35</c:v>
                </c:pt>
                <c:pt idx="4" formatCode="#,##0">
                  <c:v>31908.400000000001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47C8-4D16-88CB-9BBC5665A11B}"/>
            </c:ext>
          </c:extLst>
        </c:ser>
        <c:ser>
          <c:idx val="1"/>
          <c:order val="1"/>
          <c:tx>
            <c:strRef>
              <c:f>Revenue!$A$293</c:f>
              <c:strCache>
                <c:ptCount val="1"/>
                <c:pt idx="0">
                  <c:v>HCLT 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Revenue!$F$289:$J$289</c:f>
              <c:numCache>
                <c:formatCode>_(* #,##0_);_(* \(#,##0\);_(* \-??_);_(@_)</c:formatCode>
                <c:ptCount val="5"/>
                <c:pt idx="0">
                  <c:v>18277.919999999998</c:v>
                </c:pt>
                <c:pt idx="1">
                  <c:v>19591.87</c:v>
                </c:pt>
                <c:pt idx="2">
                  <c:v>19282.689999999999</c:v>
                </c:pt>
                <c:pt idx="4" formatCode="#,##0">
                  <c:v>21007.29</c:v>
                </c:pt>
              </c:numCache>
            </c:numRef>
          </c:cat>
          <c:val>
            <c:numRef>
              <c:f>Revenue!$F$293:$J$293</c:f>
              <c:numCache>
                <c:formatCode>_(* #,##0_);_(* \(#,##0\);_(* \-??_);_(@_)</c:formatCode>
                <c:ptCount val="5"/>
                <c:pt idx="0">
                  <c:v>12595.19</c:v>
                </c:pt>
                <c:pt idx="1">
                  <c:v>13270.37</c:v>
                </c:pt>
                <c:pt idx="2">
                  <c:v>13843.27</c:v>
                </c:pt>
                <c:pt idx="4" formatCode="#,##0">
                  <c:v>15304.48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1-47C8-4D16-88CB-9BBC5665A11B}"/>
            </c:ext>
          </c:extLst>
        </c:ser>
        <c:ser>
          <c:idx val="2"/>
          <c:order val="2"/>
          <c:tx>
            <c:strRef>
              <c:f>Revenue!$A$295</c:f>
              <c:strCache>
                <c:ptCount val="1"/>
                <c:pt idx="0">
                  <c:v>FPT VN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Revenue!$F$289:$J$289</c:f>
              <c:numCache>
                <c:formatCode>_(* #,##0_);_(* \(#,##0\);_(* \-??_);_(@_)</c:formatCode>
                <c:ptCount val="5"/>
                <c:pt idx="0">
                  <c:v>18277.919999999998</c:v>
                </c:pt>
                <c:pt idx="1">
                  <c:v>19591.87</c:v>
                </c:pt>
                <c:pt idx="2">
                  <c:v>19282.689999999999</c:v>
                </c:pt>
                <c:pt idx="4" formatCode="#,##0">
                  <c:v>21007.29</c:v>
                </c:pt>
              </c:numCache>
            </c:numRef>
          </c:cat>
          <c:val>
            <c:numRef>
              <c:f>Revenue!$F$295:$J$295</c:f>
              <c:numCache>
                <c:formatCode>_(* #,##0_);_(* \(#,##0\);_(* \-??_);_(@_)</c:formatCode>
                <c:ptCount val="5"/>
                <c:pt idx="0">
                  <c:v>1880.14</c:v>
                </c:pt>
                <c:pt idx="1">
                  <c:v>2207.91</c:v>
                </c:pt>
                <c:pt idx="2">
                  <c:v>2509.08</c:v>
                </c:pt>
                <c:pt idx="4" formatCode="#,##0">
                  <c:v>3152.17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47C8-4D16-88CB-9BBC5665A11B}"/>
            </c:ext>
          </c:extLst>
        </c:ser>
        <c:ser>
          <c:idx val="3"/>
          <c:order val="3"/>
          <c:tx>
            <c:strRef>
              <c:f>Revenue!$A$297</c:f>
              <c:strCache>
                <c:ptCount val="1"/>
              </c:strCache>
            </c:strRef>
          </c:tx>
          <c:spPr>
            <a:ln w="28575" cap="rnd">
              <a:solidFill>
                <a:schemeClr val="tx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Revenue!$F$289:$J$289</c:f>
              <c:numCache>
                <c:formatCode>_(* #,##0_);_(* \(#,##0\);_(* \-??_);_(@_)</c:formatCode>
                <c:ptCount val="5"/>
                <c:pt idx="0">
                  <c:v>18277.919999999998</c:v>
                </c:pt>
                <c:pt idx="1">
                  <c:v>19591.87</c:v>
                </c:pt>
                <c:pt idx="2">
                  <c:v>19282.689999999999</c:v>
                </c:pt>
                <c:pt idx="4" formatCode="#,##0">
                  <c:v>21007.29</c:v>
                </c:pt>
              </c:numCache>
            </c:numRef>
          </c:cat>
          <c:val>
            <c:numRef>
              <c:f>Revenue!$F$297:$J$297</c:f>
              <c:numCache>
                <c:formatCode>General</c:formatCode>
                <c:ptCount val="5"/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3-47C8-4D16-88CB-9BBC5665A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2744800"/>
        <c:axId val="612724160"/>
      </c:lineChart>
      <c:catAx>
        <c:axId val="612744800"/>
        <c:scaling>
          <c:orientation val="minMax"/>
        </c:scaling>
        <c:delete val="0"/>
        <c:axPos val="b"/>
        <c:numFmt formatCode="_(* #,##0_);_(* \(#,##0\);_(* \-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24160"/>
        <c:crosses val="autoZero"/>
        <c:auto val="1"/>
        <c:lblAlgn val="ctr"/>
        <c:lblOffset val="100"/>
        <c:noMultiLvlLbl val="0"/>
      </c:catAx>
      <c:valAx>
        <c:axId val="612724160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622653213430291"/>
          <c:y val="0.90795025310112232"/>
          <c:w val="0.66299320166946341"/>
          <c:h val="5.97294896262365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dirty="0"/>
              <a:t>(VNDbn)</a:t>
            </a:r>
          </a:p>
        </c:rich>
      </c:tx>
      <c:layout>
        <c:manualLayout>
          <c:xMode val="edge"/>
          <c:yMode val="edge"/>
          <c:x val="0"/>
          <c:y val="2.593969083156521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042996276970195"/>
          <c:y val="7.0765123745923017E-2"/>
          <c:w val="0.7771826534389038"/>
          <c:h val="0.69997579080555039"/>
        </c:manualLayout>
      </c:layout>
      <c:barChart>
        <c:barDir val="col"/>
        <c:grouping val="clustered"/>
        <c:varyColors val="0"/>
        <c:ser>
          <c:idx val="1"/>
          <c:order val="0"/>
          <c:tx>
            <c:v>Revenue (VNDbn)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PL!$K$4:$Q$4</c15:sqref>
                  </c15:fullRef>
                </c:ext>
              </c:extLst>
              <c:f>PL!$K$4:$P$4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PL!$K$9:$Q$9</c15:sqref>
                  </c15:fullRef>
                </c:ext>
              </c:extLst>
              <c:f>PL!$K$9:$P$9</c:f>
              <c:numCache>
                <c:formatCode>_(* #,##0_);[Red]_(* \(#,##0\);_(* \-??_);_(@_)</c:formatCode>
                <c:ptCount val="2"/>
                <c:pt idx="0" formatCode="#,##0">
                  <c:v>62848.79</c:v>
                </c:pt>
                <c:pt idx="1">
                  <c:v>70207.69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36-498D-AD8E-02B2DE46DA65}"/>
            </c:ext>
          </c:extLst>
        </c:ser>
        <c:ser>
          <c:idx val="0"/>
          <c:order val="1"/>
          <c:tx>
            <c:v>NPATMI (VNDbn)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PL!$K$4:$Q$4</c15:sqref>
                  </c15:fullRef>
                </c:ext>
              </c:extLst>
              <c:f>PL!$K$4:$P$4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PL!$K$55:$Q$55</c15:sqref>
                  </c15:fullRef>
                </c:ext>
              </c:extLst>
              <c:f>PL!$K$55:$P$55</c:f>
              <c:numCache>
                <c:formatCode>#,##0_);\(#,##0\)</c:formatCode>
                <c:ptCount val="2"/>
                <c:pt idx="0">
                  <c:v>7856.7700000000059</c:v>
                </c:pt>
                <c:pt idx="1">
                  <c:v>9464.1600000000035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36-498D-AD8E-02B2DE46DA6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8262415"/>
        <c:axId val="118262895"/>
      </c:barChart>
      <c:lineChart>
        <c:grouping val="standard"/>
        <c:varyColors val="0"/>
        <c:ser>
          <c:idx val="2"/>
          <c:order val="2"/>
          <c:tx>
            <c:v>Revenue growth (YoY%)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PL!$K$4:$Q$4</c15:sqref>
                  </c15:fullRef>
                </c:ext>
              </c:extLst>
              <c:f>PL!$K$4:$P$4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PL!$K$10:$Q$10</c15:sqref>
                  </c15:fullRef>
                </c:ext>
              </c:extLst>
              <c:f>PL!$K$10:$P$10</c:f>
              <c:numCache>
                <c:formatCode>0.0%</c:formatCode>
                <c:ptCount val="2"/>
                <c:pt idx="0">
                  <c:v>0.19443742550995746</c:v>
                </c:pt>
                <c:pt idx="1">
                  <c:v>0.11708896861817064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36-498D-AD8E-02B2DE46DA65}"/>
            </c:ext>
          </c:extLst>
        </c:ser>
        <c:ser>
          <c:idx val="3"/>
          <c:order val="3"/>
          <c:tx>
            <c:v>NPATMI growth (YoY%)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PL!$K$4:$Q$4</c15:sqref>
                  </c15:fullRef>
                </c:ext>
              </c:extLst>
              <c:f>PL!$K$4:$P$4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PL!$K$56:$Q$56</c15:sqref>
                  </c15:fullRef>
                </c:ext>
              </c:extLst>
              <c:f>PL!$K$56:$P$56</c:f>
              <c:numCache>
                <c:formatCode>0.0%</c:formatCode>
                <c:ptCount val="2"/>
                <c:pt idx="0">
                  <c:v>0.21524185279313524</c:v>
                </c:pt>
                <c:pt idx="1">
                  <c:v>0.20458661765585551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36-498D-AD8E-02B2DE46D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6923647"/>
        <c:axId val="1206933247"/>
      </c:lineChart>
      <c:catAx>
        <c:axId val="11826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62895"/>
        <c:crosses val="autoZero"/>
        <c:auto val="1"/>
        <c:lblAlgn val="ctr"/>
        <c:lblOffset val="100"/>
        <c:noMultiLvlLbl val="0"/>
      </c:catAx>
      <c:valAx>
        <c:axId val="118262895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62415"/>
        <c:crosses val="autoZero"/>
        <c:crossBetween val="between"/>
      </c:valAx>
      <c:valAx>
        <c:axId val="1206933247"/>
        <c:scaling>
          <c:orientation val="minMax"/>
          <c:max val="0.25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923647"/>
        <c:crosses val="max"/>
        <c:crossBetween val="between"/>
      </c:valAx>
      <c:catAx>
        <c:axId val="12069236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06933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9572773690173977E-2"/>
          <c:y val="0.87905213556275053"/>
          <c:w val="0.79844437990333172"/>
          <c:h val="0.100770225749248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r>
              <a:rPr lang="en-US"/>
              <a:t>(VNDbn)</a:t>
            </a:r>
          </a:p>
        </c:rich>
      </c:tx>
      <c:layout>
        <c:manualLayout>
          <c:xMode val="edge"/>
          <c:yMode val="edge"/>
          <c:x val="0"/>
          <c:y val="2.593969083156521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042996276970195"/>
          <c:y val="7.0765123745923017E-2"/>
          <c:w val="0.7771826534389038"/>
          <c:h val="0.69997579080555039"/>
        </c:manualLayout>
      </c:layout>
      <c:barChart>
        <c:barDir val="col"/>
        <c:grouping val="clustered"/>
        <c:varyColors val="0"/>
        <c:ser>
          <c:idx val="1"/>
          <c:order val="0"/>
          <c:tx>
            <c:v>Revenue (VNDbn)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PL!$K$4:$Q$4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</c:strCache>
            </c:strRef>
          </c:cat>
          <c:val>
            <c:numRef>
              <c:f>PL!$K$9:$Q$9</c:f>
              <c:numCache>
                <c:formatCode>_(* #,##0_);[Red]_(* \(#,##0\);_(* \-??_);_(@_)</c:formatCode>
                <c:ptCount val="3"/>
                <c:pt idx="0" formatCode="#,##0">
                  <c:v>62848.79</c:v>
                </c:pt>
                <c:pt idx="1">
                  <c:v>70207.69</c:v>
                </c:pt>
                <c:pt idx="2">
                  <c:v>57194.606680421704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B1-4C58-A6DE-B2621B1969C7}"/>
            </c:ext>
          </c:extLst>
        </c:ser>
        <c:ser>
          <c:idx val="0"/>
          <c:order val="1"/>
          <c:tx>
            <c:v>NPATMI (VNDbn)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PL!$K$4:$Q$4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</c:strCache>
            </c:strRef>
          </c:cat>
          <c:val>
            <c:numRef>
              <c:f>PL!$K$55:$Q$55</c:f>
              <c:numCache>
                <c:formatCode>#,##0_);\(#,##0\)</c:formatCode>
                <c:ptCount val="3"/>
                <c:pt idx="0">
                  <c:v>7856.7700000000059</c:v>
                </c:pt>
                <c:pt idx="1">
                  <c:v>9464.1600000000035</c:v>
                </c:pt>
                <c:pt idx="2">
                  <c:v>11112.888759006528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B1-4C58-A6DE-B2621B1969C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8262415"/>
        <c:axId val="118262895"/>
      </c:barChart>
      <c:lineChart>
        <c:grouping val="standard"/>
        <c:varyColors val="0"/>
        <c:ser>
          <c:idx val="2"/>
          <c:order val="2"/>
          <c:tx>
            <c:v>Revenue growth (YoY%)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PL!$K$4:$Q$4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</c:strCache>
            </c:strRef>
          </c:cat>
          <c:val>
            <c:numRef>
              <c:f>PL!$K$10:$Q$10</c:f>
              <c:numCache>
                <c:formatCode>0.0%</c:formatCode>
                <c:ptCount val="3"/>
                <c:pt idx="0">
                  <c:v>0.19443742550995746</c:v>
                </c:pt>
                <c:pt idx="1">
                  <c:v>0.11708896861817064</c:v>
                </c:pt>
                <c:pt idx="2">
                  <c:v>-0.18535125311170753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B1-4C58-A6DE-B2621B1969C7}"/>
            </c:ext>
          </c:extLst>
        </c:ser>
        <c:ser>
          <c:idx val="3"/>
          <c:order val="3"/>
          <c:tx>
            <c:v>NPATMI growth (YoY%)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PL!$K$4:$Q$4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</c:strCache>
            </c:strRef>
          </c:cat>
          <c:val>
            <c:numRef>
              <c:f>PL!$K$56:$Q$56</c:f>
              <c:numCache>
                <c:formatCode>0.0%</c:formatCode>
                <c:ptCount val="3"/>
                <c:pt idx="0">
                  <c:v>0.21524185279313524</c:v>
                </c:pt>
                <c:pt idx="1">
                  <c:v>0.20458661765585551</c:v>
                </c:pt>
                <c:pt idx="2">
                  <c:v>0.17420761684148656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B1-4C58-A6DE-B2621B196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6923647"/>
        <c:axId val="1206933247"/>
      </c:lineChart>
      <c:catAx>
        <c:axId val="11826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18262895"/>
        <c:crosses val="autoZero"/>
        <c:auto val="1"/>
        <c:lblAlgn val="ctr"/>
        <c:lblOffset val="100"/>
        <c:noMultiLvlLbl val="0"/>
      </c:catAx>
      <c:valAx>
        <c:axId val="118262895"/>
        <c:scaling>
          <c:orientation val="minMax"/>
          <c:max val="10000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18262415"/>
        <c:crosses val="autoZero"/>
        <c:crossBetween val="between"/>
        <c:majorUnit val="20000"/>
      </c:valAx>
      <c:valAx>
        <c:axId val="1206933247"/>
        <c:scaling>
          <c:orientation val="minMax"/>
          <c:max val="0.25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206923647"/>
        <c:crosses val="max"/>
        <c:crossBetween val="between"/>
      </c:valAx>
      <c:catAx>
        <c:axId val="12069236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06933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3522362902107614E-2"/>
          <c:y val="0.87905208608391883"/>
          <c:w val="0.79844437990333172"/>
          <c:h val="0.100770225749248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PL!$BN$2</c:f>
              <c:strCache>
                <c:ptCount val="1"/>
                <c:pt idx="0">
                  <c:v>4Q19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(PL!$BN$39,PL!$BN$45)</c:f>
              <c:extLst/>
            </c:numRef>
          </c:val>
          <c:extLst>
            <c:ext xmlns:c16="http://schemas.microsoft.com/office/drawing/2014/chart" uri="{C3380CC4-5D6E-409C-BE32-E72D297353CC}">
              <c16:uniqueId val="{00000000-3D64-44C8-90D6-AC9892C29202}"/>
            </c:ext>
          </c:extLst>
        </c:ser>
        <c:ser>
          <c:idx val="1"/>
          <c:order val="1"/>
          <c:tx>
            <c:strRef>
              <c:f>PL!$BO$2</c:f>
              <c:strCache>
                <c:ptCount val="1"/>
                <c:pt idx="0">
                  <c:v>1Q20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(PL!$BO$39,PL!$BO$45)</c:f>
              <c:extLst/>
            </c:numRef>
          </c:val>
          <c:extLst>
            <c:ext xmlns:c16="http://schemas.microsoft.com/office/drawing/2014/chart" uri="{C3380CC4-5D6E-409C-BE32-E72D297353CC}">
              <c16:uniqueId val="{00000001-3D64-44C8-90D6-AC9892C29202}"/>
            </c:ext>
          </c:extLst>
        </c:ser>
        <c:ser>
          <c:idx val="2"/>
          <c:order val="2"/>
          <c:tx>
            <c:strRef>
              <c:f>PL!$BP$2</c:f>
              <c:strCache>
                <c:ptCount val="1"/>
                <c:pt idx="0">
                  <c:v>2Q20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(PL!$BP$39,PL!$BP$45)</c:f>
              <c:extLst/>
            </c:numRef>
          </c:val>
          <c:extLst>
            <c:ext xmlns:c16="http://schemas.microsoft.com/office/drawing/2014/chart" uri="{C3380CC4-5D6E-409C-BE32-E72D297353CC}">
              <c16:uniqueId val="{00000002-3D64-44C8-90D6-AC9892C29202}"/>
            </c:ext>
          </c:extLst>
        </c:ser>
        <c:ser>
          <c:idx val="3"/>
          <c:order val="3"/>
          <c:tx>
            <c:strRef>
              <c:f>PL!$BQ$2</c:f>
              <c:strCache>
                <c:ptCount val="1"/>
                <c:pt idx="0">
                  <c:v>3Q20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(PL!$BQ$39,PL!$BQ$45)</c:f>
              <c:extLst/>
            </c:numRef>
          </c:val>
          <c:extLst>
            <c:ext xmlns:c16="http://schemas.microsoft.com/office/drawing/2014/chart" uri="{C3380CC4-5D6E-409C-BE32-E72D297353CC}">
              <c16:uniqueId val="{00000003-3D64-44C8-90D6-AC9892C29202}"/>
            </c:ext>
          </c:extLst>
        </c:ser>
        <c:ser>
          <c:idx val="4"/>
          <c:order val="4"/>
          <c:tx>
            <c:strRef>
              <c:f>PL!$BR$2</c:f>
              <c:strCache>
                <c:ptCount val="1"/>
                <c:pt idx="0">
                  <c:v>4Q20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(PL!$BR$39,PL!$BR$45)</c:f>
              <c:extLst/>
            </c:numRef>
          </c:val>
          <c:extLst>
            <c:ext xmlns:c16="http://schemas.microsoft.com/office/drawing/2014/chart" uri="{C3380CC4-5D6E-409C-BE32-E72D297353CC}">
              <c16:uniqueId val="{00000004-3D64-44C8-90D6-AC9892C29202}"/>
            </c:ext>
          </c:extLst>
        </c:ser>
        <c:ser>
          <c:idx val="5"/>
          <c:order val="5"/>
          <c:tx>
            <c:strRef>
              <c:f>PL!$BS$2</c:f>
              <c:strCache>
                <c:ptCount val="1"/>
                <c:pt idx="0">
                  <c:v>1Q21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(PL!$BS$39,PL!$BS$45)</c:f>
              <c:extLst/>
            </c:numRef>
          </c:val>
          <c:extLst>
            <c:ext xmlns:c16="http://schemas.microsoft.com/office/drawing/2014/chart" uri="{C3380CC4-5D6E-409C-BE32-E72D297353CC}">
              <c16:uniqueId val="{00000005-3D64-44C8-90D6-AC9892C29202}"/>
            </c:ext>
          </c:extLst>
        </c:ser>
        <c:ser>
          <c:idx val="6"/>
          <c:order val="6"/>
          <c:tx>
            <c:strRef>
              <c:f>PL!$BT$2</c:f>
              <c:strCache>
                <c:ptCount val="1"/>
                <c:pt idx="0">
                  <c:v>2Q21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(PL!$BT$39,PL!$BT$45)</c:f>
              <c:extLst/>
            </c:numRef>
          </c:val>
          <c:extLst>
            <c:ext xmlns:c16="http://schemas.microsoft.com/office/drawing/2014/chart" uri="{C3380CC4-5D6E-409C-BE32-E72D297353CC}">
              <c16:uniqueId val="{00000006-3D64-44C8-90D6-AC9892C29202}"/>
            </c:ext>
          </c:extLst>
        </c:ser>
        <c:ser>
          <c:idx val="7"/>
          <c:order val="7"/>
          <c:tx>
            <c:strRef>
              <c:f>PL!$BU$2</c:f>
              <c:strCache>
                <c:ptCount val="1"/>
                <c:pt idx="0">
                  <c:v>3Q21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(PL!$BU$39,PL!$BU$45)</c:f>
              <c:extLst/>
            </c:numRef>
          </c:val>
          <c:extLst>
            <c:ext xmlns:c16="http://schemas.microsoft.com/office/drawing/2014/chart" uri="{C3380CC4-5D6E-409C-BE32-E72D297353CC}">
              <c16:uniqueId val="{00000007-3D64-44C8-90D6-AC9892C29202}"/>
            </c:ext>
          </c:extLst>
        </c:ser>
        <c:ser>
          <c:idx val="8"/>
          <c:order val="8"/>
          <c:tx>
            <c:strRef>
              <c:f>PL!$BV$2</c:f>
              <c:strCache>
                <c:ptCount val="1"/>
                <c:pt idx="0">
                  <c:v>4Q21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(PL!$BV$39,PL!$BV$45)</c:f>
              <c:extLst/>
            </c:numRef>
          </c:val>
          <c:extLst>
            <c:ext xmlns:c16="http://schemas.microsoft.com/office/drawing/2014/chart" uri="{C3380CC4-5D6E-409C-BE32-E72D297353CC}">
              <c16:uniqueId val="{00000008-3D64-44C8-90D6-AC9892C29202}"/>
            </c:ext>
          </c:extLst>
        </c:ser>
        <c:ser>
          <c:idx val="9"/>
          <c:order val="9"/>
          <c:tx>
            <c:strRef>
              <c:f>PL!$BW$2</c:f>
              <c:strCache>
                <c:ptCount val="1"/>
                <c:pt idx="0">
                  <c:v>1Q22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(PL!$BW$39,PL!$BW$45)</c:f>
              <c:extLst/>
            </c:numRef>
          </c:val>
          <c:extLst>
            <c:ext xmlns:c16="http://schemas.microsoft.com/office/drawing/2014/chart" uri="{C3380CC4-5D6E-409C-BE32-E72D297353CC}">
              <c16:uniqueId val="{00000009-3D64-44C8-90D6-AC9892C29202}"/>
            </c:ext>
          </c:extLst>
        </c:ser>
        <c:ser>
          <c:idx val="10"/>
          <c:order val="10"/>
          <c:tx>
            <c:strRef>
              <c:f>PL!$BX$2</c:f>
              <c:strCache>
                <c:ptCount val="1"/>
                <c:pt idx="0">
                  <c:v>2Q22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(PL!$BX$39,PL!$BX$45)</c:f>
              <c:extLst/>
            </c:numRef>
          </c:val>
          <c:extLst>
            <c:ext xmlns:c16="http://schemas.microsoft.com/office/drawing/2014/chart" uri="{C3380CC4-5D6E-409C-BE32-E72D297353CC}">
              <c16:uniqueId val="{0000000A-3D64-44C8-90D6-AC9892C29202}"/>
            </c:ext>
          </c:extLst>
        </c:ser>
        <c:ser>
          <c:idx val="11"/>
          <c:order val="11"/>
          <c:tx>
            <c:strRef>
              <c:f>PL!$BY$2</c:f>
              <c:strCache>
                <c:ptCount val="1"/>
                <c:pt idx="0">
                  <c:v>3Q22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(PL!$BY$39,PL!$BY$45)</c:f>
              <c:extLst/>
            </c:numRef>
          </c:val>
          <c:extLst>
            <c:ext xmlns:c16="http://schemas.microsoft.com/office/drawing/2014/chart" uri="{C3380CC4-5D6E-409C-BE32-E72D297353CC}">
              <c16:uniqueId val="{0000000B-3D64-44C8-90D6-AC9892C29202}"/>
            </c:ext>
          </c:extLst>
        </c:ser>
        <c:ser>
          <c:idx val="12"/>
          <c:order val="12"/>
          <c:tx>
            <c:strRef>
              <c:f>PL!$BZ$2</c:f>
              <c:strCache>
                <c:ptCount val="1"/>
                <c:pt idx="0">
                  <c:v>4Q22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(PL!$BZ$39,PL!$BZ$45)</c:f>
              <c:extLst/>
            </c:numRef>
          </c:val>
          <c:extLst>
            <c:ext xmlns:c16="http://schemas.microsoft.com/office/drawing/2014/chart" uri="{C3380CC4-5D6E-409C-BE32-E72D297353CC}">
              <c16:uniqueId val="{0000000C-3D64-44C8-90D6-AC9892C29202}"/>
            </c:ext>
          </c:extLst>
        </c:ser>
        <c:ser>
          <c:idx val="13"/>
          <c:order val="13"/>
          <c:tx>
            <c:strRef>
              <c:f>PL!$CA$2</c:f>
              <c:strCache>
                <c:ptCount val="1"/>
                <c:pt idx="0">
                  <c:v>1Q23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(PL!$CA$39,PL!$CA$45)</c:f>
              <c:extLst/>
            </c:numRef>
          </c:val>
          <c:extLst>
            <c:ext xmlns:c16="http://schemas.microsoft.com/office/drawing/2014/chart" uri="{C3380CC4-5D6E-409C-BE32-E72D297353CC}">
              <c16:uniqueId val="{0000000D-3D64-44C8-90D6-AC9892C29202}"/>
            </c:ext>
          </c:extLst>
        </c:ser>
        <c:ser>
          <c:idx val="14"/>
          <c:order val="14"/>
          <c:tx>
            <c:strRef>
              <c:f>PL!$CB$2</c:f>
              <c:strCache>
                <c:ptCount val="1"/>
                <c:pt idx="0">
                  <c:v>2Q23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(PL!$CB$39,PL!$CB$45)</c:f>
              <c:extLst/>
            </c:numRef>
          </c:val>
          <c:extLst>
            <c:ext xmlns:c16="http://schemas.microsoft.com/office/drawing/2014/chart" uri="{C3380CC4-5D6E-409C-BE32-E72D297353CC}">
              <c16:uniqueId val="{0000000E-3D64-44C8-90D6-AC9892C29202}"/>
            </c:ext>
          </c:extLst>
        </c:ser>
        <c:ser>
          <c:idx val="15"/>
          <c:order val="15"/>
          <c:tx>
            <c:strRef>
              <c:f>PL!$CC$2</c:f>
              <c:strCache>
                <c:ptCount val="1"/>
                <c:pt idx="0">
                  <c:v>3Q23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(PL!$CC$39,PL!$CC$45)</c:f>
              <c:extLst/>
            </c:numRef>
          </c:val>
          <c:extLst>
            <c:ext xmlns:c16="http://schemas.microsoft.com/office/drawing/2014/chart" uri="{C3380CC4-5D6E-409C-BE32-E72D297353CC}">
              <c16:uniqueId val="{0000000F-3D64-44C8-90D6-AC9892C29202}"/>
            </c:ext>
          </c:extLst>
        </c:ser>
        <c:ser>
          <c:idx val="16"/>
          <c:order val="16"/>
          <c:tx>
            <c:strRef>
              <c:f>PL!$CD$2</c:f>
              <c:strCache>
                <c:ptCount val="1"/>
                <c:pt idx="0">
                  <c:v>4Q23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(PL!$CD$39,PL!$CD$45)</c:f>
              <c:extLst/>
            </c:numRef>
          </c:val>
          <c:extLst>
            <c:ext xmlns:c16="http://schemas.microsoft.com/office/drawing/2014/chart" uri="{C3380CC4-5D6E-409C-BE32-E72D297353CC}">
              <c16:uniqueId val="{00000010-3D64-44C8-90D6-AC9892C29202}"/>
            </c:ext>
          </c:extLst>
        </c:ser>
        <c:ser>
          <c:idx val="17"/>
          <c:order val="17"/>
          <c:tx>
            <c:strRef>
              <c:f>PL!$CE$2</c:f>
              <c:strCache>
                <c:ptCount val="1"/>
                <c:pt idx="0">
                  <c:v>1Q24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(PL!$CE$39,PL!$CE$45)</c:f>
              <c:extLst/>
            </c:numRef>
          </c:val>
          <c:extLst>
            <c:ext xmlns:c16="http://schemas.microsoft.com/office/drawing/2014/chart" uri="{C3380CC4-5D6E-409C-BE32-E72D297353CC}">
              <c16:uniqueId val="{00000011-3D64-44C8-90D6-AC9892C29202}"/>
            </c:ext>
          </c:extLst>
        </c:ser>
        <c:ser>
          <c:idx val="18"/>
          <c:order val="18"/>
          <c:tx>
            <c:strRef>
              <c:f>PL!$CF$2</c:f>
              <c:strCache>
                <c:ptCount val="1"/>
                <c:pt idx="0">
                  <c:v>2Q24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(PL!$CF$39,PL!$CF$45)</c:f>
              <c:extLst/>
            </c:numRef>
          </c:val>
          <c:extLst>
            <c:ext xmlns:c16="http://schemas.microsoft.com/office/drawing/2014/chart" uri="{C3380CC4-5D6E-409C-BE32-E72D297353CC}">
              <c16:uniqueId val="{00000012-3D64-44C8-90D6-AC9892C29202}"/>
            </c:ext>
          </c:extLst>
        </c:ser>
        <c:ser>
          <c:idx val="19"/>
          <c:order val="19"/>
          <c:tx>
            <c:strRef>
              <c:f>PL!$CG$2</c:f>
              <c:strCache>
                <c:ptCount val="1"/>
                <c:pt idx="0">
                  <c:v>3Q24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(PL!$CG$39,PL!$CG$45)</c:f>
              <c:extLst/>
            </c:numRef>
          </c:val>
          <c:extLst>
            <c:ext xmlns:c16="http://schemas.microsoft.com/office/drawing/2014/chart" uri="{C3380CC4-5D6E-409C-BE32-E72D297353CC}">
              <c16:uniqueId val="{00000013-3D64-44C8-90D6-AC9892C29202}"/>
            </c:ext>
          </c:extLst>
        </c:ser>
        <c:ser>
          <c:idx val="20"/>
          <c:order val="20"/>
          <c:tx>
            <c:strRef>
              <c:f>PL!$CH$2</c:f>
              <c:strCache>
                <c:ptCount val="1"/>
                <c:pt idx="0">
                  <c:v>4Q24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(PL!$CH$39,PL!$CH$45)</c:f>
              <c:extLst/>
            </c:numRef>
          </c:val>
          <c:extLst>
            <c:ext xmlns:c16="http://schemas.microsoft.com/office/drawing/2014/chart" uri="{C3380CC4-5D6E-409C-BE32-E72D297353CC}">
              <c16:uniqueId val="{00000014-3D64-44C8-90D6-AC9892C29202}"/>
            </c:ext>
          </c:extLst>
        </c:ser>
        <c:ser>
          <c:idx val="21"/>
          <c:order val="21"/>
          <c:tx>
            <c:strRef>
              <c:f>PL!$CI$2</c:f>
              <c:strCache>
                <c:ptCount val="1"/>
                <c:pt idx="0">
                  <c:v>1Q25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(PL!$CI$39,PL!$CI$45)</c:f>
              <c:extLst/>
            </c:numRef>
          </c:val>
          <c:extLst>
            <c:ext xmlns:c16="http://schemas.microsoft.com/office/drawing/2014/chart" uri="{C3380CC4-5D6E-409C-BE32-E72D297353CC}">
              <c16:uniqueId val="{00000015-3D64-44C8-90D6-AC9892C29202}"/>
            </c:ext>
          </c:extLst>
        </c:ser>
        <c:ser>
          <c:idx val="22"/>
          <c:order val="22"/>
          <c:tx>
            <c:strRef>
              <c:f>PL!$CJ$2</c:f>
              <c:strCache>
                <c:ptCount val="1"/>
                <c:pt idx="0">
                  <c:v>2Q25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(PL!$CJ$39,PL!$CJ$45)</c:f>
            </c:numRef>
          </c:val>
          <c:extLst>
            <c:ext xmlns:c16="http://schemas.microsoft.com/office/drawing/2014/chart" uri="{C3380CC4-5D6E-409C-BE32-E72D297353CC}">
              <c16:uniqueId val="{00000016-3D64-44C8-90D6-AC9892C29202}"/>
            </c:ext>
          </c:extLst>
        </c:ser>
        <c:ser>
          <c:idx val="23"/>
          <c:order val="23"/>
          <c:tx>
            <c:strRef>
              <c:f>PL!$CK$2</c:f>
              <c:strCache>
                <c:ptCount val="1"/>
                <c:pt idx="0">
                  <c:v>3Q25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(PL!$CK$39,PL!$CK$45)</c:f>
            </c:numRef>
          </c:val>
          <c:extLst>
            <c:ext xmlns:c16="http://schemas.microsoft.com/office/drawing/2014/chart" uri="{C3380CC4-5D6E-409C-BE32-E72D297353CC}">
              <c16:uniqueId val="{00000017-3D64-44C8-90D6-AC9892C29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8946064"/>
        <c:axId val="628936464"/>
      </c:barChart>
      <c:catAx>
        <c:axId val="628946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628936464"/>
        <c:crosses val="autoZero"/>
        <c:auto val="1"/>
        <c:lblAlgn val="ctr"/>
        <c:lblOffset val="100"/>
        <c:noMultiLvlLbl val="0"/>
      </c:catAx>
      <c:valAx>
        <c:axId val="628936464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628946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PL!$J$4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(PL!$J$39,PL!$J$45)</c:f>
            </c:numRef>
          </c:val>
          <c:extLst>
            <c:ext xmlns:c16="http://schemas.microsoft.com/office/drawing/2014/chart" uri="{C3380CC4-5D6E-409C-BE32-E72D297353CC}">
              <c16:uniqueId val="{00000016-C975-4823-B0EA-F904A590BE9F}"/>
            </c:ext>
          </c:extLst>
        </c:ser>
        <c:ser>
          <c:idx val="1"/>
          <c:order val="1"/>
          <c:tx>
            <c:strRef>
              <c:f>PL!$K$4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(PL!$K$39,PL!$K$45)</c:f>
            </c:numRef>
          </c:val>
          <c:extLst>
            <c:ext xmlns:c16="http://schemas.microsoft.com/office/drawing/2014/chart" uri="{C3380CC4-5D6E-409C-BE32-E72D297353CC}">
              <c16:uniqueId val="{00000017-C975-4823-B0EA-F904A590BE9F}"/>
            </c:ext>
          </c:extLst>
        </c:ser>
        <c:ser>
          <c:idx val="2"/>
          <c:order val="2"/>
          <c:tx>
            <c:strRef>
              <c:f>PL!$L$4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(PL!$L$39,PL!$L$45)</c:f>
            </c:numRef>
          </c:val>
          <c:extLst>
            <c:ext xmlns:c16="http://schemas.microsoft.com/office/drawing/2014/chart" uri="{C3380CC4-5D6E-409C-BE32-E72D297353CC}">
              <c16:uniqueId val="{00000018-C975-4823-B0EA-F904A590BE9F}"/>
            </c:ext>
          </c:extLst>
        </c:ser>
        <c:ser>
          <c:idx val="3"/>
          <c:order val="3"/>
          <c:tx>
            <c:strRef>
              <c:f>PL!$M$4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(PL!$M$39,PL!$M$45)</c:f>
            </c:numRef>
          </c:val>
          <c:extLst>
            <c:ext xmlns:c16="http://schemas.microsoft.com/office/drawing/2014/chart" uri="{C3380CC4-5D6E-409C-BE32-E72D297353CC}">
              <c16:uniqueId val="{00000019-C975-4823-B0EA-F904A590BE9F}"/>
            </c:ext>
          </c:extLst>
        </c:ser>
        <c:ser>
          <c:idx val="4"/>
          <c:order val="4"/>
          <c:tx>
            <c:strRef>
              <c:f>PL!$N$4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(PL!$N$39,PL!$N$45)</c:f>
            </c:numRef>
          </c:val>
          <c:extLst>
            <c:ext xmlns:c16="http://schemas.microsoft.com/office/drawing/2014/chart" uri="{C3380CC4-5D6E-409C-BE32-E72D297353CC}">
              <c16:uniqueId val="{0000001A-C975-4823-B0EA-F904A590BE9F}"/>
            </c:ext>
          </c:extLst>
        </c:ser>
        <c:ser>
          <c:idx val="5"/>
          <c:order val="5"/>
          <c:tx>
            <c:strRef>
              <c:f>PL!$O$4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(PL!$O$39,PL!$O$45)</c:f>
              <c:numCache>
                <c:formatCode>#,##0</c:formatCode>
                <c:ptCount val="2"/>
                <c:pt idx="0" formatCode="_(* #,##0_);[Red]_(* \(#,##0\);_(* \-??_);_(@_)">
                  <c:v>124.20000000000005</c:v>
                </c:pt>
                <c:pt idx="1">
                  <c:v>392.53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C975-4823-B0EA-F904A590BE9F}"/>
            </c:ext>
          </c:extLst>
        </c:ser>
        <c:ser>
          <c:idx val="21"/>
          <c:order val="6"/>
          <c:tx>
            <c:strRef>
              <c:f>PL!$CU$3</c:f>
              <c:strCache>
                <c:ptCount val="1"/>
                <c:pt idx="0">
                  <c:v>9M25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(PL!$B$39,PL!$B$45)</c:f>
              <c:strCache>
                <c:ptCount val="2"/>
                <c:pt idx="0">
                  <c:v>Profit/Loss from Financial activities</c:v>
                </c:pt>
                <c:pt idx="1">
                  <c:v>Profit from Joint venture partners/ Affiliates</c:v>
                </c:pt>
              </c:strCache>
            </c:strRef>
          </c:cat>
          <c:val>
            <c:numRef>
              <c:f>(PL!$CU$39,PL!$CU$45)</c:f>
              <c:numCache>
                <c:formatCode>_(* #,##0_);_(* \(#,##0\);_(* \-??_);_(@_)</c:formatCode>
                <c:ptCount val="2"/>
                <c:pt idx="0">
                  <c:v>1228.150329265</c:v>
                </c:pt>
                <c:pt idx="1">
                  <c:v>374.27869813999996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C975-4823-B0EA-F904A590B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8946064"/>
        <c:axId val="628936464"/>
      </c:barChart>
      <c:catAx>
        <c:axId val="628946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628936464"/>
        <c:crosses val="autoZero"/>
        <c:auto val="1"/>
        <c:lblAlgn val="ctr"/>
        <c:lblOffset val="100"/>
        <c:noMultiLvlLbl val="0"/>
      </c:catAx>
      <c:valAx>
        <c:axId val="628936464"/>
        <c:scaling>
          <c:orientation val="minMax"/>
        </c:scaling>
        <c:delete val="0"/>
        <c:axPos val="l"/>
        <c:numFmt formatCode="_(* #,##0_);[Red]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628946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685657224326067E-2"/>
          <c:y val="3.4280292301591797E-2"/>
          <c:w val="0.70934627829837715"/>
          <c:h val="0.77135557695575818"/>
        </c:manualLayout>
      </c:layout>
      <c:lineChart>
        <c:grouping val="standard"/>
        <c:varyColors val="0"/>
        <c:ser>
          <c:idx val="0"/>
          <c:order val="0"/>
          <c:tx>
            <c:strRef>
              <c:f>Revenue!$A$136</c:f>
              <c:strCache>
                <c:ptCount val="1"/>
                <c:pt idx="0">
                  <c:v>Global IT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7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Noto Sans" panose="020B0502040504020204" pitchFamily="34" charset="0"/>
                      <a:ea typeface="Noto Sans" panose="020B0502040504020204" pitchFamily="34" charset="0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336322502353129"/>
                      <c:h val="0.1828436125199652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8C2F-4BA0-B8FD-6443ED5384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Revenue!$AV$1:$BA$1</c:f>
              <c:strCache>
                <c:ptCount val="6"/>
                <c:pt idx="0">
                  <c:v>2Q24</c:v>
                </c:pt>
                <c:pt idx="1">
                  <c:v>3Q24</c:v>
                </c:pt>
                <c:pt idx="2">
                  <c:v>4Q24</c:v>
                </c:pt>
                <c:pt idx="3">
                  <c:v>1Q25</c:v>
                </c:pt>
                <c:pt idx="4">
                  <c:v>2Q25</c:v>
                </c:pt>
                <c:pt idx="5">
                  <c:v>3Q25</c:v>
                </c:pt>
              </c:strCache>
            </c:strRef>
          </c:cat>
          <c:val>
            <c:numRef>
              <c:f>Revenue!$AV$136:$BA$136</c:f>
              <c:numCache>
                <c:formatCode>0.0%</c:formatCode>
                <c:ptCount val="6"/>
                <c:pt idx="0">
                  <c:v>0.15566411407446529</c:v>
                </c:pt>
                <c:pt idx="1">
                  <c:v>0.16306361951822113</c:v>
                </c:pt>
                <c:pt idx="2">
                  <c:v>0.13952926976463489</c:v>
                </c:pt>
                <c:pt idx="3">
                  <c:v>0.16992426093330076</c:v>
                </c:pt>
                <c:pt idx="4">
                  <c:v>0.15206884356949193</c:v>
                </c:pt>
                <c:pt idx="5">
                  <c:v>0.15631667602470523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2F-4BA0-B8FD-6443ED538401}"/>
            </c:ext>
          </c:extLst>
        </c:ser>
        <c:ser>
          <c:idx val="1"/>
          <c:order val="1"/>
          <c:tx>
            <c:strRef>
              <c:f>Revenue!$A$137</c:f>
              <c:strCache>
                <c:ptCount val="1"/>
                <c:pt idx="0">
                  <c:v>Domestic IT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layout>
                <c:manualLayout>
                  <c:x val="1.4872652909462726E-2"/>
                  <c:y val="2.099370188943317E-2"/>
                </c:manualLayout>
              </c:layout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C2F-4BA0-B8FD-6443ED5384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Revenue!$AV$1:$BA$1</c:f>
              <c:strCache>
                <c:ptCount val="6"/>
                <c:pt idx="0">
                  <c:v>2Q24</c:v>
                </c:pt>
                <c:pt idx="1">
                  <c:v>3Q24</c:v>
                </c:pt>
                <c:pt idx="2">
                  <c:v>4Q24</c:v>
                </c:pt>
                <c:pt idx="3">
                  <c:v>1Q25</c:v>
                </c:pt>
                <c:pt idx="4">
                  <c:v>2Q25</c:v>
                </c:pt>
                <c:pt idx="5">
                  <c:v>3Q25</c:v>
                </c:pt>
              </c:strCache>
            </c:strRef>
          </c:cat>
          <c:val>
            <c:numRef>
              <c:f>Revenue!$AV$137:$BA$137</c:f>
              <c:numCache>
                <c:formatCode>0.0%</c:formatCode>
                <c:ptCount val="6"/>
                <c:pt idx="0">
                  <c:v>5.7086614173228349E-2</c:v>
                </c:pt>
                <c:pt idx="1">
                  <c:v>2.2321428571428572E-2</c:v>
                </c:pt>
                <c:pt idx="2">
                  <c:v>9.1925900034952809E-2</c:v>
                </c:pt>
                <c:pt idx="3">
                  <c:v>1.5161086544535692E-2</c:v>
                </c:pt>
                <c:pt idx="4">
                  <c:v>6.9296375266524518E-2</c:v>
                </c:pt>
                <c:pt idx="5">
                  <c:v>5.5294731351069382E-2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2F-4BA0-B8FD-6443ED538401}"/>
            </c:ext>
          </c:extLst>
        </c:ser>
        <c:ser>
          <c:idx val="2"/>
          <c:order val="2"/>
          <c:tx>
            <c:v>Telecom</c:v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layout>
                <c:manualLayout>
                  <c:x val="-1.4638437903014494E-7"/>
                  <c:y val="-4.210664948020287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7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Noto Sans" panose="020B0502040504020204" pitchFamily="34" charset="0"/>
                      <a:ea typeface="Noto Sans" panose="020B0502040504020204" pitchFamily="34" charset="0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417682940218081"/>
                      <c:h val="0.2113133634096449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8C2F-4BA0-B8FD-6443ED5384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Revenue!$AV$1:$BA$1</c:f>
              <c:strCache>
                <c:ptCount val="6"/>
                <c:pt idx="0">
                  <c:v>2Q24</c:v>
                </c:pt>
                <c:pt idx="1">
                  <c:v>3Q24</c:v>
                </c:pt>
                <c:pt idx="2">
                  <c:v>4Q24</c:v>
                </c:pt>
                <c:pt idx="3">
                  <c:v>1Q25</c:v>
                </c:pt>
                <c:pt idx="4">
                  <c:v>2Q25</c:v>
                </c:pt>
                <c:pt idx="5">
                  <c:v>3Q25</c:v>
                </c:pt>
              </c:strCache>
            </c:strRef>
          </c:cat>
          <c:val>
            <c:numRef>
              <c:f>Revenue!$AV$138:$BA$138</c:f>
              <c:numCache>
                <c:formatCode>0.0%</c:formatCode>
                <c:ptCount val="6"/>
                <c:pt idx="0">
                  <c:v>0.22069943289224953</c:v>
                </c:pt>
                <c:pt idx="1">
                  <c:v>0.19907813871817384</c:v>
                </c:pt>
                <c:pt idx="2">
                  <c:v>0.19168399168399169</c:v>
                </c:pt>
                <c:pt idx="3">
                  <c:v>0.21104321257092973</c:v>
                </c:pt>
                <c:pt idx="4">
                  <c:v>0.23643979057591624</c:v>
                </c:pt>
                <c:pt idx="5">
                  <c:v>0.22961460446247464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C2F-4BA0-B8FD-6443ED538401}"/>
            </c:ext>
          </c:extLst>
        </c:ser>
        <c:ser>
          <c:idx val="3"/>
          <c:order val="3"/>
          <c:tx>
            <c:v>Education</c:v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C2F-4BA0-B8FD-6443ED5384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Revenue!$AV$1:$BA$1</c:f>
              <c:strCache>
                <c:ptCount val="6"/>
                <c:pt idx="0">
                  <c:v>2Q24</c:v>
                </c:pt>
                <c:pt idx="1">
                  <c:v>3Q24</c:v>
                </c:pt>
                <c:pt idx="2">
                  <c:v>4Q24</c:v>
                </c:pt>
                <c:pt idx="3">
                  <c:v>1Q25</c:v>
                </c:pt>
                <c:pt idx="4">
                  <c:v>2Q25</c:v>
                </c:pt>
                <c:pt idx="5">
                  <c:v>3Q25</c:v>
                </c:pt>
              </c:strCache>
            </c:strRef>
          </c:cat>
          <c:val>
            <c:numRef>
              <c:f>Revenue!$AV$141:$BA$141</c:f>
              <c:numCache>
                <c:formatCode>0.0%</c:formatCode>
                <c:ptCount val="6"/>
                <c:pt idx="0">
                  <c:v>0.30823863636363635</c:v>
                </c:pt>
                <c:pt idx="1">
                  <c:v>0.44246575342465755</c:v>
                </c:pt>
                <c:pt idx="2">
                  <c:v>0.37590799031476996</c:v>
                </c:pt>
                <c:pt idx="3">
                  <c:v>0.37609841827768015</c:v>
                </c:pt>
                <c:pt idx="4">
                  <c:v>0.39839034205231388</c:v>
                </c:pt>
                <c:pt idx="5">
                  <c:v>0.51135581555402621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C2F-4BA0-B8FD-6443ED53840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99530703"/>
        <c:axId val="1399548463"/>
      </c:lineChart>
      <c:catAx>
        <c:axId val="1399530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KR"/>
          </a:p>
        </c:txPr>
        <c:crossAx val="1399548463"/>
        <c:crosses val="autoZero"/>
        <c:auto val="1"/>
        <c:lblAlgn val="ctr"/>
        <c:lblOffset val="100"/>
        <c:noMultiLvlLbl val="0"/>
      </c:catAx>
      <c:valAx>
        <c:axId val="1399548463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KR"/>
          </a:p>
        </c:txPr>
        <c:crossAx val="1399530703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774112668782438E-2"/>
          <c:y val="0.10170072559540502"/>
          <c:w val="0.88298271845576737"/>
          <c:h val="0.85114661272604164"/>
        </c:manualLayout>
      </c:layout>
      <c:barChart>
        <c:barDir val="col"/>
        <c:grouping val="clustered"/>
        <c:varyColors val="0"/>
        <c:ser>
          <c:idx val="1"/>
          <c:order val="0"/>
          <c:tx>
            <c:v>Revenue growth (%YoY)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PL!$BS$2:$CK$2</c:f>
            </c:multiLvlStrRef>
          </c:cat>
          <c:val>
            <c:numRef>
              <c:f>PL!$BS$10:$CK$10</c:f>
              <c:extLst/>
            </c:numRef>
          </c:val>
          <c:extLst>
            <c:ext xmlns:c16="http://schemas.microsoft.com/office/drawing/2014/chart" uri="{C3380CC4-5D6E-409C-BE32-E72D297353CC}">
              <c16:uniqueId val="{00000000-9BA1-4490-B964-099364098978}"/>
            </c:ext>
          </c:extLst>
        </c:ser>
        <c:ser>
          <c:idx val="2"/>
          <c:order val="1"/>
          <c:tx>
            <c:v>Operating profit growth (%YoY)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PL!$BS$2:$CK$2</c:f>
            </c:multiLvlStrRef>
          </c:cat>
          <c:val>
            <c:numRef>
              <c:f>PL!$BS$25:$CK$25</c:f>
              <c:extLst/>
            </c:numRef>
          </c:val>
          <c:extLst>
            <c:ext xmlns:c16="http://schemas.microsoft.com/office/drawing/2014/chart" uri="{C3380CC4-5D6E-409C-BE32-E72D297353CC}">
              <c16:uniqueId val="{00000001-9BA1-4490-B964-099364098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2834031"/>
        <c:axId val="2072822511"/>
      </c:barChart>
      <c:catAx>
        <c:axId val="20728340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2072822511"/>
        <c:crosses val="autoZero"/>
        <c:auto val="1"/>
        <c:lblAlgn val="ctr"/>
        <c:lblOffset val="100"/>
        <c:noMultiLvlLbl val="0"/>
      </c:catAx>
      <c:valAx>
        <c:axId val="2072822511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2072834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108114610673665"/>
          <c:y val="5.0684433216546323E-2"/>
          <c:w val="0.85836329833770775"/>
          <c:h val="0.78330404168976109"/>
        </c:manualLayout>
      </c:layout>
      <c:barChart>
        <c:barDir val="col"/>
        <c:grouping val="clustered"/>
        <c:varyColors val="0"/>
        <c:ser>
          <c:idx val="3"/>
          <c:order val="2"/>
          <c:tx>
            <c:v>Technology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(Revenue!$C$1:$H$1,Revenue!$BL$1)</c15:sqref>
                  </c15:fullRef>
                </c:ext>
              </c:extLst>
              <c:f>(Revenue!$F$1:$H$1,Revenue!$BL$1)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9M25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(Revenue!$C$144:$H$144,Revenue!$BL$144)</c15:sqref>
                  </c15:fullRef>
                </c:ext>
              </c:extLst>
              <c:f>(Revenue!$F$144:$H$144,Revenue!$BL$144)</c:f>
              <c:numCache>
                <c:formatCode>0.0%</c:formatCode>
                <c:ptCount val="4"/>
                <c:pt idx="0">
                  <c:v>0.22383888445942834</c:v>
                </c:pt>
                <c:pt idx="1">
                  <c:v>0.23641010909343696</c:v>
                </c:pt>
                <c:pt idx="2">
                  <c:v>0.25636713118692933</c:v>
                </c:pt>
                <c:pt idx="3">
                  <c:v>0.13700000000000001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93-4B39-8150-A01213777405}"/>
            </c:ext>
          </c:extLst>
        </c:ser>
        <c:ser>
          <c:idx val="0"/>
          <c:order val="3"/>
          <c:tx>
            <c:v>Telecom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(Revenue!$C$1:$H$1,Revenue!$BL$1)</c15:sqref>
                  </c15:fullRef>
                </c:ext>
              </c:extLst>
              <c:f>(Revenue!$F$1:$H$1,Revenue!$BL$1)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9M25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(Revenue!$C$147:$H$147,Revenue!$BK$147)</c15:sqref>
                  </c15:fullRef>
                </c:ext>
              </c:extLst>
              <c:f>(Revenue!$F$147:$H$147,Revenue!$BK$147)</c:f>
              <c:numCache>
                <c:formatCode>0.0%</c:formatCode>
                <c:ptCount val="4"/>
                <c:pt idx="0">
                  <c:v>0.17648456384301991</c:v>
                </c:pt>
                <c:pt idx="1">
                  <c:v>7.7513924099152698E-2</c:v>
                </c:pt>
                <c:pt idx="2">
                  <c:v>0.18181818181818188</c:v>
                </c:pt>
                <c:pt idx="3">
                  <c:v>0.19900000000000001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93-4B39-8150-A01213777405}"/>
            </c:ext>
          </c:extLst>
        </c:ser>
        <c:ser>
          <c:idx val="2"/>
          <c:order val="4"/>
          <c:tx>
            <c:v>Education &amp; others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(Revenue!$C$1:$H$1,Revenue!$BL$1)</c15:sqref>
                  </c15:fullRef>
                </c:ext>
              </c:extLst>
              <c:f>(Revenue!$F$1:$H$1,Revenue!$BL$1)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9M25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(Revenue!$C$150:$H$150,Revenue!$BK$150)</c15:sqref>
                  </c15:fullRef>
                </c:ext>
              </c:extLst>
              <c:f>(Revenue!$F$150:$H$150,Revenue!$BK$150)</c:f>
              <c:numCache>
                <c:formatCode>0.0%</c:formatCode>
                <c:ptCount val="4"/>
                <c:pt idx="0">
                  <c:v>0.24059865780026457</c:v>
                </c:pt>
                <c:pt idx="1">
                  <c:v>0.35611428587382465</c:v>
                </c:pt>
                <c:pt idx="2">
                  <c:v>0.12418952618453871</c:v>
                </c:pt>
                <c:pt idx="3">
                  <c:v>0.246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93-4B39-8150-A01213777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6915967"/>
        <c:axId val="1206916447"/>
        <c:extLst>
          <c:ext xmlns:c15="http://schemas.microsoft.com/office/drawing/2012/chart" uri="{02D57815-91ED-43cb-92C2-25804820EDAC}">
            <c15:filteredBarSeries>
              <c15:ser>
                <c:idx val="4"/>
                <c:order val="0"/>
                <c:tx>
                  <c:strRef>
                    <c:extLst>
                      <c:ext uri="{02D57815-91ED-43cb-92C2-25804820EDAC}">
                        <c15:formulaRef>
                          <c15:sqref>Revenue!$A$135</c15:sqref>
                        </c15:formulaRef>
                      </c:ext>
                    </c:extLst>
                    <c:strCache>
                      <c:ptCount val="1"/>
                      <c:pt idx="0">
                        <c:v>Total IT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(Revenue!$C$1:$H$1,Revenue!$BL$1)</c15:sqref>
                        </c15:fullRef>
                        <c15:formulaRef>
                          <c15:sqref>(Revenue!$F$1:$H$1,Revenue!$BL$1)</c15:sqref>
                        </c15:formulaRef>
                      </c:ext>
                    </c:extLst>
                    <c:strCache>
                      <c:ptCount val="4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  <c:pt idx="3">
                        <c:v>9M25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(Revenue!$C$135:$H$135,Revenue!$BJ$135)</c15:sqref>
                        </c15:fullRef>
                        <c15:formulaRef>
                          <c15:sqref>(Revenue!$F$135:$H$135,Revenue!$BJ$135)</c15:sqref>
                        </c15:formulaRef>
                      </c:ext>
                    </c:extLst>
                    <c:numCache>
                      <c:formatCode>0.0%</c:formatCode>
                      <c:ptCount val="4"/>
                      <c:pt idx="0">
                        <c:v>0.1306606297691153</c:v>
                      </c:pt>
                      <c:pt idx="1">
                        <c:v>0.1323412509141785</c:v>
                      </c:pt>
                      <c:pt idx="2">
                        <c:v>0.13369982101764255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6693-4B39-8150-A01213777405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Revenue!$A$136</c15:sqref>
                        </c15:formulaRef>
                      </c:ext>
                    </c:extLst>
                    <c:strCache>
                      <c:ptCount val="1"/>
                      <c:pt idx="0">
                        <c:v>Global IT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(Revenue!$C$1:$H$1,Revenue!$BL$1)</c15:sqref>
                        </c15:fullRef>
                        <c15:formulaRef>
                          <c15:sqref>(Revenue!$F$1:$H$1,Revenue!$BL$1)</c15:sqref>
                        </c15:formulaRef>
                      </c:ext>
                    </c:extLst>
                    <c:strCache>
                      <c:ptCount val="4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  <c:pt idx="3">
                        <c:v>9M25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(Revenue!$C$136:$H$136,Revenue!$BJ$136)</c15:sqref>
                        </c15:fullRef>
                        <c15:formulaRef>
                          <c15:sqref>(Revenue!$F$136:$H$136,Revenue!$BJ$136)</c15:sqref>
                        </c15:formulaRef>
                      </c:ext>
                    </c:extLst>
                    <c:numCache>
                      <c:formatCode>0.0%</c:formatCode>
                      <c:ptCount val="4"/>
                      <c:pt idx="0">
                        <c:v>0.15736987889399029</c:v>
                      </c:pt>
                      <c:pt idx="1">
                        <c:v>0.15571475625823453</c:v>
                      </c:pt>
                      <c:pt idx="2">
                        <c:v>0.15410461021548799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693-4B39-8150-A01213777405}"/>
                  </c:ext>
                </c:extLst>
              </c15:ser>
            </c15:filteredBarSeries>
          </c:ext>
        </c:extLst>
      </c:barChart>
      <c:catAx>
        <c:axId val="1206915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206916447"/>
        <c:crosses val="autoZero"/>
        <c:auto val="1"/>
        <c:lblAlgn val="ctr"/>
        <c:lblOffset val="100"/>
        <c:noMultiLvlLbl val="0"/>
      </c:catAx>
      <c:valAx>
        <c:axId val="1206916447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206915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174081627982813"/>
          <c:y val="0.93258897431951426"/>
          <c:w val="0.66035145858243749"/>
          <c:h val="5.28727407907806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9.67220429236018E-2"/>
          <c:y val="2.338485153125568E-2"/>
          <c:w val="0.8780321812259978"/>
          <c:h val="0.81002935997649617"/>
        </c:manualLayout>
      </c:layout>
      <c:barChart>
        <c:barDir val="col"/>
        <c:grouping val="clustered"/>
        <c:varyColors val="0"/>
        <c:ser>
          <c:idx val="0"/>
          <c:order val="0"/>
          <c:tx>
            <c:v>Technology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(Revenue!$F$1:$H$1,Revenue!$BL$1)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9M25</c:v>
                </c:pt>
              </c:strCache>
            </c:strRef>
          </c:cat>
          <c:val>
            <c:numRef>
              <c:f>(Revenue!$F$20:$H$20,Revenue!$BL$20)</c:f>
              <c:numCache>
                <c:formatCode>0.0%</c:formatCode>
                <c:ptCount val="4"/>
                <c:pt idx="0">
                  <c:v>0.23431395301818059</c:v>
                </c:pt>
                <c:pt idx="1">
                  <c:v>0.22070875400605106</c:v>
                </c:pt>
                <c:pt idx="2">
                  <c:v>0.24360075042131712</c:v>
                </c:pt>
                <c:pt idx="3">
                  <c:v>0.107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66-4575-B147-3CB4AD89B7B1}"/>
            </c:ext>
          </c:extLst>
        </c:ser>
        <c:ser>
          <c:idx val="1"/>
          <c:order val="1"/>
          <c:tx>
            <c:v>Telecom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(Revenue!$F$1:$H$1,Revenue!$BL$1)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9M25</c:v>
                </c:pt>
              </c:strCache>
            </c:strRef>
          </c:cat>
          <c:val>
            <c:numRef>
              <c:f>(Revenue!$F$23:$H$23,Revenue!$BL$23)</c:f>
              <c:numCache>
                <c:formatCode>0.0%</c:formatCode>
                <c:ptCount val="4"/>
                <c:pt idx="0">
                  <c:v>0.16105675550919973</c:v>
                </c:pt>
                <c:pt idx="1">
                  <c:v>7.3073771140099941E-2</c:v>
                </c:pt>
                <c:pt idx="2">
                  <c:v>0.11413387321270396</c:v>
                </c:pt>
                <c:pt idx="3">
                  <c:v>0.11600000000000001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66-4575-B147-3CB4AD89B7B1}"/>
            </c:ext>
          </c:extLst>
        </c:ser>
        <c:ser>
          <c:idx val="2"/>
          <c:order val="2"/>
          <c:tx>
            <c:v>Education &amp; others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(Revenue!$F$1:$H$1,Revenue!$BL$1)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9M25</c:v>
                </c:pt>
              </c:strCache>
            </c:strRef>
          </c:cat>
          <c:val>
            <c:numRef>
              <c:f>(Revenue!$F$26:$H$26,Revenue!$BL$26)</c:f>
              <c:numCache>
                <c:formatCode>0.0%</c:formatCode>
                <c:ptCount val="4"/>
                <c:pt idx="0">
                  <c:v>0.67586601343120711</c:v>
                </c:pt>
                <c:pt idx="1">
                  <c:v>0.52488926898736921</c:v>
                </c:pt>
                <c:pt idx="2">
                  <c:v>0.14283050531418984</c:v>
                </c:pt>
                <c:pt idx="3">
                  <c:v>3.9E-2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66-4575-B147-3CB4AD89B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96735"/>
        <c:axId val="6197695"/>
      </c:barChart>
      <c:catAx>
        <c:axId val="619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6197695"/>
        <c:crosses val="autoZero"/>
        <c:auto val="1"/>
        <c:lblAlgn val="ctr"/>
        <c:lblOffset val="100"/>
        <c:noMultiLvlLbl val="0"/>
      </c:catAx>
      <c:valAx>
        <c:axId val="6197695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6196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22003098236573"/>
          <c:y val="2.5757872240154522E-2"/>
          <c:w val="0.75490257310152742"/>
          <c:h val="0.85168568508923947"/>
        </c:manualLayout>
      </c:layout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72,952</a:t>
                    </a:r>
                    <a:endParaRPr lang="en-US" dirty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9606-4EBE-97BC-02EE1EFE37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PL!$L$4:$Q$4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</c:strCache>
            </c:strRef>
          </c:cat>
          <c:val>
            <c:numRef>
              <c:f>PL!$L$9:$Q$9</c:f>
              <c:numCache>
                <c:formatCode>_(* #,##0_);[Red]_(* \(#,##0\);_(* \-??_);_(@_)</c:formatCode>
                <c:ptCount val="3"/>
                <c:pt idx="0" formatCode="#,##0">
                  <c:v>62848.79</c:v>
                </c:pt>
                <c:pt idx="1">
                  <c:v>70207.69</c:v>
                </c:pt>
                <c:pt idx="2">
                  <c:v>57194.606680421704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06-4EBE-97BC-02EE1EFE37A4}"/>
            </c:ext>
          </c:extLst>
        </c:ser>
        <c:ser>
          <c:idx val="1"/>
          <c:order val="1"/>
          <c:tx>
            <c:v>PBT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54841997961264E-2"/>
                  <c:y val="-8.339399644649766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606-4EBE-97BC-02EE1EFE37A4}"/>
                </c:ext>
              </c:extLst>
            </c:dLbl>
            <c:dLbl>
              <c:idx val="1"/>
              <c:layout>
                <c:manualLayout>
                  <c:x val="2.5484199796126344E-2"/>
                  <c:y val="-6.67151971571971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606-4EBE-97BC-02EE1EFE37A4}"/>
                </c:ext>
              </c:extLst>
            </c:dLbl>
            <c:dLbl>
              <c:idx val="2"/>
              <c:layout>
                <c:manualLayout>
                  <c:x val="2.3891437308868443E-2"/>
                  <c:y val="-1.66787992892992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606-4EBE-97BC-02EE1EFE37A4}"/>
                </c:ext>
              </c:extLst>
            </c:dLbl>
            <c:dLbl>
              <c:idx val="3"/>
              <c:layout>
                <c:manualLayout>
                  <c:x val="3.0262487257899984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606-4EBE-97BC-02EE1EFE37A4}"/>
                </c:ext>
              </c:extLst>
            </c:dLbl>
            <c:dLbl>
              <c:idx val="4"/>
              <c:layout>
                <c:manualLayout>
                  <c:x val="3.6633537206931702E-2"/>
                  <c:y val="-6.671519715719716E-3"/>
                </c:manualLayout>
              </c:layout>
              <c:tx>
                <c:rich>
                  <a:bodyPr/>
                  <a:lstStyle/>
                  <a:p>
                    <a:r>
                      <a:rPr lang="en-US" dirty="0"/>
                      <a:t>13,134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9606-4EBE-97BC-02EE1EFE37A4}"/>
                </c:ext>
              </c:extLst>
            </c:dLbl>
            <c:dLbl>
              <c:idx val="5"/>
              <c:layout>
                <c:manualLayout>
                  <c:x val="3.9819062181447387E-2"/>
                  <c:y val="-1.343306473080103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606-4EBE-97BC-02EE1EFE37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PL!$L$4:$Q$4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</c:strCache>
            </c:strRef>
          </c:cat>
          <c:val>
            <c:numRef>
              <c:f>PL!$L$47:$Q$47</c:f>
              <c:numCache>
                <c:formatCode>#,##0</c:formatCode>
                <c:ptCount val="3"/>
                <c:pt idx="0">
                  <c:v>11069.660000000005</c:v>
                </c:pt>
                <c:pt idx="1">
                  <c:v>13133.720000000005</c:v>
                </c:pt>
                <c:pt idx="2" formatCode="_(* #,##0_);[Red]_(* \(#,##0\);_(* \-??_);_(@_)">
                  <c:v>13271.82233705516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606-4EBE-97BC-02EE1EFE37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axId val="260826608"/>
        <c:axId val="260817488"/>
      </c:barChart>
      <c:lineChart>
        <c:grouping val="standard"/>
        <c:varyColors val="0"/>
        <c:ser>
          <c:idx val="3"/>
          <c:order val="3"/>
          <c:tx>
            <c:v>PBT growth (%)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3"/>
              <c:layout>
                <c:manualLayout>
                  <c:x val="-1.27420998980632E-2"/>
                  <c:y val="-4.32843196881366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606-4EBE-97BC-02EE1EFE37A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18.6%</a:t>
                    </a:r>
                    <a:endParaRPr lang="en-US" dirty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9606-4EBE-97BC-02EE1EFE37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PL!$L$4:$Q$4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</c:strCache>
            </c:strRef>
          </c:cat>
          <c:val>
            <c:numRef>
              <c:f>PL!$L$48:$Q$48</c:f>
              <c:numCache>
                <c:formatCode>0.0%</c:formatCode>
                <c:ptCount val="3"/>
                <c:pt idx="0">
                  <c:v>0.20283088823770945</c:v>
                </c:pt>
                <c:pt idx="1">
                  <c:v>0.1864610114493126</c:v>
                </c:pt>
                <c:pt idx="2">
                  <c:v>1.0515096793228151E-2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606-4EBE-97BC-02EE1EFE3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0787248"/>
        <c:axId val="260779568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v>Tăng trưởng DT (%)</c:v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Noto Sans" panose="020B0502040504020204" pitchFamily="34" charset="0"/>
                          <a:ea typeface="Noto Sans" panose="020B0502040504020204" pitchFamily="34" charset="0"/>
                          <a:cs typeface="Noto Sans" panose="020B0502040504020204" pitchFamily="34" charset="0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PL!$L$4:$Q$4</c15:sqref>
                        </c15:formulaRef>
                      </c:ext>
                    </c:extLst>
                    <c:strCache>
                      <c:ptCount val="3"/>
                      <c:pt idx="0">
                        <c:v>2024</c:v>
                      </c:pt>
                      <c:pt idx="1">
                        <c:v>2025</c:v>
                      </c:pt>
                      <c:pt idx="2">
                        <c:v>2026F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PL!$L$10:$P$10</c15:sqref>
                        </c15:formulaRef>
                      </c:ext>
                    </c:extLst>
                    <c:numCache>
                      <c:formatCode>0.0%</c:formatCode>
                      <c:ptCount val="2"/>
                      <c:pt idx="0">
                        <c:v>0.19443742550995746</c:v>
                      </c:pt>
                      <c:pt idx="1">
                        <c:v>0.11708896861817064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C-9606-4EBE-97BC-02EE1EFE37A4}"/>
                  </c:ext>
                </c:extLst>
              </c15:ser>
            </c15:filteredLineSeries>
          </c:ext>
        </c:extLst>
      </c:lineChart>
      <c:catAx>
        <c:axId val="26082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260817488"/>
        <c:crosses val="autoZero"/>
        <c:auto val="1"/>
        <c:lblAlgn val="ctr"/>
        <c:lblOffset val="100"/>
        <c:noMultiLvlLbl val="0"/>
      </c:catAx>
      <c:valAx>
        <c:axId val="26081748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260826608"/>
        <c:crosses val="autoZero"/>
        <c:crossBetween val="between"/>
      </c:valAx>
      <c:valAx>
        <c:axId val="260779568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260787248"/>
        <c:crosses val="max"/>
        <c:crossBetween val="between"/>
      </c:valAx>
      <c:catAx>
        <c:axId val="2607872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607795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907625795628759"/>
          <c:y val="2.7306529951928719E-2"/>
          <c:w val="0.72999452691693356"/>
          <c:h val="0.79236449174066448"/>
        </c:manualLayout>
      </c:layout>
      <c:barChart>
        <c:barDir val="col"/>
        <c:grouping val="clustered"/>
        <c:varyColors val="0"/>
        <c:ser>
          <c:idx val="0"/>
          <c:order val="0"/>
          <c:tx>
            <c:v>Doanh thu</c:v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4"/>
              <c:tx>
                <c:rich>
                  <a:bodyPr/>
                  <a:lstStyle/>
                  <a:p>
                    <a:r>
                      <a:rPr lang="en-US" dirty="0"/>
                      <a:t>72,952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C1C5-4109-BD5F-5973BB0AFC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PL!$L$4:$Q$4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</c:strCache>
            </c:strRef>
          </c:cat>
          <c:val>
            <c:numRef>
              <c:f>PL!$L$9:$Q$9</c:f>
              <c:numCache>
                <c:formatCode>_(* #,##0_);[Red]_(* \(#,##0\);_(* \-??_);_(@_)</c:formatCode>
                <c:ptCount val="3"/>
                <c:pt idx="0" formatCode="#,##0">
                  <c:v>62848.79</c:v>
                </c:pt>
                <c:pt idx="1">
                  <c:v>70207.69</c:v>
                </c:pt>
                <c:pt idx="2">
                  <c:v>57194.606680421704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C5-4109-BD5F-5973BB0AFCEC}"/>
            </c:ext>
          </c:extLst>
        </c:ser>
        <c:ser>
          <c:idx val="1"/>
          <c:order val="1"/>
          <c:tx>
            <c:v>LNTT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3.82262996941896E-2"/>
                  <c:y val="-7.333572935212329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1C5-4109-BD5F-5973BB0AFCEC}"/>
                </c:ext>
              </c:extLst>
            </c:dLbl>
            <c:dLbl>
              <c:idx val="1"/>
              <c:layout>
                <c:manualLayout>
                  <c:x val="3.82262996941896E-2"/>
                  <c:y val="-1.906728963155205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1C5-4109-BD5F-5973BB0AFCEC}"/>
                </c:ext>
              </c:extLst>
            </c:dLbl>
            <c:dLbl>
              <c:idx val="2"/>
              <c:layout>
                <c:manualLayout>
                  <c:x val="2.7076962283384243E-2"/>
                  <c:y val="-2.933429174084931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1C5-4109-BD5F-5973BB0AFCEC}"/>
                </c:ext>
              </c:extLst>
            </c:dLbl>
            <c:dLbl>
              <c:idx val="3"/>
              <c:layout>
                <c:manualLayout>
                  <c:x val="3.1855249745158E-2"/>
                  <c:y val="-5.866858348169971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1C5-4109-BD5F-5973BB0AFCEC}"/>
                </c:ext>
              </c:extLst>
            </c:dLbl>
            <c:dLbl>
              <c:idx val="4"/>
              <c:layout>
                <c:manualLayout>
                  <c:x val="4.1411824668705403E-2"/>
                  <c:y val="-1.4667145870424659E-3"/>
                </c:manualLayout>
              </c:layout>
              <c:tx>
                <c:rich>
                  <a:bodyPr/>
                  <a:lstStyle/>
                  <a:p>
                    <a:r>
                      <a:rPr lang="en-US" dirty="0"/>
                      <a:t>13,134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C1C5-4109-BD5F-5973BB0AFCEC}"/>
                </c:ext>
              </c:extLst>
            </c:dLbl>
            <c:dLbl>
              <c:idx val="5"/>
              <c:layout>
                <c:manualLayout>
                  <c:x val="5.09683995922528E-2"/>
                  <c:y val="-2.76885552747558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1C5-4109-BD5F-5973BB0AFC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PL!$L$4:$Q$4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</c:strCache>
            </c:strRef>
          </c:cat>
          <c:val>
            <c:numRef>
              <c:f>PL!$L$47:$Q$47</c:f>
              <c:numCache>
                <c:formatCode>#,##0</c:formatCode>
                <c:ptCount val="3"/>
                <c:pt idx="0">
                  <c:v>11069.660000000005</c:v>
                </c:pt>
                <c:pt idx="1">
                  <c:v>13133.720000000005</c:v>
                </c:pt>
                <c:pt idx="2" formatCode="_(* #,##0_);[Red]_(* \(#,##0\);_(* \-??_);_(@_)">
                  <c:v>13271.82233705516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1C5-4109-BD5F-5973BB0AFC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axId val="260826608"/>
        <c:axId val="260817488"/>
      </c:barChart>
      <c:lineChart>
        <c:grouping val="standard"/>
        <c:varyColors val="0"/>
        <c:ser>
          <c:idx val="3"/>
          <c:order val="3"/>
          <c:tx>
            <c:v>Tăng trưởng LNTT (svck%)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3"/>
              <c:layout>
                <c:manualLayout>
                  <c:x val="-1.7520387359836902E-2"/>
                  <c:y val="-4.22614791035747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1C5-4109-BD5F-5973BB0AFC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PL!$L$4:$Q$4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</c:strCache>
            </c:strRef>
          </c:cat>
          <c:val>
            <c:numRef>
              <c:f>PL!$L$48:$Q$48</c:f>
              <c:numCache>
                <c:formatCode>0.0%</c:formatCode>
                <c:ptCount val="3"/>
                <c:pt idx="0">
                  <c:v>0.20283088823770945</c:v>
                </c:pt>
                <c:pt idx="1">
                  <c:v>0.1864610114493126</c:v>
                </c:pt>
                <c:pt idx="2">
                  <c:v>1.0515096793228151E-2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1C5-4109-BD5F-5973BB0AF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0787248"/>
        <c:axId val="260779568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v>Tăng trưởng DT (%)</c:v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2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Noto Sans" panose="020B0502040504020204" pitchFamily="34" charset="0"/>
                          <a:ea typeface="Noto Sans" panose="020B0502040504020204" pitchFamily="34" charset="0"/>
                          <a:cs typeface="Noto Sans" panose="020B0502040504020204" pitchFamily="34" charset="0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PL!$L$4:$Q$4</c15:sqref>
                        </c15:formulaRef>
                      </c:ext>
                    </c:extLst>
                    <c:strCache>
                      <c:ptCount val="3"/>
                      <c:pt idx="0">
                        <c:v>2024</c:v>
                      </c:pt>
                      <c:pt idx="1">
                        <c:v>2025</c:v>
                      </c:pt>
                      <c:pt idx="2">
                        <c:v>2026F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PL!$L$10:$P$10</c15:sqref>
                        </c15:formulaRef>
                      </c:ext>
                    </c:extLst>
                    <c:numCache>
                      <c:formatCode>0.0%</c:formatCode>
                      <c:ptCount val="2"/>
                      <c:pt idx="0">
                        <c:v>0.19443742550995746</c:v>
                      </c:pt>
                      <c:pt idx="1">
                        <c:v>0.11708896861817064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B-C1C5-4109-BD5F-5973BB0AFCEC}"/>
                  </c:ext>
                </c:extLst>
              </c15:ser>
            </c15:filteredLineSeries>
          </c:ext>
        </c:extLst>
      </c:lineChart>
      <c:catAx>
        <c:axId val="26082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260817488"/>
        <c:crosses val="autoZero"/>
        <c:auto val="1"/>
        <c:lblAlgn val="ctr"/>
        <c:lblOffset val="100"/>
        <c:noMultiLvlLbl val="0"/>
      </c:catAx>
      <c:valAx>
        <c:axId val="26081748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260826608"/>
        <c:crosses val="autoZero"/>
        <c:crossBetween val="between"/>
      </c:valAx>
      <c:valAx>
        <c:axId val="260779568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260787248"/>
        <c:crosses val="max"/>
        <c:crossBetween val="between"/>
      </c:valAx>
      <c:catAx>
        <c:axId val="2607872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607795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3803140576464639E-2"/>
          <c:y val="0.92378569890913376"/>
          <c:w val="0.89239371884707075"/>
          <c:h val="6.00804406333989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544730790531915"/>
          <c:y val="6.2934280355609121E-2"/>
          <c:w val="0.72362347696790197"/>
          <c:h val="0.75673668266756666"/>
        </c:manualLayout>
      </c:layout>
      <c:barChart>
        <c:barDir val="col"/>
        <c:grouping val="clustered"/>
        <c:varyColors val="0"/>
        <c:ser>
          <c:idx val="0"/>
          <c:order val="0"/>
          <c:tx>
            <c:v>Doanh thu</c:v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PL!$L$4:$Q$4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</c:strCache>
            </c:strRef>
          </c:cat>
          <c:val>
            <c:numRef>
              <c:f>PL!$L$9:$Q$9</c:f>
              <c:numCache>
                <c:formatCode>_(* #,##0_);[Red]_(* \(#,##0\);_(* \-??_);_(@_)</c:formatCode>
                <c:ptCount val="3"/>
                <c:pt idx="0" formatCode="#,##0">
                  <c:v>62848.79</c:v>
                </c:pt>
                <c:pt idx="1">
                  <c:v>70207.69</c:v>
                </c:pt>
                <c:pt idx="2">
                  <c:v>57194.606680421704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0F-440C-B979-994BBD8CA065}"/>
            </c:ext>
          </c:extLst>
        </c:ser>
        <c:ser>
          <c:idx val="1"/>
          <c:order val="1"/>
          <c:tx>
            <c:v>LNTT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6948196056052247E-2"/>
                  <c:y val="-9.852423114250198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90F-440C-B979-994BBD8CA065}"/>
                </c:ext>
              </c:extLst>
            </c:dLbl>
            <c:dLbl>
              <c:idx val="1"/>
              <c:layout>
                <c:manualLayout>
                  <c:x val="2.853338405934944E-2"/>
                  <c:y val="-8.444934097928756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90F-440C-B979-994BBD8CA065}"/>
                </c:ext>
              </c:extLst>
            </c:dLbl>
            <c:dLbl>
              <c:idx val="2"/>
              <c:layout>
                <c:manualLayout>
                  <c:x val="3.6459324075835339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90F-440C-B979-994BBD8CA065}"/>
                </c:ext>
              </c:extLst>
            </c:dLbl>
            <c:dLbl>
              <c:idx val="3"/>
              <c:layout>
                <c:manualLayout>
                  <c:x val="3.6459324075835395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90F-440C-B979-994BBD8CA065}"/>
                </c:ext>
              </c:extLst>
            </c:dLbl>
            <c:dLbl>
              <c:idx val="4"/>
              <c:layout>
                <c:manualLayout>
                  <c:x val="4.1214888085726965E-2"/>
                  <c:y val="-4.222467048964326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90F-440C-B979-994BBD8CA065}"/>
                </c:ext>
              </c:extLst>
            </c:dLbl>
            <c:dLbl>
              <c:idx val="5"/>
              <c:layout>
                <c:manualLayout>
                  <c:x val="3.1703760065943706E-2"/>
                  <c:y val="-8.444934097928652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90F-440C-B979-994BBD8CA0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PL!$L$4:$Q$4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</c:strCache>
            </c:strRef>
          </c:cat>
          <c:val>
            <c:numRef>
              <c:f>PL!$L$47:$Q$47</c:f>
              <c:numCache>
                <c:formatCode>#,##0</c:formatCode>
                <c:ptCount val="3"/>
                <c:pt idx="0">
                  <c:v>11069.660000000005</c:v>
                </c:pt>
                <c:pt idx="1">
                  <c:v>13133.720000000005</c:v>
                </c:pt>
                <c:pt idx="2" formatCode="_(* #,##0_);[Red]_(* \(#,##0\);_(* \-??_);_(@_)">
                  <c:v>13271.82233705516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90F-440C-B979-994BBD8CA06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axId val="260826608"/>
        <c:axId val="260817488"/>
      </c:barChart>
      <c:lineChart>
        <c:grouping val="standard"/>
        <c:varyColors val="0"/>
        <c:ser>
          <c:idx val="3"/>
          <c:order val="3"/>
          <c:tx>
            <c:v>Tăng trưởng LNTT (svck%)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5.8620252361930185E-2"/>
                  <c:y val="-1.46131715925273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90F-440C-B979-994BBD8CA065}"/>
                </c:ext>
              </c:extLst>
            </c:dLbl>
            <c:dLbl>
              <c:idx val="3"/>
              <c:layout>
                <c:manualLayout>
                  <c:x val="-5.544987635533586E-2"/>
                  <c:y val="-3.85404848699917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90F-440C-B979-994BBD8CA065}"/>
                </c:ext>
              </c:extLst>
            </c:dLbl>
            <c:dLbl>
              <c:idx val="4"/>
              <c:layout>
                <c:manualLayout>
                  <c:x val="-1.5820176272905967E-2"/>
                  <c:y val="2.47965208644731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90F-440C-B979-994BBD8CA065}"/>
                </c:ext>
              </c:extLst>
            </c:dLbl>
            <c:dLbl>
              <c:idx val="5"/>
              <c:layout>
                <c:manualLayout>
                  <c:x val="-9.479424259717319E-3"/>
                  <c:y val="3.18339659460802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90F-440C-B979-994BBD8CA0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PL!$L$4:$Q$4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</c:strCache>
            </c:strRef>
          </c:cat>
          <c:val>
            <c:numRef>
              <c:f>PL!$L$48:$Q$48</c:f>
              <c:numCache>
                <c:formatCode>0.0%</c:formatCode>
                <c:ptCount val="3"/>
                <c:pt idx="0">
                  <c:v>0.20283088823770945</c:v>
                </c:pt>
                <c:pt idx="1">
                  <c:v>0.1864610114493126</c:v>
                </c:pt>
                <c:pt idx="2">
                  <c:v>1.0515096793228151E-2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90F-440C-B979-994BBD8CA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0787248"/>
        <c:axId val="260779568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v>Tăng trưởng DT (%)</c:v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2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Noto Sans" panose="020B0502040504020204" pitchFamily="34" charset="0"/>
                          <a:ea typeface="Noto Sans" panose="020B0502040504020204" pitchFamily="34" charset="0"/>
                          <a:cs typeface="Noto Sans" panose="020B0502040504020204" pitchFamily="34" charset="0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PL!$L$4:$Q$4</c15:sqref>
                        </c15:formulaRef>
                      </c:ext>
                    </c:extLst>
                    <c:strCache>
                      <c:ptCount val="3"/>
                      <c:pt idx="0">
                        <c:v>2024</c:v>
                      </c:pt>
                      <c:pt idx="1">
                        <c:v>2025</c:v>
                      </c:pt>
                      <c:pt idx="2">
                        <c:v>2026F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PL!$L$10:$P$10</c15:sqref>
                        </c15:formulaRef>
                      </c:ext>
                    </c:extLst>
                    <c:numCache>
                      <c:formatCode>0.0%</c:formatCode>
                      <c:ptCount val="2"/>
                      <c:pt idx="0">
                        <c:v>0.19443742550995746</c:v>
                      </c:pt>
                      <c:pt idx="1">
                        <c:v>0.11708896861817064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C-390F-440C-B979-994BBD8CA065}"/>
                  </c:ext>
                </c:extLst>
              </c15:ser>
            </c15:filteredLineSeries>
          </c:ext>
        </c:extLst>
      </c:lineChart>
      <c:catAx>
        <c:axId val="26082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260817488"/>
        <c:crosses val="autoZero"/>
        <c:auto val="1"/>
        <c:lblAlgn val="ctr"/>
        <c:lblOffset val="100"/>
        <c:noMultiLvlLbl val="0"/>
      </c:catAx>
      <c:valAx>
        <c:axId val="26081748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260826608"/>
        <c:crosses val="autoZero"/>
        <c:crossBetween val="between"/>
      </c:valAx>
      <c:valAx>
        <c:axId val="260779568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260787248"/>
        <c:crosses val="max"/>
        <c:crossBetween val="between"/>
      </c:valAx>
      <c:catAx>
        <c:axId val="260787248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r>
                  <a:rPr lang="en-US" dirty="0"/>
                  <a:t>(</a:t>
                </a:r>
                <a:r>
                  <a:rPr lang="en-US" dirty="0" err="1"/>
                  <a:t>tỷ</a:t>
                </a:r>
                <a:r>
                  <a:rPr lang="en-US" dirty="0"/>
                  <a:t>)</a:t>
                </a:r>
              </a:p>
            </c:rich>
          </c:tx>
          <c:layout>
            <c:manualLayout>
              <c:xMode val="edge"/>
              <c:yMode val="edge"/>
              <c:x val="0.64097812915371799"/>
              <c:y val="0.498769135646976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" panose="020B0502040504020204" pitchFamily="34" charset="0"/>
                  <a:ea typeface="Noto Sans" panose="020B0502040504020204" pitchFamily="34" charset="0"/>
                  <a:cs typeface="Noto Sans" panose="020B0502040504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607795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3803140576464639E-2"/>
          <c:y val="0.92378569890913376"/>
          <c:w val="0.89239371884707075"/>
          <c:h val="6.00804406333989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r>
              <a:rPr lang="en-US" sz="700"/>
              <a:t>(VNDbn)</a:t>
            </a:r>
          </a:p>
        </c:rich>
      </c:tx>
      <c:layout>
        <c:manualLayout>
          <c:xMode val="edge"/>
          <c:yMode val="edge"/>
          <c:x val="3.6330666279171652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73112098011969"/>
          <c:y val="0.10253123998718359"/>
          <c:w val="0.76145001770972398"/>
          <c:h val="0.55536207605577659"/>
        </c:manualLayout>
      </c:layout>
      <c:barChart>
        <c:barDir val="col"/>
        <c:grouping val="clustered"/>
        <c:varyColors val="0"/>
        <c:ser>
          <c:idx val="1"/>
          <c:order val="0"/>
          <c:tx>
            <c:v>Revenue (VNDbn)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PL!$L$4:$P$4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PL!$L$9:$P$9</c:f>
              <c:numCache>
                <c:formatCode>_(* #,##0_);[Red]_(* \(#,##0\);_(* \-??_);_(@_)</c:formatCode>
                <c:ptCount val="2"/>
                <c:pt idx="0" formatCode="#,##0">
                  <c:v>62848.79</c:v>
                </c:pt>
                <c:pt idx="1">
                  <c:v>70207.69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84-4D82-BE0B-871B783465E5}"/>
            </c:ext>
          </c:extLst>
        </c:ser>
        <c:ser>
          <c:idx val="0"/>
          <c:order val="1"/>
          <c:tx>
            <c:v>NP (VNDbn)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PL!$L$4:$P$4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PL!$L$53:$P$53</c:f>
              <c:numCache>
                <c:formatCode>#,##0</c:formatCode>
                <c:ptCount val="2"/>
                <c:pt idx="0">
                  <c:v>9427.4200000000055</c:v>
                </c:pt>
                <c:pt idx="1">
                  <c:v>11320.370000000004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84-4D82-BE0B-871B783465E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18262415"/>
        <c:axId val="118262895"/>
      </c:barChart>
      <c:lineChart>
        <c:grouping val="stacked"/>
        <c:varyColors val="0"/>
        <c:ser>
          <c:idx val="2"/>
          <c:order val="2"/>
          <c:tx>
            <c:v>Revenue growth YoY (%)</c:v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3"/>
              </a:solidFill>
              <a:ln w="12700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PL!$L$4:$P$4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PL!$L$10:$P$10</c:f>
              <c:numCache>
                <c:formatCode>0.0%</c:formatCode>
                <c:ptCount val="2"/>
                <c:pt idx="0">
                  <c:v>0.19443742550995746</c:v>
                </c:pt>
                <c:pt idx="1">
                  <c:v>0.11708896861817064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84-4D82-BE0B-871B783465E5}"/>
            </c:ext>
          </c:extLst>
        </c:ser>
        <c:ser>
          <c:idx val="3"/>
          <c:order val="3"/>
          <c:tx>
            <c:v>NP growth YoY (%)</c:v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4"/>
              </a:solidFill>
              <a:ln w="12700">
                <a:solidFill>
                  <a:schemeClr val="accent4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7777777777777776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A84-4D82-BE0B-871B783465E5}"/>
                </c:ext>
              </c:extLst>
            </c:dLbl>
            <c:dLbl>
              <c:idx val="1"/>
              <c:layout>
                <c:manualLayout>
                  <c:x val="-2.500000000000005E-2"/>
                  <c:y val="-3.70370370370370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A84-4D82-BE0B-871B783465E5}"/>
                </c:ext>
              </c:extLst>
            </c:dLbl>
            <c:dLbl>
              <c:idx val="2"/>
              <c:layout>
                <c:manualLayout>
                  <c:x val="-5.5555555555555558E-3"/>
                  <c:y val="-6.48148148148148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A84-4D82-BE0B-871B783465E5}"/>
                </c:ext>
              </c:extLst>
            </c:dLbl>
            <c:dLbl>
              <c:idx val="3"/>
              <c:layout>
                <c:manualLayout>
                  <c:x val="-5.3344110532896191E-3"/>
                  <c:y val="-3.88155421616834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A84-4D82-BE0B-871B783465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PL!$L$4:$P$4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PL!$L$57:$P$57</c:f>
              <c:numCache>
                <c:formatCode>0.0%</c:formatCode>
                <c:ptCount val="2"/>
                <c:pt idx="0">
                  <c:v>0.15000161498733716</c:v>
                </c:pt>
                <c:pt idx="1">
                  <c:v>0.16124116888050302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A84-4D82-BE0B-871B783465E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13008271"/>
        <c:axId val="1013005871"/>
      </c:lineChart>
      <c:catAx>
        <c:axId val="11826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18262895"/>
        <c:crosses val="autoZero"/>
        <c:auto val="1"/>
        <c:lblAlgn val="ctr"/>
        <c:lblOffset val="100"/>
        <c:noMultiLvlLbl val="0"/>
      </c:catAx>
      <c:valAx>
        <c:axId val="118262895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18262415"/>
        <c:crosses val="autoZero"/>
        <c:crossBetween val="between"/>
      </c:valAx>
      <c:valAx>
        <c:axId val="1013005871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013008271"/>
        <c:crosses val="max"/>
        <c:crossBetween val="between"/>
      </c:valAx>
      <c:catAx>
        <c:axId val="10130082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130058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5726598189067195E-2"/>
          <c:y val="0.82708764683103142"/>
          <c:w val="0.86163407774720202"/>
          <c:h val="0.172912353168968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62561256378241E-2"/>
          <c:y val="3.1702998203068926E-2"/>
          <c:w val="0.89666750867873868"/>
          <c:h val="0.65916461041172247"/>
        </c:manualLayout>
      </c:layout>
      <c:lineChart>
        <c:grouping val="standard"/>
        <c:varyColors val="0"/>
        <c:ser>
          <c:idx val="0"/>
          <c:order val="0"/>
          <c:tx>
            <c:strRef>
              <c:f>PL!$B$19</c:f>
              <c:strCache>
                <c:ptCount val="1"/>
                <c:pt idx="0">
                  <c:v>Selling expenses/Net sales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PL!$BZ$2:$CL$2</c:f>
              <c:strCache>
                <c:ptCount val="1"/>
                <c:pt idx="0">
                  <c:v>4Q25</c:v>
                </c:pt>
              </c:strCache>
            </c:strRef>
          </c:cat>
          <c:val>
            <c:numRef>
              <c:f>PL!$BZ$19:$CL$19</c:f>
              <c:numCache>
                <c:formatCode>0.0%</c:formatCode>
                <c:ptCount val="1"/>
                <c:pt idx="0">
                  <c:v>0.10022006889223596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43-43D7-8188-61EC83618461}"/>
            </c:ext>
          </c:extLst>
        </c:ser>
        <c:ser>
          <c:idx val="1"/>
          <c:order val="1"/>
          <c:tx>
            <c:strRef>
              <c:f>PL!$B$22</c:f>
              <c:strCache>
                <c:ptCount val="1"/>
                <c:pt idx="0">
                  <c:v>Administration /Net sales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PL!$BZ$2:$CL$2</c:f>
              <c:strCache>
                <c:ptCount val="1"/>
                <c:pt idx="0">
                  <c:v>4Q25</c:v>
                </c:pt>
              </c:strCache>
            </c:strRef>
          </c:cat>
          <c:val>
            <c:numRef>
              <c:f>PL!$BZ$22:$CL$22</c:f>
              <c:numCache>
                <c:formatCode>0.0%</c:formatCode>
                <c:ptCount val="1"/>
                <c:pt idx="0">
                  <c:v>9.388835880572384E-2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43-43D7-8188-61EC83618461}"/>
            </c:ext>
          </c:extLst>
        </c:ser>
        <c:ser>
          <c:idx val="2"/>
          <c:order val="2"/>
          <c:tx>
            <c:strRef>
              <c:f>PL!$B$26</c:f>
              <c:strCache>
                <c:ptCount val="1"/>
                <c:pt idx="0">
                  <c:v>EBIT margin 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PL!$BZ$2:$CL$2</c:f>
              <c:strCache>
                <c:ptCount val="1"/>
                <c:pt idx="0">
                  <c:v>4Q25</c:v>
                </c:pt>
              </c:strCache>
            </c:strRef>
          </c:cat>
          <c:val>
            <c:numRef>
              <c:f>PL!$BZ$26:$CL$26</c:f>
              <c:numCache>
                <c:formatCode>0.0%</c:formatCode>
                <c:ptCount val="1"/>
                <c:pt idx="0">
                  <c:v>0.15432758353966988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43-43D7-8188-61EC83618461}"/>
            </c:ext>
          </c:extLst>
        </c:ser>
        <c:ser>
          <c:idx val="3"/>
          <c:order val="3"/>
          <c:tx>
            <c:v>PBT margin (%)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PL!$BZ$2:$CL$2</c:f>
              <c:strCache>
                <c:ptCount val="1"/>
                <c:pt idx="0">
                  <c:v>4Q25</c:v>
                </c:pt>
              </c:strCache>
            </c:strRef>
          </c:cat>
          <c:val>
            <c:numRef>
              <c:f>PL!$BZ$49:$CL$49</c:f>
              <c:numCache>
                <c:formatCode>0.0%</c:formatCode>
                <c:ptCount val="1"/>
                <c:pt idx="0">
                  <c:v>0.17320594394441893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B43-43D7-8188-61EC83618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463840"/>
        <c:axId val="179444160"/>
      </c:lineChart>
      <c:catAx>
        <c:axId val="17946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US"/>
          </a:p>
        </c:txPr>
        <c:crossAx val="179444160"/>
        <c:crosses val="autoZero"/>
        <c:auto val="1"/>
        <c:lblAlgn val="ctr"/>
        <c:lblOffset val="100"/>
        <c:noMultiLvlLbl val="0"/>
      </c:catAx>
      <c:valAx>
        <c:axId val="179444160"/>
        <c:scaling>
          <c:orientation val="minMax"/>
          <c:max val="0.2"/>
          <c:min val="5.000000000000001E-2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US"/>
          </a:p>
        </c:txPr>
        <c:crossAx val="17946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824817518248175E-2"/>
          <c:y val="0.82917943640278502"/>
          <c:w val="0.45513099431177567"/>
          <c:h val="0.17082077329475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Noto Sans" panose="020B0502040504020204" pitchFamily="34" charset="0"/>
          <a:ea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62561256378241E-2"/>
          <c:y val="3.1702998203068926E-2"/>
          <c:w val="0.91836368775716615"/>
          <c:h val="0.65916461041172247"/>
        </c:manualLayout>
      </c:layout>
      <c:lineChart>
        <c:grouping val="standard"/>
        <c:varyColors val="0"/>
        <c:ser>
          <c:idx val="0"/>
          <c:order val="0"/>
          <c:tx>
            <c:strRef>
              <c:f>PL!$B$19</c:f>
              <c:strCache>
                <c:ptCount val="1"/>
                <c:pt idx="0">
                  <c:v>Selling expenses/Net sales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layout>
                <c:manualLayout>
                  <c:x val="-6.2722716785921437E-2"/>
                  <c:y val="-4.6511627906976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7D0-4B6D-99FE-AB009CF31E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PL!$L$4:$P$4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PL!$L$19:$P$19</c:f>
              <c:numCache>
                <c:formatCode>0.0%</c:formatCode>
                <c:ptCount val="2"/>
                <c:pt idx="0">
                  <c:v>9.7312295113398367E-2</c:v>
                </c:pt>
                <c:pt idx="1">
                  <c:v>0.10797734550161101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D0-4B6D-99FE-AB009CF31E60}"/>
            </c:ext>
          </c:extLst>
        </c:ser>
        <c:ser>
          <c:idx val="1"/>
          <c:order val="1"/>
          <c:tx>
            <c:strRef>
              <c:f>PL!$B$22</c:f>
              <c:strCache>
                <c:ptCount val="1"/>
                <c:pt idx="0">
                  <c:v>Administration /Net sales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layout>
                <c:manualLayout>
                  <c:x val="-2.7165879259658915E-3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7D0-4B6D-99FE-AB009CF31E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PL!$L$4:$P$4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PL!$L$22:$P$22</c:f>
              <c:numCache>
                <c:formatCode>0.0%</c:formatCode>
                <c:ptCount val="2"/>
                <c:pt idx="0">
                  <c:v>0.11255650267889007</c:v>
                </c:pt>
                <c:pt idx="1">
                  <c:v>0.10441576983945776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D0-4B6D-99FE-AB009CF31E60}"/>
            </c:ext>
          </c:extLst>
        </c:ser>
        <c:ser>
          <c:idx val="2"/>
          <c:order val="2"/>
          <c:tx>
            <c:strRef>
              <c:f>PL!$B$26</c:f>
              <c:strCache>
                <c:ptCount val="1"/>
                <c:pt idx="0">
                  <c:v>EBIT margin 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PL!$L$4:$P$4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PL!$L$26:$P$26</c:f>
              <c:numCache>
                <c:formatCode>0.0%</c:formatCode>
                <c:ptCount val="2"/>
                <c:pt idx="0">
                  <c:v>0.16720035501081251</c:v>
                </c:pt>
                <c:pt idx="1">
                  <c:v>0.15779809875527884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D0-4B6D-99FE-AB009CF31E60}"/>
            </c:ext>
          </c:extLst>
        </c:ser>
        <c:ser>
          <c:idx val="3"/>
          <c:order val="3"/>
          <c:tx>
            <c:v>Net margin (%)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PL!$L$4:$P$4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PL!$L$57:$P$57</c:f>
              <c:numCache>
                <c:formatCode>0.0%</c:formatCode>
                <c:ptCount val="2"/>
                <c:pt idx="0">
                  <c:v>0.15000161498733716</c:v>
                </c:pt>
                <c:pt idx="1">
                  <c:v>0.16124116888050302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7D0-4B6D-99FE-AB009CF31E6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9463840"/>
        <c:axId val="179444160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v>Financial income/PBT</c:v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4"/>
                    <c:layout>
                      <c:manualLayout>
                        <c:x val="-2.7633418576385529E-2"/>
                        <c:y val="7.1317829457364229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7-77D0-4B6D-99FE-AB009CF31E6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PL!$L$4:$P$4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2024</c:v>
                      </c:pt>
                      <c:pt idx="1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PL!$L$40:$P$40</c15:sqref>
                        </c15:formulaRef>
                      </c:ext>
                    </c:extLst>
                    <c:numCache>
                      <c:formatCode>0.00%</c:formatCode>
                      <c:ptCount val="2"/>
                      <c:pt idx="0">
                        <c:v>1.1219856797769759E-2</c:v>
                      </c:pt>
                      <c:pt idx="1">
                        <c:v>9.93709322263608E-2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77D0-4B6D-99FE-AB009CF31E6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Profit from JV &amp; subsidiaries/PBT</c:v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PL!$L$4:$P$4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2024</c:v>
                      </c:pt>
                      <c:pt idx="1">
                        <c:v>2025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PL!$L$46:$P$46</c15:sqref>
                        </c15:formulaRef>
                      </c:ext>
                    </c:extLst>
                    <c:numCache>
                      <c:formatCode>0.0%</c:formatCode>
                      <c:ptCount val="2"/>
                      <c:pt idx="0">
                        <c:v>3.5459987027605167E-2</c:v>
                      </c:pt>
                      <c:pt idx="1">
                        <c:v>5.010157061365704E-2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77D0-4B6D-99FE-AB009CF31E60}"/>
                  </c:ext>
                </c:extLst>
              </c15:ser>
            </c15:filteredLineSeries>
          </c:ext>
        </c:extLst>
      </c:lineChart>
      <c:catAx>
        <c:axId val="17946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44160"/>
        <c:crosses val="autoZero"/>
        <c:auto val="1"/>
        <c:lblAlgn val="ctr"/>
        <c:lblOffset val="100"/>
        <c:noMultiLvlLbl val="0"/>
      </c:catAx>
      <c:valAx>
        <c:axId val="17944416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6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62561256378241E-2"/>
          <c:y val="3.1702998203068926E-2"/>
          <c:w val="0.91836368775716615"/>
          <c:h val="0.65916461041172247"/>
        </c:manualLayout>
      </c:layout>
      <c:barChart>
        <c:barDir val="col"/>
        <c:grouping val="stacked"/>
        <c:varyColors val="0"/>
        <c:ser>
          <c:idx val="0"/>
          <c:order val="0"/>
          <c:tx>
            <c:v>EBIT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PL!$L$4:$P$4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PL!$L$24:$P$24</c:f>
              <c:numCache>
                <c:formatCode>#,##0</c:formatCode>
                <c:ptCount val="2"/>
                <c:pt idx="0">
                  <c:v>10508.340000000004</c:v>
                </c:pt>
                <c:pt idx="1">
                  <c:v>11078.640000000003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88F-4A92-9E17-02DA49F73BD4}"/>
            </c:ext>
          </c:extLst>
        </c:ser>
        <c:ser>
          <c:idx val="1"/>
          <c:order val="1"/>
          <c:tx>
            <c:strRef>
              <c:f>PL!$B$39</c:f>
              <c:strCache>
                <c:ptCount val="1"/>
                <c:pt idx="0">
                  <c:v>Profit/Loss from Financial activities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PL!$L$4:$P$4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PL!$L$39:$P$39</c:f>
              <c:numCache>
                <c:formatCode>_(* #,##0_);[Red]_(* \(#,##0\);_(* \-??_);_(@_)</c:formatCode>
                <c:ptCount val="2"/>
                <c:pt idx="0">
                  <c:v>124.20000000000005</c:v>
                </c:pt>
                <c:pt idx="1">
                  <c:v>1305.1099999999999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88F-4A92-9E17-02DA49F73BD4}"/>
            </c:ext>
          </c:extLst>
        </c:ser>
        <c:ser>
          <c:idx val="2"/>
          <c:order val="2"/>
          <c:tx>
            <c:strRef>
              <c:f>PL!$B$45</c:f>
              <c:strCache>
                <c:ptCount val="1"/>
                <c:pt idx="0">
                  <c:v>Profit from Joint venture partners/ Affiliates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PL!$L$4:$P$4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PL!$L$45:$P$45</c:f>
              <c:numCache>
                <c:formatCode>#,##0</c:formatCode>
                <c:ptCount val="2"/>
                <c:pt idx="0">
                  <c:v>392.53</c:v>
                </c:pt>
                <c:pt idx="1">
                  <c:v>658.02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88F-4A92-9E17-02DA49F73BD4}"/>
            </c:ext>
          </c:extLst>
        </c:ser>
        <c:ser>
          <c:idx val="3"/>
          <c:order val="3"/>
          <c:tx>
            <c:strRef>
              <c:f>PL!$B$44</c:f>
              <c:strCache>
                <c:ptCount val="1"/>
                <c:pt idx="0">
                  <c:v>Profit/Loss from Other activities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0"/>
                  <c:y val="-1.550387596899224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88F-4A92-9E17-02DA49F73B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PL!$L$4:$P$4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PL!$L$44:$P$44</c:f>
              <c:numCache>
                <c:formatCode>#,##0</c:formatCode>
                <c:ptCount val="2"/>
                <c:pt idx="0">
                  <c:v>44.589999999999975</c:v>
                </c:pt>
                <c:pt idx="1">
                  <c:v>91.949999999999989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88F-4A92-9E17-02DA49F73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9463840"/>
        <c:axId val="179444160"/>
      </c:barChart>
      <c:lineChart>
        <c:grouping val="standard"/>
        <c:varyColors val="0"/>
        <c:ser>
          <c:idx val="6"/>
          <c:order val="4"/>
          <c:tx>
            <c:v>EBIT growth (%)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PL!$L$4:$P$4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PL!$L$25:$P$25</c:f>
              <c:numCache>
                <c:formatCode>0.0%</c:formatCode>
                <c:ptCount val="2"/>
                <c:pt idx="0">
                  <c:v>0.24335099996440013</c:v>
                </c:pt>
                <c:pt idx="1">
                  <c:v>5.4271178892194127E-2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88F-4A92-9E17-02DA49F73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1634960"/>
        <c:axId val="1741640240"/>
      </c:lineChart>
      <c:catAx>
        <c:axId val="17946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44160"/>
        <c:crosses val="autoZero"/>
        <c:auto val="1"/>
        <c:lblAlgn val="ctr"/>
        <c:lblOffset val="100"/>
        <c:noMultiLvlLbl val="0"/>
      </c:catAx>
      <c:valAx>
        <c:axId val="179444160"/>
        <c:scaling>
          <c:orientation val="minMax"/>
          <c:max val="20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63840"/>
        <c:crosses val="autoZero"/>
        <c:crossBetween val="between"/>
      </c:valAx>
      <c:valAx>
        <c:axId val="1741640240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634960"/>
        <c:crosses val="max"/>
        <c:crossBetween val="between"/>
      </c:valAx>
      <c:catAx>
        <c:axId val="17416349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416402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398677390221632"/>
          <c:y val="0.76782762619788802"/>
          <c:w val="0.79202645219556744"/>
          <c:h val="0.213567722639321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433473590634022E-2"/>
          <c:y val="6.5077530472990114E-2"/>
          <c:w val="0.91836368775716615"/>
          <c:h val="0.65916461041172247"/>
        </c:manualLayout>
      </c:layout>
      <c:barChart>
        <c:barDir val="col"/>
        <c:grouping val="stacked"/>
        <c:varyColors val="0"/>
        <c:ser>
          <c:idx val="0"/>
          <c:order val="0"/>
          <c:tx>
            <c:v>LN hoạt động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PL!$L$4:$P$4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PL!$L$24:$P$24</c:f>
              <c:numCache>
                <c:formatCode>#,##0</c:formatCode>
                <c:ptCount val="2"/>
                <c:pt idx="0">
                  <c:v>10508.340000000004</c:v>
                </c:pt>
                <c:pt idx="1">
                  <c:v>11078.640000000003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BB-42B6-9113-455C91529E93}"/>
            </c:ext>
          </c:extLst>
        </c:ser>
        <c:ser>
          <c:idx val="1"/>
          <c:order val="1"/>
          <c:tx>
            <c:v>LN từ hoạt động tài chính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PL!$L$4:$P$4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PL!$L$39:$P$39</c:f>
              <c:numCache>
                <c:formatCode>_(* #,##0_);[Red]_(* \(#,##0\);_(* \-??_);_(@_)</c:formatCode>
                <c:ptCount val="2"/>
                <c:pt idx="0">
                  <c:v>124.20000000000005</c:v>
                </c:pt>
                <c:pt idx="1">
                  <c:v>1305.1099999999999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BB-42B6-9113-455C91529E93}"/>
            </c:ext>
          </c:extLst>
        </c:ser>
        <c:ser>
          <c:idx val="2"/>
          <c:order val="2"/>
          <c:tx>
            <c:v>LN từ các công ty liên kết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PL!$L$4:$P$4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PL!$L$45:$P$45</c:f>
              <c:numCache>
                <c:formatCode>#,##0</c:formatCode>
                <c:ptCount val="2"/>
                <c:pt idx="0">
                  <c:v>392.53</c:v>
                </c:pt>
                <c:pt idx="1">
                  <c:v>658.02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BB-42B6-9113-455C91529E93}"/>
            </c:ext>
          </c:extLst>
        </c:ser>
        <c:ser>
          <c:idx val="3"/>
          <c:order val="3"/>
          <c:tx>
            <c:v>LN khác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0"/>
                  <c:y val="-1.550387596899224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4BB-42B6-9113-455C91529E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PL!$L$4:$P$4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PL!$L$44:$P$44</c:f>
              <c:numCache>
                <c:formatCode>#,##0</c:formatCode>
                <c:ptCount val="2"/>
                <c:pt idx="0">
                  <c:v>44.589999999999975</c:v>
                </c:pt>
                <c:pt idx="1">
                  <c:v>91.949999999999989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BB-42B6-9113-455C91529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9463840"/>
        <c:axId val="179444160"/>
      </c:barChart>
      <c:lineChart>
        <c:grouping val="standard"/>
        <c:varyColors val="0"/>
        <c:ser>
          <c:idx val="6"/>
          <c:order val="4"/>
          <c:tx>
            <c:v>Tăng trưởng LNHĐ (%)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PL!$L$4:$P$4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PL!$L$25:$P$25</c:f>
              <c:numCache>
                <c:formatCode>0.0%</c:formatCode>
                <c:ptCount val="2"/>
                <c:pt idx="0">
                  <c:v>0.24335099996440013</c:v>
                </c:pt>
                <c:pt idx="1">
                  <c:v>5.4271178892194127E-2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4BB-42B6-9113-455C91529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1634960"/>
        <c:axId val="1741640240"/>
      </c:lineChart>
      <c:catAx>
        <c:axId val="17946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44160"/>
        <c:crosses val="autoZero"/>
        <c:auto val="1"/>
        <c:lblAlgn val="ctr"/>
        <c:lblOffset val="100"/>
        <c:noMultiLvlLbl val="0"/>
      </c:catAx>
      <c:valAx>
        <c:axId val="179444160"/>
        <c:scaling>
          <c:orientation val="minMax"/>
          <c:max val="20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63840"/>
        <c:crosses val="autoZero"/>
        <c:crossBetween val="between"/>
      </c:valAx>
      <c:valAx>
        <c:axId val="1741640240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634960"/>
        <c:crosses val="max"/>
        <c:crossBetween val="between"/>
      </c:valAx>
      <c:catAx>
        <c:axId val="17416349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416402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398677390221632"/>
          <c:y val="0.76782762619788802"/>
          <c:w val="0.79202645219556744"/>
          <c:h val="0.213567722639321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62561256378241E-2"/>
          <c:y val="3.1702998203068926E-2"/>
          <c:w val="0.91836368775716615"/>
          <c:h val="0.65916461041172247"/>
        </c:manualLayout>
      </c:layout>
      <c:lineChart>
        <c:grouping val="standard"/>
        <c:varyColors val="0"/>
        <c:ser>
          <c:idx val="0"/>
          <c:order val="0"/>
          <c:tx>
            <c:v>Chi phí bán hàng/doanh thu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layout>
                <c:manualLayout>
                  <c:x val="-6.2722716785921437E-2"/>
                  <c:y val="-4.6511627906976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C37-4F67-8DEF-350427A5AE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PL!$L$4:$P$4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PL!$L$19:$P$19</c:f>
              <c:numCache>
                <c:formatCode>0.0%</c:formatCode>
                <c:ptCount val="2"/>
                <c:pt idx="0">
                  <c:v>9.7312295113398367E-2</c:v>
                </c:pt>
                <c:pt idx="1">
                  <c:v>0.10797734550161101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37-4F67-8DEF-350427A5AE13}"/>
            </c:ext>
          </c:extLst>
        </c:ser>
        <c:ser>
          <c:idx val="1"/>
          <c:order val="1"/>
          <c:tx>
            <c:v>Chi phí quản trị/doanh thu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layout>
                <c:manualLayout>
                  <c:x val="-2.7165879259658915E-3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C37-4F67-8DEF-350427A5AE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PL!$L$4:$P$4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PL!$L$22:$P$22</c:f>
              <c:numCache>
                <c:formatCode>0.0%</c:formatCode>
                <c:ptCount val="2"/>
                <c:pt idx="0">
                  <c:v>0.11255650267889007</c:v>
                </c:pt>
                <c:pt idx="1">
                  <c:v>0.10441576983945776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C37-4F67-8DEF-350427A5AE13}"/>
            </c:ext>
          </c:extLst>
        </c:ser>
        <c:ser>
          <c:idx val="2"/>
          <c:order val="2"/>
          <c:tx>
            <c:v>Biên LNHĐ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PL!$L$4:$P$4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PL!$L$26:$P$26</c:f>
              <c:numCache>
                <c:formatCode>0.0%</c:formatCode>
                <c:ptCount val="2"/>
                <c:pt idx="0">
                  <c:v>0.16720035501081251</c:v>
                </c:pt>
                <c:pt idx="1">
                  <c:v>0.15779809875527884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C37-4F67-8DEF-350427A5AE13}"/>
            </c:ext>
          </c:extLst>
        </c:ser>
        <c:ser>
          <c:idx val="3"/>
          <c:order val="3"/>
          <c:tx>
            <c:v>Biên LN ròng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PL!$L$4:$P$4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PL!$L$57:$P$57</c:f>
              <c:numCache>
                <c:formatCode>0.0%</c:formatCode>
                <c:ptCount val="2"/>
                <c:pt idx="0">
                  <c:v>0.15000161498733716</c:v>
                </c:pt>
                <c:pt idx="1">
                  <c:v>0.16124116888050302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C37-4F67-8DEF-350427A5AE1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9463840"/>
        <c:axId val="179444160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v>Financial income/PBT</c:v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4"/>
                    <c:layout>
                      <c:manualLayout>
                        <c:x val="-2.7633418576385529E-2"/>
                        <c:y val="7.1317829457364229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6-4C37-4F67-8DEF-350427A5AE13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PL!$L$4:$P$4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2024</c:v>
                      </c:pt>
                      <c:pt idx="1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PL!$L$40:$P$40</c15:sqref>
                        </c15:formulaRef>
                      </c:ext>
                    </c:extLst>
                    <c:numCache>
                      <c:formatCode>0.00%</c:formatCode>
                      <c:ptCount val="2"/>
                      <c:pt idx="0">
                        <c:v>1.1219856797769759E-2</c:v>
                      </c:pt>
                      <c:pt idx="1">
                        <c:v>9.93709322263608E-2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4C37-4F67-8DEF-350427A5AE1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Profit from JV &amp; subsidiaries/PBT</c:v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PL!$L$4:$P$4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2024</c:v>
                      </c:pt>
                      <c:pt idx="1">
                        <c:v>2025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PL!$L$46:$P$46</c15:sqref>
                        </c15:formulaRef>
                      </c:ext>
                    </c:extLst>
                    <c:numCache>
                      <c:formatCode>0.0%</c:formatCode>
                      <c:ptCount val="2"/>
                      <c:pt idx="0">
                        <c:v>3.5459987027605167E-2</c:v>
                      </c:pt>
                      <c:pt idx="1">
                        <c:v>5.010157061365704E-2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4C37-4F67-8DEF-350427A5AE13}"/>
                  </c:ext>
                </c:extLst>
              </c15:ser>
            </c15:filteredLineSeries>
          </c:ext>
        </c:extLst>
      </c:lineChart>
      <c:catAx>
        <c:axId val="17946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44160"/>
        <c:crosses val="autoZero"/>
        <c:auto val="1"/>
        <c:lblAlgn val="ctr"/>
        <c:lblOffset val="100"/>
        <c:noMultiLvlLbl val="0"/>
      </c:catAx>
      <c:valAx>
        <c:axId val="17944416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6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072954767523469"/>
          <c:y val="0.13632074872962213"/>
          <c:w val="0.8494601605829416"/>
          <c:h val="0.67696219638747446"/>
        </c:manualLayout>
      </c:layout>
      <c:lineChart>
        <c:grouping val="standard"/>
        <c:varyColors val="0"/>
        <c:ser>
          <c:idx val="0"/>
          <c:order val="0"/>
          <c:tx>
            <c:strRef>
              <c:f>'FX Data'!$B$8</c:f>
              <c:strCache>
                <c:ptCount val="1"/>
                <c:pt idx="0">
                  <c:v>USDVND</c:v>
                </c:pt>
              </c:strCache>
            </c:strRef>
          </c:tx>
          <c:spPr>
            <a:ln w="19050" cap="rnd">
              <a:solidFill>
                <a:srgbClr val="1F497D"/>
              </a:solidFill>
              <a:round/>
            </a:ln>
            <a:effectLst/>
          </c:spPr>
          <c:marker>
            <c:symbol val="none"/>
          </c:marker>
          <c:cat>
            <c:numRef>
              <c:f>'FX Data'!$A$10:$A$663</c:f>
              <c:numCache>
                <c:formatCode>mm/dd/yyyy</c:formatCode>
                <c:ptCount val="654"/>
                <c:pt idx="0">
                  <c:v>44410.291666666701</c:v>
                </c:pt>
                <c:pt idx="1">
                  <c:v>44411.291666666701</c:v>
                </c:pt>
                <c:pt idx="2">
                  <c:v>44412.291666666701</c:v>
                </c:pt>
                <c:pt idx="3">
                  <c:v>44413.291666666701</c:v>
                </c:pt>
                <c:pt idx="4">
                  <c:v>44414.291666666701</c:v>
                </c:pt>
                <c:pt idx="5">
                  <c:v>44417.291666666701</c:v>
                </c:pt>
                <c:pt idx="6">
                  <c:v>44418.291666666701</c:v>
                </c:pt>
                <c:pt idx="7">
                  <c:v>44419.291666666701</c:v>
                </c:pt>
                <c:pt idx="8">
                  <c:v>44420.291666666701</c:v>
                </c:pt>
                <c:pt idx="9">
                  <c:v>44421.291666666701</c:v>
                </c:pt>
                <c:pt idx="10">
                  <c:v>44424.291666666701</c:v>
                </c:pt>
                <c:pt idx="11">
                  <c:v>44425.291666666701</c:v>
                </c:pt>
                <c:pt idx="12">
                  <c:v>44426.291666666701</c:v>
                </c:pt>
                <c:pt idx="13">
                  <c:v>44427.291666666701</c:v>
                </c:pt>
                <c:pt idx="14">
                  <c:v>44428.291666666701</c:v>
                </c:pt>
                <c:pt idx="15">
                  <c:v>44431.291666666701</c:v>
                </c:pt>
                <c:pt idx="16">
                  <c:v>44432.291666666701</c:v>
                </c:pt>
                <c:pt idx="17">
                  <c:v>44433.291666666701</c:v>
                </c:pt>
                <c:pt idx="18">
                  <c:v>44434.291666666701</c:v>
                </c:pt>
                <c:pt idx="19">
                  <c:v>44435.291666666701</c:v>
                </c:pt>
                <c:pt idx="20">
                  <c:v>44438.291666666701</c:v>
                </c:pt>
                <c:pt idx="21">
                  <c:v>44439.291666666701</c:v>
                </c:pt>
                <c:pt idx="22">
                  <c:v>44440.291666666701</c:v>
                </c:pt>
                <c:pt idx="23">
                  <c:v>44441.291666666701</c:v>
                </c:pt>
                <c:pt idx="24">
                  <c:v>44442.291666666701</c:v>
                </c:pt>
                <c:pt idx="25">
                  <c:v>44445.291666666701</c:v>
                </c:pt>
                <c:pt idx="26">
                  <c:v>44446.291666666701</c:v>
                </c:pt>
                <c:pt idx="27">
                  <c:v>44447.291666666701</c:v>
                </c:pt>
                <c:pt idx="28">
                  <c:v>44448.291666666701</c:v>
                </c:pt>
                <c:pt idx="29">
                  <c:v>44449.291666666701</c:v>
                </c:pt>
                <c:pt idx="30">
                  <c:v>44452.291666666701</c:v>
                </c:pt>
                <c:pt idx="31">
                  <c:v>44453.291666666701</c:v>
                </c:pt>
                <c:pt idx="32">
                  <c:v>44454.291666666701</c:v>
                </c:pt>
                <c:pt idx="33">
                  <c:v>44455.291666666701</c:v>
                </c:pt>
                <c:pt idx="34">
                  <c:v>44456.291666666701</c:v>
                </c:pt>
                <c:pt idx="35">
                  <c:v>44459.291666666701</c:v>
                </c:pt>
                <c:pt idx="36">
                  <c:v>44460.291666666701</c:v>
                </c:pt>
                <c:pt idx="37">
                  <c:v>44461.291666666701</c:v>
                </c:pt>
                <c:pt idx="38">
                  <c:v>44462.291666666701</c:v>
                </c:pt>
                <c:pt idx="39">
                  <c:v>44463.291666666701</c:v>
                </c:pt>
                <c:pt idx="40">
                  <c:v>44466.291666666701</c:v>
                </c:pt>
                <c:pt idx="41">
                  <c:v>44467.291666666701</c:v>
                </c:pt>
                <c:pt idx="42">
                  <c:v>44468.291666666701</c:v>
                </c:pt>
                <c:pt idx="43">
                  <c:v>44469.291666666701</c:v>
                </c:pt>
                <c:pt idx="44">
                  <c:v>44470.291666666701</c:v>
                </c:pt>
                <c:pt idx="45">
                  <c:v>44473.291666666701</c:v>
                </c:pt>
                <c:pt idx="46">
                  <c:v>44474.291666666701</c:v>
                </c:pt>
                <c:pt idx="47">
                  <c:v>44475.291666666701</c:v>
                </c:pt>
                <c:pt idx="48">
                  <c:v>44476.291666666701</c:v>
                </c:pt>
                <c:pt idx="49">
                  <c:v>44477.291666666701</c:v>
                </c:pt>
                <c:pt idx="50">
                  <c:v>44480.291666666701</c:v>
                </c:pt>
                <c:pt idx="51">
                  <c:v>44481.291666666701</c:v>
                </c:pt>
                <c:pt idx="52">
                  <c:v>44482.291666666701</c:v>
                </c:pt>
                <c:pt idx="53">
                  <c:v>44483.291666666701</c:v>
                </c:pt>
                <c:pt idx="54">
                  <c:v>44484.291666666701</c:v>
                </c:pt>
                <c:pt idx="55">
                  <c:v>44487.291666666701</c:v>
                </c:pt>
                <c:pt idx="56">
                  <c:v>44488.291666666701</c:v>
                </c:pt>
                <c:pt idx="57">
                  <c:v>44489.291666666701</c:v>
                </c:pt>
                <c:pt idx="58">
                  <c:v>44490.291666666701</c:v>
                </c:pt>
                <c:pt idx="59">
                  <c:v>44491.291666666701</c:v>
                </c:pt>
                <c:pt idx="60">
                  <c:v>44494.291666666701</c:v>
                </c:pt>
                <c:pt idx="61">
                  <c:v>44495.291666666701</c:v>
                </c:pt>
                <c:pt idx="62">
                  <c:v>44496.291666666701</c:v>
                </c:pt>
                <c:pt idx="63">
                  <c:v>44497.291666666701</c:v>
                </c:pt>
                <c:pt idx="64">
                  <c:v>44498.291666666701</c:v>
                </c:pt>
                <c:pt idx="65">
                  <c:v>44501.291666666701</c:v>
                </c:pt>
                <c:pt idx="66">
                  <c:v>44502.291666666701</c:v>
                </c:pt>
                <c:pt idx="67">
                  <c:v>44503.291666666701</c:v>
                </c:pt>
                <c:pt idx="68">
                  <c:v>44504.291666666701</c:v>
                </c:pt>
                <c:pt idx="69">
                  <c:v>44505.291666666701</c:v>
                </c:pt>
                <c:pt idx="70">
                  <c:v>44508.291666666701</c:v>
                </c:pt>
                <c:pt idx="71">
                  <c:v>44509.291666666701</c:v>
                </c:pt>
                <c:pt idx="72">
                  <c:v>44510.291666666701</c:v>
                </c:pt>
                <c:pt idx="73">
                  <c:v>44511.291666666701</c:v>
                </c:pt>
                <c:pt idx="74">
                  <c:v>44512.291666666701</c:v>
                </c:pt>
                <c:pt idx="75">
                  <c:v>44515.291666666701</c:v>
                </c:pt>
                <c:pt idx="76">
                  <c:v>44516.291666666701</c:v>
                </c:pt>
                <c:pt idx="77">
                  <c:v>44517.291666666701</c:v>
                </c:pt>
                <c:pt idx="78">
                  <c:v>44518.291666666701</c:v>
                </c:pt>
                <c:pt idx="79">
                  <c:v>44519.291666666701</c:v>
                </c:pt>
                <c:pt idx="80">
                  <c:v>44522.291666666701</c:v>
                </c:pt>
                <c:pt idx="81">
                  <c:v>44523.291666666701</c:v>
                </c:pt>
                <c:pt idx="82">
                  <c:v>44524.291666666701</c:v>
                </c:pt>
                <c:pt idx="83">
                  <c:v>44525.291666666701</c:v>
                </c:pt>
                <c:pt idx="84">
                  <c:v>44526.291666666701</c:v>
                </c:pt>
                <c:pt idx="85">
                  <c:v>44529.291666666701</c:v>
                </c:pt>
                <c:pt idx="86">
                  <c:v>44530.291666666701</c:v>
                </c:pt>
                <c:pt idx="87">
                  <c:v>44531.291666666701</c:v>
                </c:pt>
                <c:pt idx="88">
                  <c:v>44532.291666666701</c:v>
                </c:pt>
                <c:pt idx="89">
                  <c:v>44533.291666666701</c:v>
                </c:pt>
                <c:pt idx="90">
                  <c:v>44536.291666666701</c:v>
                </c:pt>
                <c:pt idx="91">
                  <c:v>44537.291666666701</c:v>
                </c:pt>
                <c:pt idx="92">
                  <c:v>44538.291666666701</c:v>
                </c:pt>
                <c:pt idx="93">
                  <c:v>44539.291666666701</c:v>
                </c:pt>
                <c:pt idx="94">
                  <c:v>44540.291666666701</c:v>
                </c:pt>
                <c:pt idx="95">
                  <c:v>44543.291666666701</c:v>
                </c:pt>
                <c:pt idx="96">
                  <c:v>44544.291666666701</c:v>
                </c:pt>
                <c:pt idx="97">
                  <c:v>44545.291666666701</c:v>
                </c:pt>
                <c:pt idx="98">
                  <c:v>44546.291666666701</c:v>
                </c:pt>
                <c:pt idx="99">
                  <c:v>44547.291666666701</c:v>
                </c:pt>
                <c:pt idx="100">
                  <c:v>44550.291666666701</c:v>
                </c:pt>
                <c:pt idx="101">
                  <c:v>44551.291666666701</c:v>
                </c:pt>
                <c:pt idx="102">
                  <c:v>44552.291666666701</c:v>
                </c:pt>
                <c:pt idx="103">
                  <c:v>44553.291666666701</c:v>
                </c:pt>
                <c:pt idx="104">
                  <c:v>44554.291666666701</c:v>
                </c:pt>
                <c:pt idx="105">
                  <c:v>44557.291666666701</c:v>
                </c:pt>
                <c:pt idx="106">
                  <c:v>44558.291666666701</c:v>
                </c:pt>
                <c:pt idx="107">
                  <c:v>44559.291666666701</c:v>
                </c:pt>
                <c:pt idx="108">
                  <c:v>44560.291666666701</c:v>
                </c:pt>
                <c:pt idx="109">
                  <c:v>44561.291666666701</c:v>
                </c:pt>
                <c:pt idx="110">
                  <c:v>44564.291666666701</c:v>
                </c:pt>
                <c:pt idx="111">
                  <c:v>44565.291666666701</c:v>
                </c:pt>
                <c:pt idx="112">
                  <c:v>44566.291666666701</c:v>
                </c:pt>
                <c:pt idx="113">
                  <c:v>44567.291666666701</c:v>
                </c:pt>
                <c:pt idx="114">
                  <c:v>44568.291666666701</c:v>
                </c:pt>
                <c:pt idx="115">
                  <c:v>44571.291666666701</c:v>
                </c:pt>
                <c:pt idx="116">
                  <c:v>44572.291666666701</c:v>
                </c:pt>
                <c:pt idx="117">
                  <c:v>44573.291666666701</c:v>
                </c:pt>
                <c:pt idx="118">
                  <c:v>44574.291666666701</c:v>
                </c:pt>
                <c:pt idx="119">
                  <c:v>44575.291666666701</c:v>
                </c:pt>
                <c:pt idx="120">
                  <c:v>44578.291666666701</c:v>
                </c:pt>
                <c:pt idx="121">
                  <c:v>44579.291666666701</c:v>
                </c:pt>
                <c:pt idx="122">
                  <c:v>44580.291666666701</c:v>
                </c:pt>
                <c:pt idx="123">
                  <c:v>44581.291666666701</c:v>
                </c:pt>
                <c:pt idx="124">
                  <c:v>44582.291666666701</c:v>
                </c:pt>
                <c:pt idx="125">
                  <c:v>44585.291666666701</c:v>
                </c:pt>
                <c:pt idx="126">
                  <c:v>44586.291666666701</c:v>
                </c:pt>
                <c:pt idx="127">
                  <c:v>44587.291666666701</c:v>
                </c:pt>
                <c:pt idx="128">
                  <c:v>44588.291666666701</c:v>
                </c:pt>
                <c:pt idx="129">
                  <c:v>44589.291666666701</c:v>
                </c:pt>
                <c:pt idx="130">
                  <c:v>44592.291666666701</c:v>
                </c:pt>
                <c:pt idx="131">
                  <c:v>44593.291666666701</c:v>
                </c:pt>
                <c:pt idx="132">
                  <c:v>44594.291666666701</c:v>
                </c:pt>
                <c:pt idx="133">
                  <c:v>44595.291666666701</c:v>
                </c:pt>
                <c:pt idx="134">
                  <c:v>44596.291666666701</c:v>
                </c:pt>
                <c:pt idx="135">
                  <c:v>44599.291666666701</c:v>
                </c:pt>
                <c:pt idx="136">
                  <c:v>44600.291666666701</c:v>
                </c:pt>
                <c:pt idx="137">
                  <c:v>44601.291666666701</c:v>
                </c:pt>
                <c:pt idx="138">
                  <c:v>44602.291666666701</c:v>
                </c:pt>
                <c:pt idx="139">
                  <c:v>44603.291666666701</c:v>
                </c:pt>
                <c:pt idx="140">
                  <c:v>44606.291666666701</c:v>
                </c:pt>
                <c:pt idx="141">
                  <c:v>44607.291666666701</c:v>
                </c:pt>
                <c:pt idx="142">
                  <c:v>44608.291666666701</c:v>
                </c:pt>
                <c:pt idx="143">
                  <c:v>44609.291666666701</c:v>
                </c:pt>
                <c:pt idx="144">
                  <c:v>44610.291666666701</c:v>
                </c:pt>
                <c:pt idx="145">
                  <c:v>44613.291666666701</c:v>
                </c:pt>
                <c:pt idx="146">
                  <c:v>44614.291666666701</c:v>
                </c:pt>
                <c:pt idx="147">
                  <c:v>44615.291666666701</c:v>
                </c:pt>
                <c:pt idx="148">
                  <c:v>44616.291666666701</c:v>
                </c:pt>
                <c:pt idx="149">
                  <c:v>44617.291666666701</c:v>
                </c:pt>
                <c:pt idx="150">
                  <c:v>44620.291666666701</c:v>
                </c:pt>
                <c:pt idx="151">
                  <c:v>44621.291666666701</c:v>
                </c:pt>
                <c:pt idx="152">
                  <c:v>44622.291666666701</c:v>
                </c:pt>
                <c:pt idx="153">
                  <c:v>44623.291666666701</c:v>
                </c:pt>
                <c:pt idx="154">
                  <c:v>44624.291666666701</c:v>
                </c:pt>
                <c:pt idx="155">
                  <c:v>44627.291666666701</c:v>
                </c:pt>
                <c:pt idx="156">
                  <c:v>44628.291666666701</c:v>
                </c:pt>
                <c:pt idx="157">
                  <c:v>44629.291666666701</c:v>
                </c:pt>
                <c:pt idx="158">
                  <c:v>44630.291666666701</c:v>
                </c:pt>
                <c:pt idx="159">
                  <c:v>44631.291666666701</c:v>
                </c:pt>
                <c:pt idx="160">
                  <c:v>44634.291666666701</c:v>
                </c:pt>
                <c:pt idx="161">
                  <c:v>44635.291666666701</c:v>
                </c:pt>
                <c:pt idx="162">
                  <c:v>44636.291666666701</c:v>
                </c:pt>
                <c:pt idx="163">
                  <c:v>44637.291666666701</c:v>
                </c:pt>
                <c:pt idx="164">
                  <c:v>44638.291666666701</c:v>
                </c:pt>
                <c:pt idx="165">
                  <c:v>44641.291666666701</c:v>
                </c:pt>
                <c:pt idx="166">
                  <c:v>44642.291666666701</c:v>
                </c:pt>
                <c:pt idx="167">
                  <c:v>44643.291666666701</c:v>
                </c:pt>
                <c:pt idx="168">
                  <c:v>44644.291666666701</c:v>
                </c:pt>
                <c:pt idx="169">
                  <c:v>44645.291666666701</c:v>
                </c:pt>
                <c:pt idx="170">
                  <c:v>44648.291666666701</c:v>
                </c:pt>
                <c:pt idx="171">
                  <c:v>44649.291666666701</c:v>
                </c:pt>
                <c:pt idx="172">
                  <c:v>44650.291666666701</c:v>
                </c:pt>
                <c:pt idx="173">
                  <c:v>44651.291666666701</c:v>
                </c:pt>
                <c:pt idx="174">
                  <c:v>44652.291666666701</c:v>
                </c:pt>
                <c:pt idx="175">
                  <c:v>44655.291666666701</c:v>
                </c:pt>
                <c:pt idx="176">
                  <c:v>44656.291666666701</c:v>
                </c:pt>
                <c:pt idx="177">
                  <c:v>44657.291666666701</c:v>
                </c:pt>
                <c:pt idx="178">
                  <c:v>44658.291666666701</c:v>
                </c:pt>
                <c:pt idx="179">
                  <c:v>44659.291666666701</c:v>
                </c:pt>
                <c:pt idx="180">
                  <c:v>44663.291666666701</c:v>
                </c:pt>
                <c:pt idx="181">
                  <c:v>44664.291666666701</c:v>
                </c:pt>
                <c:pt idx="182">
                  <c:v>44665.291666666701</c:v>
                </c:pt>
                <c:pt idx="183">
                  <c:v>44666.291666666701</c:v>
                </c:pt>
                <c:pt idx="184">
                  <c:v>44669.291666666701</c:v>
                </c:pt>
                <c:pt idx="185">
                  <c:v>44670.291666666701</c:v>
                </c:pt>
                <c:pt idx="186">
                  <c:v>44671.291666666701</c:v>
                </c:pt>
                <c:pt idx="187">
                  <c:v>44672.291666666701</c:v>
                </c:pt>
                <c:pt idx="188">
                  <c:v>44673.291666666701</c:v>
                </c:pt>
                <c:pt idx="189">
                  <c:v>44676.291666666701</c:v>
                </c:pt>
                <c:pt idx="190">
                  <c:v>44677.291666666701</c:v>
                </c:pt>
                <c:pt idx="191">
                  <c:v>44678.291666666701</c:v>
                </c:pt>
                <c:pt idx="192">
                  <c:v>44679.291666666701</c:v>
                </c:pt>
                <c:pt idx="193">
                  <c:v>44680.291666666701</c:v>
                </c:pt>
                <c:pt idx="194">
                  <c:v>44685.291666666701</c:v>
                </c:pt>
                <c:pt idx="195">
                  <c:v>44686.291666666701</c:v>
                </c:pt>
                <c:pt idx="196">
                  <c:v>44687.291666666701</c:v>
                </c:pt>
                <c:pt idx="197">
                  <c:v>44690.291666666701</c:v>
                </c:pt>
                <c:pt idx="198">
                  <c:v>44691.291666666701</c:v>
                </c:pt>
                <c:pt idx="199">
                  <c:v>44692.291666666701</c:v>
                </c:pt>
                <c:pt idx="200">
                  <c:v>44693.291666666701</c:v>
                </c:pt>
                <c:pt idx="201">
                  <c:v>44694.291666666701</c:v>
                </c:pt>
                <c:pt idx="202">
                  <c:v>44697.291666666701</c:v>
                </c:pt>
                <c:pt idx="203">
                  <c:v>44698.291666666701</c:v>
                </c:pt>
                <c:pt idx="204">
                  <c:v>44699.291666666701</c:v>
                </c:pt>
                <c:pt idx="205">
                  <c:v>44700.291666666701</c:v>
                </c:pt>
                <c:pt idx="206">
                  <c:v>44701.291666666701</c:v>
                </c:pt>
                <c:pt idx="207">
                  <c:v>44704.291666666701</c:v>
                </c:pt>
                <c:pt idx="208">
                  <c:v>44705.291666666701</c:v>
                </c:pt>
                <c:pt idx="209">
                  <c:v>44706.291666666701</c:v>
                </c:pt>
                <c:pt idx="210">
                  <c:v>44707.291666666701</c:v>
                </c:pt>
                <c:pt idx="211">
                  <c:v>44708.291666666701</c:v>
                </c:pt>
                <c:pt idx="212">
                  <c:v>44711.291666666701</c:v>
                </c:pt>
                <c:pt idx="213">
                  <c:v>44712.291666666701</c:v>
                </c:pt>
                <c:pt idx="214">
                  <c:v>44713.291666666701</c:v>
                </c:pt>
                <c:pt idx="215">
                  <c:v>44714.291666666701</c:v>
                </c:pt>
                <c:pt idx="216">
                  <c:v>44715.291666666701</c:v>
                </c:pt>
                <c:pt idx="217">
                  <c:v>44718.291666666701</c:v>
                </c:pt>
                <c:pt idx="218">
                  <c:v>44719.291666666701</c:v>
                </c:pt>
                <c:pt idx="219">
                  <c:v>44720.291666666701</c:v>
                </c:pt>
                <c:pt idx="220">
                  <c:v>44721.291666666701</c:v>
                </c:pt>
                <c:pt idx="221">
                  <c:v>44722.291666666701</c:v>
                </c:pt>
                <c:pt idx="222">
                  <c:v>44725.291666666701</c:v>
                </c:pt>
                <c:pt idx="223">
                  <c:v>44726.291666666701</c:v>
                </c:pt>
                <c:pt idx="224">
                  <c:v>44727.291666666701</c:v>
                </c:pt>
                <c:pt idx="225">
                  <c:v>44728.291666666701</c:v>
                </c:pt>
                <c:pt idx="226">
                  <c:v>44729.291666666701</c:v>
                </c:pt>
                <c:pt idx="227">
                  <c:v>44732.291666666701</c:v>
                </c:pt>
                <c:pt idx="228">
                  <c:v>44733.291666666701</c:v>
                </c:pt>
                <c:pt idx="229">
                  <c:v>44734.291666666701</c:v>
                </c:pt>
                <c:pt idx="230">
                  <c:v>44735.291666666701</c:v>
                </c:pt>
                <c:pt idx="231">
                  <c:v>44736.291666666701</c:v>
                </c:pt>
                <c:pt idx="232">
                  <c:v>44739.291666666701</c:v>
                </c:pt>
                <c:pt idx="233">
                  <c:v>44740.291666666701</c:v>
                </c:pt>
                <c:pt idx="234">
                  <c:v>44741.291666666701</c:v>
                </c:pt>
                <c:pt idx="235">
                  <c:v>44742.291666666701</c:v>
                </c:pt>
                <c:pt idx="236">
                  <c:v>44743.291666666701</c:v>
                </c:pt>
                <c:pt idx="237">
                  <c:v>44746.291666666701</c:v>
                </c:pt>
                <c:pt idx="238">
                  <c:v>44747.291666666701</c:v>
                </c:pt>
                <c:pt idx="239">
                  <c:v>44748.291666666701</c:v>
                </c:pt>
                <c:pt idx="240">
                  <c:v>44749.291666666701</c:v>
                </c:pt>
                <c:pt idx="241">
                  <c:v>44750.291666666701</c:v>
                </c:pt>
                <c:pt idx="242">
                  <c:v>44753.291666666701</c:v>
                </c:pt>
                <c:pt idx="243">
                  <c:v>44754.291666666701</c:v>
                </c:pt>
                <c:pt idx="244">
                  <c:v>44755.291666666701</c:v>
                </c:pt>
                <c:pt idx="245">
                  <c:v>44756.291666666701</c:v>
                </c:pt>
                <c:pt idx="246">
                  <c:v>44757.291666666701</c:v>
                </c:pt>
                <c:pt idx="247">
                  <c:v>44760.291666666701</c:v>
                </c:pt>
                <c:pt idx="248">
                  <c:v>44761.291666666701</c:v>
                </c:pt>
                <c:pt idx="249">
                  <c:v>44762.291666666701</c:v>
                </c:pt>
                <c:pt idx="250">
                  <c:v>44763.291666666701</c:v>
                </c:pt>
                <c:pt idx="251">
                  <c:v>44764.291666666701</c:v>
                </c:pt>
                <c:pt idx="252">
                  <c:v>44767.291666666701</c:v>
                </c:pt>
                <c:pt idx="253">
                  <c:v>44768.291666666701</c:v>
                </c:pt>
                <c:pt idx="254">
                  <c:v>44769.291666666701</c:v>
                </c:pt>
                <c:pt idx="255">
                  <c:v>44770.291666666701</c:v>
                </c:pt>
                <c:pt idx="256">
                  <c:v>44771.291666666701</c:v>
                </c:pt>
                <c:pt idx="257">
                  <c:v>44774.291666666701</c:v>
                </c:pt>
                <c:pt idx="258">
                  <c:v>44775.291666666701</c:v>
                </c:pt>
                <c:pt idx="259">
                  <c:v>44776.291666666701</c:v>
                </c:pt>
                <c:pt idx="260">
                  <c:v>44777.291666666701</c:v>
                </c:pt>
                <c:pt idx="261">
                  <c:v>44778.291666666701</c:v>
                </c:pt>
                <c:pt idx="262">
                  <c:v>44781.291666666701</c:v>
                </c:pt>
                <c:pt idx="263">
                  <c:v>44782.291666666701</c:v>
                </c:pt>
                <c:pt idx="264">
                  <c:v>44783.291666666701</c:v>
                </c:pt>
                <c:pt idx="265">
                  <c:v>44784.291666666701</c:v>
                </c:pt>
                <c:pt idx="266">
                  <c:v>44785.291666666701</c:v>
                </c:pt>
                <c:pt idx="267">
                  <c:v>44788.291666666701</c:v>
                </c:pt>
                <c:pt idx="268">
                  <c:v>44789.291666666701</c:v>
                </c:pt>
                <c:pt idx="269">
                  <c:v>44790.291666666701</c:v>
                </c:pt>
                <c:pt idx="270">
                  <c:v>44791.291666666701</c:v>
                </c:pt>
                <c:pt idx="271">
                  <c:v>44792.291666666701</c:v>
                </c:pt>
                <c:pt idx="272">
                  <c:v>44795.291666666701</c:v>
                </c:pt>
                <c:pt idx="273">
                  <c:v>44796.291666666701</c:v>
                </c:pt>
                <c:pt idx="274">
                  <c:v>44797.291666666701</c:v>
                </c:pt>
                <c:pt idx="275">
                  <c:v>44798.291666666701</c:v>
                </c:pt>
                <c:pt idx="276">
                  <c:v>44799.291666666701</c:v>
                </c:pt>
                <c:pt idx="277">
                  <c:v>44802.291666666701</c:v>
                </c:pt>
                <c:pt idx="278">
                  <c:v>44803.291666666701</c:v>
                </c:pt>
                <c:pt idx="279">
                  <c:v>44804.291666666701</c:v>
                </c:pt>
                <c:pt idx="280">
                  <c:v>44805.291666666701</c:v>
                </c:pt>
                <c:pt idx="281">
                  <c:v>44806.291666666701</c:v>
                </c:pt>
                <c:pt idx="282">
                  <c:v>44809.291666666701</c:v>
                </c:pt>
                <c:pt idx="283">
                  <c:v>44810.291666666701</c:v>
                </c:pt>
                <c:pt idx="284">
                  <c:v>44811.291666666701</c:v>
                </c:pt>
                <c:pt idx="285">
                  <c:v>44812.291666666701</c:v>
                </c:pt>
                <c:pt idx="286">
                  <c:v>44813.291666666701</c:v>
                </c:pt>
                <c:pt idx="287">
                  <c:v>44816.291666666701</c:v>
                </c:pt>
                <c:pt idx="288">
                  <c:v>44817.291666666701</c:v>
                </c:pt>
                <c:pt idx="289">
                  <c:v>44818.291666666701</c:v>
                </c:pt>
                <c:pt idx="290">
                  <c:v>44819.291666666701</c:v>
                </c:pt>
                <c:pt idx="291">
                  <c:v>44820.291666666701</c:v>
                </c:pt>
                <c:pt idx="292">
                  <c:v>44823.291666666701</c:v>
                </c:pt>
                <c:pt idx="293">
                  <c:v>44824.291666666701</c:v>
                </c:pt>
                <c:pt idx="294">
                  <c:v>44825.291666666701</c:v>
                </c:pt>
                <c:pt idx="295">
                  <c:v>44826.291666666701</c:v>
                </c:pt>
                <c:pt idx="296">
                  <c:v>44827.291666666701</c:v>
                </c:pt>
                <c:pt idx="297">
                  <c:v>44830.291666666701</c:v>
                </c:pt>
                <c:pt idx="298">
                  <c:v>44831.291666666701</c:v>
                </c:pt>
                <c:pt idx="299">
                  <c:v>44832.291666666701</c:v>
                </c:pt>
                <c:pt idx="300">
                  <c:v>44833.291666666701</c:v>
                </c:pt>
                <c:pt idx="301">
                  <c:v>44834.291666666701</c:v>
                </c:pt>
                <c:pt idx="302">
                  <c:v>44837.291666666701</c:v>
                </c:pt>
                <c:pt idx="303">
                  <c:v>44838.291666666701</c:v>
                </c:pt>
                <c:pt idx="304">
                  <c:v>44839.291666666701</c:v>
                </c:pt>
                <c:pt idx="305">
                  <c:v>44840.291666666701</c:v>
                </c:pt>
                <c:pt idx="306">
                  <c:v>44841.291666666701</c:v>
                </c:pt>
                <c:pt idx="307">
                  <c:v>44844.291666666701</c:v>
                </c:pt>
                <c:pt idx="308">
                  <c:v>44845.291666666701</c:v>
                </c:pt>
                <c:pt idx="309">
                  <c:v>44846.291666666701</c:v>
                </c:pt>
                <c:pt idx="310">
                  <c:v>44847.291666666701</c:v>
                </c:pt>
                <c:pt idx="311">
                  <c:v>44848.291666666701</c:v>
                </c:pt>
                <c:pt idx="312">
                  <c:v>44851.291666666701</c:v>
                </c:pt>
                <c:pt idx="313">
                  <c:v>44852.291666666701</c:v>
                </c:pt>
                <c:pt idx="314">
                  <c:v>44853.291666666701</c:v>
                </c:pt>
                <c:pt idx="315">
                  <c:v>44854.291666666701</c:v>
                </c:pt>
                <c:pt idx="316">
                  <c:v>44855.291666666701</c:v>
                </c:pt>
                <c:pt idx="317">
                  <c:v>44858.291666666701</c:v>
                </c:pt>
                <c:pt idx="318">
                  <c:v>44859.291666666701</c:v>
                </c:pt>
                <c:pt idx="319">
                  <c:v>44860.291666666701</c:v>
                </c:pt>
                <c:pt idx="320">
                  <c:v>44861.291666666701</c:v>
                </c:pt>
                <c:pt idx="321">
                  <c:v>44862.291666666701</c:v>
                </c:pt>
                <c:pt idx="322">
                  <c:v>44865.291666666701</c:v>
                </c:pt>
                <c:pt idx="323">
                  <c:v>44866.291666666701</c:v>
                </c:pt>
                <c:pt idx="324">
                  <c:v>44867.291666666701</c:v>
                </c:pt>
                <c:pt idx="325">
                  <c:v>44868.291666666701</c:v>
                </c:pt>
                <c:pt idx="326">
                  <c:v>44869.291666666701</c:v>
                </c:pt>
                <c:pt idx="327">
                  <c:v>44872.291666666701</c:v>
                </c:pt>
                <c:pt idx="328">
                  <c:v>44873.291666666701</c:v>
                </c:pt>
                <c:pt idx="329">
                  <c:v>44874.291666666701</c:v>
                </c:pt>
                <c:pt idx="330">
                  <c:v>44875.291666666701</c:v>
                </c:pt>
                <c:pt idx="331">
                  <c:v>44876.291666666701</c:v>
                </c:pt>
                <c:pt idx="332">
                  <c:v>44879.291666666701</c:v>
                </c:pt>
                <c:pt idx="333">
                  <c:v>44880.291666666701</c:v>
                </c:pt>
                <c:pt idx="334">
                  <c:v>44881.291666666701</c:v>
                </c:pt>
                <c:pt idx="335">
                  <c:v>44882.291666666701</c:v>
                </c:pt>
                <c:pt idx="336">
                  <c:v>44883.291666666701</c:v>
                </c:pt>
                <c:pt idx="337">
                  <c:v>44886.291666666701</c:v>
                </c:pt>
                <c:pt idx="338">
                  <c:v>44887.291666666701</c:v>
                </c:pt>
                <c:pt idx="339">
                  <c:v>44888.291666666701</c:v>
                </c:pt>
                <c:pt idx="340">
                  <c:v>44889.291666666701</c:v>
                </c:pt>
                <c:pt idx="341">
                  <c:v>44890.291666666701</c:v>
                </c:pt>
                <c:pt idx="342">
                  <c:v>44893.291666666701</c:v>
                </c:pt>
                <c:pt idx="343">
                  <c:v>44896.291666666701</c:v>
                </c:pt>
                <c:pt idx="344">
                  <c:v>44897.291666666701</c:v>
                </c:pt>
                <c:pt idx="345">
                  <c:v>44900.291666666701</c:v>
                </c:pt>
                <c:pt idx="346">
                  <c:v>44901.291666666701</c:v>
                </c:pt>
                <c:pt idx="347">
                  <c:v>44902.291666666701</c:v>
                </c:pt>
                <c:pt idx="348">
                  <c:v>44903.291666666701</c:v>
                </c:pt>
                <c:pt idx="349">
                  <c:v>44904.291666666701</c:v>
                </c:pt>
                <c:pt idx="350">
                  <c:v>44907.291666666701</c:v>
                </c:pt>
                <c:pt idx="351">
                  <c:v>44908.291666666701</c:v>
                </c:pt>
                <c:pt idx="352">
                  <c:v>44909.291666666701</c:v>
                </c:pt>
                <c:pt idx="353">
                  <c:v>44910.291666666701</c:v>
                </c:pt>
                <c:pt idx="354">
                  <c:v>44911.291666666701</c:v>
                </c:pt>
                <c:pt idx="355">
                  <c:v>44914.291666666701</c:v>
                </c:pt>
                <c:pt idx="356">
                  <c:v>44915.291666666701</c:v>
                </c:pt>
                <c:pt idx="357">
                  <c:v>44916.291666666701</c:v>
                </c:pt>
                <c:pt idx="358">
                  <c:v>44917.291666666701</c:v>
                </c:pt>
                <c:pt idx="359">
                  <c:v>44918.291666666701</c:v>
                </c:pt>
                <c:pt idx="360">
                  <c:v>44921.291666666701</c:v>
                </c:pt>
                <c:pt idx="361">
                  <c:v>44922.291666666701</c:v>
                </c:pt>
                <c:pt idx="362">
                  <c:v>44923.291666666701</c:v>
                </c:pt>
                <c:pt idx="363">
                  <c:v>44924.291666666701</c:v>
                </c:pt>
                <c:pt idx="364">
                  <c:v>44925.291666666701</c:v>
                </c:pt>
                <c:pt idx="365">
                  <c:v>44928.291666666701</c:v>
                </c:pt>
                <c:pt idx="366">
                  <c:v>44929.291666666701</c:v>
                </c:pt>
                <c:pt idx="367">
                  <c:v>44930.291666666701</c:v>
                </c:pt>
                <c:pt idx="368">
                  <c:v>44931.291666666701</c:v>
                </c:pt>
                <c:pt idx="369">
                  <c:v>44932.291666666701</c:v>
                </c:pt>
                <c:pt idx="370">
                  <c:v>44935.291666666701</c:v>
                </c:pt>
                <c:pt idx="371">
                  <c:v>44936.291666666701</c:v>
                </c:pt>
                <c:pt idx="372">
                  <c:v>44937.291666666701</c:v>
                </c:pt>
                <c:pt idx="373">
                  <c:v>44938.291666666701</c:v>
                </c:pt>
                <c:pt idx="374">
                  <c:v>44939.291666666701</c:v>
                </c:pt>
                <c:pt idx="375">
                  <c:v>44942.291666666701</c:v>
                </c:pt>
                <c:pt idx="376">
                  <c:v>44943.291666666701</c:v>
                </c:pt>
                <c:pt idx="377">
                  <c:v>44944.291666666701</c:v>
                </c:pt>
                <c:pt idx="378">
                  <c:v>44945.291666666701</c:v>
                </c:pt>
                <c:pt idx="379">
                  <c:v>44946.291666666701</c:v>
                </c:pt>
                <c:pt idx="380">
                  <c:v>44953.291666666701</c:v>
                </c:pt>
                <c:pt idx="381">
                  <c:v>44956.291666666701</c:v>
                </c:pt>
                <c:pt idx="382">
                  <c:v>44957.291666666701</c:v>
                </c:pt>
                <c:pt idx="383">
                  <c:v>44959.291666666701</c:v>
                </c:pt>
                <c:pt idx="384">
                  <c:v>44960.291666666701</c:v>
                </c:pt>
                <c:pt idx="385">
                  <c:v>44963.291666666701</c:v>
                </c:pt>
                <c:pt idx="386">
                  <c:v>44964.291666666701</c:v>
                </c:pt>
                <c:pt idx="387">
                  <c:v>44965.291666666701</c:v>
                </c:pt>
                <c:pt idx="388">
                  <c:v>44966.291666666701</c:v>
                </c:pt>
                <c:pt idx="389">
                  <c:v>44967.291666666701</c:v>
                </c:pt>
                <c:pt idx="390">
                  <c:v>44970.291666666701</c:v>
                </c:pt>
                <c:pt idx="391">
                  <c:v>44971.291666666701</c:v>
                </c:pt>
                <c:pt idx="392">
                  <c:v>44972.291666666701</c:v>
                </c:pt>
                <c:pt idx="393">
                  <c:v>44973.291666666701</c:v>
                </c:pt>
                <c:pt idx="394">
                  <c:v>44974.291666666701</c:v>
                </c:pt>
                <c:pt idx="395">
                  <c:v>44977.291666666701</c:v>
                </c:pt>
                <c:pt idx="396">
                  <c:v>44978.291666666701</c:v>
                </c:pt>
                <c:pt idx="397">
                  <c:v>44979.291666666701</c:v>
                </c:pt>
                <c:pt idx="398">
                  <c:v>44980.291666666701</c:v>
                </c:pt>
                <c:pt idx="399">
                  <c:v>44981.291666666701</c:v>
                </c:pt>
                <c:pt idx="400">
                  <c:v>44984.291666666701</c:v>
                </c:pt>
                <c:pt idx="401">
                  <c:v>44985.291666666701</c:v>
                </c:pt>
                <c:pt idx="402">
                  <c:v>44986.291666666701</c:v>
                </c:pt>
                <c:pt idx="403">
                  <c:v>44987.291666666701</c:v>
                </c:pt>
                <c:pt idx="404">
                  <c:v>44988.291666666701</c:v>
                </c:pt>
                <c:pt idx="405">
                  <c:v>44991.291666666701</c:v>
                </c:pt>
                <c:pt idx="406">
                  <c:v>44992.291666666701</c:v>
                </c:pt>
                <c:pt idx="407">
                  <c:v>44993.291666666701</c:v>
                </c:pt>
                <c:pt idx="408">
                  <c:v>44994.291666666701</c:v>
                </c:pt>
                <c:pt idx="409">
                  <c:v>44995.291666666701</c:v>
                </c:pt>
                <c:pt idx="410">
                  <c:v>44998.291666666701</c:v>
                </c:pt>
                <c:pt idx="411">
                  <c:v>44999.291666666701</c:v>
                </c:pt>
                <c:pt idx="412">
                  <c:v>45000.291666666701</c:v>
                </c:pt>
                <c:pt idx="413">
                  <c:v>45001.291666666701</c:v>
                </c:pt>
                <c:pt idx="414">
                  <c:v>45002.291666666701</c:v>
                </c:pt>
                <c:pt idx="415">
                  <c:v>45005.291666666701</c:v>
                </c:pt>
                <c:pt idx="416">
                  <c:v>45006.291666666701</c:v>
                </c:pt>
                <c:pt idx="417">
                  <c:v>45007.291666666701</c:v>
                </c:pt>
                <c:pt idx="418">
                  <c:v>45008.291666666701</c:v>
                </c:pt>
                <c:pt idx="419">
                  <c:v>45009.291666666701</c:v>
                </c:pt>
                <c:pt idx="420">
                  <c:v>45012.291666666701</c:v>
                </c:pt>
                <c:pt idx="421">
                  <c:v>45013.291666666701</c:v>
                </c:pt>
                <c:pt idx="422">
                  <c:v>45014.291666666701</c:v>
                </c:pt>
                <c:pt idx="423">
                  <c:v>45015.291666666701</c:v>
                </c:pt>
                <c:pt idx="424">
                  <c:v>45016.291666666701</c:v>
                </c:pt>
                <c:pt idx="425">
                  <c:v>45019.291666666701</c:v>
                </c:pt>
                <c:pt idx="426">
                  <c:v>45020.291666666701</c:v>
                </c:pt>
                <c:pt idx="427">
                  <c:v>45021.291666666701</c:v>
                </c:pt>
                <c:pt idx="428">
                  <c:v>45022.291666666701</c:v>
                </c:pt>
                <c:pt idx="429">
                  <c:v>45023.291666666701</c:v>
                </c:pt>
                <c:pt idx="430">
                  <c:v>45026.291666666701</c:v>
                </c:pt>
                <c:pt idx="431">
                  <c:v>45027.291666666701</c:v>
                </c:pt>
                <c:pt idx="432">
                  <c:v>45028.291666666701</c:v>
                </c:pt>
                <c:pt idx="433">
                  <c:v>45029.291666666701</c:v>
                </c:pt>
                <c:pt idx="434">
                  <c:v>45030.291666666701</c:v>
                </c:pt>
                <c:pt idx="435">
                  <c:v>45033.291666666701</c:v>
                </c:pt>
                <c:pt idx="436">
                  <c:v>45034.291666666701</c:v>
                </c:pt>
                <c:pt idx="437">
                  <c:v>45035.291666666701</c:v>
                </c:pt>
                <c:pt idx="438">
                  <c:v>45036.291666666701</c:v>
                </c:pt>
                <c:pt idx="439">
                  <c:v>45037.291666666701</c:v>
                </c:pt>
                <c:pt idx="440">
                  <c:v>45040.291666666701</c:v>
                </c:pt>
                <c:pt idx="441">
                  <c:v>45041.291666666701</c:v>
                </c:pt>
                <c:pt idx="442">
                  <c:v>45042.291666666701</c:v>
                </c:pt>
                <c:pt idx="443">
                  <c:v>45043.291666666701</c:v>
                </c:pt>
                <c:pt idx="444">
                  <c:v>45044.291666666701</c:v>
                </c:pt>
                <c:pt idx="445">
                  <c:v>45047.291666666701</c:v>
                </c:pt>
                <c:pt idx="446">
                  <c:v>45048.291666666701</c:v>
                </c:pt>
                <c:pt idx="447">
                  <c:v>45049.291666666701</c:v>
                </c:pt>
                <c:pt idx="448">
                  <c:v>45050.291666666701</c:v>
                </c:pt>
                <c:pt idx="449">
                  <c:v>45051.291666666701</c:v>
                </c:pt>
                <c:pt idx="450">
                  <c:v>45054.291666666701</c:v>
                </c:pt>
                <c:pt idx="451">
                  <c:v>45055.291666666701</c:v>
                </c:pt>
                <c:pt idx="452">
                  <c:v>45056.291666666701</c:v>
                </c:pt>
                <c:pt idx="453">
                  <c:v>45057.291666666701</c:v>
                </c:pt>
                <c:pt idx="454">
                  <c:v>45058.291666666701</c:v>
                </c:pt>
                <c:pt idx="455">
                  <c:v>45061.291666666701</c:v>
                </c:pt>
                <c:pt idx="456">
                  <c:v>45062.291666666701</c:v>
                </c:pt>
                <c:pt idx="457">
                  <c:v>45063.291666666701</c:v>
                </c:pt>
                <c:pt idx="458">
                  <c:v>45064.291666666701</c:v>
                </c:pt>
                <c:pt idx="459">
                  <c:v>45065.291666666701</c:v>
                </c:pt>
                <c:pt idx="460">
                  <c:v>45068.291666666701</c:v>
                </c:pt>
                <c:pt idx="461">
                  <c:v>45069.291666666701</c:v>
                </c:pt>
                <c:pt idx="462">
                  <c:v>45070.291666666701</c:v>
                </c:pt>
                <c:pt idx="463">
                  <c:v>45071.291666666701</c:v>
                </c:pt>
                <c:pt idx="464">
                  <c:v>45072.291666666701</c:v>
                </c:pt>
                <c:pt idx="465">
                  <c:v>45075.291666666701</c:v>
                </c:pt>
                <c:pt idx="466">
                  <c:v>45076.291666666701</c:v>
                </c:pt>
                <c:pt idx="467">
                  <c:v>45077.291666666701</c:v>
                </c:pt>
                <c:pt idx="468">
                  <c:v>45078.291666666701</c:v>
                </c:pt>
                <c:pt idx="469">
                  <c:v>45079.291666666701</c:v>
                </c:pt>
                <c:pt idx="470">
                  <c:v>45082.291666666701</c:v>
                </c:pt>
                <c:pt idx="471">
                  <c:v>45083.291666666701</c:v>
                </c:pt>
                <c:pt idx="472">
                  <c:v>45084.291666666701</c:v>
                </c:pt>
                <c:pt idx="473">
                  <c:v>45085.291666666701</c:v>
                </c:pt>
                <c:pt idx="474">
                  <c:v>45086.291666666701</c:v>
                </c:pt>
                <c:pt idx="475">
                  <c:v>45089.291666666701</c:v>
                </c:pt>
                <c:pt idx="476">
                  <c:v>45090.291666666701</c:v>
                </c:pt>
                <c:pt idx="477">
                  <c:v>45091.291666666701</c:v>
                </c:pt>
                <c:pt idx="478">
                  <c:v>45092.291666666701</c:v>
                </c:pt>
                <c:pt idx="479">
                  <c:v>45093.291666666701</c:v>
                </c:pt>
                <c:pt idx="480">
                  <c:v>45096.291666666701</c:v>
                </c:pt>
                <c:pt idx="481">
                  <c:v>45097.291666666701</c:v>
                </c:pt>
                <c:pt idx="482">
                  <c:v>45098.291666666701</c:v>
                </c:pt>
                <c:pt idx="483">
                  <c:v>45099.291666666701</c:v>
                </c:pt>
                <c:pt idx="484">
                  <c:v>45100.291666666701</c:v>
                </c:pt>
                <c:pt idx="485">
                  <c:v>45103.291666666701</c:v>
                </c:pt>
                <c:pt idx="486">
                  <c:v>45104.291666666701</c:v>
                </c:pt>
                <c:pt idx="487">
                  <c:v>45105.291666666701</c:v>
                </c:pt>
                <c:pt idx="488">
                  <c:v>45106.291666666701</c:v>
                </c:pt>
                <c:pt idx="489">
                  <c:v>45107.291666666701</c:v>
                </c:pt>
                <c:pt idx="490">
                  <c:v>45110.291666666701</c:v>
                </c:pt>
                <c:pt idx="491">
                  <c:v>45111.291666666701</c:v>
                </c:pt>
                <c:pt idx="492">
                  <c:v>45112.291666666701</c:v>
                </c:pt>
                <c:pt idx="493">
                  <c:v>45113.291666666701</c:v>
                </c:pt>
                <c:pt idx="494">
                  <c:v>45114.291666666701</c:v>
                </c:pt>
                <c:pt idx="495">
                  <c:v>45117.291666666701</c:v>
                </c:pt>
                <c:pt idx="496">
                  <c:v>45118.291666666701</c:v>
                </c:pt>
                <c:pt idx="497">
                  <c:v>45119.291666666701</c:v>
                </c:pt>
                <c:pt idx="498">
                  <c:v>45120.291666666701</c:v>
                </c:pt>
                <c:pt idx="499">
                  <c:v>45121.291666666701</c:v>
                </c:pt>
                <c:pt idx="500">
                  <c:v>45124.291666666701</c:v>
                </c:pt>
                <c:pt idx="501">
                  <c:v>45125.291666666701</c:v>
                </c:pt>
                <c:pt idx="502">
                  <c:v>45126.291666666701</c:v>
                </c:pt>
                <c:pt idx="503">
                  <c:v>45127.291666666701</c:v>
                </c:pt>
                <c:pt idx="504">
                  <c:v>45128.291666666701</c:v>
                </c:pt>
                <c:pt idx="505">
                  <c:v>45131.291666666701</c:v>
                </c:pt>
                <c:pt idx="506">
                  <c:v>45132.291666666701</c:v>
                </c:pt>
                <c:pt idx="507">
                  <c:v>45133.291666666701</c:v>
                </c:pt>
                <c:pt idx="508">
                  <c:v>45134.291666666701</c:v>
                </c:pt>
                <c:pt idx="509">
                  <c:v>45135.291666666701</c:v>
                </c:pt>
                <c:pt idx="510">
                  <c:v>45138.291666666701</c:v>
                </c:pt>
                <c:pt idx="511">
                  <c:v>45139.291666666701</c:v>
                </c:pt>
                <c:pt idx="512">
                  <c:v>45140.291666666701</c:v>
                </c:pt>
                <c:pt idx="513">
                  <c:v>45141.291666666701</c:v>
                </c:pt>
                <c:pt idx="514">
                  <c:v>45142.291666666701</c:v>
                </c:pt>
                <c:pt idx="515">
                  <c:v>45145.291666666701</c:v>
                </c:pt>
                <c:pt idx="516">
                  <c:v>45146.291666666701</c:v>
                </c:pt>
                <c:pt idx="517">
                  <c:v>45147.291666666701</c:v>
                </c:pt>
                <c:pt idx="518">
                  <c:v>44407.291666666701</c:v>
                </c:pt>
                <c:pt idx="519">
                  <c:v>44406.291666666701</c:v>
                </c:pt>
                <c:pt idx="520">
                  <c:v>44405.291666666701</c:v>
                </c:pt>
                <c:pt idx="521">
                  <c:v>44404.291666666701</c:v>
                </c:pt>
                <c:pt idx="522">
                  <c:v>44403.291666666701</c:v>
                </c:pt>
                <c:pt idx="523">
                  <c:v>44400.291666666701</c:v>
                </c:pt>
                <c:pt idx="524">
                  <c:v>44399.291666666701</c:v>
                </c:pt>
                <c:pt idx="525">
                  <c:v>44398.291666666701</c:v>
                </c:pt>
                <c:pt idx="526">
                  <c:v>44397.291666666701</c:v>
                </c:pt>
                <c:pt idx="527">
                  <c:v>44396.291666666701</c:v>
                </c:pt>
                <c:pt idx="528">
                  <c:v>44393.291666666701</c:v>
                </c:pt>
                <c:pt idx="529">
                  <c:v>44392.291666666701</c:v>
                </c:pt>
                <c:pt idx="530">
                  <c:v>44391.291666666701</c:v>
                </c:pt>
                <c:pt idx="531">
                  <c:v>44390.291666666701</c:v>
                </c:pt>
                <c:pt idx="532">
                  <c:v>44389.291666666701</c:v>
                </c:pt>
                <c:pt idx="533">
                  <c:v>44386.291666666701</c:v>
                </c:pt>
                <c:pt idx="534">
                  <c:v>44385.291666666701</c:v>
                </c:pt>
                <c:pt idx="535">
                  <c:v>44384.291666666701</c:v>
                </c:pt>
                <c:pt idx="536">
                  <c:v>44383.291666666701</c:v>
                </c:pt>
                <c:pt idx="537">
                  <c:v>44382.291666666701</c:v>
                </c:pt>
                <c:pt idx="538">
                  <c:v>44379.291666666701</c:v>
                </c:pt>
                <c:pt idx="539">
                  <c:v>44378.291666666701</c:v>
                </c:pt>
                <c:pt idx="540">
                  <c:v>44377.291666666701</c:v>
                </c:pt>
                <c:pt idx="541">
                  <c:v>44376.291666666701</c:v>
                </c:pt>
                <c:pt idx="542">
                  <c:v>44375.291666666701</c:v>
                </c:pt>
                <c:pt idx="543">
                  <c:v>44372.291666666701</c:v>
                </c:pt>
                <c:pt idx="544">
                  <c:v>44371.291666666701</c:v>
                </c:pt>
                <c:pt idx="545">
                  <c:v>44370.291666666701</c:v>
                </c:pt>
                <c:pt idx="546">
                  <c:v>44369.291666666701</c:v>
                </c:pt>
                <c:pt idx="547">
                  <c:v>44368.291666666701</c:v>
                </c:pt>
                <c:pt idx="548">
                  <c:v>44365.291666666701</c:v>
                </c:pt>
                <c:pt idx="549">
                  <c:v>44364.291666666701</c:v>
                </c:pt>
                <c:pt idx="550">
                  <c:v>44363.291666666701</c:v>
                </c:pt>
                <c:pt idx="551">
                  <c:v>44362.291666666701</c:v>
                </c:pt>
                <c:pt idx="552">
                  <c:v>44361.291666666701</c:v>
                </c:pt>
                <c:pt idx="553">
                  <c:v>44358.291666666701</c:v>
                </c:pt>
                <c:pt idx="554">
                  <c:v>44357.291666666701</c:v>
                </c:pt>
                <c:pt idx="555">
                  <c:v>44356.291666666701</c:v>
                </c:pt>
                <c:pt idx="556">
                  <c:v>44355.291666666701</c:v>
                </c:pt>
                <c:pt idx="557">
                  <c:v>44354.291666666701</c:v>
                </c:pt>
                <c:pt idx="558">
                  <c:v>44351.291666666701</c:v>
                </c:pt>
                <c:pt idx="559">
                  <c:v>44350.291666666701</c:v>
                </c:pt>
                <c:pt idx="560">
                  <c:v>44349.291666666701</c:v>
                </c:pt>
                <c:pt idx="561">
                  <c:v>44348.291666666701</c:v>
                </c:pt>
                <c:pt idx="562">
                  <c:v>44347.291666666701</c:v>
                </c:pt>
                <c:pt idx="563">
                  <c:v>44344.291666666701</c:v>
                </c:pt>
                <c:pt idx="564">
                  <c:v>44343.291666666701</c:v>
                </c:pt>
                <c:pt idx="565">
                  <c:v>44342.291666666701</c:v>
                </c:pt>
                <c:pt idx="566">
                  <c:v>44341.291666666701</c:v>
                </c:pt>
                <c:pt idx="567">
                  <c:v>44340.291666666701</c:v>
                </c:pt>
                <c:pt idx="568">
                  <c:v>44337.291666666701</c:v>
                </c:pt>
                <c:pt idx="569">
                  <c:v>44336.291666666701</c:v>
                </c:pt>
                <c:pt idx="570">
                  <c:v>44335.291666666701</c:v>
                </c:pt>
                <c:pt idx="571">
                  <c:v>44334.291666666701</c:v>
                </c:pt>
                <c:pt idx="572">
                  <c:v>44333.291666666701</c:v>
                </c:pt>
                <c:pt idx="573">
                  <c:v>44330.291666666701</c:v>
                </c:pt>
                <c:pt idx="574">
                  <c:v>44329.291666666701</c:v>
                </c:pt>
                <c:pt idx="575">
                  <c:v>44328.291666666701</c:v>
                </c:pt>
                <c:pt idx="576">
                  <c:v>44327.291666666701</c:v>
                </c:pt>
                <c:pt idx="577">
                  <c:v>44326.291666666701</c:v>
                </c:pt>
                <c:pt idx="578">
                  <c:v>44323.291666666701</c:v>
                </c:pt>
                <c:pt idx="579">
                  <c:v>44322.291666666701</c:v>
                </c:pt>
                <c:pt idx="580">
                  <c:v>44321.291666666701</c:v>
                </c:pt>
                <c:pt idx="581">
                  <c:v>44320.291666666701</c:v>
                </c:pt>
                <c:pt idx="582">
                  <c:v>44315.291666666701</c:v>
                </c:pt>
                <c:pt idx="583">
                  <c:v>44314.291666666701</c:v>
                </c:pt>
                <c:pt idx="584">
                  <c:v>44313.291666666701</c:v>
                </c:pt>
                <c:pt idx="585">
                  <c:v>44312.291666666701</c:v>
                </c:pt>
                <c:pt idx="586">
                  <c:v>44309.291666666701</c:v>
                </c:pt>
                <c:pt idx="587">
                  <c:v>44308.291666666701</c:v>
                </c:pt>
                <c:pt idx="588">
                  <c:v>44306.291666666701</c:v>
                </c:pt>
                <c:pt idx="589">
                  <c:v>44305.291666666701</c:v>
                </c:pt>
                <c:pt idx="590">
                  <c:v>44302.291666666701</c:v>
                </c:pt>
                <c:pt idx="591">
                  <c:v>44301.291666666701</c:v>
                </c:pt>
                <c:pt idx="592">
                  <c:v>44300.291666666701</c:v>
                </c:pt>
                <c:pt idx="593">
                  <c:v>44299.291666666701</c:v>
                </c:pt>
                <c:pt idx="594">
                  <c:v>44298.291666666701</c:v>
                </c:pt>
                <c:pt idx="595">
                  <c:v>44295.291666666701</c:v>
                </c:pt>
                <c:pt idx="596">
                  <c:v>44294.291666666701</c:v>
                </c:pt>
                <c:pt idx="597">
                  <c:v>44293.291666666701</c:v>
                </c:pt>
                <c:pt idx="598">
                  <c:v>44292.291666666701</c:v>
                </c:pt>
                <c:pt idx="599">
                  <c:v>44291.291666666701</c:v>
                </c:pt>
                <c:pt idx="600">
                  <c:v>44288.291666666701</c:v>
                </c:pt>
                <c:pt idx="601">
                  <c:v>44287.291666666701</c:v>
                </c:pt>
                <c:pt idx="602">
                  <c:v>44286.291666666701</c:v>
                </c:pt>
                <c:pt idx="603">
                  <c:v>44285.291666666701</c:v>
                </c:pt>
                <c:pt idx="604">
                  <c:v>44284.291666666701</c:v>
                </c:pt>
                <c:pt idx="605">
                  <c:v>44281.291666666701</c:v>
                </c:pt>
                <c:pt idx="606">
                  <c:v>44280.291666666701</c:v>
                </c:pt>
                <c:pt idx="607">
                  <c:v>44279.291666666701</c:v>
                </c:pt>
                <c:pt idx="608">
                  <c:v>44278.291666666701</c:v>
                </c:pt>
                <c:pt idx="609">
                  <c:v>44277.291666666701</c:v>
                </c:pt>
                <c:pt idx="610">
                  <c:v>44274.291666666701</c:v>
                </c:pt>
                <c:pt idx="611">
                  <c:v>44273.291666666701</c:v>
                </c:pt>
                <c:pt idx="612">
                  <c:v>44272.291666666701</c:v>
                </c:pt>
                <c:pt idx="613">
                  <c:v>44271.291666666701</c:v>
                </c:pt>
                <c:pt idx="614">
                  <c:v>44270.291666666701</c:v>
                </c:pt>
                <c:pt idx="615">
                  <c:v>44267.291666666701</c:v>
                </c:pt>
                <c:pt idx="616">
                  <c:v>44266.291666666701</c:v>
                </c:pt>
                <c:pt idx="617">
                  <c:v>44265.291666666701</c:v>
                </c:pt>
                <c:pt idx="618">
                  <c:v>44264.291666666701</c:v>
                </c:pt>
                <c:pt idx="619">
                  <c:v>44263.291666666701</c:v>
                </c:pt>
                <c:pt idx="620">
                  <c:v>44260.291666666701</c:v>
                </c:pt>
                <c:pt idx="621">
                  <c:v>44259.291666666701</c:v>
                </c:pt>
                <c:pt idx="622">
                  <c:v>44258.291666666701</c:v>
                </c:pt>
                <c:pt idx="623">
                  <c:v>44257.291666666701</c:v>
                </c:pt>
                <c:pt idx="624">
                  <c:v>44256.291666666701</c:v>
                </c:pt>
                <c:pt idx="625">
                  <c:v>44253.291666666701</c:v>
                </c:pt>
                <c:pt idx="626">
                  <c:v>44252.291666666701</c:v>
                </c:pt>
                <c:pt idx="627">
                  <c:v>44251.291666666701</c:v>
                </c:pt>
                <c:pt idx="628">
                  <c:v>44250.291666666701</c:v>
                </c:pt>
                <c:pt idx="629">
                  <c:v>44249.291666666701</c:v>
                </c:pt>
                <c:pt idx="630">
                  <c:v>44246.291666666701</c:v>
                </c:pt>
                <c:pt idx="631">
                  <c:v>44245.291666666701</c:v>
                </c:pt>
                <c:pt idx="632">
                  <c:v>44244.291666666701</c:v>
                </c:pt>
                <c:pt idx="633">
                  <c:v>44236.291666666701</c:v>
                </c:pt>
                <c:pt idx="634">
                  <c:v>44235.291666666701</c:v>
                </c:pt>
                <c:pt idx="635">
                  <c:v>44232.291666666701</c:v>
                </c:pt>
                <c:pt idx="636">
                  <c:v>44231.291666666701</c:v>
                </c:pt>
                <c:pt idx="637">
                  <c:v>44230.291666666701</c:v>
                </c:pt>
                <c:pt idx="638">
                  <c:v>44229.291666666701</c:v>
                </c:pt>
                <c:pt idx="639">
                  <c:v>44228.291666666701</c:v>
                </c:pt>
                <c:pt idx="640">
                  <c:v>44225.291666666701</c:v>
                </c:pt>
                <c:pt idx="641">
                  <c:v>44224.291666666701</c:v>
                </c:pt>
                <c:pt idx="642">
                  <c:v>44223.291666666701</c:v>
                </c:pt>
                <c:pt idx="643">
                  <c:v>44222.291666666701</c:v>
                </c:pt>
                <c:pt idx="644">
                  <c:v>44221.291666666701</c:v>
                </c:pt>
                <c:pt idx="645">
                  <c:v>44218.291666666701</c:v>
                </c:pt>
                <c:pt idx="646">
                  <c:v>44217.291666666701</c:v>
                </c:pt>
                <c:pt idx="647">
                  <c:v>44216.291666666701</c:v>
                </c:pt>
                <c:pt idx="648">
                  <c:v>44215.291666666701</c:v>
                </c:pt>
                <c:pt idx="649">
                  <c:v>44214.291666666701</c:v>
                </c:pt>
                <c:pt idx="650">
                  <c:v>44211.291666666701</c:v>
                </c:pt>
                <c:pt idx="651">
                  <c:v>44210.291666666701</c:v>
                </c:pt>
                <c:pt idx="652">
                  <c:v>44209.291666666701</c:v>
                </c:pt>
                <c:pt idx="653">
                  <c:v>44208.291666666701</c:v>
                </c:pt>
              </c:numCache>
            </c:numRef>
          </c:cat>
          <c:val>
            <c:numRef>
              <c:f>'FX Data'!$B$10:$B$527</c:f>
              <c:numCache>
                <c:formatCode>0.00%</c:formatCode>
                <c:ptCount val="518"/>
                <c:pt idx="0" formatCode="0%">
                  <c:v>0</c:v>
                </c:pt>
                <c:pt idx="1">
                  <c:v>0</c:v>
                </c:pt>
                <c:pt idx="2">
                  <c:v>-4.3821209465381246E-4</c:v>
                </c:pt>
                <c:pt idx="3">
                  <c:v>-4.3821209465381246E-4</c:v>
                </c:pt>
                <c:pt idx="4">
                  <c:v>-8.7642418930762491E-4</c:v>
                </c:pt>
                <c:pt idx="5">
                  <c:v>-8.7642418930762491E-4</c:v>
                </c:pt>
                <c:pt idx="6">
                  <c:v>-2.1910604732690623E-3</c:v>
                </c:pt>
                <c:pt idx="7">
                  <c:v>-6.5731814198071864E-3</c:v>
                </c:pt>
                <c:pt idx="8">
                  <c:v>-6.1349693251533744E-3</c:v>
                </c:pt>
                <c:pt idx="9">
                  <c:v>-5.2585451358457495E-3</c:v>
                </c:pt>
                <c:pt idx="10">
                  <c:v>-4.8203330411919366E-3</c:v>
                </c:pt>
                <c:pt idx="11">
                  <c:v>-5.039439088518843E-3</c:v>
                </c:pt>
                <c:pt idx="12">
                  <c:v>-6.1349693251533744E-3</c:v>
                </c:pt>
                <c:pt idx="13">
                  <c:v>-6.1349693251533744E-3</c:v>
                </c:pt>
                <c:pt idx="14">
                  <c:v>-5.9158632778264679E-3</c:v>
                </c:pt>
                <c:pt idx="15">
                  <c:v>-5.4776511831726559E-3</c:v>
                </c:pt>
                <c:pt idx="16">
                  <c:v>-5.4776511831726559E-3</c:v>
                </c:pt>
                <c:pt idx="17">
                  <c:v>-6.5731814198071864E-3</c:v>
                </c:pt>
                <c:pt idx="18">
                  <c:v>-7.4496056091148113E-3</c:v>
                </c:pt>
                <c:pt idx="19">
                  <c:v>-7.0113935144609993E-3</c:v>
                </c:pt>
                <c:pt idx="20">
                  <c:v>-7.4496056091148113E-3</c:v>
                </c:pt>
                <c:pt idx="21">
                  <c:v>-7.8878177037686233E-3</c:v>
                </c:pt>
                <c:pt idx="22">
                  <c:v>-7.4496056091148113E-3</c:v>
                </c:pt>
                <c:pt idx="23">
                  <c:v>-7.4496056091148113E-3</c:v>
                </c:pt>
                <c:pt idx="24">
                  <c:v>-7.4496056091148113E-3</c:v>
                </c:pt>
                <c:pt idx="25">
                  <c:v>-8.1069237510955298E-3</c:v>
                </c:pt>
                <c:pt idx="26">
                  <c:v>-8.3260297984224362E-3</c:v>
                </c:pt>
                <c:pt idx="27">
                  <c:v>-7.8878177037686233E-3</c:v>
                </c:pt>
                <c:pt idx="28">
                  <c:v>-7.8878177037686233E-3</c:v>
                </c:pt>
                <c:pt idx="29">
                  <c:v>-7.8878177037686233E-3</c:v>
                </c:pt>
                <c:pt idx="30">
                  <c:v>-7.8878177037686233E-3</c:v>
                </c:pt>
                <c:pt idx="31">
                  <c:v>-7.8878177037686233E-3</c:v>
                </c:pt>
                <c:pt idx="32">
                  <c:v>-8.3260297984224362E-3</c:v>
                </c:pt>
                <c:pt idx="33">
                  <c:v>-8.3260297984224362E-3</c:v>
                </c:pt>
                <c:pt idx="34">
                  <c:v>-7.8878177037686233E-3</c:v>
                </c:pt>
                <c:pt idx="35">
                  <c:v>-7.6687116564417178E-3</c:v>
                </c:pt>
                <c:pt idx="36">
                  <c:v>-7.8878177037686233E-3</c:v>
                </c:pt>
                <c:pt idx="37">
                  <c:v>-8.3260297984224362E-3</c:v>
                </c:pt>
                <c:pt idx="38">
                  <c:v>-8.3260297984224362E-3</c:v>
                </c:pt>
                <c:pt idx="39">
                  <c:v>-8.3260297984224362E-3</c:v>
                </c:pt>
                <c:pt idx="40">
                  <c:v>-8.3260297984224362E-3</c:v>
                </c:pt>
                <c:pt idx="41">
                  <c:v>-7.8878177037686233E-3</c:v>
                </c:pt>
                <c:pt idx="42">
                  <c:v>-8.3260297984224362E-3</c:v>
                </c:pt>
                <c:pt idx="43">
                  <c:v>-8.3260297984224362E-3</c:v>
                </c:pt>
                <c:pt idx="44">
                  <c:v>-8.3260297984224362E-3</c:v>
                </c:pt>
                <c:pt idx="45">
                  <c:v>-8.3260297984224362E-3</c:v>
                </c:pt>
                <c:pt idx="46">
                  <c:v>-8.3260297984224362E-3</c:v>
                </c:pt>
                <c:pt idx="47">
                  <c:v>-8.3260297984224362E-3</c:v>
                </c:pt>
                <c:pt idx="48">
                  <c:v>-8.3260297984224362E-3</c:v>
                </c:pt>
                <c:pt idx="49">
                  <c:v>-8.3260297984224362E-3</c:v>
                </c:pt>
                <c:pt idx="50">
                  <c:v>-8.3260297984224362E-3</c:v>
                </c:pt>
                <c:pt idx="51">
                  <c:v>-8.7642418930762491E-3</c:v>
                </c:pt>
                <c:pt idx="52">
                  <c:v>-8.3260297984224362E-3</c:v>
                </c:pt>
                <c:pt idx="53">
                  <c:v>-8.3260297984224362E-3</c:v>
                </c:pt>
                <c:pt idx="54">
                  <c:v>-8.3260297984224362E-3</c:v>
                </c:pt>
                <c:pt idx="55">
                  <c:v>-8.3260297984224362E-3</c:v>
                </c:pt>
                <c:pt idx="56">
                  <c:v>-8.3260297984224362E-3</c:v>
                </c:pt>
                <c:pt idx="57">
                  <c:v>-8.5451358457493427E-3</c:v>
                </c:pt>
                <c:pt idx="58">
                  <c:v>-8.5451358457493427E-3</c:v>
                </c:pt>
                <c:pt idx="59">
                  <c:v>-8.5451358457493427E-3</c:v>
                </c:pt>
                <c:pt idx="60">
                  <c:v>-8.5451358457493427E-3</c:v>
                </c:pt>
                <c:pt idx="61">
                  <c:v>-8.5451358457493427E-3</c:v>
                </c:pt>
                <c:pt idx="62">
                  <c:v>-8.5451358457493427E-3</c:v>
                </c:pt>
                <c:pt idx="63">
                  <c:v>-8.5451358457493427E-3</c:v>
                </c:pt>
                <c:pt idx="64">
                  <c:v>-8.7642418930762491E-3</c:v>
                </c:pt>
                <c:pt idx="65">
                  <c:v>-8.7642418930762491E-3</c:v>
                </c:pt>
                <c:pt idx="66">
                  <c:v>-8.7642418930762491E-3</c:v>
                </c:pt>
                <c:pt idx="67">
                  <c:v>-9.6406660823838732E-3</c:v>
                </c:pt>
                <c:pt idx="68">
                  <c:v>-1.1831726555652936E-2</c:v>
                </c:pt>
                <c:pt idx="69">
                  <c:v>-1.2269938650306749E-2</c:v>
                </c:pt>
                <c:pt idx="70">
                  <c:v>-1.2708150744960562E-2</c:v>
                </c:pt>
                <c:pt idx="71">
                  <c:v>-1.2708150744960562E-2</c:v>
                </c:pt>
                <c:pt idx="72">
                  <c:v>-1.2708150744960562E-2</c:v>
                </c:pt>
                <c:pt idx="73">
                  <c:v>-1.3365468886941279E-2</c:v>
                </c:pt>
                <c:pt idx="74">
                  <c:v>-1.3365468886941279E-2</c:v>
                </c:pt>
                <c:pt idx="75">
                  <c:v>-1.3146362839614373E-2</c:v>
                </c:pt>
                <c:pt idx="76">
                  <c:v>-1.3146362839614373E-2</c:v>
                </c:pt>
                <c:pt idx="77">
                  <c:v>-1.3146362839614373E-2</c:v>
                </c:pt>
                <c:pt idx="78">
                  <c:v>-1.3146362839614373E-2</c:v>
                </c:pt>
                <c:pt idx="79">
                  <c:v>-1.2927256792287466E-2</c:v>
                </c:pt>
                <c:pt idx="80">
                  <c:v>-1.2269938650306749E-2</c:v>
                </c:pt>
                <c:pt idx="81">
                  <c:v>-1.2050832602979842E-2</c:v>
                </c:pt>
                <c:pt idx="82">
                  <c:v>-1.1612620508326029E-2</c:v>
                </c:pt>
                <c:pt idx="83">
                  <c:v>-1.2050832602979842E-2</c:v>
                </c:pt>
                <c:pt idx="84">
                  <c:v>-1.2050832602979842E-2</c:v>
                </c:pt>
                <c:pt idx="85">
                  <c:v>-1.1393514460999123E-2</c:v>
                </c:pt>
                <c:pt idx="86">
                  <c:v>-1.0955302366345312E-2</c:v>
                </c:pt>
                <c:pt idx="87">
                  <c:v>-1.0517090271691499E-2</c:v>
                </c:pt>
                <c:pt idx="88">
                  <c:v>-9.6406660823838732E-3</c:v>
                </c:pt>
                <c:pt idx="89">
                  <c:v>-6.5731814198071864E-3</c:v>
                </c:pt>
                <c:pt idx="90">
                  <c:v>5.6967572304995615E-3</c:v>
                </c:pt>
                <c:pt idx="91">
                  <c:v>4.8203330411919366E-3</c:v>
                </c:pt>
                <c:pt idx="92">
                  <c:v>-4.3821209465381246E-4</c:v>
                </c:pt>
                <c:pt idx="93">
                  <c:v>4.3821209465381246E-4</c:v>
                </c:pt>
                <c:pt idx="94">
                  <c:v>4.3821209465381246E-4</c:v>
                </c:pt>
                <c:pt idx="95">
                  <c:v>0</c:v>
                </c:pt>
                <c:pt idx="96">
                  <c:v>8.7642418930762491E-4</c:v>
                </c:pt>
                <c:pt idx="97">
                  <c:v>2.1910604732690623E-3</c:v>
                </c:pt>
                <c:pt idx="98">
                  <c:v>1.3146362839614374E-3</c:v>
                </c:pt>
                <c:pt idx="99">
                  <c:v>-1.3146362839614374E-3</c:v>
                </c:pt>
                <c:pt idx="100">
                  <c:v>-2.6292725679228747E-3</c:v>
                </c:pt>
                <c:pt idx="101">
                  <c:v>-3.9439088518843117E-3</c:v>
                </c:pt>
                <c:pt idx="102">
                  <c:v>-1.7528483786152498E-3</c:v>
                </c:pt>
                <c:pt idx="103">
                  <c:v>-1.5337423312883436E-3</c:v>
                </c:pt>
                <c:pt idx="104">
                  <c:v>-5.2585451358457495E-3</c:v>
                </c:pt>
                <c:pt idx="105">
                  <c:v>-8.7642418930762491E-3</c:v>
                </c:pt>
                <c:pt idx="106">
                  <c:v>-6.5731814198071864E-3</c:v>
                </c:pt>
                <c:pt idx="107">
                  <c:v>-6.5731814198071864E-3</c:v>
                </c:pt>
                <c:pt idx="108">
                  <c:v>-9.202453987730062E-3</c:v>
                </c:pt>
                <c:pt idx="109">
                  <c:v>-9.202453987730062E-3</c:v>
                </c:pt>
                <c:pt idx="110">
                  <c:v>-9.202453987730062E-3</c:v>
                </c:pt>
                <c:pt idx="111">
                  <c:v>-9.202453987730062E-3</c:v>
                </c:pt>
                <c:pt idx="112">
                  <c:v>-1.0078878177037686E-2</c:v>
                </c:pt>
                <c:pt idx="113">
                  <c:v>-1.0078878177037686E-2</c:v>
                </c:pt>
                <c:pt idx="114">
                  <c:v>-1.2269938650306749E-2</c:v>
                </c:pt>
                <c:pt idx="115">
                  <c:v>-1.3584574934268186E-2</c:v>
                </c:pt>
                <c:pt idx="116">
                  <c:v>-1.2708150744960562E-2</c:v>
                </c:pt>
                <c:pt idx="117">
                  <c:v>-1.2708150744960562E-2</c:v>
                </c:pt>
                <c:pt idx="118">
                  <c:v>-1.2708150744960562E-2</c:v>
                </c:pt>
                <c:pt idx="119">
                  <c:v>-1.2269938650306749E-2</c:v>
                </c:pt>
                <c:pt idx="120">
                  <c:v>-1.2269938650306749E-2</c:v>
                </c:pt>
                <c:pt idx="121">
                  <c:v>-1.1393514460999123E-2</c:v>
                </c:pt>
                <c:pt idx="122">
                  <c:v>-1.2708150744960562E-2</c:v>
                </c:pt>
                <c:pt idx="123">
                  <c:v>-1.5337423312883436E-2</c:v>
                </c:pt>
                <c:pt idx="124">
                  <c:v>-1.621384750219106E-2</c:v>
                </c:pt>
                <c:pt idx="125">
                  <c:v>-1.4022787028921999E-2</c:v>
                </c:pt>
                <c:pt idx="126">
                  <c:v>-1.5337423312883436E-2</c:v>
                </c:pt>
                <c:pt idx="127">
                  <c:v>-1.5775635407537247E-2</c:v>
                </c:pt>
                <c:pt idx="128">
                  <c:v>-1.5337423312883436E-2</c:v>
                </c:pt>
                <c:pt idx="129">
                  <c:v>-1.5337423312883436E-2</c:v>
                </c:pt>
                <c:pt idx="130">
                  <c:v>-1.5337423312883436E-2</c:v>
                </c:pt>
                <c:pt idx="131">
                  <c:v>-1.5337423312883436E-2</c:v>
                </c:pt>
                <c:pt idx="132">
                  <c:v>-1.5337423312883436E-2</c:v>
                </c:pt>
                <c:pt idx="133">
                  <c:v>-1.5337423312883436E-2</c:v>
                </c:pt>
                <c:pt idx="134">
                  <c:v>-1.5337423312883436E-2</c:v>
                </c:pt>
                <c:pt idx="135">
                  <c:v>-1.4022787028921999E-2</c:v>
                </c:pt>
                <c:pt idx="136">
                  <c:v>-1.0955302366345312E-2</c:v>
                </c:pt>
                <c:pt idx="137">
                  <c:v>-1.3146362839614373E-2</c:v>
                </c:pt>
                <c:pt idx="138">
                  <c:v>-1.3584574934268186E-2</c:v>
                </c:pt>
                <c:pt idx="139">
                  <c:v>-1.3146362839614373E-2</c:v>
                </c:pt>
                <c:pt idx="140">
                  <c:v>-1.1831726555652936E-2</c:v>
                </c:pt>
                <c:pt idx="141">
                  <c:v>-1.0517090271691499E-2</c:v>
                </c:pt>
                <c:pt idx="142">
                  <c:v>-1.0078878177037686E-2</c:v>
                </c:pt>
                <c:pt idx="143">
                  <c:v>-8.7642418930762491E-3</c:v>
                </c:pt>
                <c:pt idx="144">
                  <c:v>-6.5731814198071864E-3</c:v>
                </c:pt>
                <c:pt idx="145">
                  <c:v>-8.7642418930762491E-3</c:v>
                </c:pt>
                <c:pt idx="146">
                  <c:v>-8.3260297984224362E-3</c:v>
                </c:pt>
                <c:pt idx="147">
                  <c:v>-7.4496056091148113E-3</c:v>
                </c:pt>
                <c:pt idx="148">
                  <c:v>-7.4496056091148113E-3</c:v>
                </c:pt>
                <c:pt idx="149">
                  <c:v>-7.4496056091148113E-3</c:v>
                </c:pt>
                <c:pt idx="150">
                  <c:v>-7.8878177037686233E-3</c:v>
                </c:pt>
                <c:pt idx="151">
                  <c:v>-7.8878177037686233E-3</c:v>
                </c:pt>
                <c:pt idx="152">
                  <c:v>-6.5731814198071864E-3</c:v>
                </c:pt>
                <c:pt idx="153">
                  <c:v>-6.5731814198071864E-3</c:v>
                </c:pt>
                <c:pt idx="154">
                  <c:v>-6.5731814198071864E-3</c:v>
                </c:pt>
                <c:pt idx="155">
                  <c:v>-6.1349693251533744E-3</c:v>
                </c:pt>
                <c:pt idx="156">
                  <c:v>-6.1349693251533744E-3</c:v>
                </c:pt>
                <c:pt idx="157">
                  <c:v>-6.1349693251533744E-3</c:v>
                </c:pt>
                <c:pt idx="158">
                  <c:v>-6.5731814198071864E-3</c:v>
                </c:pt>
                <c:pt idx="159">
                  <c:v>-5.2585451358457495E-3</c:v>
                </c:pt>
                <c:pt idx="160">
                  <c:v>-4.3821209465381246E-3</c:v>
                </c:pt>
                <c:pt idx="161">
                  <c:v>-4.3821209465381246E-3</c:v>
                </c:pt>
                <c:pt idx="162">
                  <c:v>-4.8203330411919366E-3</c:v>
                </c:pt>
                <c:pt idx="163">
                  <c:v>-4.8203330411919366E-3</c:v>
                </c:pt>
                <c:pt idx="164">
                  <c:v>-5.6967572304995615E-3</c:v>
                </c:pt>
                <c:pt idx="165">
                  <c:v>-5.2585451358457495E-3</c:v>
                </c:pt>
                <c:pt idx="166">
                  <c:v>-5.039439088518843E-3</c:v>
                </c:pt>
                <c:pt idx="167">
                  <c:v>-4.8203330411919366E-3</c:v>
                </c:pt>
                <c:pt idx="168">
                  <c:v>-5.039439088518843E-3</c:v>
                </c:pt>
                <c:pt idx="169">
                  <c:v>-5.2585451358457495E-3</c:v>
                </c:pt>
                <c:pt idx="170">
                  <c:v>-5.039439088518843E-3</c:v>
                </c:pt>
                <c:pt idx="171">
                  <c:v>-4.8203330411919366E-3</c:v>
                </c:pt>
                <c:pt idx="172">
                  <c:v>-5.6967572304995615E-3</c:v>
                </c:pt>
                <c:pt idx="173">
                  <c:v>-6.5731814198071864E-3</c:v>
                </c:pt>
                <c:pt idx="174">
                  <c:v>-6.5731814198071864E-3</c:v>
                </c:pt>
                <c:pt idx="175">
                  <c:v>-6.5731814198071864E-3</c:v>
                </c:pt>
                <c:pt idx="176">
                  <c:v>-5.2585451358457495E-3</c:v>
                </c:pt>
                <c:pt idx="177">
                  <c:v>-5.2585451358457495E-3</c:v>
                </c:pt>
                <c:pt idx="178">
                  <c:v>-5.6967572304995615E-3</c:v>
                </c:pt>
                <c:pt idx="179">
                  <c:v>-5.6967572304995615E-3</c:v>
                </c:pt>
                <c:pt idx="180">
                  <c:v>-4.601226993865031E-3</c:v>
                </c:pt>
                <c:pt idx="181">
                  <c:v>-4.8203330411919366E-3</c:v>
                </c:pt>
                <c:pt idx="182">
                  <c:v>-3.9439088518843117E-3</c:v>
                </c:pt>
                <c:pt idx="183">
                  <c:v>-3.9439088518843117E-3</c:v>
                </c:pt>
                <c:pt idx="184">
                  <c:v>-3.0674846625766872E-3</c:v>
                </c:pt>
                <c:pt idx="185">
                  <c:v>-1.5337423312883436E-3</c:v>
                </c:pt>
                <c:pt idx="186">
                  <c:v>-1.0955302366345311E-3</c:v>
                </c:pt>
                <c:pt idx="187">
                  <c:v>-1.0955302366345311E-3</c:v>
                </c:pt>
                <c:pt idx="188">
                  <c:v>-8.7642418930762491E-4</c:v>
                </c:pt>
                <c:pt idx="189">
                  <c:v>-4.3821209465381246E-4</c:v>
                </c:pt>
                <c:pt idx="190">
                  <c:v>-4.3821209465381246E-4</c:v>
                </c:pt>
                <c:pt idx="191">
                  <c:v>-1.0955302366345311E-3</c:v>
                </c:pt>
                <c:pt idx="192">
                  <c:v>-1.7528483786152498E-3</c:v>
                </c:pt>
                <c:pt idx="193">
                  <c:v>-1.5337423312883436E-3</c:v>
                </c:pt>
                <c:pt idx="194">
                  <c:v>-8.7642418930762491E-4</c:v>
                </c:pt>
                <c:pt idx="195">
                  <c:v>-1.7528483786152498E-3</c:v>
                </c:pt>
                <c:pt idx="196">
                  <c:v>-1.7528483786152498E-3</c:v>
                </c:pt>
                <c:pt idx="197">
                  <c:v>-1.5337423312883436E-3</c:v>
                </c:pt>
                <c:pt idx="198">
                  <c:v>-2.4101665205959683E-3</c:v>
                </c:pt>
                <c:pt idx="199">
                  <c:v>3.0674846625766872E-3</c:v>
                </c:pt>
                <c:pt idx="200">
                  <c:v>4.3821209465381246E-3</c:v>
                </c:pt>
                <c:pt idx="201">
                  <c:v>4.3821209465381246E-3</c:v>
                </c:pt>
                <c:pt idx="202">
                  <c:v>4.3821209465381246E-3</c:v>
                </c:pt>
                <c:pt idx="203">
                  <c:v>6.1349693251533744E-3</c:v>
                </c:pt>
                <c:pt idx="204">
                  <c:v>6.5731814198071864E-3</c:v>
                </c:pt>
                <c:pt idx="205">
                  <c:v>7.6687116564417178E-3</c:v>
                </c:pt>
                <c:pt idx="206">
                  <c:v>7.8878177037686233E-3</c:v>
                </c:pt>
                <c:pt idx="207">
                  <c:v>8.1069237510955298E-3</c:v>
                </c:pt>
                <c:pt idx="208">
                  <c:v>9.6406660823838732E-3</c:v>
                </c:pt>
                <c:pt idx="209">
                  <c:v>9.6406660823838732E-3</c:v>
                </c:pt>
                <c:pt idx="210">
                  <c:v>9.202453987730062E-3</c:v>
                </c:pt>
                <c:pt idx="211">
                  <c:v>9.202453987730062E-3</c:v>
                </c:pt>
                <c:pt idx="212">
                  <c:v>8.7642418930762491E-3</c:v>
                </c:pt>
                <c:pt idx="213">
                  <c:v>8.7642418930762491E-3</c:v>
                </c:pt>
                <c:pt idx="214">
                  <c:v>9.202453987730062E-3</c:v>
                </c:pt>
                <c:pt idx="215">
                  <c:v>9.6406660823838732E-3</c:v>
                </c:pt>
                <c:pt idx="216">
                  <c:v>9.202453987730062E-3</c:v>
                </c:pt>
                <c:pt idx="217">
                  <c:v>8.9833479404031556E-3</c:v>
                </c:pt>
                <c:pt idx="218">
                  <c:v>8.5451358457493427E-3</c:v>
                </c:pt>
                <c:pt idx="219">
                  <c:v>8.7642418930762491E-3</c:v>
                </c:pt>
                <c:pt idx="220">
                  <c:v>7.8878177037686233E-3</c:v>
                </c:pt>
                <c:pt idx="221">
                  <c:v>7.8878177037686233E-3</c:v>
                </c:pt>
                <c:pt idx="222">
                  <c:v>9.202453987730062E-3</c:v>
                </c:pt>
                <c:pt idx="223">
                  <c:v>1.0517090271691499E-2</c:v>
                </c:pt>
                <c:pt idx="224">
                  <c:v>1.0078878177037686E-2</c:v>
                </c:pt>
                <c:pt idx="225">
                  <c:v>1.0517090271691499E-2</c:v>
                </c:pt>
                <c:pt idx="226">
                  <c:v>1.0955302366345312E-2</c:v>
                </c:pt>
                <c:pt idx="227">
                  <c:v>1.0955302366345312E-2</c:v>
                </c:pt>
                <c:pt idx="228">
                  <c:v>1.0955302366345312E-2</c:v>
                </c:pt>
                <c:pt idx="229">
                  <c:v>1.1174408413672217E-2</c:v>
                </c:pt>
                <c:pt idx="230">
                  <c:v>1.1393514460999123E-2</c:v>
                </c:pt>
                <c:pt idx="231">
                  <c:v>1.1393514460999123E-2</c:v>
                </c:pt>
                <c:pt idx="232">
                  <c:v>1.1393514460999123E-2</c:v>
                </c:pt>
                <c:pt idx="233">
                  <c:v>1.1393514460999123E-2</c:v>
                </c:pt>
                <c:pt idx="234">
                  <c:v>1.0955302366345312E-2</c:v>
                </c:pt>
                <c:pt idx="235">
                  <c:v>1.2489044697633655E-2</c:v>
                </c:pt>
                <c:pt idx="236">
                  <c:v>1.3584574934268186E-2</c:v>
                </c:pt>
                <c:pt idx="237">
                  <c:v>1.4899211218229623E-2</c:v>
                </c:pt>
                <c:pt idx="238">
                  <c:v>1.5775635407537247E-2</c:v>
                </c:pt>
                <c:pt idx="239">
                  <c:v>1.6432953549517966E-2</c:v>
                </c:pt>
                <c:pt idx="240">
                  <c:v>1.5775635407537247E-2</c:v>
                </c:pt>
                <c:pt idx="241">
                  <c:v>1.621384750219106E-2</c:v>
                </c:pt>
                <c:pt idx="242">
                  <c:v>1.5775635407537247E-2</c:v>
                </c:pt>
                <c:pt idx="243">
                  <c:v>1.7090271691498685E-2</c:v>
                </c:pt>
                <c:pt idx="244">
                  <c:v>1.7528483786152498E-2</c:v>
                </c:pt>
                <c:pt idx="245">
                  <c:v>1.8185801928133218E-2</c:v>
                </c:pt>
                <c:pt idx="246">
                  <c:v>1.9719544259421559E-2</c:v>
                </c:pt>
                <c:pt idx="247">
                  <c:v>2.0157756354075372E-2</c:v>
                </c:pt>
                <c:pt idx="248">
                  <c:v>1.9281332164767746E-2</c:v>
                </c:pt>
                <c:pt idx="249">
                  <c:v>1.8843120070113933E-2</c:v>
                </c:pt>
                <c:pt idx="250">
                  <c:v>1.8843120070113933E-2</c:v>
                </c:pt>
                <c:pt idx="251">
                  <c:v>1.8404907975460124E-2</c:v>
                </c:pt>
                <c:pt idx="252">
                  <c:v>1.7528483786152498E-2</c:v>
                </c:pt>
                <c:pt idx="253">
                  <c:v>1.5994741454864153E-2</c:v>
                </c:pt>
                <c:pt idx="254">
                  <c:v>1.6652059596844872E-2</c:v>
                </c:pt>
                <c:pt idx="255">
                  <c:v>1.7090271691498685E-2</c:v>
                </c:pt>
                <c:pt idx="256">
                  <c:v>1.5337423312883436E-2</c:v>
                </c:pt>
                <c:pt idx="257">
                  <c:v>1.5775635407537247E-2</c:v>
                </c:pt>
                <c:pt idx="258">
                  <c:v>1.621384750219106E-2</c:v>
                </c:pt>
                <c:pt idx="259">
                  <c:v>1.7528483786152498E-2</c:v>
                </c:pt>
                <c:pt idx="260">
                  <c:v>1.7966695880806311E-2</c:v>
                </c:pt>
                <c:pt idx="261">
                  <c:v>1.7528483786152498E-2</c:v>
                </c:pt>
                <c:pt idx="262">
                  <c:v>1.7528483786152498E-2</c:v>
                </c:pt>
                <c:pt idx="263">
                  <c:v>1.7528483786152498E-2</c:v>
                </c:pt>
                <c:pt idx="264">
                  <c:v>1.7528483786152498E-2</c:v>
                </c:pt>
                <c:pt idx="265">
                  <c:v>1.7528483786152498E-2</c:v>
                </c:pt>
                <c:pt idx="266">
                  <c:v>1.7528483786152498E-2</c:v>
                </c:pt>
                <c:pt idx="267">
                  <c:v>1.7966695880806311E-2</c:v>
                </c:pt>
                <c:pt idx="268">
                  <c:v>1.7966695880806311E-2</c:v>
                </c:pt>
                <c:pt idx="269">
                  <c:v>1.8185801928133218E-2</c:v>
                </c:pt>
                <c:pt idx="270">
                  <c:v>1.7966695880806311E-2</c:v>
                </c:pt>
                <c:pt idx="271">
                  <c:v>1.8185801928133218E-2</c:v>
                </c:pt>
                <c:pt idx="272">
                  <c:v>1.8185801928133218E-2</c:v>
                </c:pt>
                <c:pt idx="273">
                  <c:v>1.9281332164767746E-2</c:v>
                </c:pt>
                <c:pt idx="274">
                  <c:v>2.1034180543382998E-2</c:v>
                </c:pt>
                <c:pt idx="275">
                  <c:v>1.8843120070113933E-2</c:v>
                </c:pt>
                <c:pt idx="276">
                  <c:v>1.9281332164767746E-2</c:v>
                </c:pt>
                <c:pt idx="277">
                  <c:v>1.8404907975460124E-2</c:v>
                </c:pt>
                <c:pt idx="278">
                  <c:v>1.9281332164767746E-2</c:v>
                </c:pt>
                <c:pt idx="279">
                  <c:v>2.0595968448729185E-2</c:v>
                </c:pt>
                <c:pt idx="280">
                  <c:v>2.0595968448729185E-2</c:v>
                </c:pt>
                <c:pt idx="281">
                  <c:v>2.0595968448729185E-2</c:v>
                </c:pt>
                <c:pt idx="282">
                  <c:v>2.4101665205959685E-2</c:v>
                </c:pt>
                <c:pt idx="283">
                  <c:v>2.4101665205959685E-2</c:v>
                </c:pt>
                <c:pt idx="284">
                  <c:v>2.6730937773882558E-2</c:v>
                </c:pt>
                <c:pt idx="285">
                  <c:v>2.3663453111305872E-2</c:v>
                </c:pt>
                <c:pt idx="286">
                  <c:v>2.4539877300613498E-2</c:v>
                </c:pt>
                <c:pt idx="287">
                  <c:v>2.3663453111305872E-2</c:v>
                </c:pt>
                <c:pt idx="288">
                  <c:v>2.4539877300613498E-2</c:v>
                </c:pt>
                <c:pt idx="289">
                  <c:v>2.6292725679228746E-2</c:v>
                </c:pt>
                <c:pt idx="290">
                  <c:v>2.6730937773882558E-2</c:v>
                </c:pt>
                <c:pt idx="291">
                  <c:v>2.9141104294478526E-2</c:v>
                </c:pt>
                <c:pt idx="292">
                  <c:v>2.9798422436459245E-2</c:v>
                </c:pt>
                <c:pt idx="293">
                  <c:v>2.9798422436459245E-2</c:v>
                </c:pt>
                <c:pt idx="294">
                  <c:v>3.0455740578439965E-2</c:v>
                </c:pt>
                <c:pt idx="295">
                  <c:v>3.133216476774759E-2</c:v>
                </c:pt>
                <c:pt idx="296">
                  <c:v>3.133216476774759E-2</c:v>
                </c:pt>
                <c:pt idx="297">
                  <c:v>3.2427695004382119E-2</c:v>
                </c:pt>
                <c:pt idx="298">
                  <c:v>3.2646801051709029E-2</c:v>
                </c:pt>
                <c:pt idx="299">
                  <c:v>3.3304119193689745E-2</c:v>
                </c:pt>
                <c:pt idx="300">
                  <c:v>3.5933391761612622E-2</c:v>
                </c:pt>
                <c:pt idx="301">
                  <c:v>3.8562664329535493E-2</c:v>
                </c:pt>
                <c:pt idx="302">
                  <c:v>3.9877300613496931E-2</c:v>
                </c:pt>
                <c:pt idx="303">
                  <c:v>3.9439088518843118E-2</c:v>
                </c:pt>
                <c:pt idx="304">
                  <c:v>3.9000876424189306E-2</c:v>
                </c:pt>
                <c:pt idx="305">
                  <c:v>3.8781770376862403E-2</c:v>
                </c:pt>
                <c:pt idx="306">
                  <c:v>3.9000876424189306E-2</c:v>
                </c:pt>
                <c:pt idx="307">
                  <c:v>3.9000876424189306E-2</c:v>
                </c:pt>
                <c:pt idx="308">
                  <c:v>4.119193689745837E-2</c:v>
                </c:pt>
                <c:pt idx="309">
                  <c:v>4.1630148992112183E-2</c:v>
                </c:pt>
                <c:pt idx="310">
                  <c:v>4.6888694127957931E-2</c:v>
                </c:pt>
                <c:pt idx="311">
                  <c:v>4.8203330411919369E-2</c:v>
                </c:pt>
                <c:pt idx="312">
                  <c:v>5.7405784399649433E-2</c:v>
                </c:pt>
                <c:pt idx="313">
                  <c:v>6.2226117440841368E-2</c:v>
                </c:pt>
                <c:pt idx="314">
                  <c:v>6.5731814198071864E-2</c:v>
                </c:pt>
                <c:pt idx="315">
                  <c:v>6.7484662576687116E-2</c:v>
                </c:pt>
                <c:pt idx="316">
                  <c:v>7.6248904469763359E-2</c:v>
                </c:pt>
                <c:pt idx="317">
                  <c:v>7.6906222611744082E-2</c:v>
                </c:pt>
                <c:pt idx="318">
                  <c:v>7.7037686240140221E-2</c:v>
                </c:pt>
                <c:pt idx="319">
                  <c:v>7.6774758983347943E-2</c:v>
                </c:pt>
                <c:pt idx="320">
                  <c:v>7.655565293602104E-2</c:v>
                </c:pt>
                <c:pt idx="321">
                  <c:v>7.655565293602104E-2</c:v>
                </c:pt>
                <c:pt idx="322">
                  <c:v>7.664329535495179E-2</c:v>
                </c:pt>
                <c:pt idx="323">
                  <c:v>7.6730937773882554E-2</c:v>
                </c:pt>
                <c:pt idx="324">
                  <c:v>7.6336546888694123E-2</c:v>
                </c:pt>
                <c:pt idx="325">
                  <c:v>7.6292725679228748E-2</c:v>
                </c:pt>
                <c:pt idx="326">
                  <c:v>7.655565293602104E-2</c:v>
                </c:pt>
                <c:pt idx="327">
                  <c:v>7.8177037686240139E-2</c:v>
                </c:pt>
                <c:pt idx="328">
                  <c:v>8.2033304119193684E-2</c:v>
                </c:pt>
                <c:pt idx="329">
                  <c:v>8.2033304119193684E-2</c:v>
                </c:pt>
                <c:pt idx="330">
                  <c:v>8.1945661700262934E-2</c:v>
                </c:pt>
                <c:pt idx="331">
                  <c:v>7.9316389132340057E-2</c:v>
                </c:pt>
                <c:pt idx="332">
                  <c:v>7.6906222611744082E-2</c:v>
                </c:pt>
                <c:pt idx="333">
                  <c:v>7.7125328659070985E-2</c:v>
                </c:pt>
                <c:pt idx="334">
                  <c:v>7.7125328659070985E-2</c:v>
                </c:pt>
                <c:pt idx="335">
                  <c:v>7.7125328659070985E-2</c:v>
                </c:pt>
                <c:pt idx="336">
                  <c:v>7.7037686240140221E-2</c:v>
                </c:pt>
                <c:pt idx="337">
                  <c:v>7.6993865030674846E-2</c:v>
                </c:pt>
                <c:pt idx="338">
                  <c:v>7.9184925503943904E-2</c:v>
                </c:pt>
                <c:pt idx="339">
                  <c:v>7.909728308501314E-2</c:v>
                </c:pt>
                <c:pt idx="340">
                  <c:v>7.9053461875547765E-2</c:v>
                </c:pt>
                <c:pt idx="341">
                  <c:v>7.6687116564417179E-2</c:v>
                </c:pt>
                <c:pt idx="342">
                  <c:v>7.7125328659070985E-2</c:v>
                </c:pt>
                <c:pt idx="343">
                  <c:v>6.6170026292725684E-2</c:v>
                </c:pt>
                <c:pt idx="344">
                  <c:v>4.8641542506573182E-2</c:v>
                </c:pt>
                <c:pt idx="345">
                  <c:v>4.119193689745837E-2</c:v>
                </c:pt>
                <c:pt idx="346">
                  <c:v>4.6012269938650305E-2</c:v>
                </c:pt>
                <c:pt idx="347">
                  <c:v>3.9000876424189306E-2</c:v>
                </c:pt>
                <c:pt idx="348">
                  <c:v>3.2865907099035932E-2</c:v>
                </c:pt>
                <c:pt idx="349">
                  <c:v>2.497808939526731E-2</c:v>
                </c:pt>
                <c:pt idx="350">
                  <c:v>3.1113058720420684E-2</c:v>
                </c:pt>
                <c:pt idx="351">
                  <c:v>2.7169149868536371E-2</c:v>
                </c:pt>
                <c:pt idx="352">
                  <c:v>2.2787028921998246E-2</c:v>
                </c:pt>
                <c:pt idx="353">
                  <c:v>2.1910604732690624E-2</c:v>
                </c:pt>
                <c:pt idx="354">
                  <c:v>2.5854513584574933E-2</c:v>
                </c:pt>
                <c:pt idx="355">
                  <c:v>3.0236634531113058E-2</c:v>
                </c:pt>
                <c:pt idx="356">
                  <c:v>3.2865907099035932E-2</c:v>
                </c:pt>
                <c:pt idx="357">
                  <c:v>3.1989482909728306E-2</c:v>
                </c:pt>
                <c:pt idx="358">
                  <c:v>3.0236634531113058E-2</c:v>
                </c:pt>
                <c:pt idx="359">
                  <c:v>2.5416301489921123E-2</c:v>
                </c:pt>
                <c:pt idx="360">
                  <c:v>2.7607361963190184E-2</c:v>
                </c:pt>
                <c:pt idx="361">
                  <c:v>2.5416301489921123E-2</c:v>
                </c:pt>
                <c:pt idx="362">
                  <c:v>2.5416301489921123E-2</c:v>
                </c:pt>
                <c:pt idx="363">
                  <c:v>2.6730937773882558E-2</c:v>
                </c:pt>
                <c:pt idx="364">
                  <c:v>2.4539877300613498E-2</c:v>
                </c:pt>
                <c:pt idx="365">
                  <c:v>2.4539877300613498E-2</c:v>
                </c:pt>
                <c:pt idx="366">
                  <c:v>2.2787028921998246E-2</c:v>
                </c:pt>
                <c:pt idx="367">
                  <c:v>2.1910604732690624E-2</c:v>
                </c:pt>
                <c:pt idx="368">
                  <c:v>2.1472392638036811E-2</c:v>
                </c:pt>
                <c:pt idx="369">
                  <c:v>2.0157756354075372E-2</c:v>
                </c:pt>
                <c:pt idx="370">
                  <c:v>1.9719544259421559E-2</c:v>
                </c:pt>
                <c:pt idx="371">
                  <c:v>1.9719544259421559E-2</c:v>
                </c:pt>
                <c:pt idx="372">
                  <c:v>1.9281332164767746E-2</c:v>
                </c:pt>
                <c:pt idx="373">
                  <c:v>1.9281332164767746E-2</c:v>
                </c:pt>
                <c:pt idx="374">
                  <c:v>1.9281332164767746E-2</c:v>
                </c:pt>
                <c:pt idx="375">
                  <c:v>1.9281332164767746E-2</c:v>
                </c:pt>
                <c:pt idx="376">
                  <c:v>1.8843120070113933E-2</c:v>
                </c:pt>
                <c:pt idx="377">
                  <c:v>1.8843120070113933E-2</c:v>
                </c:pt>
                <c:pt idx="378">
                  <c:v>1.8843120070113933E-2</c:v>
                </c:pt>
                <c:pt idx="379">
                  <c:v>1.8843120070113933E-2</c:v>
                </c:pt>
                <c:pt idx="380">
                  <c:v>1.9281332164767746E-2</c:v>
                </c:pt>
                <c:pt idx="381">
                  <c:v>1.8843120070113933E-2</c:v>
                </c:pt>
                <c:pt idx="382">
                  <c:v>1.8843120070113933E-2</c:v>
                </c:pt>
                <c:pt idx="383">
                  <c:v>1.8843120070113933E-2</c:v>
                </c:pt>
                <c:pt idx="384">
                  <c:v>1.8843120070113933E-2</c:v>
                </c:pt>
                <c:pt idx="385">
                  <c:v>1.9719544259421559E-2</c:v>
                </c:pt>
                <c:pt idx="386">
                  <c:v>2.6292725679228746E-2</c:v>
                </c:pt>
                <c:pt idx="387">
                  <c:v>2.5416301489921123E-2</c:v>
                </c:pt>
                <c:pt idx="388">
                  <c:v>2.3663453111305872E-2</c:v>
                </c:pt>
                <c:pt idx="389">
                  <c:v>2.4320771253286591E-2</c:v>
                </c:pt>
                <c:pt idx="390">
                  <c:v>2.5416301489921123E-2</c:v>
                </c:pt>
                <c:pt idx="391">
                  <c:v>2.5416301489921123E-2</c:v>
                </c:pt>
                <c:pt idx="392">
                  <c:v>2.6292725679228746E-2</c:v>
                </c:pt>
                <c:pt idx="393">
                  <c:v>2.848378615249781E-2</c:v>
                </c:pt>
                <c:pt idx="394">
                  <c:v>3.4618755477651184E-2</c:v>
                </c:pt>
                <c:pt idx="395">
                  <c:v>3.1113058720420684E-2</c:v>
                </c:pt>
                <c:pt idx="396">
                  <c:v>3.0236634531113058E-2</c:v>
                </c:pt>
                <c:pt idx="397">
                  <c:v>3.3304119193689745E-2</c:v>
                </c:pt>
                <c:pt idx="398">
                  <c:v>3.5056967572304996E-2</c:v>
                </c:pt>
                <c:pt idx="399">
                  <c:v>3.4180543382997371E-2</c:v>
                </c:pt>
                <c:pt idx="400">
                  <c:v>3.5056967572304996E-2</c:v>
                </c:pt>
                <c:pt idx="401">
                  <c:v>3.5495179666958809E-2</c:v>
                </c:pt>
                <c:pt idx="402">
                  <c:v>3.1989482909728306E-2</c:v>
                </c:pt>
                <c:pt idx="403">
                  <c:v>3.0017528483786152E-2</c:v>
                </c:pt>
                <c:pt idx="404">
                  <c:v>3.0674846625766871E-2</c:v>
                </c:pt>
                <c:pt idx="405">
                  <c:v>2.9798422436459245E-2</c:v>
                </c:pt>
                <c:pt idx="406">
                  <c:v>2.8045574057843997E-2</c:v>
                </c:pt>
                <c:pt idx="407">
                  <c:v>3.0236634531113058E-2</c:v>
                </c:pt>
                <c:pt idx="408">
                  <c:v>3.0017528483786152E-2</c:v>
                </c:pt>
                <c:pt idx="409">
                  <c:v>2.848378615249781E-2</c:v>
                </c:pt>
                <c:pt idx="410">
                  <c:v>2.4101665205959685E-2</c:v>
                </c:pt>
                <c:pt idx="411">
                  <c:v>2.4101665205959685E-2</c:v>
                </c:pt>
                <c:pt idx="412">
                  <c:v>2.4539877300613498E-2</c:v>
                </c:pt>
                <c:pt idx="413">
                  <c:v>2.4539877300613498E-2</c:v>
                </c:pt>
                <c:pt idx="414">
                  <c:v>2.4539877300613498E-2</c:v>
                </c:pt>
                <c:pt idx="415">
                  <c:v>2.4539877300613498E-2</c:v>
                </c:pt>
                <c:pt idx="416">
                  <c:v>2.4539877300613498E-2</c:v>
                </c:pt>
                <c:pt idx="417">
                  <c:v>2.1910604732690624E-2</c:v>
                </c:pt>
                <c:pt idx="418">
                  <c:v>2.1034180543382998E-2</c:v>
                </c:pt>
                <c:pt idx="419">
                  <c:v>2.1472392638036811E-2</c:v>
                </c:pt>
                <c:pt idx="420">
                  <c:v>2.1472392638036811E-2</c:v>
                </c:pt>
                <c:pt idx="421">
                  <c:v>2.0595968448729185E-2</c:v>
                </c:pt>
                <c:pt idx="422">
                  <c:v>2.0157756354075372E-2</c:v>
                </c:pt>
                <c:pt idx="423">
                  <c:v>1.9719544259421559E-2</c:v>
                </c:pt>
                <c:pt idx="424">
                  <c:v>1.9281332164767746E-2</c:v>
                </c:pt>
                <c:pt idx="425">
                  <c:v>2.0157756354075372E-2</c:v>
                </c:pt>
                <c:pt idx="426">
                  <c:v>1.9500438212094653E-2</c:v>
                </c:pt>
                <c:pt idx="427">
                  <c:v>1.8843120070113933E-2</c:v>
                </c:pt>
                <c:pt idx="428">
                  <c:v>1.8843120070113933E-2</c:v>
                </c:pt>
                <c:pt idx="429">
                  <c:v>1.8843120070113933E-2</c:v>
                </c:pt>
                <c:pt idx="430">
                  <c:v>1.8843120070113933E-2</c:v>
                </c:pt>
                <c:pt idx="431">
                  <c:v>1.9281332164767746E-2</c:v>
                </c:pt>
                <c:pt idx="432">
                  <c:v>1.9281332164767746E-2</c:v>
                </c:pt>
                <c:pt idx="433">
                  <c:v>1.8404907975460124E-2</c:v>
                </c:pt>
                <c:pt idx="434">
                  <c:v>1.8843120070113933E-2</c:v>
                </c:pt>
                <c:pt idx="435">
                  <c:v>2.0595968448729185E-2</c:v>
                </c:pt>
                <c:pt idx="436">
                  <c:v>2.2348816827344433E-2</c:v>
                </c:pt>
                <c:pt idx="437">
                  <c:v>1.9938650306748466E-2</c:v>
                </c:pt>
                <c:pt idx="438">
                  <c:v>2.0595968448729185E-2</c:v>
                </c:pt>
                <c:pt idx="439">
                  <c:v>2.0595968448729185E-2</c:v>
                </c:pt>
                <c:pt idx="440">
                  <c:v>2.0157756354075372E-2</c:v>
                </c:pt>
                <c:pt idx="441">
                  <c:v>2.0157756354075372E-2</c:v>
                </c:pt>
                <c:pt idx="442">
                  <c:v>2.0157756354075372E-2</c:v>
                </c:pt>
                <c:pt idx="443">
                  <c:v>1.9281332164767746E-2</c:v>
                </c:pt>
                <c:pt idx="444">
                  <c:v>1.9281332164767746E-2</c:v>
                </c:pt>
                <c:pt idx="445">
                  <c:v>1.9281332164767746E-2</c:v>
                </c:pt>
                <c:pt idx="446">
                  <c:v>1.9281332164767746E-2</c:v>
                </c:pt>
                <c:pt idx="447">
                  <c:v>1.9281332164767746E-2</c:v>
                </c:pt>
                <c:pt idx="448">
                  <c:v>1.8843120070113933E-2</c:v>
                </c:pt>
                <c:pt idx="449">
                  <c:v>1.8843120070113933E-2</c:v>
                </c:pt>
                <c:pt idx="450">
                  <c:v>1.9281332164767746E-2</c:v>
                </c:pt>
                <c:pt idx="451">
                  <c:v>1.9281332164767746E-2</c:v>
                </c:pt>
                <c:pt idx="452">
                  <c:v>1.9719544259421559E-2</c:v>
                </c:pt>
                <c:pt idx="453">
                  <c:v>1.9719544259421559E-2</c:v>
                </c:pt>
                <c:pt idx="454">
                  <c:v>1.9719544259421559E-2</c:v>
                </c:pt>
                <c:pt idx="455">
                  <c:v>1.8843120070113933E-2</c:v>
                </c:pt>
                <c:pt idx="456">
                  <c:v>1.8843120070113933E-2</c:v>
                </c:pt>
                <c:pt idx="457">
                  <c:v>1.906222611744084E-2</c:v>
                </c:pt>
                <c:pt idx="458">
                  <c:v>1.8843120070113933E-2</c:v>
                </c:pt>
                <c:pt idx="459">
                  <c:v>2.0595968448729185E-2</c:v>
                </c:pt>
                <c:pt idx="460">
                  <c:v>1.862401402278703E-2</c:v>
                </c:pt>
                <c:pt idx="461">
                  <c:v>1.9281332164767746E-2</c:v>
                </c:pt>
                <c:pt idx="462">
                  <c:v>2.0595968448729185E-2</c:v>
                </c:pt>
                <c:pt idx="463">
                  <c:v>1.9719544259421559E-2</c:v>
                </c:pt>
                <c:pt idx="464">
                  <c:v>2.0595968448729185E-2</c:v>
                </c:pt>
                <c:pt idx="465">
                  <c:v>2.0157756354075372E-2</c:v>
                </c:pt>
                <c:pt idx="466">
                  <c:v>2.0376862401402279E-2</c:v>
                </c:pt>
                <c:pt idx="467">
                  <c:v>2.0815074496056091E-2</c:v>
                </c:pt>
                <c:pt idx="468">
                  <c:v>2.0157756354075372E-2</c:v>
                </c:pt>
                <c:pt idx="469">
                  <c:v>2.0157756354075372E-2</c:v>
                </c:pt>
                <c:pt idx="470">
                  <c:v>2.1034180543382998E-2</c:v>
                </c:pt>
                <c:pt idx="471">
                  <c:v>2.0595968448729185E-2</c:v>
                </c:pt>
                <c:pt idx="472">
                  <c:v>2.0595968448729185E-2</c:v>
                </c:pt>
                <c:pt idx="473">
                  <c:v>2.0595968448729185E-2</c:v>
                </c:pt>
                <c:pt idx="474">
                  <c:v>2.0157756354075372E-2</c:v>
                </c:pt>
                <c:pt idx="475">
                  <c:v>1.9719544259421559E-2</c:v>
                </c:pt>
                <c:pt idx="476">
                  <c:v>2.0595968448729185E-2</c:v>
                </c:pt>
                <c:pt idx="477">
                  <c:v>2.1034180543382998E-2</c:v>
                </c:pt>
                <c:pt idx="478">
                  <c:v>2.2348816827344433E-2</c:v>
                </c:pt>
                <c:pt idx="479">
                  <c:v>2.2348816827344433E-2</c:v>
                </c:pt>
                <c:pt idx="480">
                  <c:v>2.1910604732690624E-2</c:v>
                </c:pt>
                <c:pt idx="481">
                  <c:v>2.1910604732690624E-2</c:v>
                </c:pt>
                <c:pt idx="482">
                  <c:v>2.1472392638036811E-2</c:v>
                </c:pt>
                <c:pt idx="483">
                  <c:v>2.1472392638036811E-2</c:v>
                </c:pt>
                <c:pt idx="484">
                  <c:v>2.1910604732690624E-2</c:v>
                </c:pt>
                <c:pt idx="485">
                  <c:v>2.2348816827344433E-2</c:v>
                </c:pt>
                <c:pt idx="486">
                  <c:v>2.2787028921998246E-2</c:v>
                </c:pt>
                <c:pt idx="487">
                  <c:v>2.3225241016652059E-2</c:v>
                </c:pt>
                <c:pt idx="488">
                  <c:v>2.3663453111305872E-2</c:v>
                </c:pt>
                <c:pt idx="489">
                  <c:v>2.4539877300613498E-2</c:v>
                </c:pt>
                <c:pt idx="490">
                  <c:v>2.7607361963190184E-2</c:v>
                </c:pt>
                <c:pt idx="491">
                  <c:v>2.9360210341805432E-2</c:v>
                </c:pt>
                <c:pt idx="492">
                  <c:v>3.1989482909728306E-2</c:v>
                </c:pt>
                <c:pt idx="493">
                  <c:v>3.1113058720420684E-2</c:v>
                </c:pt>
                <c:pt idx="494">
                  <c:v>2.7169149868536371E-2</c:v>
                </c:pt>
                <c:pt idx="495">
                  <c:v>2.7607361963190184E-2</c:v>
                </c:pt>
                <c:pt idx="496">
                  <c:v>2.9360210341805432E-2</c:v>
                </c:pt>
                <c:pt idx="497">
                  <c:v>2.8921998247151623E-2</c:v>
                </c:pt>
                <c:pt idx="498">
                  <c:v>2.7388255915863278E-2</c:v>
                </c:pt>
                <c:pt idx="499">
                  <c:v>2.7169149868536371E-2</c:v>
                </c:pt>
                <c:pt idx="500">
                  <c:v>2.6730937773882558E-2</c:v>
                </c:pt>
                <c:pt idx="501">
                  <c:v>2.7169149868536371E-2</c:v>
                </c:pt>
                <c:pt idx="502">
                  <c:v>2.6950043821209465E-2</c:v>
                </c:pt>
                <c:pt idx="503">
                  <c:v>2.7169149868536371E-2</c:v>
                </c:pt>
                <c:pt idx="504">
                  <c:v>2.8045574057843997E-2</c:v>
                </c:pt>
                <c:pt idx="505">
                  <c:v>2.7826468010517091E-2</c:v>
                </c:pt>
                <c:pt idx="506">
                  <c:v>2.8045574057843997E-2</c:v>
                </c:pt>
                <c:pt idx="507">
                  <c:v>2.8264680105170904E-2</c:v>
                </c:pt>
                <c:pt idx="508">
                  <c:v>2.848378615249781E-2</c:v>
                </c:pt>
                <c:pt idx="509">
                  <c:v>2.9360210341805432E-2</c:v>
                </c:pt>
                <c:pt idx="510">
                  <c:v>2.9141104294478526E-2</c:v>
                </c:pt>
                <c:pt idx="511">
                  <c:v>2.9360210341805432E-2</c:v>
                </c:pt>
                <c:pt idx="512">
                  <c:v>3.0893952673093777E-2</c:v>
                </c:pt>
                <c:pt idx="513">
                  <c:v>3.1989482909728306E-2</c:v>
                </c:pt>
                <c:pt idx="514">
                  <c:v>3.0674846625766871E-2</c:v>
                </c:pt>
                <c:pt idx="515">
                  <c:v>3.0674846625766871E-2</c:v>
                </c:pt>
                <c:pt idx="516">
                  <c:v>3.0893952673093777E-2</c:v>
                </c:pt>
                <c:pt idx="517">
                  <c:v>3.1551270815074493E-2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71-4F54-B7E6-883D703C89B3}"/>
            </c:ext>
          </c:extLst>
        </c:ser>
        <c:ser>
          <c:idx val="1"/>
          <c:order val="1"/>
          <c:tx>
            <c:strRef>
              <c:f>'FX Data'!$D$8</c:f>
              <c:strCache>
                <c:ptCount val="1"/>
                <c:pt idx="0">
                  <c:v>EURVND</c:v>
                </c:pt>
              </c:strCache>
            </c:strRef>
          </c:tx>
          <c:spPr>
            <a:ln w="19050" cap="rnd">
              <a:solidFill>
                <a:sysClr val="window" lastClr="FFFFFF">
                  <a:lumMod val="65000"/>
                </a:sysClr>
              </a:solidFill>
              <a:round/>
            </a:ln>
            <a:effectLst/>
          </c:spPr>
          <c:marker>
            <c:symbol val="none"/>
          </c:marker>
          <c:cat>
            <c:numRef>
              <c:f>'FX Data'!$A$10:$A$663</c:f>
              <c:numCache>
                <c:formatCode>mm/dd/yyyy</c:formatCode>
                <c:ptCount val="654"/>
                <c:pt idx="0">
                  <c:v>44410.291666666701</c:v>
                </c:pt>
                <c:pt idx="1">
                  <c:v>44411.291666666701</c:v>
                </c:pt>
                <c:pt idx="2">
                  <c:v>44412.291666666701</c:v>
                </c:pt>
                <c:pt idx="3">
                  <c:v>44413.291666666701</c:v>
                </c:pt>
                <c:pt idx="4">
                  <c:v>44414.291666666701</c:v>
                </c:pt>
                <c:pt idx="5">
                  <c:v>44417.291666666701</c:v>
                </c:pt>
                <c:pt idx="6">
                  <c:v>44418.291666666701</c:v>
                </c:pt>
                <c:pt idx="7">
                  <c:v>44419.291666666701</c:v>
                </c:pt>
                <c:pt idx="8">
                  <c:v>44420.291666666701</c:v>
                </c:pt>
                <c:pt idx="9">
                  <c:v>44421.291666666701</c:v>
                </c:pt>
                <c:pt idx="10">
                  <c:v>44424.291666666701</c:v>
                </c:pt>
                <c:pt idx="11">
                  <c:v>44425.291666666701</c:v>
                </c:pt>
                <c:pt idx="12">
                  <c:v>44426.291666666701</c:v>
                </c:pt>
                <c:pt idx="13">
                  <c:v>44427.291666666701</c:v>
                </c:pt>
                <c:pt idx="14">
                  <c:v>44428.291666666701</c:v>
                </c:pt>
                <c:pt idx="15">
                  <c:v>44431.291666666701</c:v>
                </c:pt>
                <c:pt idx="16">
                  <c:v>44432.291666666701</c:v>
                </c:pt>
                <c:pt idx="17">
                  <c:v>44433.291666666701</c:v>
                </c:pt>
                <c:pt idx="18">
                  <c:v>44434.291666666701</c:v>
                </c:pt>
                <c:pt idx="19">
                  <c:v>44435.291666666701</c:v>
                </c:pt>
                <c:pt idx="20">
                  <c:v>44438.291666666701</c:v>
                </c:pt>
                <c:pt idx="21">
                  <c:v>44439.291666666701</c:v>
                </c:pt>
                <c:pt idx="22">
                  <c:v>44440.291666666701</c:v>
                </c:pt>
                <c:pt idx="23">
                  <c:v>44441.291666666701</c:v>
                </c:pt>
                <c:pt idx="24">
                  <c:v>44442.291666666701</c:v>
                </c:pt>
                <c:pt idx="25">
                  <c:v>44445.291666666701</c:v>
                </c:pt>
                <c:pt idx="26">
                  <c:v>44446.291666666701</c:v>
                </c:pt>
                <c:pt idx="27">
                  <c:v>44447.291666666701</c:v>
                </c:pt>
                <c:pt idx="28">
                  <c:v>44448.291666666701</c:v>
                </c:pt>
                <c:pt idx="29">
                  <c:v>44449.291666666701</c:v>
                </c:pt>
                <c:pt idx="30">
                  <c:v>44452.291666666701</c:v>
                </c:pt>
                <c:pt idx="31">
                  <c:v>44453.291666666701</c:v>
                </c:pt>
                <c:pt idx="32">
                  <c:v>44454.291666666701</c:v>
                </c:pt>
                <c:pt idx="33">
                  <c:v>44455.291666666701</c:v>
                </c:pt>
                <c:pt idx="34">
                  <c:v>44456.291666666701</c:v>
                </c:pt>
                <c:pt idx="35">
                  <c:v>44459.291666666701</c:v>
                </c:pt>
                <c:pt idx="36">
                  <c:v>44460.291666666701</c:v>
                </c:pt>
                <c:pt idx="37">
                  <c:v>44461.291666666701</c:v>
                </c:pt>
                <c:pt idx="38">
                  <c:v>44462.291666666701</c:v>
                </c:pt>
                <c:pt idx="39">
                  <c:v>44463.291666666701</c:v>
                </c:pt>
                <c:pt idx="40">
                  <c:v>44466.291666666701</c:v>
                </c:pt>
                <c:pt idx="41">
                  <c:v>44467.291666666701</c:v>
                </c:pt>
                <c:pt idx="42">
                  <c:v>44468.291666666701</c:v>
                </c:pt>
                <c:pt idx="43">
                  <c:v>44469.291666666701</c:v>
                </c:pt>
                <c:pt idx="44">
                  <c:v>44470.291666666701</c:v>
                </c:pt>
                <c:pt idx="45">
                  <c:v>44473.291666666701</c:v>
                </c:pt>
                <c:pt idx="46">
                  <c:v>44474.291666666701</c:v>
                </c:pt>
                <c:pt idx="47">
                  <c:v>44475.291666666701</c:v>
                </c:pt>
                <c:pt idx="48">
                  <c:v>44476.291666666701</c:v>
                </c:pt>
                <c:pt idx="49">
                  <c:v>44477.291666666701</c:v>
                </c:pt>
                <c:pt idx="50">
                  <c:v>44480.291666666701</c:v>
                </c:pt>
                <c:pt idx="51">
                  <c:v>44481.291666666701</c:v>
                </c:pt>
                <c:pt idx="52">
                  <c:v>44482.291666666701</c:v>
                </c:pt>
                <c:pt idx="53">
                  <c:v>44483.291666666701</c:v>
                </c:pt>
                <c:pt idx="54">
                  <c:v>44484.291666666701</c:v>
                </c:pt>
                <c:pt idx="55">
                  <c:v>44487.291666666701</c:v>
                </c:pt>
                <c:pt idx="56">
                  <c:v>44488.291666666701</c:v>
                </c:pt>
                <c:pt idx="57">
                  <c:v>44489.291666666701</c:v>
                </c:pt>
                <c:pt idx="58">
                  <c:v>44490.291666666701</c:v>
                </c:pt>
                <c:pt idx="59">
                  <c:v>44491.291666666701</c:v>
                </c:pt>
                <c:pt idx="60">
                  <c:v>44494.291666666701</c:v>
                </c:pt>
                <c:pt idx="61">
                  <c:v>44495.291666666701</c:v>
                </c:pt>
                <c:pt idx="62">
                  <c:v>44496.291666666701</c:v>
                </c:pt>
                <c:pt idx="63">
                  <c:v>44497.291666666701</c:v>
                </c:pt>
                <c:pt idx="64">
                  <c:v>44498.291666666701</c:v>
                </c:pt>
                <c:pt idx="65">
                  <c:v>44501.291666666701</c:v>
                </c:pt>
                <c:pt idx="66">
                  <c:v>44502.291666666701</c:v>
                </c:pt>
                <c:pt idx="67">
                  <c:v>44503.291666666701</c:v>
                </c:pt>
                <c:pt idx="68">
                  <c:v>44504.291666666701</c:v>
                </c:pt>
                <c:pt idx="69">
                  <c:v>44505.291666666701</c:v>
                </c:pt>
                <c:pt idx="70">
                  <c:v>44508.291666666701</c:v>
                </c:pt>
                <c:pt idx="71">
                  <c:v>44509.291666666701</c:v>
                </c:pt>
                <c:pt idx="72">
                  <c:v>44510.291666666701</c:v>
                </c:pt>
                <c:pt idx="73">
                  <c:v>44511.291666666701</c:v>
                </c:pt>
                <c:pt idx="74">
                  <c:v>44512.291666666701</c:v>
                </c:pt>
                <c:pt idx="75">
                  <c:v>44515.291666666701</c:v>
                </c:pt>
                <c:pt idx="76">
                  <c:v>44516.291666666701</c:v>
                </c:pt>
                <c:pt idx="77">
                  <c:v>44517.291666666701</c:v>
                </c:pt>
                <c:pt idx="78">
                  <c:v>44518.291666666701</c:v>
                </c:pt>
                <c:pt idx="79">
                  <c:v>44519.291666666701</c:v>
                </c:pt>
                <c:pt idx="80">
                  <c:v>44522.291666666701</c:v>
                </c:pt>
                <c:pt idx="81">
                  <c:v>44523.291666666701</c:v>
                </c:pt>
                <c:pt idx="82">
                  <c:v>44524.291666666701</c:v>
                </c:pt>
                <c:pt idx="83">
                  <c:v>44525.291666666701</c:v>
                </c:pt>
                <c:pt idx="84">
                  <c:v>44526.291666666701</c:v>
                </c:pt>
                <c:pt idx="85">
                  <c:v>44529.291666666701</c:v>
                </c:pt>
                <c:pt idx="86">
                  <c:v>44530.291666666701</c:v>
                </c:pt>
                <c:pt idx="87">
                  <c:v>44531.291666666701</c:v>
                </c:pt>
                <c:pt idx="88">
                  <c:v>44532.291666666701</c:v>
                </c:pt>
                <c:pt idx="89">
                  <c:v>44533.291666666701</c:v>
                </c:pt>
                <c:pt idx="90">
                  <c:v>44536.291666666701</c:v>
                </c:pt>
                <c:pt idx="91">
                  <c:v>44537.291666666701</c:v>
                </c:pt>
                <c:pt idx="92">
                  <c:v>44538.291666666701</c:v>
                </c:pt>
                <c:pt idx="93">
                  <c:v>44539.291666666701</c:v>
                </c:pt>
                <c:pt idx="94">
                  <c:v>44540.291666666701</c:v>
                </c:pt>
                <c:pt idx="95">
                  <c:v>44543.291666666701</c:v>
                </c:pt>
                <c:pt idx="96">
                  <c:v>44544.291666666701</c:v>
                </c:pt>
                <c:pt idx="97">
                  <c:v>44545.291666666701</c:v>
                </c:pt>
                <c:pt idx="98">
                  <c:v>44546.291666666701</c:v>
                </c:pt>
                <c:pt idx="99">
                  <c:v>44547.291666666701</c:v>
                </c:pt>
                <c:pt idx="100">
                  <c:v>44550.291666666701</c:v>
                </c:pt>
                <c:pt idx="101">
                  <c:v>44551.291666666701</c:v>
                </c:pt>
                <c:pt idx="102">
                  <c:v>44552.291666666701</c:v>
                </c:pt>
                <c:pt idx="103">
                  <c:v>44553.291666666701</c:v>
                </c:pt>
                <c:pt idx="104">
                  <c:v>44554.291666666701</c:v>
                </c:pt>
                <c:pt idx="105">
                  <c:v>44557.291666666701</c:v>
                </c:pt>
                <c:pt idx="106">
                  <c:v>44558.291666666701</c:v>
                </c:pt>
                <c:pt idx="107">
                  <c:v>44559.291666666701</c:v>
                </c:pt>
                <c:pt idx="108">
                  <c:v>44560.291666666701</c:v>
                </c:pt>
                <c:pt idx="109">
                  <c:v>44561.291666666701</c:v>
                </c:pt>
                <c:pt idx="110">
                  <c:v>44564.291666666701</c:v>
                </c:pt>
                <c:pt idx="111">
                  <c:v>44565.291666666701</c:v>
                </c:pt>
                <c:pt idx="112">
                  <c:v>44566.291666666701</c:v>
                </c:pt>
                <c:pt idx="113">
                  <c:v>44567.291666666701</c:v>
                </c:pt>
                <c:pt idx="114">
                  <c:v>44568.291666666701</c:v>
                </c:pt>
                <c:pt idx="115">
                  <c:v>44571.291666666701</c:v>
                </c:pt>
                <c:pt idx="116">
                  <c:v>44572.291666666701</c:v>
                </c:pt>
                <c:pt idx="117">
                  <c:v>44573.291666666701</c:v>
                </c:pt>
                <c:pt idx="118">
                  <c:v>44574.291666666701</c:v>
                </c:pt>
                <c:pt idx="119">
                  <c:v>44575.291666666701</c:v>
                </c:pt>
                <c:pt idx="120">
                  <c:v>44578.291666666701</c:v>
                </c:pt>
                <c:pt idx="121">
                  <c:v>44579.291666666701</c:v>
                </c:pt>
                <c:pt idx="122">
                  <c:v>44580.291666666701</c:v>
                </c:pt>
                <c:pt idx="123">
                  <c:v>44581.291666666701</c:v>
                </c:pt>
                <c:pt idx="124">
                  <c:v>44582.291666666701</c:v>
                </c:pt>
                <c:pt idx="125">
                  <c:v>44585.291666666701</c:v>
                </c:pt>
                <c:pt idx="126">
                  <c:v>44586.291666666701</c:v>
                </c:pt>
                <c:pt idx="127">
                  <c:v>44587.291666666701</c:v>
                </c:pt>
                <c:pt idx="128">
                  <c:v>44588.291666666701</c:v>
                </c:pt>
                <c:pt idx="129">
                  <c:v>44589.291666666701</c:v>
                </c:pt>
                <c:pt idx="130">
                  <c:v>44592.291666666701</c:v>
                </c:pt>
                <c:pt idx="131">
                  <c:v>44593.291666666701</c:v>
                </c:pt>
                <c:pt idx="132">
                  <c:v>44594.291666666701</c:v>
                </c:pt>
                <c:pt idx="133">
                  <c:v>44595.291666666701</c:v>
                </c:pt>
                <c:pt idx="134">
                  <c:v>44596.291666666701</c:v>
                </c:pt>
                <c:pt idx="135">
                  <c:v>44599.291666666701</c:v>
                </c:pt>
                <c:pt idx="136">
                  <c:v>44600.291666666701</c:v>
                </c:pt>
                <c:pt idx="137">
                  <c:v>44601.291666666701</c:v>
                </c:pt>
                <c:pt idx="138">
                  <c:v>44602.291666666701</c:v>
                </c:pt>
                <c:pt idx="139">
                  <c:v>44603.291666666701</c:v>
                </c:pt>
                <c:pt idx="140">
                  <c:v>44606.291666666701</c:v>
                </c:pt>
                <c:pt idx="141">
                  <c:v>44607.291666666701</c:v>
                </c:pt>
                <c:pt idx="142">
                  <c:v>44608.291666666701</c:v>
                </c:pt>
                <c:pt idx="143">
                  <c:v>44609.291666666701</c:v>
                </c:pt>
                <c:pt idx="144">
                  <c:v>44610.291666666701</c:v>
                </c:pt>
                <c:pt idx="145">
                  <c:v>44613.291666666701</c:v>
                </c:pt>
                <c:pt idx="146">
                  <c:v>44614.291666666701</c:v>
                </c:pt>
                <c:pt idx="147">
                  <c:v>44615.291666666701</c:v>
                </c:pt>
                <c:pt idx="148">
                  <c:v>44616.291666666701</c:v>
                </c:pt>
                <c:pt idx="149">
                  <c:v>44617.291666666701</c:v>
                </c:pt>
                <c:pt idx="150">
                  <c:v>44620.291666666701</c:v>
                </c:pt>
                <c:pt idx="151">
                  <c:v>44621.291666666701</c:v>
                </c:pt>
                <c:pt idx="152">
                  <c:v>44622.291666666701</c:v>
                </c:pt>
                <c:pt idx="153">
                  <c:v>44623.291666666701</c:v>
                </c:pt>
                <c:pt idx="154">
                  <c:v>44624.291666666701</c:v>
                </c:pt>
                <c:pt idx="155">
                  <c:v>44627.291666666701</c:v>
                </c:pt>
                <c:pt idx="156">
                  <c:v>44628.291666666701</c:v>
                </c:pt>
                <c:pt idx="157">
                  <c:v>44629.291666666701</c:v>
                </c:pt>
                <c:pt idx="158">
                  <c:v>44630.291666666701</c:v>
                </c:pt>
                <c:pt idx="159">
                  <c:v>44631.291666666701</c:v>
                </c:pt>
                <c:pt idx="160">
                  <c:v>44634.291666666701</c:v>
                </c:pt>
                <c:pt idx="161">
                  <c:v>44635.291666666701</c:v>
                </c:pt>
                <c:pt idx="162">
                  <c:v>44636.291666666701</c:v>
                </c:pt>
                <c:pt idx="163">
                  <c:v>44637.291666666701</c:v>
                </c:pt>
                <c:pt idx="164">
                  <c:v>44638.291666666701</c:v>
                </c:pt>
                <c:pt idx="165">
                  <c:v>44641.291666666701</c:v>
                </c:pt>
                <c:pt idx="166">
                  <c:v>44642.291666666701</c:v>
                </c:pt>
                <c:pt idx="167">
                  <c:v>44643.291666666701</c:v>
                </c:pt>
                <c:pt idx="168">
                  <c:v>44644.291666666701</c:v>
                </c:pt>
                <c:pt idx="169">
                  <c:v>44645.291666666701</c:v>
                </c:pt>
                <c:pt idx="170">
                  <c:v>44648.291666666701</c:v>
                </c:pt>
                <c:pt idx="171">
                  <c:v>44649.291666666701</c:v>
                </c:pt>
                <c:pt idx="172">
                  <c:v>44650.291666666701</c:v>
                </c:pt>
                <c:pt idx="173">
                  <c:v>44651.291666666701</c:v>
                </c:pt>
                <c:pt idx="174">
                  <c:v>44652.291666666701</c:v>
                </c:pt>
                <c:pt idx="175">
                  <c:v>44655.291666666701</c:v>
                </c:pt>
                <c:pt idx="176">
                  <c:v>44656.291666666701</c:v>
                </c:pt>
                <c:pt idx="177">
                  <c:v>44657.291666666701</c:v>
                </c:pt>
                <c:pt idx="178">
                  <c:v>44658.291666666701</c:v>
                </c:pt>
                <c:pt idx="179">
                  <c:v>44659.291666666701</c:v>
                </c:pt>
                <c:pt idx="180">
                  <c:v>44663.291666666701</c:v>
                </c:pt>
                <c:pt idx="181">
                  <c:v>44664.291666666701</c:v>
                </c:pt>
                <c:pt idx="182">
                  <c:v>44665.291666666701</c:v>
                </c:pt>
                <c:pt idx="183">
                  <c:v>44666.291666666701</c:v>
                </c:pt>
                <c:pt idx="184">
                  <c:v>44669.291666666701</c:v>
                </c:pt>
                <c:pt idx="185">
                  <c:v>44670.291666666701</c:v>
                </c:pt>
                <c:pt idx="186">
                  <c:v>44671.291666666701</c:v>
                </c:pt>
                <c:pt idx="187">
                  <c:v>44672.291666666701</c:v>
                </c:pt>
                <c:pt idx="188">
                  <c:v>44673.291666666701</c:v>
                </c:pt>
                <c:pt idx="189">
                  <c:v>44676.291666666701</c:v>
                </c:pt>
                <c:pt idx="190">
                  <c:v>44677.291666666701</c:v>
                </c:pt>
                <c:pt idx="191">
                  <c:v>44678.291666666701</c:v>
                </c:pt>
                <c:pt idx="192">
                  <c:v>44679.291666666701</c:v>
                </c:pt>
                <c:pt idx="193">
                  <c:v>44680.291666666701</c:v>
                </c:pt>
                <c:pt idx="194">
                  <c:v>44685.291666666701</c:v>
                </c:pt>
                <c:pt idx="195">
                  <c:v>44686.291666666701</c:v>
                </c:pt>
                <c:pt idx="196">
                  <c:v>44687.291666666701</c:v>
                </c:pt>
                <c:pt idx="197">
                  <c:v>44690.291666666701</c:v>
                </c:pt>
                <c:pt idx="198">
                  <c:v>44691.291666666701</c:v>
                </c:pt>
                <c:pt idx="199">
                  <c:v>44692.291666666701</c:v>
                </c:pt>
                <c:pt idx="200">
                  <c:v>44693.291666666701</c:v>
                </c:pt>
                <c:pt idx="201">
                  <c:v>44694.291666666701</c:v>
                </c:pt>
                <c:pt idx="202">
                  <c:v>44697.291666666701</c:v>
                </c:pt>
                <c:pt idx="203">
                  <c:v>44698.291666666701</c:v>
                </c:pt>
                <c:pt idx="204">
                  <c:v>44699.291666666701</c:v>
                </c:pt>
                <c:pt idx="205">
                  <c:v>44700.291666666701</c:v>
                </c:pt>
                <c:pt idx="206">
                  <c:v>44701.291666666701</c:v>
                </c:pt>
                <c:pt idx="207">
                  <c:v>44704.291666666701</c:v>
                </c:pt>
                <c:pt idx="208">
                  <c:v>44705.291666666701</c:v>
                </c:pt>
                <c:pt idx="209">
                  <c:v>44706.291666666701</c:v>
                </c:pt>
                <c:pt idx="210">
                  <c:v>44707.291666666701</c:v>
                </c:pt>
                <c:pt idx="211">
                  <c:v>44708.291666666701</c:v>
                </c:pt>
                <c:pt idx="212">
                  <c:v>44711.291666666701</c:v>
                </c:pt>
                <c:pt idx="213">
                  <c:v>44712.291666666701</c:v>
                </c:pt>
                <c:pt idx="214">
                  <c:v>44713.291666666701</c:v>
                </c:pt>
                <c:pt idx="215">
                  <c:v>44714.291666666701</c:v>
                </c:pt>
                <c:pt idx="216">
                  <c:v>44715.291666666701</c:v>
                </c:pt>
                <c:pt idx="217">
                  <c:v>44718.291666666701</c:v>
                </c:pt>
                <c:pt idx="218">
                  <c:v>44719.291666666701</c:v>
                </c:pt>
                <c:pt idx="219">
                  <c:v>44720.291666666701</c:v>
                </c:pt>
                <c:pt idx="220">
                  <c:v>44721.291666666701</c:v>
                </c:pt>
                <c:pt idx="221">
                  <c:v>44722.291666666701</c:v>
                </c:pt>
                <c:pt idx="222">
                  <c:v>44725.291666666701</c:v>
                </c:pt>
                <c:pt idx="223">
                  <c:v>44726.291666666701</c:v>
                </c:pt>
                <c:pt idx="224">
                  <c:v>44727.291666666701</c:v>
                </c:pt>
                <c:pt idx="225">
                  <c:v>44728.291666666701</c:v>
                </c:pt>
                <c:pt idx="226">
                  <c:v>44729.291666666701</c:v>
                </c:pt>
                <c:pt idx="227">
                  <c:v>44732.291666666701</c:v>
                </c:pt>
                <c:pt idx="228">
                  <c:v>44733.291666666701</c:v>
                </c:pt>
                <c:pt idx="229">
                  <c:v>44734.291666666701</c:v>
                </c:pt>
                <c:pt idx="230">
                  <c:v>44735.291666666701</c:v>
                </c:pt>
                <c:pt idx="231">
                  <c:v>44736.291666666701</c:v>
                </c:pt>
                <c:pt idx="232">
                  <c:v>44739.291666666701</c:v>
                </c:pt>
                <c:pt idx="233">
                  <c:v>44740.291666666701</c:v>
                </c:pt>
                <c:pt idx="234">
                  <c:v>44741.291666666701</c:v>
                </c:pt>
                <c:pt idx="235">
                  <c:v>44742.291666666701</c:v>
                </c:pt>
                <c:pt idx="236">
                  <c:v>44743.291666666701</c:v>
                </c:pt>
                <c:pt idx="237">
                  <c:v>44746.291666666701</c:v>
                </c:pt>
                <c:pt idx="238">
                  <c:v>44747.291666666701</c:v>
                </c:pt>
                <c:pt idx="239">
                  <c:v>44748.291666666701</c:v>
                </c:pt>
                <c:pt idx="240">
                  <c:v>44749.291666666701</c:v>
                </c:pt>
                <c:pt idx="241">
                  <c:v>44750.291666666701</c:v>
                </c:pt>
                <c:pt idx="242">
                  <c:v>44753.291666666701</c:v>
                </c:pt>
                <c:pt idx="243">
                  <c:v>44754.291666666701</c:v>
                </c:pt>
                <c:pt idx="244">
                  <c:v>44755.291666666701</c:v>
                </c:pt>
                <c:pt idx="245">
                  <c:v>44756.291666666701</c:v>
                </c:pt>
                <c:pt idx="246">
                  <c:v>44757.291666666701</c:v>
                </c:pt>
                <c:pt idx="247">
                  <c:v>44760.291666666701</c:v>
                </c:pt>
                <c:pt idx="248">
                  <c:v>44761.291666666701</c:v>
                </c:pt>
                <c:pt idx="249">
                  <c:v>44762.291666666701</c:v>
                </c:pt>
                <c:pt idx="250">
                  <c:v>44763.291666666701</c:v>
                </c:pt>
                <c:pt idx="251">
                  <c:v>44764.291666666701</c:v>
                </c:pt>
                <c:pt idx="252">
                  <c:v>44767.291666666701</c:v>
                </c:pt>
                <c:pt idx="253">
                  <c:v>44768.291666666701</c:v>
                </c:pt>
                <c:pt idx="254">
                  <c:v>44769.291666666701</c:v>
                </c:pt>
                <c:pt idx="255">
                  <c:v>44770.291666666701</c:v>
                </c:pt>
                <c:pt idx="256">
                  <c:v>44771.291666666701</c:v>
                </c:pt>
                <c:pt idx="257">
                  <c:v>44774.291666666701</c:v>
                </c:pt>
                <c:pt idx="258">
                  <c:v>44775.291666666701</c:v>
                </c:pt>
                <c:pt idx="259">
                  <c:v>44776.291666666701</c:v>
                </c:pt>
                <c:pt idx="260">
                  <c:v>44777.291666666701</c:v>
                </c:pt>
                <c:pt idx="261">
                  <c:v>44778.291666666701</c:v>
                </c:pt>
                <c:pt idx="262">
                  <c:v>44781.291666666701</c:v>
                </c:pt>
                <c:pt idx="263">
                  <c:v>44782.291666666701</c:v>
                </c:pt>
                <c:pt idx="264">
                  <c:v>44783.291666666701</c:v>
                </c:pt>
                <c:pt idx="265">
                  <c:v>44784.291666666701</c:v>
                </c:pt>
                <c:pt idx="266">
                  <c:v>44785.291666666701</c:v>
                </c:pt>
                <c:pt idx="267">
                  <c:v>44788.291666666701</c:v>
                </c:pt>
                <c:pt idx="268">
                  <c:v>44789.291666666701</c:v>
                </c:pt>
                <c:pt idx="269">
                  <c:v>44790.291666666701</c:v>
                </c:pt>
                <c:pt idx="270">
                  <c:v>44791.291666666701</c:v>
                </c:pt>
                <c:pt idx="271">
                  <c:v>44792.291666666701</c:v>
                </c:pt>
                <c:pt idx="272">
                  <c:v>44795.291666666701</c:v>
                </c:pt>
                <c:pt idx="273">
                  <c:v>44796.291666666701</c:v>
                </c:pt>
                <c:pt idx="274">
                  <c:v>44797.291666666701</c:v>
                </c:pt>
                <c:pt idx="275">
                  <c:v>44798.291666666701</c:v>
                </c:pt>
                <c:pt idx="276">
                  <c:v>44799.291666666701</c:v>
                </c:pt>
                <c:pt idx="277">
                  <c:v>44802.291666666701</c:v>
                </c:pt>
                <c:pt idx="278">
                  <c:v>44803.291666666701</c:v>
                </c:pt>
                <c:pt idx="279">
                  <c:v>44804.291666666701</c:v>
                </c:pt>
                <c:pt idx="280">
                  <c:v>44805.291666666701</c:v>
                </c:pt>
                <c:pt idx="281">
                  <c:v>44806.291666666701</c:v>
                </c:pt>
                <c:pt idx="282">
                  <c:v>44809.291666666701</c:v>
                </c:pt>
                <c:pt idx="283">
                  <c:v>44810.291666666701</c:v>
                </c:pt>
                <c:pt idx="284">
                  <c:v>44811.291666666701</c:v>
                </c:pt>
                <c:pt idx="285">
                  <c:v>44812.291666666701</c:v>
                </c:pt>
                <c:pt idx="286">
                  <c:v>44813.291666666701</c:v>
                </c:pt>
                <c:pt idx="287">
                  <c:v>44816.291666666701</c:v>
                </c:pt>
                <c:pt idx="288">
                  <c:v>44817.291666666701</c:v>
                </c:pt>
                <c:pt idx="289">
                  <c:v>44818.291666666701</c:v>
                </c:pt>
                <c:pt idx="290">
                  <c:v>44819.291666666701</c:v>
                </c:pt>
                <c:pt idx="291">
                  <c:v>44820.291666666701</c:v>
                </c:pt>
                <c:pt idx="292">
                  <c:v>44823.291666666701</c:v>
                </c:pt>
                <c:pt idx="293">
                  <c:v>44824.291666666701</c:v>
                </c:pt>
                <c:pt idx="294">
                  <c:v>44825.291666666701</c:v>
                </c:pt>
                <c:pt idx="295">
                  <c:v>44826.291666666701</c:v>
                </c:pt>
                <c:pt idx="296">
                  <c:v>44827.291666666701</c:v>
                </c:pt>
                <c:pt idx="297">
                  <c:v>44830.291666666701</c:v>
                </c:pt>
                <c:pt idx="298">
                  <c:v>44831.291666666701</c:v>
                </c:pt>
                <c:pt idx="299">
                  <c:v>44832.291666666701</c:v>
                </c:pt>
                <c:pt idx="300">
                  <c:v>44833.291666666701</c:v>
                </c:pt>
                <c:pt idx="301">
                  <c:v>44834.291666666701</c:v>
                </c:pt>
                <c:pt idx="302">
                  <c:v>44837.291666666701</c:v>
                </c:pt>
                <c:pt idx="303">
                  <c:v>44838.291666666701</c:v>
                </c:pt>
                <c:pt idx="304">
                  <c:v>44839.291666666701</c:v>
                </c:pt>
                <c:pt idx="305">
                  <c:v>44840.291666666701</c:v>
                </c:pt>
                <c:pt idx="306">
                  <c:v>44841.291666666701</c:v>
                </c:pt>
                <c:pt idx="307">
                  <c:v>44844.291666666701</c:v>
                </c:pt>
                <c:pt idx="308">
                  <c:v>44845.291666666701</c:v>
                </c:pt>
                <c:pt idx="309">
                  <c:v>44846.291666666701</c:v>
                </c:pt>
                <c:pt idx="310">
                  <c:v>44847.291666666701</c:v>
                </c:pt>
                <c:pt idx="311">
                  <c:v>44848.291666666701</c:v>
                </c:pt>
                <c:pt idx="312">
                  <c:v>44851.291666666701</c:v>
                </c:pt>
                <c:pt idx="313">
                  <c:v>44852.291666666701</c:v>
                </c:pt>
                <c:pt idx="314">
                  <c:v>44853.291666666701</c:v>
                </c:pt>
                <c:pt idx="315">
                  <c:v>44854.291666666701</c:v>
                </c:pt>
                <c:pt idx="316">
                  <c:v>44855.291666666701</c:v>
                </c:pt>
                <c:pt idx="317">
                  <c:v>44858.291666666701</c:v>
                </c:pt>
                <c:pt idx="318">
                  <c:v>44859.291666666701</c:v>
                </c:pt>
                <c:pt idx="319">
                  <c:v>44860.291666666701</c:v>
                </c:pt>
                <c:pt idx="320">
                  <c:v>44861.291666666701</c:v>
                </c:pt>
                <c:pt idx="321">
                  <c:v>44862.291666666701</c:v>
                </c:pt>
                <c:pt idx="322">
                  <c:v>44865.291666666701</c:v>
                </c:pt>
                <c:pt idx="323">
                  <c:v>44866.291666666701</c:v>
                </c:pt>
                <c:pt idx="324">
                  <c:v>44867.291666666701</c:v>
                </c:pt>
                <c:pt idx="325">
                  <c:v>44868.291666666701</c:v>
                </c:pt>
                <c:pt idx="326">
                  <c:v>44869.291666666701</c:v>
                </c:pt>
                <c:pt idx="327">
                  <c:v>44872.291666666701</c:v>
                </c:pt>
                <c:pt idx="328">
                  <c:v>44873.291666666701</c:v>
                </c:pt>
                <c:pt idx="329">
                  <c:v>44874.291666666701</c:v>
                </c:pt>
                <c:pt idx="330">
                  <c:v>44875.291666666701</c:v>
                </c:pt>
                <c:pt idx="331">
                  <c:v>44876.291666666701</c:v>
                </c:pt>
                <c:pt idx="332">
                  <c:v>44879.291666666701</c:v>
                </c:pt>
                <c:pt idx="333">
                  <c:v>44880.291666666701</c:v>
                </c:pt>
                <c:pt idx="334">
                  <c:v>44881.291666666701</c:v>
                </c:pt>
                <c:pt idx="335">
                  <c:v>44882.291666666701</c:v>
                </c:pt>
                <c:pt idx="336">
                  <c:v>44883.291666666701</c:v>
                </c:pt>
                <c:pt idx="337">
                  <c:v>44886.291666666701</c:v>
                </c:pt>
                <c:pt idx="338">
                  <c:v>44887.291666666701</c:v>
                </c:pt>
                <c:pt idx="339">
                  <c:v>44888.291666666701</c:v>
                </c:pt>
                <c:pt idx="340">
                  <c:v>44889.291666666701</c:v>
                </c:pt>
                <c:pt idx="341">
                  <c:v>44890.291666666701</c:v>
                </c:pt>
                <c:pt idx="342">
                  <c:v>44893.291666666701</c:v>
                </c:pt>
                <c:pt idx="343">
                  <c:v>44896.291666666701</c:v>
                </c:pt>
                <c:pt idx="344">
                  <c:v>44897.291666666701</c:v>
                </c:pt>
                <c:pt idx="345">
                  <c:v>44900.291666666701</c:v>
                </c:pt>
                <c:pt idx="346">
                  <c:v>44901.291666666701</c:v>
                </c:pt>
                <c:pt idx="347">
                  <c:v>44902.291666666701</c:v>
                </c:pt>
                <c:pt idx="348">
                  <c:v>44903.291666666701</c:v>
                </c:pt>
                <c:pt idx="349">
                  <c:v>44904.291666666701</c:v>
                </c:pt>
                <c:pt idx="350">
                  <c:v>44907.291666666701</c:v>
                </c:pt>
                <c:pt idx="351">
                  <c:v>44908.291666666701</c:v>
                </c:pt>
                <c:pt idx="352">
                  <c:v>44909.291666666701</c:v>
                </c:pt>
                <c:pt idx="353">
                  <c:v>44910.291666666701</c:v>
                </c:pt>
                <c:pt idx="354">
                  <c:v>44911.291666666701</c:v>
                </c:pt>
                <c:pt idx="355">
                  <c:v>44914.291666666701</c:v>
                </c:pt>
                <c:pt idx="356">
                  <c:v>44915.291666666701</c:v>
                </c:pt>
                <c:pt idx="357">
                  <c:v>44916.291666666701</c:v>
                </c:pt>
                <c:pt idx="358">
                  <c:v>44917.291666666701</c:v>
                </c:pt>
                <c:pt idx="359">
                  <c:v>44918.291666666701</c:v>
                </c:pt>
                <c:pt idx="360">
                  <c:v>44921.291666666701</c:v>
                </c:pt>
                <c:pt idx="361">
                  <c:v>44922.291666666701</c:v>
                </c:pt>
                <c:pt idx="362">
                  <c:v>44923.291666666701</c:v>
                </c:pt>
                <c:pt idx="363">
                  <c:v>44924.291666666701</c:v>
                </c:pt>
                <c:pt idx="364">
                  <c:v>44925.291666666701</c:v>
                </c:pt>
                <c:pt idx="365">
                  <c:v>44928.291666666701</c:v>
                </c:pt>
                <c:pt idx="366">
                  <c:v>44929.291666666701</c:v>
                </c:pt>
                <c:pt idx="367">
                  <c:v>44930.291666666701</c:v>
                </c:pt>
                <c:pt idx="368">
                  <c:v>44931.291666666701</c:v>
                </c:pt>
                <c:pt idx="369">
                  <c:v>44932.291666666701</c:v>
                </c:pt>
                <c:pt idx="370">
                  <c:v>44935.291666666701</c:v>
                </c:pt>
                <c:pt idx="371">
                  <c:v>44936.291666666701</c:v>
                </c:pt>
                <c:pt idx="372">
                  <c:v>44937.291666666701</c:v>
                </c:pt>
                <c:pt idx="373">
                  <c:v>44938.291666666701</c:v>
                </c:pt>
                <c:pt idx="374">
                  <c:v>44939.291666666701</c:v>
                </c:pt>
                <c:pt idx="375">
                  <c:v>44942.291666666701</c:v>
                </c:pt>
                <c:pt idx="376">
                  <c:v>44943.291666666701</c:v>
                </c:pt>
                <c:pt idx="377">
                  <c:v>44944.291666666701</c:v>
                </c:pt>
                <c:pt idx="378">
                  <c:v>44945.291666666701</c:v>
                </c:pt>
                <c:pt idx="379">
                  <c:v>44946.291666666701</c:v>
                </c:pt>
                <c:pt idx="380">
                  <c:v>44953.291666666701</c:v>
                </c:pt>
                <c:pt idx="381">
                  <c:v>44956.291666666701</c:v>
                </c:pt>
                <c:pt idx="382">
                  <c:v>44957.291666666701</c:v>
                </c:pt>
                <c:pt idx="383">
                  <c:v>44959.291666666701</c:v>
                </c:pt>
                <c:pt idx="384">
                  <c:v>44960.291666666701</c:v>
                </c:pt>
                <c:pt idx="385">
                  <c:v>44963.291666666701</c:v>
                </c:pt>
                <c:pt idx="386">
                  <c:v>44964.291666666701</c:v>
                </c:pt>
                <c:pt idx="387">
                  <c:v>44965.291666666701</c:v>
                </c:pt>
                <c:pt idx="388">
                  <c:v>44966.291666666701</c:v>
                </c:pt>
                <c:pt idx="389">
                  <c:v>44967.291666666701</c:v>
                </c:pt>
                <c:pt idx="390">
                  <c:v>44970.291666666701</c:v>
                </c:pt>
                <c:pt idx="391">
                  <c:v>44971.291666666701</c:v>
                </c:pt>
                <c:pt idx="392">
                  <c:v>44972.291666666701</c:v>
                </c:pt>
                <c:pt idx="393">
                  <c:v>44973.291666666701</c:v>
                </c:pt>
                <c:pt idx="394">
                  <c:v>44974.291666666701</c:v>
                </c:pt>
                <c:pt idx="395">
                  <c:v>44977.291666666701</c:v>
                </c:pt>
                <c:pt idx="396">
                  <c:v>44978.291666666701</c:v>
                </c:pt>
                <c:pt idx="397">
                  <c:v>44979.291666666701</c:v>
                </c:pt>
                <c:pt idx="398">
                  <c:v>44980.291666666701</c:v>
                </c:pt>
                <c:pt idx="399">
                  <c:v>44981.291666666701</c:v>
                </c:pt>
                <c:pt idx="400">
                  <c:v>44984.291666666701</c:v>
                </c:pt>
                <c:pt idx="401">
                  <c:v>44985.291666666701</c:v>
                </c:pt>
                <c:pt idx="402">
                  <c:v>44986.291666666701</c:v>
                </c:pt>
                <c:pt idx="403">
                  <c:v>44987.291666666701</c:v>
                </c:pt>
                <c:pt idx="404">
                  <c:v>44988.291666666701</c:v>
                </c:pt>
                <c:pt idx="405">
                  <c:v>44991.291666666701</c:v>
                </c:pt>
                <c:pt idx="406">
                  <c:v>44992.291666666701</c:v>
                </c:pt>
                <c:pt idx="407">
                  <c:v>44993.291666666701</c:v>
                </c:pt>
                <c:pt idx="408">
                  <c:v>44994.291666666701</c:v>
                </c:pt>
                <c:pt idx="409">
                  <c:v>44995.291666666701</c:v>
                </c:pt>
                <c:pt idx="410">
                  <c:v>44998.291666666701</c:v>
                </c:pt>
                <c:pt idx="411">
                  <c:v>44999.291666666701</c:v>
                </c:pt>
                <c:pt idx="412">
                  <c:v>45000.291666666701</c:v>
                </c:pt>
                <c:pt idx="413">
                  <c:v>45001.291666666701</c:v>
                </c:pt>
                <c:pt idx="414">
                  <c:v>45002.291666666701</c:v>
                </c:pt>
                <c:pt idx="415">
                  <c:v>45005.291666666701</c:v>
                </c:pt>
                <c:pt idx="416">
                  <c:v>45006.291666666701</c:v>
                </c:pt>
                <c:pt idx="417">
                  <c:v>45007.291666666701</c:v>
                </c:pt>
                <c:pt idx="418">
                  <c:v>45008.291666666701</c:v>
                </c:pt>
                <c:pt idx="419">
                  <c:v>45009.291666666701</c:v>
                </c:pt>
                <c:pt idx="420">
                  <c:v>45012.291666666701</c:v>
                </c:pt>
                <c:pt idx="421">
                  <c:v>45013.291666666701</c:v>
                </c:pt>
                <c:pt idx="422">
                  <c:v>45014.291666666701</c:v>
                </c:pt>
                <c:pt idx="423">
                  <c:v>45015.291666666701</c:v>
                </c:pt>
                <c:pt idx="424">
                  <c:v>45016.291666666701</c:v>
                </c:pt>
                <c:pt idx="425">
                  <c:v>45019.291666666701</c:v>
                </c:pt>
                <c:pt idx="426">
                  <c:v>45020.291666666701</c:v>
                </c:pt>
                <c:pt idx="427">
                  <c:v>45021.291666666701</c:v>
                </c:pt>
                <c:pt idx="428">
                  <c:v>45022.291666666701</c:v>
                </c:pt>
                <c:pt idx="429">
                  <c:v>45023.291666666701</c:v>
                </c:pt>
                <c:pt idx="430">
                  <c:v>45026.291666666701</c:v>
                </c:pt>
                <c:pt idx="431">
                  <c:v>45027.291666666701</c:v>
                </c:pt>
                <c:pt idx="432">
                  <c:v>45028.291666666701</c:v>
                </c:pt>
                <c:pt idx="433">
                  <c:v>45029.291666666701</c:v>
                </c:pt>
                <c:pt idx="434">
                  <c:v>45030.291666666701</c:v>
                </c:pt>
                <c:pt idx="435">
                  <c:v>45033.291666666701</c:v>
                </c:pt>
                <c:pt idx="436">
                  <c:v>45034.291666666701</c:v>
                </c:pt>
                <c:pt idx="437">
                  <c:v>45035.291666666701</c:v>
                </c:pt>
                <c:pt idx="438">
                  <c:v>45036.291666666701</c:v>
                </c:pt>
                <c:pt idx="439">
                  <c:v>45037.291666666701</c:v>
                </c:pt>
                <c:pt idx="440">
                  <c:v>45040.291666666701</c:v>
                </c:pt>
                <c:pt idx="441">
                  <c:v>45041.291666666701</c:v>
                </c:pt>
                <c:pt idx="442">
                  <c:v>45042.291666666701</c:v>
                </c:pt>
                <c:pt idx="443">
                  <c:v>45043.291666666701</c:v>
                </c:pt>
                <c:pt idx="444">
                  <c:v>45044.291666666701</c:v>
                </c:pt>
                <c:pt idx="445">
                  <c:v>45047.291666666701</c:v>
                </c:pt>
                <c:pt idx="446">
                  <c:v>45048.291666666701</c:v>
                </c:pt>
                <c:pt idx="447">
                  <c:v>45049.291666666701</c:v>
                </c:pt>
                <c:pt idx="448">
                  <c:v>45050.291666666701</c:v>
                </c:pt>
                <c:pt idx="449">
                  <c:v>45051.291666666701</c:v>
                </c:pt>
                <c:pt idx="450">
                  <c:v>45054.291666666701</c:v>
                </c:pt>
                <c:pt idx="451">
                  <c:v>45055.291666666701</c:v>
                </c:pt>
                <c:pt idx="452">
                  <c:v>45056.291666666701</c:v>
                </c:pt>
                <c:pt idx="453">
                  <c:v>45057.291666666701</c:v>
                </c:pt>
                <c:pt idx="454">
                  <c:v>45058.291666666701</c:v>
                </c:pt>
                <c:pt idx="455">
                  <c:v>45061.291666666701</c:v>
                </c:pt>
                <c:pt idx="456">
                  <c:v>45062.291666666701</c:v>
                </c:pt>
                <c:pt idx="457">
                  <c:v>45063.291666666701</c:v>
                </c:pt>
                <c:pt idx="458">
                  <c:v>45064.291666666701</c:v>
                </c:pt>
                <c:pt idx="459">
                  <c:v>45065.291666666701</c:v>
                </c:pt>
                <c:pt idx="460">
                  <c:v>45068.291666666701</c:v>
                </c:pt>
                <c:pt idx="461">
                  <c:v>45069.291666666701</c:v>
                </c:pt>
                <c:pt idx="462">
                  <c:v>45070.291666666701</c:v>
                </c:pt>
                <c:pt idx="463">
                  <c:v>45071.291666666701</c:v>
                </c:pt>
                <c:pt idx="464">
                  <c:v>45072.291666666701</c:v>
                </c:pt>
                <c:pt idx="465">
                  <c:v>45075.291666666701</c:v>
                </c:pt>
                <c:pt idx="466">
                  <c:v>45076.291666666701</c:v>
                </c:pt>
                <c:pt idx="467">
                  <c:v>45077.291666666701</c:v>
                </c:pt>
                <c:pt idx="468">
                  <c:v>45078.291666666701</c:v>
                </c:pt>
                <c:pt idx="469">
                  <c:v>45079.291666666701</c:v>
                </c:pt>
                <c:pt idx="470">
                  <c:v>45082.291666666701</c:v>
                </c:pt>
                <c:pt idx="471">
                  <c:v>45083.291666666701</c:v>
                </c:pt>
                <c:pt idx="472">
                  <c:v>45084.291666666701</c:v>
                </c:pt>
                <c:pt idx="473">
                  <c:v>45085.291666666701</c:v>
                </c:pt>
                <c:pt idx="474">
                  <c:v>45086.291666666701</c:v>
                </c:pt>
                <c:pt idx="475">
                  <c:v>45089.291666666701</c:v>
                </c:pt>
                <c:pt idx="476">
                  <c:v>45090.291666666701</c:v>
                </c:pt>
                <c:pt idx="477">
                  <c:v>45091.291666666701</c:v>
                </c:pt>
                <c:pt idx="478">
                  <c:v>45092.291666666701</c:v>
                </c:pt>
                <c:pt idx="479">
                  <c:v>45093.291666666701</c:v>
                </c:pt>
                <c:pt idx="480">
                  <c:v>45096.291666666701</c:v>
                </c:pt>
                <c:pt idx="481">
                  <c:v>45097.291666666701</c:v>
                </c:pt>
                <c:pt idx="482">
                  <c:v>45098.291666666701</c:v>
                </c:pt>
                <c:pt idx="483">
                  <c:v>45099.291666666701</c:v>
                </c:pt>
                <c:pt idx="484">
                  <c:v>45100.291666666701</c:v>
                </c:pt>
                <c:pt idx="485">
                  <c:v>45103.291666666701</c:v>
                </c:pt>
                <c:pt idx="486">
                  <c:v>45104.291666666701</c:v>
                </c:pt>
                <c:pt idx="487">
                  <c:v>45105.291666666701</c:v>
                </c:pt>
                <c:pt idx="488">
                  <c:v>45106.291666666701</c:v>
                </c:pt>
                <c:pt idx="489">
                  <c:v>45107.291666666701</c:v>
                </c:pt>
                <c:pt idx="490">
                  <c:v>45110.291666666701</c:v>
                </c:pt>
                <c:pt idx="491">
                  <c:v>45111.291666666701</c:v>
                </c:pt>
                <c:pt idx="492">
                  <c:v>45112.291666666701</c:v>
                </c:pt>
                <c:pt idx="493">
                  <c:v>45113.291666666701</c:v>
                </c:pt>
                <c:pt idx="494">
                  <c:v>45114.291666666701</c:v>
                </c:pt>
                <c:pt idx="495">
                  <c:v>45117.291666666701</c:v>
                </c:pt>
                <c:pt idx="496">
                  <c:v>45118.291666666701</c:v>
                </c:pt>
                <c:pt idx="497">
                  <c:v>45119.291666666701</c:v>
                </c:pt>
                <c:pt idx="498">
                  <c:v>45120.291666666701</c:v>
                </c:pt>
                <c:pt idx="499">
                  <c:v>45121.291666666701</c:v>
                </c:pt>
                <c:pt idx="500">
                  <c:v>45124.291666666701</c:v>
                </c:pt>
                <c:pt idx="501">
                  <c:v>45125.291666666701</c:v>
                </c:pt>
                <c:pt idx="502">
                  <c:v>45126.291666666701</c:v>
                </c:pt>
                <c:pt idx="503">
                  <c:v>45127.291666666701</c:v>
                </c:pt>
                <c:pt idx="504">
                  <c:v>45128.291666666701</c:v>
                </c:pt>
                <c:pt idx="505">
                  <c:v>45131.291666666701</c:v>
                </c:pt>
                <c:pt idx="506">
                  <c:v>45132.291666666701</c:v>
                </c:pt>
                <c:pt idx="507">
                  <c:v>45133.291666666701</c:v>
                </c:pt>
                <c:pt idx="508">
                  <c:v>45134.291666666701</c:v>
                </c:pt>
                <c:pt idx="509">
                  <c:v>45135.291666666701</c:v>
                </c:pt>
                <c:pt idx="510">
                  <c:v>45138.291666666701</c:v>
                </c:pt>
                <c:pt idx="511">
                  <c:v>45139.291666666701</c:v>
                </c:pt>
                <c:pt idx="512">
                  <c:v>45140.291666666701</c:v>
                </c:pt>
                <c:pt idx="513">
                  <c:v>45141.291666666701</c:v>
                </c:pt>
                <c:pt idx="514">
                  <c:v>45142.291666666701</c:v>
                </c:pt>
                <c:pt idx="515">
                  <c:v>45145.291666666701</c:v>
                </c:pt>
                <c:pt idx="516">
                  <c:v>45146.291666666701</c:v>
                </c:pt>
                <c:pt idx="517">
                  <c:v>45147.291666666701</c:v>
                </c:pt>
                <c:pt idx="518">
                  <c:v>44407.291666666701</c:v>
                </c:pt>
                <c:pt idx="519">
                  <c:v>44406.291666666701</c:v>
                </c:pt>
                <c:pt idx="520">
                  <c:v>44405.291666666701</c:v>
                </c:pt>
                <c:pt idx="521">
                  <c:v>44404.291666666701</c:v>
                </c:pt>
                <c:pt idx="522">
                  <c:v>44403.291666666701</c:v>
                </c:pt>
                <c:pt idx="523">
                  <c:v>44400.291666666701</c:v>
                </c:pt>
                <c:pt idx="524">
                  <c:v>44399.291666666701</c:v>
                </c:pt>
                <c:pt idx="525">
                  <c:v>44398.291666666701</c:v>
                </c:pt>
                <c:pt idx="526">
                  <c:v>44397.291666666701</c:v>
                </c:pt>
                <c:pt idx="527">
                  <c:v>44396.291666666701</c:v>
                </c:pt>
                <c:pt idx="528">
                  <c:v>44393.291666666701</c:v>
                </c:pt>
                <c:pt idx="529">
                  <c:v>44392.291666666701</c:v>
                </c:pt>
                <c:pt idx="530">
                  <c:v>44391.291666666701</c:v>
                </c:pt>
                <c:pt idx="531">
                  <c:v>44390.291666666701</c:v>
                </c:pt>
                <c:pt idx="532">
                  <c:v>44389.291666666701</c:v>
                </c:pt>
                <c:pt idx="533">
                  <c:v>44386.291666666701</c:v>
                </c:pt>
                <c:pt idx="534">
                  <c:v>44385.291666666701</c:v>
                </c:pt>
                <c:pt idx="535">
                  <c:v>44384.291666666701</c:v>
                </c:pt>
                <c:pt idx="536">
                  <c:v>44383.291666666701</c:v>
                </c:pt>
                <c:pt idx="537">
                  <c:v>44382.291666666701</c:v>
                </c:pt>
                <c:pt idx="538">
                  <c:v>44379.291666666701</c:v>
                </c:pt>
                <c:pt idx="539">
                  <c:v>44378.291666666701</c:v>
                </c:pt>
                <c:pt idx="540">
                  <c:v>44377.291666666701</c:v>
                </c:pt>
                <c:pt idx="541">
                  <c:v>44376.291666666701</c:v>
                </c:pt>
                <c:pt idx="542">
                  <c:v>44375.291666666701</c:v>
                </c:pt>
                <c:pt idx="543">
                  <c:v>44372.291666666701</c:v>
                </c:pt>
                <c:pt idx="544">
                  <c:v>44371.291666666701</c:v>
                </c:pt>
                <c:pt idx="545">
                  <c:v>44370.291666666701</c:v>
                </c:pt>
                <c:pt idx="546">
                  <c:v>44369.291666666701</c:v>
                </c:pt>
                <c:pt idx="547">
                  <c:v>44368.291666666701</c:v>
                </c:pt>
                <c:pt idx="548">
                  <c:v>44365.291666666701</c:v>
                </c:pt>
                <c:pt idx="549">
                  <c:v>44364.291666666701</c:v>
                </c:pt>
                <c:pt idx="550">
                  <c:v>44363.291666666701</c:v>
                </c:pt>
                <c:pt idx="551">
                  <c:v>44362.291666666701</c:v>
                </c:pt>
                <c:pt idx="552">
                  <c:v>44361.291666666701</c:v>
                </c:pt>
                <c:pt idx="553">
                  <c:v>44358.291666666701</c:v>
                </c:pt>
                <c:pt idx="554">
                  <c:v>44357.291666666701</c:v>
                </c:pt>
                <c:pt idx="555">
                  <c:v>44356.291666666701</c:v>
                </c:pt>
                <c:pt idx="556">
                  <c:v>44355.291666666701</c:v>
                </c:pt>
                <c:pt idx="557">
                  <c:v>44354.291666666701</c:v>
                </c:pt>
                <c:pt idx="558">
                  <c:v>44351.291666666701</c:v>
                </c:pt>
                <c:pt idx="559">
                  <c:v>44350.291666666701</c:v>
                </c:pt>
                <c:pt idx="560">
                  <c:v>44349.291666666701</c:v>
                </c:pt>
                <c:pt idx="561">
                  <c:v>44348.291666666701</c:v>
                </c:pt>
                <c:pt idx="562">
                  <c:v>44347.291666666701</c:v>
                </c:pt>
                <c:pt idx="563">
                  <c:v>44344.291666666701</c:v>
                </c:pt>
                <c:pt idx="564">
                  <c:v>44343.291666666701</c:v>
                </c:pt>
                <c:pt idx="565">
                  <c:v>44342.291666666701</c:v>
                </c:pt>
                <c:pt idx="566">
                  <c:v>44341.291666666701</c:v>
                </c:pt>
                <c:pt idx="567">
                  <c:v>44340.291666666701</c:v>
                </c:pt>
                <c:pt idx="568">
                  <c:v>44337.291666666701</c:v>
                </c:pt>
                <c:pt idx="569">
                  <c:v>44336.291666666701</c:v>
                </c:pt>
                <c:pt idx="570">
                  <c:v>44335.291666666701</c:v>
                </c:pt>
                <c:pt idx="571">
                  <c:v>44334.291666666701</c:v>
                </c:pt>
                <c:pt idx="572">
                  <c:v>44333.291666666701</c:v>
                </c:pt>
                <c:pt idx="573">
                  <c:v>44330.291666666701</c:v>
                </c:pt>
                <c:pt idx="574">
                  <c:v>44329.291666666701</c:v>
                </c:pt>
                <c:pt idx="575">
                  <c:v>44328.291666666701</c:v>
                </c:pt>
                <c:pt idx="576">
                  <c:v>44327.291666666701</c:v>
                </c:pt>
                <c:pt idx="577">
                  <c:v>44326.291666666701</c:v>
                </c:pt>
                <c:pt idx="578">
                  <c:v>44323.291666666701</c:v>
                </c:pt>
                <c:pt idx="579">
                  <c:v>44322.291666666701</c:v>
                </c:pt>
                <c:pt idx="580">
                  <c:v>44321.291666666701</c:v>
                </c:pt>
                <c:pt idx="581">
                  <c:v>44320.291666666701</c:v>
                </c:pt>
                <c:pt idx="582">
                  <c:v>44315.291666666701</c:v>
                </c:pt>
                <c:pt idx="583">
                  <c:v>44314.291666666701</c:v>
                </c:pt>
                <c:pt idx="584">
                  <c:v>44313.291666666701</c:v>
                </c:pt>
                <c:pt idx="585">
                  <c:v>44312.291666666701</c:v>
                </c:pt>
                <c:pt idx="586">
                  <c:v>44309.291666666701</c:v>
                </c:pt>
                <c:pt idx="587">
                  <c:v>44308.291666666701</c:v>
                </c:pt>
                <c:pt idx="588">
                  <c:v>44306.291666666701</c:v>
                </c:pt>
                <c:pt idx="589">
                  <c:v>44305.291666666701</c:v>
                </c:pt>
                <c:pt idx="590">
                  <c:v>44302.291666666701</c:v>
                </c:pt>
                <c:pt idx="591">
                  <c:v>44301.291666666701</c:v>
                </c:pt>
                <c:pt idx="592">
                  <c:v>44300.291666666701</c:v>
                </c:pt>
                <c:pt idx="593">
                  <c:v>44299.291666666701</c:v>
                </c:pt>
                <c:pt idx="594">
                  <c:v>44298.291666666701</c:v>
                </c:pt>
                <c:pt idx="595">
                  <c:v>44295.291666666701</c:v>
                </c:pt>
                <c:pt idx="596">
                  <c:v>44294.291666666701</c:v>
                </c:pt>
                <c:pt idx="597">
                  <c:v>44293.291666666701</c:v>
                </c:pt>
                <c:pt idx="598">
                  <c:v>44292.291666666701</c:v>
                </c:pt>
                <c:pt idx="599">
                  <c:v>44291.291666666701</c:v>
                </c:pt>
                <c:pt idx="600">
                  <c:v>44288.291666666701</c:v>
                </c:pt>
                <c:pt idx="601">
                  <c:v>44287.291666666701</c:v>
                </c:pt>
                <c:pt idx="602">
                  <c:v>44286.291666666701</c:v>
                </c:pt>
                <c:pt idx="603">
                  <c:v>44285.291666666701</c:v>
                </c:pt>
                <c:pt idx="604">
                  <c:v>44284.291666666701</c:v>
                </c:pt>
                <c:pt idx="605">
                  <c:v>44281.291666666701</c:v>
                </c:pt>
                <c:pt idx="606">
                  <c:v>44280.291666666701</c:v>
                </c:pt>
                <c:pt idx="607">
                  <c:v>44279.291666666701</c:v>
                </c:pt>
                <c:pt idx="608">
                  <c:v>44278.291666666701</c:v>
                </c:pt>
                <c:pt idx="609">
                  <c:v>44277.291666666701</c:v>
                </c:pt>
                <c:pt idx="610">
                  <c:v>44274.291666666701</c:v>
                </c:pt>
                <c:pt idx="611">
                  <c:v>44273.291666666701</c:v>
                </c:pt>
                <c:pt idx="612">
                  <c:v>44272.291666666701</c:v>
                </c:pt>
                <c:pt idx="613">
                  <c:v>44271.291666666701</c:v>
                </c:pt>
                <c:pt idx="614">
                  <c:v>44270.291666666701</c:v>
                </c:pt>
                <c:pt idx="615">
                  <c:v>44267.291666666701</c:v>
                </c:pt>
                <c:pt idx="616">
                  <c:v>44266.291666666701</c:v>
                </c:pt>
                <c:pt idx="617">
                  <c:v>44265.291666666701</c:v>
                </c:pt>
                <c:pt idx="618">
                  <c:v>44264.291666666701</c:v>
                </c:pt>
                <c:pt idx="619">
                  <c:v>44263.291666666701</c:v>
                </c:pt>
                <c:pt idx="620">
                  <c:v>44260.291666666701</c:v>
                </c:pt>
                <c:pt idx="621">
                  <c:v>44259.291666666701</c:v>
                </c:pt>
                <c:pt idx="622">
                  <c:v>44258.291666666701</c:v>
                </c:pt>
                <c:pt idx="623">
                  <c:v>44257.291666666701</c:v>
                </c:pt>
                <c:pt idx="624">
                  <c:v>44256.291666666701</c:v>
                </c:pt>
                <c:pt idx="625">
                  <c:v>44253.291666666701</c:v>
                </c:pt>
                <c:pt idx="626">
                  <c:v>44252.291666666701</c:v>
                </c:pt>
                <c:pt idx="627">
                  <c:v>44251.291666666701</c:v>
                </c:pt>
                <c:pt idx="628">
                  <c:v>44250.291666666701</c:v>
                </c:pt>
                <c:pt idx="629">
                  <c:v>44249.291666666701</c:v>
                </c:pt>
                <c:pt idx="630">
                  <c:v>44246.291666666701</c:v>
                </c:pt>
                <c:pt idx="631">
                  <c:v>44245.291666666701</c:v>
                </c:pt>
                <c:pt idx="632">
                  <c:v>44244.291666666701</c:v>
                </c:pt>
                <c:pt idx="633">
                  <c:v>44236.291666666701</c:v>
                </c:pt>
                <c:pt idx="634">
                  <c:v>44235.291666666701</c:v>
                </c:pt>
                <c:pt idx="635">
                  <c:v>44232.291666666701</c:v>
                </c:pt>
                <c:pt idx="636">
                  <c:v>44231.291666666701</c:v>
                </c:pt>
                <c:pt idx="637">
                  <c:v>44230.291666666701</c:v>
                </c:pt>
                <c:pt idx="638">
                  <c:v>44229.291666666701</c:v>
                </c:pt>
                <c:pt idx="639">
                  <c:v>44228.291666666701</c:v>
                </c:pt>
                <c:pt idx="640">
                  <c:v>44225.291666666701</c:v>
                </c:pt>
                <c:pt idx="641">
                  <c:v>44224.291666666701</c:v>
                </c:pt>
                <c:pt idx="642">
                  <c:v>44223.291666666701</c:v>
                </c:pt>
                <c:pt idx="643">
                  <c:v>44222.291666666701</c:v>
                </c:pt>
                <c:pt idx="644">
                  <c:v>44221.291666666701</c:v>
                </c:pt>
                <c:pt idx="645">
                  <c:v>44218.291666666701</c:v>
                </c:pt>
                <c:pt idx="646">
                  <c:v>44217.291666666701</c:v>
                </c:pt>
                <c:pt idx="647">
                  <c:v>44216.291666666701</c:v>
                </c:pt>
                <c:pt idx="648">
                  <c:v>44215.291666666701</c:v>
                </c:pt>
                <c:pt idx="649">
                  <c:v>44214.291666666701</c:v>
                </c:pt>
                <c:pt idx="650">
                  <c:v>44211.291666666701</c:v>
                </c:pt>
                <c:pt idx="651">
                  <c:v>44210.291666666701</c:v>
                </c:pt>
                <c:pt idx="652">
                  <c:v>44209.291666666701</c:v>
                </c:pt>
                <c:pt idx="653">
                  <c:v>44208.291666666701</c:v>
                </c:pt>
              </c:numCache>
            </c:numRef>
          </c:cat>
          <c:val>
            <c:numRef>
              <c:f>'FX Data'!$D$10:$D$527</c:f>
              <c:numCache>
                <c:formatCode>0.00%</c:formatCode>
                <c:ptCount val="518"/>
                <c:pt idx="0" formatCode="0%">
                  <c:v>0</c:v>
                </c:pt>
                <c:pt idx="1">
                  <c:v>3.3903412943569653E-4</c:v>
                </c:pt>
                <c:pt idx="2">
                  <c:v>-8.2875009417614708E-4</c:v>
                </c:pt>
                <c:pt idx="3">
                  <c:v>-3.2773299178783999E-3</c:v>
                </c:pt>
                <c:pt idx="4">
                  <c:v>-4.8971596474045058E-3</c:v>
                </c:pt>
                <c:pt idx="5">
                  <c:v>-1.0886762600768478E-2</c:v>
                </c:pt>
                <c:pt idx="6">
                  <c:v>-1.3109319671513599E-2</c:v>
                </c:pt>
                <c:pt idx="7">
                  <c:v>-1.8835229413094252E-2</c:v>
                </c:pt>
                <c:pt idx="8">
                  <c:v>-1.7215399683568146E-2</c:v>
                </c:pt>
                <c:pt idx="9">
                  <c:v>-1.5783922248172984E-2</c:v>
                </c:pt>
                <c:pt idx="10">
                  <c:v>-1.0886762600768478E-2</c:v>
                </c:pt>
                <c:pt idx="11">
                  <c:v>-1.2732615083251714E-2</c:v>
                </c:pt>
                <c:pt idx="12">
                  <c:v>-1.8232502071875236E-2</c:v>
                </c:pt>
                <c:pt idx="13">
                  <c:v>-2.0831763730882243E-2</c:v>
                </c:pt>
                <c:pt idx="14">
                  <c:v>-2.1057786483839373E-2</c:v>
                </c:pt>
                <c:pt idx="15">
                  <c:v>-1.9249604460182326E-2</c:v>
                </c:pt>
                <c:pt idx="16">
                  <c:v>-1.6085285918782492E-2</c:v>
                </c:pt>
                <c:pt idx="17">
                  <c:v>-1.7667445189482409E-2</c:v>
                </c:pt>
                <c:pt idx="18">
                  <c:v>-1.6085285918782492E-2</c:v>
                </c:pt>
                <c:pt idx="19">
                  <c:v>-1.5482558577563475E-2</c:v>
                </c:pt>
                <c:pt idx="20">
                  <c:v>-1.359903563625405E-2</c:v>
                </c:pt>
                <c:pt idx="21">
                  <c:v>-1.1075114894899421E-2</c:v>
                </c:pt>
                <c:pt idx="22">
                  <c:v>-1.2770285542077903E-2</c:v>
                </c:pt>
                <c:pt idx="23">
                  <c:v>-1.2770285542077903E-2</c:v>
                </c:pt>
                <c:pt idx="24">
                  <c:v>-1.2770285542077903E-2</c:v>
                </c:pt>
                <c:pt idx="25">
                  <c:v>-8.0991486476305278E-3</c:v>
                </c:pt>
                <c:pt idx="26">
                  <c:v>-7.1950576358020043E-3</c:v>
                </c:pt>
                <c:pt idx="27">
                  <c:v>-9.492955624199502E-3</c:v>
                </c:pt>
                <c:pt idx="28">
                  <c:v>-1.0924433059594665E-2</c:v>
                </c:pt>
                <c:pt idx="29">
                  <c:v>-1.1414149024335116E-2</c:v>
                </c:pt>
                <c:pt idx="30">
                  <c:v>-1.3184660589165976E-2</c:v>
                </c:pt>
                <c:pt idx="31">
                  <c:v>-1.2845626459730279E-2</c:v>
                </c:pt>
                <c:pt idx="32">
                  <c:v>-1.2619603706773149E-2</c:v>
                </c:pt>
                <c:pt idx="33">
                  <c:v>-1.2544262789120771E-2</c:v>
                </c:pt>
                <c:pt idx="34">
                  <c:v>-1.6122956377608678E-2</c:v>
                </c:pt>
                <c:pt idx="35">
                  <c:v>-2.0643411436751299E-2</c:v>
                </c:pt>
                <c:pt idx="36">
                  <c:v>-1.9437956754313267E-2</c:v>
                </c:pt>
                <c:pt idx="37">
                  <c:v>-2.0304377307315602E-2</c:v>
                </c:pt>
                <c:pt idx="38">
                  <c:v>-2.3242673095758306E-2</c:v>
                </c:pt>
                <c:pt idx="39">
                  <c:v>-1.8872899871920441E-2</c:v>
                </c:pt>
                <c:pt idx="40">
                  <c:v>-2.0794093272056054E-2</c:v>
                </c:pt>
                <c:pt idx="41">
                  <c:v>-2.2978979883974987E-2</c:v>
                </c:pt>
                <c:pt idx="42">
                  <c:v>-2.3807729978151133E-2</c:v>
                </c:pt>
                <c:pt idx="43">
                  <c:v>-3.0324719355081745E-2</c:v>
                </c:pt>
                <c:pt idx="44">
                  <c:v>-3.3074662849393505E-2</c:v>
                </c:pt>
                <c:pt idx="45">
                  <c:v>-3.0324719355081745E-2</c:v>
                </c:pt>
                <c:pt idx="46">
                  <c:v>-2.9646651096210352E-2</c:v>
                </c:pt>
                <c:pt idx="47">
                  <c:v>-3.1078128531605517E-2</c:v>
                </c:pt>
                <c:pt idx="48">
                  <c:v>-3.4091765237700598E-2</c:v>
                </c:pt>
                <c:pt idx="49">
                  <c:v>-3.4242447073005347E-2</c:v>
                </c:pt>
                <c:pt idx="50">
                  <c:v>-3.367739019061252E-2</c:v>
                </c:pt>
                <c:pt idx="51">
                  <c:v>-3.5259549461312441E-2</c:v>
                </c:pt>
                <c:pt idx="52">
                  <c:v>-3.574926542605289E-2</c:v>
                </c:pt>
                <c:pt idx="53">
                  <c:v>-3.0927446696300761E-2</c:v>
                </c:pt>
                <c:pt idx="54">
                  <c:v>-3.1417162661041213E-2</c:v>
                </c:pt>
                <c:pt idx="55">
                  <c:v>-3.2019890002260229E-2</c:v>
                </c:pt>
                <c:pt idx="56">
                  <c:v>-2.9081594213817525E-2</c:v>
                </c:pt>
                <c:pt idx="57">
                  <c:v>-2.8365855496119943E-2</c:v>
                </c:pt>
                <c:pt idx="58">
                  <c:v>-2.6293980260679577E-2</c:v>
                </c:pt>
                <c:pt idx="59">
                  <c:v>-2.8704889625555639E-2</c:v>
                </c:pt>
                <c:pt idx="60">
                  <c:v>-2.6821366684246215E-2</c:v>
                </c:pt>
                <c:pt idx="61">
                  <c:v>-3.0626083025691253E-2</c:v>
                </c:pt>
                <c:pt idx="62">
                  <c:v>-3.0626083025691253E-2</c:v>
                </c:pt>
                <c:pt idx="63">
                  <c:v>-3.1793867249303095E-2</c:v>
                </c:pt>
                <c:pt idx="64">
                  <c:v>-2.3920741354629699E-2</c:v>
                </c:pt>
                <c:pt idx="65">
                  <c:v>-3.4920515331876741E-2</c:v>
                </c:pt>
                <c:pt idx="66">
                  <c:v>-3.1417162661041213E-2</c:v>
                </c:pt>
                <c:pt idx="67">
                  <c:v>-3.3187674225872071E-2</c:v>
                </c:pt>
                <c:pt idx="68">
                  <c:v>-3.3828072025917276E-2</c:v>
                </c:pt>
                <c:pt idx="69">
                  <c:v>-3.8009492955624197E-2</c:v>
                </c:pt>
                <c:pt idx="70">
                  <c:v>-3.857454983801703E-2</c:v>
                </c:pt>
                <c:pt idx="71">
                  <c:v>-3.6502674602576661E-2</c:v>
                </c:pt>
                <c:pt idx="72">
                  <c:v>-3.5598583590748134E-2</c:v>
                </c:pt>
                <c:pt idx="73">
                  <c:v>-4.5882618850297596E-2</c:v>
                </c:pt>
                <c:pt idx="74">
                  <c:v>-4.8783244179914115E-2</c:v>
                </c:pt>
                <c:pt idx="75">
                  <c:v>-4.825585775634747E-2</c:v>
                </c:pt>
                <c:pt idx="76">
                  <c:v>-5.5224892639192343E-2</c:v>
                </c:pt>
                <c:pt idx="77">
                  <c:v>-5.8878927145332632E-2</c:v>
                </c:pt>
                <c:pt idx="78">
                  <c:v>-5.8878927145332632E-2</c:v>
                </c:pt>
                <c:pt idx="79">
                  <c:v>-5.4509153921494767E-2</c:v>
                </c:pt>
                <c:pt idx="80">
                  <c:v>-6.1628870639644388E-2</c:v>
                </c:pt>
                <c:pt idx="81">
                  <c:v>-6.4341143675129969E-2</c:v>
                </c:pt>
                <c:pt idx="82">
                  <c:v>-6.4002109545694269E-2</c:v>
                </c:pt>
                <c:pt idx="83">
                  <c:v>-6.6940405334136976E-2</c:v>
                </c:pt>
                <c:pt idx="84">
                  <c:v>-6.6676712122353654E-2</c:v>
                </c:pt>
                <c:pt idx="85">
                  <c:v>-6.0385745498380168E-2</c:v>
                </c:pt>
                <c:pt idx="86">
                  <c:v>-5.7635802004068412E-2</c:v>
                </c:pt>
                <c:pt idx="87">
                  <c:v>-5.4735176674451894E-2</c:v>
                </c:pt>
                <c:pt idx="88">
                  <c:v>-5.5902960898063736E-2</c:v>
                </c:pt>
                <c:pt idx="89">
                  <c:v>-5.4320801627363823E-2</c:v>
                </c:pt>
                <c:pt idx="90">
                  <c:v>-4.279364122655014E-2</c:v>
                </c:pt>
                <c:pt idx="91">
                  <c:v>-4.3622391320726289E-2</c:v>
                </c:pt>
                <c:pt idx="92">
                  <c:v>-4.8858585097566486E-2</c:v>
                </c:pt>
                <c:pt idx="93">
                  <c:v>-4.5242221050252392E-2</c:v>
                </c:pt>
                <c:pt idx="94">
                  <c:v>-4.7427107662171328E-2</c:v>
                </c:pt>
                <c:pt idx="95">
                  <c:v>-4.6673698485647556E-2</c:v>
                </c:pt>
                <c:pt idx="96">
                  <c:v>-4.9235289685828375E-2</c:v>
                </c:pt>
                <c:pt idx="97">
                  <c:v>-4.8481880509304603E-2</c:v>
                </c:pt>
                <c:pt idx="98">
                  <c:v>-4.4752505085511943E-2</c:v>
                </c:pt>
                <c:pt idx="99">
                  <c:v>-4.4903186920816698E-2</c:v>
                </c:pt>
                <c:pt idx="100">
                  <c:v>-5.4132449333232878E-2</c:v>
                </c:pt>
                <c:pt idx="101">
                  <c:v>-5.202290363896632E-2</c:v>
                </c:pt>
                <c:pt idx="102">
                  <c:v>-5.0101710238830706E-2</c:v>
                </c:pt>
                <c:pt idx="103">
                  <c:v>-4.4978527838469069E-2</c:v>
                </c:pt>
                <c:pt idx="104">
                  <c:v>-4.8971596474045052E-2</c:v>
                </c:pt>
                <c:pt idx="105">
                  <c:v>-5.2889324191968658E-2</c:v>
                </c:pt>
                <c:pt idx="106">
                  <c:v>-5.0892789874180666E-2</c:v>
                </c:pt>
                <c:pt idx="107">
                  <c:v>-5.2060574097792509E-2</c:v>
                </c:pt>
                <c:pt idx="108">
                  <c:v>-5.5074210803887594E-2</c:v>
                </c:pt>
                <c:pt idx="109">
                  <c:v>-5.3077676486099602E-2</c:v>
                </c:pt>
                <c:pt idx="110">
                  <c:v>-5.3077676486099602E-2</c:v>
                </c:pt>
                <c:pt idx="111">
                  <c:v>-5.4885858509756649E-2</c:v>
                </c:pt>
                <c:pt idx="112">
                  <c:v>-5.782415429819935E-2</c:v>
                </c:pt>
                <c:pt idx="113">
                  <c:v>-5.530023355684472E-2</c:v>
                </c:pt>
                <c:pt idx="114">
                  <c:v>-5.771114292172079E-2</c:v>
                </c:pt>
                <c:pt idx="115">
                  <c:v>-5.6957733745197019E-2</c:v>
                </c:pt>
                <c:pt idx="116">
                  <c:v>-5.5789949521585176E-2</c:v>
                </c:pt>
                <c:pt idx="117">
                  <c:v>-5.2625630980185335E-2</c:v>
                </c:pt>
                <c:pt idx="118">
                  <c:v>-4.6824380320952312E-2</c:v>
                </c:pt>
                <c:pt idx="119">
                  <c:v>-4.5543584720861903E-2</c:v>
                </c:pt>
                <c:pt idx="120">
                  <c:v>-4.938597152113313E-2</c:v>
                </c:pt>
                <c:pt idx="121">
                  <c:v>-4.9122278309349808E-2</c:v>
                </c:pt>
                <c:pt idx="122">
                  <c:v>-5.4961199427409027E-2</c:v>
                </c:pt>
                <c:pt idx="123">
                  <c:v>-5.5714608603932798E-2</c:v>
                </c:pt>
                <c:pt idx="124">
                  <c:v>-5.9556995404204026E-2</c:v>
                </c:pt>
                <c:pt idx="125">
                  <c:v>-5.8238529345287428E-2</c:v>
                </c:pt>
                <c:pt idx="126">
                  <c:v>-6.147818880433964E-2</c:v>
                </c:pt>
                <c:pt idx="127">
                  <c:v>-6.1289836510208695E-2</c:v>
                </c:pt>
                <c:pt idx="128">
                  <c:v>-6.6714382581179843E-2</c:v>
                </c:pt>
                <c:pt idx="129">
                  <c:v>-7.899495215851729E-2</c:v>
                </c:pt>
                <c:pt idx="130">
                  <c:v>-7.899495215851729E-2</c:v>
                </c:pt>
                <c:pt idx="131">
                  <c:v>-7.899495215851729E-2</c:v>
                </c:pt>
                <c:pt idx="132">
                  <c:v>-7.899495215851729E-2</c:v>
                </c:pt>
                <c:pt idx="133">
                  <c:v>-7.899495215851729E-2</c:v>
                </c:pt>
                <c:pt idx="134">
                  <c:v>-7.899495215851729E-2</c:v>
                </c:pt>
                <c:pt idx="135">
                  <c:v>-4.8896255556392675E-2</c:v>
                </c:pt>
                <c:pt idx="136">
                  <c:v>-4.814284637986891E-2</c:v>
                </c:pt>
                <c:pt idx="137">
                  <c:v>-4.9725005650568824E-2</c:v>
                </c:pt>
                <c:pt idx="138">
                  <c:v>-4.949898289761169E-2</c:v>
                </c:pt>
                <c:pt idx="139">
                  <c:v>-5.1495517215399682E-2</c:v>
                </c:pt>
                <c:pt idx="140">
                  <c:v>-5.4885858509756649E-2</c:v>
                </c:pt>
                <c:pt idx="141">
                  <c:v>-5.4810517592104271E-2</c:v>
                </c:pt>
                <c:pt idx="142">
                  <c:v>-5.2324267309575831E-2</c:v>
                </c:pt>
                <c:pt idx="143">
                  <c:v>-5.0553755744744973E-2</c:v>
                </c:pt>
                <c:pt idx="144">
                  <c:v>-4.7125743991561816E-2</c:v>
                </c:pt>
                <c:pt idx="145">
                  <c:v>-4.8368869132826037E-2</c:v>
                </c:pt>
                <c:pt idx="146">
                  <c:v>-5.3303699239056729E-2</c:v>
                </c:pt>
                <c:pt idx="147">
                  <c:v>-5.0817448956528288E-2</c:v>
                </c:pt>
                <c:pt idx="148">
                  <c:v>-5.4735176674451894E-2</c:v>
                </c:pt>
                <c:pt idx="149">
                  <c:v>-6.4039780004520458E-2</c:v>
                </c:pt>
                <c:pt idx="150">
                  <c:v>-6.328637082799668E-2</c:v>
                </c:pt>
                <c:pt idx="151">
                  <c:v>-6.2796654863256238E-2</c:v>
                </c:pt>
                <c:pt idx="152">
                  <c:v>-6.9162962404882095E-2</c:v>
                </c:pt>
                <c:pt idx="153">
                  <c:v>-6.8409553228358316E-2</c:v>
                </c:pt>
                <c:pt idx="154">
                  <c:v>-7.4361485722896109E-2</c:v>
                </c:pt>
                <c:pt idx="155">
                  <c:v>-8.8563248700369177E-2</c:v>
                </c:pt>
                <c:pt idx="156">
                  <c:v>-8.9165976041588185E-2</c:v>
                </c:pt>
                <c:pt idx="157">
                  <c:v>-8.4871543735402691E-2</c:v>
                </c:pt>
                <c:pt idx="158">
                  <c:v>-7.3382053793415197E-2</c:v>
                </c:pt>
                <c:pt idx="159">
                  <c:v>-7.7601145181948314E-2</c:v>
                </c:pt>
                <c:pt idx="160">
                  <c:v>-8.3779100429443226E-2</c:v>
                </c:pt>
                <c:pt idx="161">
                  <c:v>-7.9974384087998188E-2</c:v>
                </c:pt>
                <c:pt idx="162">
                  <c:v>-7.9710690876214879E-2</c:v>
                </c:pt>
                <c:pt idx="163">
                  <c:v>-7.3495065169893764E-2</c:v>
                </c:pt>
                <c:pt idx="164">
                  <c:v>-7.0782792134408204E-2</c:v>
                </c:pt>
                <c:pt idx="165">
                  <c:v>-7.2666315075717622E-2</c:v>
                </c:pt>
                <c:pt idx="166">
                  <c:v>-7.8731258946733967E-2</c:v>
                </c:pt>
                <c:pt idx="167">
                  <c:v>-7.4436826640548487E-2</c:v>
                </c:pt>
                <c:pt idx="168">
                  <c:v>-7.6320349581857905E-2</c:v>
                </c:pt>
                <c:pt idx="169">
                  <c:v>-7.6094326828900771E-2</c:v>
                </c:pt>
                <c:pt idx="170">
                  <c:v>-8.0162736382129132E-2</c:v>
                </c:pt>
                <c:pt idx="171">
                  <c:v>-7.8542906652603023E-2</c:v>
                </c:pt>
                <c:pt idx="172">
                  <c:v>-6.7769155428313119E-2</c:v>
                </c:pt>
                <c:pt idx="173">
                  <c:v>-6.3889098169215702E-2</c:v>
                </c:pt>
                <c:pt idx="174">
                  <c:v>-7.2176599110977166E-2</c:v>
                </c:pt>
                <c:pt idx="175">
                  <c:v>-7.3871769758155653E-2</c:v>
                </c:pt>
                <c:pt idx="176">
                  <c:v>-7.9786031793867243E-2</c:v>
                </c:pt>
                <c:pt idx="177">
                  <c:v>-8.5737964288405036E-2</c:v>
                </c:pt>
                <c:pt idx="178">
                  <c:v>-8.4796202817750327E-2</c:v>
                </c:pt>
                <c:pt idx="179">
                  <c:v>-8.8412566865064421E-2</c:v>
                </c:pt>
                <c:pt idx="180">
                  <c:v>-8.8337225947412043E-2</c:v>
                </c:pt>
                <c:pt idx="181">
                  <c:v>-9.1915919535899948E-2</c:v>
                </c:pt>
                <c:pt idx="182">
                  <c:v>-8.2875009417614706E-2</c:v>
                </c:pt>
                <c:pt idx="183">
                  <c:v>-9.1539214947638059E-2</c:v>
                </c:pt>
                <c:pt idx="184">
                  <c:v>-9.2028930912378515E-2</c:v>
                </c:pt>
                <c:pt idx="185">
                  <c:v>-9.0107737512242894E-2</c:v>
                </c:pt>
                <c:pt idx="186">
                  <c:v>-8.9203646500414374E-2</c:v>
                </c:pt>
                <c:pt idx="187">
                  <c:v>-8.6792737135538311E-2</c:v>
                </c:pt>
                <c:pt idx="188">
                  <c:v>-8.9844044300459586E-2</c:v>
                </c:pt>
                <c:pt idx="189">
                  <c:v>-9.0635123935809539E-2</c:v>
                </c:pt>
                <c:pt idx="190">
                  <c:v>-9.5419272206735475E-2</c:v>
                </c:pt>
                <c:pt idx="191">
                  <c:v>-0.1071347849016801</c:v>
                </c:pt>
                <c:pt idx="192">
                  <c:v>-0.11229563776086793</c:v>
                </c:pt>
                <c:pt idx="193">
                  <c:v>-0.11444285391396067</c:v>
                </c:pt>
                <c:pt idx="194">
                  <c:v>-0.11278535372560838</c:v>
                </c:pt>
                <c:pt idx="195">
                  <c:v>-0.10562796654863256</c:v>
                </c:pt>
                <c:pt idx="196">
                  <c:v>-0.11237097867852031</c:v>
                </c:pt>
                <c:pt idx="197">
                  <c:v>-0.11470654712574399</c:v>
                </c:pt>
                <c:pt idx="198">
                  <c:v>-0.1104121148195585</c:v>
                </c:pt>
                <c:pt idx="199">
                  <c:v>-0.10675808031341821</c:v>
                </c:pt>
                <c:pt idx="200">
                  <c:v>-0.11508325171400588</c:v>
                </c:pt>
                <c:pt idx="201">
                  <c:v>-0.12050779778497703</c:v>
                </c:pt>
                <c:pt idx="202">
                  <c:v>-0.11805921796127476</c:v>
                </c:pt>
                <c:pt idx="203">
                  <c:v>-0.11203194454908461</c:v>
                </c:pt>
                <c:pt idx="204">
                  <c:v>-0.10781285316055149</c:v>
                </c:pt>
                <c:pt idx="205">
                  <c:v>-0.108114216831161</c:v>
                </c:pt>
                <c:pt idx="206">
                  <c:v>-0.10042944323061855</c:v>
                </c:pt>
                <c:pt idx="207">
                  <c:v>-9.9676034054094781E-2</c:v>
                </c:pt>
                <c:pt idx="208">
                  <c:v>-8.720711218262639E-2</c:v>
                </c:pt>
                <c:pt idx="209">
                  <c:v>-8.7998191817976343E-2</c:v>
                </c:pt>
                <c:pt idx="210">
                  <c:v>-8.9052964665109619E-2</c:v>
                </c:pt>
                <c:pt idx="211">
                  <c:v>-8.6001657500188358E-2</c:v>
                </c:pt>
                <c:pt idx="212">
                  <c:v>-8.68304075943645E-2</c:v>
                </c:pt>
                <c:pt idx="213">
                  <c:v>-8.5285918782490769E-2</c:v>
                </c:pt>
                <c:pt idx="214">
                  <c:v>-8.739546447675732E-2</c:v>
                </c:pt>
                <c:pt idx="215">
                  <c:v>-9.2593987794771335E-2</c:v>
                </c:pt>
                <c:pt idx="216">
                  <c:v>-8.4042793641226549E-2</c:v>
                </c:pt>
                <c:pt idx="217">
                  <c:v>-8.7546146312062076E-2</c:v>
                </c:pt>
                <c:pt idx="218">
                  <c:v>-9.0748135312288106E-2</c:v>
                </c:pt>
                <c:pt idx="219">
                  <c:v>-8.9618021547502452E-2</c:v>
                </c:pt>
                <c:pt idx="220">
                  <c:v>-9.025841934754765E-2</c:v>
                </c:pt>
                <c:pt idx="221">
                  <c:v>-9.560762450086642E-2</c:v>
                </c:pt>
                <c:pt idx="222">
                  <c:v>-0.10709711444285391</c:v>
                </c:pt>
                <c:pt idx="223">
                  <c:v>-0.11319972877269645</c:v>
                </c:pt>
                <c:pt idx="224">
                  <c:v>-0.11101484216077752</c:v>
                </c:pt>
                <c:pt idx="225">
                  <c:v>-0.108114216831161</c:v>
                </c:pt>
                <c:pt idx="226">
                  <c:v>-0.10133353424244708</c:v>
                </c:pt>
                <c:pt idx="227">
                  <c:v>-0.10532660287802305</c:v>
                </c:pt>
                <c:pt idx="228">
                  <c:v>-0.10250131846605892</c:v>
                </c:pt>
                <c:pt idx="229">
                  <c:v>-0.10506290966623974</c:v>
                </c:pt>
                <c:pt idx="230">
                  <c:v>-9.809387478339486E-2</c:v>
                </c:pt>
                <c:pt idx="231">
                  <c:v>-0.10238830708958035</c:v>
                </c:pt>
                <c:pt idx="232">
                  <c:v>-9.847057937165675E-2</c:v>
                </c:pt>
                <c:pt idx="233">
                  <c:v>-9.7604158818654405E-2</c:v>
                </c:pt>
                <c:pt idx="234">
                  <c:v>-0.1038951254426279</c:v>
                </c:pt>
                <c:pt idx="235">
                  <c:v>-0.10705944398402772</c:v>
                </c:pt>
                <c:pt idx="236">
                  <c:v>-0.1058163188427635</c:v>
                </c:pt>
                <c:pt idx="237">
                  <c:v>-0.10641904618398253</c:v>
                </c:pt>
                <c:pt idx="238">
                  <c:v>-0.10596700067806826</c:v>
                </c:pt>
                <c:pt idx="239">
                  <c:v>-0.12043245686732465</c:v>
                </c:pt>
                <c:pt idx="240">
                  <c:v>-0.12691177578542906</c:v>
                </c:pt>
                <c:pt idx="241">
                  <c:v>-0.12770285542077903</c:v>
                </c:pt>
                <c:pt idx="242">
                  <c:v>-0.12981240111504558</c:v>
                </c:pt>
                <c:pt idx="243">
                  <c:v>-0.13983274316281172</c:v>
                </c:pt>
                <c:pt idx="244">
                  <c:v>-0.13904166352746175</c:v>
                </c:pt>
                <c:pt idx="245">
                  <c:v>-0.14039780004520455</c:v>
                </c:pt>
                <c:pt idx="246">
                  <c:v>-0.13678143599789044</c:v>
                </c:pt>
                <c:pt idx="247">
                  <c:v>-0.13199728772696451</c:v>
                </c:pt>
                <c:pt idx="248">
                  <c:v>-0.12698711670308144</c:v>
                </c:pt>
                <c:pt idx="249">
                  <c:v>-0.11960370677314849</c:v>
                </c:pt>
                <c:pt idx="250">
                  <c:v>-0.12435018458524826</c:v>
                </c:pt>
                <c:pt idx="251">
                  <c:v>-0.12713779853838619</c:v>
                </c:pt>
                <c:pt idx="252">
                  <c:v>-0.12382279816168161</c:v>
                </c:pt>
                <c:pt idx="253">
                  <c:v>-0.1235214344910721</c:v>
                </c:pt>
                <c:pt idx="254">
                  <c:v>-0.13128154900926695</c:v>
                </c:pt>
                <c:pt idx="255">
                  <c:v>-0.12638438936186241</c:v>
                </c:pt>
                <c:pt idx="256">
                  <c:v>-0.12664808257364574</c:v>
                </c:pt>
                <c:pt idx="257">
                  <c:v>-0.12431251412642207</c:v>
                </c:pt>
                <c:pt idx="258">
                  <c:v>-0.11813455887892714</c:v>
                </c:pt>
                <c:pt idx="259">
                  <c:v>-0.12536728697355534</c:v>
                </c:pt>
                <c:pt idx="260">
                  <c:v>-0.12495291192646726</c:v>
                </c:pt>
                <c:pt idx="261">
                  <c:v>-0.12212762751450312</c:v>
                </c:pt>
                <c:pt idx="262">
                  <c:v>-0.1274391622089957</c:v>
                </c:pt>
                <c:pt idx="263">
                  <c:v>-0.12536728697355534</c:v>
                </c:pt>
                <c:pt idx="264">
                  <c:v>-0.12412416183229112</c:v>
                </c:pt>
                <c:pt idx="265">
                  <c:v>-0.11568597905522489</c:v>
                </c:pt>
                <c:pt idx="266">
                  <c:v>-0.11481955850222256</c:v>
                </c:pt>
                <c:pt idx="267">
                  <c:v>-0.11888796805545092</c:v>
                </c:pt>
                <c:pt idx="268">
                  <c:v>-0.12807956000904092</c:v>
                </c:pt>
                <c:pt idx="269">
                  <c:v>-0.12653507119716717</c:v>
                </c:pt>
                <c:pt idx="270">
                  <c:v>-0.12819257138551948</c:v>
                </c:pt>
                <c:pt idx="271">
                  <c:v>-0.134295185715362</c:v>
                </c:pt>
                <c:pt idx="272">
                  <c:v>-0.13892865215098321</c:v>
                </c:pt>
                <c:pt idx="273">
                  <c:v>-0.14729149401039704</c:v>
                </c:pt>
                <c:pt idx="274">
                  <c:v>-0.14307240262186394</c:v>
                </c:pt>
                <c:pt idx="275">
                  <c:v>-0.13870262939802608</c:v>
                </c:pt>
                <c:pt idx="276">
                  <c:v>-0.14314774353951631</c:v>
                </c:pt>
                <c:pt idx="277">
                  <c:v>-0.14699013033978753</c:v>
                </c:pt>
                <c:pt idx="278">
                  <c:v>-0.13979507270398553</c:v>
                </c:pt>
                <c:pt idx="279">
                  <c:v>-0.13708279966849996</c:v>
                </c:pt>
                <c:pt idx="280">
                  <c:v>-0.13708279966849996</c:v>
                </c:pt>
                <c:pt idx="281">
                  <c:v>-0.13708279966849996</c:v>
                </c:pt>
                <c:pt idx="282">
                  <c:v>-0.14431552776312814</c:v>
                </c:pt>
                <c:pt idx="283">
                  <c:v>-0.13930535673924507</c:v>
                </c:pt>
                <c:pt idx="284">
                  <c:v>-0.14333609583364726</c:v>
                </c:pt>
                <c:pt idx="285">
                  <c:v>-0.13674376553906425</c:v>
                </c:pt>
                <c:pt idx="286">
                  <c:v>-0.13184660589165975</c:v>
                </c:pt>
                <c:pt idx="287">
                  <c:v>-0.1293980260679575</c:v>
                </c:pt>
                <c:pt idx="288">
                  <c:v>-0.12397347999698637</c:v>
                </c:pt>
                <c:pt idx="289">
                  <c:v>-0.13410683342123106</c:v>
                </c:pt>
                <c:pt idx="290">
                  <c:v>-0.13625404957432383</c:v>
                </c:pt>
                <c:pt idx="291">
                  <c:v>-0.13614103819784526</c:v>
                </c:pt>
                <c:pt idx="292">
                  <c:v>-0.13056581029156936</c:v>
                </c:pt>
                <c:pt idx="293">
                  <c:v>-0.1277781963384314</c:v>
                </c:pt>
                <c:pt idx="294">
                  <c:v>-0.13870262939802608</c:v>
                </c:pt>
                <c:pt idx="295">
                  <c:v>-0.13821291343328562</c:v>
                </c:pt>
                <c:pt idx="296">
                  <c:v>-0.15056882392827545</c:v>
                </c:pt>
                <c:pt idx="297">
                  <c:v>-0.15640774504633467</c:v>
                </c:pt>
                <c:pt idx="298">
                  <c:v>-0.15968507496421305</c:v>
                </c:pt>
                <c:pt idx="299">
                  <c:v>-0.16526030287048896</c:v>
                </c:pt>
                <c:pt idx="300">
                  <c:v>-0.15704814284637986</c:v>
                </c:pt>
                <c:pt idx="301">
                  <c:v>-0.1412642205982069</c:v>
                </c:pt>
                <c:pt idx="302">
                  <c:v>-0.13945603857454983</c:v>
                </c:pt>
                <c:pt idx="303">
                  <c:v>-0.13870262939802608</c:v>
                </c:pt>
                <c:pt idx="304">
                  <c:v>-0.12687410532660287</c:v>
                </c:pt>
                <c:pt idx="305">
                  <c:v>-0.13098018533865743</c:v>
                </c:pt>
                <c:pt idx="306">
                  <c:v>-0.14081217509229263</c:v>
                </c:pt>
                <c:pt idx="307">
                  <c:v>-0.14808257364574701</c:v>
                </c:pt>
                <c:pt idx="308">
                  <c:v>-0.14759285768100655</c:v>
                </c:pt>
                <c:pt idx="309">
                  <c:v>-0.14717848263391847</c:v>
                </c:pt>
                <c:pt idx="310">
                  <c:v>-0.14431552776312814</c:v>
                </c:pt>
                <c:pt idx="311">
                  <c:v>-0.13587734498606194</c:v>
                </c:pt>
                <c:pt idx="312">
                  <c:v>-0.13158291267987643</c:v>
                </c:pt>
                <c:pt idx="313">
                  <c:v>-0.11820989979657952</c:v>
                </c:pt>
                <c:pt idx="314">
                  <c:v>-0.11587433134935583</c:v>
                </c:pt>
                <c:pt idx="315">
                  <c:v>-0.12163791154976268</c:v>
                </c:pt>
                <c:pt idx="316">
                  <c:v>-0.11082648986664657</c:v>
                </c:pt>
                <c:pt idx="317">
                  <c:v>-0.10664506893693965</c:v>
                </c:pt>
                <c:pt idx="318">
                  <c:v>-0.10163489791305658</c:v>
                </c:pt>
                <c:pt idx="319">
                  <c:v>-8.6453703006102611E-2</c:v>
                </c:pt>
                <c:pt idx="320">
                  <c:v>-8.524824832366458E-2</c:v>
                </c:pt>
                <c:pt idx="321">
                  <c:v>-9.8244556618699616E-2</c:v>
                </c:pt>
                <c:pt idx="322">
                  <c:v>-9.5117908536125964E-2</c:v>
                </c:pt>
                <c:pt idx="323">
                  <c:v>-9.8395238454004372E-2</c:v>
                </c:pt>
                <c:pt idx="324">
                  <c:v>-9.8395238454004372E-2</c:v>
                </c:pt>
                <c:pt idx="325">
                  <c:v>-0.10717245536050629</c:v>
                </c:pt>
                <c:pt idx="326">
                  <c:v>-0.10954569426655617</c:v>
                </c:pt>
                <c:pt idx="327">
                  <c:v>-9.3008362841859413E-2</c:v>
                </c:pt>
                <c:pt idx="328">
                  <c:v>-8.7998191817976343E-2</c:v>
                </c:pt>
                <c:pt idx="329">
                  <c:v>-8.1066827393957652E-2</c:v>
                </c:pt>
                <c:pt idx="330">
                  <c:v>-8.6453703006102611E-2</c:v>
                </c:pt>
                <c:pt idx="331">
                  <c:v>-6.8560235063663072E-2</c:v>
                </c:pt>
                <c:pt idx="332">
                  <c:v>-6.3173359451518113E-2</c:v>
                </c:pt>
                <c:pt idx="333">
                  <c:v>-6.0122052286596853E-2</c:v>
                </c:pt>
                <c:pt idx="334">
                  <c:v>-5.6241995027499436E-2</c:v>
                </c:pt>
                <c:pt idx="335">
                  <c:v>-5.4622165297973327E-2</c:v>
                </c:pt>
                <c:pt idx="336">
                  <c:v>-5.5036540345061405E-2</c:v>
                </c:pt>
                <c:pt idx="337">
                  <c:v>-6.7505462216529796E-2</c:v>
                </c:pt>
                <c:pt idx="338">
                  <c:v>-6.611165523996082E-2</c:v>
                </c:pt>
                <c:pt idx="339">
                  <c:v>-6.0762450086642057E-2</c:v>
                </c:pt>
                <c:pt idx="340">
                  <c:v>-5.0629096662397351E-2</c:v>
                </c:pt>
                <c:pt idx="341">
                  <c:v>-5.2286596850749642E-2</c:v>
                </c:pt>
                <c:pt idx="342">
                  <c:v>-5.9783018157161152E-2</c:v>
                </c:pt>
                <c:pt idx="343">
                  <c:v>-6.1628870639644388E-2</c:v>
                </c:pt>
                <c:pt idx="344">
                  <c:v>-6.9728019287274914E-2</c:v>
                </c:pt>
                <c:pt idx="345">
                  <c:v>-7.4286144805243731E-2</c:v>
                </c:pt>
                <c:pt idx="346">
                  <c:v>-7.5604610864160329E-2</c:v>
                </c:pt>
                <c:pt idx="347">
                  <c:v>-8.434415731183606E-2</c:v>
                </c:pt>
                <c:pt idx="348">
                  <c:v>-8.3816770888269415E-2</c:v>
                </c:pt>
                <c:pt idx="349">
                  <c:v>-8.6529043923754989E-2</c:v>
                </c:pt>
                <c:pt idx="350">
                  <c:v>-8.4494839147140816E-2</c:v>
                </c:pt>
                <c:pt idx="351">
                  <c:v>-8.6190009794319289E-2</c:v>
                </c:pt>
                <c:pt idx="352">
                  <c:v>-8.2988020794093273E-2</c:v>
                </c:pt>
                <c:pt idx="353">
                  <c:v>-8.1782566111655242E-2</c:v>
                </c:pt>
                <c:pt idx="354">
                  <c:v>-7.933398628795299E-2</c:v>
                </c:pt>
                <c:pt idx="355">
                  <c:v>-7.4549838017027054E-2</c:v>
                </c:pt>
                <c:pt idx="356">
                  <c:v>-7.6659383711293605E-2</c:v>
                </c:pt>
                <c:pt idx="357">
                  <c:v>-7.6659383711293605E-2</c:v>
                </c:pt>
                <c:pt idx="358">
                  <c:v>-7.5943644993596016E-2</c:v>
                </c:pt>
                <c:pt idx="359">
                  <c:v>-8.1707225194002864E-2</c:v>
                </c:pt>
                <c:pt idx="360">
                  <c:v>-7.8731258946733967E-2</c:v>
                </c:pt>
                <c:pt idx="361">
                  <c:v>-7.8731258946733967E-2</c:v>
                </c:pt>
                <c:pt idx="362">
                  <c:v>-7.8957281699691101E-2</c:v>
                </c:pt>
                <c:pt idx="363">
                  <c:v>-7.8053190687862581E-2</c:v>
                </c:pt>
                <c:pt idx="364">
                  <c:v>-7.8166202064341148E-2</c:v>
                </c:pt>
                <c:pt idx="365">
                  <c:v>-7.8166202064341148E-2</c:v>
                </c:pt>
                <c:pt idx="366">
                  <c:v>-8.8374896406238232E-2</c:v>
                </c:pt>
                <c:pt idx="367">
                  <c:v>-8.901529420628343E-2</c:v>
                </c:pt>
                <c:pt idx="368">
                  <c:v>-8.4381827770662249E-2</c:v>
                </c:pt>
                <c:pt idx="369">
                  <c:v>-9.4138476606645066E-2</c:v>
                </c:pt>
                <c:pt idx="370">
                  <c:v>-8.0690122805695777E-2</c:v>
                </c:pt>
                <c:pt idx="371">
                  <c:v>-7.7186770134860236E-2</c:v>
                </c:pt>
                <c:pt idx="372">
                  <c:v>-7.5642281322986518E-2</c:v>
                </c:pt>
                <c:pt idx="373">
                  <c:v>-7.3834099299329464E-2</c:v>
                </c:pt>
                <c:pt idx="374">
                  <c:v>-6.5734950651698931E-2</c:v>
                </c:pt>
                <c:pt idx="375">
                  <c:v>-7.0293076169667748E-2</c:v>
                </c:pt>
                <c:pt idx="376">
                  <c:v>-7.0632110299103448E-2</c:v>
                </c:pt>
                <c:pt idx="377">
                  <c:v>-7.3382053793415197E-2</c:v>
                </c:pt>
                <c:pt idx="378">
                  <c:v>-6.8673246440141639E-2</c:v>
                </c:pt>
                <c:pt idx="379">
                  <c:v>-6.8673246440141639E-2</c:v>
                </c:pt>
                <c:pt idx="380">
                  <c:v>-6.362540495743238E-2</c:v>
                </c:pt>
                <c:pt idx="381">
                  <c:v>-6.5245234686958489E-2</c:v>
                </c:pt>
                <c:pt idx="382">
                  <c:v>-6.5923302945829876E-2</c:v>
                </c:pt>
                <c:pt idx="383">
                  <c:v>-5.1269494462442555E-2</c:v>
                </c:pt>
                <c:pt idx="384">
                  <c:v>-6.2306938898515782E-2</c:v>
                </c:pt>
                <c:pt idx="385">
                  <c:v>-7.0707451216755826E-2</c:v>
                </c:pt>
                <c:pt idx="386">
                  <c:v>-7.0933473969712946E-2</c:v>
                </c:pt>
                <c:pt idx="387">
                  <c:v>-7.0971144428539135E-2</c:v>
                </c:pt>
                <c:pt idx="388">
                  <c:v>-7.1385519475627213E-2</c:v>
                </c:pt>
                <c:pt idx="389">
                  <c:v>-7.2063587734498613E-2</c:v>
                </c:pt>
                <c:pt idx="390">
                  <c:v>-7.5077224440593684E-2</c:v>
                </c:pt>
                <c:pt idx="391">
                  <c:v>-7.0669780757929637E-2</c:v>
                </c:pt>
                <c:pt idx="392">
                  <c:v>-7.0745121675582015E-2</c:v>
                </c:pt>
                <c:pt idx="393">
                  <c:v>-7.0519098922624882E-2</c:v>
                </c:pt>
                <c:pt idx="394">
                  <c:v>-7.0707451216755826E-2</c:v>
                </c:pt>
                <c:pt idx="395">
                  <c:v>-6.8409553228358316E-2</c:v>
                </c:pt>
                <c:pt idx="396">
                  <c:v>-7.1875235440367669E-2</c:v>
                </c:pt>
                <c:pt idx="397">
                  <c:v>-7.0782792134408204E-2</c:v>
                </c:pt>
                <c:pt idx="398">
                  <c:v>-7.2703985534543811E-2</c:v>
                </c:pt>
                <c:pt idx="399">
                  <c:v>-7.4775860769984173E-2</c:v>
                </c:pt>
                <c:pt idx="400">
                  <c:v>-7.7563474723122125E-2</c:v>
                </c:pt>
                <c:pt idx="401">
                  <c:v>-7.3118360581631889E-2</c:v>
                </c:pt>
                <c:pt idx="402">
                  <c:v>-7.9070293076169668E-2</c:v>
                </c:pt>
                <c:pt idx="403">
                  <c:v>-7.4361485722896109E-2</c:v>
                </c:pt>
                <c:pt idx="404">
                  <c:v>-7.6395690499510283E-2</c:v>
                </c:pt>
                <c:pt idx="405">
                  <c:v>-7.3947110675808031E-2</c:v>
                </c:pt>
                <c:pt idx="406">
                  <c:v>-7.3532735628719953E-2</c:v>
                </c:pt>
                <c:pt idx="407">
                  <c:v>-8.2912679876440895E-2</c:v>
                </c:pt>
                <c:pt idx="408">
                  <c:v>-8.2799668499962328E-2</c:v>
                </c:pt>
                <c:pt idx="409">
                  <c:v>-8.0765463723348155E-2</c:v>
                </c:pt>
                <c:pt idx="410">
                  <c:v>-7.7111429217207872E-2</c:v>
                </c:pt>
                <c:pt idx="411">
                  <c:v>-7.4361485722896109E-2</c:v>
                </c:pt>
                <c:pt idx="412">
                  <c:v>-7.1272508099148646E-2</c:v>
                </c:pt>
                <c:pt idx="413">
                  <c:v>-8.3138702629398029E-2</c:v>
                </c:pt>
                <c:pt idx="414">
                  <c:v>-8.1518872899871919E-2</c:v>
                </c:pt>
                <c:pt idx="415">
                  <c:v>-7.7337451970164992E-2</c:v>
                </c:pt>
                <c:pt idx="416">
                  <c:v>-7.4060122052286598E-2</c:v>
                </c:pt>
                <c:pt idx="417">
                  <c:v>-7.0858133052060568E-2</c:v>
                </c:pt>
                <c:pt idx="418">
                  <c:v>-5.7899495215851728E-2</c:v>
                </c:pt>
                <c:pt idx="419">
                  <c:v>-7.0067053416710615E-2</c:v>
                </c:pt>
                <c:pt idx="420">
                  <c:v>-7.112182626384389E-2</c:v>
                </c:pt>
                <c:pt idx="421">
                  <c:v>-6.7693814510660741E-2</c:v>
                </c:pt>
                <c:pt idx="422">
                  <c:v>-6.6789723498832221E-2</c:v>
                </c:pt>
                <c:pt idx="423">
                  <c:v>-6.4002109545694269E-2</c:v>
                </c:pt>
                <c:pt idx="424">
                  <c:v>-6.3361711745649058E-2</c:v>
                </c:pt>
                <c:pt idx="425">
                  <c:v>-6.5998643863482254E-2</c:v>
                </c:pt>
                <c:pt idx="426">
                  <c:v>-6.031040458072779E-2</c:v>
                </c:pt>
                <c:pt idx="427">
                  <c:v>-5.7146086039327956E-2</c:v>
                </c:pt>
                <c:pt idx="428">
                  <c:v>-6.1704211557296766E-2</c:v>
                </c:pt>
                <c:pt idx="429">
                  <c:v>-6.0574097792511113E-2</c:v>
                </c:pt>
                <c:pt idx="430">
                  <c:v>-6.1515859263165829E-2</c:v>
                </c:pt>
                <c:pt idx="431">
                  <c:v>-6.3587734498606191E-2</c:v>
                </c:pt>
                <c:pt idx="432">
                  <c:v>-5.9707677239508775E-2</c:v>
                </c:pt>
                <c:pt idx="433">
                  <c:v>-5.4622165297973327E-2</c:v>
                </c:pt>
                <c:pt idx="434">
                  <c:v>-4.7427107662171328E-2</c:v>
                </c:pt>
                <c:pt idx="435">
                  <c:v>-5.4207790250885256E-2</c:v>
                </c:pt>
                <c:pt idx="436">
                  <c:v>-5.7183756498154145E-2</c:v>
                </c:pt>
                <c:pt idx="437">
                  <c:v>-5.4772847133278083E-2</c:v>
                </c:pt>
                <c:pt idx="438">
                  <c:v>-5.5601597227454232E-2</c:v>
                </c:pt>
                <c:pt idx="439">
                  <c:v>-5.4584494839147138E-2</c:v>
                </c:pt>
                <c:pt idx="440">
                  <c:v>-5.4283131168537634E-2</c:v>
                </c:pt>
                <c:pt idx="441">
                  <c:v>-4.7238755368040383E-2</c:v>
                </c:pt>
                <c:pt idx="442">
                  <c:v>-5.43961425450162E-2</c:v>
                </c:pt>
                <c:pt idx="443">
                  <c:v>-4.8557221426956981E-2</c:v>
                </c:pt>
                <c:pt idx="444">
                  <c:v>-5.2248926391923453E-2</c:v>
                </c:pt>
                <c:pt idx="445">
                  <c:v>-5.2248926391923453E-2</c:v>
                </c:pt>
                <c:pt idx="446">
                  <c:v>-5.2248926391923453E-2</c:v>
                </c:pt>
                <c:pt idx="447">
                  <c:v>-5.2248926391923453E-2</c:v>
                </c:pt>
                <c:pt idx="448">
                  <c:v>-4.9725005650568824E-2</c:v>
                </c:pt>
                <c:pt idx="449">
                  <c:v>-5.1382505838921115E-2</c:v>
                </c:pt>
                <c:pt idx="450">
                  <c:v>-5.1043471709485422E-2</c:v>
                </c:pt>
                <c:pt idx="451">
                  <c:v>-5.3906426580275744E-2</c:v>
                </c:pt>
                <c:pt idx="452">
                  <c:v>-5.5036540345061405E-2</c:v>
                </c:pt>
                <c:pt idx="453">
                  <c:v>-5.8389211180592177E-2</c:v>
                </c:pt>
                <c:pt idx="454">
                  <c:v>-5.9707677239508775E-2</c:v>
                </c:pt>
                <c:pt idx="455">
                  <c:v>-6.4378814133956158E-2</c:v>
                </c:pt>
                <c:pt idx="456">
                  <c:v>-6.3851427710389513E-2</c:v>
                </c:pt>
                <c:pt idx="457">
                  <c:v>-6.45294959692609E-2</c:v>
                </c:pt>
                <c:pt idx="458">
                  <c:v>-6.9275973781360661E-2</c:v>
                </c:pt>
                <c:pt idx="459">
                  <c:v>-7.1724553605062913E-2</c:v>
                </c:pt>
                <c:pt idx="460">
                  <c:v>-7.0406087546146315E-2</c:v>
                </c:pt>
                <c:pt idx="461">
                  <c:v>-7.0594439840277259E-2</c:v>
                </c:pt>
                <c:pt idx="462">
                  <c:v>-7.0782792134408204E-2</c:v>
                </c:pt>
                <c:pt idx="463">
                  <c:v>-7.4851201687636551E-2</c:v>
                </c:pt>
                <c:pt idx="464">
                  <c:v>-7.5529269946507951E-2</c:v>
                </c:pt>
                <c:pt idx="465">
                  <c:v>-7.6094326828900771E-2</c:v>
                </c:pt>
                <c:pt idx="466">
                  <c:v>-7.8354554358472092E-2</c:v>
                </c:pt>
                <c:pt idx="467">
                  <c:v>-7.9371656746779179E-2</c:v>
                </c:pt>
                <c:pt idx="468">
                  <c:v>-8.0840804641000533E-2</c:v>
                </c:pt>
                <c:pt idx="469">
                  <c:v>-7.2816996911022377E-2</c:v>
                </c:pt>
                <c:pt idx="470">
                  <c:v>-7.7036088299555494E-2</c:v>
                </c:pt>
                <c:pt idx="471">
                  <c:v>-7.6621713252467416E-2</c:v>
                </c:pt>
                <c:pt idx="472">
                  <c:v>-7.7525804264295936E-2</c:v>
                </c:pt>
                <c:pt idx="473">
                  <c:v>-7.6998417840729305E-2</c:v>
                </c:pt>
                <c:pt idx="474">
                  <c:v>-7.1686883146236724E-2</c:v>
                </c:pt>
                <c:pt idx="475">
                  <c:v>-7.5114894899419873E-2</c:v>
                </c:pt>
                <c:pt idx="476">
                  <c:v>-7.183756498154148E-2</c:v>
                </c:pt>
                <c:pt idx="477">
                  <c:v>-6.9426655616665417E-2</c:v>
                </c:pt>
                <c:pt idx="478">
                  <c:v>-6.6714382581179843E-2</c:v>
                </c:pt>
                <c:pt idx="479">
                  <c:v>-5.3567392450840051E-2</c:v>
                </c:pt>
                <c:pt idx="480">
                  <c:v>-5.6204324568673247E-2</c:v>
                </c:pt>
                <c:pt idx="481">
                  <c:v>-5.5865290439237547E-2</c:v>
                </c:pt>
                <c:pt idx="482">
                  <c:v>-5.7409779251111279E-2</c:v>
                </c:pt>
                <c:pt idx="483">
                  <c:v>-5.2135915015444886E-2</c:v>
                </c:pt>
                <c:pt idx="484">
                  <c:v>-6.19302343102539E-2</c:v>
                </c:pt>
                <c:pt idx="485">
                  <c:v>-5.8238529345287428E-2</c:v>
                </c:pt>
                <c:pt idx="486">
                  <c:v>-5.8087847509982672E-2</c:v>
                </c:pt>
                <c:pt idx="487">
                  <c:v>-5.281398327431628E-2</c:v>
                </c:pt>
                <c:pt idx="488">
                  <c:v>-5.737210879228509E-2</c:v>
                </c:pt>
                <c:pt idx="489">
                  <c:v>-6.0988472839599184E-2</c:v>
                </c:pt>
                <c:pt idx="490">
                  <c:v>-5.4735176674451894E-2</c:v>
                </c:pt>
                <c:pt idx="491">
                  <c:v>-5.2173585474271075E-2</c:v>
                </c:pt>
                <c:pt idx="492">
                  <c:v>-5.1231824003616366E-2</c:v>
                </c:pt>
                <c:pt idx="493">
                  <c:v>-5.6053642733368492E-2</c:v>
                </c:pt>
                <c:pt idx="494">
                  <c:v>-5.6091313192194681E-2</c:v>
                </c:pt>
                <c:pt idx="495">
                  <c:v>-4.9611994274090257E-2</c:v>
                </c:pt>
                <c:pt idx="496">
                  <c:v>-4.3208016273638211E-2</c:v>
                </c:pt>
                <c:pt idx="497">
                  <c:v>-4.2040232050026369E-2</c:v>
                </c:pt>
                <c:pt idx="498">
                  <c:v>-3.1831537708129284E-2</c:v>
                </c:pt>
                <c:pt idx="499">
                  <c:v>-2.7800798613727116E-2</c:v>
                </c:pt>
                <c:pt idx="500">
                  <c:v>-2.5013184660589168E-2</c:v>
                </c:pt>
                <c:pt idx="501">
                  <c:v>-2.2263241166277405E-2</c:v>
                </c:pt>
                <c:pt idx="502">
                  <c:v>-2.6256309801853388E-2</c:v>
                </c:pt>
                <c:pt idx="503">
                  <c:v>-2.6595343931289084E-2</c:v>
                </c:pt>
                <c:pt idx="504">
                  <c:v>-3.322534468469826E-2</c:v>
                </c:pt>
                <c:pt idx="505">
                  <c:v>-3.4054094778874409E-2</c:v>
                </c:pt>
                <c:pt idx="506">
                  <c:v>-3.9742334061628873E-2</c:v>
                </c:pt>
                <c:pt idx="507">
                  <c:v>-4.1286822873502597E-2</c:v>
                </c:pt>
                <c:pt idx="508">
                  <c:v>-3.7180742861448055E-2</c:v>
                </c:pt>
                <c:pt idx="509">
                  <c:v>-4.6786709862126123E-2</c:v>
                </c:pt>
                <c:pt idx="510">
                  <c:v>-4.2190913885331124E-2</c:v>
                </c:pt>
                <c:pt idx="511">
                  <c:v>-4.6334664356211856E-2</c:v>
                </c:pt>
                <c:pt idx="512">
                  <c:v>-4.3283357191290589E-2</c:v>
                </c:pt>
                <c:pt idx="513">
                  <c:v>-4.8293528215173659E-2</c:v>
                </c:pt>
                <c:pt idx="514">
                  <c:v>-4.7050403073909439E-2</c:v>
                </c:pt>
                <c:pt idx="515">
                  <c:v>-4.4790175544338132E-2</c:v>
                </c:pt>
                <c:pt idx="516">
                  <c:v>-4.4149777744292927E-2</c:v>
                </c:pt>
                <c:pt idx="517">
                  <c:v>-4.5204550591426203E-2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71-4F54-B7E6-883D703C89B3}"/>
            </c:ext>
          </c:extLst>
        </c:ser>
        <c:ser>
          <c:idx val="2"/>
          <c:order val="2"/>
          <c:tx>
            <c:strRef>
              <c:f>'FX Data'!$F$8</c:f>
              <c:strCache>
                <c:ptCount val="1"/>
                <c:pt idx="0">
                  <c:v>JPYVND</c:v>
                </c:pt>
              </c:strCache>
            </c:strRef>
          </c:tx>
          <c:spPr>
            <a:ln w="19050" cap="rnd">
              <a:solidFill>
                <a:srgbClr val="F79646">
                  <a:lumMod val="75000"/>
                </a:srgbClr>
              </a:solidFill>
              <a:round/>
            </a:ln>
            <a:effectLst/>
          </c:spPr>
          <c:marker>
            <c:symbol val="none"/>
          </c:marker>
          <c:val>
            <c:numRef>
              <c:f>'FX Data'!$F$10:$F$527</c:f>
              <c:numCache>
                <c:formatCode>0.00%</c:formatCode>
                <c:ptCount val="518"/>
                <c:pt idx="0">
                  <c:v>0</c:v>
                </c:pt>
                <c:pt idx="1">
                  <c:v>4.9019607843137254E-3</c:v>
                </c:pt>
                <c:pt idx="2">
                  <c:v>4.9019607843137254E-3</c:v>
                </c:pt>
                <c:pt idx="3">
                  <c:v>0</c:v>
                </c:pt>
                <c:pt idx="4">
                  <c:v>0</c:v>
                </c:pt>
                <c:pt idx="5">
                  <c:v>-4.9019607843137254E-3</c:v>
                </c:pt>
                <c:pt idx="6">
                  <c:v>-9.8039215686274508E-3</c:v>
                </c:pt>
                <c:pt idx="7">
                  <c:v>-1.4705882352941176E-2</c:v>
                </c:pt>
                <c:pt idx="8">
                  <c:v>-1.4705882352941176E-2</c:v>
                </c:pt>
                <c:pt idx="9">
                  <c:v>-9.8039215686274508E-3</c:v>
                </c:pt>
                <c:pt idx="10">
                  <c:v>-4.9019607843137254E-3</c:v>
                </c:pt>
                <c:pt idx="11">
                  <c:v>0</c:v>
                </c:pt>
                <c:pt idx="12">
                  <c:v>-4.9019607843137254E-3</c:v>
                </c:pt>
                <c:pt idx="13">
                  <c:v>-9.8039215686274508E-3</c:v>
                </c:pt>
                <c:pt idx="14">
                  <c:v>-4.9019607843137254E-3</c:v>
                </c:pt>
                <c:pt idx="15">
                  <c:v>-4.9019607843137254E-3</c:v>
                </c:pt>
                <c:pt idx="16">
                  <c:v>-4.9019607843137254E-3</c:v>
                </c:pt>
                <c:pt idx="17">
                  <c:v>-4.9019607843137254E-3</c:v>
                </c:pt>
                <c:pt idx="18">
                  <c:v>-9.8039215686274508E-3</c:v>
                </c:pt>
                <c:pt idx="19">
                  <c:v>-9.8039215686274508E-3</c:v>
                </c:pt>
                <c:pt idx="20">
                  <c:v>-9.8039215686274508E-3</c:v>
                </c:pt>
                <c:pt idx="21">
                  <c:v>-9.8039215686274508E-3</c:v>
                </c:pt>
                <c:pt idx="22">
                  <c:v>-1.4705882352941176E-2</c:v>
                </c:pt>
                <c:pt idx="23">
                  <c:v>-1.4705882352941176E-2</c:v>
                </c:pt>
                <c:pt idx="24">
                  <c:v>-1.4705882352941176E-2</c:v>
                </c:pt>
                <c:pt idx="25">
                  <c:v>-9.8039215686274508E-3</c:v>
                </c:pt>
                <c:pt idx="26">
                  <c:v>-9.8039215686274508E-3</c:v>
                </c:pt>
                <c:pt idx="27">
                  <c:v>-1.4705882352941176E-2</c:v>
                </c:pt>
                <c:pt idx="28">
                  <c:v>-9.8039215686274508E-3</c:v>
                </c:pt>
                <c:pt idx="29">
                  <c:v>-9.8039215686274508E-3</c:v>
                </c:pt>
                <c:pt idx="30">
                  <c:v>-9.8039215686274508E-3</c:v>
                </c:pt>
                <c:pt idx="31">
                  <c:v>-9.8039215686274508E-3</c:v>
                </c:pt>
                <c:pt idx="32">
                  <c:v>-4.9019607843137254E-3</c:v>
                </c:pt>
                <c:pt idx="33">
                  <c:v>-4.9019607843137254E-3</c:v>
                </c:pt>
                <c:pt idx="34">
                  <c:v>-9.8039215686274508E-3</c:v>
                </c:pt>
                <c:pt idx="35">
                  <c:v>-9.8039215686274508E-3</c:v>
                </c:pt>
                <c:pt idx="36">
                  <c:v>-4.9019607843137254E-3</c:v>
                </c:pt>
                <c:pt idx="37">
                  <c:v>-4.9019607843137254E-3</c:v>
                </c:pt>
                <c:pt idx="38">
                  <c:v>-9.8039215686274508E-3</c:v>
                </c:pt>
                <c:pt idx="39">
                  <c:v>-1.4705882352941176E-2</c:v>
                </c:pt>
                <c:pt idx="40">
                  <c:v>-1.9607843137254902E-2</c:v>
                </c:pt>
                <c:pt idx="41">
                  <c:v>-1.9607843137254902E-2</c:v>
                </c:pt>
                <c:pt idx="42">
                  <c:v>-2.4509803921568627E-2</c:v>
                </c:pt>
                <c:pt idx="43">
                  <c:v>-2.9411764705882353E-2</c:v>
                </c:pt>
                <c:pt idx="44">
                  <c:v>-2.4509803921568627E-2</c:v>
                </c:pt>
                <c:pt idx="45">
                  <c:v>-1.9607843137254902E-2</c:v>
                </c:pt>
                <c:pt idx="46">
                  <c:v>-1.9607843137254902E-2</c:v>
                </c:pt>
                <c:pt idx="47">
                  <c:v>-2.4509803921568627E-2</c:v>
                </c:pt>
                <c:pt idx="48">
                  <c:v>-2.4509803921568627E-2</c:v>
                </c:pt>
                <c:pt idx="49">
                  <c:v>-2.4509803921568627E-2</c:v>
                </c:pt>
                <c:pt idx="50">
                  <c:v>-2.9411764705882353E-2</c:v>
                </c:pt>
                <c:pt idx="51">
                  <c:v>-3.9215686274509803E-2</c:v>
                </c:pt>
                <c:pt idx="52">
                  <c:v>-3.9215686274509803E-2</c:v>
                </c:pt>
                <c:pt idx="53">
                  <c:v>-3.9215686274509803E-2</c:v>
                </c:pt>
                <c:pt idx="54">
                  <c:v>-4.9019607843137254E-2</c:v>
                </c:pt>
                <c:pt idx="55">
                  <c:v>-5.3921568627450983E-2</c:v>
                </c:pt>
                <c:pt idx="56">
                  <c:v>-5.3921568627450983E-2</c:v>
                </c:pt>
                <c:pt idx="57">
                  <c:v>-5.3921568627450983E-2</c:v>
                </c:pt>
                <c:pt idx="58">
                  <c:v>-5.3921568627450983E-2</c:v>
                </c:pt>
                <c:pt idx="59">
                  <c:v>-4.9019607843137254E-2</c:v>
                </c:pt>
                <c:pt idx="60">
                  <c:v>-4.9019607843137254E-2</c:v>
                </c:pt>
                <c:pt idx="61">
                  <c:v>-4.9019607843137254E-2</c:v>
                </c:pt>
                <c:pt idx="62">
                  <c:v>-5.3921568627450983E-2</c:v>
                </c:pt>
                <c:pt idx="63">
                  <c:v>-4.9019607843137254E-2</c:v>
                </c:pt>
                <c:pt idx="64">
                  <c:v>-4.9019607843137254E-2</c:v>
                </c:pt>
                <c:pt idx="65">
                  <c:v>-5.3921568627450983E-2</c:v>
                </c:pt>
                <c:pt idx="66">
                  <c:v>-5.3921568627450983E-2</c:v>
                </c:pt>
                <c:pt idx="67">
                  <c:v>-4.9019607843137254E-2</c:v>
                </c:pt>
                <c:pt idx="68">
                  <c:v>-5.3921568627450983E-2</c:v>
                </c:pt>
                <c:pt idx="69">
                  <c:v>-5.3921568627450983E-2</c:v>
                </c:pt>
                <c:pt idx="70">
                  <c:v>-4.9019607843137254E-2</c:v>
                </c:pt>
                <c:pt idx="71">
                  <c:v>-4.9019607843137254E-2</c:v>
                </c:pt>
                <c:pt idx="72">
                  <c:v>-4.4117647058823532E-2</c:v>
                </c:pt>
                <c:pt idx="73">
                  <c:v>-5.3921568627450983E-2</c:v>
                </c:pt>
                <c:pt idx="74">
                  <c:v>-5.8823529411764705E-2</c:v>
                </c:pt>
                <c:pt idx="75">
                  <c:v>-5.3921568627450983E-2</c:v>
                </c:pt>
                <c:pt idx="76">
                  <c:v>-5.8823529411764705E-2</c:v>
                </c:pt>
                <c:pt idx="77">
                  <c:v>-6.3725490196078427E-2</c:v>
                </c:pt>
                <c:pt idx="78">
                  <c:v>-5.8823529411764705E-2</c:v>
                </c:pt>
                <c:pt idx="79">
                  <c:v>-5.8823529411764705E-2</c:v>
                </c:pt>
                <c:pt idx="80">
                  <c:v>-5.3921568627450983E-2</c:v>
                </c:pt>
                <c:pt idx="81">
                  <c:v>-5.8823529411764705E-2</c:v>
                </c:pt>
                <c:pt idx="82">
                  <c:v>-6.3725490196078427E-2</c:v>
                </c:pt>
                <c:pt idx="83">
                  <c:v>-6.3725490196078427E-2</c:v>
                </c:pt>
                <c:pt idx="84">
                  <c:v>-6.3725490196078427E-2</c:v>
                </c:pt>
                <c:pt idx="85">
                  <c:v>-4.9019607843137254E-2</c:v>
                </c:pt>
                <c:pt idx="86">
                  <c:v>-4.9019607843137254E-2</c:v>
                </c:pt>
                <c:pt idx="87">
                  <c:v>-4.9019607843137254E-2</c:v>
                </c:pt>
                <c:pt idx="88">
                  <c:v>-4.4117647058823532E-2</c:v>
                </c:pt>
                <c:pt idx="89">
                  <c:v>-4.4117647058823532E-2</c:v>
                </c:pt>
                <c:pt idx="90">
                  <c:v>-2.9411764705882353E-2</c:v>
                </c:pt>
                <c:pt idx="91">
                  <c:v>-3.4313725490196081E-2</c:v>
                </c:pt>
                <c:pt idx="92">
                  <c:v>-3.9215686274509803E-2</c:v>
                </c:pt>
                <c:pt idx="93">
                  <c:v>-3.9215686274509803E-2</c:v>
                </c:pt>
                <c:pt idx="94">
                  <c:v>-3.9215686274509803E-2</c:v>
                </c:pt>
                <c:pt idx="95">
                  <c:v>-3.9215686274509803E-2</c:v>
                </c:pt>
                <c:pt idx="96">
                  <c:v>-3.9215686274509803E-2</c:v>
                </c:pt>
                <c:pt idx="97">
                  <c:v>-3.9215686274509803E-2</c:v>
                </c:pt>
                <c:pt idx="98">
                  <c:v>-3.9215686274509803E-2</c:v>
                </c:pt>
                <c:pt idx="99">
                  <c:v>-3.9215686274509803E-2</c:v>
                </c:pt>
                <c:pt idx="100">
                  <c:v>-3.9215686274509803E-2</c:v>
                </c:pt>
                <c:pt idx="101">
                  <c:v>-4.4117647058823532E-2</c:v>
                </c:pt>
                <c:pt idx="102">
                  <c:v>-4.4117647058823532E-2</c:v>
                </c:pt>
                <c:pt idx="103">
                  <c:v>-4.4117647058823532E-2</c:v>
                </c:pt>
                <c:pt idx="104">
                  <c:v>-4.9019607843137254E-2</c:v>
                </c:pt>
                <c:pt idx="105">
                  <c:v>-5.3921568627450983E-2</c:v>
                </c:pt>
                <c:pt idx="106">
                  <c:v>-5.3921568627450983E-2</c:v>
                </c:pt>
                <c:pt idx="107">
                  <c:v>-5.3921568627450983E-2</c:v>
                </c:pt>
                <c:pt idx="108">
                  <c:v>-5.8823529411764705E-2</c:v>
                </c:pt>
                <c:pt idx="109">
                  <c:v>-5.8823529411764705E-2</c:v>
                </c:pt>
                <c:pt idx="110">
                  <c:v>-5.8823529411764705E-2</c:v>
                </c:pt>
                <c:pt idx="111">
                  <c:v>-5.8823529411764705E-2</c:v>
                </c:pt>
                <c:pt idx="112">
                  <c:v>-6.8627450980392163E-2</c:v>
                </c:pt>
                <c:pt idx="113">
                  <c:v>-6.8627450980392163E-2</c:v>
                </c:pt>
                <c:pt idx="114">
                  <c:v>-6.8627450980392163E-2</c:v>
                </c:pt>
                <c:pt idx="115">
                  <c:v>-6.8627450980392163E-2</c:v>
                </c:pt>
                <c:pt idx="116">
                  <c:v>-6.3725490196078427E-2</c:v>
                </c:pt>
                <c:pt idx="117">
                  <c:v>-6.3725490196078427E-2</c:v>
                </c:pt>
                <c:pt idx="118">
                  <c:v>-5.8823529411764705E-2</c:v>
                </c:pt>
                <c:pt idx="119">
                  <c:v>-5.3921568627450983E-2</c:v>
                </c:pt>
                <c:pt idx="120">
                  <c:v>-5.3921568627450983E-2</c:v>
                </c:pt>
                <c:pt idx="121">
                  <c:v>-5.8823529411764705E-2</c:v>
                </c:pt>
                <c:pt idx="122">
                  <c:v>-5.8823529411764705E-2</c:v>
                </c:pt>
                <c:pt idx="123">
                  <c:v>-5.8823529411764705E-2</c:v>
                </c:pt>
                <c:pt idx="124">
                  <c:v>-5.3921568627450983E-2</c:v>
                </c:pt>
                <c:pt idx="125">
                  <c:v>-5.3921568627450983E-2</c:v>
                </c:pt>
                <c:pt idx="126">
                  <c:v>-5.3921568627450983E-2</c:v>
                </c:pt>
                <c:pt idx="127">
                  <c:v>-5.3921568627450983E-2</c:v>
                </c:pt>
                <c:pt idx="128">
                  <c:v>-6.3725490196078427E-2</c:v>
                </c:pt>
                <c:pt idx="129">
                  <c:v>-7.3529411764705885E-2</c:v>
                </c:pt>
                <c:pt idx="130">
                  <c:v>-7.3529411764705885E-2</c:v>
                </c:pt>
                <c:pt idx="131">
                  <c:v>-7.3529411764705885E-2</c:v>
                </c:pt>
                <c:pt idx="132">
                  <c:v>-7.3529411764705885E-2</c:v>
                </c:pt>
                <c:pt idx="133">
                  <c:v>-7.3529411764705885E-2</c:v>
                </c:pt>
                <c:pt idx="134">
                  <c:v>-7.3529411764705885E-2</c:v>
                </c:pt>
                <c:pt idx="135">
                  <c:v>-6.3725490196078427E-2</c:v>
                </c:pt>
                <c:pt idx="136">
                  <c:v>-6.3725490196078427E-2</c:v>
                </c:pt>
                <c:pt idx="137">
                  <c:v>-6.3725490196078427E-2</c:v>
                </c:pt>
                <c:pt idx="138">
                  <c:v>-6.8627450980392163E-2</c:v>
                </c:pt>
                <c:pt idx="139">
                  <c:v>-6.8627450980392163E-2</c:v>
                </c:pt>
                <c:pt idx="140">
                  <c:v>-6.3725490196078427E-2</c:v>
                </c:pt>
                <c:pt idx="141">
                  <c:v>-6.3725490196078427E-2</c:v>
                </c:pt>
                <c:pt idx="142">
                  <c:v>-6.3725490196078427E-2</c:v>
                </c:pt>
                <c:pt idx="143">
                  <c:v>-5.8823529411764705E-2</c:v>
                </c:pt>
                <c:pt idx="144">
                  <c:v>-5.8823529411764705E-2</c:v>
                </c:pt>
                <c:pt idx="145">
                  <c:v>-5.8823529411764705E-2</c:v>
                </c:pt>
                <c:pt idx="146">
                  <c:v>-5.3921568627450983E-2</c:v>
                </c:pt>
                <c:pt idx="147">
                  <c:v>-5.8823529411764705E-2</c:v>
                </c:pt>
                <c:pt idx="148">
                  <c:v>-5.3921568627450983E-2</c:v>
                </c:pt>
                <c:pt idx="149">
                  <c:v>-5.8823529411764705E-2</c:v>
                </c:pt>
                <c:pt idx="150">
                  <c:v>-5.8823529411764705E-2</c:v>
                </c:pt>
                <c:pt idx="151">
                  <c:v>-5.8823529411764705E-2</c:v>
                </c:pt>
                <c:pt idx="152">
                  <c:v>-5.8823529411764705E-2</c:v>
                </c:pt>
                <c:pt idx="153">
                  <c:v>-5.8823529411764705E-2</c:v>
                </c:pt>
                <c:pt idx="154">
                  <c:v>-5.8823529411764705E-2</c:v>
                </c:pt>
                <c:pt idx="155">
                  <c:v>-5.3921568627450983E-2</c:v>
                </c:pt>
                <c:pt idx="156">
                  <c:v>-5.8823529411764705E-2</c:v>
                </c:pt>
                <c:pt idx="157">
                  <c:v>-6.3725490196078427E-2</c:v>
                </c:pt>
                <c:pt idx="158">
                  <c:v>-6.3725490196078427E-2</c:v>
                </c:pt>
                <c:pt idx="159">
                  <c:v>-6.8627450980392163E-2</c:v>
                </c:pt>
                <c:pt idx="160">
                  <c:v>-7.8431372549019607E-2</c:v>
                </c:pt>
                <c:pt idx="161">
                  <c:v>-7.8431372549019607E-2</c:v>
                </c:pt>
                <c:pt idx="162">
                  <c:v>-8.3333333333333329E-2</c:v>
                </c:pt>
                <c:pt idx="163">
                  <c:v>-8.3333333333333329E-2</c:v>
                </c:pt>
                <c:pt idx="164">
                  <c:v>-8.3333333333333329E-2</c:v>
                </c:pt>
                <c:pt idx="165">
                  <c:v>-8.3333333333333329E-2</c:v>
                </c:pt>
                <c:pt idx="166">
                  <c:v>-9.3137254901960786E-2</c:v>
                </c:pt>
                <c:pt idx="167">
                  <c:v>-9.8039215686274508E-2</c:v>
                </c:pt>
                <c:pt idx="168">
                  <c:v>-9.8039215686274508E-2</c:v>
                </c:pt>
                <c:pt idx="169">
                  <c:v>-0.10784313725490197</c:v>
                </c:pt>
                <c:pt idx="170">
                  <c:v>-0.11764705882352941</c:v>
                </c:pt>
                <c:pt idx="171">
                  <c:v>-0.12254901960784313</c:v>
                </c:pt>
                <c:pt idx="172">
                  <c:v>-0.10784313725490197</c:v>
                </c:pt>
                <c:pt idx="173">
                  <c:v>-0.10784313725490197</c:v>
                </c:pt>
                <c:pt idx="174">
                  <c:v>-0.10784313725490197</c:v>
                </c:pt>
                <c:pt idx="175">
                  <c:v>-0.11274509803921569</c:v>
                </c:pt>
                <c:pt idx="176">
                  <c:v>-0.11274509803921569</c:v>
                </c:pt>
                <c:pt idx="177">
                  <c:v>-0.11764705882352941</c:v>
                </c:pt>
                <c:pt idx="178">
                  <c:v>-0.11764705882352941</c:v>
                </c:pt>
                <c:pt idx="179">
                  <c:v>-0.12254901960784313</c:v>
                </c:pt>
                <c:pt idx="180">
                  <c:v>-0.13235294117647059</c:v>
                </c:pt>
                <c:pt idx="181">
                  <c:v>-0.13235294117647059</c:v>
                </c:pt>
                <c:pt idx="182">
                  <c:v>-0.12745098039215685</c:v>
                </c:pt>
                <c:pt idx="183">
                  <c:v>-0.13725490196078433</c:v>
                </c:pt>
                <c:pt idx="184">
                  <c:v>-0.13725490196078433</c:v>
                </c:pt>
                <c:pt idx="185">
                  <c:v>-0.14705882352941177</c:v>
                </c:pt>
                <c:pt idx="186">
                  <c:v>-0.14705882352941177</c:v>
                </c:pt>
                <c:pt idx="187">
                  <c:v>-0.14705882352941177</c:v>
                </c:pt>
                <c:pt idx="188">
                  <c:v>-0.14705882352941177</c:v>
                </c:pt>
                <c:pt idx="189">
                  <c:v>-0.14705882352941177</c:v>
                </c:pt>
                <c:pt idx="190">
                  <c:v>-0.14215686274509803</c:v>
                </c:pt>
                <c:pt idx="191">
                  <c:v>-0.14215686274509803</c:v>
                </c:pt>
                <c:pt idx="192">
                  <c:v>-0.16176470588235295</c:v>
                </c:pt>
                <c:pt idx="193">
                  <c:v>-0.16176470588235295</c:v>
                </c:pt>
                <c:pt idx="194">
                  <c:v>-0.15686274509803921</c:v>
                </c:pt>
                <c:pt idx="195">
                  <c:v>-0.15196078431372548</c:v>
                </c:pt>
                <c:pt idx="196">
                  <c:v>-0.16176470588235295</c:v>
                </c:pt>
                <c:pt idx="197">
                  <c:v>-0.16176470588235295</c:v>
                </c:pt>
                <c:pt idx="198">
                  <c:v>-0.16176470588235295</c:v>
                </c:pt>
                <c:pt idx="199">
                  <c:v>-0.15196078431372548</c:v>
                </c:pt>
                <c:pt idx="200">
                  <c:v>-0.14215686274509803</c:v>
                </c:pt>
                <c:pt idx="201">
                  <c:v>-0.14215686274509803</c:v>
                </c:pt>
                <c:pt idx="202">
                  <c:v>-0.15196078431372548</c:v>
                </c:pt>
                <c:pt idx="203">
                  <c:v>-0.14705882352941177</c:v>
                </c:pt>
                <c:pt idx="204">
                  <c:v>-0.14705882352941177</c:v>
                </c:pt>
                <c:pt idx="205">
                  <c:v>-0.13725490196078433</c:v>
                </c:pt>
                <c:pt idx="206">
                  <c:v>-0.13725490196078433</c:v>
                </c:pt>
                <c:pt idx="207">
                  <c:v>-0.13725490196078433</c:v>
                </c:pt>
                <c:pt idx="208">
                  <c:v>-0.13235294117647059</c:v>
                </c:pt>
                <c:pt idx="209">
                  <c:v>-0.12745098039215685</c:v>
                </c:pt>
                <c:pt idx="210">
                  <c:v>-0.13235294117647059</c:v>
                </c:pt>
                <c:pt idx="211">
                  <c:v>-0.12745098039215685</c:v>
                </c:pt>
                <c:pt idx="212">
                  <c:v>-0.13235294117647059</c:v>
                </c:pt>
                <c:pt idx="213">
                  <c:v>-0.13725490196078433</c:v>
                </c:pt>
                <c:pt idx="214">
                  <c:v>-0.14705882352941177</c:v>
                </c:pt>
                <c:pt idx="215">
                  <c:v>-0.14705882352941177</c:v>
                </c:pt>
                <c:pt idx="216">
                  <c:v>-0.15196078431372548</c:v>
                </c:pt>
                <c:pt idx="217">
                  <c:v>-0.15686274509803921</c:v>
                </c:pt>
                <c:pt idx="218">
                  <c:v>-0.16176470588235295</c:v>
                </c:pt>
                <c:pt idx="219">
                  <c:v>-0.16666666666666666</c:v>
                </c:pt>
                <c:pt idx="220">
                  <c:v>-0.17156862745098039</c:v>
                </c:pt>
                <c:pt idx="221">
                  <c:v>-0.17647058823529413</c:v>
                </c:pt>
                <c:pt idx="222">
                  <c:v>-0.18137254901960784</c:v>
                </c:pt>
                <c:pt idx="223">
                  <c:v>-0.17647058823529413</c:v>
                </c:pt>
                <c:pt idx="224">
                  <c:v>-0.18137254901960784</c:v>
                </c:pt>
                <c:pt idx="225">
                  <c:v>-0.17647058823529413</c:v>
                </c:pt>
                <c:pt idx="226">
                  <c:v>-0.16666666666666666</c:v>
                </c:pt>
                <c:pt idx="227">
                  <c:v>-0.18137254901960784</c:v>
                </c:pt>
                <c:pt idx="228">
                  <c:v>-0.17647058823529413</c:v>
                </c:pt>
                <c:pt idx="229">
                  <c:v>-0.19117647058823528</c:v>
                </c:pt>
                <c:pt idx="230">
                  <c:v>-0.18137254901960784</c:v>
                </c:pt>
                <c:pt idx="231">
                  <c:v>-0.18137254901960784</c:v>
                </c:pt>
                <c:pt idx="232">
                  <c:v>-0.18137254901960784</c:v>
                </c:pt>
                <c:pt idx="233">
                  <c:v>-0.18627450980392157</c:v>
                </c:pt>
                <c:pt idx="234">
                  <c:v>-0.18627450980392157</c:v>
                </c:pt>
                <c:pt idx="235">
                  <c:v>-0.18627450980392157</c:v>
                </c:pt>
                <c:pt idx="236">
                  <c:v>-0.18137254901960784</c:v>
                </c:pt>
                <c:pt idx="237">
                  <c:v>-0.18137254901960784</c:v>
                </c:pt>
                <c:pt idx="238">
                  <c:v>-0.18137254901960784</c:v>
                </c:pt>
                <c:pt idx="239">
                  <c:v>-0.18137254901960784</c:v>
                </c:pt>
                <c:pt idx="240">
                  <c:v>-0.18627450980392157</c:v>
                </c:pt>
                <c:pt idx="241">
                  <c:v>-0.18137254901960784</c:v>
                </c:pt>
                <c:pt idx="242">
                  <c:v>-0.18627450980392157</c:v>
                </c:pt>
                <c:pt idx="243">
                  <c:v>-0.19117647058823528</c:v>
                </c:pt>
                <c:pt idx="244">
                  <c:v>-0.18627450980392157</c:v>
                </c:pt>
                <c:pt idx="245">
                  <c:v>-0.19607843137254902</c:v>
                </c:pt>
                <c:pt idx="246">
                  <c:v>-0.19607843137254902</c:v>
                </c:pt>
                <c:pt idx="247">
                  <c:v>-0.19117647058823528</c:v>
                </c:pt>
                <c:pt idx="248">
                  <c:v>-0.19117647058823528</c:v>
                </c:pt>
                <c:pt idx="249">
                  <c:v>-0.19117647058823528</c:v>
                </c:pt>
                <c:pt idx="250">
                  <c:v>-0.19607843137254902</c:v>
                </c:pt>
                <c:pt idx="251">
                  <c:v>-0.19117647058823528</c:v>
                </c:pt>
                <c:pt idx="252">
                  <c:v>-0.18137254901960784</c:v>
                </c:pt>
                <c:pt idx="253">
                  <c:v>-0.18627450980392157</c:v>
                </c:pt>
                <c:pt idx="254">
                  <c:v>-0.18627450980392157</c:v>
                </c:pt>
                <c:pt idx="255">
                  <c:v>-0.18627450980392157</c:v>
                </c:pt>
                <c:pt idx="256">
                  <c:v>-0.16666666666666666</c:v>
                </c:pt>
                <c:pt idx="257">
                  <c:v>-0.16176470588235295</c:v>
                </c:pt>
                <c:pt idx="258">
                  <c:v>-0.15196078431372548</c:v>
                </c:pt>
                <c:pt idx="259">
                  <c:v>-0.16176470588235295</c:v>
                </c:pt>
                <c:pt idx="260">
                  <c:v>-0.17156862745098039</c:v>
                </c:pt>
                <c:pt idx="261">
                  <c:v>-0.16176470588235295</c:v>
                </c:pt>
                <c:pt idx="262">
                  <c:v>-0.17647058823529413</c:v>
                </c:pt>
                <c:pt idx="263">
                  <c:v>-0.17156862745098039</c:v>
                </c:pt>
                <c:pt idx="264">
                  <c:v>-0.17647058823529413</c:v>
                </c:pt>
                <c:pt idx="265">
                  <c:v>-0.16176470588235295</c:v>
                </c:pt>
                <c:pt idx="266">
                  <c:v>-0.16666666666666666</c:v>
                </c:pt>
                <c:pt idx="267">
                  <c:v>-0.16176470588235295</c:v>
                </c:pt>
                <c:pt idx="268">
                  <c:v>-0.16176470588235295</c:v>
                </c:pt>
                <c:pt idx="269">
                  <c:v>-0.16666666666666666</c:v>
                </c:pt>
                <c:pt idx="270">
                  <c:v>-0.17647058823529413</c:v>
                </c:pt>
                <c:pt idx="271">
                  <c:v>-0.18137254901960784</c:v>
                </c:pt>
                <c:pt idx="272">
                  <c:v>-0.19117647058823528</c:v>
                </c:pt>
                <c:pt idx="273">
                  <c:v>-0.18627450980392157</c:v>
                </c:pt>
                <c:pt idx="274">
                  <c:v>-0.18137254901960784</c:v>
                </c:pt>
                <c:pt idx="275">
                  <c:v>-0.18627450980392157</c:v>
                </c:pt>
                <c:pt idx="276">
                  <c:v>-0.18627450980392157</c:v>
                </c:pt>
                <c:pt idx="277">
                  <c:v>-0.19607843137254902</c:v>
                </c:pt>
                <c:pt idx="278">
                  <c:v>-0.19607843137254902</c:v>
                </c:pt>
                <c:pt idx="279">
                  <c:v>-0.19607843137254902</c:v>
                </c:pt>
                <c:pt idx="280">
                  <c:v>-0.19607843137254902</c:v>
                </c:pt>
                <c:pt idx="281">
                  <c:v>-0.19607843137254902</c:v>
                </c:pt>
                <c:pt idx="282">
                  <c:v>-0.20098039215686275</c:v>
                </c:pt>
                <c:pt idx="283">
                  <c:v>-0.20098039215686275</c:v>
                </c:pt>
                <c:pt idx="284">
                  <c:v>-0.22058823529411764</c:v>
                </c:pt>
                <c:pt idx="285">
                  <c:v>-0.22058823529411764</c:v>
                </c:pt>
                <c:pt idx="286">
                  <c:v>-0.22058823529411764</c:v>
                </c:pt>
                <c:pt idx="287">
                  <c:v>-0.21568627450980393</c:v>
                </c:pt>
                <c:pt idx="288">
                  <c:v>-0.21568627450980393</c:v>
                </c:pt>
                <c:pt idx="289">
                  <c:v>-0.21568627450980393</c:v>
                </c:pt>
                <c:pt idx="290">
                  <c:v>-0.2107843137254902</c:v>
                </c:pt>
                <c:pt idx="291">
                  <c:v>-0.2107843137254902</c:v>
                </c:pt>
                <c:pt idx="292">
                  <c:v>-0.2107843137254902</c:v>
                </c:pt>
                <c:pt idx="293">
                  <c:v>-0.2107843137254902</c:v>
                </c:pt>
                <c:pt idx="294">
                  <c:v>-0.21568627450980393</c:v>
                </c:pt>
                <c:pt idx="295">
                  <c:v>-0.20098039215686275</c:v>
                </c:pt>
                <c:pt idx="296">
                  <c:v>-0.2107843137254902</c:v>
                </c:pt>
                <c:pt idx="297">
                  <c:v>-0.21568627450980393</c:v>
                </c:pt>
                <c:pt idx="298">
                  <c:v>-0.22058823529411764</c:v>
                </c:pt>
                <c:pt idx="299">
                  <c:v>-0.22058823529411764</c:v>
                </c:pt>
                <c:pt idx="300">
                  <c:v>-0.21568627450980393</c:v>
                </c:pt>
                <c:pt idx="301">
                  <c:v>-0.21568627450980393</c:v>
                </c:pt>
                <c:pt idx="302">
                  <c:v>-0.21568627450980393</c:v>
                </c:pt>
                <c:pt idx="303">
                  <c:v>-0.21568627450980393</c:v>
                </c:pt>
                <c:pt idx="304">
                  <c:v>-0.2107843137254902</c:v>
                </c:pt>
                <c:pt idx="305">
                  <c:v>-0.21568627450980393</c:v>
                </c:pt>
                <c:pt idx="306">
                  <c:v>-0.21568627450980393</c:v>
                </c:pt>
                <c:pt idx="307">
                  <c:v>-0.22058823529411764</c:v>
                </c:pt>
                <c:pt idx="308">
                  <c:v>-0.22058823529411764</c:v>
                </c:pt>
                <c:pt idx="309">
                  <c:v>-0.22058823529411764</c:v>
                </c:pt>
                <c:pt idx="310">
                  <c:v>-0.22058823529411764</c:v>
                </c:pt>
                <c:pt idx="311">
                  <c:v>-0.22058823529411764</c:v>
                </c:pt>
                <c:pt idx="312">
                  <c:v>-0.22549019607843138</c:v>
                </c:pt>
                <c:pt idx="313">
                  <c:v>-0.22058823529411764</c:v>
                </c:pt>
                <c:pt idx="314">
                  <c:v>-0.22058823529411764</c:v>
                </c:pt>
                <c:pt idx="315">
                  <c:v>-0.22058823529411764</c:v>
                </c:pt>
                <c:pt idx="316">
                  <c:v>-0.22058823529411764</c:v>
                </c:pt>
                <c:pt idx="317">
                  <c:v>-0.2107843137254902</c:v>
                </c:pt>
                <c:pt idx="318">
                  <c:v>-0.2107843137254902</c:v>
                </c:pt>
                <c:pt idx="319">
                  <c:v>-0.19607843137254902</c:v>
                </c:pt>
                <c:pt idx="320">
                  <c:v>-0.19607843137254902</c:v>
                </c:pt>
                <c:pt idx="321">
                  <c:v>-0.20098039215686275</c:v>
                </c:pt>
                <c:pt idx="322">
                  <c:v>-0.20098039215686275</c:v>
                </c:pt>
                <c:pt idx="323">
                  <c:v>-0.20588235294117646</c:v>
                </c:pt>
                <c:pt idx="324">
                  <c:v>-0.20098039215686275</c:v>
                </c:pt>
                <c:pt idx="325">
                  <c:v>-0.20098039215686275</c:v>
                </c:pt>
                <c:pt idx="326">
                  <c:v>-0.20098039215686275</c:v>
                </c:pt>
                <c:pt idx="327">
                  <c:v>-0.19607843137254902</c:v>
                </c:pt>
                <c:pt idx="328">
                  <c:v>-0.19607843137254902</c:v>
                </c:pt>
                <c:pt idx="329">
                  <c:v>-0.18627450980392157</c:v>
                </c:pt>
                <c:pt idx="330">
                  <c:v>-0.19117647058823528</c:v>
                </c:pt>
                <c:pt idx="331">
                  <c:v>-0.16666666666666666</c:v>
                </c:pt>
                <c:pt idx="332">
                  <c:v>-0.15686274509803921</c:v>
                </c:pt>
                <c:pt idx="333">
                  <c:v>-0.15686274509803921</c:v>
                </c:pt>
                <c:pt idx="334">
                  <c:v>-0.15686274509803921</c:v>
                </c:pt>
                <c:pt idx="335">
                  <c:v>-0.15196078431372548</c:v>
                </c:pt>
                <c:pt idx="336">
                  <c:v>-0.15686274509803921</c:v>
                </c:pt>
                <c:pt idx="337">
                  <c:v>-0.16666666666666666</c:v>
                </c:pt>
                <c:pt idx="338">
                  <c:v>-0.16666666666666666</c:v>
                </c:pt>
                <c:pt idx="339">
                  <c:v>-0.16176470588235295</c:v>
                </c:pt>
                <c:pt idx="340">
                  <c:v>-0.15196078431372548</c:v>
                </c:pt>
                <c:pt idx="341">
                  <c:v>-0.15196078431372548</c:v>
                </c:pt>
                <c:pt idx="342">
                  <c:v>-0.15196078431372548</c:v>
                </c:pt>
                <c:pt idx="343">
                  <c:v>-0.14705882352941177</c:v>
                </c:pt>
                <c:pt idx="344">
                  <c:v>-0.14705882352941177</c:v>
                </c:pt>
                <c:pt idx="345">
                  <c:v>-0.15686274509803921</c:v>
                </c:pt>
                <c:pt idx="346">
                  <c:v>-0.16666666666666666</c:v>
                </c:pt>
                <c:pt idx="347">
                  <c:v>-0.17647058823529413</c:v>
                </c:pt>
                <c:pt idx="348">
                  <c:v>-0.17647058823529413</c:v>
                </c:pt>
                <c:pt idx="349">
                  <c:v>-0.17647058823529413</c:v>
                </c:pt>
                <c:pt idx="350">
                  <c:v>-0.17647058823529413</c:v>
                </c:pt>
                <c:pt idx="351">
                  <c:v>-0.18627450980392157</c:v>
                </c:pt>
                <c:pt idx="352">
                  <c:v>-0.17647058823529413</c:v>
                </c:pt>
                <c:pt idx="353">
                  <c:v>-0.17647058823529413</c:v>
                </c:pt>
                <c:pt idx="354">
                  <c:v>-0.18137254901960784</c:v>
                </c:pt>
                <c:pt idx="355">
                  <c:v>-0.17156862745098039</c:v>
                </c:pt>
                <c:pt idx="356">
                  <c:v>-0.14705882352941177</c:v>
                </c:pt>
                <c:pt idx="357">
                  <c:v>-0.14705882352941177</c:v>
                </c:pt>
                <c:pt idx="358">
                  <c:v>-0.14705882352941177</c:v>
                </c:pt>
                <c:pt idx="359">
                  <c:v>-0.15686274509803921</c:v>
                </c:pt>
                <c:pt idx="360">
                  <c:v>-0.15196078431372548</c:v>
                </c:pt>
                <c:pt idx="361">
                  <c:v>-0.15686274509803921</c:v>
                </c:pt>
                <c:pt idx="362">
                  <c:v>-0.16176470588235295</c:v>
                </c:pt>
                <c:pt idx="363">
                  <c:v>-0.16176470588235295</c:v>
                </c:pt>
                <c:pt idx="364">
                  <c:v>-0.15686274509803921</c:v>
                </c:pt>
                <c:pt idx="365">
                  <c:v>-0.15686274509803921</c:v>
                </c:pt>
                <c:pt idx="366">
                  <c:v>-0.14215686274509803</c:v>
                </c:pt>
                <c:pt idx="367">
                  <c:v>-0.14705882352941177</c:v>
                </c:pt>
                <c:pt idx="368">
                  <c:v>-0.15686274509803921</c:v>
                </c:pt>
                <c:pt idx="369">
                  <c:v>-0.16666666666666666</c:v>
                </c:pt>
                <c:pt idx="370">
                  <c:v>-0.15196078431372548</c:v>
                </c:pt>
                <c:pt idx="371">
                  <c:v>-0.15686274509803921</c:v>
                </c:pt>
                <c:pt idx="372">
                  <c:v>-0.15686274509803921</c:v>
                </c:pt>
                <c:pt idx="373">
                  <c:v>-0.15686274509803921</c:v>
                </c:pt>
                <c:pt idx="374">
                  <c:v>-0.13725490196078433</c:v>
                </c:pt>
                <c:pt idx="375">
                  <c:v>-0.13235294117647059</c:v>
                </c:pt>
                <c:pt idx="376">
                  <c:v>-0.13235294117647059</c:v>
                </c:pt>
                <c:pt idx="377">
                  <c:v>-0.14705882352941177</c:v>
                </c:pt>
                <c:pt idx="378">
                  <c:v>-0.12745098039215685</c:v>
                </c:pt>
                <c:pt idx="379">
                  <c:v>-0.12745098039215685</c:v>
                </c:pt>
                <c:pt idx="380">
                  <c:v>-0.14215686274509803</c:v>
                </c:pt>
                <c:pt idx="381">
                  <c:v>-0.13725490196078433</c:v>
                </c:pt>
                <c:pt idx="382">
                  <c:v>-0.14705882352941177</c:v>
                </c:pt>
                <c:pt idx="383">
                  <c:v>-0.13235294117647059</c:v>
                </c:pt>
                <c:pt idx="384">
                  <c:v>-0.13235294117647059</c:v>
                </c:pt>
                <c:pt idx="385">
                  <c:v>-0.15686274509803921</c:v>
                </c:pt>
                <c:pt idx="386">
                  <c:v>-0.14705882352941177</c:v>
                </c:pt>
                <c:pt idx="387">
                  <c:v>-0.14215686274509803</c:v>
                </c:pt>
                <c:pt idx="388">
                  <c:v>-0.14705882352941177</c:v>
                </c:pt>
                <c:pt idx="389">
                  <c:v>-0.14705882352941177</c:v>
                </c:pt>
                <c:pt idx="390">
                  <c:v>-0.15196078431372548</c:v>
                </c:pt>
                <c:pt idx="391">
                  <c:v>-0.15196078431372548</c:v>
                </c:pt>
                <c:pt idx="392">
                  <c:v>-0.15686274509803921</c:v>
                </c:pt>
                <c:pt idx="393">
                  <c:v>-0.15686274509803921</c:v>
                </c:pt>
                <c:pt idx="394">
                  <c:v>-0.16176470588235295</c:v>
                </c:pt>
                <c:pt idx="395">
                  <c:v>-0.15686274509803921</c:v>
                </c:pt>
                <c:pt idx="396">
                  <c:v>-0.16176470588235295</c:v>
                </c:pt>
                <c:pt idx="397">
                  <c:v>-0.16176470588235295</c:v>
                </c:pt>
                <c:pt idx="398">
                  <c:v>-0.16176470588235295</c:v>
                </c:pt>
                <c:pt idx="399">
                  <c:v>-0.16176470588235295</c:v>
                </c:pt>
                <c:pt idx="400">
                  <c:v>-0.17156862745098039</c:v>
                </c:pt>
                <c:pt idx="401">
                  <c:v>-0.17156862745098039</c:v>
                </c:pt>
                <c:pt idx="402">
                  <c:v>-0.17156862745098039</c:v>
                </c:pt>
                <c:pt idx="403">
                  <c:v>-0.17647058823529413</c:v>
                </c:pt>
                <c:pt idx="404">
                  <c:v>-0.17156862745098039</c:v>
                </c:pt>
                <c:pt idx="405">
                  <c:v>-0.17156862745098039</c:v>
                </c:pt>
                <c:pt idx="406">
                  <c:v>-0.17156862745098039</c:v>
                </c:pt>
                <c:pt idx="407">
                  <c:v>-0.18137254901960784</c:v>
                </c:pt>
                <c:pt idx="408">
                  <c:v>-0.17647058823529413</c:v>
                </c:pt>
                <c:pt idx="409">
                  <c:v>-0.17647058823529413</c:v>
                </c:pt>
                <c:pt idx="410">
                  <c:v>-0.16666666666666666</c:v>
                </c:pt>
                <c:pt idx="411">
                  <c:v>-0.16176470588235295</c:v>
                </c:pt>
                <c:pt idx="412">
                  <c:v>-0.16666666666666666</c:v>
                </c:pt>
                <c:pt idx="413">
                  <c:v>-0.15686274509803921</c:v>
                </c:pt>
                <c:pt idx="414">
                  <c:v>-0.16176470588235295</c:v>
                </c:pt>
                <c:pt idx="415">
                  <c:v>-0.14705882352941177</c:v>
                </c:pt>
                <c:pt idx="416">
                  <c:v>-0.14705882352941177</c:v>
                </c:pt>
                <c:pt idx="417">
                  <c:v>-0.15686274509803921</c:v>
                </c:pt>
                <c:pt idx="418">
                  <c:v>-0.14705882352941177</c:v>
                </c:pt>
                <c:pt idx="419">
                  <c:v>-0.14215686274509803</c:v>
                </c:pt>
                <c:pt idx="420">
                  <c:v>-0.14705882352941177</c:v>
                </c:pt>
                <c:pt idx="421">
                  <c:v>-0.14705882352941177</c:v>
                </c:pt>
                <c:pt idx="422">
                  <c:v>-0.15196078431372548</c:v>
                </c:pt>
                <c:pt idx="423">
                  <c:v>-0.15686274509803921</c:v>
                </c:pt>
                <c:pt idx="424">
                  <c:v>-0.16666666666666666</c:v>
                </c:pt>
                <c:pt idx="425">
                  <c:v>-0.16176470588235295</c:v>
                </c:pt>
                <c:pt idx="426">
                  <c:v>-0.16176470588235295</c:v>
                </c:pt>
                <c:pt idx="427">
                  <c:v>-0.15196078431372548</c:v>
                </c:pt>
                <c:pt idx="428">
                  <c:v>-0.15196078431372548</c:v>
                </c:pt>
                <c:pt idx="429">
                  <c:v>-0.15196078431372548</c:v>
                </c:pt>
                <c:pt idx="430">
                  <c:v>-0.15686274509803921</c:v>
                </c:pt>
                <c:pt idx="431">
                  <c:v>-0.16176470588235295</c:v>
                </c:pt>
                <c:pt idx="432">
                  <c:v>-0.16666666666666666</c:v>
                </c:pt>
                <c:pt idx="433">
                  <c:v>-0.16176470588235295</c:v>
                </c:pt>
                <c:pt idx="434">
                  <c:v>-0.15686274509803921</c:v>
                </c:pt>
                <c:pt idx="435">
                  <c:v>-0.16666666666666666</c:v>
                </c:pt>
                <c:pt idx="436">
                  <c:v>-0.17156862745098039</c:v>
                </c:pt>
                <c:pt idx="437">
                  <c:v>-0.16666666666666666</c:v>
                </c:pt>
                <c:pt idx="438">
                  <c:v>-0.17156862745098039</c:v>
                </c:pt>
                <c:pt idx="439">
                  <c:v>-0.16666666666666666</c:v>
                </c:pt>
                <c:pt idx="440">
                  <c:v>-0.16666666666666666</c:v>
                </c:pt>
                <c:pt idx="441">
                  <c:v>-0.16666666666666666</c:v>
                </c:pt>
                <c:pt idx="442">
                  <c:v>-0.16666666666666666</c:v>
                </c:pt>
                <c:pt idx="443">
                  <c:v>-0.16666666666666666</c:v>
                </c:pt>
                <c:pt idx="444">
                  <c:v>-0.17647058823529413</c:v>
                </c:pt>
                <c:pt idx="445">
                  <c:v>-0.17647058823529413</c:v>
                </c:pt>
                <c:pt idx="446">
                  <c:v>-0.17647058823529413</c:v>
                </c:pt>
                <c:pt idx="447">
                  <c:v>-0.17647058823529413</c:v>
                </c:pt>
                <c:pt idx="448">
                  <c:v>-0.17156862745098039</c:v>
                </c:pt>
                <c:pt idx="449">
                  <c:v>-0.16666666666666666</c:v>
                </c:pt>
                <c:pt idx="450">
                  <c:v>-0.17647058823529413</c:v>
                </c:pt>
                <c:pt idx="451">
                  <c:v>-0.17647058823529413</c:v>
                </c:pt>
                <c:pt idx="452">
                  <c:v>-0.17647058823529413</c:v>
                </c:pt>
                <c:pt idx="453">
                  <c:v>-0.17156862745098039</c:v>
                </c:pt>
                <c:pt idx="454">
                  <c:v>-0.17156862745098039</c:v>
                </c:pt>
                <c:pt idx="455">
                  <c:v>-0.18137254901960784</c:v>
                </c:pt>
                <c:pt idx="456">
                  <c:v>-0.18137254901960784</c:v>
                </c:pt>
                <c:pt idx="457">
                  <c:v>-0.18137254901960784</c:v>
                </c:pt>
                <c:pt idx="458">
                  <c:v>-0.19117647058823528</c:v>
                </c:pt>
                <c:pt idx="459">
                  <c:v>-0.19607843137254902</c:v>
                </c:pt>
                <c:pt idx="460">
                  <c:v>-0.19117647058823528</c:v>
                </c:pt>
                <c:pt idx="461">
                  <c:v>-0.19607843137254902</c:v>
                </c:pt>
                <c:pt idx="462">
                  <c:v>-0.19607843137254902</c:v>
                </c:pt>
                <c:pt idx="463">
                  <c:v>-0.20098039215686275</c:v>
                </c:pt>
                <c:pt idx="464">
                  <c:v>-0.20098039215686275</c:v>
                </c:pt>
                <c:pt idx="465">
                  <c:v>-0.20588235294117646</c:v>
                </c:pt>
                <c:pt idx="466">
                  <c:v>-0.20588235294117646</c:v>
                </c:pt>
                <c:pt idx="467">
                  <c:v>-0.20098039215686275</c:v>
                </c:pt>
                <c:pt idx="468">
                  <c:v>-0.20098039215686275</c:v>
                </c:pt>
                <c:pt idx="469">
                  <c:v>-0.19607843137254902</c:v>
                </c:pt>
                <c:pt idx="470">
                  <c:v>-0.20098039215686275</c:v>
                </c:pt>
                <c:pt idx="471">
                  <c:v>-0.20098039215686275</c:v>
                </c:pt>
                <c:pt idx="472">
                  <c:v>-0.20098039215686275</c:v>
                </c:pt>
                <c:pt idx="473">
                  <c:v>-0.20098039215686275</c:v>
                </c:pt>
                <c:pt idx="474">
                  <c:v>-0.20098039215686275</c:v>
                </c:pt>
                <c:pt idx="475">
                  <c:v>-0.20098039215686275</c:v>
                </c:pt>
                <c:pt idx="476">
                  <c:v>-0.20098039215686275</c:v>
                </c:pt>
                <c:pt idx="477">
                  <c:v>-0.20098039215686275</c:v>
                </c:pt>
                <c:pt idx="478">
                  <c:v>-0.2107843137254902</c:v>
                </c:pt>
                <c:pt idx="479">
                  <c:v>-0.20588235294117646</c:v>
                </c:pt>
                <c:pt idx="480">
                  <c:v>-0.2107843137254902</c:v>
                </c:pt>
                <c:pt idx="481">
                  <c:v>-0.2107843137254902</c:v>
                </c:pt>
                <c:pt idx="482">
                  <c:v>-0.2107843137254902</c:v>
                </c:pt>
                <c:pt idx="483">
                  <c:v>-0.2107843137254902</c:v>
                </c:pt>
                <c:pt idx="484">
                  <c:v>-0.21568627450980393</c:v>
                </c:pt>
                <c:pt idx="485">
                  <c:v>-0.22058823529411764</c:v>
                </c:pt>
                <c:pt idx="486">
                  <c:v>-0.22058823529411764</c:v>
                </c:pt>
                <c:pt idx="487">
                  <c:v>-0.22058823529411764</c:v>
                </c:pt>
                <c:pt idx="488">
                  <c:v>-0.22549019607843138</c:v>
                </c:pt>
                <c:pt idx="489">
                  <c:v>-0.22549019607843138</c:v>
                </c:pt>
                <c:pt idx="490">
                  <c:v>-0.22549019607843138</c:v>
                </c:pt>
                <c:pt idx="491">
                  <c:v>-0.22058823529411764</c:v>
                </c:pt>
                <c:pt idx="492">
                  <c:v>-0.22058823529411764</c:v>
                </c:pt>
                <c:pt idx="493">
                  <c:v>-0.21568627450980393</c:v>
                </c:pt>
                <c:pt idx="494">
                  <c:v>-0.21568627450980393</c:v>
                </c:pt>
                <c:pt idx="495">
                  <c:v>-0.2107843137254902</c:v>
                </c:pt>
                <c:pt idx="496">
                  <c:v>-0.20098039215686275</c:v>
                </c:pt>
                <c:pt idx="497">
                  <c:v>-0.19117647058823528</c:v>
                </c:pt>
                <c:pt idx="498">
                  <c:v>-0.18627450980392157</c:v>
                </c:pt>
                <c:pt idx="499">
                  <c:v>-0.18627450980392157</c:v>
                </c:pt>
                <c:pt idx="500">
                  <c:v>-0.19117647058823528</c:v>
                </c:pt>
                <c:pt idx="501">
                  <c:v>-0.18627450980392157</c:v>
                </c:pt>
                <c:pt idx="502">
                  <c:v>-0.19607843137254902</c:v>
                </c:pt>
                <c:pt idx="503">
                  <c:v>-0.19117647058823528</c:v>
                </c:pt>
                <c:pt idx="504">
                  <c:v>-0.19607843137254902</c:v>
                </c:pt>
                <c:pt idx="505">
                  <c:v>-0.20588235294117646</c:v>
                </c:pt>
                <c:pt idx="506">
                  <c:v>-0.20588235294117646</c:v>
                </c:pt>
                <c:pt idx="507">
                  <c:v>-0.20098039215686275</c:v>
                </c:pt>
                <c:pt idx="508">
                  <c:v>-0.19607843137254902</c:v>
                </c:pt>
                <c:pt idx="509">
                  <c:v>-0.19117647058823528</c:v>
                </c:pt>
                <c:pt idx="510">
                  <c:v>-0.20098039215686275</c:v>
                </c:pt>
                <c:pt idx="511">
                  <c:v>-0.2107843137254902</c:v>
                </c:pt>
                <c:pt idx="512">
                  <c:v>-0.2107843137254902</c:v>
                </c:pt>
                <c:pt idx="513">
                  <c:v>-0.2107843137254902</c:v>
                </c:pt>
                <c:pt idx="514">
                  <c:v>-0.2107843137254902</c:v>
                </c:pt>
                <c:pt idx="515">
                  <c:v>-0.20588235294117646</c:v>
                </c:pt>
                <c:pt idx="516">
                  <c:v>-0.2107843137254902</c:v>
                </c:pt>
                <c:pt idx="517">
                  <c:v>-0.2107843137254902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71-4F54-B7E6-883D703C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715439"/>
        <c:axId val="1795671663"/>
      </c:lineChart>
      <c:dateAx>
        <c:axId val="209715439"/>
        <c:scaling>
          <c:orientation val="minMax"/>
          <c:max val="45168"/>
        </c:scaling>
        <c:delete val="0"/>
        <c:axPos val="b"/>
        <c:numFmt formatCode="[$-409]mmm\-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bg1">
                <a:alpha val="99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671663"/>
        <c:crosses val="autoZero"/>
        <c:auto val="1"/>
        <c:lblOffset val="100"/>
        <c:baseTimeUnit val="days"/>
        <c:majorUnit val="3"/>
        <c:majorTimeUnit val="months"/>
      </c:dateAx>
      <c:valAx>
        <c:axId val="1795671663"/>
        <c:scaling>
          <c:orientation val="minMax"/>
          <c:max val="0.1"/>
          <c:min val="-0.30000000000000004"/>
        </c:scaling>
        <c:delete val="0"/>
        <c:axPos val="l"/>
        <c:numFmt formatCode="0%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15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170206725523566"/>
          <c:y val="2.1493820526598602E-2"/>
          <c:w val="0.77547992964967771"/>
          <c:h val="8.65390672319806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3522156820050427"/>
          <c:y val="7.5414805210164262E-2"/>
          <c:w val="0.66166434980411981"/>
          <c:h val="0.72699385451544429"/>
        </c:manualLayout>
      </c:layout>
      <c:lineChart>
        <c:grouping val="standard"/>
        <c:varyColors val="0"/>
        <c:ser>
          <c:idx val="1"/>
          <c:order val="0"/>
          <c:tx>
            <c:strRef>
              <c:f>'FX Data'!$I$956</c:f>
              <c:strCache>
                <c:ptCount val="1"/>
                <c:pt idx="0">
                  <c:v>=-2sd</c:v>
                </c:pt>
              </c:strCache>
            </c:strRef>
          </c:tx>
          <c:spPr>
            <a:ln w="19050" cap="rnd">
              <a:solidFill>
                <a:sysClr val="window" lastClr="FFFFFF">
                  <a:lumMod val="75000"/>
                </a:sysClr>
              </a:solidFill>
              <a:round/>
            </a:ln>
            <a:effectLst/>
          </c:spPr>
          <c:marker>
            <c:symbol val="none"/>
          </c:marker>
          <c:cat>
            <c:numRef>
              <c:f>'FX Data'!$B$957:$B$2203</c:f>
              <c:numCache>
                <c:formatCode>m/d/yyyy</c:formatCode>
                <c:ptCount val="1247"/>
                <c:pt idx="0">
                  <c:v>44263</c:v>
                </c:pt>
                <c:pt idx="1">
                  <c:v>44264</c:v>
                </c:pt>
                <c:pt idx="2">
                  <c:v>44265</c:v>
                </c:pt>
                <c:pt idx="3">
                  <c:v>44266</c:v>
                </c:pt>
                <c:pt idx="4">
                  <c:v>44267</c:v>
                </c:pt>
                <c:pt idx="5">
                  <c:v>44270</c:v>
                </c:pt>
                <c:pt idx="6">
                  <c:v>44271</c:v>
                </c:pt>
                <c:pt idx="7">
                  <c:v>44272</c:v>
                </c:pt>
                <c:pt idx="8">
                  <c:v>44273</c:v>
                </c:pt>
                <c:pt idx="9">
                  <c:v>44274</c:v>
                </c:pt>
                <c:pt idx="10">
                  <c:v>44277</c:v>
                </c:pt>
                <c:pt idx="11">
                  <c:v>44278</c:v>
                </c:pt>
                <c:pt idx="12">
                  <c:v>44279</c:v>
                </c:pt>
                <c:pt idx="13">
                  <c:v>44280</c:v>
                </c:pt>
                <c:pt idx="14">
                  <c:v>44281</c:v>
                </c:pt>
                <c:pt idx="15">
                  <c:v>44284</c:v>
                </c:pt>
                <c:pt idx="16">
                  <c:v>44285</c:v>
                </c:pt>
                <c:pt idx="17">
                  <c:v>44286</c:v>
                </c:pt>
                <c:pt idx="18">
                  <c:v>44287</c:v>
                </c:pt>
                <c:pt idx="19">
                  <c:v>44288</c:v>
                </c:pt>
                <c:pt idx="20">
                  <c:v>44291</c:v>
                </c:pt>
                <c:pt idx="21">
                  <c:v>44292</c:v>
                </c:pt>
                <c:pt idx="22">
                  <c:v>44293</c:v>
                </c:pt>
                <c:pt idx="23">
                  <c:v>44294</c:v>
                </c:pt>
                <c:pt idx="24">
                  <c:v>44295</c:v>
                </c:pt>
                <c:pt idx="25">
                  <c:v>44298</c:v>
                </c:pt>
                <c:pt idx="26">
                  <c:v>44299</c:v>
                </c:pt>
                <c:pt idx="27">
                  <c:v>44300</c:v>
                </c:pt>
                <c:pt idx="28">
                  <c:v>44301</c:v>
                </c:pt>
                <c:pt idx="29">
                  <c:v>44302</c:v>
                </c:pt>
                <c:pt idx="30">
                  <c:v>44305</c:v>
                </c:pt>
                <c:pt idx="31">
                  <c:v>44306</c:v>
                </c:pt>
                <c:pt idx="32">
                  <c:v>44308</c:v>
                </c:pt>
                <c:pt idx="33">
                  <c:v>44309</c:v>
                </c:pt>
                <c:pt idx="34">
                  <c:v>44312</c:v>
                </c:pt>
                <c:pt idx="35">
                  <c:v>44313</c:v>
                </c:pt>
                <c:pt idx="36">
                  <c:v>44314</c:v>
                </c:pt>
                <c:pt idx="37">
                  <c:v>44315</c:v>
                </c:pt>
                <c:pt idx="38">
                  <c:v>44320</c:v>
                </c:pt>
                <c:pt idx="39">
                  <c:v>44321</c:v>
                </c:pt>
                <c:pt idx="40">
                  <c:v>44322</c:v>
                </c:pt>
                <c:pt idx="41">
                  <c:v>44323</c:v>
                </c:pt>
                <c:pt idx="42">
                  <c:v>44326</c:v>
                </c:pt>
                <c:pt idx="43">
                  <c:v>44327</c:v>
                </c:pt>
                <c:pt idx="44">
                  <c:v>44328</c:v>
                </c:pt>
                <c:pt idx="45">
                  <c:v>44329</c:v>
                </c:pt>
                <c:pt idx="46">
                  <c:v>44330</c:v>
                </c:pt>
                <c:pt idx="47">
                  <c:v>44333</c:v>
                </c:pt>
                <c:pt idx="48">
                  <c:v>44334</c:v>
                </c:pt>
                <c:pt idx="49">
                  <c:v>44335</c:v>
                </c:pt>
                <c:pt idx="50">
                  <c:v>44336</c:v>
                </c:pt>
                <c:pt idx="51">
                  <c:v>44337</c:v>
                </c:pt>
                <c:pt idx="52">
                  <c:v>44340</c:v>
                </c:pt>
                <c:pt idx="53">
                  <c:v>44341</c:v>
                </c:pt>
                <c:pt idx="54">
                  <c:v>44342</c:v>
                </c:pt>
                <c:pt idx="55">
                  <c:v>44343</c:v>
                </c:pt>
                <c:pt idx="56">
                  <c:v>44344</c:v>
                </c:pt>
                <c:pt idx="57">
                  <c:v>44347</c:v>
                </c:pt>
                <c:pt idx="58">
                  <c:v>44348</c:v>
                </c:pt>
                <c:pt idx="59">
                  <c:v>44349</c:v>
                </c:pt>
                <c:pt idx="60">
                  <c:v>44350</c:v>
                </c:pt>
                <c:pt idx="61">
                  <c:v>44351</c:v>
                </c:pt>
                <c:pt idx="62">
                  <c:v>44354</c:v>
                </c:pt>
                <c:pt idx="63">
                  <c:v>44355</c:v>
                </c:pt>
                <c:pt idx="64">
                  <c:v>44356</c:v>
                </c:pt>
                <c:pt idx="65">
                  <c:v>44357</c:v>
                </c:pt>
                <c:pt idx="66">
                  <c:v>44358</c:v>
                </c:pt>
                <c:pt idx="67">
                  <c:v>44361</c:v>
                </c:pt>
                <c:pt idx="68">
                  <c:v>44362</c:v>
                </c:pt>
                <c:pt idx="69">
                  <c:v>44363</c:v>
                </c:pt>
                <c:pt idx="70">
                  <c:v>44364</c:v>
                </c:pt>
                <c:pt idx="71">
                  <c:v>44365</c:v>
                </c:pt>
                <c:pt idx="72">
                  <c:v>44368</c:v>
                </c:pt>
                <c:pt idx="73">
                  <c:v>44369</c:v>
                </c:pt>
                <c:pt idx="74">
                  <c:v>44370</c:v>
                </c:pt>
                <c:pt idx="75">
                  <c:v>44371</c:v>
                </c:pt>
                <c:pt idx="76">
                  <c:v>44372</c:v>
                </c:pt>
                <c:pt idx="77">
                  <c:v>44375</c:v>
                </c:pt>
                <c:pt idx="78">
                  <c:v>44376</c:v>
                </c:pt>
                <c:pt idx="79">
                  <c:v>44377</c:v>
                </c:pt>
                <c:pt idx="80">
                  <c:v>44378</c:v>
                </c:pt>
                <c:pt idx="81">
                  <c:v>44379</c:v>
                </c:pt>
                <c:pt idx="82">
                  <c:v>44382</c:v>
                </c:pt>
                <c:pt idx="83">
                  <c:v>44383</c:v>
                </c:pt>
                <c:pt idx="84">
                  <c:v>44384</c:v>
                </c:pt>
                <c:pt idx="85">
                  <c:v>44385</c:v>
                </c:pt>
                <c:pt idx="86">
                  <c:v>44386</c:v>
                </c:pt>
                <c:pt idx="87">
                  <c:v>44389</c:v>
                </c:pt>
                <c:pt idx="88">
                  <c:v>44390</c:v>
                </c:pt>
                <c:pt idx="89">
                  <c:v>44391</c:v>
                </c:pt>
                <c:pt idx="90">
                  <c:v>44392</c:v>
                </c:pt>
                <c:pt idx="91">
                  <c:v>44393</c:v>
                </c:pt>
                <c:pt idx="92">
                  <c:v>44396</c:v>
                </c:pt>
                <c:pt idx="93">
                  <c:v>44397</c:v>
                </c:pt>
                <c:pt idx="94">
                  <c:v>44398</c:v>
                </c:pt>
                <c:pt idx="95">
                  <c:v>44399</c:v>
                </c:pt>
                <c:pt idx="96">
                  <c:v>44400</c:v>
                </c:pt>
                <c:pt idx="97">
                  <c:v>44403</c:v>
                </c:pt>
                <c:pt idx="98">
                  <c:v>44404</c:v>
                </c:pt>
                <c:pt idx="99">
                  <c:v>44405</c:v>
                </c:pt>
                <c:pt idx="100">
                  <c:v>44406</c:v>
                </c:pt>
                <c:pt idx="101">
                  <c:v>44407</c:v>
                </c:pt>
                <c:pt idx="102">
                  <c:v>44410</c:v>
                </c:pt>
                <c:pt idx="103">
                  <c:v>44411</c:v>
                </c:pt>
                <c:pt idx="104">
                  <c:v>44412</c:v>
                </c:pt>
                <c:pt idx="105">
                  <c:v>44413</c:v>
                </c:pt>
                <c:pt idx="106">
                  <c:v>44414</c:v>
                </c:pt>
                <c:pt idx="107">
                  <c:v>44417</c:v>
                </c:pt>
                <c:pt idx="108">
                  <c:v>44418</c:v>
                </c:pt>
                <c:pt idx="109">
                  <c:v>44419</c:v>
                </c:pt>
                <c:pt idx="110">
                  <c:v>44420</c:v>
                </c:pt>
                <c:pt idx="111">
                  <c:v>44421</c:v>
                </c:pt>
                <c:pt idx="112">
                  <c:v>44424</c:v>
                </c:pt>
                <c:pt idx="113">
                  <c:v>44425</c:v>
                </c:pt>
                <c:pt idx="114">
                  <c:v>44426</c:v>
                </c:pt>
                <c:pt idx="115">
                  <c:v>44427</c:v>
                </c:pt>
                <c:pt idx="116">
                  <c:v>44428</c:v>
                </c:pt>
                <c:pt idx="117">
                  <c:v>44431</c:v>
                </c:pt>
                <c:pt idx="118">
                  <c:v>44432</c:v>
                </c:pt>
                <c:pt idx="119">
                  <c:v>44433</c:v>
                </c:pt>
                <c:pt idx="120">
                  <c:v>44434</c:v>
                </c:pt>
                <c:pt idx="121">
                  <c:v>44435</c:v>
                </c:pt>
                <c:pt idx="122">
                  <c:v>44438</c:v>
                </c:pt>
                <c:pt idx="123">
                  <c:v>44439</c:v>
                </c:pt>
                <c:pt idx="124">
                  <c:v>44440</c:v>
                </c:pt>
                <c:pt idx="125">
                  <c:v>44445</c:v>
                </c:pt>
                <c:pt idx="126">
                  <c:v>44446</c:v>
                </c:pt>
                <c:pt idx="127">
                  <c:v>44447</c:v>
                </c:pt>
                <c:pt idx="128">
                  <c:v>44448</c:v>
                </c:pt>
                <c:pt idx="129">
                  <c:v>44449</c:v>
                </c:pt>
                <c:pt idx="130">
                  <c:v>44452</c:v>
                </c:pt>
                <c:pt idx="131">
                  <c:v>44453</c:v>
                </c:pt>
                <c:pt idx="132">
                  <c:v>44454</c:v>
                </c:pt>
                <c:pt idx="133">
                  <c:v>44455</c:v>
                </c:pt>
                <c:pt idx="134">
                  <c:v>44456</c:v>
                </c:pt>
                <c:pt idx="135">
                  <c:v>44459</c:v>
                </c:pt>
                <c:pt idx="136">
                  <c:v>44460</c:v>
                </c:pt>
                <c:pt idx="137">
                  <c:v>44461</c:v>
                </c:pt>
                <c:pt idx="138">
                  <c:v>44462</c:v>
                </c:pt>
                <c:pt idx="139">
                  <c:v>44463</c:v>
                </c:pt>
                <c:pt idx="140">
                  <c:v>44466</c:v>
                </c:pt>
                <c:pt idx="141">
                  <c:v>44467</c:v>
                </c:pt>
                <c:pt idx="142">
                  <c:v>44468</c:v>
                </c:pt>
                <c:pt idx="143">
                  <c:v>44469</c:v>
                </c:pt>
                <c:pt idx="144">
                  <c:v>44470</c:v>
                </c:pt>
                <c:pt idx="145">
                  <c:v>44473</c:v>
                </c:pt>
                <c:pt idx="146">
                  <c:v>44474</c:v>
                </c:pt>
                <c:pt idx="147">
                  <c:v>44475</c:v>
                </c:pt>
                <c:pt idx="148">
                  <c:v>44476</c:v>
                </c:pt>
                <c:pt idx="149">
                  <c:v>44477</c:v>
                </c:pt>
                <c:pt idx="150">
                  <c:v>44480</c:v>
                </c:pt>
                <c:pt idx="151">
                  <c:v>44481</c:v>
                </c:pt>
                <c:pt idx="152">
                  <c:v>44482</c:v>
                </c:pt>
                <c:pt idx="153">
                  <c:v>44483</c:v>
                </c:pt>
                <c:pt idx="154">
                  <c:v>44484</c:v>
                </c:pt>
                <c:pt idx="155">
                  <c:v>44487</c:v>
                </c:pt>
                <c:pt idx="156">
                  <c:v>44488</c:v>
                </c:pt>
                <c:pt idx="157">
                  <c:v>44489</c:v>
                </c:pt>
                <c:pt idx="158">
                  <c:v>44490</c:v>
                </c:pt>
                <c:pt idx="159">
                  <c:v>44491</c:v>
                </c:pt>
                <c:pt idx="160">
                  <c:v>44494</c:v>
                </c:pt>
                <c:pt idx="161">
                  <c:v>44495</c:v>
                </c:pt>
                <c:pt idx="162">
                  <c:v>44496</c:v>
                </c:pt>
                <c:pt idx="163">
                  <c:v>44497</c:v>
                </c:pt>
                <c:pt idx="164">
                  <c:v>44498</c:v>
                </c:pt>
                <c:pt idx="165">
                  <c:v>44501</c:v>
                </c:pt>
                <c:pt idx="166">
                  <c:v>44502</c:v>
                </c:pt>
                <c:pt idx="167">
                  <c:v>44503</c:v>
                </c:pt>
                <c:pt idx="168">
                  <c:v>44504</c:v>
                </c:pt>
                <c:pt idx="169">
                  <c:v>44505</c:v>
                </c:pt>
                <c:pt idx="170">
                  <c:v>44508</c:v>
                </c:pt>
                <c:pt idx="171">
                  <c:v>44509</c:v>
                </c:pt>
                <c:pt idx="172">
                  <c:v>44510</c:v>
                </c:pt>
                <c:pt idx="173">
                  <c:v>44511</c:v>
                </c:pt>
                <c:pt idx="174">
                  <c:v>44512</c:v>
                </c:pt>
                <c:pt idx="175">
                  <c:v>44515</c:v>
                </c:pt>
                <c:pt idx="176">
                  <c:v>44516</c:v>
                </c:pt>
                <c:pt idx="177">
                  <c:v>44517</c:v>
                </c:pt>
                <c:pt idx="178">
                  <c:v>44518</c:v>
                </c:pt>
                <c:pt idx="179">
                  <c:v>44519</c:v>
                </c:pt>
                <c:pt idx="180">
                  <c:v>44522</c:v>
                </c:pt>
                <c:pt idx="181">
                  <c:v>44523</c:v>
                </c:pt>
                <c:pt idx="182">
                  <c:v>44524</c:v>
                </c:pt>
                <c:pt idx="183">
                  <c:v>44525</c:v>
                </c:pt>
                <c:pt idx="184">
                  <c:v>44526</c:v>
                </c:pt>
                <c:pt idx="185">
                  <c:v>44529</c:v>
                </c:pt>
                <c:pt idx="186">
                  <c:v>44530</c:v>
                </c:pt>
                <c:pt idx="187">
                  <c:v>44531</c:v>
                </c:pt>
                <c:pt idx="188">
                  <c:v>44532</c:v>
                </c:pt>
                <c:pt idx="189">
                  <c:v>44533</c:v>
                </c:pt>
                <c:pt idx="190">
                  <c:v>44536</c:v>
                </c:pt>
                <c:pt idx="191">
                  <c:v>44537</c:v>
                </c:pt>
                <c:pt idx="192">
                  <c:v>44538</c:v>
                </c:pt>
                <c:pt idx="193">
                  <c:v>44539</c:v>
                </c:pt>
                <c:pt idx="194">
                  <c:v>44540</c:v>
                </c:pt>
                <c:pt idx="195">
                  <c:v>44543</c:v>
                </c:pt>
                <c:pt idx="196">
                  <c:v>44544</c:v>
                </c:pt>
                <c:pt idx="197">
                  <c:v>44545</c:v>
                </c:pt>
                <c:pt idx="198">
                  <c:v>44546</c:v>
                </c:pt>
                <c:pt idx="199">
                  <c:v>44547</c:v>
                </c:pt>
                <c:pt idx="200">
                  <c:v>44550</c:v>
                </c:pt>
                <c:pt idx="201">
                  <c:v>44551</c:v>
                </c:pt>
                <c:pt idx="202">
                  <c:v>44552</c:v>
                </c:pt>
                <c:pt idx="203">
                  <c:v>44553</c:v>
                </c:pt>
                <c:pt idx="204">
                  <c:v>44554</c:v>
                </c:pt>
                <c:pt idx="205">
                  <c:v>44557</c:v>
                </c:pt>
                <c:pt idx="206">
                  <c:v>44558</c:v>
                </c:pt>
                <c:pt idx="207">
                  <c:v>44559</c:v>
                </c:pt>
                <c:pt idx="208">
                  <c:v>44560</c:v>
                </c:pt>
                <c:pt idx="209">
                  <c:v>44561</c:v>
                </c:pt>
                <c:pt idx="210">
                  <c:v>44565</c:v>
                </c:pt>
                <c:pt idx="211">
                  <c:v>44566</c:v>
                </c:pt>
                <c:pt idx="212">
                  <c:v>44567</c:v>
                </c:pt>
                <c:pt idx="213">
                  <c:v>44568</c:v>
                </c:pt>
                <c:pt idx="214">
                  <c:v>44571</c:v>
                </c:pt>
                <c:pt idx="215">
                  <c:v>44572</c:v>
                </c:pt>
                <c:pt idx="216">
                  <c:v>44573</c:v>
                </c:pt>
                <c:pt idx="217">
                  <c:v>44574</c:v>
                </c:pt>
                <c:pt idx="218">
                  <c:v>44575</c:v>
                </c:pt>
                <c:pt idx="219">
                  <c:v>44578</c:v>
                </c:pt>
                <c:pt idx="220">
                  <c:v>44579</c:v>
                </c:pt>
                <c:pt idx="221">
                  <c:v>44580</c:v>
                </c:pt>
                <c:pt idx="222">
                  <c:v>44581</c:v>
                </c:pt>
                <c:pt idx="223">
                  <c:v>44582</c:v>
                </c:pt>
                <c:pt idx="224">
                  <c:v>44585</c:v>
                </c:pt>
                <c:pt idx="225">
                  <c:v>44586</c:v>
                </c:pt>
                <c:pt idx="226">
                  <c:v>44587</c:v>
                </c:pt>
                <c:pt idx="227">
                  <c:v>44588</c:v>
                </c:pt>
                <c:pt idx="228">
                  <c:v>44589</c:v>
                </c:pt>
                <c:pt idx="229">
                  <c:v>44599</c:v>
                </c:pt>
                <c:pt idx="230">
                  <c:v>44600</c:v>
                </c:pt>
                <c:pt idx="231">
                  <c:v>44601</c:v>
                </c:pt>
                <c:pt idx="232">
                  <c:v>44602</c:v>
                </c:pt>
                <c:pt idx="233">
                  <c:v>44603</c:v>
                </c:pt>
                <c:pt idx="234">
                  <c:v>44606</c:v>
                </c:pt>
                <c:pt idx="235">
                  <c:v>44607</c:v>
                </c:pt>
                <c:pt idx="236">
                  <c:v>44608</c:v>
                </c:pt>
                <c:pt idx="237">
                  <c:v>44609</c:v>
                </c:pt>
                <c:pt idx="238">
                  <c:v>44610</c:v>
                </c:pt>
                <c:pt idx="239">
                  <c:v>44613</c:v>
                </c:pt>
                <c:pt idx="240">
                  <c:v>44614</c:v>
                </c:pt>
                <c:pt idx="241">
                  <c:v>44615</c:v>
                </c:pt>
                <c:pt idx="242">
                  <c:v>44616</c:v>
                </c:pt>
                <c:pt idx="243">
                  <c:v>44617</c:v>
                </c:pt>
                <c:pt idx="244">
                  <c:v>44620</c:v>
                </c:pt>
                <c:pt idx="245">
                  <c:v>44621</c:v>
                </c:pt>
                <c:pt idx="246">
                  <c:v>44622</c:v>
                </c:pt>
                <c:pt idx="247">
                  <c:v>44623</c:v>
                </c:pt>
                <c:pt idx="248">
                  <c:v>44624</c:v>
                </c:pt>
                <c:pt idx="249">
                  <c:v>44627</c:v>
                </c:pt>
                <c:pt idx="250">
                  <c:v>44628</c:v>
                </c:pt>
                <c:pt idx="251">
                  <c:v>44629</c:v>
                </c:pt>
                <c:pt idx="252">
                  <c:v>44630</c:v>
                </c:pt>
                <c:pt idx="253">
                  <c:v>44631</c:v>
                </c:pt>
                <c:pt idx="254">
                  <c:v>44634</c:v>
                </c:pt>
                <c:pt idx="255">
                  <c:v>44635</c:v>
                </c:pt>
                <c:pt idx="256">
                  <c:v>44636</c:v>
                </c:pt>
                <c:pt idx="257">
                  <c:v>44637</c:v>
                </c:pt>
                <c:pt idx="258">
                  <c:v>44638</c:v>
                </c:pt>
                <c:pt idx="259">
                  <c:v>44641</c:v>
                </c:pt>
                <c:pt idx="260">
                  <c:v>44642</c:v>
                </c:pt>
                <c:pt idx="261">
                  <c:v>44643</c:v>
                </c:pt>
                <c:pt idx="262">
                  <c:v>44644</c:v>
                </c:pt>
                <c:pt idx="263">
                  <c:v>44645</c:v>
                </c:pt>
                <c:pt idx="264">
                  <c:v>44648</c:v>
                </c:pt>
                <c:pt idx="265">
                  <c:v>44649</c:v>
                </c:pt>
                <c:pt idx="266">
                  <c:v>44650</c:v>
                </c:pt>
                <c:pt idx="267">
                  <c:v>44651</c:v>
                </c:pt>
                <c:pt idx="268">
                  <c:v>44652</c:v>
                </c:pt>
                <c:pt idx="269">
                  <c:v>44655</c:v>
                </c:pt>
                <c:pt idx="270">
                  <c:v>44656</c:v>
                </c:pt>
                <c:pt idx="271">
                  <c:v>44657</c:v>
                </c:pt>
                <c:pt idx="272">
                  <c:v>44658</c:v>
                </c:pt>
                <c:pt idx="273">
                  <c:v>44659</c:v>
                </c:pt>
                <c:pt idx="274">
                  <c:v>44663</c:v>
                </c:pt>
                <c:pt idx="275">
                  <c:v>44664</c:v>
                </c:pt>
                <c:pt idx="276">
                  <c:v>44665</c:v>
                </c:pt>
                <c:pt idx="277">
                  <c:v>44666</c:v>
                </c:pt>
                <c:pt idx="278">
                  <c:v>44669</c:v>
                </c:pt>
                <c:pt idx="279">
                  <c:v>44670</c:v>
                </c:pt>
                <c:pt idx="280">
                  <c:v>44671</c:v>
                </c:pt>
                <c:pt idx="281">
                  <c:v>44672</c:v>
                </c:pt>
                <c:pt idx="282">
                  <c:v>44673</c:v>
                </c:pt>
                <c:pt idx="283">
                  <c:v>44676</c:v>
                </c:pt>
                <c:pt idx="284">
                  <c:v>44677</c:v>
                </c:pt>
                <c:pt idx="285">
                  <c:v>44678</c:v>
                </c:pt>
                <c:pt idx="286">
                  <c:v>44679</c:v>
                </c:pt>
                <c:pt idx="287">
                  <c:v>44680</c:v>
                </c:pt>
                <c:pt idx="288">
                  <c:v>44685</c:v>
                </c:pt>
                <c:pt idx="289">
                  <c:v>44686</c:v>
                </c:pt>
                <c:pt idx="290">
                  <c:v>44687</c:v>
                </c:pt>
                <c:pt idx="291">
                  <c:v>44690</c:v>
                </c:pt>
                <c:pt idx="292">
                  <c:v>44691</c:v>
                </c:pt>
                <c:pt idx="293">
                  <c:v>44692</c:v>
                </c:pt>
                <c:pt idx="294">
                  <c:v>44693</c:v>
                </c:pt>
                <c:pt idx="295">
                  <c:v>44694</c:v>
                </c:pt>
                <c:pt idx="296">
                  <c:v>44697</c:v>
                </c:pt>
                <c:pt idx="297">
                  <c:v>44698</c:v>
                </c:pt>
                <c:pt idx="298">
                  <c:v>44699</c:v>
                </c:pt>
                <c:pt idx="299">
                  <c:v>44700</c:v>
                </c:pt>
                <c:pt idx="300">
                  <c:v>44701</c:v>
                </c:pt>
                <c:pt idx="301">
                  <c:v>44704</c:v>
                </c:pt>
                <c:pt idx="302">
                  <c:v>44705</c:v>
                </c:pt>
                <c:pt idx="303">
                  <c:v>44706</c:v>
                </c:pt>
                <c:pt idx="304">
                  <c:v>44707</c:v>
                </c:pt>
                <c:pt idx="305">
                  <c:v>44708</c:v>
                </c:pt>
                <c:pt idx="306">
                  <c:v>44711</c:v>
                </c:pt>
                <c:pt idx="307">
                  <c:v>44712</c:v>
                </c:pt>
                <c:pt idx="308">
                  <c:v>44713</c:v>
                </c:pt>
                <c:pt idx="309">
                  <c:v>44714</c:v>
                </c:pt>
                <c:pt idx="310">
                  <c:v>44715</c:v>
                </c:pt>
                <c:pt idx="311">
                  <c:v>44718</c:v>
                </c:pt>
                <c:pt idx="312">
                  <c:v>44719</c:v>
                </c:pt>
                <c:pt idx="313">
                  <c:v>44720</c:v>
                </c:pt>
                <c:pt idx="314">
                  <c:v>44721</c:v>
                </c:pt>
                <c:pt idx="315">
                  <c:v>44722</c:v>
                </c:pt>
                <c:pt idx="316">
                  <c:v>44725</c:v>
                </c:pt>
                <c:pt idx="317">
                  <c:v>44726</c:v>
                </c:pt>
                <c:pt idx="318">
                  <c:v>44727</c:v>
                </c:pt>
                <c:pt idx="319">
                  <c:v>44728</c:v>
                </c:pt>
                <c:pt idx="320">
                  <c:v>44729</c:v>
                </c:pt>
                <c:pt idx="321">
                  <c:v>44732</c:v>
                </c:pt>
                <c:pt idx="322">
                  <c:v>44733</c:v>
                </c:pt>
                <c:pt idx="323">
                  <c:v>44734</c:v>
                </c:pt>
                <c:pt idx="324">
                  <c:v>44735</c:v>
                </c:pt>
                <c:pt idx="325">
                  <c:v>44736</c:v>
                </c:pt>
                <c:pt idx="326">
                  <c:v>44739</c:v>
                </c:pt>
                <c:pt idx="327">
                  <c:v>44740</c:v>
                </c:pt>
                <c:pt idx="328">
                  <c:v>44741</c:v>
                </c:pt>
                <c:pt idx="329">
                  <c:v>44742</c:v>
                </c:pt>
                <c:pt idx="330">
                  <c:v>44743</c:v>
                </c:pt>
                <c:pt idx="331">
                  <c:v>44746</c:v>
                </c:pt>
                <c:pt idx="332">
                  <c:v>44747</c:v>
                </c:pt>
                <c:pt idx="333">
                  <c:v>44748</c:v>
                </c:pt>
                <c:pt idx="334">
                  <c:v>44749</c:v>
                </c:pt>
                <c:pt idx="335">
                  <c:v>44750</c:v>
                </c:pt>
                <c:pt idx="336">
                  <c:v>44753</c:v>
                </c:pt>
                <c:pt idx="337">
                  <c:v>44754</c:v>
                </c:pt>
                <c:pt idx="338">
                  <c:v>44755</c:v>
                </c:pt>
                <c:pt idx="339">
                  <c:v>44756</c:v>
                </c:pt>
                <c:pt idx="340">
                  <c:v>44757</c:v>
                </c:pt>
                <c:pt idx="341">
                  <c:v>44760</c:v>
                </c:pt>
                <c:pt idx="342">
                  <c:v>44761</c:v>
                </c:pt>
                <c:pt idx="343">
                  <c:v>44762</c:v>
                </c:pt>
                <c:pt idx="344">
                  <c:v>44763</c:v>
                </c:pt>
                <c:pt idx="345">
                  <c:v>44764</c:v>
                </c:pt>
                <c:pt idx="346">
                  <c:v>44767</c:v>
                </c:pt>
                <c:pt idx="347">
                  <c:v>44768</c:v>
                </c:pt>
                <c:pt idx="348">
                  <c:v>44769</c:v>
                </c:pt>
                <c:pt idx="349">
                  <c:v>44770</c:v>
                </c:pt>
                <c:pt idx="350">
                  <c:v>44771</c:v>
                </c:pt>
                <c:pt idx="351">
                  <c:v>44774</c:v>
                </c:pt>
                <c:pt idx="352">
                  <c:v>44775</c:v>
                </c:pt>
                <c:pt idx="353">
                  <c:v>44776</c:v>
                </c:pt>
                <c:pt idx="354">
                  <c:v>44777</c:v>
                </c:pt>
                <c:pt idx="355">
                  <c:v>44778</c:v>
                </c:pt>
                <c:pt idx="356">
                  <c:v>44781</c:v>
                </c:pt>
                <c:pt idx="357">
                  <c:v>44782</c:v>
                </c:pt>
                <c:pt idx="358">
                  <c:v>44783</c:v>
                </c:pt>
                <c:pt idx="359">
                  <c:v>44784</c:v>
                </c:pt>
                <c:pt idx="360">
                  <c:v>44785</c:v>
                </c:pt>
                <c:pt idx="361">
                  <c:v>44788</c:v>
                </c:pt>
                <c:pt idx="362">
                  <c:v>44789</c:v>
                </c:pt>
                <c:pt idx="363">
                  <c:v>44790</c:v>
                </c:pt>
                <c:pt idx="364">
                  <c:v>44791</c:v>
                </c:pt>
                <c:pt idx="365">
                  <c:v>44792</c:v>
                </c:pt>
                <c:pt idx="366">
                  <c:v>44795</c:v>
                </c:pt>
                <c:pt idx="367">
                  <c:v>44796</c:v>
                </c:pt>
                <c:pt idx="368">
                  <c:v>44797</c:v>
                </c:pt>
                <c:pt idx="369">
                  <c:v>44798</c:v>
                </c:pt>
                <c:pt idx="370">
                  <c:v>44799</c:v>
                </c:pt>
                <c:pt idx="371">
                  <c:v>44802</c:v>
                </c:pt>
                <c:pt idx="372">
                  <c:v>44803</c:v>
                </c:pt>
                <c:pt idx="373">
                  <c:v>44804</c:v>
                </c:pt>
                <c:pt idx="374">
                  <c:v>44809</c:v>
                </c:pt>
                <c:pt idx="375">
                  <c:v>44810</c:v>
                </c:pt>
                <c:pt idx="376">
                  <c:v>44811</c:v>
                </c:pt>
                <c:pt idx="377">
                  <c:v>44812</c:v>
                </c:pt>
                <c:pt idx="378">
                  <c:v>44813</c:v>
                </c:pt>
                <c:pt idx="379">
                  <c:v>44816</c:v>
                </c:pt>
                <c:pt idx="380">
                  <c:v>44817</c:v>
                </c:pt>
                <c:pt idx="381">
                  <c:v>44818</c:v>
                </c:pt>
                <c:pt idx="382">
                  <c:v>44819</c:v>
                </c:pt>
                <c:pt idx="383">
                  <c:v>44820</c:v>
                </c:pt>
                <c:pt idx="384">
                  <c:v>44823</c:v>
                </c:pt>
                <c:pt idx="385">
                  <c:v>44824</c:v>
                </c:pt>
                <c:pt idx="386">
                  <c:v>44825</c:v>
                </c:pt>
                <c:pt idx="387">
                  <c:v>44826</c:v>
                </c:pt>
                <c:pt idx="388">
                  <c:v>44827</c:v>
                </c:pt>
                <c:pt idx="389">
                  <c:v>44830</c:v>
                </c:pt>
                <c:pt idx="390">
                  <c:v>44831</c:v>
                </c:pt>
                <c:pt idx="391">
                  <c:v>44832</c:v>
                </c:pt>
                <c:pt idx="392">
                  <c:v>44833</c:v>
                </c:pt>
                <c:pt idx="393">
                  <c:v>44834</c:v>
                </c:pt>
                <c:pt idx="394">
                  <c:v>44837</c:v>
                </c:pt>
                <c:pt idx="395">
                  <c:v>44838</c:v>
                </c:pt>
                <c:pt idx="396">
                  <c:v>44839</c:v>
                </c:pt>
                <c:pt idx="397">
                  <c:v>44840</c:v>
                </c:pt>
                <c:pt idx="398">
                  <c:v>44841</c:v>
                </c:pt>
                <c:pt idx="399">
                  <c:v>44844</c:v>
                </c:pt>
                <c:pt idx="400">
                  <c:v>44845</c:v>
                </c:pt>
                <c:pt idx="401">
                  <c:v>44846</c:v>
                </c:pt>
                <c:pt idx="402">
                  <c:v>44847</c:v>
                </c:pt>
                <c:pt idx="403">
                  <c:v>44848</c:v>
                </c:pt>
                <c:pt idx="404">
                  <c:v>44851</c:v>
                </c:pt>
                <c:pt idx="405">
                  <c:v>44852</c:v>
                </c:pt>
                <c:pt idx="406">
                  <c:v>44853</c:v>
                </c:pt>
                <c:pt idx="407">
                  <c:v>44854</c:v>
                </c:pt>
                <c:pt idx="408">
                  <c:v>44855</c:v>
                </c:pt>
                <c:pt idx="409">
                  <c:v>44858</c:v>
                </c:pt>
                <c:pt idx="410">
                  <c:v>44859</c:v>
                </c:pt>
                <c:pt idx="411">
                  <c:v>44860</c:v>
                </c:pt>
                <c:pt idx="412">
                  <c:v>44861</c:v>
                </c:pt>
                <c:pt idx="413">
                  <c:v>44862</c:v>
                </c:pt>
                <c:pt idx="414">
                  <c:v>44865</c:v>
                </c:pt>
                <c:pt idx="415">
                  <c:v>44866</c:v>
                </c:pt>
                <c:pt idx="416">
                  <c:v>44867</c:v>
                </c:pt>
                <c:pt idx="417">
                  <c:v>44868</c:v>
                </c:pt>
                <c:pt idx="418">
                  <c:v>44869</c:v>
                </c:pt>
                <c:pt idx="419">
                  <c:v>44872</c:v>
                </c:pt>
                <c:pt idx="420">
                  <c:v>44873</c:v>
                </c:pt>
                <c:pt idx="421">
                  <c:v>44874</c:v>
                </c:pt>
                <c:pt idx="422">
                  <c:v>44875</c:v>
                </c:pt>
                <c:pt idx="423">
                  <c:v>44876</c:v>
                </c:pt>
                <c:pt idx="424">
                  <c:v>44879</c:v>
                </c:pt>
                <c:pt idx="425">
                  <c:v>44880</c:v>
                </c:pt>
                <c:pt idx="426">
                  <c:v>44881</c:v>
                </c:pt>
                <c:pt idx="427">
                  <c:v>44882</c:v>
                </c:pt>
                <c:pt idx="428">
                  <c:v>44883</c:v>
                </c:pt>
                <c:pt idx="429">
                  <c:v>44886</c:v>
                </c:pt>
                <c:pt idx="430">
                  <c:v>44887</c:v>
                </c:pt>
                <c:pt idx="431">
                  <c:v>44888</c:v>
                </c:pt>
                <c:pt idx="432">
                  <c:v>44889</c:v>
                </c:pt>
                <c:pt idx="433">
                  <c:v>44890</c:v>
                </c:pt>
                <c:pt idx="434">
                  <c:v>44893</c:v>
                </c:pt>
                <c:pt idx="435">
                  <c:v>44894</c:v>
                </c:pt>
                <c:pt idx="436">
                  <c:v>44895</c:v>
                </c:pt>
                <c:pt idx="437">
                  <c:v>44896</c:v>
                </c:pt>
                <c:pt idx="438">
                  <c:v>44897</c:v>
                </c:pt>
                <c:pt idx="439">
                  <c:v>44900</c:v>
                </c:pt>
                <c:pt idx="440">
                  <c:v>44901</c:v>
                </c:pt>
                <c:pt idx="441">
                  <c:v>44902</c:v>
                </c:pt>
                <c:pt idx="442">
                  <c:v>44903</c:v>
                </c:pt>
                <c:pt idx="443">
                  <c:v>44904</c:v>
                </c:pt>
                <c:pt idx="444">
                  <c:v>44907</c:v>
                </c:pt>
                <c:pt idx="445">
                  <c:v>44908</c:v>
                </c:pt>
                <c:pt idx="446">
                  <c:v>44909</c:v>
                </c:pt>
                <c:pt idx="447">
                  <c:v>44910</c:v>
                </c:pt>
                <c:pt idx="448">
                  <c:v>44911</c:v>
                </c:pt>
                <c:pt idx="449">
                  <c:v>44914</c:v>
                </c:pt>
                <c:pt idx="450">
                  <c:v>44915</c:v>
                </c:pt>
                <c:pt idx="451">
                  <c:v>44916</c:v>
                </c:pt>
                <c:pt idx="452">
                  <c:v>44917</c:v>
                </c:pt>
                <c:pt idx="453">
                  <c:v>44918</c:v>
                </c:pt>
                <c:pt idx="454">
                  <c:v>44921</c:v>
                </c:pt>
                <c:pt idx="455">
                  <c:v>44922</c:v>
                </c:pt>
                <c:pt idx="456">
                  <c:v>44923</c:v>
                </c:pt>
                <c:pt idx="457">
                  <c:v>44924</c:v>
                </c:pt>
                <c:pt idx="458">
                  <c:v>44925</c:v>
                </c:pt>
                <c:pt idx="459">
                  <c:v>44929</c:v>
                </c:pt>
                <c:pt idx="460">
                  <c:v>44930</c:v>
                </c:pt>
                <c:pt idx="461">
                  <c:v>44931</c:v>
                </c:pt>
                <c:pt idx="462">
                  <c:v>44932</c:v>
                </c:pt>
                <c:pt idx="463">
                  <c:v>44935</c:v>
                </c:pt>
                <c:pt idx="464">
                  <c:v>44936</c:v>
                </c:pt>
                <c:pt idx="465">
                  <c:v>44937</c:v>
                </c:pt>
                <c:pt idx="466">
                  <c:v>44938</c:v>
                </c:pt>
                <c:pt idx="467">
                  <c:v>44939</c:v>
                </c:pt>
                <c:pt idx="468">
                  <c:v>44942</c:v>
                </c:pt>
                <c:pt idx="469">
                  <c:v>44943</c:v>
                </c:pt>
                <c:pt idx="470">
                  <c:v>44944</c:v>
                </c:pt>
                <c:pt idx="471">
                  <c:v>44945</c:v>
                </c:pt>
                <c:pt idx="472">
                  <c:v>44953</c:v>
                </c:pt>
                <c:pt idx="473">
                  <c:v>44956</c:v>
                </c:pt>
                <c:pt idx="474">
                  <c:v>44957</c:v>
                </c:pt>
                <c:pt idx="475">
                  <c:v>44958</c:v>
                </c:pt>
                <c:pt idx="476">
                  <c:v>44959</c:v>
                </c:pt>
                <c:pt idx="477">
                  <c:v>44960</c:v>
                </c:pt>
                <c:pt idx="478">
                  <c:v>44963</c:v>
                </c:pt>
                <c:pt idx="479">
                  <c:v>44964</c:v>
                </c:pt>
                <c:pt idx="480">
                  <c:v>44965</c:v>
                </c:pt>
                <c:pt idx="481">
                  <c:v>44966</c:v>
                </c:pt>
                <c:pt idx="482">
                  <c:v>44967</c:v>
                </c:pt>
                <c:pt idx="483">
                  <c:v>44970</c:v>
                </c:pt>
                <c:pt idx="484">
                  <c:v>44971</c:v>
                </c:pt>
                <c:pt idx="485">
                  <c:v>44972</c:v>
                </c:pt>
                <c:pt idx="486">
                  <c:v>44973</c:v>
                </c:pt>
                <c:pt idx="487">
                  <c:v>44974</c:v>
                </c:pt>
                <c:pt idx="488">
                  <c:v>44977</c:v>
                </c:pt>
                <c:pt idx="489">
                  <c:v>44978</c:v>
                </c:pt>
                <c:pt idx="490">
                  <c:v>44979</c:v>
                </c:pt>
                <c:pt idx="491">
                  <c:v>44980</c:v>
                </c:pt>
                <c:pt idx="492">
                  <c:v>44981</c:v>
                </c:pt>
                <c:pt idx="493">
                  <c:v>44984</c:v>
                </c:pt>
                <c:pt idx="494">
                  <c:v>44985</c:v>
                </c:pt>
                <c:pt idx="495">
                  <c:v>44986</c:v>
                </c:pt>
                <c:pt idx="496">
                  <c:v>44987</c:v>
                </c:pt>
                <c:pt idx="497">
                  <c:v>44988</c:v>
                </c:pt>
                <c:pt idx="498">
                  <c:v>44991</c:v>
                </c:pt>
                <c:pt idx="499">
                  <c:v>44992</c:v>
                </c:pt>
                <c:pt idx="500">
                  <c:v>44993</c:v>
                </c:pt>
                <c:pt idx="501">
                  <c:v>44994</c:v>
                </c:pt>
                <c:pt idx="502">
                  <c:v>44995</c:v>
                </c:pt>
                <c:pt idx="503">
                  <c:v>44998</c:v>
                </c:pt>
                <c:pt idx="504">
                  <c:v>44999</c:v>
                </c:pt>
                <c:pt idx="505">
                  <c:v>45000</c:v>
                </c:pt>
                <c:pt idx="506">
                  <c:v>45001</c:v>
                </c:pt>
                <c:pt idx="507">
                  <c:v>45002</c:v>
                </c:pt>
                <c:pt idx="508">
                  <c:v>45005</c:v>
                </c:pt>
                <c:pt idx="509">
                  <c:v>45006</c:v>
                </c:pt>
                <c:pt idx="510">
                  <c:v>45007</c:v>
                </c:pt>
                <c:pt idx="511">
                  <c:v>45008</c:v>
                </c:pt>
                <c:pt idx="512">
                  <c:v>45009</c:v>
                </c:pt>
                <c:pt idx="513">
                  <c:v>45012</c:v>
                </c:pt>
                <c:pt idx="514">
                  <c:v>45013</c:v>
                </c:pt>
                <c:pt idx="515">
                  <c:v>45014</c:v>
                </c:pt>
                <c:pt idx="516">
                  <c:v>45015</c:v>
                </c:pt>
                <c:pt idx="517">
                  <c:v>45016</c:v>
                </c:pt>
                <c:pt idx="518">
                  <c:v>45019</c:v>
                </c:pt>
                <c:pt idx="519">
                  <c:v>45020</c:v>
                </c:pt>
                <c:pt idx="520">
                  <c:v>45021</c:v>
                </c:pt>
                <c:pt idx="521">
                  <c:v>45022</c:v>
                </c:pt>
                <c:pt idx="522">
                  <c:v>45023</c:v>
                </c:pt>
                <c:pt idx="523">
                  <c:v>45026</c:v>
                </c:pt>
                <c:pt idx="524">
                  <c:v>45027</c:v>
                </c:pt>
                <c:pt idx="525">
                  <c:v>45028</c:v>
                </c:pt>
                <c:pt idx="526">
                  <c:v>45029</c:v>
                </c:pt>
                <c:pt idx="527">
                  <c:v>45030</c:v>
                </c:pt>
                <c:pt idx="528">
                  <c:v>45033</c:v>
                </c:pt>
                <c:pt idx="529">
                  <c:v>45034</c:v>
                </c:pt>
                <c:pt idx="530">
                  <c:v>45035</c:v>
                </c:pt>
                <c:pt idx="531">
                  <c:v>45036</c:v>
                </c:pt>
                <c:pt idx="532">
                  <c:v>45037</c:v>
                </c:pt>
                <c:pt idx="533">
                  <c:v>45040</c:v>
                </c:pt>
                <c:pt idx="534">
                  <c:v>45041</c:v>
                </c:pt>
                <c:pt idx="535">
                  <c:v>45042</c:v>
                </c:pt>
                <c:pt idx="536">
                  <c:v>45043</c:v>
                </c:pt>
                <c:pt idx="537">
                  <c:v>45044</c:v>
                </c:pt>
                <c:pt idx="538">
                  <c:v>45050</c:v>
                </c:pt>
                <c:pt idx="539">
                  <c:v>45051</c:v>
                </c:pt>
                <c:pt idx="540">
                  <c:v>45054</c:v>
                </c:pt>
                <c:pt idx="541">
                  <c:v>45055</c:v>
                </c:pt>
                <c:pt idx="542">
                  <c:v>45056</c:v>
                </c:pt>
                <c:pt idx="543">
                  <c:v>45057</c:v>
                </c:pt>
                <c:pt idx="544">
                  <c:v>45058</c:v>
                </c:pt>
                <c:pt idx="545">
                  <c:v>45061</c:v>
                </c:pt>
                <c:pt idx="546">
                  <c:v>45062</c:v>
                </c:pt>
                <c:pt idx="547">
                  <c:v>45063</c:v>
                </c:pt>
                <c:pt idx="548">
                  <c:v>45064</c:v>
                </c:pt>
                <c:pt idx="549">
                  <c:v>45065</c:v>
                </c:pt>
                <c:pt idx="550">
                  <c:v>45068</c:v>
                </c:pt>
                <c:pt idx="551">
                  <c:v>45069</c:v>
                </c:pt>
                <c:pt idx="552">
                  <c:v>45070</c:v>
                </c:pt>
                <c:pt idx="553">
                  <c:v>45071</c:v>
                </c:pt>
                <c:pt idx="554">
                  <c:v>45072</c:v>
                </c:pt>
                <c:pt idx="555">
                  <c:v>45075</c:v>
                </c:pt>
                <c:pt idx="556">
                  <c:v>45076</c:v>
                </c:pt>
                <c:pt idx="557">
                  <c:v>45077</c:v>
                </c:pt>
                <c:pt idx="558">
                  <c:v>45078</c:v>
                </c:pt>
                <c:pt idx="559">
                  <c:v>45079</c:v>
                </c:pt>
                <c:pt idx="560">
                  <c:v>45082</c:v>
                </c:pt>
                <c:pt idx="561">
                  <c:v>45083</c:v>
                </c:pt>
                <c:pt idx="562">
                  <c:v>45084</c:v>
                </c:pt>
                <c:pt idx="563">
                  <c:v>45085</c:v>
                </c:pt>
                <c:pt idx="564">
                  <c:v>45086</c:v>
                </c:pt>
                <c:pt idx="565">
                  <c:v>45089</c:v>
                </c:pt>
                <c:pt idx="566">
                  <c:v>45090</c:v>
                </c:pt>
                <c:pt idx="567">
                  <c:v>45091</c:v>
                </c:pt>
                <c:pt idx="568">
                  <c:v>45092</c:v>
                </c:pt>
                <c:pt idx="569">
                  <c:v>45093</c:v>
                </c:pt>
                <c:pt idx="570">
                  <c:v>45096</c:v>
                </c:pt>
                <c:pt idx="571">
                  <c:v>45097</c:v>
                </c:pt>
                <c:pt idx="572">
                  <c:v>45098</c:v>
                </c:pt>
                <c:pt idx="573">
                  <c:v>45099</c:v>
                </c:pt>
                <c:pt idx="574">
                  <c:v>45100</c:v>
                </c:pt>
                <c:pt idx="575">
                  <c:v>45103</c:v>
                </c:pt>
                <c:pt idx="576">
                  <c:v>45104</c:v>
                </c:pt>
                <c:pt idx="577">
                  <c:v>45105</c:v>
                </c:pt>
                <c:pt idx="578">
                  <c:v>45106</c:v>
                </c:pt>
                <c:pt idx="579">
                  <c:v>45107</c:v>
                </c:pt>
                <c:pt idx="580">
                  <c:v>45110</c:v>
                </c:pt>
                <c:pt idx="581">
                  <c:v>45111</c:v>
                </c:pt>
                <c:pt idx="582">
                  <c:v>45112</c:v>
                </c:pt>
                <c:pt idx="583">
                  <c:v>45113</c:v>
                </c:pt>
                <c:pt idx="584">
                  <c:v>45114</c:v>
                </c:pt>
                <c:pt idx="585">
                  <c:v>45117</c:v>
                </c:pt>
                <c:pt idx="586">
                  <c:v>45118</c:v>
                </c:pt>
                <c:pt idx="587">
                  <c:v>45119</c:v>
                </c:pt>
                <c:pt idx="588">
                  <c:v>45120</c:v>
                </c:pt>
                <c:pt idx="589">
                  <c:v>45121</c:v>
                </c:pt>
                <c:pt idx="590">
                  <c:v>45124</c:v>
                </c:pt>
                <c:pt idx="591">
                  <c:v>45125</c:v>
                </c:pt>
                <c:pt idx="592">
                  <c:v>45126</c:v>
                </c:pt>
                <c:pt idx="593">
                  <c:v>45127</c:v>
                </c:pt>
                <c:pt idx="594">
                  <c:v>45128</c:v>
                </c:pt>
                <c:pt idx="595">
                  <c:v>45131</c:v>
                </c:pt>
                <c:pt idx="596">
                  <c:v>45132</c:v>
                </c:pt>
                <c:pt idx="597">
                  <c:v>45133</c:v>
                </c:pt>
                <c:pt idx="598">
                  <c:v>45134</c:v>
                </c:pt>
                <c:pt idx="599">
                  <c:v>45135</c:v>
                </c:pt>
                <c:pt idx="600">
                  <c:v>45138</c:v>
                </c:pt>
                <c:pt idx="601">
                  <c:v>45139</c:v>
                </c:pt>
                <c:pt idx="602">
                  <c:v>45140</c:v>
                </c:pt>
                <c:pt idx="603">
                  <c:v>45141</c:v>
                </c:pt>
                <c:pt idx="604">
                  <c:v>45142</c:v>
                </c:pt>
                <c:pt idx="605">
                  <c:v>45145</c:v>
                </c:pt>
                <c:pt idx="606">
                  <c:v>45146</c:v>
                </c:pt>
                <c:pt idx="607">
                  <c:v>45147</c:v>
                </c:pt>
                <c:pt idx="608">
                  <c:v>45148</c:v>
                </c:pt>
                <c:pt idx="609">
                  <c:v>45149</c:v>
                </c:pt>
                <c:pt idx="610">
                  <c:v>45152</c:v>
                </c:pt>
                <c:pt idx="611">
                  <c:v>45153</c:v>
                </c:pt>
                <c:pt idx="612">
                  <c:v>45154</c:v>
                </c:pt>
                <c:pt idx="613">
                  <c:v>45155</c:v>
                </c:pt>
                <c:pt idx="614">
                  <c:v>45156</c:v>
                </c:pt>
                <c:pt idx="615">
                  <c:v>45159</c:v>
                </c:pt>
                <c:pt idx="616">
                  <c:v>45160</c:v>
                </c:pt>
                <c:pt idx="617">
                  <c:v>45161</c:v>
                </c:pt>
                <c:pt idx="618">
                  <c:v>45162</c:v>
                </c:pt>
                <c:pt idx="619">
                  <c:v>45163</c:v>
                </c:pt>
                <c:pt idx="620">
                  <c:v>45166</c:v>
                </c:pt>
                <c:pt idx="621">
                  <c:v>45167</c:v>
                </c:pt>
                <c:pt idx="622">
                  <c:v>45168</c:v>
                </c:pt>
                <c:pt idx="623">
                  <c:v>45169</c:v>
                </c:pt>
                <c:pt idx="624">
                  <c:v>45174</c:v>
                </c:pt>
                <c:pt idx="625">
                  <c:v>45175</c:v>
                </c:pt>
                <c:pt idx="626">
                  <c:v>45176</c:v>
                </c:pt>
                <c:pt idx="627">
                  <c:v>45177</c:v>
                </c:pt>
                <c:pt idx="628">
                  <c:v>45180</c:v>
                </c:pt>
                <c:pt idx="629">
                  <c:v>45181</c:v>
                </c:pt>
                <c:pt idx="630">
                  <c:v>45182</c:v>
                </c:pt>
                <c:pt idx="631">
                  <c:v>45183</c:v>
                </c:pt>
                <c:pt idx="632">
                  <c:v>45184</c:v>
                </c:pt>
                <c:pt idx="633">
                  <c:v>45187</c:v>
                </c:pt>
                <c:pt idx="634">
                  <c:v>45188</c:v>
                </c:pt>
                <c:pt idx="635">
                  <c:v>45189</c:v>
                </c:pt>
                <c:pt idx="636">
                  <c:v>45190</c:v>
                </c:pt>
                <c:pt idx="637">
                  <c:v>45191</c:v>
                </c:pt>
                <c:pt idx="638">
                  <c:v>45194</c:v>
                </c:pt>
                <c:pt idx="639">
                  <c:v>45195</c:v>
                </c:pt>
                <c:pt idx="640">
                  <c:v>45196</c:v>
                </c:pt>
                <c:pt idx="641">
                  <c:v>45197</c:v>
                </c:pt>
                <c:pt idx="642">
                  <c:v>45198</c:v>
                </c:pt>
                <c:pt idx="643">
                  <c:v>45201</c:v>
                </c:pt>
                <c:pt idx="644">
                  <c:v>45202</c:v>
                </c:pt>
                <c:pt idx="645">
                  <c:v>45203</c:v>
                </c:pt>
                <c:pt idx="646">
                  <c:v>45204</c:v>
                </c:pt>
                <c:pt idx="647">
                  <c:v>45205</c:v>
                </c:pt>
                <c:pt idx="648">
                  <c:v>45208</c:v>
                </c:pt>
                <c:pt idx="649">
                  <c:v>45209</c:v>
                </c:pt>
                <c:pt idx="650">
                  <c:v>45210</c:v>
                </c:pt>
                <c:pt idx="651">
                  <c:v>45211</c:v>
                </c:pt>
                <c:pt idx="652">
                  <c:v>45212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45222</c:v>
                </c:pt>
                <c:pt idx="659">
                  <c:v>45223</c:v>
                </c:pt>
                <c:pt idx="660">
                  <c:v>45224</c:v>
                </c:pt>
                <c:pt idx="661">
                  <c:v>45225</c:v>
                </c:pt>
                <c:pt idx="662">
                  <c:v>45226</c:v>
                </c:pt>
                <c:pt idx="663">
                  <c:v>45229</c:v>
                </c:pt>
                <c:pt idx="664">
                  <c:v>45230</c:v>
                </c:pt>
                <c:pt idx="665">
                  <c:v>45231</c:v>
                </c:pt>
                <c:pt idx="666">
                  <c:v>45232</c:v>
                </c:pt>
                <c:pt idx="667">
                  <c:v>45233</c:v>
                </c:pt>
                <c:pt idx="668">
                  <c:v>45236</c:v>
                </c:pt>
                <c:pt idx="669">
                  <c:v>45237</c:v>
                </c:pt>
                <c:pt idx="670">
                  <c:v>45238</c:v>
                </c:pt>
                <c:pt idx="671">
                  <c:v>45239</c:v>
                </c:pt>
                <c:pt idx="672">
                  <c:v>45240</c:v>
                </c:pt>
                <c:pt idx="673">
                  <c:v>45243</c:v>
                </c:pt>
                <c:pt idx="674">
                  <c:v>45244</c:v>
                </c:pt>
                <c:pt idx="675">
                  <c:v>45245</c:v>
                </c:pt>
                <c:pt idx="676">
                  <c:v>45246</c:v>
                </c:pt>
                <c:pt idx="677">
                  <c:v>45247</c:v>
                </c:pt>
                <c:pt idx="678">
                  <c:v>45250</c:v>
                </c:pt>
                <c:pt idx="679">
                  <c:v>45251</c:v>
                </c:pt>
                <c:pt idx="680">
                  <c:v>45252</c:v>
                </c:pt>
                <c:pt idx="681">
                  <c:v>45253</c:v>
                </c:pt>
                <c:pt idx="682">
                  <c:v>45254</c:v>
                </c:pt>
                <c:pt idx="683">
                  <c:v>45257</c:v>
                </c:pt>
                <c:pt idx="684">
                  <c:v>45258</c:v>
                </c:pt>
                <c:pt idx="685">
                  <c:v>45259</c:v>
                </c:pt>
                <c:pt idx="686">
                  <c:v>45260</c:v>
                </c:pt>
                <c:pt idx="687">
                  <c:v>45261</c:v>
                </c:pt>
                <c:pt idx="688">
                  <c:v>45264</c:v>
                </c:pt>
                <c:pt idx="689">
                  <c:v>45265</c:v>
                </c:pt>
                <c:pt idx="690">
                  <c:v>45266</c:v>
                </c:pt>
                <c:pt idx="691">
                  <c:v>45267</c:v>
                </c:pt>
                <c:pt idx="692">
                  <c:v>45268</c:v>
                </c:pt>
                <c:pt idx="693">
                  <c:v>45271</c:v>
                </c:pt>
                <c:pt idx="694">
                  <c:v>45272</c:v>
                </c:pt>
                <c:pt idx="695">
                  <c:v>45273</c:v>
                </c:pt>
                <c:pt idx="696">
                  <c:v>45274</c:v>
                </c:pt>
                <c:pt idx="697">
                  <c:v>45275</c:v>
                </c:pt>
                <c:pt idx="698">
                  <c:v>45278</c:v>
                </c:pt>
                <c:pt idx="699">
                  <c:v>45279</c:v>
                </c:pt>
                <c:pt idx="700">
                  <c:v>45280</c:v>
                </c:pt>
                <c:pt idx="701">
                  <c:v>45281</c:v>
                </c:pt>
                <c:pt idx="702">
                  <c:v>45282</c:v>
                </c:pt>
                <c:pt idx="703">
                  <c:v>45285</c:v>
                </c:pt>
                <c:pt idx="704">
                  <c:v>45286</c:v>
                </c:pt>
                <c:pt idx="705">
                  <c:v>45287</c:v>
                </c:pt>
                <c:pt idx="706">
                  <c:v>45288</c:v>
                </c:pt>
                <c:pt idx="707">
                  <c:v>45289</c:v>
                </c:pt>
                <c:pt idx="708">
                  <c:v>45293</c:v>
                </c:pt>
                <c:pt idx="709">
                  <c:v>45294</c:v>
                </c:pt>
                <c:pt idx="710">
                  <c:v>45295</c:v>
                </c:pt>
                <c:pt idx="711">
                  <c:v>45296</c:v>
                </c:pt>
                <c:pt idx="712">
                  <c:v>45299</c:v>
                </c:pt>
                <c:pt idx="713">
                  <c:v>45300</c:v>
                </c:pt>
                <c:pt idx="714">
                  <c:v>45301</c:v>
                </c:pt>
                <c:pt idx="715">
                  <c:v>45302</c:v>
                </c:pt>
                <c:pt idx="716">
                  <c:v>45303</c:v>
                </c:pt>
                <c:pt idx="717">
                  <c:v>45306</c:v>
                </c:pt>
                <c:pt idx="718">
                  <c:v>45307</c:v>
                </c:pt>
                <c:pt idx="719">
                  <c:v>45308</c:v>
                </c:pt>
                <c:pt idx="720">
                  <c:v>45309</c:v>
                </c:pt>
                <c:pt idx="721">
                  <c:v>45310</c:v>
                </c:pt>
                <c:pt idx="722">
                  <c:v>45313</c:v>
                </c:pt>
                <c:pt idx="723">
                  <c:v>45314</c:v>
                </c:pt>
                <c:pt idx="724">
                  <c:v>45315</c:v>
                </c:pt>
                <c:pt idx="725">
                  <c:v>45316</c:v>
                </c:pt>
                <c:pt idx="726">
                  <c:v>45317</c:v>
                </c:pt>
                <c:pt idx="727">
                  <c:v>45320</c:v>
                </c:pt>
                <c:pt idx="728">
                  <c:v>45321</c:v>
                </c:pt>
                <c:pt idx="729">
                  <c:v>45322</c:v>
                </c:pt>
                <c:pt idx="730">
                  <c:v>45323</c:v>
                </c:pt>
                <c:pt idx="731">
                  <c:v>45324</c:v>
                </c:pt>
                <c:pt idx="732">
                  <c:v>45327</c:v>
                </c:pt>
                <c:pt idx="733">
                  <c:v>45328</c:v>
                </c:pt>
                <c:pt idx="734">
                  <c:v>45329</c:v>
                </c:pt>
                <c:pt idx="735">
                  <c:v>45337</c:v>
                </c:pt>
                <c:pt idx="736">
                  <c:v>45338</c:v>
                </c:pt>
                <c:pt idx="737">
                  <c:v>45341</c:v>
                </c:pt>
                <c:pt idx="738">
                  <c:v>45342</c:v>
                </c:pt>
                <c:pt idx="739">
                  <c:v>45343</c:v>
                </c:pt>
                <c:pt idx="740">
                  <c:v>45344</c:v>
                </c:pt>
                <c:pt idx="741">
                  <c:v>45345</c:v>
                </c:pt>
                <c:pt idx="742">
                  <c:v>45348</c:v>
                </c:pt>
                <c:pt idx="743">
                  <c:v>45349</c:v>
                </c:pt>
                <c:pt idx="744">
                  <c:v>45350</c:v>
                </c:pt>
                <c:pt idx="745">
                  <c:v>45351</c:v>
                </c:pt>
                <c:pt idx="746">
                  <c:v>45352</c:v>
                </c:pt>
                <c:pt idx="747">
                  <c:v>45355</c:v>
                </c:pt>
                <c:pt idx="748">
                  <c:v>45356</c:v>
                </c:pt>
                <c:pt idx="749">
                  <c:v>45357</c:v>
                </c:pt>
                <c:pt idx="750">
                  <c:v>45358</c:v>
                </c:pt>
                <c:pt idx="751">
                  <c:v>45359</c:v>
                </c:pt>
                <c:pt idx="752">
                  <c:v>45362</c:v>
                </c:pt>
                <c:pt idx="753">
                  <c:v>45363</c:v>
                </c:pt>
                <c:pt idx="754">
                  <c:v>45364</c:v>
                </c:pt>
                <c:pt idx="755">
                  <c:v>45365</c:v>
                </c:pt>
                <c:pt idx="756">
                  <c:v>45366</c:v>
                </c:pt>
                <c:pt idx="757">
                  <c:v>45369</c:v>
                </c:pt>
                <c:pt idx="758">
                  <c:v>45370</c:v>
                </c:pt>
                <c:pt idx="759">
                  <c:v>45371</c:v>
                </c:pt>
                <c:pt idx="760">
                  <c:v>45372</c:v>
                </c:pt>
                <c:pt idx="761">
                  <c:v>45373</c:v>
                </c:pt>
                <c:pt idx="762">
                  <c:v>45376</c:v>
                </c:pt>
                <c:pt idx="763">
                  <c:v>45377</c:v>
                </c:pt>
                <c:pt idx="764">
                  <c:v>45378</c:v>
                </c:pt>
                <c:pt idx="765">
                  <c:v>45379</c:v>
                </c:pt>
                <c:pt idx="766">
                  <c:v>45380</c:v>
                </c:pt>
                <c:pt idx="767">
                  <c:v>45383</c:v>
                </c:pt>
                <c:pt idx="768">
                  <c:v>45384</c:v>
                </c:pt>
                <c:pt idx="769">
                  <c:v>45385</c:v>
                </c:pt>
                <c:pt idx="770">
                  <c:v>45386</c:v>
                </c:pt>
                <c:pt idx="771">
                  <c:v>45387</c:v>
                </c:pt>
                <c:pt idx="772">
                  <c:v>45390</c:v>
                </c:pt>
                <c:pt idx="773">
                  <c:v>45391</c:v>
                </c:pt>
                <c:pt idx="774">
                  <c:v>45392</c:v>
                </c:pt>
                <c:pt idx="775">
                  <c:v>45393</c:v>
                </c:pt>
                <c:pt idx="776">
                  <c:v>45394</c:v>
                </c:pt>
                <c:pt idx="777">
                  <c:v>45397</c:v>
                </c:pt>
                <c:pt idx="778">
                  <c:v>45398</c:v>
                </c:pt>
                <c:pt idx="779">
                  <c:v>45399</c:v>
                </c:pt>
                <c:pt idx="780">
                  <c:v>45401</c:v>
                </c:pt>
                <c:pt idx="781">
                  <c:v>45404</c:v>
                </c:pt>
                <c:pt idx="782">
                  <c:v>45405</c:v>
                </c:pt>
                <c:pt idx="783">
                  <c:v>45406</c:v>
                </c:pt>
                <c:pt idx="784">
                  <c:v>45407</c:v>
                </c:pt>
                <c:pt idx="785">
                  <c:v>45408</c:v>
                </c:pt>
                <c:pt idx="786">
                  <c:v>45414</c:v>
                </c:pt>
                <c:pt idx="787">
                  <c:v>45415</c:v>
                </c:pt>
                <c:pt idx="788">
                  <c:v>45418</c:v>
                </c:pt>
                <c:pt idx="789">
                  <c:v>45419</c:v>
                </c:pt>
                <c:pt idx="790">
                  <c:v>45420</c:v>
                </c:pt>
                <c:pt idx="791">
                  <c:v>45421</c:v>
                </c:pt>
                <c:pt idx="792">
                  <c:v>45422</c:v>
                </c:pt>
                <c:pt idx="793">
                  <c:v>45425</c:v>
                </c:pt>
                <c:pt idx="794">
                  <c:v>45426</c:v>
                </c:pt>
                <c:pt idx="795">
                  <c:v>45427</c:v>
                </c:pt>
                <c:pt idx="796">
                  <c:v>45428</c:v>
                </c:pt>
                <c:pt idx="797">
                  <c:v>45429</c:v>
                </c:pt>
                <c:pt idx="798">
                  <c:v>45432</c:v>
                </c:pt>
                <c:pt idx="799">
                  <c:v>45433</c:v>
                </c:pt>
                <c:pt idx="800">
                  <c:v>45434</c:v>
                </c:pt>
                <c:pt idx="801">
                  <c:v>45435</c:v>
                </c:pt>
                <c:pt idx="802">
                  <c:v>45436</c:v>
                </c:pt>
                <c:pt idx="803">
                  <c:v>45439</c:v>
                </c:pt>
                <c:pt idx="804">
                  <c:v>45440</c:v>
                </c:pt>
                <c:pt idx="805">
                  <c:v>45441</c:v>
                </c:pt>
                <c:pt idx="806">
                  <c:v>45442</c:v>
                </c:pt>
                <c:pt idx="807">
                  <c:v>45443</c:v>
                </c:pt>
                <c:pt idx="808">
                  <c:v>45446</c:v>
                </c:pt>
                <c:pt idx="809">
                  <c:v>45447</c:v>
                </c:pt>
                <c:pt idx="810">
                  <c:v>45448</c:v>
                </c:pt>
                <c:pt idx="811">
                  <c:v>45449</c:v>
                </c:pt>
                <c:pt idx="812">
                  <c:v>45450</c:v>
                </c:pt>
                <c:pt idx="813">
                  <c:v>45453</c:v>
                </c:pt>
                <c:pt idx="814">
                  <c:v>45454</c:v>
                </c:pt>
                <c:pt idx="815">
                  <c:v>45455</c:v>
                </c:pt>
                <c:pt idx="816">
                  <c:v>45456</c:v>
                </c:pt>
                <c:pt idx="817">
                  <c:v>45457</c:v>
                </c:pt>
                <c:pt idx="818">
                  <c:v>45460</c:v>
                </c:pt>
                <c:pt idx="819">
                  <c:v>45461</c:v>
                </c:pt>
                <c:pt idx="820">
                  <c:v>45462</c:v>
                </c:pt>
                <c:pt idx="821">
                  <c:v>45463</c:v>
                </c:pt>
                <c:pt idx="822">
                  <c:v>45464</c:v>
                </c:pt>
                <c:pt idx="823">
                  <c:v>45467</c:v>
                </c:pt>
                <c:pt idx="824">
                  <c:v>45468</c:v>
                </c:pt>
                <c:pt idx="825">
                  <c:v>45469</c:v>
                </c:pt>
                <c:pt idx="826">
                  <c:v>45470</c:v>
                </c:pt>
                <c:pt idx="827">
                  <c:v>45471</c:v>
                </c:pt>
                <c:pt idx="828">
                  <c:v>45474</c:v>
                </c:pt>
                <c:pt idx="829">
                  <c:v>45475</c:v>
                </c:pt>
                <c:pt idx="830">
                  <c:v>45476</c:v>
                </c:pt>
                <c:pt idx="831">
                  <c:v>45477</c:v>
                </c:pt>
                <c:pt idx="832">
                  <c:v>45478</c:v>
                </c:pt>
                <c:pt idx="833">
                  <c:v>45481</c:v>
                </c:pt>
                <c:pt idx="834">
                  <c:v>45482</c:v>
                </c:pt>
                <c:pt idx="835">
                  <c:v>45483</c:v>
                </c:pt>
                <c:pt idx="836">
                  <c:v>45484</c:v>
                </c:pt>
                <c:pt idx="837">
                  <c:v>45485</c:v>
                </c:pt>
                <c:pt idx="838">
                  <c:v>45488</c:v>
                </c:pt>
                <c:pt idx="839">
                  <c:v>45489</c:v>
                </c:pt>
                <c:pt idx="840">
                  <c:v>45490</c:v>
                </c:pt>
                <c:pt idx="841">
                  <c:v>45491</c:v>
                </c:pt>
                <c:pt idx="842">
                  <c:v>45492</c:v>
                </c:pt>
                <c:pt idx="843">
                  <c:v>45495</c:v>
                </c:pt>
                <c:pt idx="844">
                  <c:v>45496</c:v>
                </c:pt>
                <c:pt idx="845">
                  <c:v>45497</c:v>
                </c:pt>
                <c:pt idx="846">
                  <c:v>45498</c:v>
                </c:pt>
                <c:pt idx="847">
                  <c:v>45499</c:v>
                </c:pt>
                <c:pt idx="848">
                  <c:v>45502</c:v>
                </c:pt>
                <c:pt idx="849">
                  <c:v>45503</c:v>
                </c:pt>
                <c:pt idx="850">
                  <c:v>45504</c:v>
                </c:pt>
                <c:pt idx="851">
                  <c:v>45505</c:v>
                </c:pt>
                <c:pt idx="852">
                  <c:v>45506</c:v>
                </c:pt>
                <c:pt idx="853">
                  <c:v>45509</c:v>
                </c:pt>
                <c:pt idx="854">
                  <c:v>45510</c:v>
                </c:pt>
                <c:pt idx="855">
                  <c:v>45511</c:v>
                </c:pt>
                <c:pt idx="856">
                  <c:v>45512</c:v>
                </c:pt>
                <c:pt idx="857">
                  <c:v>45513</c:v>
                </c:pt>
                <c:pt idx="858">
                  <c:v>45516</c:v>
                </c:pt>
                <c:pt idx="859">
                  <c:v>45517</c:v>
                </c:pt>
                <c:pt idx="860">
                  <c:v>45518</c:v>
                </c:pt>
                <c:pt idx="861">
                  <c:v>45519</c:v>
                </c:pt>
                <c:pt idx="862">
                  <c:v>45520</c:v>
                </c:pt>
                <c:pt idx="863">
                  <c:v>45523</c:v>
                </c:pt>
                <c:pt idx="864">
                  <c:v>45524</c:v>
                </c:pt>
                <c:pt idx="865">
                  <c:v>45525</c:v>
                </c:pt>
                <c:pt idx="866">
                  <c:v>45526</c:v>
                </c:pt>
                <c:pt idx="867">
                  <c:v>45527</c:v>
                </c:pt>
                <c:pt idx="868">
                  <c:v>45530</c:v>
                </c:pt>
                <c:pt idx="869">
                  <c:v>45531</c:v>
                </c:pt>
                <c:pt idx="870">
                  <c:v>45532</c:v>
                </c:pt>
                <c:pt idx="871">
                  <c:v>45533</c:v>
                </c:pt>
                <c:pt idx="872">
                  <c:v>45534</c:v>
                </c:pt>
                <c:pt idx="873">
                  <c:v>45539</c:v>
                </c:pt>
                <c:pt idx="874">
                  <c:v>45540</c:v>
                </c:pt>
                <c:pt idx="875">
                  <c:v>45541</c:v>
                </c:pt>
                <c:pt idx="876">
                  <c:v>45544</c:v>
                </c:pt>
                <c:pt idx="877">
                  <c:v>45545</c:v>
                </c:pt>
                <c:pt idx="878">
                  <c:v>45546</c:v>
                </c:pt>
                <c:pt idx="879">
                  <c:v>45547</c:v>
                </c:pt>
                <c:pt idx="880">
                  <c:v>45548</c:v>
                </c:pt>
                <c:pt idx="881">
                  <c:v>45551</c:v>
                </c:pt>
                <c:pt idx="882">
                  <c:v>45552</c:v>
                </c:pt>
                <c:pt idx="883">
                  <c:v>45553</c:v>
                </c:pt>
                <c:pt idx="884">
                  <c:v>45554</c:v>
                </c:pt>
                <c:pt idx="885">
                  <c:v>45555</c:v>
                </c:pt>
                <c:pt idx="886">
                  <c:v>45558</c:v>
                </c:pt>
                <c:pt idx="887">
                  <c:v>45559</c:v>
                </c:pt>
                <c:pt idx="888">
                  <c:v>45560</c:v>
                </c:pt>
                <c:pt idx="889">
                  <c:v>45561</c:v>
                </c:pt>
                <c:pt idx="890">
                  <c:v>45562</c:v>
                </c:pt>
                <c:pt idx="891">
                  <c:v>45565</c:v>
                </c:pt>
                <c:pt idx="892">
                  <c:v>45566</c:v>
                </c:pt>
                <c:pt idx="893">
                  <c:v>45567</c:v>
                </c:pt>
                <c:pt idx="894">
                  <c:v>45568</c:v>
                </c:pt>
                <c:pt idx="895">
                  <c:v>45569</c:v>
                </c:pt>
                <c:pt idx="896">
                  <c:v>45572</c:v>
                </c:pt>
                <c:pt idx="897">
                  <c:v>45573</c:v>
                </c:pt>
                <c:pt idx="898">
                  <c:v>45574</c:v>
                </c:pt>
                <c:pt idx="899">
                  <c:v>45575</c:v>
                </c:pt>
                <c:pt idx="900">
                  <c:v>45576</c:v>
                </c:pt>
                <c:pt idx="901">
                  <c:v>45579</c:v>
                </c:pt>
                <c:pt idx="902">
                  <c:v>45580</c:v>
                </c:pt>
                <c:pt idx="903">
                  <c:v>45581</c:v>
                </c:pt>
                <c:pt idx="904">
                  <c:v>45582</c:v>
                </c:pt>
                <c:pt idx="905">
                  <c:v>45583</c:v>
                </c:pt>
                <c:pt idx="906">
                  <c:v>45586</c:v>
                </c:pt>
                <c:pt idx="907">
                  <c:v>45587</c:v>
                </c:pt>
                <c:pt idx="908">
                  <c:v>45588</c:v>
                </c:pt>
                <c:pt idx="909">
                  <c:v>45589</c:v>
                </c:pt>
                <c:pt idx="910">
                  <c:v>45590</c:v>
                </c:pt>
                <c:pt idx="911">
                  <c:v>45593</c:v>
                </c:pt>
                <c:pt idx="912">
                  <c:v>45594</c:v>
                </c:pt>
                <c:pt idx="913">
                  <c:v>45595</c:v>
                </c:pt>
                <c:pt idx="914">
                  <c:v>45596</c:v>
                </c:pt>
                <c:pt idx="915">
                  <c:v>45597</c:v>
                </c:pt>
                <c:pt idx="916">
                  <c:v>45600</c:v>
                </c:pt>
                <c:pt idx="917">
                  <c:v>45601</c:v>
                </c:pt>
                <c:pt idx="918">
                  <c:v>45602</c:v>
                </c:pt>
                <c:pt idx="919">
                  <c:v>45603</c:v>
                </c:pt>
                <c:pt idx="920">
                  <c:v>45604</c:v>
                </c:pt>
                <c:pt idx="921">
                  <c:v>45607</c:v>
                </c:pt>
                <c:pt idx="922">
                  <c:v>45608</c:v>
                </c:pt>
                <c:pt idx="923">
                  <c:v>45609</c:v>
                </c:pt>
                <c:pt idx="924">
                  <c:v>45610</c:v>
                </c:pt>
                <c:pt idx="925">
                  <c:v>45611</c:v>
                </c:pt>
                <c:pt idx="926">
                  <c:v>45614</c:v>
                </c:pt>
                <c:pt idx="927">
                  <c:v>45615</c:v>
                </c:pt>
                <c:pt idx="928">
                  <c:v>45616</c:v>
                </c:pt>
                <c:pt idx="929">
                  <c:v>45617</c:v>
                </c:pt>
                <c:pt idx="930">
                  <c:v>45618</c:v>
                </c:pt>
                <c:pt idx="931">
                  <c:v>45621</c:v>
                </c:pt>
                <c:pt idx="932">
                  <c:v>45622</c:v>
                </c:pt>
                <c:pt idx="933">
                  <c:v>45623</c:v>
                </c:pt>
                <c:pt idx="934">
                  <c:v>45624</c:v>
                </c:pt>
                <c:pt idx="935">
                  <c:v>45625</c:v>
                </c:pt>
                <c:pt idx="936">
                  <c:v>45628</c:v>
                </c:pt>
                <c:pt idx="937">
                  <c:v>45629</c:v>
                </c:pt>
                <c:pt idx="938">
                  <c:v>45630</c:v>
                </c:pt>
                <c:pt idx="939">
                  <c:v>45631</c:v>
                </c:pt>
                <c:pt idx="940">
                  <c:v>45632</c:v>
                </c:pt>
                <c:pt idx="941">
                  <c:v>45635</c:v>
                </c:pt>
                <c:pt idx="942">
                  <c:v>45636</c:v>
                </c:pt>
                <c:pt idx="943">
                  <c:v>45637</c:v>
                </c:pt>
                <c:pt idx="944">
                  <c:v>45638</c:v>
                </c:pt>
                <c:pt idx="945">
                  <c:v>45639</c:v>
                </c:pt>
                <c:pt idx="946">
                  <c:v>45642</c:v>
                </c:pt>
                <c:pt idx="947">
                  <c:v>45643</c:v>
                </c:pt>
                <c:pt idx="948">
                  <c:v>45644</c:v>
                </c:pt>
                <c:pt idx="949">
                  <c:v>45645</c:v>
                </c:pt>
                <c:pt idx="950">
                  <c:v>45646</c:v>
                </c:pt>
                <c:pt idx="951">
                  <c:v>45649</c:v>
                </c:pt>
                <c:pt idx="952">
                  <c:v>45650</c:v>
                </c:pt>
                <c:pt idx="953">
                  <c:v>45651</c:v>
                </c:pt>
                <c:pt idx="954">
                  <c:v>45652</c:v>
                </c:pt>
                <c:pt idx="955">
                  <c:v>45653</c:v>
                </c:pt>
                <c:pt idx="956">
                  <c:v>45656</c:v>
                </c:pt>
                <c:pt idx="957">
                  <c:v>45657</c:v>
                </c:pt>
                <c:pt idx="958">
                  <c:v>45659</c:v>
                </c:pt>
                <c:pt idx="959">
                  <c:v>45660</c:v>
                </c:pt>
                <c:pt idx="960">
                  <c:v>45663</c:v>
                </c:pt>
                <c:pt idx="961">
                  <c:v>45664</c:v>
                </c:pt>
                <c:pt idx="962">
                  <c:v>45665</c:v>
                </c:pt>
                <c:pt idx="963">
                  <c:v>45666</c:v>
                </c:pt>
                <c:pt idx="964">
                  <c:v>45667</c:v>
                </c:pt>
                <c:pt idx="965">
                  <c:v>45670</c:v>
                </c:pt>
                <c:pt idx="966">
                  <c:v>45671</c:v>
                </c:pt>
                <c:pt idx="967">
                  <c:v>45672</c:v>
                </c:pt>
                <c:pt idx="968">
                  <c:v>45673</c:v>
                </c:pt>
                <c:pt idx="969">
                  <c:v>45674</c:v>
                </c:pt>
                <c:pt idx="970">
                  <c:v>45677</c:v>
                </c:pt>
                <c:pt idx="971">
                  <c:v>45678</c:v>
                </c:pt>
                <c:pt idx="972">
                  <c:v>45679</c:v>
                </c:pt>
                <c:pt idx="973">
                  <c:v>45680</c:v>
                </c:pt>
                <c:pt idx="974">
                  <c:v>45681</c:v>
                </c:pt>
                <c:pt idx="975">
                  <c:v>45691</c:v>
                </c:pt>
                <c:pt idx="976">
                  <c:v>45692</c:v>
                </c:pt>
                <c:pt idx="977">
                  <c:v>45693</c:v>
                </c:pt>
                <c:pt idx="978">
                  <c:v>45694</c:v>
                </c:pt>
                <c:pt idx="979">
                  <c:v>45695</c:v>
                </c:pt>
                <c:pt idx="980">
                  <c:v>45698</c:v>
                </c:pt>
                <c:pt idx="981">
                  <c:v>45699</c:v>
                </c:pt>
                <c:pt idx="982">
                  <c:v>45700</c:v>
                </c:pt>
                <c:pt idx="983">
                  <c:v>45701</c:v>
                </c:pt>
                <c:pt idx="984">
                  <c:v>45702</c:v>
                </c:pt>
                <c:pt idx="985">
                  <c:v>45705</c:v>
                </c:pt>
                <c:pt idx="986">
                  <c:v>45706</c:v>
                </c:pt>
                <c:pt idx="987">
                  <c:v>45707</c:v>
                </c:pt>
                <c:pt idx="988">
                  <c:v>45708</c:v>
                </c:pt>
                <c:pt idx="989">
                  <c:v>45709</c:v>
                </c:pt>
                <c:pt idx="990">
                  <c:v>45712</c:v>
                </c:pt>
                <c:pt idx="991">
                  <c:v>45713</c:v>
                </c:pt>
                <c:pt idx="992">
                  <c:v>45714</c:v>
                </c:pt>
                <c:pt idx="993">
                  <c:v>45715</c:v>
                </c:pt>
                <c:pt idx="994">
                  <c:v>45716</c:v>
                </c:pt>
                <c:pt idx="995">
                  <c:v>45719</c:v>
                </c:pt>
                <c:pt idx="996">
                  <c:v>45720</c:v>
                </c:pt>
                <c:pt idx="997">
                  <c:v>45721</c:v>
                </c:pt>
                <c:pt idx="998">
                  <c:v>45722</c:v>
                </c:pt>
                <c:pt idx="999">
                  <c:v>45723</c:v>
                </c:pt>
                <c:pt idx="1000">
                  <c:v>45726</c:v>
                </c:pt>
                <c:pt idx="1001">
                  <c:v>45727</c:v>
                </c:pt>
                <c:pt idx="1002">
                  <c:v>45728</c:v>
                </c:pt>
                <c:pt idx="1003">
                  <c:v>45729</c:v>
                </c:pt>
                <c:pt idx="1004">
                  <c:v>45730</c:v>
                </c:pt>
                <c:pt idx="1005">
                  <c:v>45733</c:v>
                </c:pt>
                <c:pt idx="1006">
                  <c:v>45734</c:v>
                </c:pt>
                <c:pt idx="1007">
                  <c:v>45735</c:v>
                </c:pt>
                <c:pt idx="1008">
                  <c:v>45736</c:v>
                </c:pt>
                <c:pt idx="1009">
                  <c:v>45737</c:v>
                </c:pt>
                <c:pt idx="1010">
                  <c:v>45740</c:v>
                </c:pt>
                <c:pt idx="1011">
                  <c:v>45741</c:v>
                </c:pt>
                <c:pt idx="1012">
                  <c:v>45742</c:v>
                </c:pt>
                <c:pt idx="1013">
                  <c:v>45743</c:v>
                </c:pt>
                <c:pt idx="1014">
                  <c:v>45744</c:v>
                </c:pt>
                <c:pt idx="1015">
                  <c:v>45747</c:v>
                </c:pt>
                <c:pt idx="1016">
                  <c:v>45748</c:v>
                </c:pt>
                <c:pt idx="1017">
                  <c:v>45749</c:v>
                </c:pt>
                <c:pt idx="1018">
                  <c:v>45750</c:v>
                </c:pt>
                <c:pt idx="1019">
                  <c:v>45751</c:v>
                </c:pt>
                <c:pt idx="1020">
                  <c:v>45755</c:v>
                </c:pt>
                <c:pt idx="1021">
                  <c:v>45756</c:v>
                </c:pt>
                <c:pt idx="1022">
                  <c:v>45757</c:v>
                </c:pt>
                <c:pt idx="1023">
                  <c:v>45758</c:v>
                </c:pt>
                <c:pt idx="1024">
                  <c:v>45761</c:v>
                </c:pt>
                <c:pt idx="1025">
                  <c:v>45762</c:v>
                </c:pt>
                <c:pt idx="1026">
                  <c:v>45763</c:v>
                </c:pt>
                <c:pt idx="1027">
                  <c:v>45764</c:v>
                </c:pt>
                <c:pt idx="1028">
                  <c:v>45765</c:v>
                </c:pt>
                <c:pt idx="1029">
                  <c:v>45768</c:v>
                </c:pt>
                <c:pt idx="1030">
                  <c:v>45769</c:v>
                </c:pt>
                <c:pt idx="1031">
                  <c:v>45770</c:v>
                </c:pt>
                <c:pt idx="1032">
                  <c:v>45771</c:v>
                </c:pt>
                <c:pt idx="1033">
                  <c:v>45772</c:v>
                </c:pt>
                <c:pt idx="1034">
                  <c:v>45775</c:v>
                </c:pt>
                <c:pt idx="1035">
                  <c:v>45776</c:v>
                </c:pt>
                <c:pt idx="1036">
                  <c:v>45782</c:v>
                </c:pt>
                <c:pt idx="1037">
                  <c:v>45783</c:v>
                </c:pt>
                <c:pt idx="1038">
                  <c:v>45784</c:v>
                </c:pt>
                <c:pt idx="1039">
                  <c:v>45785</c:v>
                </c:pt>
                <c:pt idx="1040">
                  <c:v>45786</c:v>
                </c:pt>
                <c:pt idx="1041">
                  <c:v>45789</c:v>
                </c:pt>
                <c:pt idx="1042">
                  <c:v>45790</c:v>
                </c:pt>
                <c:pt idx="1043">
                  <c:v>45791</c:v>
                </c:pt>
                <c:pt idx="1044">
                  <c:v>45792</c:v>
                </c:pt>
                <c:pt idx="1045">
                  <c:v>45793</c:v>
                </c:pt>
                <c:pt idx="1046">
                  <c:v>45796</c:v>
                </c:pt>
                <c:pt idx="1047">
                  <c:v>45797</c:v>
                </c:pt>
                <c:pt idx="1048">
                  <c:v>45798</c:v>
                </c:pt>
                <c:pt idx="1049">
                  <c:v>45799</c:v>
                </c:pt>
                <c:pt idx="1050">
                  <c:v>45800</c:v>
                </c:pt>
                <c:pt idx="1051">
                  <c:v>45803</c:v>
                </c:pt>
                <c:pt idx="1052">
                  <c:v>45804</c:v>
                </c:pt>
                <c:pt idx="1053">
                  <c:v>45805</c:v>
                </c:pt>
                <c:pt idx="1054">
                  <c:v>45806</c:v>
                </c:pt>
                <c:pt idx="1055">
                  <c:v>45807</c:v>
                </c:pt>
                <c:pt idx="1056">
                  <c:v>45810</c:v>
                </c:pt>
                <c:pt idx="1057">
                  <c:v>45811</c:v>
                </c:pt>
                <c:pt idx="1058">
                  <c:v>45812</c:v>
                </c:pt>
                <c:pt idx="1059">
                  <c:v>45813</c:v>
                </c:pt>
                <c:pt idx="1060">
                  <c:v>45814</c:v>
                </c:pt>
                <c:pt idx="1061">
                  <c:v>45817</c:v>
                </c:pt>
                <c:pt idx="1062">
                  <c:v>45818</c:v>
                </c:pt>
                <c:pt idx="1063">
                  <c:v>45819</c:v>
                </c:pt>
                <c:pt idx="1064">
                  <c:v>45820</c:v>
                </c:pt>
                <c:pt idx="1065">
                  <c:v>45821</c:v>
                </c:pt>
                <c:pt idx="1066">
                  <c:v>45824</c:v>
                </c:pt>
                <c:pt idx="1067">
                  <c:v>45825</c:v>
                </c:pt>
                <c:pt idx="1068">
                  <c:v>45826</c:v>
                </c:pt>
                <c:pt idx="1069">
                  <c:v>45827</c:v>
                </c:pt>
                <c:pt idx="1070">
                  <c:v>45828</c:v>
                </c:pt>
                <c:pt idx="1071">
                  <c:v>45831</c:v>
                </c:pt>
                <c:pt idx="1072">
                  <c:v>45832</c:v>
                </c:pt>
                <c:pt idx="1073">
                  <c:v>45833</c:v>
                </c:pt>
                <c:pt idx="1074">
                  <c:v>45834</c:v>
                </c:pt>
                <c:pt idx="1075">
                  <c:v>45835</c:v>
                </c:pt>
                <c:pt idx="1076">
                  <c:v>45838</c:v>
                </c:pt>
                <c:pt idx="1077">
                  <c:v>45839</c:v>
                </c:pt>
                <c:pt idx="1078">
                  <c:v>45840</c:v>
                </c:pt>
                <c:pt idx="1079">
                  <c:v>45841</c:v>
                </c:pt>
                <c:pt idx="1080">
                  <c:v>45842</c:v>
                </c:pt>
                <c:pt idx="1081">
                  <c:v>45845</c:v>
                </c:pt>
                <c:pt idx="1082">
                  <c:v>45846</c:v>
                </c:pt>
                <c:pt idx="1083">
                  <c:v>45847</c:v>
                </c:pt>
                <c:pt idx="1084">
                  <c:v>45848</c:v>
                </c:pt>
                <c:pt idx="1085">
                  <c:v>45849</c:v>
                </c:pt>
                <c:pt idx="1086">
                  <c:v>45852</c:v>
                </c:pt>
                <c:pt idx="1087">
                  <c:v>45853</c:v>
                </c:pt>
                <c:pt idx="1088">
                  <c:v>45854</c:v>
                </c:pt>
                <c:pt idx="1089">
                  <c:v>45855</c:v>
                </c:pt>
                <c:pt idx="1090">
                  <c:v>45856</c:v>
                </c:pt>
                <c:pt idx="1091">
                  <c:v>45859</c:v>
                </c:pt>
                <c:pt idx="1092">
                  <c:v>45860</c:v>
                </c:pt>
                <c:pt idx="1093">
                  <c:v>45861</c:v>
                </c:pt>
                <c:pt idx="1094">
                  <c:v>45862</c:v>
                </c:pt>
                <c:pt idx="1095">
                  <c:v>45863</c:v>
                </c:pt>
                <c:pt idx="1096">
                  <c:v>45866</c:v>
                </c:pt>
                <c:pt idx="1097">
                  <c:v>45867</c:v>
                </c:pt>
                <c:pt idx="1098">
                  <c:v>45868</c:v>
                </c:pt>
                <c:pt idx="1099">
                  <c:v>45869</c:v>
                </c:pt>
                <c:pt idx="1100">
                  <c:v>45870</c:v>
                </c:pt>
                <c:pt idx="1101">
                  <c:v>45873</c:v>
                </c:pt>
                <c:pt idx="1102">
                  <c:v>45874</c:v>
                </c:pt>
                <c:pt idx="1103">
                  <c:v>45875</c:v>
                </c:pt>
                <c:pt idx="1104">
                  <c:v>45876</c:v>
                </c:pt>
                <c:pt idx="1105">
                  <c:v>45877</c:v>
                </c:pt>
                <c:pt idx="1106">
                  <c:v>45880</c:v>
                </c:pt>
                <c:pt idx="1107">
                  <c:v>45881</c:v>
                </c:pt>
                <c:pt idx="1108">
                  <c:v>45882</c:v>
                </c:pt>
                <c:pt idx="1109">
                  <c:v>45883</c:v>
                </c:pt>
                <c:pt idx="1110">
                  <c:v>45884</c:v>
                </c:pt>
                <c:pt idx="1111">
                  <c:v>45887</c:v>
                </c:pt>
                <c:pt idx="1112">
                  <c:v>45888</c:v>
                </c:pt>
                <c:pt idx="1113">
                  <c:v>45889</c:v>
                </c:pt>
                <c:pt idx="1114">
                  <c:v>45890</c:v>
                </c:pt>
                <c:pt idx="1115">
                  <c:v>45891</c:v>
                </c:pt>
                <c:pt idx="1116">
                  <c:v>45894</c:v>
                </c:pt>
                <c:pt idx="1117">
                  <c:v>45895</c:v>
                </c:pt>
                <c:pt idx="1118">
                  <c:v>45896</c:v>
                </c:pt>
                <c:pt idx="1119">
                  <c:v>45897</c:v>
                </c:pt>
                <c:pt idx="1120">
                  <c:v>45898</c:v>
                </c:pt>
                <c:pt idx="1121">
                  <c:v>45903</c:v>
                </c:pt>
                <c:pt idx="1122">
                  <c:v>45904</c:v>
                </c:pt>
                <c:pt idx="1123">
                  <c:v>45905</c:v>
                </c:pt>
                <c:pt idx="1124">
                  <c:v>45908</c:v>
                </c:pt>
                <c:pt idx="1125">
                  <c:v>45909</c:v>
                </c:pt>
                <c:pt idx="1126">
                  <c:v>45910</c:v>
                </c:pt>
                <c:pt idx="1127">
                  <c:v>45911</c:v>
                </c:pt>
                <c:pt idx="1128">
                  <c:v>45912</c:v>
                </c:pt>
                <c:pt idx="1129">
                  <c:v>45915</c:v>
                </c:pt>
                <c:pt idx="1130">
                  <c:v>45916</c:v>
                </c:pt>
                <c:pt idx="1131">
                  <c:v>45917</c:v>
                </c:pt>
                <c:pt idx="1132">
                  <c:v>45918</c:v>
                </c:pt>
                <c:pt idx="1133">
                  <c:v>45919</c:v>
                </c:pt>
                <c:pt idx="1134">
                  <c:v>45922</c:v>
                </c:pt>
                <c:pt idx="1135">
                  <c:v>45923</c:v>
                </c:pt>
                <c:pt idx="1136">
                  <c:v>45924</c:v>
                </c:pt>
                <c:pt idx="1137">
                  <c:v>45925</c:v>
                </c:pt>
                <c:pt idx="1138">
                  <c:v>45926</c:v>
                </c:pt>
                <c:pt idx="1139">
                  <c:v>45929</c:v>
                </c:pt>
                <c:pt idx="1140">
                  <c:v>45930</c:v>
                </c:pt>
                <c:pt idx="1141">
                  <c:v>45931</c:v>
                </c:pt>
                <c:pt idx="1142">
                  <c:v>45932</c:v>
                </c:pt>
                <c:pt idx="1143">
                  <c:v>45933</c:v>
                </c:pt>
                <c:pt idx="1144">
                  <c:v>45936</c:v>
                </c:pt>
                <c:pt idx="1145">
                  <c:v>45937</c:v>
                </c:pt>
                <c:pt idx="1146">
                  <c:v>45938</c:v>
                </c:pt>
                <c:pt idx="1147">
                  <c:v>45939</c:v>
                </c:pt>
                <c:pt idx="1148">
                  <c:v>45940</c:v>
                </c:pt>
                <c:pt idx="1149">
                  <c:v>45943</c:v>
                </c:pt>
                <c:pt idx="1150">
                  <c:v>45944</c:v>
                </c:pt>
                <c:pt idx="1151">
                  <c:v>45945</c:v>
                </c:pt>
                <c:pt idx="1152">
                  <c:v>45946</c:v>
                </c:pt>
                <c:pt idx="1153">
                  <c:v>45947</c:v>
                </c:pt>
                <c:pt idx="1154">
                  <c:v>45950</c:v>
                </c:pt>
                <c:pt idx="1155">
                  <c:v>45951</c:v>
                </c:pt>
                <c:pt idx="1156">
                  <c:v>45952</c:v>
                </c:pt>
                <c:pt idx="1157">
                  <c:v>45953</c:v>
                </c:pt>
                <c:pt idx="1158">
                  <c:v>45954</c:v>
                </c:pt>
                <c:pt idx="1159">
                  <c:v>45957</c:v>
                </c:pt>
                <c:pt idx="1160">
                  <c:v>45958</c:v>
                </c:pt>
                <c:pt idx="1161">
                  <c:v>45959</c:v>
                </c:pt>
                <c:pt idx="1162">
                  <c:v>45960</c:v>
                </c:pt>
                <c:pt idx="1163">
                  <c:v>45961</c:v>
                </c:pt>
                <c:pt idx="1164">
                  <c:v>45964</c:v>
                </c:pt>
                <c:pt idx="1165">
                  <c:v>45965</c:v>
                </c:pt>
                <c:pt idx="1166">
                  <c:v>45966</c:v>
                </c:pt>
                <c:pt idx="1167">
                  <c:v>45967</c:v>
                </c:pt>
                <c:pt idx="1168">
                  <c:v>45968</c:v>
                </c:pt>
                <c:pt idx="1169">
                  <c:v>45971</c:v>
                </c:pt>
                <c:pt idx="1170">
                  <c:v>45972</c:v>
                </c:pt>
                <c:pt idx="1171">
                  <c:v>45973</c:v>
                </c:pt>
                <c:pt idx="1172">
                  <c:v>45974</c:v>
                </c:pt>
                <c:pt idx="1173">
                  <c:v>45975</c:v>
                </c:pt>
                <c:pt idx="1174">
                  <c:v>45978</c:v>
                </c:pt>
                <c:pt idx="1175">
                  <c:v>45979</c:v>
                </c:pt>
                <c:pt idx="1176">
                  <c:v>45980</c:v>
                </c:pt>
                <c:pt idx="1177">
                  <c:v>45981</c:v>
                </c:pt>
                <c:pt idx="1178">
                  <c:v>45982</c:v>
                </c:pt>
                <c:pt idx="1179">
                  <c:v>45985</c:v>
                </c:pt>
                <c:pt idx="1180">
                  <c:v>45986</c:v>
                </c:pt>
                <c:pt idx="1181">
                  <c:v>45987</c:v>
                </c:pt>
                <c:pt idx="1182">
                  <c:v>45988</c:v>
                </c:pt>
                <c:pt idx="1183">
                  <c:v>45989</c:v>
                </c:pt>
                <c:pt idx="1184">
                  <c:v>45992</c:v>
                </c:pt>
                <c:pt idx="1185">
                  <c:v>45993</c:v>
                </c:pt>
                <c:pt idx="1186">
                  <c:v>45994</c:v>
                </c:pt>
                <c:pt idx="1187">
                  <c:v>45995</c:v>
                </c:pt>
                <c:pt idx="1188">
                  <c:v>45996</c:v>
                </c:pt>
                <c:pt idx="1189">
                  <c:v>45999</c:v>
                </c:pt>
                <c:pt idx="1190">
                  <c:v>46000</c:v>
                </c:pt>
                <c:pt idx="1191">
                  <c:v>46001</c:v>
                </c:pt>
                <c:pt idx="1192">
                  <c:v>46002</c:v>
                </c:pt>
                <c:pt idx="1193">
                  <c:v>46003</c:v>
                </c:pt>
                <c:pt idx="1194">
                  <c:v>46006</c:v>
                </c:pt>
                <c:pt idx="1195">
                  <c:v>46007</c:v>
                </c:pt>
                <c:pt idx="1196">
                  <c:v>46008</c:v>
                </c:pt>
                <c:pt idx="1197">
                  <c:v>46009</c:v>
                </c:pt>
                <c:pt idx="1198">
                  <c:v>46010</c:v>
                </c:pt>
                <c:pt idx="1199">
                  <c:v>46013</c:v>
                </c:pt>
                <c:pt idx="1200">
                  <c:v>46014</c:v>
                </c:pt>
                <c:pt idx="1201">
                  <c:v>46015</c:v>
                </c:pt>
                <c:pt idx="1202">
                  <c:v>46016</c:v>
                </c:pt>
                <c:pt idx="1203">
                  <c:v>46017</c:v>
                </c:pt>
                <c:pt idx="1204">
                  <c:v>46020</c:v>
                </c:pt>
                <c:pt idx="1205">
                  <c:v>46021</c:v>
                </c:pt>
                <c:pt idx="1206">
                  <c:v>46022</c:v>
                </c:pt>
                <c:pt idx="1207">
                  <c:v>46027</c:v>
                </c:pt>
                <c:pt idx="1208">
                  <c:v>46028</c:v>
                </c:pt>
                <c:pt idx="1209">
                  <c:v>46029</c:v>
                </c:pt>
                <c:pt idx="1210">
                  <c:v>46030</c:v>
                </c:pt>
                <c:pt idx="1211">
                  <c:v>46031</c:v>
                </c:pt>
                <c:pt idx="1212">
                  <c:v>46034</c:v>
                </c:pt>
                <c:pt idx="1213">
                  <c:v>46035</c:v>
                </c:pt>
                <c:pt idx="1214">
                  <c:v>46036</c:v>
                </c:pt>
                <c:pt idx="1215">
                  <c:v>46037</c:v>
                </c:pt>
                <c:pt idx="1216">
                  <c:v>46038</c:v>
                </c:pt>
                <c:pt idx="1217">
                  <c:v>46041</c:v>
                </c:pt>
                <c:pt idx="1218">
                  <c:v>46042</c:v>
                </c:pt>
                <c:pt idx="1219">
                  <c:v>46043</c:v>
                </c:pt>
                <c:pt idx="1220">
                  <c:v>46044</c:v>
                </c:pt>
                <c:pt idx="1221">
                  <c:v>46045</c:v>
                </c:pt>
                <c:pt idx="1222">
                  <c:v>46048</c:v>
                </c:pt>
                <c:pt idx="1223">
                  <c:v>46049</c:v>
                </c:pt>
                <c:pt idx="1224">
                  <c:v>46050</c:v>
                </c:pt>
                <c:pt idx="1225">
                  <c:v>46051</c:v>
                </c:pt>
                <c:pt idx="1226">
                  <c:v>46052</c:v>
                </c:pt>
                <c:pt idx="1227">
                  <c:v>46055</c:v>
                </c:pt>
                <c:pt idx="1228">
                  <c:v>46056</c:v>
                </c:pt>
                <c:pt idx="1229">
                  <c:v>46057</c:v>
                </c:pt>
                <c:pt idx="1230">
                  <c:v>46058</c:v>
                </c:pt>
                <c:pt idx="1231">
                  <c:v>46059</c:v>
                </c:pt>
                <c:pt idx="1232">
                  <c:v>46062</c:v>
                </c:pt>
                <c:pt idx="1233">
                  <c:v>46063</c:v>
                </c:pt>
                <c:pt idx="1234">
                  <c:v>46064</c:v>
                </c:pt>
                <c:pt idx="1235">
                  <c:v>46065</c:v>
                </c:pt>
                <c:pt idx="1236">
                  <c:v>46066</c:v>
                </c:pt>
                <c:pt idx="1237">
                  <c:v>46076</c:v>
                </c:pt>
                <c:pt idx="1238">
                  <c:v>46077</c:v>
                </c:pt>
                <c:pt idx="1239">
                  <c:v>46078</c:v>
                </c:pt>
                <c:pt idx="1240">
                  <c:v>46079</c:v>
                </c:pt>
                <c:pt idx="1241">
                  <c:v>46080</c:v>
                </c:pt>
                <c:pt idx="1242">
                  <c:v>46083</c:v>
                </c:pt>
                <c:pt idx="1243">
                  <c:v>46084</c:v>
                </c:pt>
                <c:pt idx="1244">
                  <c:v>46085</c:v>
                </c:pt>
                <c:pt idx="1245">
                  <c:v>46086</c:v>
                </c:pt>
                <c:pt idx="1246">
                  <c:v>46087</c:v>
                </c:pt>
              </c:numCache>
            </c:numRef>
          </c:cat>
          <c:val>
            <c:numRef>
              <c:f>'FX Data'!$I$957:$I$2203</c:f>
              <c:numCache>
                <c:formatCode>0.0</c:formatCode>
                <c:ptCount val="1247"/>
                <c:pt idx="0">
                  <c:v>13.423522048155872</c:v>
                </c:pt>
                <c:pt idx="1">
                  <c:v>13.423522048155872</c:v>
                </c:pt>
                <c:pt idx="2">
                  <c:v>13.423522048155872</c:v>
                </c:pt>
                <c:pt idx="3">
                  <c:v>13.423522048155872</c:v>
                </c:pt>
                <c:pt idx="4">
                  <c:v>13.423522048155872</c:v>
                </c:pt>
                <c:pt idx="5">
                  <c:v>13.423522048155872</c:v>
                </c:pt>
                <c:pt idx="6">
                  <c:v>13.423522048155872</c:v>
                </c:pt>
                <c:pt idx="7">
                  <c:v>13.423522048155872</c:v>
                </c:pt>
                <c:pt idx="8">
                  <c:v>13.423522048155872</c:v>
                </c:pt>
                <c:pt idx="9">
                  <c:v>13.423522048155872</c:v>
                </c:pt>
                <c:pt idx="10">
                  <c:v>13.423522048155872</c:v>
                </c:pt>
                <c:pt idx="11">
                  <c:v>13.423522048155872</c:v>
                </c:pt>
                <c:pt idx="12">
                  <c:v>13.423522048155872</c:v>
                </c:pt>
                <c:pt idx="13">
                  <c:v>13.423522048155872</c:v>
                </c:pt>
                <c:pt idx="14">
                  <c:v>13.423522048155872</c:v>
                </c:pt>
                <c:pt idx="15">
                  <c:v>13.423522048155872</c:v>
                </c:pt>
                <c:pt idx="16">
                  <c:v>13.423522048155872</c:v>
                </c:pt>
                <c:pt idx="17">
                  <c:v>13.423522048155872</c:v>
                </c:pt>
                <c:pt idx="18">
                  <c:v>13.423522048155872</c:v>
                </c:pt>
                <c:pt idx="19">
                  <c:v>13.423522048155872</c:v>
                </c:pt>
                <c:pt idx="20">
                  <c:v>13.423522048155872</c:v>
                </c:pt>
                <c:pt idx="21">
                  <c:v>13.423522048155872</c:v>
                </c:pt>
                <c:pt idx="22">
                  <c:v>13.423522048155872</c:v>
                </c:pt>
                <c:pt idx="23">
                  <c:v>13.423522048155872</c:v>
                </c:pt>
                <c:pt idx="24">
                  <c:v>13.423522048155872</c:v>
                </c:pt>
                <c:pt idx="25">
                  <c:v>13.423522048155872</c:v>
                </c:pt>
                <c:pt idx="26">
                  <c:v>13.423522048155872</c:v>
                </c:pt>
                <c:pt idx="27">
                  <c:v>13.423522048155872</c:v>
                </c:pt>
                <c:pt idx="28">
                  <c:v>13.423522048155872</c:v>
                </c:pt>
                <c:pt idx="29">
                  <c:v>13.423522048155872</c:v>
                </c:pt>
                <c:pt idx="30">
                  <c:v>13.423522048155872</c:v>
                </c:pt>
                <c:pt idx="31">
                  <c:v>13.423522048155872</c:v>
                </c:pt>
                <c:pt idx="32">
                  <c:v>13.423522048155872</c:v>
                </c:pt>
                <c:pt idx="33">
                  <c:v>13.423522048155872</c:v>
                </c:pt>
                <c:pt idx="34">
                  <c:v>13.423522048155872</c:v>
                </c:pt>
                <c:pt idx="35">
                  <c:v>13.423522048155872</c:v>
                </c:pt>
                <c:pt idx="36">
                  <c:v>13.423522048155872</c:v>
                </c:pt>
                <c:pt idx="37">
                  <c:v>13.423522048155872</c:v>
                </c:pt>
                <c:pt idx="38">
                  <c:v>13.423522048155872</c:v>
                </c:pt>
                <c:pt idx="39">
                  <c:v>13.423522048155872</c:v>
                </c:pt>
                <c:pt idx="40">
                  <c:v>13.423522048155872</c:v>
                </c:pt>
                <c:pt idx="41">
                  <c:v>13.423522048155872</c:v>
                </c:pt>
                <c:pt idx="42">
                  <c:v>13.423522048155872</c:v>
                </c:pt>
                <c:pt idx="43">
                  <c:v>13.423522048155872</c:v>
                </c:pt>
                <c:pt idx="44">
                  <c:v>13.423522048155872</c:v>
                </c:pt>
                <c:pt idx="45">
                  <c:v>13.423522048155872</c:v>
                </c:pt>
                <c:pt idx="46">
                  <c:v>13.423522048155872</c:v>
                </c:pt>
                <c:pt idx="47">
                  <c:v>13.423522048155872</c:v>
                </c:pt>
                <c:pt idx="48">
                  <c:v>13.423522048155872</c:v>
                </c:pt>
                <c:pt idx="49">
                  <c:v>13.423522048155872</c:v>
                </c:pt>
                <c:pt idx="50">
                  <c:v>13.423522048155872</c:v>
                </c:pt>
                <c:pt idx="51">
                  <c:v>13.423522048155872</c:v>
                </c:pt>
                <c:pt idx="52">
                  <c:v>13.423522048155872</c:v>
                </c:pt>
                <c:pt idx="53">
                  <c:v>13.423522048155872</c:v>
                </c:pt>
                <c:pt idx="54">
                  <c:v>13.423522048155872</c:v>
                </c:pt>
                <c:pt idx="55">
                  <c:v>13.423522048155872</c:v>
                </c:pt>
                <c:pt idx="56">
                  <c:v>13.423522048155872</c:v>
                </c:pt>
                <c:pt idx="57">
                  <c:v>13.423522048155872</c:v>
                </c:pt>
                <c:pt idx="58">
                  <c:v>13.423522048155872</c:v>
                </c:pt>
                <c:pt idx="59">
                  <c:v>13.423522048155872</c:v>
                </c:pt>
                <c:pt idx="60">
                  <c:v>13.423522048155872</c:v>
                </c:pt>
                <c:pt idx="61">
                  <c:v>13.423522048155872</c:v>
                </c:pt>
                <c:pt idx="62">
                  <c:v>13.423522048155872</c:v>
                </c:pt>
                <c:pt idx="63">
                  <c:v>13.423522048155872</c:v>
                </c:pt>
                <c:pt idx="64">
                  <c:v>13.423522048155872</c:v>
                </c:pt>
                <c:pt idx="65">
                  <c:v>13.423522048155872</c:v>
                </c:pt>
                <c:pt idx="66">
                  <c:v>13.423522048155872</c:v>
                </c:pt>
                <c:pt idx="67">
                  <c:v>13.423522048155872</c:v>
                </c:pt>
                <c:pt idx="68">
                  <c:v>13.423522048155872</c:v>
                </c:pt>
                <c:pt idx="69">
                  <c:v>13.423522048155872</c:v>
                </c:pt>
                <c:pt idx="70">
                  <c:v>13.423522048155872</c:v>
                </c:pt>
                <c:pt idx="71">
                  <c:v>13.423522048155872</c:v>
                </c:pt>
                <c:pt idx="72">
                  <c:v>13.423522048155872</c:v>
                </c:pt>
                <c:pt idx="73">
                  <c:v>13.423522048155872</c:v>
                </c:pt>
                <c:pt idx="74">
                  <c:v>13.423522048155872</c:v>
                </c:pt>
                <c:pt idx="75">
                  <c:v>13.423522048155872</c:v>
                </c:pt>
                <c:pt idx="76">
                  <c:v>13.423522048155872</c:v>
                </c:pt>
                <c:pt idx="77">
                  <c:v>13.423522048155872</c:v>
                </c:pt>
                <c:pt idx="78">
                  <c:v>13.423522048155872</c:v>
                </c:pt>
                <c:pt idx="79">
                  <c:v>13.423522048155872</c:v>
                </c:pt>
                <c:pt idx="80">
                  <c:v>13.423522048155872</c:v>
                </c:pt>
                <c:pt idx="81">
                  <c:v>13.423522048155872</c:v>
                </c:pt>
                <c:pt idx="82">
                  <c:v>13.423522048155872</c:v>
                </c:pt>
                <c:pt idx="83">
                  <c:v>13.423522048155872</c:v>
                </c:pt>
                <c:pt idx="84">
                  <c:v>13.423522048155872</c:v>
                </c:pt>
                <c:pt idx="85">
                  <c:v>13.423522048155872</c:v>
                </c:pt>
                <c:pt idx="86">
                  <c:v>13.423522048155872</c:v>
                </c:pt>
                <c:pt idx="87">
                  <c:v>13.423522048155872</c:v>
                </c:pt>
                <c:pt idx="88">
                  <c:v>13.423522048155872</c:v>
                </c:pt>
                <c:pt idx="89">
                  <c:v>13.423522048155872</c:v>
                </c:pt>
                <c:pt idx="90">
                  <c:v>13.423522048155872</c:v>
                </c:pt>
                <c:pt idx="91">
                  <c:v>13.423522048155872</c:v>
                </c:pt>
                <c:pt idx="92">
                  <c:v>13.423522048155872</c:v>
                </c:pt>
                <c:pt idx="93">
                  <c:v>13.423522048155872</c:v>
                </c:pt>
                <c:pt idx="94">
                  <c:v>13.423522048155872</c:v>
                </c:pt>
                <c:pt idx="95">
                  <c:v>13.423522048155872</c:v>
                </c:pt>
                <c:pt idx="96">
                  <c:v>13.423522048155872</c:v>
                </c:pt>
                <c:pt idx="97">
                  <c:v>13.423522048155872</c:v>
                </c:pt>
                <c:pt idx="98">
                  <c:v>13.423522048155872</c:v>
                </c:pt>
                <c:pt idx="99">
                  <c:v>13.423522048155872</c:v>
                </c:pt>
                <c:pt idx="100">
                  <c:v>13.423522048155872</c:v>
                </c:pt>
                <c:pt idx="101">
                  <c:v>13.423522048155872</c:v>
                </c:pt>
                <c:pt idx="102">
                  <c:v>13.423522048155872</c:v>
                </c:pt>
                <c:pt idx="103">
                  <c:v>13.423522048155872</c:v>
                </c:pt>
                <c:pt idx="104">
                  <c:v>13.423522048155872</c:v>
                </c:pt>
                <c:pt idx="105">
                  <c:v>13.423522048155872</c:v>
                </c:pt>
                <c:pt idx="106">
                  <c:v>13.423522048155872</c:v>
                </c:pt>
                <c:pt idx="107">
                  <c:v>13.423522048155872</c:v>
                </c:pt>
                <c:pt idx="108">
                  <c:v>13.423522048155872</c:v>
                </c:pt>
                <c:pt idx="109">
                  <c:v>13.423522048155872</c:v>
                </c:pt>
                <c:pt idx="110">
                  <c:v>13.423522048155872</c:v>
                </c:pt>
                <c:pt idx="111">
                  <c:v>13.423522048155872</c:v>
                </c:pt>
                <c:pt idx="112">
                  <c:v>13.423522048155872</c:v>
                </c:pt>
                <c:pt idx="113">
                  <c:v>13.423522048155872</c:v>
                </c:pt>
                <c:pt idx="114">
                  <c:v>13.423522048155872</c:v>
                </c:pt>
                <c:pt idx="115">
                  <c:v>13.423522048155872</c:v>
                </c:pt>
                <c:pt idx="116">
                  <c:v>13.423522048155872</c:v>
                </c:pt>
                <c:pt idx="117">
                  <c:v>13.423522048155872</c:v>
                </c:pt>
                <c:pt idx="118">
                  <c:v>13.423522048155872</c:v>
                </c:pt>
                <c:pt idx="119">
                  <c:v>13.423522048155872</c:v>
                </c:pt>
                <c:pt idx="120">
                  <c:v>13.423522048155872</c:v>
                </c:pt>
                <c:pt idx="121">
                  <c:v>13.423522048155872</c:v>
                </c:pt>
                <c:pt idx="122">
                  <c:v>13.423522048155872</c:v>
                </c:pt>
                <c:pt idx="123">
                  <c:v>13.423522048155872</c:v>
                </c:pt>
                <c:pt idx="124">
                  <c:v>13.423522048155872</c:v>
                </c:pt>
                <c:pt idx="125">
                  <c:v>13.423522048155872</c:v>
                </c:pt>
                <c:pt idx="126">
                  <c:v>13.423522048155872</c:v>
                </c:pt>
                <c:pt idx="127">
                  <c:v>13.423522048155872</c:v>
                </c:pt>
                <c:pt idx="128">
                  <c:v>13.423522048155872</c:v>
                </c:pt>
                <c:pt idx="129">
                  <c:v>13.423522048155872</c:v>
                </c:pt>
                <c:pt idx="130">
                  <c:v>13.423522048155872</c:v>
                </c:pt>
                <c:pt idx="131">
                  <c:v>13.423522048155872</c:v>
                </c:pt>
                <c:pt idx="132">
                  <c:v>13.423522048155872</c:v>
                </c:pt>
                <c:pt idx="133">
                  <c:v>13.423522048155872</c:v>
                </c:pt>
                <c:pt idx="134">
                  <c:v>13.423522048155872</c:v>
                </c:pt>
                <c:pt idx="135">
                  <c:v>13.423522048155872</c:v>
                </c:pt>
                <c:pt idx="136">
                  <c:v>13.423522048155872</c:v>
                </c:pt>
                <c:pt idx="137">
                  <c:v>13.423522048155872</c:v>
                </c:pt>
                <c:pt idx="138">
                  <c:v>13.423522048155872</c:v>
                </c:pt>
                <c:pt idx="139">
                  <c:v>13.423522048155872</c:v>
                </c:pt>
                <c:pt idx="140">
                  <c:v>13.423522048155872</c:v>
                </c:pt>
                <c:pt idx="141">
                  <c:v>13.423522048155872</c:v>
                </c:pt>
                <c:pt idx="142">
                  <c:v>13.423522048155872</c:v>
                </c:pt>
                <c:pt idx="143">
                  <c:v>13.423522048155872</c:v>
                </c:pt>
                <c:pt idx="144">
                  <c:v>13.423522048155872</c:v>
                </c:pt>
                <c:pt idx="145">
                  <c:v>13.423522048155872</c:v>
                </c:pt>
                <c:pt idx="146">
                  <c:v>13.423522048155872</c:v>
                </c:pt>
                <c:pt idx="147">
                  <c:v>13.423522048155872</c:v>
                </c:pt>
                <c:pt idx="148">
                  <c:v>13.423522048155872</c:v>
                </c:pt>
                <c:pt idx="149">
                  <c:v>13.423522048155872</c:v>
                </c:pt>
                <c:pt idx="150">
                  <c:v>13.423522048155872</c:v>
                </c:pt>
                <c:pt idx="151">
                  <c:v>13.423522048155872</c:v>
                </c:pt>
                <c:pt idx="152">
                  <c:v>13.423522048155872</c:v>
                </c:pt>
                <c:pt idx="153">
                  <c:v>13.423522048155872</c:v>
                </c:pt>
                <c:pt idx="154">
                  <c:v>13.423522048155872</c:v>
                </c:pt>
                <c:pt idx="155">
                  <c:v>13.423522048155872</c:v>
                </c:pt>
                <c:pt idx="156">
                  <c:v>13.423522048155872</c:v>
                </c:pt>
                <c:pt idx="157">
                  <c:v>13.423522048155872</c:v>
                </c:pt>
                <c:pt idx="158">
                  <c:v>13.423522048155872</c:v>
                </c:pt>
                <c:pt idx="159">
                  <c:v>13.423522048155872</c:v>
                </c:pt>
                <c:pt idx="160">
                  <c:v>13.423522048155872</c:v>
                </c:pt>
                <c:pt idx="161">
                  <c:v>13.423522048155872</c:v>
                </c:pt>
                <c:pt idx="162">
                  <c:v>13.423522048155872</c:v>
                </c:pt>
                <c:pt idx="163">
                  <c:v>13.423522048155872</c:v>
                </c:pt>
                <c:pt idx="164">
                  <c:v>13.423522048155872</c:v>
                </c:pt>
                <c:pt idx="165">
                  <c:v>13.423522048155872</c:v>
                </c:pt>
                <c:pt idx="166">
                  <c:v>13.423522048155872</c:v>
                </c:pt>
                <c:pt idx="167">
                  <c:v>13.423522048155872</c:v>
                </c:pt>
                <c:pt idx="168">
                  <c:v>13.423522048155872</c:v>
                </c:pt>
                <c:pt idx="169">
                  <c:v>13.423522048155872</c:v>
                </c:pt>
                <c:pt idx="170">
                  <c:v>13.423522048155872</c:v>
                </c:pt>
                <c:pt idx="171">
                  <c:v>13.423522048155872</c:v>
                </c:pt>
                <c:pt idx="172">
                  <c:v>13.423522048155872</c:v>
                </c:pt>
                <c:pt idx="173">
                  <c:v>13.423522048155872</c:v>
                </c:pt>
                <c:pt idx="174">
                  <c:v>13.423522048155872</c:v>
                </c:pt>
                <c:pt idx="175">
                  <c:v>13.423522048155872</c:v>
                </c:pt>
                <c:pt idx="176">
                  <c:v>13.423522048155872</c:v>
                </c:pt>
                <c:pt idx="177">
                  <c:v>13.423522048155872</c:v>
                </c:pt>
                <c:pt idx="178">
                  <c:v>13.423522048155872</c:v>
                </c:pt>
                <c:pt idx="179">
                  <c:v>13.423522048155872</c:v>
                </c:pt>
                <c:pt idx="180">
                  <c:v>13.423522048155872</c:v>
                </c:pt>
                <c:pt idx="181">
                  <c:v>13.423522048155872</c:v>
                </c:pt>
                <c:pt idx="182">
                  <c:v>13.423522048155872</c:v>
                </c:pt>
                <c:pt idx="183">
                  <c:v>13.423522048155872</c:v>
                </c:pt>
                <c:pt idx="184">
                  <c:v>13.423522048155872</c:v>
                </c:pt>
                <c:pt idx="185">
                  <c:v>13.423522048155872</c:v>
                </c:pt>
                <c:pt idx="186">
                  <c:v>13.423522048155872</c:v>
                </c:pt>
                <c:pt idx="187">
                  <c:v>13.423522048155872</c:v>
                </c:pt>
                <c:pt idx="188">
                  <c:v>13.423522048155872</c:v>
                </c:pt>
                <c:pt idx="189">
                  <c:v>13.423522048155872</c:v>
                </c:pt>
                <c:pt idx="190">
                  <c:v>13.423522048155872</c:v>
                </c:pt>
                <c:pt idx="191">
                  <c:v>13.423522048155872</c:v>
                </c:pt>
                <c:pt idx="192">
                  <c:v>13.423522048155872</c:v>
                </c:pt>
                <c:pt idx="193">
                  <c:v>13.423522048155872</c:v>
                </c:pt>
                <c:pt idx="194">
                  <c:v>13.423522048155872</c:v>
                </c:pt>
                <c:pt idx="195">
                  <c:v>13.423522048155872</c:v>
                </c:pt>
                <c:pt idx="196">
                  <c:v>13.423522048155872</c:v>
                </c:pt>
                <c:pt idx="197">
                  <c:v>13.423522048155872</c:v>
                </c:pt>
                <c:pt idx="198">
                  <c:v>13.423522048155872</c:v>
                </c:pt>
                <c:pt idx="199">
                  <c:v>13.423522048155872</c:v>
                </c:pt>
                <c:pt idx="200">
                  <c:v>13.423522048155872</c:v>
                </c:pt>
                <c:pt idx="201">
                  <c:v>13.423522048155872</c:v>
                </c:pt>
                <c:pt idx="202">
                  <c:v>13.423522048155872</c:v>
                </c:pt>
                <c:pt idx="203">
                  <c:v>13.423522048155872</c:v>
                </c:pt>
                <c:pt idx="204">
                  <c:v>13.423522048155872</c:v>
                </c:pt>
                <c:pt idx="205">
                  <c:v>13.423522048155872</c:v>
                </c:pt>
                <c:pt idx="206">
                  <c:v>13.423522048155872</c:v>
                </c:pt>
                <c:pt idx="207">
                  <c:v>13.423522048155872</c:v>
                </c:pt>
                <c:pt idx="208">
                  <c:v>13.423522048155872</c:v>
                </c:pt>
                <c:pt idx="209">
                  <c:v>13.423522048155872</c:v>
                </c:pt>
                <c:pt idx="210">
                  <c:v>13.423522048155872</c:v>
                </c:pt>
                <c:pt idx="211">
                  <c:v>13.423522048155872</c:v>
                </c:pt>
                <c:pt idx="212">
                  <c:v>13.423522048155872</c:v>
                </c:pt>
                <c:pt idx="213">
                  <c:v>13.423522048155872</c:v>
                </c:pt>
                <c:pt idx="214">
                  <c:v>13.423522048155872</c:v>
                </c:pt>
                <c:pt idx="215">
                  <c:v>13.423522048155872</c:v>
                </c:pt>
                <c:pt idx="216">
                  <c:v>13.423522048155872</c:v>
                </c:pt>
                <c:pt idx="217">
                  <c:v>13.423522048155872</c:v>
                </c:pt>
                <c:pt idx="218">
                  <c:v>13.423522048155872</c:v>
                </c:pt>
                <c:pt idx="219">
                  <c:v>13.423522048155872</c:v>
                </c:pt>
                <c:pt idx="220">
                  <c:v>13.423522048155872</c:v>
                </c:pt>
                <c:pt idx="221">
                  <c:v>13.423522048155872</c:v>
                </c:pt>
                <c:pt idx="222">
                  <c:v>13.423522048155872</c:v>
                </c:pt>
                <c:pt idx="223">
                  <c:v>13.423522048155872</c:v>
                </c:pt>
                <c:pt idx="224">
                  <c:v>13.423522048155872</c:v>
                </c:pt>
                <c:pt idx="225">
                  <c:v>13.423522048155872</c:v>
                </c:pt>
                <c:pt idx="226">
                  <c:v>13.423522048155872</c:v>
                </c:pt>
                <c:pt idx="227">
                  <c:v>13.423522048155872</c:v>
                </c:pt>
                <c:pt idx="228">
                  <c:v>13.423522048155872</c:v>
                </c:pt>
                <c:pt idx="229">
                  <c:v>13.423522048155872</c:v>
                </c:pt>
                <c:pt idx="230">
                  <c:v>13.423522048155872</c:v>
                </c:pt>
                <c:pt idx="231">
                  <c:v>13.423522048155872</c:v>
                </c:pt>
                <c:pt idx="232">
                  <c:v>13.423522048155872</c:v>
                </c:pt>
                <c:pt idx="233">
                  <c:v>13.423522048155872</c:v>
                </c:pt>
                <c:pt idx="234">
                  <c:v>13.423522048155872</c:v>
                </c:pt>
                <c:pt idx="235">
                  <c:v>13.423522048155872</c:v>
                </c:pt>
                <c:pt idx="236">
                  <c:v>13.423522048155872</c:v>
                </c:pt>
                <c:pt idx="237">
                  <c:v>13.423522048155872</c:v>
                </c:pt>
                <c:pt idx="238">
                  <c:v>13.423522048155872</c:v>
                </c:pt>
                <c:pt idx="239">
                  <c:v>13.423522048155872</c:v>
                </c:pt>
                <c:pt idx="240">
                  <c:v>13.423522048155872</c:v>
                </c:pt>
                <c:pt idx="241">
                  <c:v>13.423522048155872</c:v>
                </c:pt>
                <c:pt idx="242">
                  <c:v>13.423522048155872</c:v>
                </c:pt>
                <c:pt idx="243">
                  <c:v>13.423522048155872</c:v>
                </c:pt>
                <c:pt idx="244">
                  <c:v>13.423522048155872</c:v>
                </c:pt>
                <c:pt idx="245">
                  <c:v>13.423522048155872</c:v>
                </c:pt>
                <c:pt idx="246">
                  <c:v>13.423522048155872</c:v>
                </c:pt>
                <c:pt idx="247">
                  <c:v>13.423522048155872</c:v>
                </c:pt>
                <c:pt idx="248">
                  <c:v>13.423522048155872</c:v>
                </c:pt>
                <c:pt idx="249">
                  <c:v>13.423522048155872</c:v>
                </c:pt>
                <c:pt idx="250">
                  <c:v>13.423522048155872</c:v>
                </c:pt>
                <c:pt idx="251">
                  <c:v>13.423522048155872</c:v>
                </c:pt>
                <c:pt idx="252">
                  <c:v>13.423522048155872</c:v>
                </c:pt>
                <c:pt idx="253">
                  <c:v>13.423522048155872</c:v>
                </c:pt>
                <c:pt idx="254">
                  <c:v>13.423522048155872</c:v>
                </c:pt>
                <c:pt idx="255">
                  <c:v>13.423522048155872</c:v>
                </c:pt>
                <c:pt idx="256">
                  <c:v>13.423522048155872</c:v>
                </c:pt>
                <c:pt idx="257">
                  <c:v>13.423522048155872</c:v>
                </c:pt>
                <c:pt idx="258">
                  <c:v>13.423522048155872</c:v>
                </c:pt>
                <c:pt idx="259">
                  <c:v>13.423522048155872</c:v>
                </c:pt>
                <c:pt idx="260">
                  <c:v>13.423522048155872</c:v>
                </c:pt>
                <c:pt idx="261">
                  <c:v>13.423522048155872</c:v>
                </c:pt>
                <c:pt idx="262">
                  <c:v>13.423522048155872</c:v>
                </c:pt>
                <c:pt idx="263">
                  <c:v>13.423522048155872</c:v>
                </c:pt>
                <c:pt idx="264">
                  <c:v>13.423522048155872</c:v>
                </c:pt>
                <c:pt idx="265">
                  <c:v>13.423522048155872</c:v>
                </c:pt>
                <c:pt idx="266">
                  <c:v>13.423522048155872</c:v>
                </c:pt>
                <c:pt idx="267">
                  <c:v>13.423522048155872</c:v>
                </c:pt>
                <c:pt idx="268">
                  <c:v>13.423522048155872</c:v>
                </c:pt>
                <c:pt idx="269">
                  <c:v>13.423522048155872</c:v>
                </c:pt>
                <c:pt idx="270">
                  <c:v>13.423522048155872</c:v>
                </c:pt>
                <c:pt idx="271">
                  <c:v>13.423522048155872</c:v>
                </c:pt>
                <c:pt idx="272">
                  <c:v>13.423522048155872</c:v>
                </c:pt>
                <c:pt idx="273">
                  <c:v>13.423522048155872</c:v>
                </c:pt>
                <c:pt idx="274">
                  <c:v>13.423522048155872</c:v>
                </c:pt>
                <c:pt idx="275">
                  <c:v>13.423522048155872</c:v>
                </c:pt>
                <c:pt idx="276">
                  <c:v>13.423522048155872</c:v>
                </c:pt>
                <c:pt idx="277">
                  <c:v>13.423522048155872</c:v>
                </c:pt>
                <c:pt idx="278">
                  <c:v>13.423522048155872</c:v>
                </c:pt>
                <c:pt idx="279">
                  <c:v>13.423522048155872</c:v>
                </c:pt>
                <c:pt idx="280">
                  <c:v>13.423522048155872</c:v>
                </c:pt>
                <c:pt idx="281">
                  <c:v>13.423522048155872</c:v>
                </c:pt>
                <c:pt idx="282">
                  <c:v>13.423522048155872</c:v>
                </c:pt>
                <c:pt idx="283">
                  <c:v>13.423522048155872</c:v>
                </c:pt>
                <c:pt idx="284">
                  <c:v>13.423522048155872</c:v>
                </c:pt>
                <c:pt idx="285">
                  <c:v>13.423522048155872</c:v>
                </c:pt>
                <c:pt idx="286">
                  <c:v>13.423522048155872</c:v>
                </c:pt>
                <c:pt idx="287">
                  <c:v>13.423522048155872</c:v>
                </c:pt>
                <c:pt idx="288">
                  <c:v>13.423522048155872</c:v>
                </c:pt>
                <c:pt idx="289">
                  <c:v>13.423522048155872</c:v>
                </c:pt>
                <c:pt idx="290">
                  <c:v>13.423522048155872</c:v>
                </c:pt>
                <c:pt idx="291">
                  <c:v>13.423522048155872</c:v>
                </c:pt>
                <c:pt idx="292">
                  <c:v>13.423522048155872</c:v>
                </c:pt>
                <c:pt idx="293">
                  <c:v>13.423522048155872</c:v>
                </c:pt>
                <c:pt idx="294">
                  <c:v>13.423522048155872</c:v>
                </c:pt>
                <c:pt idx="295">
                  <c:v>13.423522048155872</c:v>
                </c:pt>
                <c:pt idx="296">
                  <c:v>13.423522048155872</c:v>
                </c:pt>
                <c:pt idx="297">
                  <c:v>13.423522048155872</c:v>
                </c:pt>
                <c:pt idx="298">
                  <c:v>13.423522048155872</c:v>
                </c:pt>
                <c:pt idx="299">
                  <c:v>13.423522048155872</c:v>
                </c:pt>
                <c:pt idx="300">
                  <c:v>13.423522048155872</c:v>
                </c:pt>
                <c:pt idx="301">
                  <c:v>13.423522048155872</c:v>
                </c:pt>
                <c:pt idx="302">
                  <c:v>13.423522048155872</c:v>
                </c:pt>
                <c:pt idx="303">
                  <c:v>13.423522048155872</c:v>
                </c:pt>
                <c:pt idx="304">
                  <c:v>13.423522048155872</c:v>
                </c:pt>
                <c:pt idx="305">
                  <c:v>13.423522048155872</c:v>
                </c:pt>
                <c:pt idx="306">
                  <c:v>13.423522048155872</c:v>
                </c:pt>
                <c:pt idx="307">
                  <c:v>13.423522048155872</c:v>
                </c:pt>
                <c:pt idx="308">
                  <c:v>13.423522048155872</c:v>
                </c:pt>
                <c:pt idx="309">
                  <c:v>13.423522048155872</c:v>
                </c:pt>
                <c:pt idx="310">
                  <c:v>13.423522048155872</c:v>
                </c:pt>
                <c:pt idx="311">
                  <c:v>13.423522048155872</c:v>
                </c:pt>
                <c:pt idx="312">
                  <c:v>13.423522048155872</c:v>
                </c:pt>
                <c:pt idx="313">
                  <c:v>13.423522048155872</c:v>
                </c:pt>
                <c:pt idx="314">
                  <c:v>13.423522048155872</c:v>
                </c:pt>
                <c:pt idx="315">
                  <c:v>13.423522048155872</c:v>
                </c:pt>
                <c:pt idx="316">
                  <c:v>13.423522048155872</c:v>
                </c:pt>
                <c:pt idx="317">
                  <c:v>13.423522048155872</c:v>
                </c:pt>
                <c:pt idx="318">
                  <c:v>13.423522048155872</c:v>
                </c:pt>
                <c:pt idx="319">
                  <c:v>13.423522048155872</c:v>
                </c:pt>
                <c:pt idx="320">
                  <c:v>13.423522048155872</c:v>
                </c:pt>
                <c:pt idx="321">
                  <c:v>13.423522048155872</c:v>
                </c:pt>
                <c:pt idx="322">
                  <c:v>13.423522048155872</c:v>
                </c:pt>
                <c:pt idx="323">
                  <c:v>13.423522048155872</c:v>
                </c:pt>
                <c:pt idx="324">
                  <c:v>13.423522048155872</c:v>
                </c:pt>
                <c:pt idx="325">
                  <c:v>13.423522048155872</c:v>
                </c:pt>
                <c:pt idx="326">
                  <c:v>13.423522048155872</c:v>
                </c:pt>
                <c:pt idx="327">
                  <c:v>13.423522048155872</c:v>
                </c:pt>
                <c:pt idx="328">
                  <c:v>13.423522048155872</c:v>
                </c:pt>
                <c:pt idx="329">
                  <c:v>13.423522048155872</c:v>
                </c:pt>
                <c:pt idx="330">
                  <c:v>13.423522048155872</c:v>
                </c:pt>
                <c:pt idx="331">
                  <c:v>13.423522048155872</c:v>
                </c:pt>
                <c:pt idx="332">
                  <c:v>13.423522048155872</c:v>
                </c:pt>
                <c:pt idx="333">
                  <c:v>13.423522048155872</c:v>
                </c:pt>
                <c:pt idx="334">
                  <c:v>13.423522048155872</c:v>
                </c:pt>
                <c:pt idx="335">
                  <c:v>13.423522048155872</c:v>
                </c:pt>
                <c:pt idx="336">
                  <c:v>13.423522048155872</c:v>
                </c:pt>
                <c:pt idx="337">
                  <c:v>13.423522048155872</c:v>
                </c:pt>
                <c:pt idx="338">
                  <c:v>13.423522048155872</c:v>
                </c:pt>
                <c:pt idx="339">
                  <c:v>13.423522048155872</c:v>
                </c:pt>
                <c:pt idx="340">
                  <c:v>13.423522048155872</c:v>
                </c:pt>
                <c:pt idx="341">
                  <c:v>13.423522048155872</c:v>
                </c:pt>
                <c:pt idx="342">
                  <c:v>13.423522048155872</c:v>
                </c:pt>
                <c:pt idx="343">
                  <c:v>13.423522048155872</c:v>
                </c:pt>
                <c:pt idx="344">
                  <c:v>13.423522048155872</c:v>
                </c:pt>
                <c:pt idx="345">
                  <c:v>13.423522048155872</c:v>
                </c:pt>
                <c:pt idx="346">
                  <c:v>13.423522048155872</c:v>
                </c:pt>
                <c:pt idx="347">
                  <c:v>13.423522048155872</c:v>
                </c:pt>
                <c:pt idx="348">
                  <c:v>13.423522048155872</c:v>
                </c:pt>
                <c:pt idx="349">
                  <c:v>13.423522048155872</c:v>
                </c:pt>
                <c:pt idx="350">
                  <c:v>13.423522048155872</c:v>
                </c:pt>
                <c:pt idx="351">
                  <c:v>13.423522048155872</c:v>
                </c:pt>
                <c:pt idx="352">
                  <c:v>13.423522048155872</c:v>
                </c:pt>
                <c:pt idx="353">
                  <c:v>13.423522048155872</c:v>
                </c:pt>
                <c:pt idx="354">
                  <c:v>13.423522048155872</c:v>
                </c:pt>
                <c:pt idx="355">
                  <c:v>13.423522048155872</c:v>
                </c:pt>
                <c:pt idx="356">
                  <c:v>13.423522048155872</c:v>
                </c:pt>
                <c:pt idx="357">
                  <c:v>13.423522048155872</c:v>
                </c:pt>
                <c:pt idx="358">
                  <c:v>13.423522048155872</c:v>
                </c:pt>
                <c:pt idx="359">
                  <c:v>13.423522048155872</c:v>
                </c:pt>
                <c:pt idx="360">
                  <c:v>13.423522048155872</c:v>
                </c:pt>
                <c:pt idx="361">
                  <c:v>13.423522048155872</c:v>
                </c:pt>
                <c:pt idx="362">
                  <c:v>13.423522048155872</c:v>
                </c:pt>
                <c:pt idx="363">
                  <c:v>13.423522048155872</c:v>
                </c:pt>
                <c:pt idx="364">
                  <c:v>13.423522048155872</c:v>
                </c:pt>
                <c:pt idx="365">
                  <c:v>13.423522048155872</c:v>
                </c:pt>
                <c:pt idx="366">
                  <c:v>13.423522048155872</c:v>
                </c:pt>
                <c:pt idx="367">
                  <c:v>13.423522048155872</c:v>
                </c:pt>
                <c:pt idx="368">
                  <c:v>13.423522048155872</c:v>
                </c:pt>
                <c:pt idx="369">
                  <c:v>13.423522048155872</c:v>
                </c:pt>
                <c:pt idx="370">
                  <c:v>13.423522048155872</c:v>
                </c:pt>
                <c:pt idx="371">
                  <c:v>13.423522048155872</c:v>
                </c:pt>
                <c:pt idx="372">
                  <c:v>13.423522048155872</c:v>
                </c:pt>
                <c:pt idx="373">
                  <c:v>13.423522048155872</c:v>
                </c:pt>
                <c:pt idx="374">
                  <c:v>13.423522048155872</c:v>
                </c:pt>
                <c:pt idx="375">
                  <c:v>13.423522048155872</c:v>
                </c:pt>
                <c:pt idx="376">
                  <c:v>13.423522048155872</c:v>
                </c:pt>
                <c:pt idx="377">
                  <c:v>13.423522048155872</c:v>
                </c:pt>
                <c:pt idx="378">
                  <c:v>13.423522048155872</c:v>
                </c:pt>
                <c:pt idx="379">
                  <c:v>13.423522048155872</c:v>
                </c:pt>
                <c:pt idx="380">
                  <c:v>13.423522048155872</c:v>
                </c:pt>
                <c:pt idx="381">
                  <c:v>13.423522048155872</c:v>
                </c:pt>
                <c:pt idx="382">
                  <c:v>13.423522048155872</c:v>
                </c:pt>
                <c:pt idx="383">
                  <c:v>13.423522048155872</c:v>
                </c:pt>
                <c:pt idx="384">
                  <c:v>13.423522048155872</c:v>
                </c:pt>
                <c:pt idx="385">
                  <c:v>13.423522048155872</c:v>
                </c:pt>
                <c:pt idx="386">
                  <c:v>13.423522048155872</c:v>
                </c:pt>
                <c:pt idx="387">
                  <c:v>13.423522048155872</c:v>
                </c:pt>
                <c:pt idx="388">
                  <c:v>13.423522048155872</c:v>
                </c:pt>
                <c:pt idx="389">
                  <c:v>13.423522048155872</c:v>
                </c:pt>
                <c:pt idx="390">
                  <c:v>13.423522048155872</c:v>
                </c:pt>
                <c:pt idx="391">
                  <c:v>13.423522048155872</c:v>
                </c:pt>
                <c:pt idx="392">
                  <c:v>13.423522048155872</c:v>
                </c:pt>
                <c:pt idx="393">
                  <c:v>13.423522048155872</c:v>
                </c:pt>
                <c:pt idx="394">
                  <c:v>13.423522048155872</c:v>
                </c:pt>
                <c:pt idx="395">
                  <c:v>13.423522048155872</c:v>
                </c:pt>
                <c:pt idx="396">
                  <c:v>13.423522048155872</c:v>
                </c:pt>
                <c:pt idx="397">
                  <c:v>13.423522048155872</c:v>
                </c:pt>
                <c:pt idx="398">
                  <c:v>13.423522048155872</c:v>
                </c:pt>
                <c:pt idx="399">
                  <c:v>13.423522048155872</c:v>
                </c:pt>
                <c:pt idx="400">
                  <c:v>13.423522048155872</c:v>
                </c:pt>
                <c:pt idx="401">
                  <c:v>13.423522048155872</c:v>
                </c:pt>
                <c:pt idx="402">
                  <c:v>13.423522048155872</c:v>
                </c:pt>
                <c:pt idx="403">
                  <c:v>13.423522048155872</c:v>
                </c:pt>
                <c:pt idx="404">
                  <c:v>13.423522048155872</c:v>
                </c:pt>
                <c:pt idx="405">
                  <c:v>13.423522048155872</c:v>
                </c:pt>
                <c:pt idx="406">
                  <c:v>13.423522048155872</c:v>
                </c:pt>
                <c:pt idx="407">
                  <c:v>13.423522048155872</c:v>
                </c:pt>
                <c:pt idx="408">
                  <c:v>13.423522048155872</c:v>
                </c:pt>
                <c:pt idx="409">
                  <c:v>13.423522048155872</c:v>
                </c:pt>
                <c:pt idx="410">
                  <c:v>13.423522048155872</c:v>
                </c:pt>
                <c:pt idx="411">
                  <c:v>13.423522048155872</c:v>
                </c:pt>
                <c:pt idx="412">
                  <c:v>13.423522048155872</c:v>
                </c:pt>
                <c:pt idx="413">
                  <c:v>13.423522048155872</c:v>
                </c:pt>
                <c:pt idx="414">
                  <c:v>13.423522048155872</c:v>
                </c:pt>
                <c:pt idx="415">
                  <c:v>13.423522048155872</c:v>
                </c:pt>
                <c:pt idx="416">
                  <c:v>13.423522048155872</c:v>
                </c:pt>
                <c:pt idx="417">
                  <c:v>13.423522048155872</c:v>
                </c:pt>
                <c:pt idx="418">
                  <c:v>13.423522048155872</c:v>
                </c:pt>
                <c:pt idx="419">
                  <c:v>13.423522048155872</c:v>
                </c:pt>
                <c:pt idx="420">
                  <c:v>13.423522048155872</c:v>
                </c:pt>
                <c:pt idx="421">
                  <c:v>13.423522048155872</c:v>
                </c:pt>
                <c:pt idx="422">
                  <c:v>13.423522048155872</c:v>
                </c:pt>
                <c:pt idx="423">
                  <c:v>13.423522048155872</c:v>
                </c:pt>
                <c:pt idx="424">
                  <c:v>13.423522048155872</c:v>
                </c:pt>
                <c:pt idx="425">
                  <c:v>13.423522048155872</c:v>
                </c:pt>
                <c:pt idx="426">
                  <c:v>13.423522048155872</c:v>
                </c:pt>
                <c:pt idx="427">
                  <c:v>13.423522048155872</c:v>
                </c:pt>
                <c:pt idx="428">
                  <c:v>13.423522048155872</c:v>
                </c:pt>
                <c:pt idx="429">
                  <c:v>13.423522048155872</c:v>
                </c:pt>
                <c:pt idx="430">
                  <c:v>13.423522048155872</c:v>
                </c:pt>
                <c:pt idx="431">
                  <c:v>13.423522048155872</c:v>
                </c:pt>
                <c:pt idx="432">
                  <c:v>13.423522048155872</c:v>
                </c:pt>
                <c:pt idx="433">
                  <c:v>13.423522048155872</c:v>
                </c:pt>
                <c:pt idx="434">
                  <c:v>13.423522048155872</c:v>
                </c:pt>
                <c:pt idx="435">
                  <c:v>13.423522048155872</c:v>
                </c:pt>
                <c:pt idx="436">
                  <c:v>13.423522048155872</c:v>
                </c:pt>
                <c:pt idx="437">
                  <c:v>13.423522048155872</c:v>
                </c:pt>
                <c:pt idx="438">
                  <c:v>13.423522048155872</c:v>
                </c:pt>
                <c:pt idx="439">
                  <c:v>13.423522048155872</c:v>
                </c:pt>
                <c:pt idx="440">
                  <c:v>13.423522048155872</c:v>
                </c:pt>
                <c:pt idx="441">
                  <c:v>13.423522048155872</c:v>
                </c:pt>
                <c:pt idx="442">
                  <c:v>13.423522048155872</c:v>
                </c:pt>
                <c:pt idx="443">
                  <c:v>13.423522048155872</c:v>
                </c:pt>
                <c:pt idx="444">
                  <c:v>13.423522048155872</c:v>
                </c:pt>
                <c:pt idx="445">
                  <c:v>13.423522048155872</c:v>
                </c:pt>
                <c:pt idx="446">
                  <c:v>13.423522048155872</c:v>
                </c:pt>
                <c:pt idx="447">
                  <c:v>13.423522048155872</c:v>
                </c:pt>
                <c:pt idx="448">
                  <c:v>13.423522048155872</c:v>
                </c:pt>
                <c:pt idx="449">
                  <c:v>13.423522048155872</c:v>
                </c:pt>
                <c:pt idx="450">
                  <c:v>13.423522048155872</c:v>
                </c:pt>
                <c:pt idx="451">
                  <c:v>13.423522048155872</c:v>
                </c:pt>
                <c:pt idx="452">
                  <c:v>13.423522048155872</c:v>
                </c:pt>
                <c:pt idx="453">
                  <c:v>13.423522048155872</c:v>
                </c:pt>
                <c:pt idx="454">
                  <c:v>13.423522048155872</c:v>
                </c:pt>
                <c:pt idx="455">
                  <c:v>13.423522048155872</c:v>
                </c:pt>
                <c:pt idx="456">
                  <c:v>13.423522048155872</c:v>
                </c:pt>
                <c:pt idx="457">
                  <c:v>13.423522048155872</c:v>
                </c:pt>
                <c:pt idx="458">
                  <c:v>13.423522048155872</c:v>
                </c:pt>
                <c:pt idx="459">
                  <c:v>13.423522048155872</c:v>
                </c:pt>
                <c:pt idx="460">
                  <c:v>13.423522048155872</c:v>
                </c:pt>
                <c:pt idx="461">
                  <c:v>13.423522048155872</c:v>
                </c:pt>
                <c:pt idx="462">
                  <c:v>13.423522048155872</c:v>
                </c:pt>
                <c:pt idx="463">
                  <c:v>13.423522048155872</c:v>
                </c:pt>
                <c:pt idx="464">
                  <c:v>13.423522048155872</c:v>
                </c:pt>
                <c:pt idx="465">
                  <c:v>13.423522048155872</c:v>
                </c:pt>
                <c:pt idx="466">
                  <c:v>13.423522048155872</c:v>
                </c:pt>
                <c:pt idx="467">
                  <c:v>13.423522048155872</c:v>
                </c:pt>
                <c:pt idx="468">
                  <c:v>13.423522048155872</c:v>
                </c:pt>
                <c:pt idx="469">
                  <c:v>13.423522048155872</c:v>
                </c:pt>
                <c:pt idx="470">
                  <c:v>13.423522048155872</c:v>
                </c:pt>
                <c:pt idx="471">
                  <c:v>13.423522048155872</c:v>
                </c:pt>
                <c:pt idx="472">
                  <c:v>13.423522048155872</c:v>
                </c:pt>
                <c:pt idx="473">
                  <c:v>13.423522048155872</c:v>
                </c:pt>
                <c:pt idx="474">
                  <c:v>13.423522048155872</c:v>
                </c:pt>
                <c:pt idx="475">
                  <c:v>13.423522048155872</c:v>
                </c:pt>
                <c:pt idx="476">
                  <c:v>13.423522048155872</c:v>
                </c:pt>
                <c:pt idx="477">
                  <c:v>13.423522048155872</c:v>
                </c:pt>
                <c:pt idx="478">
                  <c:v>13.423522048155872</c:v>
                </c:pt>
                <c:pt idx="479">
                  <c:v>13.423522048155872</c:v>
                </c:pt>
                <c:pt idx="480">
                  <c:v>13.423522048155872</c:v>
                </c:pt>
                <c:pt idx="481">
                  <c:v>13.423522048155872</c:v>
                </c:pt>
                <c:pt idx="482">
                  <c:v>13.423522048155872</c:v>
                </c:pt>
                <c:pt idx="483">
                  <c:v>13.423522048155872</c:v>
                </c:pt>
                <c:pt idx="484">
                  <c:v>13.423522048155872</c:v>
                </c:pt>
                <c:pt idx="485">
                  <c:v>13.423522048155872</c:v>
                </c:pt>
                <c:pt idx="486">
                  <c:v>13.423522048155872</c:v>
                </c:pt>
                <c:pt idx="487">
                  <c:v>13.423522048155872</c:v>
                </c:pt>
                <c:pt idx="488">
                  <c:v>13.423522048155872</c:v>
                </c:pt>
                <c:pt idx="489">
                  <c:v>13.423522048155872</c:v>
                </c:pt>
                <c:pt idx="490">
                  <c:v>13.423522048155872</c:v>
                </c:pt>
                <c:pt idx="491">
                  <c:v>13.423522048155872</c:v>
                </c:pt>
                <c:pt idx="492">
                  <c:v>13.423522048155872</c:v>
                </c:pt>
                <c:pt idx="493">
                  <c:v>13.423522048155872</c:v>
                </c:pt>
                <c:pt idx="494">
                  <c:v>13.423522048155872</c:v>
                </c:pt>
                <c:pt idx="495">
                  <c:v>13.423522048155872</c:v>
                </c:pt>
                <c:pt idx="496">
                  <c:v>13.423522048155872</c:v>
                </c:pt>
                <c:pt idx="497">
                  <c:v>13.423522048155872</c:v>
                </c:pt>
                <c:pt idx="498">
                  <c:v>13.423522048155872</c:v>
                </c:pt>
                <c:pt idx="499">
                  <c:v>13.423522048155872</c:v>
                </c:pt>
                <c:pt idx="500">
                  <c:v>13.423522048155872</c:v>
                </c:pt>
                <c:pt idx="501">
                  <c:v>13.423522048155872</c:v>
                </c:pt>
                <c:pt idx="502">
                  <c:v>13.423522048155872</c:v>
                </c:pt>
                <c:pt idx="503">
                  <c:v>13.423522048155872</c:v>
                </c:pt>
                <c:pt idx="504">
                  <c:v>13.423522048155872</c:v>
                </c:pt>
                <c:pt idx="505">
                  <c:v>13.423522048155872</c:v>
                </c:pt>
                <c:pt idx="506">
                  <c:v>13.423522048155872</c:v>
                </c:pt>
                <c:pt idx="507">
                  <c:v>13.423522048155872</c:v>
                </c:pt>
                <c:pt idx="508">
                  <c:v>13.423522048155872</c:v>
                </c:pt>
                <c:pt idx="509">
                  <c:v>13.423522048155872</c:v>
                </c:pt>
                <c:pt idx="510">
                  <c:v>13.423522048155872</c:v>
                </c:pt>
                <c:pt idx="511">
                  <c:v>13.423522048155872</c:v>
                </c:pt>
                <c:pt idx="512">
                  <c:v>13.423522048155872</c:v>
                </c:pt>
                <c:pt idx="513">
                  <c:v>13.423522048155872</c:v>
                </c:pt>
                <c:pt idx="514">
                  <c:v>13.423522048155872</c:v>
                </c:pt>
                <c:pt idx="515">
                  <c:v>13.423522048155872</c:v>
                </c:pt>
                <c:pt idx="516">
                  <c:v>13.423522048155872</c:v>
                </c:pt>
                <c:pt idx="517">
                  <c:v>13.423522048155872</c:v>
                </c:pt>
                <c:pt idx="518">
                  <c:v>13.423522048155872</c:v>
                </c:pt>
                <c:pt idx="519">
                  <c:v>13.423522048155872</c:v>
                </c:pt>
                <c:pt idx="520">
                  <c:v>13.423522048155872</c:v>
                </c:pt>
                <c:pt idx="521">
                  <c:v>13.423522048155872</c:v>
                </c:pt>
                <c:pt idx="522">
                  <c:v>13.423522048155872</c:v>
                </c:pt>
                <c:pt idx="523">
                  <c:v>13.423522048155872</c:v>
                </c:pt>
                <c:pt idx="524">
                  <c:v>13.423522048155872</c:v>
                </c:pt>
                <c:pt idx="525">
                  <c:v>13.423522048155872</c:v>
                </c:pt>
                <c:pt idx="526">
                  <c:v>13.423522048155872</c:v>
                </c:pt>
                <c:pt idx="527">
                  <c:v>13.423522048155872</c:v>
                </c:pt>
                <c:pt idx="528">
                  <c:v>13.423522048155872</c:v>
                </c:pt>
                <c:pt idx="529">
                  <c:v>13.423522048155872</c:v>
                </c:pt>
                <c:pt idx="530">
                  <c:v>13.423522048155872</c:v>
                </c:pt>
                <c:pt idx="531">
                  <c:v>13.423522048155872</c:v>
                </c:pt>
                <c:pt idx="532">
                  <c:v>13.423522048155872</c:v>
                </c:pt>
                <c:pt idx="533">
                  <c:v>13.423522048155872</c:v>
                </c:pt>
                <c:pt idx="534">
                  <c:v>13.423522048155872</c:v>
                </c:pt>
                <c:pt idx="535">
                  <c:v>13.423522048155872</c:v>
                </c:pt>
                <c:pt idx="536">
                  <c:v>13.423522048155872</c:v>
                </c:pt>
                <c:pt idx="537">
                  <c:v>13.423522048155872</c:v>
                </c:pt>
                <c:pt idx="538">
                  <c:v>13.423522048155872</c:v>
                </c:pt>
                <c:pt idx="539">
                  <c:v>13.423522048155872</c:v>
                </c:pt>
                <c:pt idx="540">
                  <c:v>13.423522048155872</c:v>
                </c:pt>
                <c:pt idx="541">
                  <c:v>13.423522048155872</c:v>
                </c:pt>
                <c:pt idx="542">
                  <c:v>13.423522048155872</c:v>
                </c:pt>
                <c:pt idx="543">
                  <c:v>13.423522048155872</c:v>
                </c:pt>
                <c:pt idx="544">
                  <c:v>13.423522048155872</c:v>
                </c:pt>
                <c:pt idx="545">
                  <c:v>13.423522048155872</c:v>
                </c:pt>
                <c:pt idx="546">
                  <c:v>13.423522048155872</c:v>
                </c:pt>
                <c:pt idx="547">
                  <c:v>13.423522048155872</c:v>
                </c:pt>
                <c:pt idx="548">
                  <c:v>13.423522048155872</c:v>
                </c:pt>
                <c:pt idx="549">
                  <c:v>13.423522048155872</c:v>
                </c:pt>
                <c:pt idx="550">
                  <c:v>13.423522048155872</c:v>
                </c:pt>
                <c:pt idx="551">
                  <c:v>13.423522048155872</c:v>
                </c:pt>
                <c:pt idx="552">
                  <c:v>13.423522048155872</c:v>
                </c:pt>
                <c:pt idx="553">
                  <c:v>13.423522048155872</c:v>
                </c:pt>
                <c:pt idx="554">
                  <c:v>13.423522048155872</c:v>
                </c:pt>
                <c:pt idx="555">
                  <c:v>13.423522048155872</c:v>
                </c:pt>
                <c:pt idx="556">
                  <c:v>13.423522048155872</c:v>
                </c:pt>
                <c:pt idx="557">
                  <c:v>13.423522048155872</c:v>
                </c:pt>
                <c:pt idx="558">
                  <c:v>13.423522048155872</c:v>
                </c:pt>
                <c:pt idx="559">
                  <c:v>13.423522048155872</c:v>
                </c:pt>
                <c:pt idx="560">
                  <c:v>13.423522048155872</c:v>
                </c:pt>
                <c:pt idx="561">
                  <c:v>13.423522048155872</c:v>
                </c:pt>
                <c:pt idx="562">
                  <c:v>13.423522048155872</c:v>
                </c:pt>
                <c:pt idx="563">
                  <c:v>13.423522048155872</c:v>
                </c:pt>
                <c:pt idx="564">
                  <c:v>13.423522048155872</c:v>
                </c:pt>
                <c:pt idx="565">
                  <c:v>13.423522048155872</c:v>
                </c:pt>
                <c:pt idx="566">
                  <c:v>13.423522048155872</c:v>
                </c:pt>
                <c:pt idx="567">
                  <c:v>13.423522048155872</c:v>
                </c:pt>
                <c:pt idx="568">
                  <c:v>13.423522048155872</c:v>
                </c:pt>
                <c:pt idx="569">
                  <c:v>13.423522048155872</c:v>
                </c:pt>
                <c:pt idx="570">
                  <c:v>13.423522048155872</c:v>
                </c:pt>
                <c:pt idx="571">
                  <c:v>13.423522048155872</c:v>
                </c:pt>
                <c:pt idx="572">
                  <c:v>13.423522048155872</c:v>
                </c:pt>
                <c:pt idx="573">
                  <c:v>13.423522048155872</c:v>
                </c:pt>
                <c:pt idx="574">
                  <c:v>13.423522048155872</c:v>
                </c:pt>
                <c:pt idx="575">
                  <c:v>13.423522048155872</c:v>
                </c:pt>
                <c:pt idx="576">
                  <c:v>13.423522048155872</c:v>
                </c:pt>
                <c:pt idx="577">
                  <c:v>13.423522048155872</c:v>
                </c:pt>
                <c:pt idx="578">
                  <c:v>13.423522048155872</c:v>
                </c:pt>
                <c:pt idx="579">
                  <c:v>13.423522048155872</c:v>
                </c:pt>
                <c:pt idx="580">
                  <c:v>13.423522048155872</c:v>
                </c:pt>
                <c:pt idx="581">
                  <c:v>13.423522048155872</c:v>
                </c:pt>
                <c:pt idx="582">
                  <c:v>13.423522048155872</c:v>
                </c:pt>
                <c:pt idx="583">
                  <c:v>13.423522048155872</c:v>
                </c:pt>
                <c:pt idx="584">
                  <c:v>13.423522048155872</c:v>
                </c:pt>
                <c:pt idx="585">
                  <c:v>13.423522048155872</c:v>
                </c:pt>
                <c:pt idx="586">
                  <c:v>13.423522048155872</c:v>
                </c:pt>
                <c:pt idx="587">
                  <c:v>13.423522048155872</c:v>
                </c:pt>
                <c:pt idx="588">
                  <c:v>13.423522048155872</c:v>
                </c:pt>
                <c:pt idx="589">
                  <c:v>13.423522048155872</c:v>
                </c:pt>
                <c:pt idx="590">
                  <c:v>13.423522048155872</c:v>
                </c:pt>
                <c:pt idx="591">
                  <c:v>13.423522048155872</c:v>
                </c:pt>
                <c:pt idx="592">
                  <c:v>13.423522048155872</c:v>
                </c:pt>
                <c:pt idx="593">
                  <c:v>13.423522048155872</c:v>
                </c:pt>
                <c:pt idx="594">
                  <c:v>13.423522048155872</c:v>
                </c:pt>
                <c:pt idx="595">
                  <c:v>13.423522048155872</c:v>
                </c:pt>
                <c:pt idx="596">
                  <c:v>13.423522048155872</c:v>
                </c:pt>
                <c:pt idx="597">
                  <c:v>13.423522048155872</c:v>
                </c:pt>
                <c:pt idx="598">
                  <c:v>13.423522048155872</c:v>
                </c:pt>
                <c:pt idx="599">
                  <c:v>13.423522048155872</c:v>
                </c:pt>
                <c:pt idx="600">
                  <c:v>13.423522048155872</c:v>
                </c:pt>
                <c:pt idx="601">
                  <c:v>13.423522048155872</c:v>
                </c:pt>
                <c:pt idx="602">
                  <c:v>13.423522048155872</c:v>
                </c:pt>
                <c:pt idx="603">
                  <c:v>13.423522048155872</c:v>
                </c:pt>
                <c:pt idx="604">
                  <c:v>13.423522048155872</c:v>
                </c:pt>
                <c:pt idx="605">
                  <c:v>13.423522048155872</c:v>
                </c:pt>
                <c:pt idx="606">
                  <c:v>13.423522048155872</c:v>
                </c:pt>
                <c:pt idx="607">
                  <c:v>13.423522048155872</c:v>
                </c:pt>
                <c:pt idx="608">
                  <c:v>13.423522048155872</c:v>
                </c:pt>
                <c:pt idx="609">
                  <c:v>13.423522048155872</c:v>
                </c:pt>
                <c:pt idx="610">
                  <c:v>13.423522048155872</c:v>
                </c:pt>
                <c:pt idx="611">
                  <c:v>13.423522048155872</c:v>
                </c:pt>
                <c:pt idx="612">
                  <c:v>13.423522048155872</c:v>
                </c:pt>
                <c:pt idx="613">
                  <c:v>13.423522048155872</c:v>
                </c:pt>
                <c:pt idx="614">
                  <c:v>13.423522048155872</c:v>
                </c:pt>
                <c:pt idx="615">
                  <c:v>13.423522048155872</c:v>
                </c:pt>
                <c:pt idx="616">
                  <c:v>13.423522048155872</c:v>
                </c:pt>
                <c:pt idx="617">
                  <c:v>13.423522048155872</c:v>
                </c:pt>
                <c:pt idx="618">
                  <c:v>13.423522048155872</c:v>
                </c:pt>
                <c:pt idx="619">
                  <c:v>13.423522048155872</c:v>
                </c:pt>
                <c:pt idx="620">
                  <c:v>13.423522048155872</c:v>
                </c:pt>
                <c:pt idx="621">
                  <c:v>13.423522048155872</c:v>
                </c:pt>
                <c:pt idx="622">
                  <c:v>13.423522048155872</c:v>
                </c:pt>
                <c:pt idx="623">
                  <c:v>13.423522048155872</c:v>
                </c:pt>
                <c:pt idx="624">
                  <c:v>13.423522048155872</c:v>
                </c:pt>
                <c:pt idx="625">
                  <c:v>13.423522048155872</c:v>
                </c:pt>
                <c:pt idx="626">
                  <c:v>13.423522048155872</c:v>
                </c:pt>
                <c:pt idx="627">
                  <c:v>13.423522048155872</c:v>
                </c:pt>
                <c:pt idx="628">
                  <c:v>13.423522048155872</c:v>
                </c:pt>
                <c:pt idx="629">
                  <c:v>13.423522048155872</c:v>
                </c:pt>
                <c:pt idx="630">
                  <c:v>13.423522048155872</c:v>
                </c:pt>
                <c:pt idx="631">
                  <c:v>13.423522048155872</c:v>
                </c:pt>
                <c:pt idx="632">
                  <c:v>13.423522048155872</c:v>
                </c:pt>
                <c:pt idx="633">
                  <c:v>13.423522048155872</c:v>
                </c:pt>
                <c:pt idx="634">
                  <c:v>13.423522048155872</c:v>
                </c:pt>
                <c:pt idx="635">
                  <c:v>13.423522048155872</c:v>
                </c:pt>
                <c:pt idx="636">
                  <c:v>13.423522048155872</c:v>
                </c:pt>
                <c:pt idx="637">
                  <c:v>13.423522048155872</c:v>
                </c:pt>
                <c:pt idx="638">
                  <c:v>13.423522048155872</c:v>
                </c:pt>
                <c:pt idx="639">
                  <c:v>13.423522048155872</c:v>
                </c:pt>
                <c:pt idx="640">
                  <c:v>13.423522048155872</c:v>
                </c:pt>
                <c:pt idx="641">
                  <c:v>13.423522048155872</c:v>
                </c:pt>
                <c:pt idx="642">
                  <c:v>13.423522048155872</c:v>
                </c:pt>
                <c:pt idx="643">
                  <c:v>13.423522048155872</c:v>
                </c:pt>
                <c:pt idx="644">
                  <c:v>13.423522048155872</c:v>
                </c:pt>
                <c:pt idx="645">
                  <c:v>13.423522048155872</c:v>
                </c:pt>
                <c:pt idx="646">
                  <c:v>13.423522048155872</c:v>
                </c:pt>
                <c:pt idx="647">
                  <c:v>13.423522048155872</c:v>
                </c:pt>
                <c:pt idx="648">
                  <c:v>13.423522048155872</c:v>
                </c:pt>
                <c:pt idx="649">
                  <c:v>13.423522048155872</c:v>
                </c:pt>
                <c:pt idx="650">
                  <c:v>13.423522048155872</c:v>
                </c:pt>
                <c:pt idx="651">
                  <c:v>13.423522048155872</c:v>
                </c:pt>
                <c:pt idx="652">
                  <c:v>13.423522048155872</c:v>
                </c:pt>
                <c:pt idx="653">
                  <c:v>13.423522048155872</c:v>
                </c:pt>
                <c:pt idx="654">
                  <c:v>13.423522048155872</c:v>
                </c:pt>
                <c:pt idx="655">
                  <c:v>13.423522048155872</c:v>
                </c:pt>
                <c:pt idx="656">
                  <c:v>13.423522048155872</c:v>
                </c:pt>
                <c:pt idx="657">
                  <c:v>13.423522048155872</c:v>
                </c:pt>
                <c:pt idx="658">
                  <c:v>13.423522048155872</c:v>
                </c:pt>
                <c:pt idx="659">
                  <c:v>13.423522048155872</c:v>
                </c:pt>
                <c:pt idx="660">
                  <c:v>13.423522048155872</c:v>
                </c:pt>
                <c:pt idx="661">
                  <c:v>13.423522048155872</c:v>
                </c:pt>
                <c:pt idx="662">
                  <c:v>13.423522048155872</c:v>
                </c:pt>
                <c:pt idx="663">
                  <c:v>13.423522048155872</c:v>
                </c:pt>
                <c:pt idx="664">
                  <c:v>13.423522048155872</c:v>
                </c:pt>
                <c:pt idx="665">
                  <c:v>13.423522048155872</c:v>
                </c:pt>
                <c:pt idx="666">
                  <c:v>13.423522048155872</c:v>
                </c:pt>
                <c:pt idx="667">
                  <c:v>13.423522048155872</c:v>
                </c:pt>
                <c:pt idx="668">
                  <c:v>13.423522048155872</c:v>
                </c:pt>
                <c:pt idx="669">
                  <c:v>13.423522048155872</c:v>
                </c:pt>
                <c:pt idx="670">
                  <c:v>13.423522048155872</c:v>
                </c:pt>
                <c:pt idx="671">
                  <c:v>13.423522048155872</c:v>
                </c:pt>
                <c:pt idx="672">
                  <c:v>13.423522048155872</c:v>
                </c:pt>
                <c:pt idx="673">
                  <c:v>13.423522048155872</c:v>
                </c:pt>
                <c:pt idx="674">
                  <c:v>13.423522048155872</c:v>
                </c:pt>
                <c:pt idx="675">
                  <c:v>13.423522048155872</c:v>
                </c:pt>
                <c:pt idx="676">
                  <c:v>13.423522048155872</c:v>
                </c:pt>
                <c:pt idx="677">
                  <c:v>13.423522048155872</c:v>
                </c:pt>
                <c:pt idx="678">
                  <c:v>13.423522048155872</c:v>
                </c:pt>
                <c:pt idx="679">
                  <c:v>13.423522048155872</c:v>
                </c:pt>
                <c:pt idx="680">
                  <c:v>13.423522048155872</c:v>
                </c:pt>
                <c:pt idx="681">
                  <c:v>13.423522048155872</c:v>
                </c:pt>
                <c:pt idx="682">
                  <c:v>13.423522048155872</c:v>
                </c:pt>
                <c:pt idx="683">
                  <c:v>13.423522048155872</c:v>
                </c:pt>
                <c:pt idx="684">
                  <c:v>13.423522048155872</c:v>
                </c:pt>
                <c:pt idx="685">
                  <c:v>13.423522048155872</c:v>
                </c:pt>
                <c:pt idx="686">
                  <c:v>13.423522048155872</c:v>
                </c:pt>
                <c:pt idx="687">
                  <c:v>13.423522048155872</c:v>
                </c:pt>
                <c:pt idx="688">
                  <c:v>13.423522048155872</c:v>
                </c:pt>
                <c:pt idx="689">
                  <c:v>13.423522048155872</c:v>
                </c:pt>
                <c:pt idx="690">
                  <c:v>13.423522048155872</c:v>
                </c:pt>
                <c:pt idx="691">
                  <c:v>13.423522048155872</c:v>
                </c:pt>
                <c:pt idx="692">
                  <c:v>13.423522048155872</c:v>
                </c:pt>
                <c:pt idx="693">
                  <c:v>13.423522048155872</c:v>
                </c:pt>
                <c:pt idx="694">
                  <c:v>13.423522048155872</c:v>
                </c:pt>
                <c:pt idx="695">
                  <c:v>13.423522048155872</c:v>
                </c:pt>
                <c:pt idx="696">
                  <c:v>13.423522048155872</c:v>
                </c:pt>
                <c:pt idx="697">
                  <c:v>13.423522048155872</c:v>
                </c:pt>
                <c:pt idx="698">
                  <c:v>13.423522048155872</c:v>
                </c:pt>
                <c:pt idx="699">
                  <c:v>13.423522048155872</c:v>
                </c:pt>
                <c:pt idx="700">
                  <c:v>13.423522048155872</c:v>
                </c:pt>
                <c:pt idx="701">
                  <c:v>13.423522048155872</c:v>
                </c:pt>
                <c:pt idx="702">
                  <c:v>13.423522048155872</c:v>
                </c:pt>
                <c:pt idx="703">
                  <c:v>13.423522048155872</c:v>
                </c:pt>
                <c:pt idx="704">
                  <c:v>13.423522048155872</c:v>
                </c:pt>
                <c:pt idx="705">
                  <c:v>13.423522048155872</c:v>
                </c:pt>
                <c:pt idx="706">
                  <c:v>13.423522048155872</c:v>
                </c:pt>
                <c:pt idx="707">
                  <c:v>13.423522048155872</c:v>
                </c:pt>
                <c:pt idx="708">
                  <c:v>13.423522048155872</c:v>
                </c:pt>
                <c:pt idx="709">
                  <c:v>13.423522048155872</c:v>
                </c:pt>
                <c:pt idx="710">
                  <c:v>13.423522048155872</c:v>
                </c:pt>
                <c:pt idx="711">
                  <c:v>13.423522048155872</c:v>
                </c:pt>
                <c:pt idx="712">
                  <c:v>13.423522048155872</c:v>
                </c:pt>
                <c:pt idx="713">
                  <c:v>13.423522048155872</c:v>
                </c:pt>
                <c:pt idx="714">
                  <c:v>13.423522048155872</c:v>
                </c:pt>
                <c:pt idx="715">
                  <c:v>13.423522048155872</c:v>
                </c:pt>
                <c:pt idx="716">
                  <c:v>13.423522048155872</c:v>
                </c:pt>
                <c:pt idx="717">
                  <c:v>13.423522048155872</c:v>
                </c:pt>
                <c:pt idx="718">
                  <c:v>13.423522048155872</c:v>
                </c:pt>
                <c:pt idx="719">
                  <c:v>13.423522048155872</c:v>
                </c:pt>
                <c:pt idx="720">
                  <c:v>13.423522048155872</c:v>
                </c:pt>
                <c:pt idx="721">
                  <c:v>13.423522048155872</c:v>
                </c:pt>
                <c:pt idx="722">
                  <c:v>13.423522048155872</c:v>
                </c:pt>
                <c:pt idx="723">
                  <c:v>13.423522048155872</c:v>
                </c:pt>
                <c:pt idx="724">
                  <c:v>13.423522048155872</c:v>
                </c:pt>
                <c:pt idx="725">
                  <c:v>13.423522048155872</c:v>
                </c:pt>
                <c:pt idx="726">
                  <c:v>13.423522048155872</c:v>
                </c:pt>
                <c:pt idx="727">
                  <c:v>13.423522048155872</c:v>
                </c:pt>
                <c:pt idx="728">
                  <c:v>13.423522048155872</c:v>
                </c:pt>
                <c:pt idx="729">
                  <c:v>13.423522048155872</c:v>
                </c:pt>
                <c:pt idx="730">
                  <c:v>13.423522048155872</c:v>
                </c:pt>
                <c:pt idx="731">
                  <c:v>13.423522048155872</c:v>
                </c:pt>
                <c:pt idx="732">
                  <c:v>13.423522048155872</c:v>
                </c:pt>
                <c:pt idx="733">
                  <c:v>13.423522048155872</c:v>
                </c:pt>
                <c:pt idx="734">
                  <c:v>13.423522048155872</c:v>
                </c:pt>
                <c:pt idx="735">
                  <c:v>13.423522048155872</c:v>
                </c:pt>
                <c:pt idx="736">
                  <c:v>13.423522048155872</c:v>
                </c:pt>
                <c:pt idx="737">
                  <c:v>13.423522048155872</c:v>
                </c:pt>
                <c:pt idx="738">
                  <c:v>13.423522048155872</c:v>
                </c:pt>
                <c:pt idx="739">
                  <c:v>13.423522048155872</c:v>
                </c:pt>
                <c:pt idx="740">
                  <c:v>13.423522048155872</c:v>
                </c:pt>
                <c:pt idx="741">
                  <c:v>13.423522048155872</c:v>
                </c:pt>
                <c:pt idx="742">
                  <c:v>13.423522048155872</c:v>
                </c:pt>
                <c:pt idx="743">
                  <c:v>13.423522048155872</c:v>
                </c:pt>
                <c:pt idx="744">
                  <c:v>13.423522048155872</c:v>
                </c:pt>
                <c:pt idx="745">
                  <c:v>13.423522048155872</c:v>
                </c:pt>
                <c:pt idx="746">
                  <c:v>13.423522048155872</c:v>
                </c:pt>
                <c:pt idx="747">
                  <c:v>13.423522048155872</c:v>
                </c:pt>
                <c:pt idx="748">
                  <c:v>13.423522048155872</c:v>
                </c:pt>
                <c:pt idx="749">
                  <c:v>13.423522048155872</c:v>
                </c:pt>
                <c:pt idx="750">
                  <c:v>13.423522048155872</c:v>
                </c:pt>
                <c:pt idx="751">
                  <c:v>13.423522048155872</c:v>
                </c:pt>
                <c:pt idx="752">
                  <c:v>13.423522048155872</c:v>
                </c:pt>
                <c:pt idx="753">
                  <c:v>13.423522048155872</c:v>
                </c:pt>
                <c:pt idx="754">
                  <c:v>13.423522048155872</c:v>
                </c:pt>
                <c:pt idx="755">
                  <c:v>13.423522048155872</c:v>
                </c:pt>
                <c:pt idx="756">
                  <c:v>13.423522048155872</c:v>
                </c:pt>
                <c:pt idx="757">
                  <c:v>13.423522048155872</c:v>
                </c:pt>
                <c:pt idx="758">
                  <c:v>13.423522048155872</c:v>
                </c:pt>
                <c:pt idx="759">
                  <c:v>13.423522048155872</c:v>
                </c:pt>
                <c:pt idx="760">
                  <c:v>13.423522048155872</c:v>
                </c:pt>
                <c:pt idx="761">
                  <c:v>13.423522048155872</c:v>
                </c:pt>
                <c:pt idx="762">
                  <c:v>13.423522048155872</c:v>
                </c:pt>
                <c:pt idx="763">
                  <c:v>13.423522048155872</c:v>
                </c:pt>
                <c:pt idx="764">
                  <c:v>13.423522048155872</c:v>
                </c:pt>
                <c:pt idx="765">
                  <c:v>13.423522048155872</c:v>
                </c:pt>
                <c:pt idx="766">
                  <c:v>13.423522048155872</c:v>
                </c:pt>
                <c:pt idx="767">
                  <c:v>13.423522048155872</c:v>
                </c:pt>
                <c:pt idx="768">
                  <c:v>13.423522048155872</c:v>
                </c:pt>
                <c:pt idx="769">
                  <c:v>13.423522048155872</c:v>
                </c:pt>
                <c:pt idx="770">
                  <c:v>13.423522048155872</c:v>
                </c:pt>
                <c:pt idx="771">
                  <c:v>13.423522048155872</c:v>
                </c:pt>
                <c:pt idx="772">
                  <c:v>13.423522048155872</c:v>
                </c:pt>
                <c:pt idx="773">
                  <c:v>13.423522048155872</c:v>
                </c:pt>
                <c:pt idx="774">
                  <c:v>13.423522048155872</c:v>
                </c:pt>
                <c:pt idx="775">
                  <c:v>13.423522048155872</c:v>
                </c:pt>
                <c:pt idx="776">
                  <c:v>13.423522048155872</c:v>
                </c:pt>
                <c:pt idx="777">
                  <c:v>13.423522048155872</c:v>
                </c:pt>
                <c:pt idx="778">
                  <c:v>13.423522048155872</c:v>
                </c:pt>
                <c:pt idx="779">
                  <c:v>13.423522048155872</c:v>
                </c:pt>
                <c:pt idx="780">
                  <c:v>13.423522048155872</c:v>
                </c:pt>
                <c:pt idx="781">
                  <c:v>13.423522048155872</c:v>
                </c:pt>
                <c:pt idx="782">
                  <c:v>13.423522048155872</c:v>
                </c:pt>
                <c:pt idx="783">
                  <c:v>13.423522048155872</c:v>
                </c:pt>
                <c:pt idx="784">
                  <c:v>13.423522048155872</c:v>
                </c:pt>
                <c:pt idx="785">
                  <c:v>13.423522048155872</c:v>
                </c:pt>
                <c:pt idx="786">
                  <c:v>13.423522048155872</c:v>
                </c:pt>
                <c:pt idx="787">
                  <c:v>13.423522048155872</c:v>
                </c:pt>
                <c:pt idx="788">
                  <c:v>13.423522048155872</c:v>
                </c:pt>
                <c:pt idx="789">
                  <c:v>13.423522048155872</c:v>
                </c:pt>
                <c:pt idx="790">
                  <c:v>13.423522048155872</c:v>
                </c:pt>
                <c:pt idx="791">
                  <c:v>13.423522048155872</c:v>
                </c:pt>
                <c:pt idx="792">
                  <c:v>13.423522048155872</c:v>
                </c:pt>
                <c:pt idx="793">
                  <c:v>13.423522048155872</c:v>
                </c:pt>
                <c:pt idx="794">
                  <c:v>13.423522048155872</c:v>
                </c:pt>
                <c:pt idx="795">
                  <c:v>13.423522048155872</c:v>
                </c:pt>
                <c:pt idx="796">
                  <c:v>13.423522048155872</c:v>
                </c:pt>
                <c:pt idx="797">
                  <c:v>13.423522048155872</c:v>
                </c:pt>
                <c:pt idx="798">
                  <c:v>13.423522048155872</c:v>
                </c:pt>
                <c:pt idx="799">
                  <c:v>13.423522048155872</c:v>
                </c:pt>
                <c:pt idx="800">
                  <c:v>13.423522048155872</c:v>
                </c:pt>
                <c:pt idx="801">
                  <c:v>13.423522048155872</c:v>
                </c:pt>
                <c:pt idx="802">
                  <c:v>13.423522048155872</c:v>
                </c:pt>
                <c:pt idx="803">
                  <c:v>13.423522048155872</c:v>
                </c:pt>
                <c:pt idx="804">
                  <c:v>13.423522048155872</c:v>
                </c:pt>
                <c:pt idx="805">
                  <c:v>13.423522048155872</c:v>
                </c:pt>
                <c:pt idx="806">
                  <c:v>13.423522048155872</c:v>
                </c:pt>
                <c:pt idx="807">
                  <c:v>13.423522048155872</c:v>
                </c:pt>
                <c:pt idx="808">
                  <c:v>13.423522048155872</c:v>
                </c:pt>
                <c:pt idx="809">
                  <c:v>13.423522048155872</c:v>
                </c:pt>
                <c:pt idx="810">
                  <c:v>13.423522048155872</c:v>
                </c:pt>
                <c:pt idx="811">
                  <c:v>13.423522048155872</c:v>
                </c:pt>
                <c:pt idx="812">
                  <c:v>13.423522048155872</c:v>
                </c:pt>
                <c:pt idx="813">
                  <c:v>13.423522048155872</c:v>
                </c:pt>
                <c:pt idx="814">
                  <c:v>13.423522048155872</c:v>
                </c:pt>
                <c:pt idx="815">
                  <c:v>13.423522048155872</c:v>
                </c:pt>
                <c:pt idx="816">
                  <c:v>13.423522048155872</c:v>
                </c:pt>
                <c:pt idx="817">
                  <c:v>13.423522048155872</c:v>
                </c:pt>
                <c:pt idx="818">
                  <c:v>13.423522048155872</c:v>
                </c:pt>
                <c:pt idx="819">
                  <c:v>13.423522048155872</c:v>
                </c:pt>
                <c:pt idx="820">
                  <c:v>13.423522048155872</c:v>
                </c:pt>
                <c:pt idx="821">
                  <c:v>13.423522048155872</c:v>
                </c:pt>
                <c:pt idx="822">
                  <c:v>13.423522048155872</c:v>
                </c:pt>
                <c:pt idx="823">
                  <c:v>13.423522048155872</c:v>
                </c:pt>
                <c:pt idx="824">
                  <c:v>13.423522048155872</c:v>
                </c:pt>
                <c:pt idx="825">
                  <c:v>13.423522048155872</c:v>
                </c:pt>
                <c:pt idx="826">
                  <c:v>13.423522048155872</c:v>
                </c:pt>
                <c:pt idx="827">
                  <c:v>13.423522048155872</c:v>
                </c:pt>
                <c:pt idx="828">
                  <c:v>13.423522048155872</c:v>
                </c:pt>
                <c:pt idx="829">
                  <c:v>13.423522048155872</c:v>
                </c:pt>
                <c:pt idx="830">
                  <c:v>13.423522048155872</c:v>
                </c:pt>
                <c:pt idx="831">
                  <c:v>13.423522048155872</c:v>
                </c:pt>
                <c:pt idx="832">
                  <c:v>13.423522048155872</c:v>
                </c:pt>
                <c:pt idx="833">
                  <c:v>13.423522048155872</c:v>
                </c:pt>
                <c:pt idx="834">
                  <c:v>13.423522048155872</c:v>
                </c:pt>
                <c:pt idx="835">
                  <c:v>13.423522048155872</c:v>
                </c:pt>
                <c:pt idx="836">
                  <c:v>13.423522048155872</c:v>
                </c:pt>
                <c:pt idx="837">
                  <c:v>13.423522048155872</c:v>
                </c:pt>
                <c:pt idx="838">
                  <c:v>13.423522048155872</c:v>
                </c:pt>
                <c:pt idx="839">
                  <c:v>13.423522048155872</c:v>
                </c:pt>
                <c:pt idx="840">
                  <c:v>13.423522048155872</c:v>
                </c:pt>
                <c:pt idx="841">
                  <c:v>13.423522048155872</c:v>
                </c:pt>
                <c:pt idx="842">
                  <c:v>13.423522048155872</c:v>
                </c:pt>
                <c:pt idx="843">
                  <c:v>13.423522048155872</c:v>
                </c:pt>
                <c:pt idx="844">
                  <c:v>13.423522048155872</c:v>
                </c:pt>
                <c:pt idx="845">
                  <c:v>13.423522048155872</c:v>
                </c:pt>
                <c:pt idx="846">
                  <c:v>13.423522048155872</c:v>
                </c:pt>
                <c:pt idx="847">
                  <c:v>13.423522048155872</c:v>
                </c:pt>
                <c:pt idx="848">
                  <c:v>13.423522048155872</c:v>
                </c:pt>
                <c:pt idx="849">
                  <c:v>13.423522048155872</c:v>
                </c:pt>
                <c:pt idx="850">
                  <c:v>13.423522048155872</c:v>
                </c:pt>
                <c:pt idx="851">
                  <c:v>13.423522048155872</c:v>
                </c:pt>
                <c:pt idx="852">
                  <c:v>13.423522048155872</c:v>
                </c:pt>
                <c:pt idx="853">
                  <c:v>13.423522048155872</c:v>
                </c:pt>
                <c:pt idx="854">
                  <c:v>13.423522048155872</c:v>
                </c:pt>
                <c:pt idx="855">
                  <c:v>13.423522048155872</c:v>
                </c:pt>
                <c:pt idx="856">
                  <c:v>13.423522048155872</c:v>
                </c:pt>
                <c:pt idx="857">
                  <c:v>13.423522048155872</c:v>
                </c:pt>
                <c:pt idx="858">
                  <c:v>13.423522048155872</c:v>
                </c:pt>
                <c:pt idx="859">
                  <c:v>13.423522048155872</c:v>
                </c:pt>
                <c:pt idx="860">
                  <c:v>13.423522048155872</c:v>
                </c:pt>
                <c:pt idx="861">
                  <c:v>13.423522048155872</c:v>
                </c:pt>
                <c:pt idx="862">
                  <c:v>13.423522048155872</c:v>
                </c:pt>
                <c:pt idx="863">
                  <c:v>13.423522048155872</c:v>
                </c:pt>
                <c:pt idx="864">
                  <c:v>13.423522048155872</c:v>
                </c:pt>
                <c:pt idx="865">
                  <c:v>13.423522048155872</c:v>
                </c:pt>
                <c:pt idx="866">
                  <c:v>13.423522048155872</c:v>
                </c:pt>
                <c:pt idx="867">
                  <c:v>13.423522048155872</c:v>
                </c:pt>
                <c:pt idx="868">
                  <c:v>13.423522048155872</c:v>
                </c:pt>
                <c:pt idx="869">
                  <c:v>13.423522048155872</c:v>
                </c:pt>
                <c:pt idx="870">
                  <c:v>13.423522048155872</c:v>
                </c:pt>
                <c:pt idx="871">
                  <c:v>13.423522048155872</c:v>
                </c:pt>
                <c:pt idx="872">
                  <c:v>13.423522048155872</c:v>
                </c:pt>
                <c:pt idx="873">
                  <c:v>13.423522048155872</c:v>
                </c:pt>
                <c:pt idx="874">
                  <c:v>13.423522048155872</c:v>
                </c:pt>
                <c:pt idx="875">
                  <c:v>13.423522048155872</c:v>
                </c:pt>
                <c:pt idx="876">
                  <c:v>13.423522048155872</c:v>
                </c:pt>
                <c:pt idx="877">
                  <c:v>13.423522048155872</c:v>
                </c:pt>
                <c:pt idx="878">
                  <c:v>13.423522048155872</c:v>
                </c:pt>
                <c:pt idx="879">
                  <c:v>13.423522048155872</c:v>
                </c:pt>
                <c:pt idx="880">
                  <c:v>13.423522048155872</c:v>
                </c:pt>
                <c:pt idx="881">
                  <c:v>13.423522048155872</c:v>
                </c:pt>
                <c:pt idx="882">
                  <c:v>13.423522048155872</c:v>
                </c:pt>
                <c:pt idx="883">
                  <c:v>13.423522048155872</c:v>
                </c:pt>
                <c:pt idx="884">
                  <c:v>13.423522048155872</c:v>
                </c:pt>
                <c:pt idx="885">
                  <c:v>13.423522048155872</c:v>
                </c:pt>
                <c:pt idx="886">
                  <c:v>13.423522048155872</c:v>
                </c:pt>
                <c:pt idx="887">
                  <c:v>13.423522048155872</c:v>
                </c:pt>
                <c:pt idx="888">
                  <c:v>13.423522048155872</c:v>
                </c:pt>
                <c:pt idx="889">
                  <c:v>13.423522048155872</c:v>
                </c:pt>
                <c:pt idx="890">
                  <c:v>13.423522048155872</c:v>
                </c:pt>
                <c:pt idx="891">
                  <c:v>13.423522048155872</c:v>
                </c:pt>
                <c:pt idx="892">
                  <c:v>13.423522048155872</c:v>
                </c:pt>
                <c:pt idx="893">
                  <c:v>13.423522048155872</c:v>
                </c:pt>
                <c:pt idx="894">
                  <c:v>13.423522048155872</c:v>
                </c:pt>
                <c:pt idx="895">
                  <c:v>13.423522048155872</c:v>
                </c:pt>
                <c:pt idx="896">
                  <c:v>13.423522048155872</c:v>
                </c:pt>
                <c:pt idx="897">
                  <c:v>13.423522048155872</c:v>
                </c:pt>
                <c:pt idx="898">
                  <c:v>13.423522048155872</c:v>
                </c:pt>
                <c:pt idx="899">
                  <c:v>13.423522048155872</c:v>
                </c:pt>
                <c:pt idx="900">
                  <c:v>13.423522048155872</c:v>
                </c:pt>
                <c:pt idx="901">
                  <c:v>13.423522048155872</c:v>
                </c:pt>
                <c:pt idx="902">
                  <c:v>13.423522048155872</c:v>
                </c:pt>
                <c:pt idx="903">
                  <c:v>13.423522048155872</c:v>
                </c:pt>
                <c:pt idx="904">
                  <c:v>13.423522048155872</c:v>
                </c:pt>
                <c:pt idx="905">
                  <c:v>13.423522048155872</c:v>
                </c:pt>
                <c:pt idx="906">
                  <c:v>13.423522048155872</c:v>
                </c:pt>
                <c:pt idx="907">
                  <c:v>13.423522048155872</c:v>
                </c:pt>
                <c:pt idx="908">
                  <c:v>13.423522048155872</c:v>
                </c:pt>
                <c:pt idx="909">
                  <c:v>13.423522048155872</c:v>
                </c:pt>
                <c:pt idx="910">
                  <c:v>13.423522048155872</c:v>
                </c:pt>
                <c:pt idx="911">
                  <c:v>13.423522048155872</c:v>
                </c:pt>
                <c:pt idx="912">
                  <c:v>13.423522048155872</c:v>
                </c:pt>
                <c:pt idx="913">
                  <c:v>13.423522048155872</c:v>
                </c:pt>
                <c:pt idx="914">
                  <c:v>13.423522048155872</c:v>
                </c:pt>
                <c:pt idx="915">
                  <c:v>13.423522048155872</c:v>
                </c:pt>
                <c:pt idx="916">
                  <c:v>13.423522048155872</c:v>
                </c:pt>
                <c:pt idx="917">
                  <c:v>13.423522048155872</c:v>
                </c:pt>
                <c:pt idx="918">
                  <c:v>13.423522048155872</c:v>
                </c:pt>
                <c:pt idx="919">
                  <c:v>13.423522048155872</c:v>
                </c:pt>
                <c:pt idx="920">
                  <c:v>13.423522048155872</c:v>
                </c:pt>
                <c:pt idx="921">
                  <c:v>13.423522048155872</c:v>
                </c:pt>
                <c:pt idx="922">
                  <c:v>13.423522048155872</c:v>
                </c:pt>
                <c:pt idx="923">
                  <c:v>13.423522048155872</c:v>
                </c:pt>
                <c:pt idx="924">
                  <c:v>13.423522048155872</c:v>
                </c:pt>
                <c:pt idx="925">
                  <c:v>13.423522048155872</c:v>
                </c:pt>
                <c:pt idx="926">
                  <c:v>13.423522048155872</c:v>
                </c:pt>
                <c:pt idx="927">
                  <c:v>13.423522048155872</c:v>
                </c:pt>
                <c:pt idx="928">
                  <c:v>13.423522048155872</c:v>
                </c:pt>
                <c:pt idx="929">
                  <c:v>13.423522048155872</c:v>
                </c:pt>
                <c:pt idx="930">
                  <c:v>13.423522048155872</c:v>
                </c:pt>
                <c:pt idx="931">
                  <c:v>13.423522048155872</c:v>
                </c:pt>
                <c:pt idx="932">
                  <c:v>13.423522048155872</c:v>
                </c:pt>
                <c:pt idx="933">
                  <c:v>13.423522048155872</c:v>
                </c:pt>
                <c:pt idx="934">
                  <c:v>13.423522048155872</c:v>
                </c:pt>
                <c:pt idx="935">
                  <c:v>13.423522048155872</c:v>
                </c:pt>
                <c:pt idx="936">
                  <c:v>13.423522048155872</c:v>
                </c:pt>
                <c:pt idx="937">
                  <c:v>13.423522048155872</c:v>
                </c:pt>
                <c:pt idx="938">
                  <c:v>13.423522048155872</c:v>
                </c:pt>
                <c:pt idx="939">
                  <c:v>13.423522048155872</c:v>
                </c:pt>
                <c:pt idx="940">
                  <c:v>13.423522048155872</c:v>
                </c:pt>
                <c:pt idx="941">
                  <c:v>13.423522048155872</c:v>
                </c:pt>
                <c:pt idx="942">
                  <c:v>13.423522048155872</c:v>
                </c:pt>
                <c:pt idx="943">
                  <c:v>13.423522048155872</c:v>
                </c:pt>
                <c:pt idx="944">
                  <c:v>13.423522048155872</c:v>
                </c:pt>
                <c:pt idx="945">
                  <c:v>13.423522048155872</c:v>
                </c:pt>
                <c:pt idx="946">
                  <c:v>13.423522048155872</c:v>
                </c:pt>
                <c:pt idx="947">
                  <c:v>13.423522048155872</c:v>
                </c:pt>
                <c:pt idx="948">
                  <c:v>13.423522048155872</c:v>
                </c:pt>
                <c:pt idx="949">
                  <c:v>13.423522048155872</c:v>
                </c:pt>
                <c:pt idx="950">
                  <c:v>13.423522048155872</c:v>
                </c:pt>
                <c:pt idx="951">
                  <c:v>13.423522048155872</c:v>
                </c:pt>
                <c:pt idx="952">
                  <c:v>13.423522048155872</c:v>
                </c:pt>
                <c:pt idx="953">
                  <c:v>13.423522048155872</c:v>
                </c:pt>
                <c:pt idx="954">
                  <c:v>13.423522048155872</c:v>
                </c:pt>
                <c:pt idx="955">
                  <c:v>13.423522048155872</c:v>
                </c:pt>
                <c:pt idx="956">
                  <c:v>13.423522048155872</c:v>
                </c:pt>
                <c:pt idx="957">
                  <c:v>13.423522048155872</c:v>
                </c:pt>
                <c:pt idx="958">
                  <c:v>13.423522048155872</c:v>
                </c:pt>
                <c:pt idx="959">
                  <c:v>13.423522048155872</c:v>
                </c:pt>
                <c:pt idx="960">
                  <c:v>13.423522048155872</c:v>
                </c:pt>
                <c:pt idx="961">
                  <c:v>13.423522048155872</c:v>
                </c:pt>
                <c:pt idx="962">
                  <c:v>13.423522048155872</c:v>
                </c:pt>
                <c:pt idx="963">
                  <c:v>13.423522048155872</c:v>
                </c:pt>
                <c:pt idx="964">
                  <c:v>13.423522048155872</c:v>
                </c:pt>
                <c:pt idx="965">
                  <c:v>13.423522048155872</c:v>
                </c:pt>
                <c:pt idx="966">
                  <c:v>13.423522048155872</c:v>
                </c:pt>
                <c:pt idx="967">
                  <c:v>13.423522048155872</c:v>
                </c:pt>
                <c:pt idx="968">
                  <c:v>13.423522048155872</c:v>
                </c:pt>
                <c:pt idx="969">
                  <c:v>13.423522048155872</c:v>
                </c:pt>
                <c:pt idx="970">
                  <c:v>13.423522048155872</c:v>
                </c:pt>
                <c:pt idx="971">
                  <c:v>13.423522048155872</c:v>
                </c:pt>
                <c:pt idx="972">
                  <c:v>13.423522048155872</c:v>
                </c:pt>
                <c:pt idx="973">
                  <c:v>13.423522048155872</c:v>
                </c:pt>
                <c:pt idx="974">
                  <c:v>13.423522048155872</c:v>
                </c:pt>
                <c:pt idx="975">
                  <c:v>13.423522048155872</c:v>
                </c:pt>
                <c:pt idx="976">
                  <c:v>13.423522048155872</c:v>
                </c:pt>
                <c:pt idx="977">
                  <c:v>13.423522048155872</c:v>
                </c:pt>
                <c:pt idx="978">
                  <c:v>13.423522048155872</c:v>
                </c:pt>
                <c:pt idx="979">
                  <c:v>13.423522048155872</c:v>
                </c:pt>
                <c:pt idx="980">
                  <c:v>13.423522048155872</c:v>
                </c:pt>
                <c:pt idx="981">
                  <c:v>13.423522048155872</c:v>
                </c:pt>
                <c:pt idx="982">
                  <c:v>13.423522048155872</c:v>
                </c:pt>
                <c:pt idx="983">
                  <c:v>13.423522048155872</c:v>
                </c:pt>
                <c:pt idx="984">
                  <c:v>13.423522048155872</c:v>
                </c:pt>
                <c:pt idx="985">
                  <c:v>13.423522048155872</c:v>
                </c:pt>
                <c:pt idx="986">
                  <c:v>13.423522048155872</c:v>
                </c:pt>
                <c:pt idx="987">
                  <c:v>13.423522048155872</c:v>
                </c:pt>
                <c:pt idx="988">
                  <c:v>13.423522048155872</c:v>
                </c:pt>
                <c:pt idx="989">
                  <c:v>13.423522048155872</c:v>
                </c:pt>
                <c:pt idx="990">
                  <c:v>13.423522048155872</c:v>
                </c:pt>
                <c:pt idx="991">
                  <c:v>13.423522048155872</c:v>
                </c:pt>
                <c:pt idx="992">
                  <c:v>13.423522048155872</c:v>
                </c:pt>
                <c:pt idx="993">
                  <c:v>13.423522048155872</c:v>
                </c:pt>
                <c:pt idx="994">
                  <c:v>13.423522048155872</c:v>
                </c:pt>
                <c:pt idx="995">
                  <c:v>13.423522048155872</c:v>
                </c:pt>
                <c:pt idx="996">
                  <c:v>13.423522048155872</c:v>
                </c:pt>
                <c:pt idx="997">
                  <c:v>13.423522048155872</c:v>
                </c:pt>
                <c:pt idx="998">
                  <c:v>13.423522048155872</c:v>
                </c:pt>
                <c:pt idx="999">
                  <c:v>13.423522048155872</c:v>
                </c:pt>
                <c:pt idx="1000">
                  <c:v>13.423522048155872</c:v>
                </c:pt>
                <c:pt idx="1001">
                  <c:v>13.423522048155872</c:v>
                </c:pt>
                <c:pt idx="1002">
                  <c:v>13.423522048155872</c:v>
                </c:pt>
                <c:pt idx="1003">
                  <c:v>13.423522048155872</c:v>
                </c:pt>
                <c:pt idx="1004">
                  <c:v>13.423522048155872</c:v>
                </c:pt>
                <c:pt idx="1005">
                  <c:v>13.423522048155872</c:v>
                </c:pt>
                <c:pt idx="1006">
                  <c:v>13.423522048155872</c:v>
                </c:pt>
                <c:pt idx="1007">
                  <c:v>13.423522048155872</c:v>
                </c:pt>
                <c:pt idx="1008">
                  <c:v>13.423522048155872</c:v>
                </c:pt>
                <c:pt idx="1009">
                  <c:v>13.423522048155872</c:v>
                </c:pt>
                <c:pt idx="1010">
                  <c:v>13.423522048155872</c:v>
                </c:pt>
                <c:pt idx="1011">
                  <c:v>13.423522048155872</c:v>
                </c:pt>
                <c:pt idx="1012">
                  <c:v>13.423522048155872</c:v>
                </c:pt>
                <c:pt idx="1013">
                  <c:v>13.423522048155872</c:v>
                </c:pt>
                <c:pt idx="1014">
                  <c:v>13.423522048155872</c:v>
                </c:pt>
                <c:pt idx="1015">
                  <c:v>13.423522048155872</c:v>
                </c:pt>
                <c:pt idx="1016">
                  <c:v>13.423522048155872</c:v>
                </c:pt>
                <c:pt idx="1017">
                  <c:v>13.423522048155872</c:v>
                </c:pt>
                <c:pt idx="1018">
                  <c:v>13.423522048155872</c:v>
                </c:pt>
                <c:pt idx="1019">
                  <c:v>13.423522048155872</c:v>
                </c:pt>
                <c:pt idx="1020">
                  <c:v>13.423522048155872</c:v>
                </c:pt>
                <c:pt idx="1021">
                  <c:v>13.423522048155872</c:v>
                </c:pt>
                <c:pt idx="1022">
                  <c:v>13.423522048155872</c:v>
                </c:pt>
                <c:pt idx="1023">
                  <c:v>13.423522048155872</c:v>
                </c:pt>
                <c:pt idx="1024">
                  <c:v>13.423522048155872</c:v>
                </c:pt>
                <c:pt idx="1025">
                  <c:v>13.423522048155872</c:v>
                </c:pt>
                <c:pt idx="1026">
                  <c:v>13.423522048155872</c:v>
                </c:pt>
                <c:pt idx="1027">
                  <c:v>13.423522048155872</c:v>
                </c:pt>
                <c:pt idx="1028">
                  <c:v>13.423522048155872</c:v>
                </c:pt>
                <c:pt idx="1029">
                  <c:v>13.423522048155872</c:v>
                </c:pt>
                <c:pt idx="1030">
                  <c:v>13.423522048155872</c:v>
                </c:pt>
                <c:pt idx="1031">
                  <c:v>13.423522048155872</c:v>
                </c:pt>
                <c:pt idx="1032">
                  <c:v>13.423522048155872</c:v>
                </c:pt>
                <c:pt idx="1033">
                  <c:v>13.423522048155872</c:v>
                </c:pt>
                <c:pt idx="1034">
                  <c:v>13.423522048155872</c:v>
                </c:pt>
                <c:pt idx="1035">
                  <c:v>13.423522048155872</c:v>
                </c:pt>
                <c:pt idx="1036">
                  <c:v>13.423522048155872</c:v>
                </c:pt>
                <c:pt idx="1037">
                  <c:v>13.423522048155872</c:v>
                </c:pt>
                <c:pt idx="1038">
                  <c:v>13.423522048155872</c:v>
                </c:pt>
                <c:pt idx="1039">
                  <c:v>13.423522048155872</c:v>
                </c:pt>
                <c:pt idx="1040">
                  <c:v>13.423522048155872</c:v>
                </c:pt>
                <c:pt idx="1041">
                  <c:v>13.423522048155872</c:v>
                </c:pt>
                <c:pt idx="1042">
                  <c:v>13.423522048155872</c:v>
                </c:pt>
                <c:pt idx="1043">
                  <c:v>13.423522048155872</c:v>
                </c:pt>
                <c:pt idx="1044">
                  <c:v>13.423522048155872</c:v>
                </c:pt>
                <c:pt idx="1045">
                  <c:v>13.423522048155872</c:v>
                </c:pt>
                <c:pt idx="1046">
                  <c:v>13.423522048155872</c:v>
                </c:pt>
                <c:pt idx="1047">
                  <c:v>13.423522048155872</c:v>
                </c:pt>
                <c:pt idx="1048">
                  <c:v>13.423522048155872</c:v>
                </c:pt>
                <c:pt idx="1049">
                  <c:v>13.423522048155872</c:v>
                </c:pt>
                <c:pt idx="1050">
                  <c:v>13.423522048155872</c:v>
                </c:pt>
                <c:pt idx="1051">
                  <c:v>13.423522048155872</c:v>
                </c:pt>
                <c:pt idx="1052">
                  <c:v>13.423522048155872</c:v>
                </c:pt>
                <c:pt idx="1053">
                  <c:v>13.423522048155872</c:v>
                </c:pt>
                <c:pt idx="1054">
                  <c:v>13.423522048155872</c:v>
                </c:pt>
                <c:pt idx="1055">
                  <c:v>13.423522048155872</c:v>
                </c:pt>
                <c:pt idx="1056">
                  <c:v>13.423522048155872</c:v>
                </c:pt>
                <c:pt idx="1057">
                  <c:v>13.423522048155872</c:v>
                </c:pt>
                <c:pt idx="1058">
                  <c:v>13.423522048155872</c:v>
                </c:pt>
                <c:pt idx="1059">
                  <c:v>13.423522048155872</c:v>
                </c:pt>
                <c:pt idx="1060">
                  <c:v>13.423522048155872</c:v>
                </c:pt>
                <c:pt idx="1061">
                  <c:v>13.423522048155872</c:v>
                </c:pt>
                <c:pt idx="1062">
                  <c:v>13.423522048155872</c:v>
                </c:pt>
                <c:pt idx="1063">
                  <c:v>13.423522048155872</c:v>
                </c:pt>
                <c:pt idx="1064">
                  <c:v>13.423522048155872</c:v>
                </c:pt>
                <c:pt idx="1065">
                  <c:v>13.423522048155872</c:v>
                </c:pt>
                <c:pt idx="1066">
                  <c:v>13.423522048155872</c:v>
                </c:pt>
                <c:pt idx="1067">
                  <c:v>13.423522048155872</c:v>
                </c:pt>
                <c:pt idx="1068">
                  <c:v>13.423522048155872</c:v>
                </c:pt>
                <c:pt idx="1069">
                  <c:v>13.423522048155872</c:v>
                </c:pt>
                <c:pt idx="1070">
                  <c:v>13.423522048155872</c:v>
                </c:pt>
                <c:pt idx="1071">
                  <c:v>13.423522048155872</c:v>
                </c:pt>
                <c:pt idx="1072">
                  <c:v>13.423522048155872</c:v>
                </c:pt>
                <c:pt idx="1073">
                  <c:v>13.423522048155872</c:v>
                </c:pt>
                <c:pt idx="1074">
                  <c:v>13.423522048155872</c:v>
                </c:pt>
                <c:pt idx="1075">
                  <c:v>13.423522048155872</c:v>
                </c:pt>
                <c:pt idx="1076">
                  <c:v>13.423522048155872</c:v>
                </c:pt>
                <c:pt idx="1077">
                  <c:v>13.423522048155872</c:v>
                </c:pt>
                <c:pt idx="1078">
                  <c:v>13.423522048155872</c:v>
                </c:pt>
                <c:pt idx="1079">
                  <c:v>13.423522048155872</c:v>
                </c:pt>
                <c:pt idx="1080">
                  <c:v>13.423522048155872</c:v>
                </c:pt>
                <c:pt idx="1081">
                  <c:v>13.423522048155872</c:v>
                </c:pt>
                <c:pt idx="1082">
                  <c:v>13.423522048155872</c:v>
                </c:pt>
                <c:pt idx="1083">
                  <c:v>13.423522048155872</c:v>
                </c:pt>
                <c:pt idx="1084">
                  <c:v>13.423522048155872</c:v>
                </c:pt>
                <c:pt idx="1085">
                  <c:v>13.423522048155872</c:v>
                </c:pt>
                <c:pt idx="1086">
                  <c:v>13.423522048155872</c:v>
                </c:pt>
                <c:pt idx="1087">
                  <c:v>13.423522048155872</c:v>
                </c:pt>
                <c:pt idx="1088">
                  <c:v>13.423522048155872</c:v>
                </c:pt>
                <c:pt idx="1089">
                  <c:v>13.423522048155872</c:v>
                </c:pt>
                <c:pt idx="1090">
                  <c:v>13.423522048155872</c:v>
                </c:pt>
                <c:pt idx="1091">
                  <c:v>13.423522048155872</c:v>
                </c:pt>
                <c:pt idx="1092">
                  <c:v>13.423522048155872</c:v>
                </c:pt>
                <c:pt idx="1093">
                  <c:v>13.423522048155872</c:v>
                </c:pt>
                <c:pt idx="1094">
                  <c:v>13.423522048155872</c:v>
                </c:pt>
                <c:pt idx="1095">
                  <c:v>13.423522048155872</c:v>
                </c:pt>
                <c:pt idx="1096">
                  <c:v>13.423522048155872</c:v>
                </c:pt>
                <c:pt idx="1097">
                  <c:v>13.423522048155872</c:v>
                </c:pt>
                <c:pt idx="1098">
                  <c:v>13.423522048155872</c:v>
                </c:pt>
                <c:pt idx="1099">
                  <c:v>13.423522048155872</c:v>
                </c:pt>
                <c:pt idx="1100">
                  <c:v>13.423522048155872</c:v>
                </c:pt>
                <c:pt idx="1101">
                  <c:v>13.423522048155872</c:v>
                </c:pt>
                <c:pt idx="1102">
                  <c:v>13.423522048155872</c:v>
                </c:pt>
                <c:pt idx="1103">
                  <c:v>13.423522048155872</c:v>
                </c:pt>
                <c:pt idx="1104">
                  <c:v>13.423522048155872</c:v>
                </c:pt>
                <c:pt idx="1105">
                  <c:v>13.423522048155872</c:v>
                </c:pt>
                <c:pt idx="1106">
                  <c:v>13.423522048155872</c:v>
                </c:pt>
                <c:pt idx="1107">
                  <c:v>13.423522048155872</c:v>
                </c:pt>
                <c:pt idx="1108">
                  <c:v>13.423522048155872</c:v>
                </c:pt>
                <c:pt idx="1109">
                  <c:v>13.423522048155872</c:v>
                </c:pt>
                <c:pt idx="1110">
                  <c:v>13.423522048155872</c:v>
                </c:pt>
                <c:pt idx="1111">
                  <c:v>13.423522048155872</c:v>
                </c:pt>
                <c:pt idx="1112">
                  <c:v>13.423522048155872</c:v>
                </c:pt>
                <c:pt idx="1113">
                  <c:v>13.423522048155872</c:v>
                </c:pt>
                <c:pt idx="1114">
                  <c:v>13.423522048155872</c:v>
                </c:pt>
                <c:pt idx="1115">
                  <c:v>13.423522048155872</c:v>
                </c:pt>
                <c:pt idx="1116">
                  <c:v>13.423522048155872</c:v>
                </c:pt>
                <c:pt idx="1117">
                  <c:v>13.423522048155872</c:v>
                </c:pt>
                <c:pt idx="1118">
                  <c:v>13.423522048155872</c:v>
                </c:pt>
                <c:pt idx="1119">
                  <c:v>13.423522048155872</c:v>
                </c:pt>
                <c:pt idx="1120">
                  <c:v>13.423522048155872</c:v>
                </c:pt>
                <c:pt idx="1121">
                  <c:v>13.423522048155872</c:v>
                </c:pt>
                <c:pt idx="1122">
                  <c:v>13.423522048155872</c:v>
                </c:pt>
                <c:pt idx="1123">
                  <c:v>13.423522048155872</c:v>
                </c:pt>
                <c:pt idx="1124">
                  <c:v>13.423522048155872</c:v>
                </c:pt>
                <c:pt idx="1125">
                  <c:v>13.423522048155872</c:v>
                </c:pt>
                <c:pt idx="1126">
                  <c:v>13.423522048155872</c:v>
                </c:pt>
                <c:pt idx="1127">
                  <c:v>13.423522048155872</c:v>
                </c:pt>
                <c:pt idx="1128">
                  <c:v>13.423522048155872</c:v>
                </c:pt>
                <c:pt idx="1129">
                  <c:v>13.423522048155872</c:v>
                </c:pt>
                <c:pt idx="1130">
                  <c:v>13.423522048155872</c:v>
                </c:pt>
                <c:pt idx="1131">
                  <c:v>13.423522048155872</c:v>
                </c:pt>
                <c:pt idx="1132">
                  <c:v>13.423522048155872</c:v>
                </c:pt>
                <c:pt idx="1133">
                  <c:v>13.423522048155872</c:v>
                </c:pt>
                <c:pt idx="1134">
                  <c:v>13.423522048155872</c:v>
                </c:pt>
                <c:pt idx="1135">
                  <c:v>13.423522048155872</c:v>
                </c:pt>
                <c:pt idx="1136">
                  <c:v>13.423522048155872</c:v>
                </c:pt>
                <c:pt idx="1137">
                  <c:v>13.423522048155872</c:v>
                </c:pt>
                <c:pt idx="1138">
                  <c:v>13.423522048155872</c:v>
                </c:pt>
                <c:pt idx="1139">
                  <c:v>13.423522048155872</c:v>
                </c:pt>
                <c:pt idx="1140">
                  <c:v>13.423522048155872</c:v>
                </c:pt>
                <c:pt idx="1141">
                  <c:v>13.423522048155872</c:v>
                </c:pt>
                <c:pt idx="1142">
                  <c:v>13.423522048155872</c:v>
                </c:pt>
                <c:pt idx="1143">
                  <c:v>13.423522048155872</c:v>
                </c:pt>
                <c:pt idx="1144">
                  <c:v>13.423522048155872</c:v>
                </c:pt>
                <c:pt idx="1145">
                  <c:v>13.423522048155872</c:v>
                </c:pt>
                <c:pt idx="1146">
                  <c:v>13.423522048155872</c:v>
                </c:pt>
                <c:pt idx="1147">
                  <c:v>13.423522048155872</c:v>
                </c:pt>
                <c:pt idx="1148">
                  <c:v>13.423522048155872</c:v>
                </c:pt>
                <c:pt idx="1149">
                  <c:v>13.423522048155872</c:v>
                </c:pt>
                <c:pt idx="1150">
                  <c:v>13.423522048155872</c:v>
                </c:pt>
                <c:pt idx="1151">
                  <c:v>13.423522048155872</c:v>
                </c:pt>
                <c:pt idx="1152">
                  <c:v>13.423522048155872</c:v>
                </c:pt>
                <c:pt idx="1153">
                  <c:v>13.423522048155872</c:v>
                </c:pt>
                <c:pt idx="1154">
                  <c:v>13.423522048155872</c:v>
                </c:pt>
                <c:pt idx="1155">
                  <c:v>13.423522048155872</c:v>
                </c:pt>
                <c:pt idx="1156">
                  <c:v>13.423522048155872</c:v>
                </c:pt>
                <c:pt idx="1157">
                  <c:v>13.423522048155872</c:v>
                </c:pt>
                <c:pt idx="1158">
                  <c:v>13.423522048155872</c:v>
                </c:pt>
                <c:pt idx="1159">
                  <c:v>13.423522048155872</c:v>
                </c:pt>
                <c:pt idx="1160">
                  <c:v>13.423522048155872</c:v>
                </c:pt>
                <c:pt idx="1161">
                  <c:v>13.423522048155872</c:v>
                </c:pt>
                <c:pt idx="1162">
                  <c:v>13.423522048155872</c:v>
                </c:pt>
                <c:pt idx="1163">
                  <c:v>13.423522048155872</c:v>
                </c:pt>
                <c:pt idx="1164">
                  <c:v>13.423522048155872</c:v>
                </c:pt>
                <c:pt idx="1165">
                  <c:v>13.423522048155872</c:v>
                </c:pt>
                <c:pt idx="1166">
                  <c:v>13.423522048155872</c:v>
                </c:pt>
                <c:pt idx="1167">
                  <c:v>13.423522048155872</c:v>
                </c:pt>
                <c:pt idx="1168">
                  <c:v>13.423522048155872</c:v>
                </c:pt>
                <c:pt idx="1169">
                  <c:v>13.423522048155872</c:v>
                </c:pt>
                <c:pt idx="1170">
                  <c:v>13.423522048155872</c:v>
                </c:pt>
                <c:pt idx="1171">
                  <c:v>13.423522048155872</c:v>
                </c:pt>
                <c:pt idx="1172">
                  <c:v>13.423522048155872</c:v>
                </c:pt>
                <c:pt idx="1173">
                  <c:v>13.423522048155872</c:v>
                </c:pt>
                <c:pt idx="1174">
                  <c:v>13.423522048155872</c:v>
                </c:pt>
                <c:pt idx="1175">
                  <c:v>13.423522048155872</c:v>
                </c:pt>
                <c:pt idx="1176">
                  <c:v>13.423522048155872</c:v>
                </c:pt>
                <c:pt idx="1177">
                  <c:v>13.423522048155872</c:v>
                </c:pt>
                <c:pt idx="1178">
                  <c:v>13.423522048155872</c:v>
                </c:pt>
                <c:pt idx="1179">
                  <c:v>13.423522048155872</c:v>
                </c:pt>
                <c:pt idx="1180">
                  <c:v>13.423522048155872</c:v>
                </c:pt>
                <c:pt idx="1181">
                  <c:v>13.423522048155872</c:v>
                </c:pt>
                <c:pt idx="1182">
                  <c:v>13.423522048155872</c:v>
                </c:pt>
                <c:pt idx="1183">
                  <c:v>13.423522048155872</c:v>
                </c:pt>
                <c:pt idx="1184">
                  <c:v>13.423522048155872</c:v>
                </c:pt>
                <c:pt idx="1185">
                  <c:v>13.423522048155872</c:v>
                </c:pt>
                <c:pt idx="1186">
                  <c:v>13.423522048155872</c:v>
                </c:pt>
                <c:pt idx="1187">
                  <c:v>13.423522048155872</c:v>
                </c:pt>
                <c:pt idx="1188">
                  <c:v>13.423522048155872</c:v>
                </c:pt>
                <c:pt idx="1189">
                  <c:v>13.423522048155872</c:v>
                </c:pt>
                <c:pt idx="1190">
                  <c:v>13.423522048155872</c:v>
                </c:pt>
                <c:pt idx="1191">
                  <c:v>13.423522048155872</c:v>
                </c:pt>
                <c:pt idx="1192">
                  <c:v>13.423522048155872</c:v>
                </c:pt>
                <c:pt idx="1193">
                  <c:v>13.423522048155872</c:v>
                </c:pt>
                <c:pt idx="1194">
                  <c:v>13.423522048155872</c:v>
                </c:pt>
                <c:pt idx="1195">
                  <c:v>13.423522048155872</c:v>
                </c:pt>
                <c:pt idx="1196">
                  <c:v>13.423522048155872</c:v>
                </c:pt>
                <c:pt idx="1197">
                  <c:v>13.423522048155872</c:v>
                </c:pt>
                <c:pt idx="1198">
                  <c:v>13.423522048155872</c:v>
                </c:pt>
                <c:pt idx="1199">
                  <c:v>13.423522048155872</c:v>
                </c:pt>
                <c:pt idx="1200">
                  <c:v>13.423522048155872</c:v>
                </c:pt>
                <c:pt idx="1201">
                  <c:v>13.423522048155872</c:v>
                </c:pt>
                <c:pt idx="1202">
                  <c:v>13.423522048155872</c:v>
                </c:pt>
                <c:pt idx="1203">
                  <c:v>13.423522048155872</c:v>
                </c:pt>
                <c:pt idx="1204">
                  <c:v>13.423522048155872</c:v>
                </c:pt>
                <c:pt idx="1205">
                  <c:v>13.423522048155872</c:v>
                </c:pt>
                <c:pt idx="1206">
                  <c:v>13.423522048155872</c:v>
                </c:pt>
                <c:pt idx="1207">
                  <c:v>13.423522048155872</c:v>
                </c:pt>
                <c:pt idx="1208">
                  <c:v>13.423522048155872</c:v>
                </c:pt>
                <c:pt idx="1209">
                  <c:v>13.423522048155872</c:v>
                </c:pt>
                <c:pt idx="1210">
                  <c:v>13.423522048155872</c:v>
                </c:pt>
                <c:pt idx="1211">
                  <c:v>13.423522048155872</c:v>
                </c:pt>
                <c:pt idx="1212">
                  <c:v>13.423522048155872</c:v>
                </c:pt>
                <c:pt idx="1213">
                  <c:v>13.423522048155872</c:v>
                </c:pt>
                <c:pt idx="1214">
                  <c:v>13.423522048155872</c:v>
                </c:pt>
                <c:pt idx="1215">
                  <c:v>13.423522048155872</c:v>
                </c:pt>
                <c:pt idx="1216">
                  <c:v>13.423522048155872</c:v>
                </c:pt>
                <c:pt idx="1217">
                  <c:v>13.423522048155872</c:v>
                </c:pt>
                <c:pt idx="1218">
                  <c:v>13.423522048155872</c:v>
                </c:pt>
                <c:pt idx="1219">
                  <c:v>13.423522048155872</c:v>
                </c:pt>
                <c:pt idx="1220">
                  <c:v>13.423522048155872</c:v>
                </c:pt>
                <c:pt idx="1221">
                  <c:v>13.423522048155872</c:v>
                </c:pt>
                <c:pt idx="1222">
                  <c:v>13.423522048155872</c:v>
                </c:pt>
                <c:pt idx="1223">
                  <c:v>13.423522048155872</c:v>
                </c:pt>
                <c:pt idx="1224">
                  <c:v>13.423522048155872</c:v>
                </c:pt>
                <c:pt idx="1225">
                  <c:v>13.423522048155872</c:v>
                </c:pt>
                <c:pt idx="1226">
                  <c:v>13.423522048155872</c:v>
                </c:pt>
                <c:pt idx="1227">
                  <c:v>13.423522048155872</c:v>
                </c:pt>
                <c:pt idx="1228">
                  <c:v>13.423522048155872</c:v>
                </c:pt>
                <c:pt idx="1229">
                  <c:v>13.423522048155872</c:v>
                </c:pt>
                <c:pt idx="1230">
                  <c:v>13.423522048155872</c:v>
                </c:pt>
                <c:pt idx="1231">
                  <c:v>13.423522048155872</c:v>
                </c:pt>
                <c:pt idx="1232">
                  <c:v>13.423522048155872</c:v>
                </c:pt>
                <c:pt idx="1233">
                  <c:v>13.423522048155872</c:v>
                </c:pt>
                <c:pt idx="1234">
                  <c:v>13.423522048155872</c:v>
                </c:pt>
                <c:pt idx="1235">
                  <c:v>13.423522048155872</c:v>
                </c:pt>
                <c:pt idx="1236">
                  <c:v>13.423522048155872</c:v>
                </c:pt>
                <c:pt idx="1237">
                  <c:v>13.423522048155872</c:v>
                </c:pt>
                <c:pt idx="1238">
                  <c:v>13.423522048155872</c:v>
                </c:pt>
                <c:pt idx="1239">
                  <c:v>13.423522048155872</c:v>
                </c:pt>
                <c:pt idx="1240">
                  <c:v>13.423522048155872</c:v>
                </c:pt>
                <c:pt idx="1241">
                  <c:v>13.423522048155872</c:v>
                </c:pt>
                <c:pt idx="1242">
                  <c:v>13.423522048155872</c:v>
                </c:pt>
                <c:pt idx="1243">
                  <c:v>13.423522048155872</c:v>
                </c:pt>
                <c:pt idx="1244">
                  <c:v>13.423522048155872</c:v>
                </c:pt>
                <c:pt idx="1245">
                  <c:v>13.423522048155872</c:v>
                </c:pt>
                <c:pt idx="1246">
                  <c:v>13.423522048155872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B0-454F-ADA1-96CBF634E7E5}"/>
            </c:ext>
          </c:extLst>
        </c:ser>
        <c:ser>
          <c:idx val="2"/>
          <c:order val="1"/>
          <c:tx>
            <c:strRef>
              <c:f>'FX Data'!$H$956</c:f>
              <c:strCache>
                <c:ptCount val="1"/>
                <c:pt idx="0">
                  <c:v>=-1sd</c:v>
                </c:pt>
              </c:strCache>
            </c:strRef>
          </c:tx>
          <c:spPr>
            <a:ln w="12700" cap="rnd">
              <a:solidFill>
                <a:srgbClr val="F79646">
                  <a:lumMod val="60000"/>
                  <a:lumOff val="40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'FX Data'!$B$957:$B$2203</c:f>
              <c:numCache>
                <c:formatCode>m/d/yyyy</c:formatCode>
                <c:ptCount val="1247"/>
                <c:pt idx="0">
                  <c:v>44263</c:v>
                </c:pt>
                <c:pt idx="1">
                  <c:v>44264</c:v>
                </c:pt>
                <c:pt idx="2">
                  <c:v>44265</c:v>
                </c:pt>
                <c:pt idx="3">
                  <c:v>44266</c:v>
                </c:pt>
                <c:pt idx="4">
                  <c:v>44267</c:v>
                </c:pt>
                <c:pt idx="5">
                  <c:v>44270</c:v>
                </c:pt>
                <c:pt idx="6">
                  <c:v>44271</c:v>
                </c:pt>
                <c:pt idx="7">
                  <c:v>44272</c:v>
                </c:pt>
                <c:pt idx="8">
                  <c:v>44273</c:v>
                </c:pt>
                <c:pt idx="9">
                  <c:v>44274</c:v>
                </c:pt>
                <c:pt idx="10">
                  <c:v>44277</c:v>
                </c:pt>
                <c:pt idx="11">
                  <c:v>44278</c:v>
                </c:pt>
                <c:pt idx="12">
                  <c:v>44279</c:v>
                </c:pt>
                <c:pt idx="13">
                  <c:v>44280</c:v>
                </c:pt>
                <c:pt idx="14">
                  <c:v>44281</c:v>
                </c:pt>
                <c:pt idx="15">
                  <c:v>44284</c:v>
                </c:pt>
                <c:pt idx="16">
                  <c:v>44285</c:v>
                </c:pt>
                <c:pt idx="17">
                  <c:v>44286</c:v>
                </c:pt>
                <c:pt idx="18">
                  <c:v>44287</c:v>
                </c:pt>
                <c:pt idx="19">
                  <c:v>44288</c:v>
                </c:pt>
                <c:pt idx="20">
                  <c:v>44291</c:v>
                </c:pt>
                <c:pt idx="21">
                  <c:v>44292</c:v>
                </c:pt>
                <c:pt idx="22">
                  <c:v>44293</c:v>
                </c:pt>
                <c:pt idx="23">
                  <c:v>44294</c:v>
                </c:pt>
                <c:pt idx="24">
                  <c:v>44295</c:v>
                </c:pt>
                <c:pt idx="25">
                  <c:v>44298</c:v>
                </c:pt>
                <c:pt idx="26">
                  <c:v>44299</c:v>
                </c:pt>
                <c:pt idx="27">
                  <c:v>44300</c:v>
                </c:pt>
                <c:pt idx="28">
                  <c:v>44301</c:v>
                </c:pt>
                <c:pt idx="29">
                  <c:v>44302</c:v>
                </c:pt>
                <c:pt idx="30">
                  <c:v>44305</c:v>
                </c:pt>
                <c:pt idx="31">
                  <c:v>44306</c:v>
                </c:pt>
                <c:pt idx="32">
                  <c:v>44308</c:v>
                </c:pt>
                <c:pt idx="33">
                  <c:v>44309</c:v>
                </c:pt>
                <c:pt idx="34">
                  <c:v>44312</c:v>
                </c:pt>
                <c:pt idx="35">
                  <c:v>44313</c:v>
                </c:pt>
                <c:pt idx="36">
                  <c:v>44314</c:v>
                </c:pt>
                <c:pt idx="37">
                  <c:v>44315</c:v>
                </c:pt>
                <c:pt idx="38">
                  <c:v>44320</c:v>
                </c:pt>
                <c:pt idx="39">
                  <c:v>44321</c:v>
                </c:pt>
                <c:pt idx="40">
                  <c:v>44322</c:v>
                </c:pt>
                <c:pt idx="41">
                  <c:v>44323</c:v>
                </c:pt>
                <c:pt idx="42">
                  <c:v>44326</c:v>
                </c:pt>
                <c:pt idx="43">
                  <c:v>44327</c:v>
                </c:pt>
                <c:pt idx="44">
                  <c:v>44328</c:v>
                </c:pt>
                <c:pt idx="45">
                  <c:v>44329</c:v>
                </c:pt>
                <c:pt idx="46">
                  <c:v>44330</c:v>
                </c:pt>
                <c:pt idx="47">
                  <c:v>44333</c:v>
                </c:pt>
                <c:pt idx="48">
                  <c:v>44334</c:v>
                </c:pt>
                <c:pt idx="49">
                  <c:v>44335</c:v>
                </c:pt>
                <c:pt idx="50">
                  <c:v>44336</c:v>
                </c:pt>
                <c:pt idx="51">
                  <c:v>44337</c:v>
                </c:pt>
                <c:pt idx="52">
                  <c:v>44340</c:v>
                </c:pt>
                <c:pt idx="53">
                  <c:v>44341</c:v>
                </c:pt>
                <c:pt idx="54">
                  <c:v>44342</c:v>
                </c:pt>
                <c:pt idx="55">
                  <c:v>44343</c:v>
                </c:pt>
                <c:pt idx="56">
                  <c:v>44344</c:v>
                </c:pt>
                <c:pt idx="57">
                  <c:v>44347</c:v>
                </c:pt>
                <c:pt idx="58">
                  <c:v>44348</c:v>
                </c:pt>
                <c:pt idx="59">
                  <c:v>44349</c:v>
                </c:pt>
                <c:pt idx="60">
                  <c:v>44350</c:v>
                </c:pt>
                <c:pt idx="61">
                  <c:v>44351</c:v>
                </c:pt>
                <c:pt idx="62">
                  <c:v>44354</c:v>
                </c:pt>
                <c:pt idx="63">
                  <c:v>44355</c:v>
                </c:pt>
                <c:pt idx="64">
                  <c:v>44356</c:v>
                </c:pt>
                <c:pt idx="65">
                  <c:v>44357</c:v>
                </c:pt>
                <c:pt idx="66">
                  <c:v>44358</c:v>
                </c:pt>
                <c:pt idx="67">
                  <c:v>44361</c:v>
                </c:pt>
                <c:pt idx="68">
                  <c:v>44362</c:v>
                </c:pt>
                <c:pt idx="69">
                  <c:v>44363</c:v>
                </c:pt>
                <c:pt idx="70">
                  <c:v>44364</c:v>
                </c:pt>
                <c:pt idx="71">
                  <c:v>44365</c:v>
                </c:pt>
                <c:pt idx="72">
                  <c:v>44368</c:v>
                </c:pt>
                <c:pt idx="73">
                  <c:v>44369</c:v>
                </c:pt>
                <c:pt idx="74">
                  <c:v>44370</c:v>
                </c:pt>
                <c:pt idx="75">
                  <c:v>44371</c:v>
                </c:pt>
                <c:pt idx="76">
                  <c:v>44372</c:v>
                </c:pt>
                <c:pt idx="77">
                  <c:v>44375</c:v>
                </c:pt>
                <c:pt idx="78">
                  <c:v>44376</c:v>
                </c:pt>
                <c:pt idx="79">
                  <c:v>44377</c:v>
                </c:pt>
                <c:pt idx="80">
                  <c:v>44378</c:v>
                </c:pt>
                <c:pt idx="81">
                  <c:v>44379</c:v>
                </c:pt>
                <c:pt idx="82">
                  <c:v>44382</c:v>
                </c:pt>
                <c:pt idx="83">
                  <c:v>44383</c:v>
                </c:pt>
                <c:pt idx="84">
                  <c:v>44384</c:v>
                </c:pt>
                <c:pt idx="85">
                  <c:v>44385</c:v>
                </c:pt>
                <c:pt idx="86">
                  <c:v>44386</c:v>
                </c:pt>
                <c:pt idx="87">
                  <c:v>44389</c:v>
                </c:pt>
                <c:pt idx="88">
                  <c:v>44390</c:v>
                </c:pt>
                <c:pt idx="89">
                  <c:v>44391</c:v>
                </c:pt>
                <c:pt idx="90">
                  <c:v>44392</c:v>
                </c:pt>
                <c:pt idx="91">
                  <c:v>44393</c:v>
                </c:pt>
                <c:pt idx="92">
                  <c:v>44396</c:v>
                </c:pt>
                <c:pt idx="93">
                  <c:v>44397</c:v>
                </c:pt>
                <c:pt idx="94">
                  <c:v>44398</c:v>
                </c:pt>
                <c:pt idx="95">
                  <c:v>44399</c:v>
                </c:pt>
                <c:pt idx="96">
                  <c:v>44400</c:v>
                </c:pt>
                <c:pt idx="97">
                  <c:v>44403</c:v>
                </c:pt>
                <c:pt idx="98">
                  <c:v>44404</c:v>
                </c:pt>
                <c:pt idx="99">
                  <c:v>44405</c:v>
                </c:pt>
                <c:pt idx="100">
                  <c:v>44406</c:v>
                </c:pt>
                <c:pt idx="101">
                  <c:v>44407</c:v>
                </c:pt>
                <c:pt idx="102">
                  <c:v>44410</c:v>
                </c:pt>
                <c:pt idx="103">
                  <c:v>44411</c:v>
                </c:pt>
                <c:pt idx="104">
                  <c:v>44412</c:v>
                </c:pt>
                <c:pt idx="105">
                  <c:v>44413</c:v>
                </c:pt>
                <c:pt idx="106">
                  <c:v>44414</c:v>
                </c:pt>
                <c:pt idx="107">
                  <c:v>44417</c:v>
                </c:pt>
                <c:pt idx="108">
                  <c:v>44418</c:v>
                </c:pt>
                <c:pt idx="109">
                  <c:v>44419</c:v>
                </c:pt>
                <c:pt idx="110">
                  <c:v>44420</c:v>
                </c:pt>
                <c:pt idx="111">
                  <c:v>44421</c:v>
                </c:pt>
                <c:pt idx="112">
                  <c:v>44424</c:v>
                </c:pt>
                <c:pt idx="113">
                  <c:v>44425</c:v>
                </c:pt>
                <c:pt idx="114">
                  <c:v>44426</c:v>
                </c:pt>
                <c:pt idx="115">
                  <c:v>44427</c:v>
                </c:pt>
                <c:pt idx="116">
                  <c:v>44428</c:v>
                </c:pt>
                <c:pt idx="117">
                  <c:v>44431</c:v>
                </c:pt>
                <c:pt idx="118">
                  <c:v>44432</c:v>
                </c:pt>
                <c:pt idx="119">
                  <c:v>44433</c:v>
                </c:pt>
                <c:pt idx="120">
                  <c:v>44434</c:v>
                </c:pt>
                <c:pt idx="121">
                  <c:v>44435</c:v>
                </c:pt>
                <c:pt idx="122">
                  <c:v>44438</c:v>
                </c:pt>
                <c:pt idx="123">
                  <c:v>44439</c:v>
                </c:pt>
                <c:pt idx="124">
                  <c:v>44440</c:v>
                </c:pt>
                <c:pt idx="125">
                  <c:v>44445</c:v>
                </c:pt>
                <c:pt idx="126">
                  <c:v>44446</c:v>
                </c:pt>
                <c:pt idx="127">
                  <c:v>44447</c:v>
                </c:pt>
                <c:pt idx="128">
                  <c:v>44448</c:v>
                </c:pt>
                <c:pt idx="129">
                  <c:v>44449</c:v>
                </c:pt>
                <c:pt idx="130">
                  <c:v>44452</c:v>
                </c:pt>
                <c:pt idx="131">
                  <c:v>44453</c:v>
                </c:pt>
                <c:pt idx="132">
                  <c:v>44454</c:v>
                </c:pt>
                <c:pt idx="133">
                  <c:v>44455</c:v>
                </c:pt>
                <c:pt idx="134">
                  <c:v>44456</c:v>
                </c:pt>
                <c:pt idx="135">
                  <c:v>44459</c:v>
                </c:pt>
                <c:pt idx="136">
                  <c:v>44460</c:v>
                </c:pt>
                <c:pt idx="137">
                  <c:v>44461</c:v>
                </c:pt>
                <c:pt idx="138">
                  <c:v>44462</c:v>
                </c:pt>
                <c:pt idx="139">
                  <c:v>44463</c:v>
                </c:pt>
                <c:pt idx="140">
                  <c:v>44466</c:v>
                </c:pt>
                <c:pt idx="141">
                  <c:v>44467</c:v>
                </c:pt>
                <c:pt idx="142">
                  <c:v>44468</c:v>
                </c:pt>
                <c:pt idx="143">
                  <c:v>44469</c:v>
                </c:pt>
                <c:pt idx="144">
                  <c:v>44470</c:v>
                </c:pt>
                <c:pt idx="145">
                  <c:v>44473</c:v>
                </c:pt>
                <c:pt idx="146">
                  <c:v>44474</c:v>
                </c:pt>
                <c:pt idx="147">
                  <c:v>44475</c:v>
                </c:pt>
                <c:pt idx="148">
                  <c:v>44476</c:v>
                </c:pt>
                <c:pt idx="149">
                  <c:v>44477</c:v>
                </c:pt>
                <c:pt idx="150">
                  <c:v>44480</c:v>
                </c:pt>
                <c:pt idx="151">
                  <c:v>44481</c:v>
                </c:pt>
                <c:pt idx="152">
                  <c:v>44482</c:v>
                </c:pt>
                <c:pt idx="153">
                  <c:v>44483</c:v>
                </c:pt>
                <c:pt idx="154">
                  <c:v>44484</c:v>
                </c:pt>
                <c:pt idx="155">
                  <c:v>44487</c:v>
                </c:pt>
                <c:pt idx="156">
                  <c:v>44488</c:v>
                </c:pt>
                <c:pt idx="157">
                  <c:v>44489</c:v>
                </c:pt>
                <c:pt idx="158">
                  <c:v>44490</c:v>
                </c:pt>
                <c:pt idx="159">
                  <c:v>44491</c:v>
                </c:pt>
                <c:pt idx="160">
                  <c:v>44494</c:v>
                </c:pt>
                <c:pt idx="161">
                  <c:v>44495</c:v>
                </c:pt>
                <c:pt idx="162">
                  <c:v>44496</c:v>
                </c:pt>
                <c:pt idx="163">
                  <c:v>44497</c:v>
                </c:pt>
                <c:pt idx="164">
                  <c:v>44498</c:v>
                </c:pt>
                <c:pt idx="165">
                  <c:v>44501</c:v>
                </c:pt>
                <c:pt idx="166">
                  <c:v>44502</c:v>
                </c:pt>
                <c:pt idx="167">
                  <c:v>44503</c:v>
                </c:pt>
                <c:pt idx="168">
                  <c:v>44504</c:v>
                </c:pt>
                <c:pt idx="169">
                  <c:v>44505</c:v>
                </c:pt>
                <c:pt idx="170">
                  <c:v>44508</c:v>
                </c:pt>
                <c:pt idx="171">
                  <c:v>44509</c:v>
                </c:pt>
                <c:pt idx="172">
                  <c:v>44510</c:v>
                </c:pt>
                <c:pt idx="173">
                  <c:v>44511</c:v>
                </c:pt>
                <c:pt idx="174">
                  <c:v>44512</c:v>
                </c:pt>
                <c:pt idx="175">
                  <c:v>44515</c:v>
                </c:pt>
                <c:pt idx="176">
                  <c:v>44516</c:v>
                </c:pt>
                <c:pt idx="177">
                  <c:v>44517</c:v>
                </c:pt>
                <c:pt idx="178">
                  <c:v>44518</c:v>
                </c:pt>
                <c:pt idx="179">
                  <c:v>44519</c:v>
                </c:pt>
                <c:pt idx="180">
                  <c:v>44522</c:v>
                </c:pt>
                <c:pt idx="181">
                  <c:v>44523</c:v>
                </c:pt>
                <c:pt idx="182">
                  <c:v>44524</c:v>
                </c:pt>
                <c:pt idx="183">
                  <c:v>44525</c:v>
                </c:pt>
                <c:pt idx="184">
                  <c:v>44526</c:v>
                </c:pt>
                <c:pt idx="185">
                  <c:v>44529</c:v>
                </c:pt>
                <c:pt idx="186">
                  <c:v>44530</c:v>
                </c:pt>
                <c:pt idx="187">
                  <c:v>44531</c:v>
                </c:pt>
                <c:pt idx="188">
                  <c:v>44532</c:v>
                </c:pt>
                <c:pt idx="189">
                  <c:v>44533</c:v>
                </c:pt>
                <c:pt idx="190">
                  <c:v>44536</c:v>
                </c:pt>
                <c:pt idx="191">
                  <c:v>44537</c:v>
                </c:pt>
                <c:pt idx="192">
                  <c:v>44538</c:v>
                </c:pt>
                <c:pt idx="193">
                  <c:v>44539</c:v>
                </c:pt>
                <c:pt idx="194">
                  <c:v>44540</c:v>
                </c:pt>
                <c:pt idx="195">
                  <c:v>44543</c:v>
                </c:pt>
                <c:pt idx="196">
                  <c:v>44544</c:v>
                </c:pt>
                <c:pt idx="197">
                  <c:v>44545</c:v>
                </c:pt>
                <c:pt idx="198">
                  <c:v>44546</c:v>
                </c:pt>
                <c:pt idx="199">
                  <c:v>44547</c:v>
                </c:pt>
                <c:pt idx="200">
                  <c:v>44550</c:v>
                </c:pt>
                <c:pt idx="201">
                  <c:v>44551</c:v>
                </c:pt>
                <c:pt idx="202">
                  <c:v>44552</c:v>
                </c:pt>
                <c:pt idx="203">
                  <c:v>44553</c:v>
                </c:pt>
                <c:pt idx="204">
                  <c:v>44554</c:v>
                </c:pt>
                <c:pt idx="205">
                  <c:v>44557</c:v>
                </c:pt>
                <c:pt idx="206">
                  <c:v>44558</c:v>
                </c:pt>
                <c:pt idx="207">
                  <c:v>44559</c:v>
                </c:pt>
                <c:pt idx="208">
                  <c:v>44560</c:v>
                </c:pt>
                <c:pt idx="209">
                  <c:v>44561</c:v>
                </c:pt>
                <c:pt idx="210">
                  <c:v>44565</c:v>
                </c:pt>
                <c:pt idx="211">
                  <c:v>44566</c:v>
                </c:pt>
                <c:pt idx="212">
                  <c:v>44567</c:v>
                </c:pt>
                <c:pt idx="213">
                  <c:v>44568</c:v>
                </c:pt>
                <c:pt idx="214">
                  <c:v>44571</c:v>
                </c:pt>
                <c:pt idx="215">
                  <c:v>44572</c:v>
                </c:pt>
                <c:pt idx="216">
                  <c:v>44573</c:v>
                </c:pt>
                <c:pt idx="217">
                  <c:v>44574</c:v>
                </c:pt>
                <c:pt idx="218">
                  <c:v>44575</c:v>
                </c:pt>
                <c:pt idx="219">
                  <c:v>44578</c:v>
                </c:pt>
                <c:pt idx="220">
                  <c:v>44579</c:v>
                </c:pt>
                <c:pt idx="221">
                  <c:v>44580</c:v>
                </c:pt>
                <c:pt idx="222">
                  <c:v>44581</c:v>
                </c:pt>
                <c:pt idx="223">
                  <c:v>44582</c:v>
                </c:pt>
                <c:pt idx="224">
                  <c:v>44585</c:v>
                </c:pt>
                <c:pt idx="225">
                  <c:v>44586</c:v>
                </c:pt>
                <c:pt idx="226">
                  <c:v>44587</c:v>
                </c:pt>
                <c:pt idx="227">
                  <c:v>44588</c:v>
                </c:pt>
                <c:pt idx="228">
                  <c:v>44589</c:v>
                </c:pt>
                <c:pt idx="229">
                  <c:v>44599</c:v>
                </c:pt>
                <c:pt idx="230">
                  <c:v>44600</c:v>
                </c:pt>
                <c:pt idx="231">
                  <c:v>44601</c:v>
                </c:pt>
                <c:pt idx="232">
                  <c:v>44602</c:v>
                </c:pt>
                <c:pt idx="233">
                  <c:v>44603</c:v>
                </c:pt>
                <c:pt idx="234">
                  <c:v>44606</c:v>
                </c:pt>
                <c:pt idx="235">
                  <c:v>44607</c:v>
                </c:pt>
                <c:pt idx="236">
                  <c:v>44608</c:v>
                </c:pt>
                <c:pt idx="237">
                  <c:v>44609</c:v>
                </c:pt>
                <c:pt idx="238">
                  <c:v>44610</c:v>
                </c:pt>
                <c:pt idx="239">
                  <c:v>44613</c:v>
                </c:pt>
                <c:pt idx="240">
                  <c:v>44614</c:v>
                </c:pt>
                <c:pt idx="241">
                  <c:v>44615</c:v>
                </c:pt>
                <c:pt idx="242">
                  <c:v>44616</c:v>
                </c:pt>
                <c:pt idx="243">
                  <c:v>44617</c:v>
                </c:pt>
                <c:pt idx="244">
                  <c:v>44620</c:v>
                </c:pt>
                <c:pt idx="245">
                  <c:v>44621</c:v>
                </c:pt>
                <c:pt idx="246">
                  <c:v>44622</c:v>
                </c:pt>
                <c:pt idx="247">
                  <c:v>44623</c:v>
                </c:pt>
                <c:pt idx="248">
                  <c:v>44624</c:v>
                </c:pt>
                <c:pt idx="249">
                  <c:v>44627</c:v>
                </c:pt>
                <c:pt idx="250">
                  <c:v>44628</c:v>
                </c:pt>
                <c:pt idx="251">
                  <c:v>44629</c:v>
                </c:pt>
                <c:pt idx="252">
                  <c:v>44630</c:v>
                </c:pt>
                <c:pt idx="253">
                  <c:v>44631</c:v>
                </c:pt>
                <c:pt idx="254">
                  <c:v>44634</c:v>
                </c:pt>
                <c:pt idx="255">
                  <c:v>44635</c:v>
                </c:pt>
                <c:pt idx="256">
                  <c:v>44636</c:v>
                </c:pt>
                <c:pt idx="257">
                  <c:v>44637</c:v>
                </c:pt>
                <c:pt idx="258">
                  <c:v>44638</c:v>
                </c:pt>
                <c:pt idx="259">
                  <c:v>44641</c:v>
                </c:pt>
                <c:pt idx="260">
                  <c:v>44642</c:v>
                </c:pt>
                <c:pt idx="261">
                  <c:v>44643</c:v>
                </c:pt>
                <c:pt idx="262">
                  <c:v>44644</c:v>
                </c:pt>
                <c:pt idx="263">
                  <c:v>44645</c:v>
                </c:pt>
                <c:pt idx="264">
                  <c:v>44648</c:v>
                </c:pt>
                <c:pt idx="265">
                  <c:v>44649</c:v>
                </c:pt>
                <c:pt idx="266">
                  <c:v>44650</c:v>
                </c:pt>
                <c:pt idx="267">
                  <c:v>44651</c:v>
                </c:pt>
                <c:pt idx="268">
                  <c:v>44652</c:v>
                </c:pt>
                <c:pt idx="269">
                  <c:v>44655</c:v>
                </c:pt>
                <c:pt idx="270">
                  <c:v>44656</c:v>
                </c:pt>
                <c:pt idx="271">
                  <c:v>44657</c:v>
                </c:pt>
                <c:pt idx="272">
                  <c:v>44658</c:v>
                </c:pt>
                <c:pt idx="273">
                  <c:v>44659</c:v>
                </c:pt>
                <c:pt idx="274">
                  <c:v>44663</c:v>
                </c:pt>
                <c:pt idx="275">
                  <c:v>44664</c:v>
                </c:pt>
                <c:pt idx="276">
                  <c:v>44665</c:v>
                </c:pt>
                <c:pt idx="277">
                  <c:v>44666</c:v>
                </c:pt>
                <c:pt idx="278">
                  <c:v>44669</c:v>
                </c:pt>
                <c:pt idx="279">
                  <c:v>44670</c:v>
                </c:pt>
                <c:pt idx="280">
                  <c:v>44671</c:v>
                </c:pt>
                <c:pt idx="281">
                  <c:v>44672</c:v>
                </c:pt>
                <c:pt idx="282">
                  <c:v>44673</c:v>
                </c:pt>
                <c:pt idx="283">
                  <c:v>44676</c:v>
                </c:pt>
                <c:pt idx="284">
                  <c:v>44677</c:v>
                </c:pt>
                <c:pt idx="285">
                  <c:v>44678</c:v>
                </c:pt>
                <c:pt idx="286">
                  <c:v>44679</c:v>
                </c:pt>
                <c:pt idx="287">
                  <c:v>44680</c:v>
                </c:pt>
                <c:pt idx="288">
                  <c:v>44685</c:v>
                </c:pt>
                <c:pt idx="289">
                  <c:v>44686</c:v>
                </c:pt>
                <c:pt idx="290">
                  <c:v>44687</c:v>
                </c:pt>
                <c:pt idx="291">
                  <c:v>44690</c:v>
                </c:pt>
                <c:pt idx="292">
                  <c:v>44691</c:v>
                </c:pt>
                <c:pt idx="293">
                  <c:v>44692</c:v>
                </c:pt>
                <c:pt idx="294">
                  <c:v>44693</c:v>
                </c:pt>
                <c:pt idx="295">
                  <c:v>44694</c:v>
                </c:pt>
                <c:pt idx="296">
                  <c:v>44697</c:v>
                </c:pt>
                <c:pt idx="297">
                  <c:v>44698</c:v>
                </c:pt>
                <c:pt idx="298">
                  <c:v>44699</c:v>
                </c:pt>
                <c:pt idx="299">
                  <c:v>44700</c:v>
                </c:pt>
                <c:pt idx="300">
                  <c:v>44701</c:v>
                </c:pt>
                <c:pt idx="301">
                  <c:v>44704</c:v>
                </c:pt>
                <c:pt idx="302">
                  <c:v>44705</c:v>
                </c:pt>
                <c:pt idx="303">
                  <c:v>44706</c:v>
                </c:pt>
                <c:pt idx="304">
                  <c:v>44707</c:v>
                </c:pt>
                <c:pt idx="305">
                  <c:v>44708</c:v>
                </c:pt>
                <c:pt idx="306">
                  <c:v>44711</c:v>
                </c:pt>
                <c:pt idx="307">
                  <c:v>44712</c:v>
                </c:pt>
                <c:pt idx="308">
                  <c:v>44713</c:v>
                </c:pt>
                <c:pt idx="309">
                  <c:v>44714</c:v>
                </c:pt>
                <c:pt idx="310">
                  <c:v>44715</c:v>
                </c:pt>
                <c:pt idx="311">
                  <c:v>44718</c:v>
                </c:pt>
                <c:pt idx="312">
                  <c:v>44719</c:v>
                </c:pt>
                <c:pt idx="313">
                  <c:v>44720</c:v>
                </c:pt>
                <c:pt idx="314">
                  <c:v>44721</c:v>
                </c:pt>
                <c:pt idx="315">
                  <c:v>44722</c:v>
                </c:pt>
                <c:pt idx="316">
                  <c:v>44725</c:v>
                </c:pt>
                <c:pt idx="317">
                  <c:v>44726</c:v>
                </c:pt>
                <c:pt idx="318">
                  <c:v>44727</c:v>
                </c:pt>
                <c:pt idx="319">
                  <c:v>44728</c:v>
                </c:pt>
                <c:pt idx="320">
                  <c:v>44729</c:v>
                </c:pt>
                <c:pt idx="321">
                  <c:v>44732</c:v>
                </c:pt>
                <c:pt idx="322">
                  <c:v>44733</c:v>
                </c:pt>
                <c:pt idx="323">
                  <c:v>44734</c:v>
                </c:pt>
                <c:pt idx="324">
                  <c:v>44735</c:v>
                </c:pt>
                <c:pt idx="325">
                  <c:v>44736</c:v>
                </c:pt>
                <c:pt idx="326">
                  <c:v>44739</c:v>
                </c:pt>
                <c:pt idx="327">
                  <c:v>44740</c:v>
                </c:pt>
                <c:pt idx="328">
                  <c:v>44741</c:v>
                </c:pt>
                <c:pt idx="329">
                  <c:v>44742</c:v>
                </c:pt>
                <c:pt idx="330">
                  <c:v>44743</c:v>
                </c:pt>
                <c:pt idx="331">
                  <c:v>44746</c:v>
                </c:pt>
                <c:pt idx="332">
                  <c:v>44747</c:v>
                </c:pt>
                <c:pt idx="333">
                  <c:v>44748</c:v>
                </c:pt>
                <c:pt idx="334">
                  <c:v>44749</c:v>
                </c:pt>
                <c:pt idx="335">
                  <c:v>44750</c:v>
                </c:pt>
                <c:pt idx="336">
                  <c:v>44753</c:v>
                </c:pt>
                <c:pt idx="337">
                  <c:v>44754</c:v>
                </c:pt>
                <c:pt idx="338">
                  <c:v>44755</c:v>
                </c:pt>
                <c:pt idx="339">
                  <c:v>44756</c:v>
                </c:pt>
                <c:pt idx="340">
                  <c:v>44757</c:v>
                </c:pt>
                <c:pt idx="341">
                  <c:v>44760</c:v>
                </c:pt>
                <c:pt idx="342">
                  <c:v>44761</c:v>
                </c:pt>
                <c:pt idx="343">
                  <c:v>44762</c:v>
                </c:pt>
                <c:pt idx="344">
                  <c:v>44763</c:v>
                </c:pt>
                <c:pt idx="345">
                  <c:v>44764</c:v>
                </c:pt>
                <c:pt idx="346">
                  <c:v>44767</c:v>
                </c:pt>
                <c:pt idx="347">
                  <c:v>44768</c:v>
                </c:pt>
                <c:pt idx="348">
                  <c:v>44769</c:v>
                </c:pt>
                <c:pt idx="349">
                  <c:v>44770</c:v>
                </c:pt>
                <c:pt idx="350">
                  <c:v>44771</c:v>
                </c:pt>
                <c:pt idx="351">
                  <c:v>44774</c:v>
                </c:pt>
                <c:pt idx="352">
                  <c:v>44775</c:v>
                </c:pt>
                <c:pt idx="353">
                  <c:v>44776</c:v>
                </c:pt>
                <c:pt idx="354">
                  <c:v>44777</c:v>
                </c:pt>
                <c:pt idx="355">
                  <c:v>44778</c:v>
                </c:pt>
                <c:pt idx="356">
                  <c:v>44781</c:v>
                </c:pt>
                <c:pt idx="357">
                  <c:v>44782</c:v>
                </c:pt>
                <c:pt idx="358">
                  <c:v>44783</c:v>
                </c:pt>
                <c:pt idx="359">
                  <c:v>44784</c:v>
                </c:pt>
                <c:pt idx="360">
                  <c:v>44785</c:v>
                </c:pt>
                <c:pt idx="361">
                  <c:v>44788</c:v>
                </c:pt>
                <c:pt idx="362">
                  <c:v>44789</c:v>
                </c:pt>
                <c:pt idx="363">
                  <c:v>44790</c:v>
                </c:pt>
                <c:pt idx="364">
                  <c:v>44791</c:v>
                </c:pt>
                <c:pt idx="365">
                  <c:v>44792</c:v>
                </c:pt>
                <c:pt idx="366">
                  <c:v>44795</c:v>
                </c:pt>
                <c:pt idx="367">
                  <c:v>44796</c:v>
                </c:pt>
                <c:pt idx="368">
                  <c:v>44797</c:v>
                </c:pt>
                <c:pt idx="369">
                  <c:v>44798</c:v>
                </c:pt>
                <c:pt idx="370">
                  <c:v>44799</c:v>
                </c:pt>
                <c:pt idx="371">
                  <c:v>44802</c:v>
                </c:pt>
                <c:pt idx="372">
                  <c:v>44803</c:v>
                </c:pt>
                <c:pt idx="373">
                  <c:v>44804</c:v>
                </c:pt>
                <c:pt idx="374">
                  <c:v>44809</c:v>
                </c:pt>
                <c:pt idx="375">
                  <c:v>44810</c:v>
                </c:pt>
                <c:pt idx="376">
                  <c:v>44811</c:v>
                </c:pt>
                <c:pt idx="377">
                  <c:v>44812</c:v>
                </c:pt>
                <c:pt idx="378">
                  <c:v>44813</c:v>
                </c:pt>
                <c:pt idx="379">
                  <c:v>44816</c:v>
                </c:pt>
                <c:pt idx="380">
                  <c:v>44817</c:v>
                </c:pt>
                <c:pt idx="381">
                  <c:v>44818</c:v>
                </c:pt>
                <c:pt idx="382">
                  <c:v>44819</c:v>
                </c:pt>
                <c:pt idx="383">
                  <c:v>44820</c:v>
                </c:pt>
                <c:pt idx="384">
                  <c:v>44823</c:v>
                </c:pt>
                <c:pt idx="385">
                  <c:v>44824</c:v>
                </c:pt>
                <c:pt idx="386">
                  <c:v>44825</c:v>
                </c:pt>
                <c:pt idx="387">
                  <c:v>44826</c:v>
                </c:pt>
                <c:pt idx="388">
                  <c:v>44827</c:v>
                </c:pt>
                <c:pt idx="389">
                  <c:v>44830</c:v>
                </c:pt>
                <c:pt idx="390">
                  <c:v>44831</c:v>
                </c:pt>
                <c:pt idx="391">
                  <c:v>44832</c:v>
                </c:pt>
                <c:pt idx="392">
                  <c:v>44833</c:v>
                </c:pt>
                <c:pt idx="393">
                  <c:v>44834</c:v>
                </c:pt>
                <c:pt idx="394">
                  <c:v>44837</c:v>
                </c:pt>
                <c:pt idx="395">
                  <c:v>44838</c:v>
                </c:pt>
                <c:pt idx="396">
                  <c:v>44839</c:v>
                </c:pt>
                <c:pt idx="397">
                  <c:v>44840</c:v>
                </c:pt>
                <c:pt idx="398">
                  <c:v>44841</c:v>
                </c:pt>
                <c:pt idx="399">
                  <c:v>44844</c:v>
                </c:pt>
                <c:pt idx="400">
                  <c:v>44845</c:v>
                </c:pt>
                <c:pt idx="401">
                  <c:v>44846</c:v>
                </c:pt>
                <c:pt idx="402">
                  <c:v>44847</c:v>
                </c:pt>
                <c:pt idx="403">
                  <c:v>44848</c:v>
                </c:pt>
                <c:pt idx="404">
                  <c:v>44851</c:v>
                </c:pt>
                <c:pt idx="405">
                  <c:v>44852</c:v>
                </c:pt>
                <c:pt idx="406">
                  <c:v>44853</c:v>
                </c:pt>
                <c:pt idx="407">
                  <c:v>44854</c:v>
                </c:pt>
                <c:pt idx="408">
                  <c:v>44855</c:v>
                </c:pt>
                <c:pt idx="409">
                  <c:v>44858</c:v>
                </c:pt>
                <c:pt idx="410">
                  <c:v>44859</c:v>
                </c:pt>
                <c:pt idx="411">
                  <c:v>44860</c:v>
                </c:pt>
                <c:pt idx="412">
                  <c:v>44861</c:v>
                </c:pt>
                <c:pt idx="413">
                  <c:v>44862</c:v>
                </c:pt>
                <c:pt idx="414">
                  <c:v>44865</c:v>
                </c:pt>
                <c:pt idx="415">
                  <c:v>44866</c:v>
                </c:pt>
                <c:pt idx="416">
                  <c:v>44867</c:v>
                </c:pt>
                <c:pt idx="417">
                  <c:v>44868</c:v>
                </c:pt>
                <c:pt idx="418">
                  <c:v>44869</c:v>
                </c:pt>
                <c:pt idx="419">
                  <c:v>44872</c:v>
                </c:pt>
                <c:pt idx="420">
                  <c:v>44873</c:v>
                </c:pt>
                <c:pt idx="421">
                  <c:v>44874</c:v>
                </c:pt>
                <c:pt idx="422">
                  <c:v>44875</c:v>
                </c:pt>
                <c:pt idx="423">
                  <c:v>44876</c:v>
                </c:pt>
                <c:pt idx="424">
                  <c:v>44879</c:v>
                </c:pt>
                <c:pt idx="425">
                  <c:v>44880</c:v>
                </c:pt>
                <c:pt idx="426">
                  <c:v>44881</c:v>
                </c:pt>
                <c:pt idx="427">
                  <c:v>44882</c:v>
                </c:pt>
                <c:pt idx="428">
                  <c:v>44883</c:v>
                </c:pt>
                <c:pt idx="429">
                  <c:v>44886</c:v>
                </c:pt>
                <c:pt idx="430">
                  <c:v>44887</c:v>
                </c:pt>
                <c:pt idx="431">
                  <c:v>44888</c:v>
                </c:pt>
                <c:pt idx="432">
                  <c:v>44889</c:v>
                </c:pt>
                <c:pt idx="433">
                  <c:v>44890</c:v>
                </c:pt>
                <c:pt idx="434">
                  <c:v>44893</c:v>
                </c:pt>
                <c:pt idx="435">
                  <c:v>44894</c:v>
                </c:pt>
                <c:pt idx="436">
                  <c:v>44895</c:v>
                </c:pt>
                <c:pt idx="437">
                  <c:v>44896</c:v>
                </c:pt>
                <c:pt idx="438">
                  <c:v>44897</c:v>
                </c:pt>
                <c:pt idx="439">
                  <c:v>44900</c:v>
                </c:pt>
                <c:pt idx="440">
                  <c:v>44901</c:v>
                </c:pt>
                <c:pt idx="441">
                  <c:v>44902</c:v>
                </c:pt>
                <c:pt idx="442">
                  <c:v>44903</c:v>
                </c:pt>
                <c:pt idx="443">
                  <c:v>44904</c:v>
                </c:pt>
                <c:pt idx="444">
                  <c:v>44907</c:v>
                </c:pt>
                <c:pt idx="445">
                  <c:v>44908</c:v>
                </c:pt>
                <c:pt idx="446">
                  <c:v>44909</c:v>
                </c:pt>
                <c:pt idx="447">
                  <c:v>44910</c:v>
                </c:pt>
                <c:pt idx="448">
                  <c:v>44911</c:v>
                </c:pt>
                <c:pt idx="449">
                  <c:v>44914</c:v>
                </c:pt>
                <c:pt idx="450">
                  <c:v>44915</c:v>
                </c:pt>
                <c:pt idx="451">
                  <c:v>44916</c:v>
                </c:pt>
                <c:pt idx="452">
                  <c:v>44917</c:v>
                </c:pt>
                <c:pt idx="453">
                  <c:v>44918</c:v>
                </c:pt>
                <c:pt idx="454">
                  <c:v>44921</c:v>
                </c:pt>
                <c:pt idx="455">
                  <c:v>44922</c:v>
                </c:pt>
                <c:pt idx="456">
                  <c:v>44923</c:v>
                </c:pt>
                <c:pt idx="457">
                  <c:v>44924</c:v>
                </c:pt>
                <c:pt idx="458">
                  <c:v>44925</c:v>
                </c:pt>
                <c:pt idx="459">
                  <c:v>44929</c:v>
                </c:pt>
                <c:pt idx="460">
                  <c:v>44930</c:v>
                </c:pt>
                <c:pt idx="461">
                  <c:v>44931</c:v>
                </c:pt>
                <c:pt idx="462">
                  <c:v>44932</c:v>
                </c:pt>
                <c:pt idx="463">
                  <c:v>44935</c:v>
                </c:pt>
                <c:pt idx="464">
                  <c:v>44936</c:v>
                </c:pt>
                <c:pt idx="465">
                  <c:v>44937</c:v>
                </c:pt>
                <c:pt idx="466">
                  <c:v>44938</c:v>
                </c:pt>
                <c:pt idx="467">
                  <c:v>44939</c:v>
                </c:pt>
                <c:pt idx="468">
                  <c:v>44942</c:v>
                </c:pt>
                <c:pt idx="469">
                  <c:v>44943</c:v>
                </c:pt>
                <c:pt idx="470">
                  <c:v>44944</c:v>
                </c:pt>
                <c:pt idx="471">
                  <c:v>44945</c:v>
                </c:pt>
                <c:pt idx="472">
                  <c:v>44953</c:v>
                </c:pt>
                <c:pt idx="473">
                  <c:v>44956</c:v>
                </c:pt>
                <c:pt idx="474">
                  <c:v>44957</c:v>
                </c:pt>
                <c:pt idx="475">
                  <c:v>44958</c:v>
                </c:pt>
                <c:pt idx="476">
                  <c:v>44959</c:v>
                </c:pt>
                <c:pt idx="477">
                  <c:v>44960</c:v>
                </c:pt>
                <c:pt idx="478">
                  <c:v>44963</c:v>
                </c:pt>
                <c:pt idx="479">
                  <c:v>44964</c:v>
                </c:pt>
                <c:pt idx="480">
                  <c:v>44965</c:v>
                </c:pt>
                <c:pt idx="481">
                  <c:v>44966</c:v>
                </c:pt>
                <c:pt idx="482">
                  <c:v>44967</c:v>
                </c:pt>
                <c:pt idx="483">
                  <c:v>44970</c:v>
                </c:pt>
                <c:pt idx="484">
                  <c:v>44971</c:v>
                </c:pt>
                <c:pt idx="485">
                  <c:v>44972</c:v>
                </c:pt>
                <c:pt idx="486">
                  <c:v>44973</c:v>
                </c:pt>
                <c:pt idx="487">
                  <c:v>44974</c:v>
                </c:pt>
                <c:pt idx="488">
                  <c:v>44977</c:v>
                </c:pt>
                <c:pt idx="489">
                  <c:v>44978</c:v>
                </c:pt>
                <c:pt idx="490">
                  <c:v>44979</c:v>
                </c:pt>
                <c:pt idx="491">
                  <c:v>44980</c:v>
                </c:pt>
                <c:pt idx="492">
                  <c:v>44981</c:v>
                </c:pt>
                <c:pt idx="493">
                  <c:v>44984</c:v>
                </c:pt>
                <c:pt idx="494">
                  <c:v>44985</c:v>
                </c:pt>
                <c:pt idx="495">
                  <c:v>44986</c:v>
                </c:pt>
                <c:pt idx="496">
                  <c:v>44987</c:v>
                </c:pt>
                <c:pt idx="497">
                  <c:v>44988</c:v>
                </c:pt>
                <c:pt idx="498">
                  <c:v>44991</c:v>
                </c:pt>
                <c:pt idx="499">
                  <c:v>44992</c:v>
                </c:pt>
                <c:pt idx="500">
                  <c:v>44993</c:v>
                </c:pt>
                <c:pt idx="501">
                  <c:v>44994</c:v>
                </c:pt>
                <c:pt idx="502">
                  <c:v>44995</c:v>
                </c:pt>
                <c:pt idx="503">
                  <c:v>44998</c:v>
                </c:pt>
                <c:pt idx="504">
                  <c:v>44999</c:v>
                </c:pt>
                <c:pt idx="505">
                  <c:v>45000</c:v>
                </c:pt>
                <c:pt idx="506">
                  <c:v>45001</c:v>
                </c:pt>
                <c:pt idx="507">
                  <c:v>45002</c:v>
                </c:pt>
                <c:pt idx="508">
                  <c:v>45005</c:v>
                </c:pt>
                <c:pt idx="509">
                  <c:v>45006</c:v>
                </c:pt>
                <c:pt idx="510">
                  <c:v>45007</c:v>
                </c:pt>
                <c:pt idx="511">
                  <c:v>45008</c:v>
                </c:pt>
                <c:pt idx="512">
                  <c:v>45009</c:v>
                </c:pt>
                <c:pt idx="513">
                  <c:v>45012</c:v>
                </c:pt>
                <c:pt idx="514">
                  <c:v>45013</c:v>
                </c:pt>
                <c:pt idx="515">
                  <c:v>45014</c:v>
                </c:pt>
                <c:pt idx="516">
                  <c:v>45015</c:v>
                </c:pt>
                <c:pt idx="517">
                  <c:v>45016</c:v>
                </c:pt>
                <c:pt idx="518">
                  <c:v>45019</c:v>
                </c:pt>
                <c:pt idx="519">
                  <c:v>45020</c:v>
                </c:pt>
                <c:pt idx="520">
                  <c:v>45021</c:v>
                </c:pt>
                <c:pt idx="521">
                  <c:v>45022</c:v>
                </c:pt>
                <c:pt idx="522">
                  <c:v>45023</c:v>
                </c:pt>
                <c:pt idx="523">
                  <c:v>45026</c:v>
                </c:pt>
                <c:pt idx="524">
                  <c:v>45027</c:v>
                </c:pt>
                <c:pt idx="525">
                  <c:v>45028</c:v>
                </c:pt>
                <c:pt idx="526">
                  <c:v>45029</c:v>
                </c:pt>
                <c:pt idx="527">
                  <c:v>45030</c:v>
                </c:pt>
                <c:pt idx="528">
                  <c:v>45033</c:v>
                </c:pt>
                <c:pt idx="529">
                  <c:v>45034</c:v>
                </c:pt>
                <c:pt idx="530">
                  <c:v>45035</c:v>
                </c:pt>
                <c:pt idx="531">
                  <c:v>45036</c:v>
                </c:pt>
                <c:pt idx="532">
                  <c:v>45037</c:v>
                </c:pt>
                <c:pt idx="533">
                  <c:v>45040</c:v>
                </c:pt>
                <c:pt idx="534">
                  <c:v>45041</c:v>
                </c:pt>
                <c:pt idx="535">
                  <c:v>45042</c:v>
                </c:pt>
                <c:pt idx="536">
                  <c:v>45043</c:v>
                </c:pt>
                <c:pt idx="537">
                  <c:v>45044</c:v>
                </c:pt>
                <c:pt idx="538">
                  <c:v>45050</c:v>
                </c:pt>
                <c:pt idx="539">
                  <c:v>45051</c:v>
                </c:pt>
                <c:pt idx="540">
                  <c:v>45054</c:v>
                </c:pt>
                <c:pt idx="541">
                  <c:v>45055</c:v>
                </c:pt>
                <c:pt idx="542">
                  <c:v>45056</c:v>
                </c:pt>
                <c:pt idx="543">
                  <c:v>45057</c:v>
                </c:pt>
                <c:pt idx="544">
                  <c:v>45058</c:v>
                </c:pt>
                <c:pt idx="545">
                  <c:v>45061</c:v>
                </c:pt>
                <c:pt idx="546">
                  <c:v>45062</c:v>
                </c:pt>
                <c:pt idx="547">
                  <c:v>45063</c:v>
                </c:pt>
                <c:pt idx="548">
                  <c:v>45064</c:v>
                </c:pt>
                <c:pt idx="549">
                  <c:v>45065</c:v>
                </c:pt>
                <c:pt idx="550">
                  <c:v>45068</c:v>
                </c:pt>
                <c:pt idx="551">
                  <c:v>45069</c:v>
                </c:pt>
                <c:pt idx="552">
                  <c:v>45070</c:v>
                </c:pt>
                <c:pt idx="553">
                  <c:v>45071</c:v>
                </c:pt>
                <c:pt idx="554">
                  <c:v>45072</c:v>
                </c:pt>
                <c:pt idx="555">
                  <c:v>45075</c:v>
                </c:pt>
                <c:pt idx="556">
                  <c:v>45076</c:v>
                </c:pt>
                <c:pt idx="557">
                  <c:v>45077</c:v>
                </c:pt>
                <c:pt idx="558">
                  <c:v>45078</c:v>
                </c:pt>
                <c:pt idx="559">
                  <c:v>45079</c:v>
                </c:pt>
                <c:pt idx="560">
                  <c:v>45082</c:v>
                </c:pt>
                <c:pt idx="561">
                  <c:v>45083</c:v>
                </c:pt>
                <c:pt idx="562">
                  <c:v>45084</c:v>
                </c:pt>
                <c:pt idx="563">
                  <c:v>45085</c:v>
                </c:pt>
                <c:pt idx="564">
                  <c:v>45086</c:v>
                </c:pt>
                <c:pt idx="565">
                  <c:v>45089</c:v>
                </c:pt>
                <c:pt idx="566">
                  <c:v>45090</c:v>
                </c:pt>
                <c:pt idx="567">
                  <c:v>45091</c:v>
                </c:pt>
                <c:pt idx="568">
                  <c:v>45092</c:v>
                </c:pt>
                <c:pt idx="569">
                  <c:v>45093</c:v>
                </c:pt>
                <c:pt idx="570">
                  <c:v>45096</c:v>
                </c:pt>
                <c:pt idx="571">
                  <c:v>45097</c:v>
                </c:pt>
                <c:pt idx="572">
                  <c:v>45098</c:v>
                </c:pt>
                <c:pt idx="573">
                  <c:v>45099</c:v>
                </c:pt>
                <c:pt idx="574">
                  <c:v>45100</c:v>
                </c:pt>
                <c:pt idx="575">
                  <c:v>45103</c:v>
                </c:pt>
                <c:pt idx="576">
                  <c:v>45104</c:v>
                </c:pt>
                <c:pt idx="577">
                  <c:v>45105</c:v>
                </c:pt>
                <c:pt idx="578">
                  <c:v>45106</c:v>
                </c:pt>
                <c:pt idx="579">
                  <c:v>45107</c:v>
                </c:pt>
                <c:pt idx="580">
                  <c:v>45110</c:v>
                </c:pt>
                <c:pt idx="581">
                  <c:v>45111</c:v>
                </c:pt>
                <c:pt idx="582">
                  <c:v>45112</c:v>
                </c:pt>
                <c:pt idx="583">
                  <c:v>45113</c:v>
                </c:pt>
                <c:pt idx="584">
                  <c:v>45114</c:v>
                </c:pt>
                <c:pt idx="585">
                  <c:v>45117</c:v>
                </c:pt>
                <c:pt idx="586">
                  <c:v>45118</c:v>
                </c:pt>
                <c:pt idx="587">
                  <c:v>45119</c:v>
                </c:pt>
                <c:pt idx="588">
                  <c:v>45120</c:v>
                </c:pt>
                <c:pt idx="589">
                  <c:v>45121</c:v>
                </c:pt>
                <c:pt idx="590">
                  <c:v>45124</c:v>
                </c:pt>
                <c:pt idx="591">
                  <c:v>45125</c:v>
                </c:pt>
                <c:pt idx="592">
                  <c:v>45126</c:v>
                </c:pt>
                <c:pt idx="593">
                  <c:v>45127</c:v>
                </c:pt>
                <c:pt idx="594">
                  <c:v>45128</c:v>
                </c:pt>
                <c:pt idx="595">
                  <c:v>45131</c:v>
                </c:pt>
                <c:pt idx="596">
                  <c:v>45132</c:v>
                </c:pt>
                <c:pt idx="597">
                  <c:v>45133</c:v>
                </c:pt>
                <c:pt idx="598">
                  <c:v>45134</c:v>
                </c:pt>
                <c:pt idx="599">
                  <c:v>45135</c:v>
                </c:pt>
                <c:pt idx="600">
                  <c:v>45138</c:v>
                </c:pt>
                <c:pt idx="601">
                  <c:v>45139</c:v>
                </c:pt>
                <c:pt idx="602">
                  <c:v>45140</c:v>
                </c:pt>
                <c:pt idx="603">
                  <c:v>45141</c:v>
                </c:pt>
                <c:pt idx="604">
                  <c:v>45142</c:v>
                </c:pt>
                <c:pt idx="605">
                  <c:v>45145</c:v>
                </c:pt>
                <c:pt idx="606">
                  <c:v>45146</c:v>
                </c:pt>
                <c:pt idx="607">
                  <c:v>45147</c:v>
                </c:pt>
                <c:pt idx="608">
                  <c:v>45148</c:v>
                </c:pt>
                <c:pt idx="609">
                  <c:v>45149</c:v>
                </c:pt>
                <c:pt idx="610">
                  <c:v>45152</c:v>
                </c:pt>
                <c:pt idx="611">
                  <c:v>45153</c:v>
                </c:pt>
                <c:pt idx="612">
                  <c:v>45154</c:v>
                </c:pt>
                <c:pt idx="613">
                  <c:v>45155</c:v>
                </c:pt>
                <c:pt idx="614">
                  <c:v>45156</c:v>
                </c:pt>
                <c:pt idx="615">
                  <c:v>45159</c:v>
                </c:pt>
                <c:pt idx="616">
                  <c:v>45160</c:v>
                </c:pt>
                <c:pt idx="617">
                  <c:v>45161</c:v>
                </c:pt>
                <c:pt idx="618">
                  <c:v>45162</c:v>
                </c:pt>
                <c:pt idx="619">
                  <c:v>45163</c:v>
                </c:pt>
                <c:pt idx="620">
                  <c:v>45166</c:v>
                </c:pt>
                <c:pt idx="621">
                  <c:v>45167</c:v>
                </c:pt>
                <c:pt idx="622">
                  <c:v>45168</c:v>
                </c:pt>
                <c:pt idx="623">
                  <c:v>45169</c:v>
                </c:pt>
                <c:pt idx="624">
                  <c:v>45174</c:v>
                </c:pt>
                <c:pt idx="625">
                  <c:v>45175</c:v>
                </c:pt>
                <c:pt idx="626">
                  <c:v>45176</c:v>
                </c:pt>
                <c:pt idx="627">
                  <c:v>45177</c:v>
                </c:pt>
                <c:pt idx="628">
                  <c:v>45180</c:v>
                </c:pt>
                <c:pt idx="629">
                  <c:v>45181</c:v>
                </c:pt>
                <c:pt idx="630">
                  <c:v>45182</c:v>
                </c:pt>
                <c:pt idx="631">
                  <c:v>45183</c:v>
                </c:pt>
                <c:pt idx="632">
                  <c:v>45184</c:v>
                </c:pt>
                <c:pt idx="633">
                  <c:v>45187</c:v>
                </c:pt>
                <c:pt idx="634">
                  <c:v>45188</c:v>
                </c:pt>
                <c:pt idx="635">
                  <c:v>45189</c:v>
                </c:pt>
                <c:pt idx="636">
                  <c:v>45190</c:v>
                </c:pt>
                <c:pt idx="637">
                  <c:v>45191</c:v>
                </c:pt>
                <c:pt idx="638">
                  <c:v>45194</c:v>
                </c:pt>
                <c:pt idx="639">
                  <c:v>45195</c:v>
                </c:pt>
                <c:pt idx="640">
                  <c:v>45196</c:v>
                </c:pt>
                <c:pt idx="641">
                  <c:v>45197</c:v>
                </c:pt>
                <c:pt idx="642">
                  <c:v>45198</c:v>
                </c:pt>
                <c:pt idx="643">
                  <c:v>45201</c:v>
                </c:pt>
                <c:pt idx="644">
                  <c:v>45202</c:v>
                </c:pt>
                <c:pt idx="645">
                  <c:v>45203</c:v>
                </c:pt>
                <c:pt idx="646">
                  <c:v>45204</c:v>
                </c:pt>
                <c:pt idx="647">
                  <c:v>45205</c:v>
                </c:pt>
                <c:pt idx="648">
                  <c:v>45208</c:v>
                </c:pt>
                <c:pt idx="649">
                  <c:v>45209</c:v>
                </c:pt>
                <c:pt idx="650">
                  <c:v>45210</c:v>
                </c:pt>
                <c:pt idx="651">
                  <c:v>45211</c:v>
                </c:pt>
                <c:pt idx="652">
                  <c:v>45212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45222</c:v>
                </c:pt>
                <c:pt idx="659">
                  <c:v>45223</c:v>
                </c:pt>
                <c:pt idx="660">
                  <c:v>45224</c:v>
                </c:pt>
                <c:pt idx="661">
                  <c:v>45225</c:v>
                </c:pt>
                <c:pt idx="662">
                  <c:v>45226</c:v>
                </c:pt>
                <c:pt idx="663">
                  <c:v>45229</c:v>
                </c:pt>
                <c:pt idx="664">
                  <c:v>45230</c:v>
                </c:pt>
                <c:pt idx="665">
                  <c:v>45231</c:v>
                </c:pt>
                <c:pt idx="666">
                  <c:v>45232</c:v>
                </c:pt>
                <c:pt idx="667">
                  <c:v>45233</c:v>
                </c:pt>
                <c:pt idx="668">
                  <c:v>45236</c:v>
                </c:pt>
                <c:pt idx="669">
                  <c:v>45237</c:v>
                </c:pt>
                <c:pt idx="670">
                  <c:v>45238</c:v>
                </c:pt>
                <c:pt idx="671">
                  <c:v>45239</c:v>
                </c:pt>
                <c:pt idx="672">
                  <c:v>45240</c:v>
                </c:pt>
                <c:pt idx="673">
                  <c:v>45243</c:v>
                </c:pt>
                <c:pt idx="674">
                  <c:v>45244</c:v>
                </c:pt>
                <c:pt idx="675">
                  <c:v>45245</c:v>
                </c:pt>
                <c:pt idx="676">
                  <c:v>45246</c:v>
                </c:pt>
                <c:pt idx="677">
                  <c:v>45247</c:v>
                </c:pt>
                <c:pt idx="678">
                  <c:v>45250</c:v>
                </c:pt>
                <c:pt idx="679">
                  <c:v>45251</c:v>
                </c:pt>
                <c:pt idx="680">
                  <c:v>45252</c:v>
                </c:pt>
                <c:pt idx="681">
                  <c:v>45253</c:v>
                </c:pt>
                <c:pt idx="682">
                  <c:v>45254</c:v>
                </c:pt>
                <c:pt idx="683">
                  <c:v>45257</c:v>
                </c:pt>
                <c:pt idx="684">
                  <c:v>45258</c:v>
                </c:pt>
                <c:pt idx="685">
                  <c:v>45259</c:v>
                </c:pt>
                <c:pt idx="686">
                  <c:v>45260</c:v>
                </c:pt>
                <c:pt idx="687">
                  <c:v>45261</c:v>
                </c:pt>
                <c:pt idx="688">
                  <c:v>45264</c:v>
                </c:pt>
                <c:pt idx="689">
                  <c:v>45265</c:v>
                </c:pt>
                <c:pt idx="690">
                  <c:v>45266</c:v>
                </c:pt>
                <c:pt idx="691">
                  <c:v>45267</c:v>
                </c:pt>
                <c:pt idx="692">
                  <c:v>45268</c:v>
                </c:pt>
                <c:pt idx="693">
                  <c:v>45271</c:v>
                </c:pt>
                <c:pt idx="694">
                  <c:v>45272</c:v>
                </c:pt>
                <c:pt idx="695">
                  <c:v>45273</c:v>
                </c:pt>
                <c:pt idx="696">
                  <c:v>45274</c:v>
                </c:pt>
                <c:pt idx="697">
                  <c:v>45275</c:v>
                </c:pt>
                <c:pt idx="698">
                  <c:v>45278</c:v>
                </c:pt>
                <c:pt idx="699">
                  <c:v>45279</c:v>
                </c:pt>
                <c:pt idx="700">
                  <c:v>45280</c:v>
                </c:pt>
                <c:pt idx="701">
                  <c:v>45281</c:v>
                </c:pt>
                <c:pt idx="702">
                  <c:v>45282</c:v>
                </c:pt>
                <c:pt idx="703">
                  <c:v>45285</c:v>
                </c:pt>
                <c:pt idx="704">
                  <c:v>45286</c:v>
                </c:pt>
                <c:pt idx="705">
                  <c:v>45287</c:v>
                </c:pt>
                <c:pt idx="706">
                  <c:v>45288</c:v>
                </c:pt>
                <c:pt idx="707">
                  <c:v>45289</c:v>
                </c:pt>
                <c:pt idx="708">
                  <c:v>45293</c:v>
                </c:pt>
                <c:pt idx="709">
                  <c:v>45294</c:v>
                </c:pt>
                <c:pt idx="710">
                  <c:v>45295</c:v>
                </c:pt>
                <c:pt idx="711">
                  <c:v>45296</c:v>
                </c:pt>
                <c:pt idx="712">
                  <c:v>45299</c:v>
                </c:pt>
                <c:pt idx="713">
                  <c:v>45300</c:v>
                </c:pt>
                <c:pt idx="714">
                  <c:v>45301</c:v>
                </c:pt>
                <c:pt idx="715">
                  <c:v>45302</c:v>
                </c:pt>
                <c:pt idx="716">
                  <c:v>45303</c:v>
                </c:pt>
                <c:pt idx="717">
                  <c:v>45306</c:v>
                </c:pt>
                <c:pt idx="718">
                  <c:v>45307</c:v>
                </c:pt>
                <c:pt idx="719">
                  <c:v>45308</c:v>
                </c:pt>
                <c:pt idx="720">
                  <c:v>45309</c:v>
                </c:pt>
                <c:pt idx="721">
                  <c:v>45310</c:v>
                </c:pt>
                <c:pt idx="722">
                  <c:v>45313</c:v>
                </c:pt>
                <c:pt idx="723">
                  <c:v>45314</c:v>
                </c:pt>
                <c:pt idx="724">
                  <c:v>45315</c:v>
                </c:pt>
                <c:pt idx="725">
                  <c:v>45316</c:v>
                </c:pt>
                <c:pt idx="726">
                  <c:v>45317</c:v>
                </c:pt>
                <c:pt idx="727">
                  <c:v>45320</c:v>
                </c:pt>
                <c:pt idx="728">
                  <c:v>45321</c:v>
                </c:pt>
                <c:pt idx="729">
                  <c:v>45322</c:v>
                </c:pt>
                <c:pt idx="730">
                  <c:v>45323</c:v>
                </c:pt>
                <c:pt idx="731">
                  <c:v>45324</c:v>
                </c:pt>
                <c:pt idx="732">
                  <c:v>45327</c:v>
                </c:pt>
                <c:pt idx="733">
                  <c:v>45328</c:v>
                </c:pt>
                <c:pt idx="734">
                  <c:v>45329</c:v>
                </c:pt>
                <c:pt idx="735">
                  <c:v>45337</c:v>
                </c:pt>
                <c:pt idx="736">
                  <c:v>45338</c:v>
                </c:pt>
                <c:pt idx="737">
                  <c:v>45341</c:v>
                </c:pt>
                <c:pt idx="738">
                  <c:v>45342</c:v>
                </c:pt>
                <c:pt idx="739">
                  <c:v>45343</c:v>
                </c:pt>
                <c:pt idx="740">
                  <c:v>45344</c:v>
                </c:pt>
                <c:pt idx="741">
                  <c:v>45345</c:v>
                </c:pt>
                <c:pt idx="742">
                  <c:v>45348</c:v>
                </c:pt>
                <c:pt idx="743">
                  <c:v>45349</c:v>
                </c:pt>
                <c:pt idx="744">
                  <c:v>45350</c:v>
                </c:pt>
                <c:pt idx="745">
                  <c:v>45351</c:v>
                </c:pt>
                <c:pt idx="746">
                  <c:v>45352</c:v>
                </c:pt>
                <c:pt idx="747">
                  <c:v>45355</c:v>
                </c:pt>
                <c:pt idx="748">
                  <c:v>45356</c:v>
                </c:pt>
                <c:pt idx="749">
                  <c:v>45357</c:v>
                </c:pt>
                <c:pt idx="750">
                  <c:v>45358</c:v>
                </c:pt>
                <c:pt idx="751">
                  <c:v>45359</c:v>
                </c:pt>
                <c:pt idx="752">
                  <c:v>45362</c:v>
                </c:pt>
                <c:pt idx="753">
                  <c:v>45363</c:v>
                </c:pt>
                <c:pt idx="754">
                  <c:v>45364</c:v>
                </c:pt>
                <c:pt idx="755">
                  <c:v>45365</c:v>
                </c:pt>
                <c:pt idx="756">
                  <c:v>45366</c:v>
                </c:pt>
                <c:pt idx="757">
                  <c:v>45369</c:v>
                </c:pt>
                <c:pt idx="758">
                  <c:v>45370</c:v>
                </c:pt>
                <c:pt idx="759">
                  <c:v>45371</c:v>
                </c:pt>
                <c:pt idx="760">
                  <c:v>45372</c:v>
                </c:pt>
                <c:pt idx="761">
                  <c:v>45373</c:v>
                </c:pt>
                <c:pt idx="762">
                  <c:v>45376</c:v>
                </c:pt>
                <c:pt idx="763">
                  <c:v>45377</c:v>
                </c:pt>
                <c:pt idx="764">
                  <c:v>45378</c:v>
                </c:pt>
                <c:pt idx="765">
                  <c:v>45379</c:v>
                </c:pt>
                <c:pt idx="766">
                  <c:v>45380</c:v>
                </c:pt>
                <c:pt idx="767">
                  <c:v>45383</c:v>
                </c:pt>
                <c:pt idx="768">
                  <c:v>45384</c:v>
                </c:pt>
                <c:pt idx="769">
                  <c:v>45385</c:v>
                </c:pt>
                <c:pt idx="770">
                  <c:v>45386</c:v>
                </c:pt>
                <c:pt idx="771">
                  <c:v>45387</c:v>
                </c:pt>
                <c:pt idx="772">
                  <c:v>45390</c:v>
                </c:pt>
                <c:pt idx="773">
                  <c:v>45391</c:v>
                </c:pt>
                <c:pt idx="774">
                  <c:v>45392</c:v>
                </c:pt>
                <c:pt idx="775">
                  <c:v>45393</c:v>
                </c:pt>
                <c:pt idx="776">
                  <c:v>45394</c:v>
                </c:pt>
                <c:pt idx="777">
                  <c:v>45397</c:v>
                </c:pt>
                <c:pt idx="778">
                  <c:v>45398</c:v>
                </c:pt>
                <c:pt idx="779">
                  <c:v>45399</c:v>
                </c:pt>
                <c:pt idx="780">
                  <c:v>45401</c:v>
                </c:pt>
                <c:pt idx="781">
                  <c:v>45404</c:v>
                </c:pt>
                <c:pt idx="782">
                  <c:v>45405</c:v>
                </c:pt>
                <c:pt idx="783">
                  <c:v>45406</c:v>
                </c:pt>
                <c:pt idx="784">
                  <c:v>45407</c:v>
                </c:pt>
                <c:pt idx="785">
                  <c:v>45408</c:v>
                </c:pt>
                <c:pt idx="786">
                  <c:v>45414</c:v>
                </c:pt>
                <c:pt idx="787">
                  <c:v>45415</c:v>
                </c:pt>
                <c:pt idx="788">
                  <c:v>45418</c:v>
                </c:pt>
                <c:pt idx="789">
                  <c:v>45419</c:v>
                </c:pt>
                <c:pt idx="790">
                  <c:v>45420</c:v>
                </c:pt>
                <c:pt idx="791">
                  <c:v>45421</c:v>
                </c:pt>
                <c:pt idx="792">
                  <c:v>45422</c:v>
                </c:pt>
                <c:pt idx="793">
                  <c:v>45425</c:v>
                </c:pt>
                <c:pt idx="794">
                  <c:v>45426</c:v>
                </c:pt>
                <c:pt idx="795">
                  <c:v>45427</c:v>
                </c:pt>
                <c:pt idx="796">
                  <c:v>45428</c:v>
                </c:pt>
                <c:pt idx="797">
                  <c:v>45429</c:v>
                </c:pt>
                <c:pt idx="798">
                  <c:v>45432</c:v>
                </c:pt>
                <c:pt idx="799">
                  <c:v>45433</c:v>
                </c:pt>
                <c:pt idx="800">
                  <c:v>45434</c:v>
                </c:pt>
                <c:pt idx="801">
                  <c:v>45435</c:v>
                </c:pt>
                <c:pt idx="802">
                  <c:v>45436</c:v>
                </c:pt>
                <c:pt idx="803">
                  <c:v>45439</c:v>
                </c:pt>
                <c:pt idx="804">
                  <c:v>45440</c:v>
                </c:pt>
                <c:pt idx="805">
                  <c:v>45441</c:v>
                </c:pt>
                <c:pt idx="806">
                  <c:v>45442</c:v>
                </c:pt>
                <c:pt idx="807">
                  <c:v>45443</c:v>
                </c:pt>
                <c:pt idx="808">
                  <c:v>45446</c:v>
                </c:pt>
                <c:pt idx="809">
                  <c:v>45447</c:v>
                </c:pt>
                <c:pt idx="810">
                  <c:v>45448</c:v>
                </c:pt>
                <c:pt idx="811">
                  <c:v>45449</c:v>
                </c:pt>
                <c:pt idx="812">
                  <c:v>45450</c:v>
                </c:pt>
                <c:pt idx="813">
                  <c:v>45453</c:v>
                </c:pt>
                <c:pt idx="814">
                  <c:v>45454</c:v>
                </c:pt>
                <c:pt idx="815">
                  <c:v>45455</c:v>
                </c:pt>
                <c:pt idx="816">
                  <c:v>45456</c:v>
                </c:pt>
                <c:pt idx="817">
                  <c:v>45457</c:v>
                </c:pt>
                <c:pt idx="818">
                  <c:v>45460</c:v>
                </c:pt>
                <c:pt idx="819">
                  <c:v>45461</c:v>
                </c:pt>
                <c:pt idx="820">
                  <c:v>45462</c:v>
                </c:pt>
                <c:pt idx="821">
                  <c:v>45463</c:v>
                </c:pt>
                <c:pt idx="822">
                  <c:v>45464</c:v>
                </c:pt>
                <c:pt idx="823">
                  <c:v>45467</c:v>
                </c:pt>
                <c:pt idx="824">
                  <c:v>45468</c:v>
                </c:pt>
                <c:pt idx="825">
                  <c:v>45469</c:v>
                </c:pt>
                <c:pt idx="826">
                  <c:v>45470</c:v>
                </c:pt>
                <c:pt idx="827">
                  <c:v>45471</c:v>
                </c:pt>
                <c:pt idx="828">
                  <c:v>45474</c:v>
                </c:pt>
                <c:pt idx="829">
                  <c:v>45475</c:v>
                </c:pt>
                <c:pt idx="830">
                  <c:v>45476</c:v>
                </c:pt>
                <c:pt idx="831">
                  <c:v>45477</c:v>
                </c:pt>
                <c:pt idx="832">
                  <c:v>45478</c:v>
                </c:pt>
                <c:pt idx="833">
                  <c:v>45481</c:v>
                </c:pt>
                <c:pt idx="834">
                  <c:v>45482</c:v>
                </c:pt>
                <c:pt idx="835">
                  <c:v>45483</c:v>
                </c:pt>
                <c:pt idx="836">
                  <c:v>45484</c:v>
                </c:pt>
                <c:pt idx="837">
                  <c:v>45485</c:v>
                </c:pt>
                <c:pt idx="838">
                  <c:v>45488</c:v>
                </c:pt>
                <c:pt idx="839">
                  <c:v>45489</c:v>
                </c:pt>
                <c:pt idx="840">
                  <c:v>45490</c:v>
                </c:pt>
                <c:pt idx="841">
                  <c:v>45491</c:v>
                </c:pt>
                <c:pt idx="842">
                  <c:v>45492</c:v>
                </c:pt>
                <c:pt idx="843">
                  <c:v>45495</c:v>
                </c:pt>
                <c:pt idx="844">
                  <c:v>45496</c:v>
                </c:pt>
                <c:pt idx="845">
                  <c:v>45497</c:v>
                </c:pt>
                <c:pt idx="846">
                  <c:v>45498</c:v>
                </c:pt>
                <c:pt idx="847">
                  <c:v>45499</c:v>
                </c:pt>
                <c:pt idx="848">
                  <c:v>45502</c:v>
                </c:pt>
                <c:pt idx="849">
                  <c:v>45503</c:v>
                </c:pt>
                <c:pt idx="850">
                  <c:v>45504</c:v>
                </c:pt>
                <c:pt idx="851">
                  <c:v>45505</c:v>
                </c:pt>
                <c:pt idx="852">
                  <c:v>45506</c:v>
                </c:pt>
                <c:pt idx="853">
                  <c:v>45509</c:v>
                </c:pt>
                <c:pt idx="854">
                  <c:v>45510</c:v>
                </c:pt>
                <c:pt idx="855">
                  <c:v>45511</c:v>
                </c:pt>
                <c:pt idx="856">
                  <c:v>45512</c:v>
                </c:pt>
                <c:pt idx="857">
                  <c:v>45513</c:v>
                </c:pt>
                <c:pt idx="858">
                  <c:v>45516</c:v>
                </c:pt>
                <c:pt idx="859">
                  <c:v>45517</c:v>
                </c:pt>
                <c:pt idx="860">
                  <c:v>45518</c:v>
                </c:pt>
                <c:pt idx="861">
                  <c:v>45519</c:v>
                </c:pt>
                <c:pt idx="862">
                  <c:v>45520</c:v>
                </c:pt>
                <c:pt idx="863">
                  <c:v>45523</c:v>
                </c:pt>
                <c:pt idx="864">
                  <c:v>45524</c:v>
                </c:pt>
                <c:pt idx="865">
                  <c:v>45525</c:v>
                </c:pt>
                <c:pt idx="866">
                  <c:v>45526</c:v>
                </c:pt>
                <c:pt idx="867">
                  <c:v>45527</c:v>
                </c:pt>
                <c:pt idx="868">
                  <c:v>45530</c:v>
                </c:pt>
                <c:pt idx="869">
                  <c:v>45531</c:v>
                </c:pt>
                <c:pt idx="870">
                  <c:v>45532</c:v>
                </c:pt>
                <c:pt idx="871">
                  <c:v>45533</c:v>
                </c:pt>
                <c:pt idx="872">
                  <c:v>45534</c:v>
                </c:pt>
                <c:pt idx="873">
                  <c:v>45539</c:v>
                </c:pt>
                <c:pt idx="874">
                  <c:v>45540</c:v>
                </c:pt>
                <c:pt idx="875">
                  <c:v>45541</c:v>
                </c:pt>
                <c:pt idx="876">
                  <c:v>45544</c:v>
                </c:pt>
                <c:pt idx="877">
                  <c:v>45545</c:v>
                </c:pt>
                <c:pt idx="878">
                  <c:v>45546</c:v>
                </c:pt>
                <c:pt idx="879">
                  <c:v>45547</c:v>
                </c:pt>
                <c:pt idx="880">
                  <c:v>45548</c:v>
                </c:pt>
                <c:pt idx="881">
                  <c:v>45551</c:v>
                </c:pt>
                <c:pt idx="882">
                  <c:v>45552</c:v>
                </c:pt>
                <c:pt idx="883">
                  <c:v>45553</c:v>
                </c:pt>
                <c:pt idx="884">
                  <c:v>45554</c:v>
                </c:pt>
                <c:pt idx="885">
                  <c:v>45555</c:v>
                </c:pt>
                <c:pt idx="886">
                  <c:v>45558</c:v>
                </c:pt>
                <c:pt idx="887">
                  <c:v>45559</c:v>
                </c:pt>
                <c:pt idx="888">
                  <c:v>45560</c:v>
                </c:pt>
                <c:pt idx="889">
                  <c:v>45561</c:v>
                </c:pt>
                <c:pt idx="890">
                  <c:v>45562</c:v>
                </c:pt>
                <c:pt idx="891">
                  <c:v>45565</c:v>
                </c:pt>
                <c:pt idx="892">
                  <c:v>45566</c:v>
                </c:pt>
                <c:pt idx="893">
                  <c:v>45567</c:v>
                </c:pt>
                <c:pt idx="894">
                  <c:v>45568</c:v>
                </c:pt>
                <c:pt idx="895">
                  <c:v>45569</c:v>
                </c:pt>
                <c:pt idx="896">
                  <c:v>45572</c:v>
                </c:pt>
                <c:pt idx="897">
                  <c:v>45573</c:v>
                </c:pt>
                <c:pt idx="898">
                  <c:v>45574</c:v>
                </c:pt>
                <c:pt idx="899">
                  <c:v>45575</c:v>
                </c:pt>
                <c:pt idx="900">
                  <c:v>45576</c:v>
                </c:pt>
                <c:pt idx="901">
                  <c:v>45579</c:v>
                </c:pt>
                <c:pt idx="902">
                  <c:v>45580</c:v>
                </c:pt>
                <c:pt idx="903">
                  <c:v>45581</c:v>
                </c:pt>
                <c:pt idx="904">
                  <c:v>45582</c:v>
                </c:pt>
                <c:pt idx="905">
                  <c:v>45583</c:v>
                </c:pt>
                <c:pt idx="906">
                  <c:v>45586</c:v>
                </c:pt>
                <c:pt idx="907">
                  <c:v>45587</c:v>
                </c:pt>
                <c:pt idx="908">
                  <c:v>45588</c:v>
                </c:pt>
                <c:pt idx="909">
                  <c:v>45589</c:v>
                </c:pt>
                <c:pt idx="910">
                  <c:v>45590</c:v>
                </c:pt>
                <c:pt idx="911">
                  <c:v>45593</c:v>
                </c:pt>
                <c:pt idx="912">
                  <c:v>45594</c:v>
                </c:pt>
                <c:pt idx="913">
                  <c:v>45595</c:v>
                </c:pt>
                <c:pt idx="914">
                  <c:v>45596</c:v>
                </c:pt>
                <c:pt idx="915">
                  <c:v>45597</c:v>
                </c:pt>
                <c:pt idx="916">
                  <c:v>45600</c:v>
                </c:pt>
                <c:pt idx="917">
                  <c:v>45601</c:v>
                </c:pt>
                <c:pt idx="918">
                  <c:v>45602</c:v>
                </c:pt>
                <c:pt idx="919">
                  <c:v>45603</c:v>
                </c:pt>
                <c:pt idx="920">
                  <c:v>45604</c:v>
                </c:pt>
                <c:pt idx="921">
                  <c:v>45607</c:v>
                </c:pt>
                <c:pt idx="922">
                  <c:v>45608</c:v>
                </c:pt>
                <c:pt idx="923">
                  <c:v>45609</c:v>
                </c:pt>
                <c:pt idx="924">
                  <c:v>45610</c:v>
                </c:pt>
                <c:pt idx="925">
                  <c:v>45611</c:v>
                </c:pt>
                <c:pt idx="926">
                  <c:v>45614</c:v>
                </c:pt>
                <c:pt idx="927">
                  <c:v>45615</c:v>
                </c:pt>
                <c:pt idx="928">
                  <c:v>45616</c:v>
                </c:pt>
                <c:pt idx="929">
                  <c:v>45617</c:v>
                </c:pt>
                <c:pt idx="930">
                  <c:v>45618</c:v>
                </c:pt>
                <c:pt idx="931">
                  <c:v>45621</c:v>
                </c:pt>
                <c:pt idx="932">
                  <c:v>45622</c:v>
                </c:pt>
                <c:pt idx="933">
                  <c:v>45623</c:v>
                </c:pt>
                <c:pt idx="934">
                  <c:v>45624</c:v>
                </c:pt>
                <c:pt idx="935">
                  <c:v>45625</c:v>
                </c:pt>
                <c:pt idx="936">
                  <c:v>45628</c:v>
                </c:pt>
                <c:pt idx="937">
                  <c:v>45629</c:v>
                </c:pt>
                <c:pt idx="938">
                  <c:v>45630</c:v>
                </c:pt>
                <c:pt idx="939">
                  <c:v>45631</c:v>
                </c:pt>
                <c:pt idx="940">
                  <c:v>45632</c:v>
                </c:pt>
                <c:pt idx="941">
                  <c:v>45635</c:v>
                </c:pt>
                <c:pt idx="942">
                  <c:v>45636</c:v>
                </c:pt>
                <c:pt idx="943">
                  <c:v>45637</c:v>
                </c:pt>
                <c:pt idx="944">
                  <c:v>45638</c:v>
                </c:pt>
                <c:pt idx="945">
                  <c:v>45639</c:v>
                </c:pt>
                <c:pt idx="946">
                  <c:v>45642</c:v>
                </c:pt>
                <c:pt idx="947">
                  <c:v>45643</c:v>
                </c:pt>
                <c:pt idx="948">
                  <c:v>45644</c:v>
                </c:pt>
                <c:pt idx="949">
                  <c:v>45645</c:v>
                </c:pt>
                <c:pt idx="950">
                  <c:v>45646</c:v>
                </c:pt>
                <c:pt idx="951">
                  <c:v>45649</c:v>
                </c:pt>
                <c:pt idx="952">
                  <c:v>45650</c:v>
                </c:pt>
                <c:pt idx="953">
                  <c:v>45651</c:v>
                </c:pt>
                <c:pt idx="954">
                  <c:v>45652</c:v>
                </c:pt>
                <c:pt idx="955">
                  <c:v>45653</c:v>
                </c:pt>
                <c:pt idx="956">
                  <c:v>45656</c:v>
                </c:pt>
                <c:pt idx="957">
                  <c:v>45657</c:v>
                </c:pt>
                <c:pt idx="958">
                  <c:v>45659</c:v>
                </c:pt>
                <c:pt idx="959">
                  <c:v>45660</c:v>
                </c:pt>
                <c:pt idx="960">
                  <c:v>45663</c:v>
                </c:pt>
                <c:pt idx="961">
                  <c:v>45664</c:v>
                </c:pt>
                <c:pt idx="962">
                  <c:v>45665</c:v>
                </c:pt>
                <c:pt idx="963">
                  <c:v>45666</c:v>
                </c:pt>
                <c:pt idx="964">
                  <c:v>45667</c:v>
                </c:pt>
                <c:pt idx="965">
                  <c:v>45670</c:v>
                </c:pt>
                <c:pt idx="966">
                  <c:v>45671</c:v>
                </c:pt>
                <c:pt idx="967">
                  <c:v>45672</c:v>
                </c:pt>
                <c:pt idx="968">
                  <c:v>45673</c:v>
                </c:pt>
                <c:pt idx="969">
                  <c:v>45674</c:v>
                </c:pt>
                <c:pt idx="970">
                  <c:v>45677</c:v>
                </c:pt>
                <c:pt idx="971">
                  <c:v>45678</c:v>
                </c:pt>
                <c:pt idx="972">
                  <c:v>45679</c:v>
                </c:pt>
                <c:pt idx="973">
                  <c:v>45680</c:v>
                </c:pt>
                <c:pt idx="974">
                  <c:v>45681</c:v>
                </c:pt>
                <c:pt idx="975">
                  <c:v>45691</c:v>
                </c:pt>
                <c:pt idx="976">
                  <c:v>45692</c:v>
                </c:pt>
                <c:pt idx="977">
                  <c:v>45693</c:v>
                </c:pt>
                <c:pt idx="978">
                  <c:v>45694</c:v>
                </c:pt>
                <c:pt idx="979">
                  <c:v>45695</c:v>
                </c:pt>
                <c:pt idx="980">
                  <c:v>45698</c:v>
                </c:pt>
                <c:pt idx="981">
                  <c:v>45699</c:v>
                </c:pt>
                <c:pt idx="982">
                  <c:v>45700</c:v>
                </c:pt>
                <c:pt idx="983">
                  <c:v>45701</c:v>
                </c:pt>
                <c:pt idx="984">
                  <c:v>45702</c:v>
                </c:pt>
                <c:pt idx="985">
                  <c:v>45705</c:v>
                </c:pt>
                <c:pt idx="986">
                  <c:v>45706</c:v>
                </c:pt>
                <c:pt idx="987">
                  <c:v>45707</c:v>
                </c:pt>
                <c:pt idx="988">
                  <c:v>45708</c:v>
                </c:pt>
                <c:pt idx="989">
                  <c:v>45709</c:v>
                </c:pt>
                <c:pt idx="990">
                  <c:v>45712</c:v>
                </c:pt>
                <c:pt idx="991">
                  <c:v>45713</c:v>
                </c:pt>
                <c:pt idx="992">
                  <c:v>45714</c:v>
                </c:pt>
                <c:pt idx="993">
                  <c:v>45715</c:v>
                </c:pt>
                <c:pt idx="994">
                  <c:v>45716</c:v>
                </c:pt>
                <c:pt idx="995">
                  <c:v>45719</c:v>
                </c:pt>
                <c:pt idx="996">
                  <c:v>45720</c:v>
                </c:pt>
                <c:pt idx="997">
                  <c:v>45721</c:v>
                </c:pt>
                <c:pt idx="998">
                  <c:v>45722</c:v>
                </c:pt>
                <c:pt idx="999">
                  <c:v>45723</c:v>
                </c:pt>
                <c:pt idx="1000">
                  <c:v>45726</c:v>
                </c:pt>
                <c:pt idx="1001">
                  <c:v>45727</c:v>
                </c:pt>
                <c:pt idx="1002">
                  <c:v>45728</c:v>
                </c:pt>
                <c:pt idx="1003">
                  <c:v>45729</c:v>
                </c:pt>
                <c:pt idx="1004">
                  <c:v>45730</c:v>
                </c:pt>
                <c:pt idx="1005">
                  <c:v>45733</c:v>
                </c:pt>
                <c:pt idx="1006">
                  <c:v>45734</c:v>
                </c:pt>
                <c:pt idx="1007">
                  <c:v>45735</c:v>
                </c:pt>
                <c:pt idx="1008">
                  <c:v>45736</c:v>
                </c:pt>
                <c:pt idx="1009">
                  <c:v>45737</c:v>
                </c:pt>
                <c:pt idx="1010">
                  <c:v>45740</c:v>
                </c:pt>
                <c:pt idx="1011">
                  <c:v>45741</c:v>
                </c:pt>
                <c:pt idx="1012">
                  <c:v>45742</c:v>
                </c:pt>
                <c:pt idx="1013">
                  <c:v>45743</c:v>
                </c:pt>
                <c:pt idx="1014">
                  <c:v>45744</c:v>
                </c:pt>
                <c:pt idx="1015">
                  <c:v>45747</c:v>
                </c:pt>
                <c:pt idx="1016">
                  <c:v>45748</c:v>
                </c:pt>
                <c:pt idx="1017">
                  <c:v>45749</c:v>
                </c:pt>
                <c:pt idx="1018">
                  <c:v>45750</c:v>
                </c:pt>
                <c:pt idx="1019">
                  <c:v>45751</c:v>
                </c:pt>
                <c:pt idx="1020">
                  <c:v>45755</c:v>
                </c:pt>
                <c:pt idx="1021">
                  <c:v>45756</c:v>
                </c:pt>
                <c:pt idx="1022">
                  <c:v>45757</c:v>
                </c:pt>
                <c:pt idx="1023">
                  <c:v>45758</c:v>
                </c:pt>
                <c:pt idx="1024">
                  <c:v>45761</c:v>
                </c:pt>
                <c:pt idx="1025">
                  <c:v>45762</c:v>
                </c:pt>
                <c:pt idx="1026">
                  <c:v>45763</c:v>
                </c:pt>
                <c:pt idx="1027">
                  <c:v>45764</c:v>
                </c:pt>
                <c:pt idx="1028">
                  <c:v>45765</c:v>
                </c:pt>
                <c:pt idx="1029">
                  <c:v>45768</c:v>
                </c:pt>
                <c:pt idx="1030">
                  <c:v>45769</c:v>
                </c:pt>
                <c:pt idx="1031">
                  <c:v>45770</c:v>
                </c:pt>
                <c:pt idx="1032">
                  <c:v>45771</c:v>
                </c:pt>
                <c:pt idx="1033">
                  <c:v>45772</c:v>
                </c:pt>
                <c:pt idx="1034">
                  <c:v>45775</c:v>
                </c:pt>
                <c:pt idx="1035">
                  <c:v>45776</c:v>
                </c:pt>
                <c:pt idx="1036">
                  <c:v>45782</c:v>
                </c:pt>
                <c:pt idx="1037">
                  <c:v>45783</c:v>
                </c:pt>
                <c:pt idx="1038">
                  <c:v>45784</c:v>
                </c:pt>
                <c:pt idx="1039">
                  <c:v>45785</c:v>
                </c:pt>
                <c:pt idx="1040">
                  <c:v>45786</c:v>
                </c:pt>
                <c:pt idx="1041">
                  <c:v>45789</c:v>
                </c:pt>
                <c:pt idx="1042">
                  <c:v>45790</c:v>
                </c:pt>
                <c:pt idx="1043">
                  <c:v>45791</c:v>
                </c:pt>
                <c:pt idx="1044">
                  <c:v>45792</c:v>
                </c:pt>
                <c:pt idx="1045">
                  <c:v>45793</c:v>
                </c:pt>
                <c:pt idx="1046">
                  <c:v>45796</c:v>
                </c:pt>
                <c:pt idx="1047">
                  <c:v>45797</c:v>
                </c:pt>
                <c:pt idx="1048">
                  <c:v>45798</c:v>
                </c:pt>
                <c:pt idx="1049">
                  <c:v>45799</c:v>
                </c:pt>
                <c:pt idx="1050">
                  <c:v>45800</c:v>
                </c:pt>
                <c:pt idx="1051">
                  <c:v>45803</c:v>
                </c:pt>
                <c:pt idx="1052">
                  <c:v>45804</c:v>
                </c:pt>
                <c:pt idx="1053">
                  <c:v>45805</c:v>
                </c:pt>
                <c:pt idx="1054">
                  <c:v>45806</c:v>
                </c:pt>
                <c:pt idx="1055">
                  <c:v>45807</c:v>
                </c:pt>
                <c:pt idx="1056">
                  <c:v>45810</c:v>
                </c:pt>
                <c:pt idx="1057">
                  <c:v>45811</c:v>
                </c:pt>
                <c:pt idx="1058">
                  <c:v>45812</c:v>
                </c:pt>
                <c:pt idx="1059">
                  <c:v>45813</c:v>
                </c:pt>
                <c:pt idx="1060">
                  <c:v>45814</c:v>
                </c:pt>
                <c:pt idx="1061">
                  <c:v>45817</c:v>
                </c:pt>
                <c:pt idx="1062">
                  <c:v>45818</c:v>
                </c:pt>
                <c:pt idx="1063">
                  <c:v>45819</c:v>
                </c:pt>
                <c:pt idx="1064">
                  <c:v>45820</c:v>
                </c:pt>
                <c:pt idx="1065">
                  <c:v>45821</c:v>
                </c:pt>
                <c:pt idx="1066">
                  <c:v>45824</c:v>
                </c:pt>
                <c:pt idx="1067">
                  <c:v>45825</c:v>
                </c:pt>
                <c:pt idx="1068">
                  <c:v>45826</c:v>
                </c:pt>
                <c:pt idx="1069">
                  <c:v>45827</c:v>
                </c:pt>
                <c:pt idx="1070">
                  <c:v>45828</c:v>
                </c:pt>
                <c:pt idx="1071">
                  <c:v>45831</c:v>
                </c:pt>
                <c:pt idx="1072">
                  <c:v>45832</c:v>
                </c:pt>
                <c:pt idx="1073">
                  <c:v>45833</c:v>
                </c:pt>
                <c:pt idx="1074">
                  <c:v>45834</c:v>
                </c:pt>
                <c:pt idx="1075">
                  <c:v>45835</c:v>
                </c:pt>
                <c:pt idx="1076">
                  <c:v>45838</c:v>
                </c:pt>
                <c:pt idx="1077">
                  <c:v>45839</c:v>
                </c:pt>
                <c:pt idx="1078">
                  <c:v>45840</c:v>
                </c:pt>
                <c:pt idx="1079">
                  <c:v>45841</c:v>
                </c:pt>
                <c:pt idx="1080">
                  <c:v>45842</c:v>
                </c:pt>
                <c:pt idx="1081">
                  <c:v>45845</c:v>
                </c:pt>
                <c:pt idx="1082">
                  <c:v>45846</c:v>
                </c:pt>
                <c:pt idx="1083">
                  <c:v>45847</c:v>
                </c:pt>
                <c:pt idx="1084">
                  <c:v>45848</c:v>
                </c:pt>
                <c:pt idx="1085">
                  <c:v>45849</c:v>
                </c:pt>
                <c:pt idx="1086">
                  <c:v>45852</c:v>
                </c:pt>
                <c:pt idx="1087">
                  <c:v>45853</c:v>
                </c:pt>
                <c:pt idx="1088">
                  <c:v>45854</c:v>
                </c:pt>
                <c:pt idx="1089">
                  <c:v>45855</c:v>
                </c:pt>
                <c:pt idx="1090">
                  <c:v>45856</c:v>
                </c:pt>
                <c:pt idx="1091">
                  <c:v>45859</c:v>
                </c:pt>
                <c:pt idx="1092">
                  <c:v>45860</c:v>
                </c:pt>
                <c:pt idx="1093">
                  <c:v>45861</c:v>
                </c:pt>
                <c:pt idx="1094">
                  <c:v>45862</c:v>
                </c:pt>
                <c:pt idx="1095">
                  <c:v>45863</c:v>
                </c:pt>
                <c:pt idx="1096">
                  <c:v>45866</c:v>
                </c:pt>
                <c:pt idx="1097">
                  <c:v>45867</c:v>
                </c:pt>
                <c:pt idx="1098">
                  <c:v>45868</c:v>
                </c:pt>
                <c:pt idx="1099">
                  <c:v>45869</c:v>
                </c:pt>
                <c:pt idx="1100">
                  <c:v>45870</c:v>
                </c:pt>
                <c:pt idx="1101">
                  <c:v>45873</c:v>
                </c:pt>
                <c:pt idx="1102">
                  <c:v>45874</c:v>
                </c:pt>
                <c:pt idx="1103">
                  <c:v>45875</c:v>
                </c:pt>
                <c:pt idx="1104">
                  <c:v>45876</c:v>
                </c:pt>
                <c:pt idx="1105">
                  <c:v>45877</c:v>
                </c:pt>
                <c:pt idx="1106">
                  <c:v>45880</c:v>
                </c:pt>
                <c:pt idx="1107">
                  <c:v>45881</c:v>
                </c:pt>
                <c:pt idx="1108">
                  <c:v>45882</c:v>
                </c:pt>
                <c:pt idx="1109">
                  <c:v>45883</c:v>
                </c:pt>
                <c:pt idx="1110">
                  <c:v>45884</c:v>
                </c:pt>
                <c:pt idx="1111">
                  <c:v>45887</c:v>
                </c:pt>
                <c:pt idx="1112">
                  <c:v>45888</c:v>
                </c:pt>
                <c:pt idx="1113">
                  <c:v>45889</c:v>
                </c:pt>
                <c:pt idx="1114">
                  <c:v>45890</c:v>
                </c:pt>
                <c:pt idx="1115">
                  <c:v>45891</c:v>
                </c:pt>
                <c:pt idx="1116">
                  <c:v>45894</c:v>
                </c:pt>
                <c:pt idx="1117">
                  <c:v>45895</c:v>
                </c:pt>
                <c:pt idx="1118">
                  <c:v>45896</c:v>
                </c:pt>
                <c:pt idx="1119">
                  <c:v>45897</c:v>
                </c:pt>
                <c:pt idx="1120">
                  <c:v>45898</c:v>
                </c:pt>
                <c:pt idx="1121">
                  <c:v>45903</c:v>
                </c:pt>
                <c:pt idx="1122">
                  <c:v>45904</c:v>
                </c:pt>
                <c:pt idx="1123">
                  <c:v>45905</c:v>
                </c:pt>
                <c:pt idx="1124">
                  <c:v>45908</c:v>
                </c:pt>
                <c:pt idx="1125">
                  <c:v>45909</c:v>
                </c:pt>
                <c:pt idx="1126">
                  <c:v>45910</c:v>
                </c:pt>
                <c:pt idx="1127">
                  <c:v>45911</c:v>
                </c:pt>
                <c:pt idx="1128">
                  <c:v>45912</c:v>
                </c:pt>
                <c:pt idx="1129">
                  <c:v>45915</c:v>
                </c:pt>
                <c:pt idx="1130">
                  <c:v>45916</c:v>
                </c:pt>
                <c:pt idx="1131">
                  <c:v>45917</c:v>
                </c:pt>
                <c:pt idx="1132">
                  <c:v>45918</c:v>
                </c:pt>
                <c:pt idx="1133">
                  <c:v>45919</c:v>
                </c:pt>
                <c:pt idx="1134">
                  <c:v>45922</c:v>
                </c:pt>
                <c:pt idx="1135">
                  <c:v>45923</c:v>
                </c:pt>
                <c:pt idx="1136">
                  <c:v>45924</c:v>
                </c:pt>
                <c:pt idx="1137">
                  <c:v>45925</c:v>
                </c:pt>
                <c:pt idx="1138">
                  <c:v>45926</c:v>
                </c:pt>
                <c:pt idx="1139">
                  <c:v>45929</c:v>
                </c:pt>
                <c:pt idx="1140">
                  <c:v>45930</c:v>
                </c:pt>
                <c:pt idx="1141">
                  <c:v>45931</c:v>
                </c:pt>
                <c:pt idx="1142">
                  <c:v>45932</c:v>
                </c:pt>
                <c:pt idx="1143">
                  <c:v>45933</c:v>
                </c:pt>
                <c:pt idx="1144">
                  <c:v>45936</c:v>
                </c:pt>
                <c:pt idx="1145">
                  <c:v>45937</c:v>
                </c:pt>
                <c:pt idx="1146">
                  <c:v>45938</c:v>
                </c:pt>
                <c:pt idx="1147">
                  <c:v>45939</c:v>
                </c:pt>
                <c:pt idx="1148">
                  <c:v>45940</c:v>
                </c:pt>
                <c:pt idx="1149">
                  <c:v>45943</c:v>
                </c:pt>
                <c:pt idx="1150">
                  <c:v>45944</c:v>
                </c:pt>
                <c:pt idx="1151">
                  <c:v>45945</c:v>
                </c:pt>
                <c:pt idx="1152">
                  <c:v>45946</c:v>
                </c:pt>
                <c:pt idx="1153">
                  <c:v>45947</c:v>
                </c:pt>
                <c:pt idx="1154">
                  <c:v>45950</c:v>
                </c:pt>
                <c:pt idx="1155">
                  <c:v>45951</c:v>
                </c:pt>
                <c:pt idx="1156">
                  <c:v>45952</c:v>
                </c:pt>
                <c:pt idx="1157">
                  <c:v>45953</c:v>
                </c:pt>
                <c:pt idx="1158">
                  <c:v>45954</c:v>
                </c:pt>
                <c:pt idx="1159">
                  <c:v>45957</c:v>
                </c:pt>
                <c:pt idx="1160">
                  <c:v>45958</c:v>
                </c:pt>
                <c:pt idx="1161">
                  <c:v>45959</c:v>
                </c:pt>
                <c:pt idx="1162">
                  <c:v>45960</c:v>
                </c:pt>
                <c:pt idx="1163">
                  <c:v>45961</c:v>
                </c:pt>
                <c:pt idx="1164">
                  <c:v>45964</c:v>
                </c:pt>
                <c:pt idx="1165">
                  <c:v>45965</c:v>
                </c:pt>
                <c:pt idx="1166">
                  <c:v>45966</c:v>
                </c:pt>
                <c:pt idx="1167">
                  <c:v>45967</c:v>
                </c:pt>
                <c:pt idx="1168">
                  <c:v>45968</c:v>
                </c:pt>
                <c:pt idx="1169">
                  <c:v>45971</c:v>
                </c:pt>
                <c:pt idx="1170">
                  <c:v>45972</c:v>
                </c:pt>
                <c:pt idx="1171">
                  <c:v>45973</c:v>
                </c:pt>
                <c:pt idx="1172">
                  <c:v>45974</c:v>
                </c:pt>
                <c:pt idx="1173">
                  <c:v>45975</c:v>
                </c:pt>
                <c:pt idx="1174">
                  <c:v>45978</c:v>
                </c:pt>
                <c:pt idx="1175">
                  <c:v>45979</c:v>
                </c:pt>
                <c:pt idx="1176">
                  <c:v>45980</c:v>
                </c:pt>
                <c:pt idx="1177">
                  <c:v>45981</c:v>
                </c:pt>
                <c:pt idx="1178">
                  <c:v>45982</c:v>
                </c:pt>
                <c:pt idx="1179">
                  <c:v>45985</c:v>
                </c:pt>
                <c:pt idx="1180">
                  <c:v>45986</c:v>
                </c:pt>
                <c:pt idx="1181">
                  <c:v>45987</c:v>
                </c:pt>
                <c:pt idx="1182">
                  <c:v>45988</c:v>
                </c:pt>
                <c:pt idx="1183">
                  <c:v>45989</c:v>
                </c:pt>
                <c:pt idx="1184">
                  <c:v>45992</c:v>
                </c:pt>
                <c:pt idx="1185">
                  <c:v>45993</c:v>
                </c:pt>
                <c:pt idx="1186">
                  <c:v>45994</c:v>
                </c:pt>
                <c:pt idx="1187">
                  <c:v>45995</c:v>
                </c:pt>
                <c:pt idx="1188">
                  <c:v>45996</c:v>
                </c:pt>
                <c:pt idx="1189">
                  <c:v>45999</c:v>
                </c:pt>
                <c:pt idx="1190">
                  <c:v>46000</c:v>
                </c:pt>
                <c:pt idx="1191">
                  <c:v>46001</c:v>
                </c:pt>
                <c:pt idx="1192">
                  <c:v>46002</c:v>
                </c:pt>
                <c:pt idx="1193">
                  <c:v>46003</c:v>
                </c:pt>
                <c:pt idx="1194">
                  <c:v>46006</c:v>
                </c:pt>
                <c:pt idx="1195">
                  <c:v>46007</c:v>
                </c:pt>
                <c:pt idx="1196">
                  <c:v>46008</c:v>
                </c:pt>
                <c:pt idx="1197">
                  <c:v>46009</c:v>
                </c:pt>
                <c:pt idx="1198">
                  <c:v>46010</c:v>
                </c:pt>
                <c:pt idx="1199">
                  <c:v>46013</c:v>
                </c:pt>
                <c:pt idx="1200">
                  <c:v>46014</c:v>
                </c:pt>
                <c:pt idx="1201">
                  <c:v>46015</c:v>
                </c:pt>
                <c:pt idx="1202">
                  <c:v>46016</c:v>
                </c:pt>
                <c:pt idx="1203">
                  <c:v>46017</c:v>
                </c:pt>
                <c:pt idx="1204">
                  <c:v>46020</c:v>
                </c:pt>
                <c:pt idx="1205">
                  <c:v>46021</c:v>
                </c:pt>
                <c:pt idx="1206">
                  <c:v>46022</c:v>
                </c:pt>
                <c:pt idx="1207">
                  <c:v>46027</c:v>
                </c:pt>
                <c:pt idx="1208">
                  <c:v>46028</c:v>
                </c:pt>
                <c:pt idx="1209">
                  <c:v>46029</c:v>
                </c:pt>
                <c:pt idx="1210">
                  <c:v>46030</c:v>
                </c:pt>
                <c:pt idx="1211">
                  <c:v>46031</c:v>
                </c:pt>
                <c:pt idx="1212">
                  <c:v>46034</c:v>
                </c:pt>
                <c:pt idx="1213">
                  <c:v>46035</c:v>
                </c:pt>
                <c:pt idx="1214">
                  <c:v>46036</c:v>
                </c:pt>
                <c:pt idx="1215">
                  <c:v>46037</c:v>
                </c:pt>
                <c:pt idx="1216">
                  <c:v>46038</c:v>
                </c:pt>
                <c:pt idx="1217">
                  <c:v>46041</c:v>
                </c:pt>
                <c:pt idx="1218">
                  <c:v>46042</c:v>
                </c:pt>
                <c:pt idx="1219">
                  <c:v>46043</c:v>
                </c:pt>
                <c:pt idx="1220">
                  <c:v>46044</c:v>
                </c:pt>
                <c:pt idx="1221">
                  <c:v>46045</c:v>
                </c:pt>
                <c:pt idx="1222">
                  <c:v>46048</c:v>
                </c:pt>
                <c:pt idx="1223">
                  <c:v>46049</c:v>
                </c:pt>
                <c:pt idx="1224">
                  <c:v>46050</c:v>
                </c:pt>
                <c:pt idx="1225">
                  <c:v>46051</c:v>
                </c:pt>
                <c:pt idx="1226">
                  <c:v>46052</c:v>
                </c:pt>
                <c:pt idx="1227">
                  <c:v>46055</c:v>
                </c:pt>
                <c:pt idx="1228">
                  <c:v>46056</c:v>
                </c:pt>
                <c:pt idx="1229">
                  <c:v>46057</c:v>
                </c:pt>
                <c:pt idx="1230">
                  <c:v>46058</c:v>
                </c:pt>
                <c:pt idx="1231">
                  <c:v>46059</c:v>
                </c:pt>
                <c:pt idx="1232">
                  <c:v>46062</c:v>
                </c:pt>
                <c:pt idx="1233">
                  <c:v>46063</c:v>
                </c:pt>
                <c:pt idx="1234">
                  <c:v>46064</c:v>
                </c:pt>
                <c:pt idx="1235">
                  <c:v>46065</c:v>
                </c:pt>
                <c:pt idx="1236">
                  <c:v>46066</c:v>
                </c:pt>
                <c:pt idx="1237">
                  <c:v>46076</c:v>
                </c:pt>
                <c:pt idx="1238">
                  <c:v>46077</c:v>
                </c:pt>
                <c:pt idx="1239">
                  <c:v>46078</c:v>
                </c:pt>
                <c:pt idx="1240">
                  <c:v>46079</c:v>
                </c:pt>
                <c:pt idx="1241">
                  <c:v>46080</c:v>
                </c:pt>
                <c:pt idx="1242">
                  <c:v>46083</c:v>
                </c:pt>
                <c:pt idx="1243">
                  <c:v>46084</c:v>
                </c:pt>
                <c:pt idx="1244">
                  <c:v>46085</c:v>
                </c:pt>
                <c:pt idx="1245">
                  <c:v>46086</c:v>
                </c:pt>
                <c:pt idx="1246">
                  <c:v>46087</c:v>
                </c:pt>
              </c:numCache>
            </c:numRef>
          </c:cat>
          <c:val>
            <c:numRef>
              <c:f>'FX Data'!$H$957:$H$2203</c:f>
              <c:numCache>
                <c:formatCode>0.0</c:formatCode>
                <c:ptCount val="1247"/>
                <c:pt idx="0">
                  <c:v>16.960031496834333</c:v>
                </c:pt>
                <c:pt idx="1">
                  <c:v>16.960031496834333</c:v>
                </c:pt>
                <c:pt idx="2">
                  <c:v>16.960031496834333</c:v>
                </c:pt>
                <c:pt idx="3">
                  <c:v>16.960031496834333</c:v>
                </c:pt>
                <c:pt idx="4">
                  <c:v>16.960031496834333</c:v>
                </c:pt>
                <c:pt idx="5">
                  <c:v>16.960031496834333</c:v>
                </c:pt>
                <c:pt idx="6">
                  <c:v>16.960031496834333</c:v>
                </c:pt>
                <c:pt idx="7">
                  <c:v>16.960031496834333</c:v>
                </c:pt>
                <c:pt idx="8">
                  <c:v>16.960031496834333</c:v>
                </c:pt>
                <c:pt idx="9">
                  <c:v>16.960031496834333</c:v>
                </c:pt>
                <c:pt idx="10">
                  <c:v>16.960031496834333</c:v>
                </c:pt>
                <c:pt idx="11">
                  <c:v>16.960031496834333</c:v>
                </c:pt>
                <c:pt idx="12">
                  <c:v>16.960031496834333</c:v>
                </c:pt>
                <c:pt idx="13">
                  <c:v>16.960031496834333</c:v>
                </c:pt>
                <c:pt idx="14">
                  <c:v>16.960031496834333</c:v>
                </c:pt>
                <c:pt idx="15">
                  <c:v>16.960031496834333</c:v>
                </c:pt>
                <c:pt idx="16">
                  <c:v>16.960031496834333</c:v>
                </c:pt>
                <c:pt idx="17">
                  <c:v>16.960031496834333</c:v>
                </c:pt>
                <c:pt idx="18">
                  <c:v>16.960031496834333</c:v>
                </c:pt>
                <c:pt idx="19">
                  <c:v>16.960031496834333</c:v>
                </c:pt>
                <c:pt idx="20">
                  <c:v>16.960031496834333</c:v>
                </c:pt>
                <c:pt idx="21">
                  <c:v>16.960031496834333</c:v>
                </c:pt>
                <c:pt idx="22">
                  <c:v>16.960031496834333</c:v>
                </c:pt>
                <c:pt idx="23">
                  <c:v>16.960031496834333</c:v>
                </c:pt>
                <c:pt idx="24">
                  <c:v>16.960031496834333</c:v>
                </c:pt>
                <c:pt idx="25">
                  <c:v>16.960031496834333</c:v>
                </c:pt>
                <c:pt idx="26">
                  <c:v>16.960031496834333</c:v>
                </c:pt>
                <c:pt idx="27">
                  <c:v>16.960031496834333</c:v>
                </c:pt>
                <c:pt idx="28">
                  <c:v>16.960031496834333</c:v>
                </c:pt>
                <c:pt idx="29">
                  <c:v>16.960031496834333</c:v>
                </c:pt>
                <c:pt idx="30">
                  <c:v>16.960031496834333</c:v>
                </c:pt>
                <c:pt idx="31">
                  <c:v>16.960031496834333</c:v>
                </c:pt>
                <c:pt idx="32">
                  <c:v>16.960031496834333</c:v>
                </c:pt>
                <c:pt idx="33">
                  <c:v>16.960031496834333</c:v>
                </c:pt>
                <c:pt idx="34">
                  <c:v>16.960031496834333</c:v>
                </c:pt>
                <c:pt idx="35">
                  <c:v>16.960031496834333</c:v>
                </c:pt>
                <c:pt idx="36">
                  <c:v>16.960031496834333</c:v>
                </c:pt>
                <c:pt idx="37">
                  <c:v>16.960031496834333</c:v>
                </c:pt>
                <c:pt idx="38">
                  <c:v>16.960031496834333</c:v>
                </c:pt>
                <c:pt idx="39">
                  <c:v>16.960031496834333</c:v>
                </c:pt>
                <c:pt idx="40">
                  <c:v>16.960031496834333</c:v>
                </c:pt>
                <c:pt idx="41">
                  <c:v>16.960031496834333</c:v>
                </c:pt>
                <c:pt idx="42">
                  <c:v>16.960031496834333</c:v>
                </c:pt>
                <c:pt idx="43">
                  <c:v>16.960031496834333</c:v>
                </c:pt>
                <c:pt idx="44">
                  <c:v>16.960031496834333</c:v>
                </c:pt>
                <c:pt idx="45">
                  <c:v>16.960031496834333</c:v>
                </c:pt>
                <c:pt idx="46">
                  <c:v>16.960031496834333</c:v>
                </c:pt>
                <c:pt idx="47">
                  <c:v>16.960031496834333</c:v>
                </c:pt>
                <c:pt idx="48">
                  <c:v>16.960031496834333</c:v>
                </c:pt>
                <c:pt idx="49">
                  <c:v>16.960031496834333</c:v>
                </c:pt>
                <c:pt idx="50">
                  <c:v>16.960031496834333</c:v>
                </c:pt>
                <c:pt idx="51">
                  <c:v>16.960031496834333</c:v>
                </c:pt>
                <c:pt idx="52">
                  <c:v>16.960031496834333</c:v>
                </c:pt>
                <c:pt idx="53">
                  <c:v>16.960031496834333</c:v>
                </c:pt>
                <c:pt idx="54">
                  <c:v>16.960031496834333</c:v>
                </c:pt>
                <c:pt idx="55">
                  <c:v>16.960031496834333</c:v>
                </c:pt>
                <c:pt idx="56">
                  <c:v>16.960031496834333</c:v>
                </c:pt>
                <c:pt idx="57">
                  <c:v>16.960031496834333</c:v>
                </c:pt>
                <c:pt idx="58">
                  <c:v>16.960031496834333</c:v>
                </c:pt>
                <c:pt idx="59">
                  <c:v>16.960031496834333</c:v>
                </c:pt>
                <c:pt idx="60">
                  <c:v>16.960031496834333</c:v>
                </c:pt>
                <c:pt idx="61">
                  <c:v>16.960031496834333</c:v>
                </c:pt>
                <c:pt idx="62">
                  <c:v>16.960031496834333</c:v>
                </c:pt>
                <c:pt idx="63">
                  <c:v>16.960031496834333</c:v>
                </c:pt>
                <c:pt idx="64">
                  <c:v>16.960031496834333</c:v>
                </c:pt>
                <c:pt idx="65">
                  <c:v>16.960031496834333</c:v>
                </c:pt>
                <c:pt idx="66">
                  <c:v>16.960031496834333</c:v>
                </c:pt>
                <c:pt idx="67">
                  <c:v>16.960031496834333</c:v>
                </c:pt>
                <c:pt idx="68">
                  <c:v>16.960031496834333</c:v>
                </c:pt>
                <c:pt idx="69">
                  <c:v>16.960031496834333</c:v>
                </c:pt>
                <c:pt idx="70">
                  <c:v>16.960031496834333</c:v>
                </c:pt>
                <c:pt idx="71">
                  <c:v>16.960031496834333</c:v>
                </c:pt>
                <c:pt idx="72">
                  <c:v>16.960031496834333</c:v>
                </c:pt>
                <c:pt idx="73">
                  <c:v>16.960031496834333</c:v>
                </c:pt>
                <c:pt idx="74">
                  <c:v>16.960031496834333</c:v>
                </c:pt>
                <c:pt idx="75">
                  <c:v>16.960031496834333</c:v>
                </c:pt>
                <c:pt idx="76">
                  <c:v>16.960031496834333</c:v>
                </c:pt>
                <c:pt idx="77">
                  <c:v>16.960031496834333</c:v>
                </c:pt>
                <c:pt idx="78">
                  <c:v>16.960031496834333</c:v>
                </c:pt>
                <c:pt idx="79">
                  <c:v>16.960031496834333</c:v>
                </c:pt>
                <c:pt idx="80">
                  <c:v>16.960031496834333</c:v>
                </c:pt>
                <c:pt idx="81">
                  <c:v>16.960031496834333</c:v>
                </c:pt>
                <c:pt idx="82">
                  <c:v>16.960031496834333</c:v>
                </c:pt>
                <c:pt idx="83">
                  <c:v>16.960031496834333</c:v>
                </c:pt>
                <c:pt idx="84">
                  <c:v>16.960031496834333</c:v>
                </c:pt>
                <c:pt idx="85">
                  <c:v>16.960031496834333</c:v>
                </c:pt>
                <c:pt idx="86">
                  <c:v>16.960031496834333</c:v>
                </c:pt>
                <c:pt idx="87">
                  <c:v>16.960031496834333</c:v>
                </c:pt>
                <c:pt idx="88">
                  <c:v>16.960031496834333</c:v>
                </c:pt>
                <c:pt idx="89">
                  <c:v>16.960031496834333</c:v>
                </c:pt>
                <c:pt idx="90">
                  <c:v>16.960031496834333</c:v>
                </c:pt>
                <c:pt idx="91">
                  <c:v>16.960031496834333</c:v>
                </c:pt>
                <c:pt idx="92">
                  <c:v>16.960031496834333</c:v>
                </c:pt>
                <c:pt idx="93">
                  <c:v>16.960031496834333</c:v>
                </c:pt>
                <c:pt idx="94">
                  <c:v>16.960031496834333</c:v>
                </c:pt>
                <c:pt idx="95">
                  <c:v>16.960031496834333</c:v>
                </c:pt>
                <c:pt idx="96">
                  <c:v>16.960031496834333</c:v>
                </c:pt>
                <c:pt idx="97">
                  <c:v>16.960031496834333</c:v>
                </c:pt>
                <c:pt idx="98">
                  <c:v>16.960031496834333</c:v>
                </c:pt>
                <c:pt idx="99">
                  <c:v>16.960031496834333</c:v>
                </c:pt>
                <c:pt idx="100">
                  <c:v>16.960031496834333</c:v>
                </c:pt>
                <c:pt idx="101">
                  <c:v>16.960031496834333</c:v>
                </c:pt>
                <c:pt idx="102">
                  <c:v>16.960031496834333</c:v>
                </c:pt>
                <c:pt idx="103">
                  <c:v>16.960031496834333</c:v>
                </c:pt>
                <c:pt idx="104">
                  <c:v>16.960031496834333</c:v>
                </c:pt>
                <c:pt idx="105">
                  <c:v>16.960031496834333</c:v>
                </c:pt>
                <c:pt idx="106">
                  <c:v>16.960031496834333</c:v>
                </c:pt>
                <c:pt idx="107">
                  <c:v>16.960031496834333</c:v>
                </c:pt>
                <c:pt idx="108">
                  <c:v>16.960031496834333</c:v>
                </c:pt>
                <c:pt idx="109">
                  <c:v>16.960031496834333</c:v>
                </c:pt>
                <c:pt idx="110">
                  <c:v>16.960031496834333</c:v>
                </c:pt>
                <c:pt idx="111">
                  <c:v>16.960031496834333</c:v>
                </c:pt>
                <c:pt idx="112">
                  <c:v>16.960031496834333</c:v>
                </c:pt>
                <c:pt idx="113">
                  <c:v>16.960031496834333</c:v>
                </c:pt>
                <c:pt idx="114">
                  <c:v>16.960031496834333</c:v>
                </c:pt>
                <c:pt idx="115">
                  <c:v>16.960031496834333</c:v>
                </c:pt>
                <c:pt idx="116">
                  <c:v>16.960031496834333</c:v>
                </c:pt>
                <c:pt idx="117">
                  <c:v>16.960031496834333</c:v>
                </c:pt>
                <c:pt idx="118">
                  <c:v>16.960031496834333</c:v>
                </c:pt>
                <c:pt idx="119">
                  <c:v>16.960031496834333</c:v>
                </c:pt>
                <c:pt idx="120">
                  <c:v>16.960031496834333</c:v>
                </c:pt>
                <c:pt idx="121">
                  <c:v>16.960031496834333</c:v>
                </c:pt>
                <c:pt idx="122">
                  <c:v>16.960031496834333</c:v>
                </c:pt>
                <c:pt idx="123">
                  <c:v>16.960031496834333</c:v>
                </c:pt>
                <c:pt idx="124">
                  <c:v>16.960031496834333</c:v>
                </c:pt>
                <c:pt idx="125">
                  <c:v>16.960031496834333</c:v>
                </c:pt>
                <c:pt idx="126">
                  <c:v>16.960031496834333</c:v>
                </c:pt>
                <c:pt idx="127">
                  <c:v>16.960031496834333</c:v>
                </c:pt>
                <c:pt idx="128">
                  <c:v>16.960031496834333</c:v>
                </c:pt>
                <c:pt idx="129">
                  <c:v>16.960031496834333</c:v>
                </c:pt>
                <c:pt idx="130">
                  <c:v>16.960031496834333</c:v>
                </c:pt>
                <c:pt idx="131">
                  <c:v>16.960031496834333</c:v>
                </c:pt>
                <c:pt idx="132">
                  <c:v>16.960031496834333</c:v>
                </c:pt>
                <c:pt idx="133">
                  <c:v>16.960031496834333</c:v>
                </c:pt>
                <c:pt idx="134">
                  <c:v>16.960031496834333</c:v>
                </c:pt>
                <c:pt idx="135">
                  <c:v>16.960031496834333</c:v>
                </c:pt>
                <c:pt idx="136">
                  <c:v>16.960031496834333</c:v>
                </c:pt>
                <c:pt idx="137">
                  <c:v>16.960031496834333</c:v>
                </c:pt>
                <c:pt idx="138">
                  <c:v>16.960031496834333</c:v>
                </c:pt>
                <c:pt idx="139">
                  <c:v>16.960031496834333</c:v>
                </c:pt>
                <c:pt idx="140">
                  <c:v>16.960031496834333</c:v>
                </c:pt>
                <c:pt idx="141">
                  <c:v>16.960031496834333</c:v>
                </c:pt>
                <c:pt idx="142">
                  <c:v>16.960031496834333</c:v>
                </c:pt>
                <c:pt idx="143">
                  <c:v>16.960031496834333</c:v>
                </c:pt>
                <c:pt idx="144">
                  <c:v>16.960031496834333</c:v>
                </c:pt>
                <c:pt idx="145">
                  <c:v>16.960031496834333</c:v>
                </c:pt>
                <c:pt idx="146">
                  <c:v>16.960031496834333</c:v>
                </c:pt>
                <c:pt idx="147">
                  <c:v>16.960031496834333</c:v>
                </c:pt>
                <c:pt idx="148">
                  <c:v>16.960031496834333</c:v>
                </c:pt>
                <c:pt idx="149">
                  <c:v>16.960031496834333</c:v>
                </c:pt>
                <c:pt idx="150">
                  <c:v>16.960031496834333</c:v>
                </c:pt>
                <c:pt idx="151">
                  <c:v>16.960031496834333</c:v>
                </c:pt>
                <c:pt idx="152">
                  <c:v>16.960031496834333</c:v>
                </c:pt>
                <c:pt idx="153">
                  <c:v>16.960031496834333</c:v>
                </c:pt>
                <c:pt idx="154">
                  <c:v>16.960031496834333</c:v>
                </c:pt>
                <c:pt idx="155">
                  <c:v>16.960031496834333</c:v>
                </c:pt>
                <c:pt idx="156">
                  <c:v>16.960031496834333</c:v>
                </c:pt>
                <c:pt idx="157">
                  <c:v>16.960031496834333</c:v>
                </c:pt>
                <c:pt idx="158">
                  <c:v>16.960031496834333</c:v>
                </c:pt>
                <c:pt idx="159">
                  <c:v>16.960031496834333</c:v>
                </c:pt>
                <c:pt idx="160">
                  <c:v>16.960031496834333</c:v>
                </c:pt>
                <c:pt idx="161">
                  <c:v>16.960031496834333</c:v>
                </c:pt>
                <c:pt idx="162">
                  <c:v>16.960031496834333</c:v>
                </c:pt>
                <c:pt idx="163">
                  <c:v>16.960031496834333</c:v>
                </c:pt>
                <c:pt idx="164">
                  <c:v>16.960031496834333</c:v>
                </c:pt>
                <c:pt idx="165">
                  <c:v>16.960031496834333</c:v>
                </c:pt>
                <c:pt idx="166">
                  <c:v>16.960031496834333</c:v>
                </c:pt>
                <c:pt idx="167">
                  <c:v>16.960031496834333</c:v>
                </c:pt>
                <c:pt idx="168">
                  <c:v>16.960031496834333</c:v>
                </c:pt>
                <c:pt idx="169">
                  <c:v>16.960031496834333</c:v>
                </c:pt>
                <c:pt idx="170">
                  <c:v>16.960031496834333</c:v>
                </c:pt>
                <c:pt idx="171">
                  <c:v>16.960031496834333</c:v>
                </c:pt>
                <c:pt idx="172">
                  <c:v>16.960031496834333</c:v>
                </c:pt>
                <c:pt idx="173">
                  <c:v>16.960031496834333</c:v>
                </c:pt>
                <c:pt idx="174">
                  <c:v>16.960031496834333</c:v>
                </c:pt>
                <c:pt idx="175">
                  <c:v>16.960031496834333</c:v>
                </c:pt>
                <c:pt idx="176">
                  <c:v>16.960031496834333</c:v>
                </c:pt>
                <c:pt idx="177">
                  <c:v>16.960031496834333</c:v>
                </c:pt>
                <c:pt idx="178">
                  <c:v>16.960031496834333</c:v>
                </c:pt>
                <c:pt idx="179">
                  <c:v>16.960031496834333</c:v>
                </c:pt>
                <c:pt idx="180">
                  <c:v>16.960031496834333</c:v>
                </c:pt>
                <c:pt idx="181">
                  <c:v>16.960031496834333</c:v>
                </c:pt>
                <c:pt idx="182">
                  <c:v>16.960031496834333</c:v>
                </c:pt>
                <c:pt idx="183">
                  <c:v>16.960031496834333</c:v>
                </c:pt>
                <c:pt idx="184">
                  <c:v>16.960031496834333</c:v>
                </c:pt>
                <c:pt idx="185">
                  <c:v>16.960031496834333</c:v>
                </c:pt>
                <c:pt idx="186">
                  <c:v>16.960031496834333</c:v>
                </c:pt>
                <c:pt idx="187">
                  <c:v>16.960031496834333</c:v>
                </c:pt>
                <c:pt idx="188">
                  <c:v>16.960031496834333</c:v>
                </c:pt>
                <c:pt idx="189">
                  <c:v>16.960031496834333</c:v>
                </c:pt>
                <c:pt idx="190">
                  <c:v>16.960031496834333</c:v>
                </c:pt>
                <c:pt idx="191">
                  <c:v>16.960031496834333</c:v>
                </c:pt>
                <c:pt idx="192">
                  <c:v>16.960031496834333</c:v>
                </c:pt>
                <c:pt idx="193">
                  <c:v>16.960031496834333</c:v>
                </c:pt>
                <c:pt idx="194">
                  <c:v>16.960031496834333</c:v>
                </c:pt>
                <c:pt idx="195">
                  <c:v>16.960031496834333</c:v>
                </c:pt>
                <c:pt idx="196">
                  <c:v>16.960031496834333</c:v>
                </c:pt>
                <c:pt idx="197">
                  <c:v>16.960031496834333</c:v>
                </c:pt>
                <c:pt idx="198">
                  <c:v>16.960031496834333</c:v>
                </c:pt>
                <c:pt idx="199">
                  <c:v>16.960031496834333</c:v>
                </c:pt>
                <c:pt idx="200">
                  <c:v>16.960031496834333</c:v>
                </c:pt>
                <c:pt idx="201">
                  <c:v>16.960031496834333</c:v>
                </c:pt>
                <c:pt idx="202">
                  <c:v>16.960031496834333</c:v>
                </c:pt>
                <c:pt idx="203">
                  <c:v>16.960031496834333</c:v>
                </c:pt>
                <c:pt idx="204">
                  <c:v>16.960031496834333</c:v>
                </c:pt>
                <c:pt idx="205">
                  <c:v>16.960031496834333</c:v>
                </c:pt>
                <c:pt idx="206">
                  <c:v>16.960031496834333</c:v>
                </c:pt>
                <c:pt idx="207">
                  <c:v>16.960031496834333</c:v>
                </c:pt>
                <c:pt idx="208">
                  <c:v>16.960031496834333</c:v>
                </c:pt>
                <c:pt idx="209">
                  <c:v>16.960031496834333</c:v>
                </c:pt>
                <c:pt idx="210">
                  <c:v>16.960031496834333</c:v>
                </c:pt>
                <c:pt idx="211">
                  <c:v>16.960031496834333</c:v>
                </c:pt>
                <c:pt idx="212">
                  <c:v>16.960031496834333</c:v>
                </c:pt>
                <c:pt idx="213">
                  <c:v>16.960031496834333</c:v>
                </c:pt>
                <c:pt idx="214">
                  <c:v>16.960031496834333</c:v>
                </c:pt>
                <c:pt idx="215">
                  <c:v>16.960031496834333</c:v>
                </c:pt>
                <c:pt idx="216">
                  <c:v>16.960031496834333</c:v>
                </c:pt>
                <c:pt idx="217">
                  <c:v>16.960031496834333</c:v>
                </c:pt>
                <c:pt idx="218">
                  <c:v>16.960031496834333</c:v>
                </c:pt>
                <c:pt idx="219">
                  <c:v>16.960031496834333</c:v>
                </c:pt>
                <c:pt idx="220">
                  <c:v>16.960031496834333</c:v>
                </c:pt>
                <c:pt idx="221">
                  <c:v>16.960031496834333</c:v>
                </c:pt>
                <c:pt idx="222">
                  <c:v>16.960031496834333</c:v>
                </c:pt>
                <c:pt idx="223">
                  <c:v>16.960031496834333</c:v>
                </c:pt>
                <c:pt idx="224">
                  <c:v>16.960031496834333</c:v>
                </c:pt>
                <c:pt idx="225">
                  <c:v>16.960031496834333</c:v>
                </c:pt>
                <c:pt idx="226">
                  <c:v>16.960031496834333</c:v>
                </c:pt>
                <c:pt idx="227">
                  <c:v>16.960031496834333</c:v>
                </c:pt>
                <c:pt idx="228">
                  <c:v>16.960031496834333</c:v>
                </c:pt>
                <c:pt idx="229">
                  <c:v>16.960031496834333</c:v>
                </c:pt>
                <c:pt idx="230">
                  <c:v>16.960031496834333</c:v>
                </c:pt>
                <c:pt idx="231">
                  <c:v>16.960031496834333</c:v>
                </c:pt>
                <c:pt idx="232">
                  <c:v>16.960031496834333</c:v>
                </c:pt>
                <c:pt idx="233">
                  <c:v>16.960031496834333</c:v>
                </c:pt>
                <c:pt idx="234">
                  <c:v>16.960031496834333</c:v>
                </c:pt>
                <c:pt idx="235">
                  <c:v>16.960031496834333</c:v>
                </c:pt>
                <c:pt idx="236">
                  <c:v>16.960031496834333</c:v>
                </c:pt>
                <c:pt idx="237">
                  <c:v>16.960031496834333</c:v>
                </c:pt>
                <c:pt idx="238">
                  <c:v>16.960031496834333</c:v>
                </c:pt>
                <c:pt idx="239">
                  <c:v>16.960031496834333</c:v>
                </c:pt>
                <c:pt idx="240">
                  <c:v>16.960031496834333</c:v>
                </c:pt>
                <c:pt idx="241">
                  <c:v>16.960031496834333</c:v>
                </c:pt>
                <c:pt idx="242">
                  <c:v>16.960031496834333</c:v>
                </c:pt>
                <c:pt idx="243">
                  <c:v>16.960031496834333</c:v>
                </c:pt>
                <c:pt idx="244">
                  <c:v>16.960031496834333</c:v>
                </c:pt>
                <c:pt idx="245">
                  <c:v>16.960031496834333</c:v>
                </c:pt>
                <c:pt idx="246">
                  <c:v>16.960031496834333</c:v>
                </c:pt>
                <c:pt idx="247">
                  <c:v>16.960031496834333</c:v>
                </c:pt>
                <c:pt idx="248">
                  <c:v>16.960031496834333</c:v>
                </c:pt>
                <c:pt idx="249">
                  <c:v>16.960031496834333</c:v>
                </c:pt>
                <c:pt idx="250">
                  <c:v>16.960031496834333</c:v>
                </c:pt>
                <c:pt idx="251">
                  <c:v>16.960031496834333</c:v>
                </c:pt>
                <c:pt idx="252">
                  <c:v>16.960031496834333</c:v>
                </c:pt>
                <c:pt idx="253">
                  <c:v>16.960031496834333</c:v>
                </c:pt>
                <c:pt idx="254">
                  <c:v>16.960031496834333</c:v>
                </c:pt>
                <c:pt idx="255">
                  <c:v>16.960031496834333</c:v>
                </c:pt>
                <c:pt idx="256">
                  <c:v>16.960031496834333</c:v>
                </c:pt>
                <c:pt idx="257">
                  <c:v>16.960031496834333</c:v>
                </c:pt>
                <c:pt idx="258">
                  <c:v>16.960031496834333</c:v>
                </c:pt>
                <c:pt idx="259">
                  <c:v>16.960031496834333</c:v>
                </c:pt>
                <c:pt idx="260">
                  <c:v>16.960031496834333</c:v>
                </c:pt>
                <c:pt idx="261">
                  <c:v>16.960031496834333</c:v>
                </c:pt>
                <c:pt idx="262">
                  <c:v>16.960031496834333</c:v>
                </c:pt>
                <c:pt idx="263">
                  <c:v>16.960031496834333</c:v>
                </c:pt>
                <c:pt idx="264">
                  <c:v>16.960031496834333</c:v>
                </c:pt>
                <c:pt idx="265">
                  <c:v>16.960031496834333</c:v>
                </c:pt>
                <c:pt idx="266">
                  <c:v>16.960031496834333</c:v>
                </c:pt>
                <c:pt idx="267">
                  <c:v>16.960031496834333</c:v>
                </c:pt>
                <c:pt idx="268">
                  <c:v>16.960031496834333</c:v>
                </c:pt>
                <c:pt idx="269">
                  <c:v>16.960031496834333</c:v>
                </c:pt>
                <c:pt idx="270">
                  <c:v>16.960031496834333</c:v>
                </c:pt>
                <c:pt idx="271">
                  <c:v>16.960031496834333</c:v>
                </c:pt>
                <c:pt idx="272">
                  <c:v>16.960031496834333</c:v>
                </c:pt>
                <c:pt idx="273">
                  <c:v>16.960031496834333</c:v>
                </c:pt>
                <c:pt idx="274">
                  <c:v>16.960031496834333</c:v>
                </c:pt>
                <c:pt idx="275">
                  <c:v>16.960031496834333</c:v>
                </c:pt>
                <c:pt idx="276">
                  <c:v>16.960031496834333</c:v>
                </c:pt>
                <c:pt idx="277">
                  <c:v>16.960031496834333</c:v>
                </c:pt>
                <c:pt idx="278">
                  <c:v>16.960031496834333</c:v>
                </c:pt>
                <c:pt idx="279">
                  <c:v>16.960031496834333</c:v>
                </c:pt>
                <c:pt idx="280">
                  <c:v>16.960031496834333</c:v>
                </c:pt>
                <c:pt idx="281">
                  <c:v>16.960031496834333</c:v>
                </c:pt>
                <c:pt idx="282">
                  <c:v>16.960031496834333</c:v>
                </c:pt>
                <c:pt idx="283">
                  <c:v>16.960031496834333</c:v>
                </c:pt>
                <c:pt idx="284">
                  <c:v>16.960031496834333</c:v>
                </c:pt>
                <c:pt idx="285">
                  <c:v>16.960031496834333</c:v>
                </c:pt>
                <c:pt idx="286">
                  <c:v>16.960031496834333</c:v>
                </c:pt>
                <c:pt idx="287">
                  <c:v>16.960031496834333</c:v>
                </c:pt>
                <c:pt idx="288">
                  <c:v>16.960031496834333</c:v>
                </c:pt>
                <c:pt idx="289">
                  <c:v>16.960031496834333</c:v>
                </c:pt>
                <c:pt idx="290">
                  <c:v>16.960031496834333</c:v>
                </c:pt>
                <c:pt idx="291">
                  <c:v>16.960031496834333</c:v>
                </c:pt>
                <c:pt idx="292">
                  <c:v>16.960031496834333</c:v>
                </c:pt>
                <c:pt idx="293">
                  <c:v>16.960031496834333</c:v>
                </c:pt>
                <c:pt idx="294">
                  <c:v>16.960031496834333</c:v>
                </c:pt>
                <c:pt idx="295">
                  <c:v>16.960031496834333</c:v>
                </c:pt>
                <c:pt idx="296">
                  <c:v>16.960031496834333</c:v>
                </c:pt>
                <c:pt idx="297">
                  <c:v>16.960031496834333</c:v>
                </c:pt>
                <c:pt idx="298">
                  <c:v>16.960031496834333</c:v>
                </c:pt>
                <c:pt idx="299">
                  <c:v>16.960031496834333</c:v>
                </c:pt>
                <c:pt idx="300">
                  <c:v>16.960031496834333</c:v>
                </c:pt>
                <c:pt idx="301">
                  <c:v>16.960031496834333</c:v>
                </c:pt>
                <c:pt idx="302">
                  <c:v>16.960031496834333</c:v>
                </c:pt>
                <c:pt idx="303">
                  <c:v>16.960031496834333</c:v>
                </c:pt>
                <c:pt idx="304">
                  <c:v>16.960031496834333</c:v>
                </c:pt>
                <c:pt idx="305">
                  <c:v>16.960031496834333</c:v>
                </c:pt>
                <c:pt idx="306">
                  <c:v>16.960031496834333</c:v>
                </c:pt>
                <c:pt idx="307">
                  <c:v>16.960031496834333</c:v>
                </c:pt>
                <c:pt idx="308">
                  <c:v>16.960031496834333</c:v>
                </c:pt>
                <c:pt idx="309">
                  <c:v>16.960031496834333</c:v>
                </c:pt>
                <c:pt idx="310">
                  <c:v>16.960031496834333</c:v>
                </c:pt>
                <c:pt idx="311">
                  <c:v>16.960031496834333</c:v>
                </c:pt>
                <c:pt idx="312">
                  <c:v>16.960031496834333</c:v>
                </c:pt>
                <c:pt idx="313">
                  <c:v>16.960031496834333</c:v>
                </c:pt>
                <c:pt idx="314">
                  <c:v>16.960031496834333</c:v>
                </c:pt>
                <c:pt idx="315">
                  <c:v>16.960031496834333</c:v>
                </c:pt>
                <c:pt idx="316">
                  <c:v>16.960031496834333</c:v>
                </c:pt>
                <c:pt idx="317">
                  <c:v>16.960031496834333</c:v>
                </c:pt>
                <c:pt idx="318">
                  <c:v>16.960031496834333</c:v>
                </c:pt>
                <c:pt idx="319">
                  <c:v>16.960031496834333</c:v>
                </c:pt>
                <c:pt idx="320">
                  <c:v>16.960031496834333</c:v>
                </c:pt>
                <c:pt idx="321">
                  <c:v>16.960031496834333</c:v>
                </c:pt>
                <c:pt idx="322">
                  <c:v>16.960031496834333</c:v>
                </c:pt>
                <c:pt idx="323">
                  <c:v>16.960031496834333</c:v>
                </c:pt>
                <c:pt idx="324">
                  <c:v>16.960031496834333</c:v>
                </c:pt>
                <c:pt idx="325">
                  <c:v>16.960031496834333</c:v>
                </c:pt>
                <c:pt idx="326">
                  <c:v>16.960031496834333</c:v>
                </c:pt>
                <c:pt idx="327">
                  <c:v>16.960031496834333</c:v>
                </c:pt>
                <c:pt idx="328">
                  <c:v>16.960031496834333</c:v>
                </c:pt>
                <c:pt idx="329">
                  <c:v>16.960031496834333</c:v>
                </c:pt>
                <c:pt idx="330">
                  <c:v>16.960031496834333</c:v>
                </c:pt>
                <c:pt idx="331">
                  <c:v>16.960031496834333</c:v>
                </c:pt>
                <c:pt idx="332">
                  <c:v>16.960031496834333</c:v>
                </c:pt>
                <c:pt idx="333">
                  <c:v>16.960031496834333</c:v>
                </c:pt>
                <c:pt idx="334">
                  <c:v>16.960031496834333</c:v>
                </c:pt>
                <c:pt idx="335">
                  <c:v>16.960031496834333</c:v>
                </c:pt>
                <c:pt idx="336">
                  <c:v>16.960031496834333</c:v>
                </c:pt>
                <c:pt idx="337">
                  <c:v>16.960031496834333</c:v>
                </c:pt>
                <c:pt idx="338">
                  <c:v>16.960031496834333</c:v>
                </c:pt>
                <c:pt idx="339">
                  <c:v>16.960031496834333</c:v>
                </c:pt>
                <c:pt idx="340">
                  <c:v>16.960031496834333</c:v>
                </c:pt>
                <c:pt idx="341">
                  <c:v>16.960031496834333</c:v>
                </c:pt>
                <c:pt idx="342">
                  <c:v>16.960031496834333</c:v>
                </c:pt>
                <c:pt idx="343">
                  <c:v>16.960031496834333</c:v>
                </c:pt>
                <c:pt idx="344">
                  <c:v>16.960031496834333</c:v>
                </c:pt>
                <c:pt idx="345">
                  <c:v>16.960031496834333</c:v>
                </c:pt>
                <c:pt idx="346">
                  <c:v>16.960031496834333</c:v>
                </c:pt>
                <c:pt idx="347">
                  <c:v>16.960031496834333</c:v>
                </c:pt>
                <c:pt idx="348">
                  <c:v>16.960031496834333</c:v>
                </c:pt>
                <c:pt idx="349">
                  <c:v>16.960031496834333</c:v>
                </c:pt>
                <c:pt idx="350">
                  <c:v>16.960031496834333</c:v>
                </c:pt>
                <c:pt idx="351">
                  <c:v>16.960031496834333</c:v>
                </c:pt>
                <c:pt idx="352">
                  <c:v>16.960031496834333</c:v>
                </c:pt>
                <c:pt idx="353">
                  <c:v>16.960031496834333</c:v>
                </c:pt>
                <c:pt idx="354">
                  <c:v>16.960031496834333</c:v>
                </c:pt>
                <c:pt idx="355">
                  <c:v>16.960031496834333</c:v>
                </c:pt>
                <c:pt idx="356">
                  <c:v>16.960031496834333</c:v>
                </c:pt>
                <c:pt idx="357">
                  <c:v>16.960031496834333</c:v>
                </c:pt>
                <c:pt idx="358">
                  <c:v>16.960031496834333</c:v>
                </c:pt>
                <c:pt idx="359">
                  <c:v>16.960031496834333</c:v>
                </c:pt>
                <c:pt idx="360">
                  <c:v>16.960031496834333</c:v>
                </c:pt>
                <c:pt idx="361">
                  <c:v>16.960031496834333</c:v>
                </c:pt>
                <c:pt idx="362">
                  <c:v>16.960031496834333</c:v>
                </c:pt>
                <c:pt idx="363">
                  <c:v>16.960031496834333</c:v>
                </c:pt>
                <c:pt idx="364">
                  <c:v>16.960031496834333</c:v>
                </c:pt>
                <c:pt idx="365">
                  <c:v>16.960031496834333</c:v>
                </c:pt>
                <c:pt idx="366">
                  <c:v>16.960031496834333</c:v>
                </c:pt>
                <c:pt idx="367">
                  <c:v>16.960031496834333</c:v>
                </c:pt>
                <c:pt idx="368">
                  <c:v>16.960031496834333</c:v>
                </c:pt>
                <c:pt idx="369">
                  <c:v>16.960031496834333</c:v>
                </c:pt>
                <c:pt idx="370">
                  <c:v>16.960031496834333</c:v>
                </c:pt>
                <c:pt idx="371">
                  <c:v>16.960031496834333</c:v>
                </c:pt>
                <c:pt idx="372">
                  <c:v>16.960031496834333</c:v>
                </c:pt>
                <c:pt idx="373">
                  <c:v>16.960031496834333</c:v>
                </c:pt>
                <c:pt idx="374">
                  <c:v>16.960031496834333</c:v>
                </c:pt>
                <c:pt idx="375">
                  <c:v>16.960031496834333</c:v>
                </c:pt>
                <c:pt idx="376">
                  <c:v>16.960031496834333</c:v>
                </c:pt>
                <c:pt idx="377">
                  <c:v>16.960031496834333</c:v>
                </c:pt>
                <c:pt idx="378">
                  <c:v>16.960031496834333</c:v>
                </c:pt>
                <c:pt idx="379">
                  <c:v>16.960031496834333</c:v>
                </c:pt>
                <c:pt idx="380">
                  <c:v>16.960031496834333</c:v>
                </c:pt>
                <c:pt idx="381">
                  <c:v>16.960031496834333</c:v>
                </c:pt>
                <c:pt idx="382">
                  <c:v>16.960031496834333</c:v>
                </c:pt>
                <c:pt idx="383">
                  <c:v>16.960031496834333</c:v>
                </c:pt>
                <c:pt idx="384">
                  <c:v>16.960031496834333</c:v>
                </c:pt>
                <c:pt idx="385">
                  <c:v>16.960031496834333</c:v>
                </c:pt>
                <c:pt idx="386">
                  <c:v>16.960031496834333</c:v>
                </c:pt>
                <c:pt idx="387">
                  <c:v>16.960031496834333</c:v>
                </c:pt>
                <c:pt idx="388">
                  <c:v>16.960031496834333</c:v>
                </c:pt>
                <c:pt idx="389">
                  <c:v>16.960031496834333</c:v>
                </c:pt>
                <c:pt idx="390">
                  <c:v>16.960031496834333</c:v>
                </c:pt>
                <c:pt idx="391">
                  <c:v>16.960031496834333</c:v>
                </c:pt>
                <c:pt idx="392">
                  <c:v>16.960031496834333</c:v>
                </c:pt>
                <c:pt idx="393">
                  <c:v>16.960031496834333</c:v>
                </c:pt>
                <c:pt idx="394">
                  <c:v>16.960031496834333</c:v>
                </c:pt>
                <c:pt idx="395">
                  <c:v>16.960031496834333</c:v>
                </c:pt>
                <c:pt idx="396">
                  <c:v>16.960031496834333</c:v>
                </c:pt>
                <c:pt idx="397">
                  <c:v>16.960031496834333</c:v>
                </c:pt>
                <c:pt idx="398">
                  <c:v>16.960031496834333</c:v>
                </c:pt>
                <c:pt idx="399">
                  <c:v>16.960031496834333</c:v>
                </c:pt>
                <c:pt idx="400">
                  <c:v>16.960031496834333</c:v>
                </c:pt>
                <c:pt idx="401">
                  <c:v>16.960031496834333</c:v>
                </c:pt>
                <c:pt idx="402">
                  <c:v>16.960031496834333</c:v>
                </c:pt>
                <c:pt idx="403">
                  <c:v>16.960031496834333</c:v>
                </c:pt>
                <c:pt idx="404">
                  <c:v>16.960031496834333</c:v>
                </c:pt>
                <c:pt idx="405">
                  <c:v>16.960031496834333</c:v>
                </c:pt>
                <c:pt idx="406">
                  <c:v>16.960031496834333</c:v>
                </c:pt>
                <c:pt idx="407">
                  <c:v>16.960031496834333</c:v>
                </c:pt>
                <c:pt idx="408">
                  <c:v>16.960031496834333</c:v>
                </c:pt>
                <c:pt idx="409">
                  <c:v>16.960031496834333</c:v>
                </c:pt>
                <c:pt idx="410">
                  <c:v>16.960031496834333</c:v>
                </c:pt>
                <c:pt idx="411">
                  <c:v>16.960031496834333</c:v>
                </c:pt>
                <c:pt idx="412">
                  <c:v>16.960031496834333</c:v>
                </c:pt>
                <c:pt idx="413">
                  <c:v>16.960031496834333</c:v>
                </c:pt>
                <c:pt idx="414">
                  <c:v>16.960031496834333</c:v>
                </c:pt>
                <c:pt idx="415">
                  <c:v>16.960031496834333</c:v>
                </c:pt>
                <c:pt idx="416">
                  <c:v>16.960031496834333</c:v>
                </c:pt>
                <c:pt idx="417">
                  <c:v>16.960031496834333</c:v>
                </c:pt>
                <c:pt idx="418">
                  <c:v>16.960031496834333</c:v>
                </c:pt>
                <c:pt idx="419">
                  <c:v>16.960031496834333</c:v>
                </c:pt>
                <c:pt idx="420">
                  <c:v>16.960031496834333</c:v>
                </c:pt>
                <c:pt idx="421">
                  <c:v>16.960031496834333</c:v>
                </c:pt>
                <c:pt idx="422">
                  <c:v>16.960031496834333</c:v>
                </c:pt>
                <c:pt idx="423">
                  <c:v>16.960031496834333</c:v>
                </c:pt>
                <c:pt idx="424">
                  <c:v>16.960031496834333</c:v>
                </c:pt>
                <c:pt idx="425">
                  <c:v>16.960031496834333</c:v>
                </c:pt>
                <c:pt idx="426">
                  <c:v>16.960031496834333</c:v>
                </c:pt>
                <c:pt idx="427">
                  <c:v>16.960031496834333</c:v>
                </c:pt>
                <c:pt idx="428">
                  <c:v>16.960031496834333</c:v>
                </c:pt>
                <c:pt idx="429">
                  <c:v>16.960031496834333</c:v>
                </c:pt>
                <c:pt idx="430">
                  <c:v>16.960031496834333</c:v>
                </c:pt>
                <c:pt idx="431">
                  <c:v>16.960031496834333</c:v>
                </c:pt>
                <c:pt idx="432">
                  <c:v>16.960031496834333</c:v>
                </c:pt>
                <c:pt idx="433">
                  <c:v>16.960031496834333</c:v>
                </c:pt>
                <c:pt idx="434">
                  <c:v>16.960031496834333</c:v>
                </c:pt>
                <c:pt idx="435">
                  <c:v>16.960031496834333</c:v>
                </c:pt>
                <c:pt idx="436">
                  <c:v>16.960031496834333</c:v>
                </c:pt>
                <c:pt idx="437">
                  <c:v>16.960031496834333</c:v>
                </c:pt>
                <c:pt idx="438">
                  <c:v>16.960031496834333</c:v>
                </c:pt>
                <c:pt idx="439">
                  <c:v>16.960031496834333</c:v>
                </c:pt>
                <c:pt idx="440">
                  <c:v>16.960031496834333</c:v>
                </c:pt>
                <c:pt idx="441">
                  <c:v>16.960031496834333</c:v>
                </c:pt>
                <c:pt idx="442">
                  <c:v>16.960031496834333</c:v>
                </c:pt>
                <c:pt idx="443">
                  <c:v>16.960031496834333</c:v>
                </c:pt>
                <c:pt idx="444">
                  <c:v>16.960031496834333</c:v>
                </c:pt>
                <c:pt idx="445">
                  <c:v>16.960031496834333</c:v>
                </c:pt>
                <c:pt idx="446">
                  <c:v>16.960031496834333</c:v>
                </c:pt>
                <c:pt idx="447">
                  <c:v>16.960031496834333</c:v>
                </c:pt>
                <c:pt idx="448">
                  <c:v>16.960031496834333</c:v>
                </c:pt>
                <c:pt idx="449">
                  <c:v>16.960031496834333</c:v>
                </c:pt>
                <c:pt idx="450">
                  <c:v>16.960031496834333</c:v>
                </c:pt>
                <c:pt idx="451">
                  <c:v>16.960031496834333</c:v>
                </c:pt>
                <c:pt idx="452">
                  <c:v>16.960031496834333</c:v>
                </c:pt>
                <c:pt idx="453">
                  <c:v>16.960031496834333</c:v>
                </c:pt>
                <c:pt idx="454">
                  <c:v>16.960031496834333</c:v>
                </c:pt>
                <c:pt idx="455">
                  <c:v>16.960031496834333</c:v>
                </c:pt>
                <c:pt idx="456">
                  <c:v>16.960031496834333</c:v>
                </c:pt>
                <c:pt idx="457">
                  <c:v>16.960031496834333</c:v>
                </c:pt>
                <c:pt idx="458">
                  <c:v>16.960031496834333</c:v>
                </c:pt>
                <c:pt idx="459">
                  <c:v>16.960031496834333</c:v>
                </c:pt>
                <c:pt idx="460">
                  <c:v>16.960031496834333</c:v>
                </c:pt>
                <c:pt idx="461">
                  <c:v>16.960031496834333</c:v>
                </c:pt>
                <c:pt idx="462">
                  <c:v>16.960031496834333</c:v>
                </c:pt>
                <c:pt idx="463">
                  <c:v>16.960031496834333</c:v>
                </c:pt>
                <c:pt idx="464">
                  <c:v>16.960031496834333</c:v>
                </c:pt>
                <c:pt idx="465">
                  <c:v>16.960031496834333</c:v>
                </c:pt>
                <c:pt idx="466">
                  <c:v>16.960031496834333</c:v>
                </c:pt>
                <c:pt idx="467">
                  <c:v>16.960031496834333</c:v>
                </c:pt>
                <c:pt idx="468">
                  <c:v>16.960031496834333</c:v>
                </c:pt>
                <c:pt idx="469">
                  <c:v>16.960031496834333</c:v>
                </c:pt>
                <c:pt idx="470">
                  <c:v>16.960031496834333</c:v>
                </c:pt>
                <c:pt idx="471">
                  <c:v>16.960031496834333</c:v>
                </c:pt>
                <c:pt idx="472">
                  <c:v>16.960031496834333</c:v>
                </c:pt>
                <c:pt idx="473">
                  <c:v>16.960031496834333</c:v>
                </c:pt>
                <c:pt idx="474">
                  <c:v>16.960031496834333</c:v>
                </c:pt>
                <c:pt idx="475">
                  <c:v>16.960031496834333</c:v>
                </c:pt>
                <c:pt idx="476">
                  <c:v>16.960031496834333</c:v>
                </c:pt>
                <c:pt idx="477">
                  <c:v>16.960031496834333</c:v>
                </c:pt>
                <c:pt idx="478">
                  <c:v>16.960031496834333</c:v>
                </c:pt>
                <c:pt idx="479">
                  <c:v>16.960031496834333</c:v>
                </c:pt>
                <c:pt idx="480">
                  <c:v>16.960031496834333</c:v>
                </c:pt>
                <c:pt idx="481">
                  <c:v>16.960031496834333</c:v>
                </c:pt>
                <c:pt idx="482">
                  <c:v>16.960031496834333</c:v>
                </c:pt>
                <c:pt idx="483">
                  <c:v>16.960031496834333</c:v>
                </c:pt>
                <c:pt idx="484">
                  <c:v>16.960031496834333</c:v>
                </c:pt>
                <c:pt idx="485">
                  <c:v>16.960031496834333</c:v>
                </c:pt>
                <c:pt idx="486">
                  <c:v>16.960031496834333</c:v>
                </c:pt>
                <c:pt idx="487">
                  <c:v>16.960031496834333</c:v>
                </c:pt>
                <c:pt idx="488">
                  <c:v>16.960031496834333</c:v>
                </c:pt>
                <c:pt idx="489">
                  <c:v>16.960031496834333</c:v>
                </c:pt>
                <c:pt idx="490">
                  <c:v>16.960031496834333</c:v>
                </c:pt>
                <c:pt idx="491">
                  <c:v>16.960031496834333</c:v>
                </c:pt>
                <c:pt idx="492">
                  <c:v>16.960031496834333</c:v>
                </c:pt>
                <c:pt idx="493">
                  <c:v>16.960031496834333</c:v>
                </c:pt>
                <c:pt idx="494">
                  <c:v>16.960031496834333</c:v>
                </c:pt>
                <c:pt idx="495">
                  <c:v>16.960031496834333</c:v>
                </c:pt>
                <c:pt idx="496">
                  <c:v>16.960031496834333</c:v>
                </c:pt>
                <c:pt idx="497">
                  <c:v>16.960031496834333</c:v>
                </c:pt>
                <c:pt idx="498">
                  <c:v>16.960031496834333</c:v>
                </c:pt>
                <c:pt idx="499">
                  <c:v>16.960031496834333</c:v>
                </c:pt>
                <c:pt idx="500">
                  <c:v>16.960031496834333</c:v>
                </c:pt>
                <c:pt idx="501">
                  <c:v>16.960031496834333</c:v>
                </c:pt>
                <c:pt idx="502">
                  <c:v>16.960031496834333</c:v>
                </c:pt>
                <c:pt idx="503">
                  <c:v>16.960031496834333</c:v>
                </c:pt>
                <c:pt idx="504">
                  <c:v>16.960031496834333</c:v>
                </c:pt>
                <c:pt idx="505">
                  <c:v>16.960031496834333</c:v>
                </c:pt>
                <c:pt idx="506">
                  <c:v>16.960031496834333</c:v>
                </c:pt>
                <c:pt idx="507">
                  <c:v>16.960031496834333</c:v>
                </c:pt>
                <c:pt idx="508">
                  <c:v>16.960031496834333</c:v>
                </c:pt>
                <c:pt idx="509">
                  <c:v>16.960031496834333</c:v>
                </c:pt>
                <c:pt idx="510">
                  <c:v>16.960031496834333</c:v>
                </c:pt>
                <c:pt idx="511">
                  <c:v>16.960031496834333</c:v>
                </c:pt>
                <c:pt idx="512">
                  <c:v>16.960031496834333</c:v>
                </c:pt>
                <c:pt idx="513">
                  <c:v>16.960031496834333</c:v>
                </c:pt>
                <c:pt idx="514">
                  <c:v>16.960031496834333</c:v>
                </c:pt>
                <c:pt idx="515">
                  <c:v>16.960031496834333</c:v>
                </c:pt>
                <c:pt idx="516">
                  <c:v>16.960031496834333</c:v>
                </c:pt>
                <c:pt idx="517">
                  <c:v>16.960031496834333</c:v>
                </c:pt>
                <c:pt idx="518">
                  <c:v>16.960031496834333</c:v>
                </c:pt>
                <c:pt idx="519">
                  <c:v>16.960031496834333</c:v>
                </c:pt>
                <c:pt idx="520">
                  <c:v>16.960031496834333</c:v>
                </c:pt>
                <c:pt idx="521">
                  <c:v>16.960031496834333</c:v>
                </c:pt>
                <c:pt idx="522">
                  <c:v>16.960031496834333</c:v>
                </c:pt>
                <c:pt idx="523">
                  <c:v>16.960031496834333</c:v>
                </c:pt>
                <c:pt idx="524">
                  <c:v>16.960031496834333</c:v>
                </c:pt>
                <c:pt idx="525">
                  <c:v>16.960031496834333</c:v>
                </c:pt>
                <c:pt idx="526">
                  <c:v>16.960031496834333</c:v>
                </c:pt>
                <c:pt idx="527">
                  <c:v>16.960031496834333</c:v>
                </c:pt>
                <c:pt idx="528">
                  <c:v>16.960031496834333</c:v>
                </c:pt>
                <c:pt idx="529">
                  <c:v>16.960031496834333</c:v>
                </c:pt>
                <c:pt idx="530">
                  <c:v>16.960031496834333</c:v>
                </c:pt>
                <c:pt idx="531">
                  <c:v>16.960031496834333</c:v>
                </c:pt>
                <c:pt idx="532">
                  <c:v>16.960031496834333</c:v>
                </c:pt>
                <c:pt idx="533">
                  <c:v>16.960031496834333</c:v>
                </c:pt>
                <c:pt idx="534">
                  <c:v>16.960031496834333</c:v>
                </c:pt>
                <c:pt idx="535">
                  <c:v>16.960031496834333</c:v>
                </c:pt>
                <c:pt idx="536">
                  <c:v>16.960031496834333</c:v>
                </c:pt>
                <c:pt idx="537">
                  <c:v>16.960031496834333</c:v>
                </c:pt>
                <c:pt idx="538">
                  <c:v>16.960031496834333</c:v>
                </c:pt>
                <c:pt idx="539">
                  <c:v>16.960031496834333</c:v>
                </c:pt>
                <c:pt idx="540">
                  <c:v>16.960031496834333</c:v>
                </c:pt>
                <c:pt idx="541">
                  <c:v>16.960031496834333</c:v>
                </c:pt>
                <c:pt idx="542">
                  <c:v>16.960031496834333</c:v>
                </c:pt>
                <c:pt idx="543">
                  <c:v>16.960031496834333</c:v>
                </c:pt>
                <c:pt idx="544">
                  <c:v>16.960031496834333</c:v>
                </c:pt>
                <c:pt idx="545">
                  <c:v>16.960031496834333</c:v>
                </c:pt>
                <c:pt idx="546">
                  <c:v>16.960031496834333</c:v>
                </c:pt>
                <c:pt idx="547">
                  <c:v>16.960031496834333</c:v>
                </c:pt>
                <c:pt idx="548">
                  <c:v>16.960031496834333</c:v>
                </c:pt>
                <c:pt idx="549">
                  <c:v>16.960031496834333</c:v>
                </c:pt>
                <c:pt idx="550">
                  <c:v>16.960031496834333</c:v>
                </c:pt>
                <c:pt idx="551">
                  <c:v>16.960031496834333</c:v>
                </c:pt>
                <c:pt idx="552">
                  <c:v>16.960031496834333</c:v>
                </c:pt>
                <c:pt idx="553">
                  <c:v>16.960031496834333</c:v>
                </c:pt>
                <c:pt idx="554">
                  <c:v>16.960031496834333</c:v>
                </c:pt>
                <c:pt idx="555">
                  <c:v>16.960031496834333</c:v>
                </c:pt>
                <c:pt idx="556">
                  <c:v>16.960031496834333</c:v>
                </c:pt>
                <c:pt idx="557">
                  <c:v>16.960031496834333</c:v>
                </c:pt>
                <c:pt idx="558">
                  <c:v>16.960031496834333</c:v>
                </c:pt>
                <c:pt idx="559">
                  <c:v>16.960031496834333</c:v>
                </c:pt>
                <c:pt idx="560">
                  <c:v>16.960031496834333</c:v>
                </c:pt>
                <c:pt idx="561">
                  <c:v>16.960031496834333</c:v>
                </c:pt>
                <c:pt idx="562">
                  <c:v>16.960031496834333</c:v>
                </c:pt>
                <c:pt idx="563">
                  <c:v>16.960031496834333</c:v>
                </c:pt>
                <c:pt idx="564">
                  <c:v>16.960031496834333</c:v>
                </c:pt>
                <c:pt idx="565">
                  <c:v>16.960031496834333</c:v>
                </c:pt>
                <c:pt idx="566">
                  <c:v>16.960031496834333</c:v>
                </c:pt>
                <c:pt idx="567">
                  <c:v>16.960031496834333</c:v>
                </c:pt>
                <c:pt idx="568">
                  <c:v>16.960031496834333</c:v>
                </c:pt>
                <c:pt idx="569">
                  <c:v>16.960031496834333</c:v>
                </c:pt>
                <c:pt idx="570">
                  <c:v>16.960031496834333</c:v>
                </c:pt>
                <c:pt idx="571">
                  <c:v>16.960031496834333</c:v>
                </c:pt>
                <c:pt idx="572">
                  <c:v>16.960031496834333</c:v>
                </c:pt>
                <c:pt idx="573">
                  <c:v>16.960031496834333</c:v>
                </c:pt>
                <c:pt idx="574">
                  <c:v>16.960031496834333</c:v>
                </c:pt>
                <c:pt idx="575">
                  <c:v>16.960031496834333</c:v>
                </c:pt>
                <c:pt idx="576">
                  <c:v>16.960031496834333</c:v>
                </c:pt>
                <c:pt idx="577">
                  <c:v>16.960031496834333</c:v>
                </c:pt>
                <c:pt idx="578">
                  <c:v>16.960031496834333</c:v>
                </c:pt>
                <c:pt idx="579">
                  <c:v>16.960031496834333</c:v>
                </c:pt>
                <c:pt idx="580">
                  <c:v>16.960031496834333</c:v>
                </c:pt>
                <c:pt idx="581">
                  <c:v>16.960031496834333</c:v>
                </c:pt>
                <c:pt idx="582">
                  <c:v>16.960031496834333</c:v>
                </c:pt>
                <c:pt idx="583">
                  <c:v>16.960031496834333</c:v>
                </c:pt>
                <c:pt idx="584">
                  <c:v>16.960031496834333</c:v>
                </c:pt>
                <c:pt idx="585">
                  <c:v>16.960031496834333</c:v>
                </c:pt>
                <c:pt idx="586">
                  <c:v>16.960031496834333</c:v>
                </c:pt>
                <c:pt idx="587">
                  <c:v>16.960031496834333</c:v>
                </c:pt>
                <c:pt idx="588">
                  <c:v>16.960031496834333</c:v>
                </c:pt>
                <c:pt idx="589">
                  <c:v>16.960031496834333</c:v>
                </c:pt>
                <c:pt idx="590">
                  <c:v>16.960031496834333</c:v>
                </c:pt>
                <c:pt idx="591">
                  <c:v>16.960031496834333</c:v>
                </c:pt>
                <c:pt idx="592">
                  <c:v>16.960031496834333</c:v>
                </c:pt>
                <c:pt idx="593">
                  <c:v>16.960031496834333</c:v>
                </c:pt>
                <c:pt idx="594">
                  <c:v>16.960031496834333</c:v>
                </c:pt>
                <c:pt idx="595">
                  <c:v>16.960031496834333</c:v>
                </c:pt>
                <c:pt idx="596">
                  <c:v>16.960031496834333</c:v>
                </c:pt>
                <c:pt idx="597">
                  <c:v>16.960031496834333</c:v>
                </c:pt>
                <c:pt idx="598">
                  <c:v>16.960031496834333</c:v>
                </c:pt>
                <c:pt idx="599">
                  <c:v>16.960031496834333</c:v>
                </c:pt>
                <c:pt idx="600">
                  <c:v>16.960031496834333</c:v>
                </c:pt>
                <c:pt idx="601">
                  <c:v>16.960031496834333</c:v>
                </c:pt>
                <c:pt idx="602">
                  <c:v>16.960031496834333</c:v>
                </c:pt>
                <c:pt idx="603">
                  <c:v>16.960031496834333</c:v>
                </c:pt>
                <c:pt idx="604">
                  <c:v>16.960031496834333</c:v>
                </c:pt>
                <c:pt idx="605">
                  <c:v>16.960031496834333</c:v>
                </c:pt>
                <c:pt idx="606">
                  <c:v>16.960031496834333</c:v>
                </c:pt>
                <c:pt idx="607">
                  <c:v>16.960031496834333</c:v>
                </c:pt>
                <c:pt idx="608">
                  <c:v>16.960031496834333</c:v>
                </c:pt>
                <c:pt idx="609">
                  <c:v>16.960031496834333</c:v>
                </c:pt>
                <c:pt idx="610">
                  <c:v>16.960031496834333</c:v>
                </c:pt>
                <c:pt idx="611">
                  <c:v>16.960031496834333</c:v>
                </c:pt>
                <c:pt idx="612">
                  <c:v>16.960031496834333</c:v>
                </c:pt>
                <c:pt idx="613">
                  <c:v>16.960031496834333</c:v>
                </c:pt>
                <c:pt idx="614">
                  <c:v>16.960031496834333</c:v>
                </c:pt>
                <c:pt idx="615">
                  <c:v>16.960031496834333</c:v>
                </c:pt>
                <c:pt idx="616">
                  <c:v>16.960031496834333</c:v>
                </c:pt>
                <c:pt idx="617">
                  <c:v>16.960031496834333</c:v>
                </c:pt>
                <c:pt idx="618">
                  <c:v>16.960031496834333</c:v>
                </c:pt>
                <c:pt idx="619">
                  <c:v>16.960031496834333</c:v>
                </c:pt>
                <c:pt idx="620">
                  <c:v>16.960031496834333</c:v>
                </c:pt>
                <c:pt idx="621">
                  <c:v>16.960031496834333</c:v>
                </c:pt>
                <c:pt idx="622">
                  <c:v>16.960031496834333</c:v>
                </c:pt>
                <c:pt idx="623">
                  <c:v>16.960031496834333</c:v>
                </c:pt>
                <c:pt idx="624">
                  <c:v>16.960031496834333</c:v>
                </c:pt>
                <c:pt idx="625">
                  <c:v>16.960031496834333</c:v>
                </c:pt>
                <c:pt idx="626">
                  <c:v>16.960031496834333</c:v>
                </c:pt>
                <c:pt idx="627">
                  <c:v>16.960031496834333</c:v>
                </c:pt>
                <c:pt idx="628">
                  <c:v>16.960031496834333</c:v>
                </c:pt>
                <c:pt idx="629">
                  <c:v>16.960031496834333</c:v>
                </c:pt>
                <c:pt idx="630">
                  <c:v>16.960031496834333</c:v>
                </c:pt>
                <c:pt idx="631">
                  <c:v>16.960031496834333</c:v>
                </c:pt>
                <c:pt idx="632">
                  <c:v>16.960031496834333</c:v>
                </c:pt>
                <c:pt idx="633">
                  <c:v>16.960031496834333</c:v>
                </c:pt>
                <c:pt idx="634">
                  <c:v>16.960031496834333</c:v>
                </c:pt>
                <c:pt idx="635">
                  <c:v>16.960031496834333</c:v>
                </c:pt>
                <c:pt idx="636">
                  <c:v>16.960031496834333</c:v>
                </c:pt>
                <c:pt idx="637">
                  <c:v>16.960031496834333</c:v>
                </c:pt>
                <c:pt idx="638">
                  <c:v>16.960031496834333</c:v>
                </c:pt>
                <c:pt idx="639">
                  <c:v>16.960031496834333</c:v>
                </c:pt>
                <c:pt idx="640">
                  <c:v>16.960031496834333</c:v>
                </c:pt>
                <c:pt idx="641">
                  <c:v>16.960031496834333</c:v>
                </c:pt>
                <c:pt idx="642">
                  <c:v>16.960031496834333</c:v>
                </c:pt>
                <c:pt idx="643">
                  <c:v>16.960031496834333</c:v>
                </c:pt>
                <c:pt idx="644">
                  <c:v>16.960031496834333</c:v>
                </c:pt>
                <c:pt idx="645">
                  <c:v>16.960031496834333</c:v>
                </c:pt>
                <c:pt idx="646">
                  <c:v>16.960031496834333</c:v>
                </c:pt>
                <c:pt idx="647">
                  <c:v>16.960031496834333</c:v>
                </c:pt>
                <c:pt idx="648">
                  <c:v>16.960031496834333</c:v>
                </c:pt>
                <c:pt idx="649">
                  <c:v>16.960031496834333</c:v>
                </c:pt>
                <c:pt idx="650">
                  <c:v>16.960031496834333</c:v>
                </c:pt>
                <c:pt idx="651">
                  <c:v>16.960031496834333</c:v>
                </c:pt>
                <c:pt idx="652">
                  <c:v>16.960031496834333</c:v>
                </c:pt>
                <c:pt idx="653">
                  <c:v>16.960031496834333</c:v>
                </c:pt>
                <c:pt idx="654">
                  <c:v>16.960031496834333</c:v>
                </c:pt>
                <c:pt idx="655">
                  <c:v>16.960031496834333</c:v>
                </c:pt>
                <c:pt idx="656">
                  <c:v>16.960031496834333</c:v>
                </c:pt>
                <c:pt idx="657">
                  <c:v>16.960031496834333</c:v>
                </c:pt>
                <c:pt idx="658">
                  <c:v>16.960031496834333</c:v>
                </c:pt>
                <c:pt idx="659">
                  <c:v>16.960031496834333</c:v>
                </c:pt>
                <c:pt idx="660">
                  <c:v>16.960031496834333</c:v>
                </c:pt>
                <c:pt idx="661">
                  <c:v>16.960031496834333</c:v>
                </c:pt>
                <c:pt idx="662">
                  <c:v>16.960031496834333</c:v>
                </c:pt>
                <c:pt idx="663">
                  <c:v>16.960031496834333</c:v>
                </c:pt>
                <c:pt idx="664">
                  <c:v>16.960031496834333</c:v>
                </c:pt>
                <c:pt idx="665">
                  <c:v>16.960031496834333</c:v>
                </c:pt>
                <c:pt idx="666">
                  <c:v>16.960031496834333</c:v>
                </c:pt>
                <c:pt idx="667">
                  <c:v>16.960031496834333</c:v>
                </c:pt>
                <c:pt idx="668">
                  <c:v>16.960031496834333</c:v>
                </c:pt>
                <c:pt idx="669">
                  <c:v>16.960031496834333</c:v>
                </c:pt>
                <c:pt idx="670">
                  <c:v>16.960031496834333</c:v>
                </c:pt>
                <c:pt idx="671">
                  <c:v>16.960031496834333</c:v>
                </c:pt>
                <c:pt idx="672">
                  <c:v>16.960031496834333</c:v>
                </c:pt>
                <c:pt idx="673">
                  <c:v>16.960031496834333</c:v>
                </c:pt>
                <c:pt idx="674">
                  <c:v>16.960031496834333</c:v>
                </c:pt>
                <c:pt idx="675">
                  <c:v>16.960031496834333</c:v>
                </c:pt>
                <c:pt idx="676">
                  <c:v>16.960031496834333</c:v>
                </c:pt>
                <c:pt idx="677">
                  <c:v>16.960031496834333</c:v>
                </c:pt>
                <c:pt idx="678">
                  <c:v>16.960031496834333</c:v>
                </c:pt>
                <c:pt idx="679">
                  <c:v>16.960031496834333</c:v>
                </c:pt>
                <c:pt idx="680">
                  <c:v>16.960031496834333</c:v>
                </c:pt>
                <c:pt idx="681">
                  <c:v>16.960031496834333</c:v>
                </c:pt>
                <c:pt idx="682">
                  <c:v>16.960031496834333</c:v>
                </c:pt>
                <c:pt idx="683">
                  <c:v>16.960031496834333</c:v>
                </c:pt>
                <c:pt idx="684">
                  <c:v>16.960031496834333</c:v>
                </c:pt>
                <c:pt idx="685">
                  <c:v>16.960031496834333</c:v>
                </c:pt>
                <c:pt idx="686">
                  <c:v>16.960031496834333</c:v>
                </c:pt>
                <c:pt idx="687">
                  <c:v>16.960031496834333</c:v>
                </c:pt>
                <c:pt idx="688">
                  <c:v>16.960031496834333</c:v>
                </c:pt>
                <c:pt idx="689">
                  <c:v>16.960031496834333</c:v>
                </c:pt>
                <c:pt idx="690">
                  <c:v>16.960031496834333</c:v>
                </c:pt>
                <c:pt idx="691">
                  <c:v>16.960031496834333</c:v>
                </c:pt>
                <c:pt idx="692">
                  <c:v>16.960031496834333</c:v>
                </c:pt>
                <c:pt idx="693">
                  <c:v>16.960031496834333</c:v>
                </c:pt>
                <c:pt idx="694">
                  <c:v>16.960031496834333</c:v>
                </c:pt>
                <c:pt idx="695">
                  <c:v>16.960031496834333</c:v>
                </c:pt>
                <c:pt idx="696">
                  <c:v>16.960031496834333</c:v>
                </c:pt>
                <c:pt idx="697">
                  <c:v>16.960031496834333</c:v>
                </c:pt>
                <c:pt idx="698">
                  <c:v>16.960031496834333</c:v>
                </c:pt>
                <c:pt idx="699">
                  <c:v>16.960031496834333</c:v>
                </c:pt>
                <c:pt idx="700">
                  <c:v>16.960031496834333</c:v>
                </c:pt>
                <c:pt idx="701">
                  <c:v>16.960031496834333</c:v>
                </c:pt>
                <c:pt idx="702">
                  <c:v>16.960031496834333</c:v>
                </c:pt>
                <c:pt idx="703">
                  <c:v>16.960031496834333</c:v>
                </c:pt>
                <c:pt idx="704">
                  <c:v>16.960031496834333</c:v>
                </c:pt>
                <c:pt idx="705">
                  <c:v>16.960031496834333</c:v>
                </c:pt>
                <c:pt idx="706">
                  <c:v>16.960031496834333</c:v>
                </c:pt>
                <c:pt idx="707">
                  <c:v>16.960031496834333</c:v>
                </c:pt>
                <c:pt idx="708">
                  <c:v>16.960031496834333</c:v>
                </c:pt>
                <c:pt idx="709">
                  <c:v>16.960031496834333</c:v>
                </c:pt>
                <c:pt idx="710">
                  <c:v>16.960031496834333</c:v>
                </c:pt>
                <c:pt idx="711">
                  <c:v>16.960031496834333</c:v>
                </c:pt>
                <c:pt idx="712">
                  <c:v>16.960031496834333</c:v>
                </c:pt>
                <c:pt idx="713">
                  <c:v>16.960031496834333</c:v>
                </c:pt>
                <c:pt idx="714">
                  <c:v>16.960031496834333</c:v>
                </c:pt>
                <c:pt idx="715">
                  <c:v>16.960031496834333</c:v>
                </c:pt>
                <c:pt idx="716">
                  <c:v>16.960031496834333</c:v>
                </c:pt>
                <c:pt idx="717">
                  <c:v>16.960031496834333</c:v>
                </c:pt>
                <c:pt idx="718">
                  <c:v>16.960031496834333</c:v>
                </c:pt>
                <c:pt idx="719">
                  <c:v>16.960031496834333</c:v>
                </c:pt>
                <c:pt idx="720">
                  <c:v>16.960031496834333</c:v>
                </c:pt>
                <c:pt idx="721">
                  <c:v>16.960031496834333</c:v>
                </c:pt>
                <c:pt idx="722">
                  <c:v>16.960031496834333</c:v>
                </c:pt>
                <c:pt idx="723">
                  <c:v>16.960031496834333</c:v>
                </c:pt>
                <c:pt idx="724">
                  <c:v>16.960031496834333</c:v>
                </c:pt>
                <c:pt idx="725">
                  <c:v>16.960031496834333</c:v>
                </c:pt>
                <c:pt idx="726">
                  <c:v>16.960031496834333</c:v>
                </c:pt>
                <c:pt idx="727">
                  <c:v>16.960031496834333</c:v>
                </c:pt>
                <c:pt idx="728">
                  <c:v>16.960031496834333</c:v>
                </c:pt>
                <c:pt idx="729">
                  <c:v>16.960031496834333</c:v>
                </c:pt>
                <c:pt idx="730">
                  <c:v>16.960031496834333</c:v>
                </c:pt>
                <c:pt idx="731">
                  <c:v>16.960031496834333</c:v>
                </c:pt>
                <c:pt idx="732">
                  <c:v>16.960031496834333</c:v>
                </c:pt>
                <c:pt idx="733">
                  <c:v>16.960031496834333</c:v>
                </c:pt>
                <c:pt idx="734">
                  <c:v>16.960031496834333</c:v>
                </c:pt>
                <c:pt idx="735">
                  <c:v>16.960031496834333</c:v>
                </c:pt>
                <c:pt idx="736">
                  <c:v>16.960031496834333</c:v>
                </c:pt>
                <c:pt idx="737">
                  <c:v>16.960031496834333</c:v>
                </c:pt>
                <c:pt idx="738">
                  <c:v>16.960031496834333</c:v>
                </c:pt>
                <c:pt idx="739">
                  <c:v>16.960031496834333</c:v>
                </c:pt>
                <c:pt idx="740">
                  <c:v>16.960031496834333</c:v>
                </c:pt>
                <c:pt idx="741">
                  <c:v>16.960031496834333</c:v>
                </c:pt>
                <c:pt idx="742">
                  <c:v>16.960031496834333</c:v>
                </c:pt>
                <c:pt idx="743">
                  <c:v>16.960031496834333</c:v>
                </c:pt>
                <c:pt idx="744">
                  <c:v>16.960031496834333</c:v>
                </c:pt>
                <c:pt idx="745">
                  <c:v>16.960031496834333</c:v>
                </c:pt>
                <c:pt idx="746">
                  <c:v>16.960031496834333</c:v>
                </c:pt>
                <c:pt idx="747">
                  <c:v>16.960031496834333</c:v>
                </c:pt>
                <c:pt idx="748">
                  <c:v>16.960031496834333</c:v>
                </c:pt>
                <c:pt idx="749">
                  <c:v>16.960031496834333</c:v>
                </c:pt>
                <c:pt idx="750">
                  <c:v>16.960031496834333</c:v>
                </c:pt>
                <c:pt idx="751">
                  <c:v>16.960031496834333</c:v>
                </c:pt>
                <c:pt idx="752">
                  <c:v>16.960031496834333</c:v>
                </c:pt>
                <c:pt idx="753">
                  <c:v>16.960031496834333</c:v>
                </c:pt>
                <c:pt idx="754">
                  <c:v>16.960031496834333</c:v>
                </c:pt>
                <c:pt idx="755">
                  <c:v>16.960031496834333</c:v>
                </c:pt>
                <c:pt idx="756">
                  <c:v>16.960031496834333</c:v>
                </c:pt>
                <c:pt idx="757">
                  <c:v>16.960031496834333</c:v>
                </c:pt>
                <c:pt idx="758">
                  <c:v>16.960031496834333</c:v>
                </c:pt>
                <c:pt idx="759">
                  <c:v>16.960031496834333</c:v>
                </c:pt>
                <c:pt idx="760">
                  <c:v>16.960031496834333</c:v>
                </c:pt>
                <c:pt idx="761">
                  <c:v>16.960031496834333</c:v>
                </c:pt>
                <c:pt idx="762">
                  <c:v>16.960031496834333</c:v>
                </c:pt>
                <c:pt idx="763">
                  <c:v>16.960031496834333</c:v>
                </c:pt>
                <c:pt idx="764">
                  <c:v>16.960031496834333</c:v>
                </c:pt>
                <c:pt idx="765">
                  <c:v>16.960031496834333</c:v>
                </c:pt>
                <c:pt idx="766">
                  <c:v>16.960031496834333</c:v>
                </c:pt>
                <c:pt idx="767">
                  <c:v>16.960031496834333</c:v>
                </c:pt>
                <c:pt idx="768">
                  <c:v>16.960031496834333</c:v>
                </c:pt>
                <c:pt idx="769">
                  <c:v>16.960031496834333</c:v>
                </c:pt>
                <c:pt idx="770">
                  <c:v>16.960031496834333</c:v>
                </c:pt>
                <c:pt idx="771">
                  <c:v>16.960031496834333</c:v>
                </c:pt>
                <c:pt idx="772">
                  <c:v>16.960031496834333</c:v>
                </c:pt>
                <c:pt idx="773">
                  <c:v>16.960031496834333</c:v>
                </c:pt>
                <c:pt idx="774">
                  <c:v>16.960031496834333</c:v>
                </c:pt>
                <c:pt idx="775">
                  <c:v>16.960031496834333</c:v>
                </c:pt>
                <c:pt idx="776">
                  <c:v>16.960031496834333</c:v>
                </c:pt>
                <c:pt idx="777">
                  <c:v>16.960031496834333</c:v>
                </c:pt>
                <c:pt idx="778">
                  <c:v>16.960031496834333</c:v>
                </c:pt>
                <c:pt idx="779">
                  <c:v>16.960031496834333</c:v>
                </c:pt>
                <c:pt idx="780">
                  <c:v>16.960031496834333</c:v>
                </c:pt>
                <c:pt idx="781">
                  <c:v>16.960031496834333</c:v>
                </c:pt>
                <c:pt idx="782">
                  <c:v>16.960031496834333</c:v>
                </c:pt>
                <c:pt idx="783">
                  <c:v>16.960031496834333</c:v>
                </c:pt>
                <c:pt idx="784">
                  <c:v>16.960031496834333</c:v>
                </c:pt>
                <c:pt idx="785">
                  <c:v>16.960031496834333</c:v>
                </c:pt>
                <c:pt idx="786">
                  <c:v>16.960031496834333</c:v>
                </c:pt>
                <c:pt idx="787">
                  <c:v>16.960031496834333</c:v>
                </c:pt>
                <c:pt idx="788">
                  <c:v>16.960031496834333</c:v>
                </c:pt>
                <c:pt idx="789">
                  <c:v>16.960031496834333</c:v>
                </c:pt>
                <c:pt idx="790">
                  <c:v>16.960031496834333</c:v>
                </c:pt>
                <c:pt idx="791">
                  <c:v>16.960031496834333</c:v>
                </c:pt>
                <c:pt idx="792">
                  <c:v>16.960031496834333</c:v>
                </c:pt>
                <c:pt idx="793">
                  <c:v>16.960031496834333</c:v>
                </c:pt>
                <c:pt idx="794">
                  <c:v>16.960031496834333</c:v>
                </c:pt>
                <c:pt idx="795">
                  <c:v>16.960031496834333</c:v>
                </c:pt>
                <c:pt idx="796">
                  <c:v>16.960031496834333</c:v>
                </c:pt>
                <c:pt idx="797">
                  <c:v>16.960031496834333</c:v>
                </c:pt>
                <c:pt idx="798">
                  <c:v>16.960031496834333</c:v>
                </c:pt>
                <c:pt idx="799">
                  <c:v>16.960031496834333</c:v>
                </c:pt>
                <c:pt idx="800">
                  <c:v>16.960031496834333</c:v>
                </c:pt>
                <c:pt idx="801">
                  <c:v>16.960031496834333</c:v>
                </c:pt>
                <c:pt idx="802">
                  <c:v>16.960031496834333</c:v>
                </c:pt>
                <c:pt idx="803">
                  <c:v>16.960031496834333</c:v>
                </c:pt>
                <c:pt idx="804">
                  <c:v>16.960031496834333</c:v>
                </c:pt>
                <c:pt idx="805">
                  <c:v>16.960031496834333</c:v>
                </c:pt>
                <c:pt idx="806">
                  <c:v>16.960031496834333</c:v>
                </c:pt>
                <c:pt idx="807">
                  <c:v>16.960031496834333</c:v>
                </c:pt>
                <c:pt idx="808">
                  <c:v>16.960031496834333</c:v>
                </c:pt>
                <c:pt idx="809">
                  <c:v>16.960031496834333</c:v>
                </c:pt>
                <c:pt idx="810">
                  <c:v>16.960031496834333</c:v>
                </c:pt>
                <c:pt idx="811">
                  <c:v>16.960031496834333</c:v>
                </c:pt>
                <c:pt idx="812">
                  <c:v>16.960031496834333</c:v>
                </c:pt>
                <c:pt idx="813">
                  <c:v>16.960031496834333</c:v>
                </c:pt>
                <c:pt idx="814">
                  <c:v>16.960031496834333</c:v>
                </c:pt>
                <c:pt idx="815">
                  <c:v>16.960031496834333</c:v>
                </c:pt>
                <c:pt idx="816">
                  <c:v>16.960031496834333</c:v>
                </c:pt>
                <c:pt idx="817">
                  <c:v>16.960031496834333</c:v>
                </c:pt>
                <c:pt idx="818">
                  <c:v>16.960031496834333</c:v>
                </c:pt>
                <c:pt idx="819">
                  <c:v>16.960031496834333</c:v>
                </c:pt>
                <c:pt idx="820">
                  <c:v>16.960031496834333</c:v>
                </c:pt>
                <c:pt idx="821">
                  <c:v>16.960031496834333</c:v>
                </c:pt>
                <c:pt idx="822">
                  <c:v>16.960031496834333</c:v>
                </c:pt>
                <c:pt idx="823">
                  <c:v>16.960031496834333</c:v>
                </c:pt>
                <c:pt idx="824">
                  <c:v>16.960031496834333</c:v>
                </c:pt>
                <c:pt idx="825">
                  <c:v>16.960031496834333</c:v>
                </c:pt>
                <c:pt idx="826">
                  <c:v>16.960031496834333</c:v>
                </c:pt>
                <c:pt idx="827">
                  <c:v>16.960031496834333</c:v>
                </c:pt>
                <c:pt idx="828">
                  <c:v>16.960031496834333</c:v>
                </c:pt>
                <c:pt idx="829">
                  <c:v>16.960031496834333</c:v>
                </c:pt>
                <c:pt idx="830">
                  <c:v>16.960031496834333</c:v>
                </c:pt>
                <c:pt idx="831">
                  <c:v>16.960031496834333</c:v>
                </c:pt>
                <c:pt idx="832">
                  <c:v>16.960031496834333</c:v>
                </c:pt>
                <c:pt idx="833">
                  <c:v>16.960031496834333</c:v>
                </c:pt>
                <c:pt idx="834">
                  <c:v>16.960031496834333</c:v>
                </c:pt>
                <c:pt idx="835">
                  <c:v>16.960031496834333</c:v>
                </c:pt>
                <c:pt idx="836">
                  <c:v>16.960031496834333</c:v>
                </c:pt>
                <c:pt idx="837">
                  <c:v>16.960031496834333</c:v>
                </c:pt>
                <c:pt idx="838">
                  <c:v>16.960031496834333</c:v>
                </c:pt>
                <c:pt idx="839">
                  <c:v>16.960031496834333</c:v>
                </c:pt>
                <c:pt idx="840">
                  <c:v>16.960031496834333</c:v>
                </c:pt>
                <c:pt idx="841">
                  <c:v>16.960031496834333</c:v>
                </c:pt>
                <c:pt idx="842">
                  <c:v>16.960031496834333</c:v>
                </c:pt>
                <c:pt idx="843">
                  <c:v>16.960031496834333</c:v>
                </c:pt>
                <c:pt idx="844">
                  <c:v>16.960031496834333</c:v>
                </c:pt>
                <c:pt idx="845">
                  <c:v>16.960031496834333</c:v>
                </c:pt>
                <c:pt idx="846">
                  <c:v>16.960031496834333</c:v>
                </c:pt>
                <c:pt idx="847">
                  <c:v>16.960031496834333</c:v>
                </c:pt>
                <c:pt idx="848">
                  <c:v>16.960031496834333</c:v>
                </c:pt>
                <c:pt idx="849">
                  <c:v>16.960031496834333</c:v>
                </c:pt>
                <c:pt idx="850">
                  <c:v>16.960031496834333</c:v>
                </c:pt>
                <c:pt idx="851">
                  <c:v>16.960031496834333</c:v>
                </c:pt>
                <c:pt idx="852">
                  <c:v>16.960031496834333</c:v>
                </c:pt>
                <c:pt idx="853">
                  <c:v>16.960031496834333</c:v>
                </c:pt>
                <c:pt idx="854">
                  <c:v>16.960031496834333</c:v>
                </c:pt>
                <c:pt idx="855">
                  <c:v>16.960031496834333</c:v>
                </c:pt>
                <c:pt idx="856">
                  <c:v>16.960031496834333</c:v>
                </c:pt>
                <c:pt idx="857">
                  <c:v>16.960031496834333</c:v>
                </c:pt>
                <c:pt idx="858">
                  <c:v>16.960031496834333</c:v>
                </c:pt>
                <c:pt idx="859">
                  <c:v>16.960031496834333</c:v>
                </c:pt>
                <c:pt idx="860">
                  <c:v>16.960031496834333</c:v>
                </c:pt>
                <c:pt idx="861">
                  <c:v>16.960031496834333</c:v>
                </c:pt>
                <c:pt idx="862">
                  <c:v>16.960031496834333</c:v>
                </c:pt>
                <c:pt idx="863">
                  <c:v>16.960031496834333</c:v>
                </c:pt>
                <c:pt idx="864">
                  <c:v>16.960031496834333</c:v>
                </c:pt>
                <c:pt idx="865">
                  <c:v>16.960031496834333</c:v>
                </c:pt>
                <c:pt idx="866">
                  <c:v>16.960031496834333</c:v>
                </c:pt>
                <c:pt idx="867">
                  <c:v>16.960031496834333</c:v>
                </c:pt>
                <c:pt idx="868">
                  <c:v>16.960031496834333</c:v>
                </c:pt>
                <c:pt idx="869">
                  <c:v>16.960031496834333</c:v>
                </c:pt>
                <c:pt idx="870">
                  <c:v>16.960031496834333</c:v>
                </c:pt>
                <c:pt idx="871">
                  <c:v>16.960031496834333</c:v>
                </c:pt>
                <c:pt idx="872">
                  <c:v>16.960031496834333</c:v>
                </c:pt>
                <c:pt idx="873">
                  <c:v>16.960031496834333</c:v>
                </c:pt>
                <c:pt idx="874">
                  <c:v>16.960031496834333</c:v>
                </c:pt>
                <c:pt idx="875">
                  <c:v>16.960031496834333</c:v>
                </c:pt>
                <c:pt idx="876">
                  <c:v>16.960031496834333</c:v>
                </c:pt>
                <c:pt idx="877">
                  <c:v>16.960031496834333</c:v>
                </c:pt>
                <c:pt idx="878">
                  <c:v>16.960031496834333</c:v>
                </c:pt>
                <c:pt idx="879">
                  <c:v>16.960031496834333</c:v>
                </c:pt>
                <c:pt idx="880">
                  <c:v>16.960031496834333</c:v>
                </c:pt>
                <c:pt idx="881">
                  <c:v>16.960031496834333</c:v>
                </c:pt>
                <c:pt idx="882">
                  <c:v>16.960031496834333</c:v>
                </c:pt>
                <c:pt idx="883">
                  <c:v>16.960031496834333</c:v>
                </c:pt>
                <c:pt idx="884">
                  <c:v>16.960031496834333</c:v>
                </c:pt>
                <c:pt idx="885">
                  <c:v>16.960031496834333</c:v>
                </c:pt>
                <c:pt idx="886">
                  <c:v>16.960031496834333</c:v>
                </c:pt>
                <c:pt idx="887">
                  <c:v>16.960031496834333</c:v>
                </c:pt>
                <c:pt idx="888">
                  <c:v>16.960031496834333</c:v>
                </c:pt>
                <c:pt idx="889">
                  <c:v>16.960031496834333</c:v>
                </c:pt>
                <c:pt idx="890">
                  <c:v>16.960031496834333</c:v>
                </c:pt>
                <c:pt idx="891">
                  <c:v>16.960031496834333</c:v>
                </c:pt>
                <c:pt idx="892">
                  <c:v>16.960031496834333</c:v>
                </c:pt>
                <c:pt idx="893">
                  <c:v>16.960031496834333</c:v>
                </c:pt>
                <c:pt idx="894">
                  <c:v>16.960031496834333</c:v>
                </c:pt>
                <c:pt idx="895">
                  <c:v>16.960031496834333</c:v>
                </c:pt>
                <c:pt idx="896">
                  <c:v>16.960031496834333</c:v>
                </c:pt>
                <c:pt idx="897">
                  <c:v>16.960031496834333</c:v>
                </c:pt>
                <c:pt idx="898">
                  <c:v>16.960031496834333</c:v>
                </c:pt>
                <c:pt idx="899">
                  <c:v>16.960031496834333</c:v>
                </c:pt>
                <c:pt idx="900">
                  <c:v>16.960031496834333</c:v>
                </c:pt>
                <c:pt idx="901">
                  <c:v>16.960031496834333</c:v>
                </c:pt>
                <c:pt idx="902">
                  <c:v>16.960031496834333</c:v>
                </c:pt>
                <c:pt idx="903">
                  <c:v>16.960031496834333</c:v>
                </c:pt>
                <c:pt idx="904">
                  <c:v>16.960031496834333</c:v>
                </c:pt>
                <c:pt idx="905">
                  <c:v>16.960031496834333</c:v>
                </c:pt>
                <c:pt idx="906">
                  <c:v>16.960031496834333</c:v>
                </c:pt>
                <c:pt idx="907">
                  <c:v>16.960031496834333</c:v>
                </c:pt>
                <c:pt idx="908">
                  <c:v>16.960031496834333</c:v>
                </c:pt>
                <c:pt idx="909">
                  <c:v>16.960031496834333</c:v>
                </c:pt>
                <c:pt idx="910">
                  <c:v>16.960031496834333</c:v>
                </c:pt>
                <c:pt idx="911">
                  <c:v>16.960031496834333</c:v>
                </c:pt>
                <c:pt idx="912">
                  <c:v>16.960031496834333</c:v>
                </c:pt>
                <c:pt idx="913">
                  <c:v>16.960031496834333</c:v>
                </c:pt>
                <c:pt idx="914">
                  <c:v>16.960031496834333</c:v>
                </c:pt>
                <c:pt idx="915">
                  <c:v>16.960031496834333</c:v>
                </c:pt>
                <c:pt idx="916">
                  <c:v>16.960031496834333</c:v>
                </c:pt>
                <c:pt idx="917">
                  <c:v>16.960031496834333</c:v>
                </c:pt>
                <c:pt idx="918">
                  <c:v>16.960031496834333</c:v>
                </c:pt>
                <c:pt idx="919">
                  <c:v>16.960031496834333</c:v>
                </c:pt>
                <c:pt idx="920">
                  <c:v>16.960031496834333</c:v>
                </c:pt>
                <c:pt idx="921">
                  <c:v>16.960031496834333</c:v>
                </c:pt>
                <c:pt idx="922">
                  <c:v>16.960031496834333</c:v>
                </c:pt>
                <c:pt idx="923">
                  <c:v>16.960031496834333</c:v>
                </c:pt>
                <c:pt idx="924">
                  <c:v>16.960031496834333</c:v>
                </c:pt>
                <c:pt idx="925">
                  <c:v>16.960031496834333</c:v>
                </c:pt>
                <c:pt idx="926">
                  <c:v>16.960031496834333</c:v>
                </c:pt>
                <c:pt idx="927">
                  <c:v>16.960031496834333</c:v>
                </c:pt>
                <c:pt idx="928">
                  <c:v>16.960031496834333</c:v>
                </c:pt>
                <c:pt idx="929">
                  <c:v>16.960031496834333</c:v>
                </c:pt>
                <c:pt idx="930">
                  <c:v>16.960031496834333</c:v>
                </c:pt>
                <c:pt idx="931">
                  <c:v>16.960031496834333</c:v>
                </c:pt>
                <c:pt idx="932">
                  <c:v>16.960031496834333</c:v>
                </c:pt>
                <c:pt idx="933">
                  <c:v>16.960031496834333</c:v>
                </c:pt>
                <c:pt idx="934">
                  <c:v>16.960031496834333</c:v>
                </c:pt>
                <c:pt idx="935">
                  <c:v>16.960031496834333</c:v>
                </c:pt>
                <c:pt idx="936">
                  <c:v>16.960031496834333</c:v>
                </c:pt>
                <c:pt idx="937">
                  <c:v>16.960031496834333</c:v>
                </c:pt>
                <c:pt idx="938">
                  <c:v>16.960031496834333</c:v>
                </c:pt>
                <c:pt idx="939">
                  <c:v>16.960031496834333</c:v>
                </c:pt>
                <c:pt idx="940">
                  <c:v>16.960031496834333</c:v>
                </c:pt>
                <c:pt idx="941">
                  <c:v>16.960031496834333</c:v>
                </c:pt>
                <c:pt idx="942">
                  <c:v>16.960031496834333</c:v>
                </c:pt>
                <c:pt idx="943">
                  <c:v>16.960031496834333</c:v>
                </c:pt>
                <c:pt idx="944">
                  <c:v>16.960031496834333</c:v>
                </c:pt>
                <c:pt idx="945">
                  <c:v>16.960031496834333</c:v>
                </c:pt>
                <c:pt idx="946">
                  <c:v>16.960031496834333</c:v>
                </c:pt>
                <c:pt idx="947">
                  <c:v>16.960031496834333</c:v>
                </c:pt>
                <c:pt idx="948">
                  <c:v>16.960031496834333</c:v>
                </c:pt>
                <c:pt idx="949">
                  <c:v>16.960031496834333</c:v>
                </c:pt>
                <c:pt idx="950">
                  <c:v>16.960031496834333</c:v>
                </c:pt>
                <c:pt idx="951">
                  <c:v>16.960031496834333</c:v>
                </c:pt>
                <c:pt idx="952">
                  <c:v>16.960031496834333</c:v>
                </c:pt>
                <c:pt idx="953">
                  <c:v>16.960031496834333</c:v>
                </c:pt>
                <c:pt idx="954">
                  <c:v>16.960031496834333</c:v>
                </c:pt>
                <c:pt idx="955">
                  <c:v>16.960031496834333</c:v>
                </c:pt>
                <c:pt idx="956">
                  <c:v>16.960031496834333</c:v>
                </c:pt>
                <c:pt idx="957">
                  <c:v>16.960031496834333</c:v>
                </c:pt>
                <c:pt idx="958">
                  <c:v>16.960031496834333</c:v>
                </c:pt>
                <c:pt idx="959">
                  <c:v>16.960031496834333</c:v>
                </c:pt>
                <c:pt idx="960">
                  <c:v>16.960031496834333</c:v>
                </c:pt>
                <c:pt idx="961">
                  <c:v>16.960031496834333</c:v>
                </c:pt>
                <c:pt idx="962">
                  <c:v>16.960031496834333</c:v>
                </c:pt>
                <c:pt idx="963">
                  <c:v>16.960031496834333</c:v>
                </c:pt>
                <c:pt idx="964">
                  <c:v>16.960031496834333</c:v>
                </c:pt>
                <c:pt idx="965">
                  <c:v>16.960031496834333</c:v>
                </c:pt>
                <c:pt idx="966">
                  <c:v>16.960031496834333</c:v>
                </c:pt>
                <c:pt idx="967">
                  <c:v>16.960031496834333</c:v>
                </c:pt>
                <c:pt idx="968">
                  <c:v>16.960031496834333</c:v>
                </c:pt>
                <c:pt idx="969">
                  <c:v>16.960031496834333</c:v>
                </c:pt>
                <c:pt idx="970">
                  <c:v>16.960031496834333</c:v>
                </c:pt>
                <c:pt idx="971">
                  <c:v>16.960031496834333</c:v>
                </c:pt>
                <c:pt idx="972">
                  <c:v>16.960031496834333</c:v>
                </c:pt>
                <c:pt idx="973">
                  <c:v>16.960031496834333</c:v>
                </c:pt>
                <c:pt idx="974">
                  <c:v>16.960031496834333</c:v>
                </c:pt>
                <c:pt idx="975">
                  <c:v>16.960031496834333</c:v>
                </c:pt>
                <c:pt idx="976">
                  <c:v>16.960031496834333</c:v>
                </c:pt>
                <c:pt idx="977">
                  <c:v>16.960031496834333</c:v>
                </c:pt>
                <c:pt idx="978">
                  <c:v>16.960031496834333</c:v>
                </c:pt>
                <c:pt idx="979">
                  <c:v>16.960031496834333</c:v>
                </c:pt>
                <c:pt idx="980">
                  <c:v>16.960031496834333</c:v>
                </c:pt>
                <c:pt idx="981">
                  <c:v>16.960031496834333</c:v>
                </c:pt>
                <c:pt idx="982">
                  <c:v>16.960031496834333</c:v>
                </c:pt>
                <c:pt idx="983">
                  <c:v>16.960031496834333</c:v>
                </c:pt>
                <c:pt idx="984">
                  <c:v>16.960031496834333</c:v>
                </c:pt>
                <c:pt idx="985">
                  <c:v>16.960031496834333</c:v>
                </c:pt>
                <c:pt idx="986">
                  <c:v>16.960031496834333</c:v>
                </c:pt>
                <c:pt idx="987">
                  <c:v>16.960031496834333</c:v>
                </c:pt>
                <c:pt idx="988">
                  <c:v>16.960031496834333</c:v>
                </c:pt>
                <c:pt idx="989">
                  <c:v>16.960031496834333</c:v>
                </c:pt>
                <c:pt idx="990">
                  <c:v>16.960031496834333</c:v>
                </c:pt>
                <c:pt idx="991">
                  <c:v>16.960031496834333</c:v>
                </c:pt>
                <c:pt idx="992">
                  <c:v>16.960031496834333</c:v>
                </c:pt>
                <c:pt idx="993">
                  <c:v>16.960031496834333</c:v>
                </c:pt>
                <c:pt idx="994">
                  <c:v>16.960031496834333</c:v>
                </c:pt>
                <c:pt idx="995">
                  <c:v>16.960031496834333</c:v>
                </c:pt>
                <c:pt idx="996">
                  <c:v>16.960031496834333</c:v>
                </c:pt>
                <c:pt idx="997">
                  <c:v>16.960031496834333</c:v>
                </c:pt>
                <c:pt idx="998">
                  <c:v>16.960031496834333</c:v>
                </c:pt>
                <c:pt idx="999">
                  <c:v>16.960031496834333</c:v>
                </c:pt>
                <c:pt idx="1000">
                  <c:v>16.960031496834333</c:v>
                </c:pt>
                <c:pt idx="1001">
                  <c:v>16.960031496834333</c:v>
                </c:pt>
                <c:pt idx="1002">
                  <c:v>16.960031496834333</c:v>
                </c:pt>
                <c:pt idx="1003">
                  <c:v>16.960031496834333</c:v>
                </c:pt>
                <c:pt idx="1004">
                  <c:v>16.960031496834333</c:v>
                </c:pt>
                <c:pt idx="1005">
                  <c:v>16.960031496834333</c:v>
                </c:pt>
                <c:pt idx="1006">
                  <c:v>16.960031496834333</c:v>
                </c:pt>
                <c:pt idx="1007">
                  <c:v>16.960031496834333</c:v>
                </c:pt>
                <c:pt idx="1008">
                  <c:v>16.960031496834333</c:v>
                </c:pt>
                <c:pt idx="1009">
                  <c:v>16.960031496834333</c:v>
                </c:pt>
                <c:pt idx="1010">
                  <c:v>16.960031496834333</c:v>
                </c:pt>
                <c:pt idx="1011">
                  <c:v>16.960031496834333</c:v>
                </c:pt>
                <c:pt idx="1012">
                  <c:v>16.960031496834333</c:v>
                </c:pt>
                <c:pt idx="1013">
                  <c:v>16.960031496834333</c:v>
                </c:pt>
                <c:pt idx="1014">
                  <c:v>16.960031496834333</c:v>
                </c:pt>
                <c:pt idx="1015">
                  <c:v>16.960031496834333</c:v>
                </c:pt>
                <c:pt idx="1016">
                  <c:v>16.960031496834333</c:v>
                </c:pt>
                <c:pt idx="1017">
                  <c:v>16.960031496834333</c:v>
                </c:pt>
                <c:pt idx="1018">
                  <c:v>16.960031496834333</c:v>
                </c:pt>
                <c:pt idx="1019">
                  <c:v>16.960031496834333</c:v>
                </c:pt>
                <c:pt idx="1020">
                  <c:v>16.960031496834333</c:v>
                </c:pt>
                <c:pt idx="1021">
                  <c:v>16.960031496834333</c:v>
                </c:pt>
                <c:pt idx="1022">
                  <c:v>16.960031496834333</c:v>
                </c:pt>
                <c:pt idx="1023">
                  <c:v>16.960031496834333</c:v>
                </c:pt>
                <c:pt idx="1024">
                  <c:v>16.960031496834333</c:v>
                </c:pt>
                <c:pt idx="1025">
                  <c:v>16.960031496834333</c:v>
                </c:pt>
                <c:pt idx="1026">
                  <c:v>16.960031496834333</c:v>
                </c:pt>
                <c:pt idx="1027">
                  <c:v>16.960031496834333</c:v>
                </c:pt>
                <c:pt idx="1028">
                  <c:v>16.960031496834333</c:v>
                </c:pt>
                <c:pt idx="1029">
                  <c:v>16.960031496834333</c:v>
                </c:pt>
                <c:pt idx="1030">
                  <c:v>16.960031496834333</c:v>
                </c:pt>
                <c:pt idx="1031">
                  <c:v>16.960031496834333</c:v>
                </c:pt>
                <c:pt idx="1032">
                  <c:v>16.960031496834333</c:v>
                </c:pt>
                <c:pt idx="1033">
                  <c:v>16.960031496834333</c:v>
                </c:pt>
                <c:pt idx="1034">
                  <c:v>16.960031496834333</c:v>
                </c:pt>
                <c:pt idx="1035">
                  <c:v>16.960031496834333</c:v>
                </c:pt>
                <c:pt idx="1036">
                  <c:v>16.960031496834333</c:v>
                </c:pt>
                <c:pt idx="1037">
                  <c:v>16.960031496834333</c:v>
                </c:pt>
                <c:pt idx="1038">
                  <c:v>16.960031496834333</c:v>
                </c:pt>
                <c:pt idx="1039">
                  <c:v>16.960031496834333</c:v>
                </c:pt>
                <c:pt idx="1040">
                  <c:v>16.960031496834333</c:v>
                </c:pt>
                <c:pt idx="1041">
                  <c:v>16.960031496834333</c:v>
                </c:pt>
                <c:pt idx="1042">
                  <c:v>16.960031496834333</c:v>
                </c:pt>
                <c:pt idx="1043">
                  <c:v>16.960031496834333</c:v>
                </c:pt>
                <c:pt idx="1044">
                  <c:v>16.960031496834333</c:v>
                </c:pt>
                <c:pt idx="1045">
                  <c:v>16.960031496834333</c:v>
                </c:pt>
                <c:pt idx="1046">
                  <c:v>16.960031496834333</c:v>
                </c:pt>
                <c:pt idx="1047">
                  <c:v>16.960031496834333</c:v>
                </c:pt>
                <c:pt idx="1048">
                  <c:v>16.960031496834333</c:v>
                </c:pt>
                <c:pt idx="1049">
                  <c:v>16.960031496834333</c:v>
                </c:pt>
                <c:pt idx="1050">
                  <c:v>16.960031496834333</c:v>
                </c:pt>
                <c:pt idx="1051">
                  <c:v>16.960031496834333</c:v>
                </c:pt>
                <c:pt idx="1052">
                  <c:v>16.960031496834333</c:v>
                </c:pt>
                <c:pt idx="1053">
                  <c:v>16.960031496834333</c:v>
                </c:pt>
                <c:pt idx="1054">
                  <c:v>16.960031496834333</c:v>
                </c:pt>
                <c:pt idx="1055">
                  <c:v>16.960031496834333</c:v>
                </c:pt>
                <c:pt idx="1056">
                  <c:v>16.960031496834333</c:v>
                </c:pt>
                <c:pt idx="1057">
                  <c:v>16.960031496834333</c:v>
                </c:pt>
                <c:pt idx="1058">
                  <c:v>16.960031496834333</c:v>
                </c:pt>
                <c:pt idx="1059">
                  <c:v>16.960031496834333</c:v>
                </c:pt>
                <c:pt idx="1060">
                  <c:v>16.960031496834333</c:v>
                </c:pt>
                <c:pt idx="1061">
                  <c:v>16.960031496834333</c:v>
                </c:pt>
                <c:pt idx="1062">
                  <c:v>16.960031496834333</c:v>
                </c:pt>
                <c:pt idx="1063">
                  <c:v>16.960031496834333</c:v>
                </c:pt>
                <c:pt idx="1064">
                  <c:v>16.960031496834333</c:v>
                </c:pt>
                <c:pt idx="1065">
                  <c:v>16.960031496834333</c:v>
                </c:pt>
                <c:pt idx="1066">
                  <c:v>16.960031496834333</c:v>
                </c:pt>
                <c:pt idx="1067">
                  <c:v>16.960031496834333</c:v>
                </c:pt>
                <c:pt idx="1068">
                  <c:v>16.960031496834333</c:v>
                </c:pt>
                <c:pt idx="1069">
                  <c:v>16.960031496834333</c:v>
                </c:pt>
                <c:pt idx="1070">
                  <c:v>16.960031496834333</c:v>
                </c:pt>
                <c:pt idx="1071">
                  <c:v>16.960031496834333</c:v>
                </c:pt>
                <c:pt idx="1072">
                  <c:v>16.960031496834333</c:v>
                </c:pt>
                <c:pt idx="1073">
                  <c:v>16.960031496834333</c:v>
                </c:pt>
                <c:pt idx="1074">
                  <c:v>16.960031496834333</c:v>
                </c:pt>
                <c:pt idx="1075">
                  <c:v>16.960031496834333</c:v>
                </c:pt>
                <c:pt idx="1076">
                  <c:v>16.960031496834333</c:v>
                </c:pt>
                <c:pt idx="1077">
                  <c:v>16.960031496834333</c:v>
                </c:pt>
                <c:pt idx="1078">
                  <c:v>16.960031496834333</c:v>
                </c:pt>
                <c:pt idx="1079">
                  <c:v>16.960031496834333</c:v>
                </c:pt>
                <c:pt idx="1080">
                  <c:v>16.960031496834333</c:v>
                </c:pt>
                <c:pt idx="1081">
                  <c:v>16.960031496834333</c:v>
                </c:pt>
                <c:pt idx="1082">
                  <c:v>16.960031496834333</c:v>
                </c:pt>
                <c:pt idx="1083">
                  <c:v>16.960031496834333</c:v>
                </c:pt>
                <c:pt idx="1084">
                  <c:v>16.960031496834333</c:v>
                </c:pt>
                <c:pt idx="1085">
                  <c:v>16.960031496834333</c:v>
                </c:pt>
                <c:pt idx="1086">
                  <c:v>16.960031496834333</c:v>
                </c:pt>
                <c:pt idx="1087">
                  <c:v>16.960031496834333</c:v>
                </c:pt>
                <c:pt idx="1088">
                  <c:v>16.960031496834333</c:v>
                </c:pt>
                <c:pt idx="1089">
                  <c:v>16.960031496834333</c:v>
                </c:pt>
                <c:pt idx="1090">
                  <c:v>16.960031496834333</c:v>
                </c:pt>
                <c:pt idx="1091">
                  <c:v>16.960031496834333</c:v>
                </c:pt>
                <c:pt idx="1092">
                  <c:v>16.960031496834333</c:v>
                </c:pt>
                <c:pt idx="1093">
                  <c:v>16.960031496834333</c:v>
                </c:pt>
                <c:pt idx="1094">
                  <c:v>16.960031496834333</c:v>
                </c:pt>
                <c:pt idx="1095">
                  <c:v>16.960031496834333</c:v>
                </c:pt>
                <c:pt idx="1096">
                  <c:v>16.960031496834333</c:v>
                </c:pt>
                <c:pt idx="1097">
                  <c:v>16.960031496834333</c:v>
                </c:pt>
                <c:pt idx="1098">
                  <c:v>16.960031496834333</c:v>
                </c:pt>
                <c:pt idx="1099">
                  <c:v>16.960031496834333</c:v>
                </c:pt>
                <c:pt idx="1100">
                  <c:v>16.960031496834333</c:v>
                </c:pt>
                <c:pt idx="1101">
                  <c:v>16.960031496834333</c:v>
                </c:pt>
                <c:pt idx="1102">
                  <c:v>16.960031496834333</c:v>
                </c:pt>
                <c:pt idx="1103">
                  <c:v>16.960031496834333</c:v>
                </c:pt>
                <c:pt idx="1104">
                  <c:v>16.960031496834333</c:v>
                </c:pt>
                <c:pt idx="1105">
                  <c:v>16.960031496834333</c:v>
                </c:pt>
                <c:pt idx="1106">
                  <c:v>16.960031496834333</c:v>
                </c:pt>
                <c:pt idx="1107">
                  <c:v>16.960031496834333</c:v>
                </c:pt>
                <c:pt idx="1108">
                  <c:v>16.960031496834333</c:v>
                </c:pt>
                <c:pt idx="1109">
                  <c:v>16.960031496834333</c:v>
                </c:pt>
                <c:pt idx="1110">
                  <c:v>16.960031496834333</c:v>
                </c:pt>
                <c:pt idx="1111">
                  <c:v>16.960031496834333</c:v>
                </c:pt>
                <c:pt idx="1112">
                  <c:v>16.960031496834333</c:v>
                </c:pt>
                <c:pt idx="1113">
                  <c:v>16.960031496834333</c:v>
                </c:pt>
                <c:pt idx="1114">
                  <c:v>16.960031496834333</c:v>
                </c:pt>
                <c:pt idx="1115">
                  <c:v>16.960031496834333</c:v>
                </c:pt>
                <c:pt idx="1116">
                  <c:v>16.960031496834333</c:v>
                </c:pt>
                <c:pt idx="1117">
                  <c:v>16.960031496834333</c:v>
                </c:pt>
                <c:pt idx="1118">
                  <c:v>16.960031496834333</c:v>
                </c:pt>
                <c:pt idx="1119">
                  <c:v>16.960031496834333</c:v>
                </c:pt>
                <c:pt idx="1120">
                  <c:v>16.960031496834333</c:v>
                </c:pt>
                <c:pt idx="1121">
                  <c:v>16.960031496834333</c:v>
                </c:pt>
                <c:pt idx="1122">
                  <c:v>16.960031496834333</c:v>
                </c:pt>
                <c:pt idx="1123">
                  <c:v>16.960031496834333</c:v>
                </c:pt>
                <c:pt idx="1124">
                  <c:v>16.960031496834333</c:v>
                </c:pt>
                <c:pt idx="1125">
                  <c:v>16.960031496834333</c:v>
                </c:pt>
                <c:pt idx="1126">
                  <c:v>16.960031496834333</c:v>
                </c:pt>
                <c:pt idx="1127">
                  <c:v>16.960031496834333</c:v>
                </c:pt>
                <c:pt idx="1128">
                  <c:v>16.960031496834333</c:v>
                </c:pt>
                <c:pt idx="1129">
                  <c:v>16.960031496834333</c:v>
                </c:pt>
                <c:pt idx="1130">
                  <c:v>16.960031496834333</c:v>
                </c:pt>
                <c:pt idx="1131">
                  <c:v>16.960031496834333</c:v>
                </c:pt>
                <c:pt idx="1132">
                  <c:v>16.960031496834333</c:v>
                </c:pt>
                <c:pt idx="1133">
                  <c:v>16.960031496834333</c:v>
                </c:pt>
                <c:pt idx="1134">
                  <c:v>16.960031496834333</c:v>
                </c:pt>
                <c:pt idx="1135">
                  <c:v>16.960031496834333</c:v>
                </c:pt>
                <c:pt idx="1136">
                  <c:v>16.960031496834333</c:v>
                </c:pt>
                <c:pt idx="1137">
                  <c:v>16.960031496834333</c:v>
                </c:pt>
                <c:pt idx="1138">
                  <c:v>16.960031496834333</c:v>
                </c:pt>
                <c:pt idx="1139">
                  <c:v>16.960031496834333</c:v>
                </c:pt>
                <c:pt idx="1140">
                  <c:v>16.960031496834333</c:v>
                </c:pt>
                <c:pt idx="1141">
                  <c:v>16.960031496834333</c:v>
                </c:pt>
                <c:pt idx="1142">
                  <c:v>16.960031496834333</c:v>
                </c:pt>
                <c:pt idx="1143">
                  <c:v>16.960031496834333</c:v>
                </c:pt>
                <c:pt idx="1144">
                  <c:v>16.960031496834333</c:v>
                </c:pt>
                <c:pt idx="1145">
                  <c:v>16.960031496834333</c:v>
                </c:pt>
                <c:pt idx="1146">
                  <c:v>16.960031496834333</c:v>
                </c:pt>
                <c:pt idx="1147">
                  <c:v>16.960031496834333</c:v>
                </c:pt>
                <c:pt idx="1148">
                  <c:v>16.960031496834333</c:v>
                </c:pt>
                <c:pt idx="1149">
                  <c:v>16.960031496834333</c:v>
                </c:pt>
                <c:pt idx="1150">
                  <c:v>16.960031496834333</c:v>
                </c:pt>
                <c:pt idx="1151">
                  <c:v>16.960031496834333</c:v>
                </c:pt>
                <c:pt idx="1152">
                  <c:v>16.960031496834333</c:v>
                </c:pt>
                <c:pt idx="1153">
                  <c:v>16.960031496834333</c:v>
                </c:pt>
                <c:pt idx="1154">
                  <c:v>16.960031496834333</c:v>
                </c:pt>
                <c:pt idx="1155">
                  <c:v>16.960031496834333</c:v>
                </c:pt>
                <c:pt idx="1156">
                  <c:v>16.960031496834333</c:v>
                </c:pt>
                <c:pt idx="1157">
                  <c:v>16.960031496834333</c:v>
                </c:pt>
                <c:pt idx="1158">
                  <c:v>16.960031496834333</c:v>
                </c:pt>
                <c:pt idx="1159">
                  <c:v>16.960031496834333</c:v>
                </c:pt>
                <c:pt idx="1160">
                  <c:v>16.960031496834333</c:v>
                </c:pt>
                <c:pt idx="1161">
                  <c:v>16.960031496834333</c:v>
                </c:pt>
                <c:pt idx="1162">
                  <c:v>16.960031496834333</c:v>
                </c:pt>
                <c:pt idx="1163">
                  <c:v>16.960031496834333</c:v>
                </c:pt>
                <c:pt idx="1164">
                  <c:v>16.960031496834333</c:v>
                </c:pt>
                <c:pt idx="1165">
                  <c:v>16.960031496834333</c:v>
                </c:pt>
                <c:pt idx="1166">
                  <c:v>16.960031496834333</c:v>
                </c:pt>
                <c:pt idx="1167">
                  <c:v>16.960031496834333</c:v>
                </c:pt>
                <c:pt idx="1168">
                  <c:v>16.960031496834333</c:v>
                </c:pt>
                <c:pt idx="1169">
                  <c:v>16.960031496834333</c:v>
                </c:pt>
                <c:pt idx="1170">
                  <c:v>16.960031496834333</c:v>
                </c:pt>
                <c:pt idx="1171">
                  <c:v>16.960031496834333</c:v>
                </c:pt>
                <c:pt idx="1172">
                  <c:v>16.960031496834333</c:v>
                </c:pt>
                <c:pt idx="1173">
                  <c:v>16.960031496834333</c:v>
                </c:pt>
                <c:pt idx="1174">
                  <c:v>16.960031496834333</c:v>
                </c:pt>
                <c:pt idx="1175">
                  <c:v>16.960031496834333</c:v>
                </c:pt>
                <c:pt idx="1176">
                  <c:v>16.960031496834333</c:v>
                </c:pt>
                <c:pt idx="1177">
                  <c:v>16.960031496834333</c:v>
                </c:pt>
                <c:pt idx="1178">
                  <c:v>16.960031496834333</c:v>
                </c:pt>
                <c:pt idx="1179">
                  <c:v>16.960031496834333</c:v>
                </c:pt>
                <c:pt idx="1180">
                  <c:v>16.960031496834333</c:v>
                </c:pt>
                <c:pt idx="1181">
                  <c:v>16.960031496834333</c:v>
                </c:pt>
                <c:pt idx="1182">
                  <c:v>16.960031496834333</c:v>
                </c:pt>
                <c:pt idx="1183">
                  <c:v>16.960031496834333</c:v>
                </c:pt>
                <c:pt idx="1184">
                  <c:v>16.960031496834333</c:v>
                </c:pt>
                <c:pt idx="1185">
                  <c:v>16.960031496834333</c:v>
                </c:pt>
                <c:pt idx="1186">
                  <c:v>16.960031496834333</c:v>
                </c:pt>
                <c:pt idx="1187">
                  <c:v>16.960031496834333</c:v>
                </c:pt>
                <c:pt idx="1188">
                  <c:v>16.960031496834333</c:v>
                </c:pt>
                <c:pt idx="1189">
                  <c:v>16.960031496834333</c:v>
                </c:pt>
                <c:pt idx="1190">
                  <c:v>16.960031496834333</c:v>
                </c:pt>
                <c:pt idx="1191">
                  <c:v>16.960031496834333</c:v>
                </c:pt>
                <c:pt idx="1192">
                  <c:v>16.960031496834333</c:v>
                </c:pt>
                <c:pt idx="1193">
                  <c:v>16.960031496834333</c:v>
                </c:pt>
                <c:pt idx="1194">
                  <c:v>16.960031496834333</c:v>
                </c:pt>
                <c:pt idx="1195">
                  <c:v>16.960031496834333</c:v>
                </c:pt>
                <c:pt idx="1196">
                  <c:v>16.960031496834333</c:v>
                </c:pt>
                <c:pt idx="1197">
                  <c:v>16.960031496834333</c:v>
                </c:pt>
                <c:pt idx="1198">
                  <c:v>16.960031496834333</c:v>
                </c:pt>
                <c:pt idx="1199">
                  <c:v>16.960031496834333</c:v>
                </c:pt>
                <c:pt idx="1200">
                  <c:v>16.960031496834333</c:v>
                </c:pt>
                <c:pt idx="1201">
                  <c:v>16.960031496834333</c:v>
                </c:pt>
                <c:pt idx="1202">
                  <c:v>16.960031496834333</c:v>
                </c:pt>
                <c:pt idx="1203">
                  <c:v>16.960031496834333</c:v>
                </c:pt>
                <c:pt idx="1204">
                  <c:v>16.960031496834333</c:v>
                </c:pt>
                <c:pt idx="1205">
                  <c:v>16.960031496834333</c:v>
                </c:pt>
                <c:pt idx="1206">
                  <c:v>16.960031496834333</c:v>
                </c:pt>
                <c:pt idx="1207">
                  <c:v>16.960031496834333</c:v>
                </c:pt>
                <c:pt idx="1208">
                  <c:v>16.960031496834333</c:v>
                </c:pt>
                <c:pt idx="1209">
                  <c:v>16.960031496834333</c:v>
                </c:pt>
                <c:pt idx="1210">
                  <c:v>16.960031496834333</c:v>
                </c:pt>
                <c:pt idx="1211">
                  <c:v>16.960031496834333</c:v>
                </c:pt>
                <c:pt idx="1212">
                  <c:v>16.960031496834333</c:v>
                </c:pt>
                <c:pt idx="1213">
                  <c:v>16.960031496834333</c:v>
                </c:pt>
                <c:pt idx="1214">
                  <c:v>16.960031496834333</c:v>
                </c:pt>
                <c:pt idx="1215">
                  <c:v>16.960031496834333</c:v>
                </c:pt>
                <c:pt idx="1216">
                  <c:v>16.960031496834333</c:v>
                </c:pt>
                <c:pt idx="1217">
                  <c:v>16.960031496834333</c:v>
                </c:pt>
                <c:pt idx="1218">
                  <c:v>16.960031496834333</c:v>
                </c:pt>
                <c:pt idx="1219">
                  <c:v>16.960031496834333</c:v>
                </c:pt>
                <c:pt idx="1220">
                  <c:v>16.960031496834333</c:v>
                </c:pt>
                <c:pt idx="1221">
                  <c:v>16.960031496834333</c:v>
                </c:pt>
                <c:pt idx="1222">
                  <c:v>16.960031496834333</c:v>
                </c:pt>
                <c:pt idx="1223">
                  <c:v>16.960031496834333</c:v>
                </c:pt>
                <c:pt idx="1224">
                  <c:v>16.960031496834333</c:v>
                </c:pt>
                <c:pt idx="1225">
                  <c:v>16.960031496834333</c:v>
                </c:pt>
                <c:pt idx="1226">
                  <c:v>16.960031496834333</c:v>
                </c:pt>
                <c:pt idx="1227">
                  <c:v>16.960031496834333</c:v>
                </c:pt>
                <c:pt idx="1228">
                  <c:v>16.960031496834333</c:v>
                </c:pt>
                <c:pt idx="1229">
                  <c:v>16.960031496834333</c:v>
                </c:pt>
                <c:pt idx="1230">
                  <c:v>16.960031496834333</c:v>
                </c:pt>
                <c:pt idx="1231">
                  <c:v>16.960031496834333</c:v>
                </c:pt>
                <c:pt idx="1232">
                  <c:v>16.960031496834333</c:v>
                </c:pt>
                <c:pt idx="1233">
                  <c:v>16.960031496834333</c:v>
                </c:pt>
                <c:pt idx="1234">
                  <c:v>16.960031496834333</c:v>
                </c:pt>
                <c:pt idx="1235">
                  <c:v>16.960031496834333</c:v>
                </c:pt>
                <c:pt idx="1236">
                  <c:v>16.960031496834333</c:v>
                </c:pt>
                <c:pt idx="1237">
                  <c:v>16.960031496834333</c:v>
                </c:pt>
                <c:pt idx="1238">
                  <c:v>16.960031496834333</c:v>
                </c:pt>
                <c:pt idx="1239">
                  <c:v>16.960031496834333</c:v>
                </c:pt>
                <c:pt idx="1240">
                  <c:v>16.960031496834333</c:v>
                </c:pt>
                <c:pt idx="1241">
                  <c:v>16.960031496834333</c:v>
                </c:pt>
                <c:pt idx="1242">
                  <c:v>16.960031496834333</c:v>
                </c:pt>
                <c:pt idx="1243">
                  <c:v>16.960031496834333</c:v>
                </c:pt>
                <c:pt idx="1244">
                  <c:v>16.960031496834333</c:v>
                </c:pt>
                <c:pt idx="1245">
                  <c:v>16.960031496834333</c:v>
                </c:pt>
                <c:pt idx="1246">
                  <c:v>16.960031496834333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B0-454F-ADA1-96CBF634E7E5}"/>
            </c:ext>
          </c:extLst>
        </c:ser>
        <c:ser>
          <c:idx val="3"/>
          <c:order val="2"/>
          <c:tx>
            <c:strRef>
              <c:f>'FX Data'!$I$952</c:f>
              <c:strCache>
                <c:ptCount val="1"/>
                <c:pt idx="0">
                  <c:v>Average P/E</c:v>
                </c:pt>
              </c:strCache>
            </c:strRef>
          </c:tx>
          <c:spPr>
            <a:ln w="28575" cap="rnd">
              <a:solidFill>
                <a:srgbClr val="1F497D">
                  <a:lumMod val="75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'FX Data'!$B$957:$B$2203</c:f>
              <c:numCache>
                <c:formatCode>m/d/yyyy</c:formatCode>
                <c:ptCount val="1247"/>
                <c:pt idx="0">
                  <c:v>44263</c:v>
                </c:pt>
                <c:pt idx="1">
                  <c:v>44264</c:v>
                </c:pt>
                <c:pt idx="2">
                  <c:v>44265</c:v>
                </c:pt>
                <c:pt idx="3">
                  <c:v>44266</c:v>
                </c:pt>
                <c:pt idx="4">
                  <c:v>44267</c:v>
                </c:pt>
                <c:pt idx="5">
                  <c:v>44270</c:v>
                </c:pt>
                <c:pt idx="6">
                  <c:v>44271</c:v>
                </c:pt>
                <c:pt idx="7">
                  <c:v>44272</c:v>
                </c:pt>
                <c:pt idx="8">
                  <c:v>44273</c:v>
                </c:pt>
                <c:pt idx="9">
                  <c:v>44274</c:v>
                </c:pt>
                <c:pt idx="10">
                  <c:v>44277</c:v>
                </c:pt>
                <c:pt idx="11">
                  <c:v>44278</c:v>
                </c:pt>
                <c:pt idx="12">
                  <c:v>44279</c:v>
                </c:pt>
                <c:pt idx="13">
                  <c:v>44280</c:v>
                </c:pt>
                <c:pt idx="14">
                  <c:v>44281</c:v>
                </c:pt>
                <c:pt idx="15">
                  <c:v>44284</c:v>
                </c:pt>
                <c:pt idx="16">
                  <c:v>44285</c:v>
                </c:pt>
                <c:pt idx="17">
                  <c:v>44286</c:v>
                </c:pt>
                <c:pt idx="18">
                  <c:v>44287</c:v>
                </c:pt>
                <c:pt idx="19">
                  <c:v>44288</c:v>
                </c:pt>
                <c:pt idx="20">
                  <c:v>44291</c:v>
                </c:pt>
                <c:pt idx="21">
                  <c:v>44292</c:v>
                </c:pt>
                <c:pt idx="22">
                  <c:v>44293</c:v>
                </c:pt>
                <c:pt idx="23">
                  <c:v>44294</c:v>
                </c:pt>
                <c:pt idx="24">
                  <c:v>44295</c:v>
                </c:pt>
                <c:pt idx="25">
                  <c:v>44298</c:v>
                </c:pt>
                <c:pt idx="26">
                  <c:v>44299</c:v>
                </c:pt>
                <c:pt idx="27">
                  <c:v>44300</c:v>
                </c:pt>
                <c:pt idx="28">
                  <c:v>44301</c:v>
                </c:pt>
                <c:pt idx="29">
                  <c:v>44302</c:v>
                </c:pt>
                <c:pt idx="30">
                  <c:v>44305</c:v>
                </c:pt>
                <c:pt idx="31">
                  <c:v>44306</c:v>
                </c:pt>
                <c:pt idx="32">
                  <c:v>44308</c:v>
                </c:pt>
                <c:pt idx="33">
                  <c:v>44309</c:v>
                </c:pt>
                <c:pt idx="34">
                  <c:v>44312</c:v>
                </c:pt>
                <c:pt idx="35">
                  <c:v>44313</c:v>
                </c:pt>
                <c:pt idx="36">
                  <c:v>44314</c:v>
                </c:pt>
                <c:pt idx="37">
                  <c:v>44315</c:v>
                </c:pt>
                <c:pt idx="38">
                  <c:v>44320</c:v>
                </c:pt>
                <c:pt idx="39">
                  <c:v>44321</c:v>
                </c:pt>
                <c:pt idx="40">
                  <c:v>44322</c:v>
                </c:pt>
                <c:pt idx="41">
                  <c:v>44323</c:v>
                </c:pt>
                <c:pt idx="42">
                  <c:v>44326</c:v>
                </c:pt>
                <c:pt idx="43">
                  <c:v>44327</c:v>
                </c:pt>
                <c:pt idx="44">
                  <c:v>44328</c:v>
                </c:pt>
                <c:pt idx="45">
                  <c:v>44329</c:v>
                </c:pt>
                <c:pt idx="46">
                  <c:v>44330</c:v>
                </c:pt>
                <c:pt idx="47">
                  <c:v>44333</c:v>
                </c:pt>
                <c:pt idx="48">
                  <c:v>44334</c:v>
                </c:pt>
                <c:pt idx="49">
                  <c:v>44335</c:v>
                </c:pt>
                <c:pt idx="50">
                  <c:v>44336</c:v>
                </c:pt>
                <c:pt idx="51">
                  <c:v>44337</c:v>
                </c:pt>
                <c:pt idx="52">
                  <c:v>44340</c:v>
                </c:pt>
                <c:pt idx="53">
                  <c:v>44341</c:v>
                </c:pt>
                <c:pt idx="54">
                  <c:v>44342</c:v>
                </c:pt>
                <c:pt idx="55">
                  <c:v>44343</c:v>
                </c:pt>
                <c:pt idx="56">
                  <c:v>44344</c:v>
                </c:pt>
                <c:pt idx="57">
                  <c:v>44347</c:v>
                </c:pt>
                <c:pt idx="58">
                  <c:v>44348</c:v>
                </c:pt>
                <c:pt idx="59">
                  <c:v>44349</c:v>
                </c:pt>
                <c:pt idx="60">
                  <c:v>44350</c:v>
                </c:pt>
                <c:pt idx="61">
                  <c:v>44351</c:v>
                </c:pt>
                <c:pt idx="62">
                  <c:v>44354</c:v>
                </c:pt>
                <c:pt idx="63">
                  <c:v>44355</c:v>
                </c:pt>
                <c:pt idx="64">
                  <c:v>44356</c:v>
                </c:pt>
                <c:pt idx="65">
                  <c:v>44357</c:v>
                </c:pt>
                <c:pt idx="66">
                  <c:v>44358</c:v>
                </c:pt>
                <c:pt idx="67">
                  <c:v>44361</c:v>
                </c:pt>
                <c:pt idx="68">
                  <c:v>44362</c:v>
                </c:pt>
                <c:pt idx="69">
                  <c:v>44363</c:v>
                </c:pt>
                <c:pt idx="70">
                  <c:v>44364</c:v>
                </c:pt>
                <c:pt idx="71">
                  <c:v>44365</c:v>
                </c:pt>
                <c:pt idx="72">
                  <c:v>44368</c:v>
                </c:pt>
                <c:pt idx="73">
                  <c:v>44369</c:v>
                </c:pt>
                <c:pt idx="74">
                  <c:v>44370</c:v>
                </c:pt>
                <c:pt idx="75">
                  <c:v>44371</c:v>
                </c:pt>
                <c:pt idx="76">
                  <c:v>44372</c:v>
                </c:pt>
                <c:pt idx="77">
                  <c:v>44375</c:v>
                </c:pt>
                <c:pt idx="78">
                  <c:v>44376</c:v>
                </c:pt>
                <c:pt idx="79">
                  <c:v>44377</c:v>
                </c:pt>
                <c:pt idx="80">
                  <c:v>44378</c:v>
                </c:pt>
                <c:pt idx="81">
                  <c:v>44379</c:v>
                </c:pt>
                <c:pt idx="82">
                  <c:v>44382</c:v>
                </c:pt>
                <c:pt idx="83">
                  <c:v>44383</c:v>
                </c:pt>
                <c:pt idx="84">
                  <c:v>44384</c:v>
                </c:pt>
                <c:pt idx="85">
                  <c:v>44385</c:v>
                </c:pt>
                <c:pt idx="86">
                  <c:v>44386</c:v>
                </c:pt>
                <c:pt idx="87">
                  <c:v>44389</c:v>
                </c:pt>
                <c:pt idx="88">
                  <c:v>44390</c:v>
                </c:pt>
                <c:pt idx="89">
                  <c:v>44391</c:v>
                </c:pt>
                <c:pt idx="90">
                  <c:v>44392</c:v>
                </c:pt>
                <c:pt idx="91">
                  <c:v>44393</c:v>
                </c:pt>
                <c:pt idx="92">
                  <c:v>44396</c:v>
                </c:pt>
                <c:pt idx="93">
                  <c:v>44397</c:v>
                </c:pt>
                <c:pt idx="94">
                  <c:v>44398</c:v>
                </c:pt>
                <c:pt idx="95">
                  <c:v>44399</c:v>
                </c:pt>
                <c:pt idx="96">
                  <c:v>44400</c:v>
                </c:pt>
                <c:pt idx="97">
                  <c:v>44403</c:v>
                </c:pt>
                <c:pt idx="98">
                  <c:v>44404</c:v>
                </c:pt>
                <c:pt idx="99">
                  <c:v>44405</c:v>
                </c:pt>
                <c:pt idx="100">
                  <c:v>44406</c:v>
                </c:pt>
                <c:pt idx="101">
                  <c:v>44407</c:v>
                </c:pt>
                <c:pt idx="102">
                  <c:v>44410</c:v>
                </c:pt>
                <c:pt idx="103">
                  <c:v>44411</c:v>
                </c:pt>
                <c:pt idx="104">
                  <c:v>44412</c:v>
                </c:pt>
                <c:pt idx="105">
                  <c:v>44413</c:v>
                </c:pt>
                <c:pt idx="106">
                  <c:v>44414</c:v>
                </c:pt>
                <c:pt idx="107">
                  <c:v>44417</c:v>
                </c:pt>
                <c:pt idx="108">
                  <c:v>44418</c:v>
                </c:pt>
                <c:pt idx="109">
                  <c:v>44419</c:v>
                </c:pt>
                <c:pt idx="110">
                  <c:v>44420</c:v>
                </c:pt>
                <c:pt idx="111">
                  <c:v>44421</c:v>
                </c:pt>
                <c:pt idx="112">
                  <c:v>44424</c:v>
                </c:pt>
                <c:pt idx="113">
                  <c:v>44425</c:v>
                </c:pt>
                <c:pt idx="114">
                  <c:v>44426</c:v>
                </c:pt>
                <c:pt idx="115">
                  <c:v>44427</c:v>
                </c:pt>
                <c:pt idx="116">
                  <c:v>44428</c:v>
                </c:pt>
                <c:pt idx="117">
                  <c:v>44431</c:v>
                </c:pt>
                <c:pt idx="118">
                  <c:v>44432</c:v>
                </c:pt>
                <c:pt idx="119">
                  <c:v>44433</c:v>
                </c:pt>
                <c:pt idx="120">
                  <c:v>44434</c:v>
                </c:pt>
                <c:pt idx="121">
                  <c:v>44435</c:v>
                </c:pt>
                <c:pt idx="122">
                  <c:v>44438</c:v>
                </c:pt>
                <c:pt idx="123">
                  <c:v>44439</c:v>
                </c:pt>
                <c:pt idx="124">
                  <c:v>44440</c:v>
                </c:pt>
                <c:pt idx="125">
                  <c:v>44445</c:v>
                </c:pt>
                <c:pt idx="126">
                  <c:v>44446</c:v>
                </c:pt>
                <c:pt idx="127">
                  <c:v>44447</c:v>
                </c:pt>
                <c:pt idx="128">
                  <c:v>44448</c:v>
                </c:pt>
                <c:pt idx="129">
                  <c:v>44449</c:v>
                </c:pt>
                <c:pt idx="130">
                  <c:v>44452</c:v>
                </c:pt>
                <c:pt idx="131">
                  <c:v>44453</c:v>
                </c:pt>
                <c:pt idx="132">
                  <c:v>44454</c:v>
                </c:pt>
                <c:pt idx="133">
                  <c:v>44455</c:v>
                </c:pt>
                <c:pt idx="134">
                  <c:v>44456</c:v>
                </c:pt>
                <c:pt idx="135">
                  <c:v>44459</c:v>
                </c:pt>
                <c:pt idx="136">
                  <c:v>44460</c:v>
                </c:pt>
                <c:pt idx="137">
                  <c:v>44461</c:v>
                </c:pt>
                <c:pt idx="138">
                  <c:v>44462</c:v>
                </c:pt>
                <c:pt idx="139">
                  <c:v>44463</c:v>
                </c:pt>
                <c:pt idx="140">
                  <c:v>44466</c:v>
                </c:pt>
                <c:pt idx="141">
                  <c:v>44467</c:v>
                </c:pt>
                <c:pt idx="142">
                  <c:v>44468</c:v>
                </c:pt>
                <c:pt idx="143">
                  <c:v>44469</c:v>
                </c:pt>
                <c:pt idx="144">
                  <c:v>44470</c:v>
                </c:pt>
                <c:pt idx="145">
                  <c:v>44473</c:v>
                </c:pt>
                <c:pt idx="146">
                  <c:v>44474</c:v>
                </c:pt>
                <c:pt idx="147">
                  <c:v>44475</c:v>
                </c:pt>
                <c:pt idx="148">
                  <c:v>44476</c:v>
                </c:pt>
                <c:pt idx="149">
                  <c:v>44477</c:v>
                </c:pt>
                <c:pt idx="150">
                  <c:v>44480</c:v>
                </c:pt>
                <c:pt idx="151">
                  <c:v>44481</c:v>
                </c:pt>
                <c:pt idx="152">
                  <c:v>44482</c:v>
                </c:pt>
                <c:pt idx="153">
                  <c:v>44483</c:v>
                </c:pt>
                <c:pt idx="154">
                  <c:v>44484</c:v>
                </c:pt>
                <c:pt idx="155">
                  <c:v>44487</c:v>
                </c:pt>
                <c:pt idx="156">
                  <c:v>44488</c:v>
                </c:pt>
                <c:pt idx="157">
                  <c:v>44489</c:v>
                </c:pt>
                <c:pt idx="158">
                  <c:v>44490</c:v>
                </c:pt>
                <c:pt idx="159">
                  <c:v>44491</c:v>
                </c:pt>
                <c:pt idx="160">
                  <c:v>44494</c:v>
                </c:pt>
                <c:pt idx="161">
                  <c:v>44495</c:v>
                </c:pt>
                <c:pt idx="162">
                  <c:v>44496</c:v>
                </c:pt>
                <c:pt idx="163">
                  <c:v>44497</c:v>
                </c:pt>
                <c:pt idx="164">
                  <c:v>44498</c:v>
                </c:pt>
                <c:pt idx="165">
                  <c:v>44501</c:v>
                </c:pt>
                <c:pt idx="166">
                  <c:v>44502</c:v>
                </c:pt>
                <c:pt idx="167">
                  <c:v>44503</c:v>
                </c:pt>
                <c:pt idx="168">
                  <c:v>44504</c:v>
                </c:pt>
                <c:pt idx="169">
                  <c:v>44505</c:v>
                </c:pt>
                <c:pt idx="170">
                  <c:v>44508</c:v>
                </c:pt>
                <c:pt idx="171">
                  <c:v>44509</c:v>
                </c:pt>
                <c:pt idx="172">
                  <c:v>44510</c:v>
                </c:pt>
                <c:pt idx="173">
                  <c:v>44511</c:v>
                </c:pt>
                <c:pt idx="174">
                  <c:v>44512</c:v>
                </c:pt>
                <c:pt idx="175">
                  <c:v>44515</c:v>
                </c:pt>
                <c:pt idx="176">
                  <c:v>44516</c:v>
                </c:pt>
                <c:pt idx="177">
                  <c:v>44517</c:v>
                </c:pt>
                <c:pt idx="178">
                  <c:v>44518</c:v>
                </c:pt>
                <c:pt idx="179">
                  <c:v>44519</c:v>
                </c:pt>
                <c:pt idx="180">
                  <c:v>44522</c:v>
                </c:pt>
                <c:pt idx="181">
                  <c:v>44523</c:v>
                </c:pt>
                <c:pt idx="182">
                  <c:v>44524</c:v>
                </c:pt>
                <c:pt idx="183">
                  <c:v>44525</c:v>
                </c:pt>
                <c:pt idx="184">
                  <c:v>44526</c:v>
                </c:pt>
                <c:pt idx="185">
                  <c:v>44529</c:v>
                </c:pt>
                <c:pt idx="186">
                  <c:v>44530</c:v>
                </c:pt>
                <c:pt idx="187">
                  <c:v>44531</c:v>
                </c:pt>
                <c:pt idx="188">
                  <c:v>44532</c:v>
                </c:pt>
                <c:pt idx="189">
                  <c:v>44533</c:v>
                </c:pt>
                <c:pt idx="190">
                  <c:v>44536</c:v>
                </c:pt>
                <c:pt idx="191">
                  <c:v>44537</c:v>
                </c:pt>
                <c:pt idx="192">
                  <c:v>44538</c:v>
                </c:pt>
                <c:pt idx="193">
                  <c:v>44539</c:v>
                </c:pt>
                <c:pt idx="194">
                  <c:v>44540</c:v>
                </c:pt>
                <c:pt idx="195">
                  <c:v>44543</c:v>
                </c:pt>
                <c:pt idx="196">
                  <c:v>44544</c:v>
                </c:pt>
                <c:pt idx="197">
                  <c:v>44545</c:v>
                </c:pt>
                <c:pt idx="198">
                  <c:v>44546</c:v>
                </c:pt>
                <c:pt idx="199">
                  <c:v>44547</c:v>
                </c:pt>
                <c:pt idx="200">
                  <c:v>44550</c:v>
                </c:pt>
                <c:pt idx="201">
                  <c:v>44551</c:v>
                </c:pt>
                <c:pt idx="202">
                  <c:v>44552</c:v>
                </c:pt>
                <c:pt idx="203">
                  <c:v>44553</c:v>
                </c:pt>
                <c:pt idx="204">
                  <c:v>44554</c:v>
                </c:pt>
                <c:pt idx="205">
                  <c:v>44557</c:v>
                </c:pt>
                <c:pt idx="206">
                  <c:v>44558</c:v>
                </c:pt>
                <c:pt idx="207">
                  <c:v>44559</c:v>
                </c:pt>
                <c:pt idx="208">
                  <c:v>44560</c:v>
                </c:pt>
                <c:pt idx="209">
                  <c:v>44561</c:v>
                </c:pt>
                <c:pt idx="210">
                  <c:v>44565</c:v>
                </c:pt>
                <c:pt idx="211">
                  <c:v>44566</c:v>
                </c:pt>
                <c:pt idx="212">
                  <c:v>44567</c:v>
                </c:pt>
                <c:pt idx="213">
                  <c:v>44568</c:v>
                </c:pt>
                <c:pt idx="214">
                  <c:v>44571</c:v>
                </c:pt>
                <c:pt idx="215">
                  <c:v>44572</c:v>
                </c:pt>
                <c:pt idx="216">
                  <c:v>44573</c:v>
                </c:pt>
                <c:pt idx="217">
                  <c:v>44574</c:v>
                </c:pt>
                <c:pt idx="218">
                  <c:v>44575</c:v>
                </c:pt>
                <c:pt idx="219">
                  <c:v>44578</c:v>
                </c:pt>
                <c:pt idx="220">
                  <c:v>44579</c:v>
                </c:pt>
                <c:pt idx="221">
                  <c:v>44580</c:v>
                </c:pt>
                <c:pt idx="222">
                  <c:v>44581</c:v>
                </c:pt>
                <c:pt idx="223">
                  <c:v>44582</c:v>
                </c:pt>
                <c:pt idx="224">
                  <c:v>44585</c:v>
                </c:pt>
                <c:pt idx="225">
                  <c:v>44586</c:v>
                </c:pt>
                <c:pt idx="226">
                  <c:v>44587</c:v>
                </c:pt>
                <c:pt idx="227">
                  <c:v>44588</c:v>
                </c:pt>
                <c:pt idx="228">
                  <c:v>44589</c:v>
                </c:pt>
                <c:pt idx="229">
                  <c:v>44599</c:v>
                </c:pt>
                <c:pt idx="230">
                  <c:v>44600</c:v>
                </c:pt>
                <c:pt idx="231">
                  <c:v>44601</c:v>
                </c:pt>
                <c:pt idx="232">
                  <c:v>44602</c:v>
                </c:pt>
                <c:pt idx="233">
                  <c:v>44603</c:v>
                </c:pt>
                <c:pt idx="234">
                  <c:v>44606</c:v>
                </c:pt>
                <c:pt idx="235">
                  <c:v>44607</c:v>
                </c:pt>
                <c:pt idx="236">
                  <c:v>44608</c:v>
                </c:pt>
                <c:pt idx="237">
                  <c:v>44609</c:v>
                </c:pt>
                <c:pt idx="238">
                  <c:v>44610</c:v>
                </c:pt>
                <c:pt idx="239">
                  <c:v>44613</c:v>
                </c:pt>
                <c:pt idx="240">
                  <c:v>44614</c:v>
                </c:pt>
                <c:pt idx="241">
                  <c:v>44615</c:v>
                </c:pt>
                <c:pt idx="242">
                  <c:v>44616</c:v>
                </c:pt>
                <c:pt idx="243">
                  <c:v>44617</c:v>
                </c:pt>
                <c:pt idx="244">
                  <c:v>44620</c:v>
                </c:pt>
                <c:pt idx="245">
                  <c:v>44621</c:v>
                </c:pt>
                <c:pt idx="246">
                  <c:v>44622</c:v>
                </c:pt>
                <c:pt idx="247">
                  <c:v>44623</c:v>
                </c:pt>
                <c:pt idx="248">
                  <c:v>44624</c:v>
                </c:pt>
                <c:pt idx="249">
                  <c:v>44627</c:v>
                </c:pt>
                <c:pt idx="250">
                  <c:v>44628</c:v>
                </c:pt>
                <c:pt idx="251">
                  <c:v>44629</c:v>
                </c:pt>
                <c:pt idx="252">
                  <c:v>44630</c:v>
                </c:pt>
                <c:pt idx="253">
                  <c:v>44631</c:v>
                </c:pt>
                <c:pt idx="254">
                  <c:v>44634</c:v>
                </c:pt>
                <c:pt idx="255">
                  <c:v>44635</c:v>
                </c:pt>
                <c:pt idx="256">
                  <c:v>44636</c:v>
                </c:pt>
                <c:pt idx="257">
                  <c:v>44637</c:v>
                </c:pt>
                <c:pt idx="258">
                  <c:v>44638</c:v>
                </c:pt>
                <c:pt idx="259">
                  <c:v>44641</c:v>
                </c:pt>
                <c:pt idx="260">
                  <c:v>44642</c:v>
                </c:pt>
                <c:pt idx="261">
                  <c:v>44643</c:v>
                </c:pt>
                <c:pt idx="262">
                  <c:v>44644</c:v>
                </c:pt>
                <c:pt idx="263">
                  <c:v>44645</c:v>
                </c:pt>
                <c:pt idx="264">
                  <c:v>44648</c:v>
                </c:pt>
                <c:pt idx="265">
                  <c:v>44649</c:v>
                </c:pt>
                <c:pt idx="266">
                  <c:v>44650</c:v>
                </c:pt>
                <c:pt idx="267">
                  <c:v>44651</c:v>
                </c:pt>
                <c:pt idx="268">
                  <c:v>44652</c:v>
                </c:pt>
                <c:pt idx="269">
                  <c:v>44655</c:v>
                </c:pt>
                <c:pt idx="270">
                  <c:v>44656</c:v>
                </c:pt>
                <c:pt idx="271">
                  <c:v>44657</c:v>
                </c:pt>
                <c:pt idx="272">
                  <c:v>44658</c:v>
                </c:pt>
                <c:pt idx="273">
                  <c:v>44659</c:v>
                </c:pt>
                <c:pt idx="274">
                  <c:v>44663</c:v>
                </c:pt>
                <c:pt idx="275">
                  <c:v>44664</c:v>
                </c:pt>
                <c:pt idx="276">
                  <c:v>44665</c:v>
                </c:pt>
                <c:pt idx="277">
                  <c:v>44666</c:v>
                </c:pt>
                <c:pt idx="278">
                  <c:v>44669</c:v>
                </c:pt>
                <c:pt idx="279">
                  <c:v>44670</c:v>
                </c:pt>
                <c:pt idx="280">
                  <c:v>44671</c:v>
                </c:pt>
                <c:pt idx="281">
                  <c:v>44672</c:v>
                </c:pt>
                <c:pt idx="282">
                  <c:v>44673</c:v>
                </c:pt>
                <c:pt idx="283">
                  <c:v>44676</c:v>
                </c:pt>
                <c:pt idx="284">
                  <c:v>44677</c:v>
                </c:pt>
                <c:pt idx="285">
                  <c:v>44678</c:v>
                </c:pt>
                <c:pt idx="286">
                  <c:v>44679</c:v>
                </c:pt>
                <c:pt idx="287">
                  <c:v>44680</c:v>
                </c:pt>
                <c:pt idx="288">
                  <c:v>44685</c:v>
                </c:pt>
                <c:pt idx="289">
                  <c:v>44686</c:v>
                </c:pt>
                <c:pt idx="290">
                  <c:v>44687</c:v>
                </c:pt>
                <c:pt idx="291">
                  <c:v>44690</c:v>
                </c:pt>
                <c:pt idx="292">
                  <c:v>44691</c:v>
                </c:pt>
                <c:pt idx="293">
                  <c:v>44692</c:v>
                </c:pt>
                <c:pt idx="294">
                  <c:v>44693</c:v>
                </c:pt>
                <c:pt idx="295">
                  <c:v>44694</c:v>
                </c:pt>
                <c:pt idx="296">
                  <c:v>44697</c:v>
                </c:pt>
                <c:pt idx="297">
                  <c:v>44698</c:v>
                </c:pt>
                <c:pt idx="298">
                  <c:v>44699</c:v>
                </c:pt>
                <c:pt idx="299">
                  <c:v>44700</c:v>
                </c:pt>
                <c:pt idx="300">
                  <c:v>44701</c:v>
                </c:pt>
                <c:pt idx="301">
                  <c:v>44704</c:v>
                </c:pt>
                <c:pt idx="302">
                  <c:v>44705</c:v>
                </c:pt>
                <c:pt idx="303">
                  <c:v>44706</c:v>
                </c:pt>
                <c:pt idx="304">
                  <c:v>44707</c:v>
                </c:pt>
                <c:pt idx="305">
                  <c:v>44708</c:v>
                </c:pt>
                <c:pt idx="306">
                  <c:v>44711</c:v>
                </c:pt>
                <c:pt idx="307">
                  <c:v>44712</c:v>
                </c:pt>
                <c:pt idx="308">
                  <c:v>44713</c:v>
                </c:pt>
                <c:pt idx="309">
                  <c:v>44714</c:v>
                </c:pt>
                <c:pt idx="310">
                  <c:v>44715</c:v>
                </c:pt>
                <c:pt idx="311">
                  <c:v>44718</c:v>
                </c:pt>
                <c:pt idx="312">
                  <c:v>44719</c:v>
                </c:pt>
                <c:pt idx="313">
                  <c:v>44720</c:v>
                </c:pt>
                <c:pt idx="314">
                  <c:v>44721</c:v>
                </c:pt>
                <c:pt idx="315">
                  <c:v>44722</c:v>
                </c:pt>
                <c:pt idx="316">
                  <c:v>44725</c:v>
                </c:pt>
                <c:pt idx="317">
                  <c:v>44726</c:v>
                </c:pt>
                <c:pt idx="318">
                  <c:v>44727</c:v>
                </c:pt>
                <c:pt idx="319">
                  <c:v>44728</c:v>
                </c:pt>
                <c:pt idx="320">
                  <c:v>44729</c:v>
                </c:pt>
                <c:pt idx="321">
                  <c:v>44732</c:v>
                </c:pt>
                <c:pt idx="322">
                  <c:v>44733</c:v>
                </c:pt>
                <c:pt idx="323">
                  <c:v>44734</c:v>
                </c:pt>
                <c:pt idx="324">
                  <c:v>44735</c:v>
                </c:pt>
                <c:pt idx="325">
                  <c:v>44736</c:v>
                </c:pt>
                <c:pt idx="326">
                  <c:v>44739</c:v>
                </c:pt>
                <c:pt idx="327">
                  <c:v>44740</c:v>
                </c:pt>
                <c:pt idx="328">
                  <c:v>44741</c:v>
                </c:pt>
                <c:pt idx="329">
                  <c:v>44742</c:v>
                </c:pt>
                <c:pt idx="330">
                  <c:v>44743</c:v>
                </c:pt>
                <c:pt idx="331">
                  <c:v>44746</c:v>
                </c:pt>
                <c:pt idx="332">
                  <c:v>44747</c:v>
                </c:pt>
                <c:pt idx="333">
                  <c:v>44748</c:v>
                </c:pt>
                <c:pt idx="334">
                  <c:v>44749</c:v>
                </c:pt>
                <c:pt idx="335">
                  <c:v>44750</c:v>
                </c:pt>
                <c:pt idx="336">
                  <c:v>44753</c:v>
                </c:pt>
                <c:pt idx="337">
                  <c:v>44754</c:v>
                </c:pt>
                <c:pt idx="338">
                  <c:v>44755</c:v>
                </c:pt>
                <c:pt idx="339">
                  <c:v>44756</c:v>
                </c:pt>
                <c:pt idx="340">
                  <c:v>44757</c:v>
                </c:pt>
                <c:pt idx="341">
                  <c:v>44760</c:v>
                </c:pt>
                <c:pt idx="342">
                  <c:v>44761</c:v>
                </c:pt>
                <c:pt idx="343">
                  <c:v>44762</c:v>
                </c:pt>
                <c:pt idx="344">
                  <c:v>44763</c:v>
                </c:pt>
                <c:pt idx="345">
                  <c:v>44764</c:v>
                </c:pt>
                <c:pt idx="346">
                  <c:v>44767</c:v>
                </c:pt>
                <c:pt idx="347">
                  <c:v>44768</c:v>
                </c:pt>
                <c:pt idx="348">
                  <c:v>44769</c:v>
                </c:pt>
                <c:pt idx="349">
                  <c:v>44770</c:v>
                </c:pt>
                <c:pt idx="350">
                  <c:v>44771</c:v>
                </c:pt>
                <c:pt idx="351">
                  <c:v>44774</c:v>
                </c:pt>
                <c:pt idx="352">
                  <c:v>44775</c:v>
                </c:pt>
                <c:pt idx="353">
                  <c:v>44776</c:v>
                </c:pt>
                <c:pt idx="354">
                  <c:v>44777</c:v>
                </c:pt>
                <c:pt idx="355">
                  <c:v>44778</c:v>
                </c:pt>
                <c:pt idx="356">
                  <c:v>44781</c:v>
                </c:pt>
                <c:pt idx="357">
                  <c:v>44782</c:v>
                </c:pt>
                <c:pt idx="358">
                  <c:v>44783</c:v>
                </c:pt>
                <c:pt idx="359">
                  <c:v>44784</c:v>
                </c:pt>
                <c:pt idx="360">
                  <c:v>44785</c:v>
                </c:pt>
                <c:pt idx="361">
                  <c:v>44788</c:v>
                </c:pt>
                <c:pt idx="362">
                  <c:v>44789</c:v>
                </c:pt>
                <c:pt idx="363">
                  <c:v>44790</c:v>
                </c:pt>
                <c:pt idx="364">
                  <c:v>44791</c:v>
                </c:pt>
                <c:pt idx="365">
                  <c:v>44792</c:v>
                </c:pt>
                <c:pt idx="366">
                  <c:v>44795</c:v>
                </c:pt>
                <c:pt idx="367">
                  <c:v>44796</c:v>
                </c:pt>
                <c:pt idx="368">
                  <c:v>44797</c:v>
                </c:pt>
                <c:pt idx="369">
                  <c:v>44798</c:v>
                </c:pt>
                <c:pt idx="370">
                  <c:v>44799</c:v>
                </c:pt>
                <c:pt idx="371">
                  <c:v>44802</c:v>
                </c:pt>
                <c:pt idx="372">
                  <c:v>44803</c:v>
                </c:pt>
                <c:pt idx="373">
                  <c:v>44804</c:v>
                </c:pt>
                <c:pt idx="374">
                  <c:v>44809</c:v>
                </c:pt>
                <c:pt idx="375">
                  <c:v>44810</c:v>
                </c:pt>
                <c:pt idx="376">
                  <c:v>44811</c:v>
                </c:pt>
                <c:pt idx="377">
                  <c:v>44812</c:v>
                </c:pt>
                <c:pt idx="378">
                  <c:v>44813</c:v>
                </c:pt>
                <c:pt idx="379">
                  <c:v>44816</c:v>
                </c:pt>
                <c:pt idx="380">
                  <c:v>44817</c:v>
                </c:pt>
                <c:pt idx="381">
                  <c:v>44818</c:v>
                </c:pt>
                <c:pt idx="382">
                  <c:v>44819</c:v>
                </c:pt>
                <c:pt idx="383">
                  <c:v>44820</c:v>
                </c:pt>
                <c:pt idx="384">
                  <c:v>44823</c:v>
                </c:pt>
                <c:pt idx="385">
                  <c:v>44824</c:v>
                </c:pt>
                <c:pt idx="386">
                  <c:v>44825</c:v>
                </c:pt>
                <c:pt idx="387">
                  <c:v>44826</c:v>
                </c:pt>
                <c:pt idx="388">
                  <c:v>44827</c:v>
                </c:pt>
                <c:pt idx="389">
                  <c:v>44830</c:v>
                </c:pt>
                <c:pt idx="390">
                  <c:v>44831</c:v>
                </c:pt>
                <c:pt idx="391">
                  <c:v>44832</c:v>
                </c:pt>
                <c:pt idx="392">
                  <c:v>44833</c:v>
                </c:pt>
                <c:pt idx="393">
                  <c:v>44834</c:v>
                </c:pt>
                <c:pt idx="394">
                  <c:v>44837</c:v>
                </c:pt>
                <c:pt idx="395">
                  <c:v>44838</c:v>
                </c:pt>
                <c:pt idx="396">
                  <c:v>44839</c:v>
                </c:pt>
                <c:pt idx="397">
                  <c:v>44840</c:v>
                </c:pt>
                <c:pt idx="398">
                  <c:v>44841</c:v>
                </c:pt>
                <c:pt idx="399">
                  <c:v>44844</c:v>
                </c:pt>
                <c:pt idx="400">
                  <c:v>44845</c:v>
                </c:pt>
                <c:pt idx="401">
                  <c:v>44846</c:v>
                </c:pt>
                <c:pt idx="402">
                  <c:v>44847</c:v>
                </c:pt>
                <c:pt idx="403">
                  <c:v>44848</c:v>
                </c:pt>
                <c:pt idx="404">
                  <c:v>44851</c:v>
                </c:pt>
                <c:pt idx="405">
                  <c:v>44852</c:v>
                </c:pt>
                <c:pt idx="406">
                  <c:v>44853</c:v>
                </c:pt>
                <c:pt idx="407">
                  <c:v>44854</c:v>
                </c:pt>
                <c:pt idx="408">
                  <c:v>44855</c:v>
                </c:pt>
                <c:pt idx="409">
                  <c:v>44858</c:v>
                </c:pt>
                <c:pt idx="410">
                  <c:v>44859</c:v>
                </c:pt>
                <c:pt idx="411">
                  <c:v>44860</c:v>
                </c:pt>
                <c:pt idx="412">
                  <c:v>44861</c:v>
                </c:pt>
                <c:pt idx="413">
                  <c:v>44862</c:v>
                </c:pt>
                <c:pt idx="414">
                  <c:v>44865</c:v>
                </c:pt>
                <c:pt idx="415">
                  <c:v>44866</c:v>
                </c:pt>
                <c:pt idx="416">
                  <c:v>44867</c:v>
                </c:pt>
                <c:pt idx="417">
                  <c:v>44868</c:v>
                </c:pt>
                <c:pt idx="418">
                  <c:v>44869</c:v>
                </c:pt>
                <c:pt idx="419">
                  <c:v>44872</c:v>
                </c:pt>
                <c:pt idx="420">
                  <c:v>44873</c:v>
                </c:pt>
                <c:pt idx="421">
                  <c:v>44874</c:v>
                </c:pt>
                <c:pt idx="422">
                  <c:v>44875</c:v>
                </c:pt>
                <c:pt idx="423">
                  <c:v>44876</c:v>
                </c:pt>
                <c:pt idx="424">
                  <c:v>44879</c:v>
                </c:pt>
                <c:pt idx="425">
                  <c:v>44880</c:v>
                </c:pt>
                <c:pt idx="426">
                  <c:v>44881</c:v>
                </c:pt>
                <c:pt idx="427">
                  <c:v>44882</c:v>
                </c:pt>
                <c:pt idx="428">
                  <c:v>44883</c:v>
                </c:pt>
                <c:pt idx="429">
                  <c:v>44886</c:v>
                </c:pt>
                <c:pt idx="430">
                  <c:v>44887</c:v>
                </c:pt>
                <c:pt idx="431">
                  <c:v>44888</c:v>
                </c:pt>
                <c:pt idx="432">
                  <c:v>44889</c:v>
                </c:pt>
                <c:pt idx="433">
                  <c:v>44890</c:v>
                </c:pt>
                <c:pt idx="434">
                  <c:v>44893</c:v>
                </c:pt>
                <c:pt idx="435">
                  <c:v>44894</c:v>
                </c:pt>
                <c:pt idx="436">
                  <c:v>44895</c:v>
                </c:pt>
                <c:pt idx="437">
                  <c:v>44896</c:v>
                </c:pt>
                <c:pt idx="438">
                  <c:v>44897</c:v>
                </c:pt>
                <c:pt idx="439">
                  <c:v>44900</c:v>
                </c:pt>
                <c:pt idx="440">
                  <c:v>44901</c:v>
                </c:pt>
                <c:pt idx="441">
                  <c:v>44902</c:v>
                </c:pt>
                <c:pt idx="442">
                  <c:v>44903</c:v>
                </c:pt>
                <c:pt idx="443">
                  <c:v>44904</c:v>
                </c:pt>
                <c:pt idx="444">
                  <c:v>44907</c:v>
                </c:pt>
                <c:pt idx="445">
                  <c:v>44908</c:v>
                </c:pt>
                <c:pt idx="446">
                  <c:v>44909</c:v>
                </c:pt>
                <c:pt idx="447">
                  <c:v>44910</c:v>
                </c:pt>
                <c:pt idx="448">
                  <c:v>44911</c:v>
                </c:pt>
                <c:pt idx="449">
                  <c:v>44914</c:v>
                </c:pt>
                <c:pt idx="450">
                  <c:v>44915</c:v>
                </c:pt>
                <c:pt idx="451">
                  <c:v>44916</c:v>
                </c:pt>
                <c:pt idx="452">
                  <c:v>44917</c:v>
                </c:pt>
                <c:pt idx="453">
                  <c:v>44918</c:v>
                </c:pt>
                <c:pt idx="454">
                  <c:v>44921</c:v>
                </c:pt>
                <c:pt idx="455">
                  <c:v>44922</c:v>
                </c:pt>
                <c:pt idx="456">
                  <c:v>44923</c:v>
                </c:pt>
                <c:pt idx="457">
                  <c:v>44924</c:v>
                </c:pt>
                <c:pt idx="458">
                  <c:v>44925</c:v>
                </c:pt>
                <c:pt idx="459">
                  <c:v>44929</c:v>
                </c:pt>
                <c:pt idx="460">
                  <c:v>44930</c:v>
                </c:pt>
                <c:pt idx="461">
                  <c:v>44931</c:v>
                </c:pt>
                <c:pt idx="462">
                  <c:v>44932</c:v>
                </c:pt>
                <c:pt idx="463">
                  <c:v>44935</c:v>
                </c:pt>
                <c:pt idx="464">
                  <c:v>44936</c:v>
                </c:pt>
                <c:pt idx="465">
                  <c:v>44937</c:v>
                </c:pt>
                <c:pt idx="466">
                  <c:v>44938</c:v>
                </c:pt>
                <c:pt idx="467">
                  <c:v>44939</c:v>
                </c:pt>
                <c:pt idx="468">
                  <c:v>44942</c:v>
                </c:pt>
                <c:pt idx="469">
                  <c:v>44943</c:v>
                </c:pt>
                <c:pt idx="470">
                  <c:v>44944</c:v>
                </c:pt>
                <c:pt idx="471">
                  <c:v>44945</c:v>
                </c:pt>
                <c:pt idx="472">
                  <c:v>44953</c:v>
                </c:pt>
                <c:pt idx="473">
                  <c:v>44956</c:v>
                </c:pt>
                <c:pt idx="474">
                  <c:v>44957</c:v>
                </c:pt>
                <c:pt idx="475">
                  <c:v>44958</c:v>
                </c:pt>
                <c:pt idx="476">
                  <c:v>44959</c:v>
                </c:pt>
                <c:pt idx="477">
                  <c:v>44960</c:v>
                </c:pt>
                <c:pt idx="478">
                  <c:v>44963</c:v>
                </c:pt>
                <c:pt idx="479">
                  <c:v>44964</c:v>
                </c:pt>
                <c:pt idx="480">
                  <c:v>44965</c:v>
                </c:pt>
                <c:pt idx="481">
                  <c:v>44966</c:v>
                </c:pt>
                <c:pt idx="482">
                  <c:v>44967</c:v>
                </c:pt>
                <c:pt idx="483">
                  <c:v>44970</c:v>
                </c:pt>
                <c:pt idx="484">
                  <c:v>44971</c:v>
                </c:pt>
                <c:pt idx="485">
                  <c:v>44972</c:v>
                </c:pt>
                <c:pt idx="486">
                  <c:v>44973</c:v>
                </c:pt>
                <c:pt idx="487">
                  <c:v>44974</c:v>
                </c:pt>
                <c:pt idx="488">
                  <c:v>44977</c:v>
                </c:pt>
                <c:pt idx="489">
                  <c:v>44978</c:v>
                </c:pt>
                <c:pt idx="490">
                  <c:v>44979</c:v>
                </c:pt>
                <c:pt idx="491">
                  <c:v>44980</c:v>
                </c:pt>
                <c:pt idx="492">
                  <c:v>44981</c:v>
                </c:pt>
                <c:pt idx="493">
                  <c:v>44984</c:v>
                </c:pt>
                <c:pt idx="494">
                  <c:v>44985</c:v>
                </c:pt>
                <c:pt idx="495">
                  <c:v>44986</c:v>
                </c:pt>
                <c:pt idx="496">
                  <c:v>44987</c:v>
                </c:pt>
                <c:pt idx="497">
                  <c:v>44988</c:v>
                </c:pt>
                <c:pt idx="498">
                  <c:v>44991</c:v>
                </c:pt>
                <c:pt idx="499">
                  <c:v>44992</c:v>
                </c:pt>
                <c:pt idx="500">
                  <c:v>44993</c:v>
                </c:pt>
                <c:pt idx="501">
                  <c:v>44994</c:v>
                </c:pt>
                <c:pt idx="502">
                  <c:v>44995</c:v>
                </c:pt>
                <c:pt idx="503">
                  <c:v>44998</c:v>
                </c:pt>
                <c:pt idx="504">
                  <c:v>44999</c:v>
                </c:pt>
                <c:pt idx="505">
                  <c:v>45000</c:v>
                </c:pt>
                <c:pt idx="506">
                  <c:v>45001</c:v>
                </c:pt>
                <c:pt idx="507">
                  <c:v>45002</c:v>
                </c:pt>
                <c:pt idx="508">
                  <c:v>45005</c:v>
                </c:pt>
                <c:pt idx="509">
                  <c:v>45006</c:v>
                </c:pt>
                <c:pt idx="510">
                  <c:v>45007</c:v>
                </c:pt>
                <c:pt idx="511">
                  <c:v>45008</c:v>
                </c:pt>
                <c:pt idx="512">
                  <c:v>45009</c:v>
                </c:pt>
                <c:pt idx="513">
                  <c:v>45012</c:v>
                </c:pt>
                <c:pt idx="514">
                  <c:v>45013</c:v>
                </c:pt>
                <c:pt idx="515">
                  <c:v>45014</c:v>
                </c:pt>
                <c:pt idx="516">
                  <c:v>45015</c:v>
                </c:pt>
                <c:pt idx="517">
                  <c:v>45016</c:v>
                </c:pt>
                <c:pt idx="518">
                  <c:v>45019</c:v>
                </c:pt>
                <c:pt idx="519">
                  <c:v>45020</c:v>
                </c:pt>
                <c:pt idx="520">
                  <c:v>45021</c:v>
                </c:pt>
                <c:pt idx="521">
                  <c:v>45022</c:v>
                </c:pt>
                <c:pt idx="522">
                  <c:v>45023</c:v>
                </c:pt>
                <c:pt idx="523">
                  <c:v>45026</c:v>
                </c:pt>
                <c:pt idx="524">
                  <c:v>45027</c:v>
                </c:pt>
                <c:pt idx="525">
                  <c:v>45028</c:v>
                </c:pt>
                <c:pt idx="526">
                  <c:v>45029</c:v>
                </c:pt>
                <c:pt idx="527">
                  <c:v>45030</c:v>
                </c:pt>
                <c:pt idx="528">
                  <c:v>45033</c:v>
                </c:pt>
                <c:pt idx="529">
                  <c:v>45034</c:v>
                </c:pt>
                <c:pt idx="530">
                  <c:v>45035</c:v>
                </c:pt>
                <c:pt idx="531">
                  <c:v>45036</c:v>
                </c:pt>
                <c:pt idx="532">
                  <c:v>45037</c:v>
                </c:pt>
                <c:pt idx="533">
                  <c:v>45040</c:v>
                </c:pt>
                <c:pt idx="534">
                  <c:v>45041</c:v>
                </c:pt>
                <c:pt idx="535">
                  <c:v>45042</c:v>
                </c:pt>
                <c:pt idx="536">
                  <c:v>45043</c:v>
                </c:pt>
                <c:pt idx="537">
                  <c:v>45044</c:v>
                </c:pt>
                <c:pt idx="538">
                  <c:v>45050</c:v>
                </c:pt>
                <c:pt idx="539">
                  <c:v>45051</c:v>
                </c:pt>
                <c:pt idx="540">
                  <c:v>45054</c:v>
                </c:pt>
                <c:pt idx="541">
                  <c:v>45055</c:v>
                </c:pt>
                <c:pt idx="542">
                  <c:v>45056</c:v>
                </c:pt>
                <c:pt idx="543">
                  <c:v>45057</c:v>
                </c:pt>
                <c:pt idx="544">
                  <c:v>45058</c:v>
                </c:pt>
                <c:pt idx="545">
                  <c:v>45061</c:v>
                </c:pt>
                <c:pt idx="546">
                  <c:v>45062</c:v>
                </c:pt>
                <c:pt idx="547">
                  <c:v>45063</c:v>
                </c:pt>
                <c:pt idx="548">
                  <c:v>45064</c:v>
                </c:pt>
                <c:pt idx="549">
                  <c:v>45065</c:v>
                </c:pt>
                <c:pt idx="550">
                  <c:v>45068</c:v>
                </c:pt>
                <c:pt idx="551">
                  <c:v>45069</c:v>
                </c:pt>
                <c:pt idx="552">
                  <c:v>45070</c:v>
                </c:pt>
                <c:pt idx="553">
                  <c:v>45071</c:v>
                </c:pt>
                <c:pt idx="554">
                  <c:v>45072</c:v>
                </c:pt>
                <c:pt idx="555">
                  <c:v>45075</c:v>
                </c:pt>
                <c:pt idx="556">
                  <c:v>45076</c:v>
                </c:pt>
                <c:pt idx="557">
                  <c:v>45077</c:v>
                </c:pt>
                <c:pt idx="558">
                  <c:v>45078</c:v>
                </c:pt>
                <c:pt idx="559">
                  <c:v>45079</c:v>
                </c:pt>
                <c:pt idx="560">
                  <c:v>45082</c:v>
                </c:pt>
                <c:pt idx="561">
                  <c:v>45083</c:v>
                </c:pt>
                <c:pt idx="562">
                  <c:v>45084</c:v>
                </c:pt>
                <c:pt idx="563">
                  <c:v>45085</c:v>
                </c:pt>
                <c:pt idx="564">
                  <c:v>45086</c:v>
                </c:pt>
                <c:pt idx="565">
                  <c:v>45089</c:v>
                </c:pt>
                <c:pt idx="566">
                  <c:v>45090</c:v>
                </c:pt>
                <c:pt idx="567">
                  <c:v>45091</c:v>
                </c:pt>
                <c:pt idx="568">
                  <c:v>45092</c:v>
                </c:pt>
                <c:pt idx="569">
                  <c:v>45093</c:v>
                </c:pt>
                <c:pt idx="570">
                  <c:v>45096</c:v>
                </c:pt>
                <c:pt idx="571">
                  <c:v>45097</c:v>
                </c:pt>
                <c:pt idx="572">
                  <c:v>45098</c:v>
                </c:pt>
                <c:pt idx="573">
                  <c:v>45099</c:v>
                </c:pt>
                <c:pt idx="574">
                  <c:v>45100</c:v>
                </c:pt>
                <c:pt idx="575">
                  <c:v>45103</c:v>
                </c:pt>
                <c:pt idx="576">
                  <c:v>45104</c:v>
                </c:pt>
                <c:pt idx="577">
                  <c:v>45105</c:v>
                </c:pt>
                <c:pt idx="578">
                  <c:v>45106</c:v>
                </c:pt>
                <c:pt idx="579">
                  <c:v>45107</c:v>
                </c:pt>
                <c:pt idx="580">
                  <c:v>45110</c:v>
                </c:pt>
                <c:pt idx="581">
                  <c:v>45111</c:v>
                </c:pt>
                <c:pt idx="582">
                  <c:v>45112</c:v>
                </c:pt>
                <c:pt idx="583">
                  <c:v>45113</c:v>
                </c:pt>
                <c:pt idx="584">
                  <c:v>45114</c:v>
                </c:pt>
                <c:pt idx="585">
                  <c:v>45117</c:v>
                </c:pt>
                <c:pt idx="586">
                  <c:v>45118</c:v>
                </c:pt>
                <c:pt idx="587">
                  <c:v>45119</c:v>
                </c:pt>
                <c:pt idx="588">
                  <c:v>45120</c:v>
                </c:pt>
                <c:pt idx="589">
                  <c:v>45121</c:v>
                </c:pt>
                <c:pt idx="590">
                  <c:v>45124</c:v>
                </c:pt>
                <c:pt idx="591">
                  <c:v>45125</c:v>
                </c:pt>
                <c:pt idx="592">
                  <c:v>45126</c:v>
                </c:pt>
                <c:pt idx="593">
                  <c:v>45127</c:v>
                </c:pt>
                <c:pt idx="594">
                  <c:v>45128</c:v>
                </c:pt>
                <c:pt idx="595">
                  <c:v>45131</c:v>
                </c:pt>
                <c:pt idx="596">
                  <c:v>45132</c:v>
                </c:pt>
                <c:pt idx="597">
                  <c:v>45133</c:v>
                </c:pt>
                <c:pt idx="598">
                  <c:v>45134</c:v>
                </c:pt>
                <c:pt idx="599">
                  <c:v>45135</c:v>
                </c:pt>
                <c:pt idx="600">
                  <c:v>45138</c:v>
                </c:pt>
                <c:pt idx="601">
                  <c:v>45139</c:v>
                </c:pt>
                <c:pt idx="602">
                  <c:v>45140</c:v>
                </c:pt>
                <c:pt idx="603">
                  <c:v>45141</c:v>
                </c:pt>
                <c:pt idx="604">
                  <c:v>45142</c:v>
                </c:pt>
                <c:pt idx="605">
                  <c:v>45145</c:v>
                </c:pt>
                <c:pt idx="606">
                  <c:v>45146</c:v>
                </c:pt>
                <c:pt idx="607">
                  <c:v>45147</c:v>
                </c:pt>
                <c:pt idx="608">
                  <c:v>45148</c:v>
                </c:pt>
                <c:pt idx="609">
                  <c:v>45149</c:v>
                </c:pt>
                <c:pt idx="610">
                  <c:v>45152</c:v>
                </c:pt>
                <c:pt idx="611">
                  <c:v>45153</c:v>
                </c:pt>
                <c:pt idx="612">
                  <c:v>45154</c:v>
                </c:pt>
                <c:pt idx="613">
                  <c:v>45155</c:v>
                </c:pt>
                <c:pt idx="614">
                  <c:v>45156</c:v>
                </c:pt>
                <c:pt idx="615">
                  <c:v>45159</c:v>
                </c:pt>
                <c:pt idx="616">
                  <c:v>45160</c:v>
                </c:pt>
                <c:pt idx="617">
                  <c:v>45161</c:v>
                </c:pt>
                <c:pt idx="618">
                  <c:v>45162</c:v>
                </c:pt>
                <c:pt idx="619">
                  <c:v>45163</c:v>
                </c:pt>
                <c:pt idx="620">
                  <c:v>45166</c:v>
                </c:pt>
                <c:pt idx="621">
                  <c:v>45167</c:v>
                </c:pt>
                <c:pt idx="622">
                  <c:v>45168</c:v>
                </c:pt>
                <c:pt idx="623">
                  <c:v>45169</c:v>
                </c:pt>
                <c:pt idx="624">
                  <c:v>45174</c:v>
                </c:pt>
                <c:pt idx="625">
                  <c:v>45175</c:v>
                </c:pt>
                <c:pt idx="626">
                  <c:v>45176</c:v>
                </c:pt>
                <c:pt idx="627">
                  <c:v>45177</c:v>
                </c:pt>
                <c:pt idx="628">
                  <c:v>45180</c:v>
                </c:pt>
                <c:pt idx="629">
                  <c:v>45181</c:v>
                </c:pt>
                <c:pt idx="630">
                  <c:v>45182</c:v>
                </c:pt>
                <c:pt idx="631">
                  <c:v>45183</c:v>
                </c:pt>
                <c:pt idx="632">
                  <c:v>45184</c:v>
                </c:pt>
                <c:pt idx="633">
                  <c:v>45187</c:v>
                </c:pt>
                <c:pt idx="634">
                  <c:v>45188</c:v>
                </c:pt>
                <c:pt idx="635">
                  <c:v>45189</c:v>
                </c:pt>
                <c:pt idx="636">
                  <c:v>45190</c:v>
                </c:pt>
                <c:pt idx="637">
                  <c:v>45191</c:v>
                </c:pt>
                <c:pt idx="638">
                  <c:v>45194</c:v>
                </c:pt>
                <c:pt idx="639">
                  <c:v>45195</c:v>
                </c:pt>
                <c:pt idx="640">
                  <c:v>45196</c:v>
                </c:pt>
                <c:pt idx="641">
                  <c:v>45197</c:v>
                </c:pt>
                <c:pt idx="642">
                  <c:v>45198</c:v>
                </c:pt>
                <c:pt idx="643">
                  <c:v>45201</c:v>
                </c:pt>
                <c:pt idx="644">
                  <c:v>45202</c:v>
                </c:pt>
                <c:pt idx="645">
                  <c:v>45203</c:v>
                </c:pt>
                <c:pt idx="646">
                  <c:v>45204</c:v>
                </c:pt>
                <c:pt idx="647">
                  <c:v>45205</c:v>
                </c:pt>
                <c:pt idx="648">
                  <c:v>45208</c:v>
                </c:pt>
                <c:pt idx="649">
                  <c:v>45209</c:v>
                </c:pt>
                <c:pt idx="650">
                  <c:v>45210</c:v>
                </c:pt>
                <c:pt idx="651">
                  <c:v>45211</c:v>
                </c:pt>
                <c:pt idx="652">
                  <c:v>45212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45222</c:v>
                </c:pt>
                <c:pt idx="659">
                  <c:v>45223</c:v>
                </c:pt>
                <c:pt idx="660">
                  <c:v>45224</c:v>
                </c:pt>
                <c:pt idx="661">
                  <c:v>45225</c:v>
                </c:pt>
                <c:pt idx="662">
                  <c:v>45226</c:v>
                </c:pt>
                <c:pt idx="663">
                  <c:v>45229</c:v>
                </c:pt>
                <c:pt idx="664">
                  <c:v>45230</c:v>
                </c:pt>
                <c:pt idx="665">
                  <c:v>45231</c:v>
                </c:pt>
                <c:pt idx="666">
                  <c:v>45232</c:v>
                </c:pt>
                <c:pt idx="667">
                  <c:v>45233</c:v>
                </c:pt>
                <c:pt idx="668">
                  <c:v>45236</c:v>
                </c:pt>
                <c:pt idx="669">
                  <c:v>45237</c:v>
                </c:pt>
                <c:pt idx="670">
                  <c:v>45238</c:v>
                </c:pt>
                <c:pt idx="671">
                  <c:v>45239</c:v>
                </c:pt>
                <c:pt idx="672">
                  <c:v>45240</c:v>
                </c:pt>
                <c:pt idx="673">
                  <c:v>45243</c:v>
                </c:pt>
                <c:pt idx="674">
                  <c:v>45244</c:v>
                </c:pt>
                <c:pt idx="675">
                  <c:v>45245</c:v>
                </c:pt>
                <c:pt idx="676">
                  <c:v>45246</c:v>
                </c:pt>
                <c:pt idx="677">
                  <c:v>45247</c:v>
                </c:pt>
                <c:pt idx="678">
                  <c:v>45250</c:v>
                </c:pt>
                <c:pt idx="679">
                  <c:v>45251</c:v>
                </c:pt>
                <c:pt idx="680">
                  <c:v>45252</c:v>
                </c:pt>
                <c:pt idx="681">
                  <c:v>45253</c:v>
                </c:pt>
                <c:pt idx="682">
                  <c:v>45254</c:v>
                </c:pt>
                <c:pt idx="683">
                  <c:v>45257</c:v>
                </c:pt>
                <c:pt idx="684">
                  <c:v>45258</c:v>
                </c:pt>
                <c:pt idx="685">
                  <c:v>45259</c:v>
                </c:pt>
                <c:pt idx="686">
                  <c:v>45260</c:v>
                </c:pt>
                <c:pt idx="687">
                  <c:v>45261</c:v>
                </c:pt>
                <c:pt idx="688">
                  <c:v>45264</c:v>
                </c:pt>
                <c:pt idx="689">
                  <c:v>45265</c:v>
                </c:pt>
                <c:pt idx="690">
                  <c:v>45266</c:v>
                </c:pt>
                <c:pt idx="691">
                  <c:v>45267</c:v>
                </c:pt>
                <c:pt idx="692">
                  <c:v>45268</c:v>
                </c:pt>
                <c:pt idx="693">
                  <c:v>45271</c:v>
                </c:pt>
                <c:pt idx="694">
                  <c:v>45272</c:v>
                </c:pt>
                <c:pt idx="695">
                  <c:v>45273</c:v>
                </c:pt>
                <c:pt idx="696">
                  <c:v>45274</c:v>
                </c:pt>
                <c:pt idx="697">
                  <c:v>45275</c:v>
                </c:pt>
                <c:pt idx="698">
                  <c:v>45278</c:v>
                </c:pt>
                <c:pt idx="699">
                  <c:v>45279</c:v>
                </c:pt>
                <c:pt idx="700">
                  <c:v>45280</c:v>
                </c:pt>
                <c:pt idx="701">
                  <c:v>45281</c:v>
                </c:pt>
                <c:pt idx="702">
                  <c:v>45282</c:v>
                </c:pt>
                <c:pt idx="703">
                  <c:v>45285</c:v>
                </c:pt>
                <c:pt idx="704">
                  <c:v>45286</c:v>
                </c:pt>
                <c:pt idx="705">
                  <c:v>45287</c:v>
                </c:pt>
                <c:pt idx="706">
                  <c:v>45288</c:v>
                </c:pt>
                <c:pt idx="707">
                  <c:v>45289</c:v>
                </c:pt>
                <c:pt idx="708">
                  <c:v>45293</c:v>
                </c:pt>
                <c:pt idx="709">
                  <c:v>45294</c:v>
                </c:pt>
                <c:pt idx="710">
                  <c:v>45295</c:v>
                </c:pt>
                <c:pt idx="711">
                  <c:v>45296</c:v>
                </c:pt>
                <c:pt idx="712">
                  <c:v>45299</c:v>
                </c:pt>
                <c:pt idx="713">
                  <c:v>45300</c:v>
                </c:pt>
                <c:pt idx="714">
                  <c:v>45301</c:v>
                </c:pt>
                <c:pt idx="715">
                  <c:v>45302</c:v>
                </c:pt>
                <c:pt idx="716">
                  <c:v>45303</c:v>
                </c:pt>
                <c:pt idx="717">
                  <c:v>45306</c:v>
                </c:pt>
                <c:pt idx="718">
                  <c:v>45307</c:v>
                </c:pt>
                <c:pt idx="719">
                  <c:v>45308</c:v>
                </c:pt>
                <c:pt idx="720">
                  <c:v>45309</c:v>
                </c:pt>
                <c:pt idx="721">
                  <c:v>45310</c:v>
                </c:pt>
                <c:pt idx="722">
                  <c:v>45313</c:v>
                </c:pt>
                <c:pt idx="723">
                  <c:v>45314</c:v>
                </c:pt>
                <c:pt idx="724">
                  <c:v>45315</c:v>
                </c:pt>
                <c:pt idx="725">
                  <c:v>45316</c:v>
                </c:pt>
                <c:pt idx="726">
                  <c:v>45317</c:v>
                </c:pt>
                <c:pt idx="727">
                  <c:v>45320</c:v>
                </c:pt>
                <c:pt idx="728">
                  <c:v>45321</c:v>
                </c:pt>
                <c:pt idx="729">
                  <c:v>45322</c:v>
                </c:pt>
                <c:pt idx="730">
                  <c:v>45323</c:v>
                </c:pt>
                <c:pt idx="731">
                  <c:v>45324</c:v>
                </c:pt>
                <c:pt idx="732">
                  <c:v>45327</c:v>
                </c:pt>
                <c:pt idx="733">
                  <c:v>45328</c:v>
                </c:pt>
                <c:pt idx="734">
                  <c:v>45329</c:v>
                </c:pt>
                <c:pt idx="735">
                  <c:v>45337</c:v>
                </c:pt>
                <c:pt idx="736">
                  <c:v>45338</c:v>
                </c:pt>
                <c:pt idx="737">
                  <c:v>45341</c:v>
                </c:pt>
                <c:pt idx="738">
                  <c:v>45342</c:v>
                </c:pt>
                <c:pt idx="739">
                  <c:v>45343</c:v>
                </c:pt>
                <c:pt idx="740">
                  <c:v>45344</c:v>
                </c:pt>
                <c:pt idx="741">
                  <c:v>45345</c:v>
                </c:pt>
                <c:pt idx="742">
                  <c:v>45348</c:v>
                </c:pt>
                <c:pt idx="743">
                  <c:v>45349</c:v>
                </c:pt>
                <c:pt idx="744">
                  <c:v>45350</c:v>
                </c:pt>
                <c:pt idx="745">
                  <c:v>45351</c:v>
                </c:pt>
                <c:pt idx="746">
                  <c:v>45352</c:v>
                </c:pt>
                <c:pt idx="747">
                  <c:v>45355</c:v>
                </c:pt>
                <c:pt idx="748">
                  <c:v>45356</c:v>
                </c:pt>
                <c:pt idx="749">
                  <c:v>45357</c:v>
                </c:pt>
                <c:pt idx="750">
                  <c:v>45358</c:v>
                </c:pt>
                <c:pt idx="751">
                  <c:v>45359</c:v>
                </c:pt>
                <c:pt idx="752">
                  <c:v>45362</c:v>
                </c:pt>
                <c:pt idx="753">
                  <c:v>45363</c:v>
                </c:pt>
                <c:pt idx="754">
                  <c:v>45364</c:v>
                </c:pt>
                <c:pt idx="755">
                  <c:v>45365</c:v>
                </c:pt>
                <c:pt idx="756">
                  <c:v>45366</c:v>
                </c:pt>
                <c:pt idx="757">
                  <c:v>45369</c:v>
                </c:pt>
                <c:pt idx="758">
                  <c:v>45370</c:v>
                </c:pt>
                <c:pt idx="759">
                  <c:v>45371</c:v>
                </c:pt>
                <c:pt idx="760">
                  <c:v>45372</c:v>
                </c:pt>
                <c:pt idx="761">
                  <c:v>45373</c:v>
                </c:pt>
                <c:pt idx="762">
                  <c:v>45376</c:v>
                </c:pt>
                <c:pt idx="763">
                  <c:v>45377</c:v>
                </c:pt>
                <c:pt idx="764">
                  <c:v>45378</c:v>
                </c:pt>
                <c:pt idx="765">
                  <c:v>45379</c:v>
                </c:pt>
                <c:pt idx="766">
                  <c:v>45380</c:v>
                </c:pt>
                <c:pt idx="767">
                  <c:v>45383</c:v>
                </c:pt>
                <c:pt idx="768">
                  <c:v>45384</c:v>
                </c:pt>
                <c:pt idx="769">
                  <c:v>45385</c:v>
                </c:pt>
                <c:pt idx="770">
                  <c:v>45386</c:v>
                </c:pt>
                <c:pt idx="771">
                  <c:v>45387</c:v>
                </c:pt>
                <c:pt idx="772">
                  <c:v>45390</c:v>
                </c:pt>
                <c:pt idx="773">
                  <c:v>45391</c:v>
                </c:pt>
                <c:pt idx="774">
                  <c:v>45392</c:v>
                </c:pt>
                <c:pt idx="775">
                  <c:v>45393</c:v>
                </c:pt>
                <c:pt idx="776">
                  <c:v>45394</c:v>
                </c:pt>
                <c:pt idx="777">
                  <c:v>45397</c:v>
                </c:pt>
                <c:pt idx="778">
                  <c:v>45398</c:v>
                </c:pt>
                <c:pt idx="779">
                  <c:v>45399</c:v>
                </c:pt>
                <c:pt idx="780">
                  <c:v>45401</c:v>
                </c:pt>
                <c:pt idx="781">
                  <c:v>45404</c:v>
                </c:pt>
                <c:pt idx="782">
                  <c:v>45405</c:v>
                </c:pt>
                <c:pt idx="783">
                  <c:v>45406</c:v>
                </c:pt>
                <c:pt idx="784">
                  <c:v>45407</c:v>
                </c:pt>
                <c:pt idx="785">
                  <c:v>45408</c:v>
                </c:pt>
                <c:pt idx="786">
                  <c:v>45414</c:v>
                </c:pt>
                <c:pt idx="787">
                  <c:v>45415</c:v>
                </c:pt>
                <c:pt idx="788">
                  <c:v>45418</c:v>
                </c:pt>
                <c:pt idx="789">
                  <c:v>45419</c:v>
                </c:pt>
                <c:pt idx="790">
                  <c:v>45420</c:v>
                </c:pt>
                <c:pt idx="791">
                  <c:v>45421</c:v>
                </c:pt>
                <c:pt idx="792">
                  <c:v>45422</c:v>
                </c:pt>
                <c:pt idx="793">
                  <c:v>45425</c:v>
                </c:pt>
                <c:pt idx="794">
                  <c:v>45426</c:v>
                </c:pt>
                <c:pt idx="795">
                  <c:v>45427</c:v>
                </c:pt>
                <c:pt idx="796">
                  <c:v>45428</c:v>
                </c:pt>
                <c:pt idx="797">
                  <c:v>45429</c:v>
                </c:pt>
                <c:pt idx="798">
                  <c:v>45432</c:v>
                </c:pt>
                <c:pt idx="799">
                  <c:v>45433</c:v>
                </c:pt>
                <c:pt idx="800">
                  <c:v>45434</c:v>
                </c:pt>
                <c:pt idx="801">
                  <c:v>45435</c:v>
                </c:pt>
                <c:pt idx="802">
                  <c:v>45436</c:v>
                </c:pt>
                <c:pt idx="803">
                  <c:v>45439</c:v>
                </c:pt>
                <c:pt idx="804">
                  <c:v>45440</c:v>
                </c:pt>
                <c:pt idx="805">
                  <c:v>45441</c:v>
                </c:pt>
                <c:pt idx="806">
                  <c:v>45442</c:v>
                </c:pt>
                <c:pt idx="807">
                  <c:v>45443</c:v>
                </c:pt>
                <c:pt idx="808">
                  <c:v>45446</c:v>
                </c:pt>
                <c:pt idx="809">
                  <c:v>45447</c:v>
                </c:pt>
                <c:pt idx="810">
                  <c:v>45448</c:v>
                </c:pt>
                <c:pt idx="811">
                  <c:v>45449</c:v>
                </c:pt>
                <c:pt idx="812">
                  <c:v>45450</c:v>
                </c:pt>
                <c:pt idx="813">
                  <c:v>45453</c:v>
                </c:pt>
                <c:pt idx="814">
                  <c:v>45454</c:v>
                </c:pt>
                <c:pt idx="815">
                  <c:v>45455</c:v>
                </c:pt>
                <c:pt idx="816">
                  <c:v>45456</c:v>
                </c:pt>
                <c:pt idx="817">
                  <c:v>45457</c:v>
                </c:pt>
                <c:pt idx="818">
                  <c:v>45460</c:v>
                </c:pt>
                <c:pt idx="819">
                  <c:v>45461</c:v>
                </c:pt>
                <c:pt idx="820">
                  <c:v>45462</c:v>
                </c:pt>
                <c:pt idx="821">
                  <c:v>45463</c:v>
                </c:pt>
                <c:pt idx="822">
                  <c:v>45464</c:v>
                </c:pt>
                <c:pt idx="823">
                  <c:v>45467</c:v>
                </c:pt>
                <c:pt idx="824">
                  <c:v>45468</c:v>
                </c:pt>
                <c:pt idx="825">
                  <c:v>45469</c:v>
                </c:pt>
                <c:pt idx="826">
                  <c:v>45470</c:v>
                </c:pt>
                <c:pt idx="827">
                  <c:v>45471</c:v>
                </c:pt>
                <c:pt idx="828">
                  <c:v>45474</c:v>
                </c:pt>
                <c:pt idx="829">
                  <c:v>45475</c:v>
                </c:pt>
                <c:pt idx="830">
                  <c:v>45476</c:v>
                </c:pt>
                <c:pt idx="831">
                  <c:v>45477</c:v>
                </c:pt>
                <c:pt idx="832">
                  <c:v>45478</c:v>
                </c:pt>
                <c:pt idx="833">
                  <c:v>45481</c:v>
                </c:pt>
                <c:pt idx="834">
                  <c:v>45482</c:v>
                </c:pt>
                <c:pt idx="835">
                  <c:v>45483</c:v>
                </c:pt>
                <c:pt idx="836">
                  <c:v>45484</c:v>
                </c:pt>
                <c:pt idx="837">
                  <c:v>45485</c:v>
                </c:pt>
                <c:pt idx="838">
                  <c:v>45488</c:v>
                </c:pt>
                <c:pt idx="839">
                  <c:v>45489</c:v>
                </c:pt>
                <c:pt idx="840">
                  <c:v>45490</c:v>
                </c:pt>
                <c:pt idx="841">
                  <c:v>45491</c:v>
                </c:pt>
                <c:pt idx="842">
                  <c:v>45492</c:v>
                </c:pt>
                <c:pt idx="843">
                  <c:v>45495</c:v>
                </c:pt>
                <c:pt idx="844">
                  <c:v>45496</c:v>
                </c:pt>
                <c:pt idx="845">
                  <c:v>45497</c:v>
                </c:pt>
                <c:pt idx="846">
                  <c:v>45498</c:v>
                </c:pt>
                <c:pt idx="847">
                  <c:v>45499</c:v>
                </c:pt>
                <c:pt idx="848">
                  <c:v>45502</c:v>
                </c:pt>
                <c:pt idx="849">
                  <c:v>45503</c:v>
                </c:pt>
                <c:pt idx="850">
                  <c:v>45504</c:v>
                </c:pt>
                <c:pt idx="851">
                  <c:v>45505</c:v>
                </c:pt>
                <c:pt idx="852">
                  <c:v>45506</c:v>
                </c:pt>
                <c:pt idx="853">
                  <c:v>45509</c:v>
                </c:pt>
                <c:pt idx="854">
                  <c:v>45510</c:v>
                </c:pt>
                <c:pt idx="855">
                  <c:v>45511</c:v>
                </c:pt>
                <c:pt idx="856">
                  <c:v>45512</c:v>
                </c:pt>
                <c:pt idx="857">
                  <c:v>45513</c:v>
                </c:pt>
                <c:pt idx="858">
                  <c:v>45516</c:v>
                </c:pt>
                <c:pt idx="859">
                  <c:v>45517</c:v>
                </c:pt>
                <c:pt idx="860">
                  <c:v>45518</c:v>
                </c:pt>
                <c:pt idx="861">
                  <c:v>45519</c:v>
                </c:pt>
                <c:pt idx="862">
                  <c:v>45520</c:v>
                </c:pt>
                <c:pt idx="863">
                  <c:v>45523</c:v>
                </c:pt>
                <c:pt idx="864">
                  <c:v>45524</c:v>
                </c:pt>
                <c:pt idx="865">
                  <c:v>45525</c:v>
                </c:pt>
                <c:pt idx="866">
                  <c:v>45526</c:v>
                </c:pt>
                <c:pt idx="867">
                  <c:v>45527</c:v>
                </c:pt>
                <c:pt idx="868">
                  <c:v>45530</c:v>
                </c:pt>
                <c:pt idx="869">
                  <c:v>45531</c:v>
                </c:pt>
                <c:pt idx="870">
                  <c:v>45532</c:v>
                </c:pt>
                <c:pt idx="871">
                  <c:v>45533</c:v>
                </c:pt>
                <c:pt idx="872">
                  <c:v>45534</c:v>
                </c:pt>
                <c:pt idx="873">
                  <c:v>45539</c:v>
                </c:pt>
                <c:pt idx="874">
                  <c:v>45540</c:v>
                </c:pt>
                <c:pt idx="875">
                  <c:v>45541</c:v>
                </c:pt>
                <c:pt idx="876">
                  <c:v>45544</c:v>
                </c:pt>
                <c:pt idx="877">
                  <c:v>45545</c:v>
                </c:pt>
                <c:pt idx="878">
                  <c:v>45546</c:v>
                </c:pt>
                <c:pt idx="879">
                  <c:v>45547</c:v>
                </c:pt>
                <c:pt idx="880">
                  <c:v>45548</c:v>
                </c:pt>
                <c:pt idx="881">
                  <c:v>45551</c:v>
                </c:pt>
                <c:pt idx="882">
                  <c:v>45552</c:v>
                </c:pt>
                <c:pt idx="883">
                  <c:v>45553</c:v>
                </c:pt>
                <c:pt idx="884">
                  <c:v>45554</c:v>
                </c:pt>
                <c:pt idx="885">
                  <c:v>45555</c:v>
                </c:pt>
                <c:pt idx="886">
                  <c:v>45558</c:v>
                </c:pt>
                <c:pt idx="887">
                  <c:v>45559</c:v>
                </c:pt>
                <c:pt idx="888">
                  <c:v>45560</c:v>
                </c:pt>
                <c:pt idx="889">
                  <c:v>45561</c:v>
                </c:pt>
                <c:pt idx="890">
                  <c:v>45562</c:v>
                </c:pt>
                <c:pt idx="891">
                  <c:v>45565</c:v>
                </c:pt>
                <c:pt idx="892">
                  <c:v>45566</c:v>
                </c:pt>
                <c:pt idx="893">
                  <c:v>45567</c:v>
                </c:pt>
                <c:pt idx="894">
                  <c:v>45568</c:v>
                </c:pt>
                <c:pt idx="895">
                  <c:v>45569</c:v>
                </c:pt>
                <c:pt idx="896">
                  <c:v>45572</c:v>
                </c:pt>
                <c:pt idx="897">
                  <c:v>45573</c:v>
                </c:pt>
                <c:pt idx="898">
                  <c:v>45574</c:v>
                </c:pt>
                <c:pt idx="899">
                  <c:v>45575</c:v>
                </c:pt>
                <c:pt idx="900">
                  <c:v>45576</c:v>
                </c:pt>
                <c:pt idx="901">
                  <c:v>45579</c:v>
                </c:pt>
                <c:pt idx="902">
                  <c:v>45580</c:v>
                </c:pt>
                <c:pt idx="903">
                  <c:v>45581</c:v>
                </c:pt>
                <c:pt idx="904">
                  <c:v>45582</c:v>
                </c:pt>
                <c:pt idx="905">
                  <c:v>45583</c:v>
                </c:pt>
                <c:pt idx="906">
                  <c:v>45586</c:v>
                </c:pt>
                <c:pt idx="907">
                  <c:v>45587</c:v>
                </c:pt>
                <c:pt idx="908">
                  <c:v>45588</c:v>
                </c:pt>
                <c:pt idx="909">
                  <c:v>45589</c:v>
                </c:pt>
                <c:pt idx="910">
                  <c:v>45590</c:v>
                </c:pt>
                <c:pt idx="911">
                  <c:v>45593</c:v>
                </c:pt>
                <c:pt idx="912">
                  <c:v>45594</c:v>
                </c:pt>
                <c:pt idx="913">
                  <c:v>45595</c:v>
                </c:pt>
                <c:pt idx="914">
                  <c:v>45596</c:v>
                </c:pt>
                <c:pt idx="915">
                  <c:v>45597</c:v>
                </c:pt>
                <c:pt idx="916">
                  <c:v>45600</c:v>
                </c:pt>
                <c:pt idx="917">
                  <c:v>45601</c:v>
                </c:pt>
                <c:pt idx="918">
                  <c:v>45602</c:v>
                </c:pt>
                <c:pt idx="919">
                  <c:v>45603</c:v>
                </c:pt>
                <c:pt idx="920">
                  <c:v>45604</c:v>
                </c:pt>
                <c:pt idx="921">
                  <c:v>45607</c:v>
                </c:pt>
                <c:pt idx="922">
                  <c:v>45608</c:v>
                </c:pt>
                <c:pt idx="923">
                  <c:v>45609</c:v>
                </c:pt>
                <c:pt idx="924">
                  <c:v>45610</c:v>
                </c:pt>
                <c:pt idx="925">
                  <c:v>45611</c:v>
                </c:pt>
                <c:pt idx="926">
                  <c:v>45614</c:v>
                </c:pt>
                <c:pt idx="927">
                  <c:v>45615</c:v>
                </c:pt>
                <c:pt idx="928">
                  <c:v>45616</c:v>
                </c:pt>
                <c:pt idx="929">
                  <c:v>45617</c:v>
                </c:pt>
                <c:pt idx="930">
                  <c:v>45618</c:v>
                </c:pt>
                <c:pt idx="931">
                  <c:v>45621</c:v>
                </c:pt>
                <c:pt idx="932">
                  <c:v>45622</c:v>
                </c:pt>
                <c:pt idx="933">
                  <c:v>45623</c:v>
                </c:pt>
                <c:pt idx="934">
                  <c:v>45624</c:v>
                </c:pt>
                <c:pt idx="935">
                  <c:v>45625</c:v>
                </c:pt>
                <c:pt idx="936">
                  <c:v>45628</c:v>
                </c:pt>
                <c:pt idx="937">
                  <c:v>45629</c:v>
                </c:pt>
                <c:pt idx="938">
                  <c:v>45630</c:v>
                </c:pt>
                <c:pt idx="939">
                  <c:v>45631</c:v>
                </c:pt>
                <c:pt idx="940">
                  <c:v>45632</c:v>
                </c:pt>
                <c:pt idx="941">
                  <c:v>45635</c:v>
                </c:pt>
                <c:pt idx="942">
                  <c:v>45636</c:v>
                </c:pt>
                <c:pt idx="943">
                  <c:v>45637</c:v>
                </c:pt>
                <c:pt idx="944">
                  <c:v>45638</c:v>
                </c:pt>
                <c:pt idx="945">
                  <c:v>45639</c:v>
                </c:pt>
                <c:pt idx="946">
                  <c:v>45642</c:v>
                </c:pt>
                <c:pt idx="947">
                  <c:v>45643</c:v>
                </c:pt>
                <c:pt idx="948">
                  <c:v>45644</c:v>
                </c:pt>
                <c:pt idx="949">
                  <c:v>45645</c:v>
                </c:pt>
                <c:pt idx="950">
                  <c:v>45646</c:v>
                </c:pt>
                <c:pt idx="951">
                  <c:v>45649</c:v>
                </c:pt>
                <c:pt idx="952">
                  <c:v>45650</c:v>
                </c:pt>
                <c:pt idx="953">
                  <c:v>45651</c:v>
                </c:pt>
                <c:pt idx="954">
                  <c:v>45652</c:v>
                </c:pt>
                <c:pt idx="955">
                  <c:v>45653</c:v>
                </c:pt>
                <c:pt idx="956">
                  <c:v>45656</c:v>
                </c:pt>
                <c:pt idx="957">
                  <c:v>45657</c:v>
                </c:pt>
                <c:pt idx="958">
                  <c:v>45659</c:v>
                </c:pt>
                <c:pt idx="959">
                  <c:v>45660</c:v>
                </c:pt>
                <c:pt idx="960">
                  <c:v>45663</c:v>
                </c:pt>
                <c:pt idx="961">
                  <c:v>45664</c:v>
                </c:pt>
                <c:pt idx="962">
                  <c:v>45665</c:v>
                </c:pt>
                <c:pt idx="963">
                  <c:v>45666</c:v>
                </c:pt>
                <c:pt idx="964">
                  <c:v>45667</c:v>
                </c:pt>
                <c:pt idx="965">
                  <c:v>45670</c:v>
                </c:pt>
                <c:pt idx="966">
                  <c:v>45671</c:v>
                </c:pt>
                <c:pt idx="967">
                  <c:v>45672</c:v>
                </c:pt>
                <c:pt idx="968">
                  <c:v>45673</c:v>
                </c:pt>
                <c:pt idx="969">
                  <c:v>45674</c:v>
                </c:pt>
                <c:pt idx="970">
                  <c:v>45677</c:v>
                </c:pt>
                <c:pt idx="971">
                  <c:v>45678</c:v>
                </c:pt>
                <c:pt idx="972">
                  <c:v>45679</c:v>
                </c:pt>
                <c:pt idx="973">
                  <c:v>45680</c:v>
                </c:pt>
                <c:pt idx="974">
                  <c:v>45681</c:v>
                </c:pt>
                <c:pt idx="975">
                  <c:v>45691</c:v>
                </c:pt>
                <c:pt idx="976">
                  <c:v>45692</c:v>
                </c:pt>
                <c:pt idx="977">
                  <c:v>45693</c:v>
                </c:pt>
                <c:pt idx="978">
                  <c:v>45694</c:v>
                </c:pt>
                <c:pt idx="979">
                  <c:v>45695</c:v>
                </c:pt>
                <c:pt idx="980">
                  <c:v>45698</c:v>
                </c:pt>
                <c:pt idx="981">
                  <c:v>45699</c:v>
                </c:pt>
                <c:pt idx="982">
                  <c:v>45700</c:v>
                </c:pt>
                <c:pt idx="983">
                  <c:v>45701</c:v>
                </c:pt>
                <c:pt idx="984">
                  <c:v>45702</c:v>
                </c:pt>
                <c:pt idx="985">
                  <c:v>45705</c:v>
                </c:pt>
                <c:pt idx="986">
                  <c:v>45706</c:v>
                </c:pt>
                <c:pt idx="987">
                  <c:v>45707</c:v>
                </c:pt>
                <c:pt idx="988">
                  <c:v>45708</c:v>
                </c:pt>
                <c:pt idx="989">
                  <c:v>45709</c:v>
                </c:pt>
                <c:pt idx="990">
                  <c:v>45712</c:v>
                </c:pt>
                <c:pt idx="991">
                  <c:v>45713</c:v>
                </c:pt>
                <c:pt idx="992">
                  <c:v>45714</c:v>
                </c:pt>
                <c:pt idx="993">
                  <c:v>45715</c:v>
                </c:pt>
                <c:pt idx="994">
                  <c:v>45716</c:v>
                </c:pt>
                <c:pt idx="995">
                  <c:v>45719</c:v>
                </c:pt>
                <c:pt idx="996">
                  <c:v>45720</c:v>
                </c:pt>
                <c:pt idx="997">
                  <c:v>45721</c:v>
                </c:pt>
                <c:pt idx="998">
                  <c:v>45722</c:v>
                </c:pt>
                <c:pt idx="999">
                  <c:v>45723</c:v>
                </c:pt>
                <c:pt idx="1000">
                  <c:v>45726</c:v>
                </c:pt>
                <c:pt idx="1001">
                  <c:v>45727</c:v>
                </c:pt>
                <c:pt idx="1002">
                  <c:v>45728</c:v>
                </c:pt>
                <c:pt idx="1003">
                  <c:v>45729</c:v>
                </c:pt>
                <c:pt idx="1004">
                  <c:v>45730</c:v>
                </c:pt>
                <c:pt idx="1005">
                  <c:v>45733</c:v>
                </c:pt>
                <c:pt idx="1006">
                  <c:v>45734</c:v>
                </c:pt>
                <c:pt idx="1007">
                  <c:v>45735</c:v>
                </c:pt>
                <c:pt idx="1008">
                  <c:v>45736</c:v>
                </c:pt>
                <c:pt idx="1009">
                  <c:v>45737</c:v>
                </c:pt>
                <c:pt idx="1010">
                  <c:v>45740</c:v>
                </c:pt>
                <c:pt idx="1011">
                  <c:v>45741</c:v>
                </c:pt>
                <c:pt idx="1012">
                  <c:v>45742</c:v>
                </c:pt>
                <c:pt idx="1013">
                  <c:v>45743</c:v>
                </c:pt>
                <c:pt idx="1014">
                  <c:v>45744</c:v>
                </c:pt>
                <c:pt idx="1015">
                  <c:v>45747</c:v>
                </c:pt>
                <c:pt idx="1016">
                  <c:v>45748</c:v>
                </c:pt>
                <c:pt idx="1017">
                  <c:v>45749</c:v>
                </c:pt>
                <c:pt idx="1018">
                  <c:v>45750</c:v>
                </c:pt>
                <c:pt idx="1019">
                  <c:v>45751</c:v>
                </c:pt>
                <c:pt idx="1020">
                  <c:v>45755</c:v>
                </c:pt>
                <c:pt idx="1021">
                  <c:v>45756</c:v>
                </c:pt>
                <c:pt idx="1022">
                  <c:v>45757</c:v>
                </c:pt>
                <c:pt idx="1023">
                  <c:v>45758</c:v>
                </c:pt>
                <c:pt idx="1024">
                  <c:v>45761</c:v>
                </c:pt>
                <c:pt idx="1025">
                  <c:v>45762</c:v>
                </c:pt>
                <c:pt idx="1026">
                  <c:v>45763</c:v>
                </c:pt>
                <c:pt idx="1027">
                  <c:v>45764</c:v>
                </c:pt>
                <c:pt idx="1028">
                  <c:v>45765</c:v>
                </c:pt>
                <c:pt idx="1029">
                  <c:v>45768</c:v>
                </c:pt>
                <c:pt idx="1030">
                  <c:v>45769</c:v>
                </c:pt>
                <c:pt idx="1031">
                  <c:v>45770</c:v>
                </c:pt>
                <c:pt idx="1032">
                  <c:v>45771</c:v>
                </c:pt>
                <c:pt idx="1033">
                  <c:v>45772</c:v>
                </c:pt>
                <c:pt idx="1034">
                  <c:v>45775</c:v>
                </c:pt>
                <c:pt idx="1035">
                  <c:v>45776</c:v>
                </c:pt>
                <c:pt idx="1036">
                  <c:v>45782</c:v>
                </c:pt>
                <c:pt idx="1037">
                  <c:v>45783</c:v>
                </c:pt>
                <c:pt idx="1038">
                  <c:v>45784</c:v>
                </c:pt>
                <c:pt idx="1039">
                  <c:v>45785</c:v>
                </c:pt>
                <c:pt idx="1040">
                  <c:v>45786</c:v>
                </c:pt>
                <c:pt idx="1041">
                  <c:v>45789</c:v>
                </c:pt>
                <c:pt idx="1042">
                  <c:v>45790</c:v>
                </c:pt>
                <c:pt idx="1043">
                  <c:v>45791</c:v>
                </c:pt>
                <c:pt idx="1044">
                  <c:v>45792</c:v>
                </c:pt>
                <c:pt idx="1045">
                  <c:v>45793</c:v>
                </c:pt>
                <c:pt idx="1046">
                  <c:v>45796</c:v>
                </c:pt>
                <c:pt idx="1047">
                  <c:v>45797</c:v>
                </c:pt>
                <c:pt idx="1048">
                  <c:v>45798</c:v>
                </c:pt>
                <c:pt idx="1049">
                  <c:v>45799</c:v>
                </c:pt>
                <c:pt idx="1050">
                  <c:v>45800</c:v>
                </c:pt>
                <c:pt idx="1051">
                  <c:v>45803</c:v>
                </c:pt>
                <c:pt idx="1052">
                  <c:v>45804</c:v>
                </c:pt>
                <c:pt idx="1053">
                  <c:v>45805</c:v>
                </c:pt>
                <c:pt idx="1054">
                  <c:v>45806</c:v>
                </c:pt>
                <c:pt idx="1055">
                  <c:v>45807</c:v>
                </c:pt>
                <c:pt idx="1056">
                  <c:v>45810</c:v>
                </c:pt>
                <c:pt idx="1057">
                  <c:v>45811</c:v>
                </c:pt>
                <c:pt idx="1058">
                  <c:v>45812</c:v>
                </c:pt>
                <c:pt idx="1059">
                  <c:v>45813</c:v>
                </c:pt>
                <c:pt idx="1060">
                  <c:v>45814</c:v>
                </c:pt>
                <c:pt idx="1061">
                  <c:v>45817</c:v>
                </c:pt>
                <c:pt idx="1062">
                  <c:v>45818</c:v>
                </c:pt>
                <c:pt idx="1063">
                  <c:v>45819</c:v>
                </c:pt>
                <c:pt idx="1064">
                  <c:v>45820</c:v>
                </c:pt>
                <c:pt idx="1065">
                  <c:v>45821</c:v>
                </c:pt>
                <c:pt idx="1066">
                  <c:v>45824</c:v>
                </c:pt>
                <c:pt idx="1067">
                  <c:v>45825</c:v>
                </c:pt>
                <c:pt idx="1068">
                  <c:v>45826</c:v>
                </c:pt>
                <c:pt idx="1069">
                  <c:v>45827</c:v>
                </c:pt>
                <c:pt idx="1070">
                  <c:v>45828</c:v>
                </c:pt>
                <c:pt idx="1071">
                  <c:v>45831</c:v>
                </c:pt>
                <c:pt idx="1072">
                  <c:v>45832</c:v>
                </c:pt>
                <c:pt idx="1073">
                  <c:v>45833</c:v>
                </c:pt>
                <c:pt idx="1074">
                  <c:v>45834</c:v>
                </c:pt>
                <c:pt idx="1075">
                  <c:v>45835</c:v>
                </c:pt>
                <c:pt idx="1076">
                  <c:v>45838</c:v>
                </c:pt>
                <c:pt idx="1077">
                  <c:v>45839</c:v>
                </c:pt>
                <c:pt idx="1078">
                  <c:v>45840</c:v>
                </c:pt>
                <c:pt idx="1079">
                  <c:v>45841</c:v>
                </c:pt>
                <c:pt idx="1080">
                  <c:v>45842</c:v>
                </c:pt>
                <c:pt idx="1081">
                  <c:v>45845</c:v>
                </c:pt>
                <c:pt idx="1082">
                  <c:v>45846</c:v>
                </c:pt>
                <c:pt idx="1083">
                  <c:v>45847</c:v>
                </c:pt>
                <c:pt idx="1084">
                  <c:v>45848</c:v>
                </c:pt>
                <c:pt idx="1085">
                  <c:v>45849</c:v>
                </c:pt>
                <c:pt idx="1086">
                  <c:v>45852</c:v>
                </c:pt>
                <c:pt idx="1087">
                  <c:v>45853</c:v>
                </c:pt>
                <c:pt idx="1088">
                  <c:v>45854</c:v>
                </c:pt>
                <c:pt idx="1089">
                  <c:v>45855</c:v>
                </c:pt>
                <c:pt idx="1090">
                  <c:v>45856</c:v>
                </c:pt>
                <c:pt idx="1091">
                  <c:v>45859</c:v>
                </c:pt>
                <c:pt idx="1092">
                  <c:v>45860</c:v>
                </c:pt>
                <c:pt idx="1093">
                  <c:v>45861</c:v>
                </c:pt>
                <c:pt idx="1094">
                  <c:v>45862</c:v>
                </c:pt>
                <c:pt idx="1095">
                  <c:v>45863</c:v>
                </c:pt>
                <c:pt idx="1096">
                  <c:v>45866</c:v>
                </c:pt>
                <c:pt idx="1097">
                  <c:v>45867</c:v>
                </c:pt>
                <c:pt idx="1098">
                  <c:v>45868</c:v>
                </c:pt>
                <c:pt idx="1099">
                  <c:v>45869</c:v>
                </c:pt>
                <c:pt idx="1100">
                  <c:v>45870</c:v>
                </c:pt>
                <c:pt idx="1101">
                  <c:v>45873</c:v>
                </c:pt>
                <c:pt idx="1102">
                  <c:v>45874</c:v>
                </c:pt>
                <c:pt idx="1103">
                  <c:v>45875</c:v>
                </c:pt>
                <c:pt idx="1104">
                  <c:v>45876</c:v>
                </c:pt>
                <c:pt idx="1105">
                  <c:v>45877</c:v>
                </c:pt>
                <c:pt idx="1106">
                  <c:v>45880</c:v>
                </c:pt>
                <c:pt idx="1107">
                  <c:v>45881</c:v>
                </c:pt>
                <c:pt idx="1108">
                  <c:v>45882</c:v>
                </c:pt>
                <c:pt idx="1109">
                  <c:v>45883</c:v>
                </c:pt>
                <c:pt idx="1110">
                  <c:v>45884</c:v>
                </c:pt>
                <c:pt idx="1111">
                  <c:v>45887</c:v>
                </c:pt>
                <c:pt idx="1112">
                  <c:v>45888</c:v>
                </c:pt>
                <c:pt idx="1113">
                  <c:v>45889</c:v>
                </c:pt>
                <c:pt idx="1114">
                  <c:v>45890</c:v>
                </c:pt>
                <c:pt idx="1115">
                  <c:v>45891</c:v>
                </c:pt>
                <c:pt idx="1116">
                  <c:v>45894</c:v>
                </c:pt>
                <c:pt idx="1117">
                  <c:v>45895</c:v>
                </c:pt>
                <c:pt idx="1118">
                  <c:v>45896</c:v>
                </c:pt>
                <c:pt idx="1119">
                  <c:v>45897</c:v>
                </c:pt>
                <c:pt idx="1120">
                  <c:v>45898</c:v>
                </c:pt>
                <c:pt idx="1121">
                  <c:v>45903</c:v>
                </c:pt>
                <c:pt idx="1122">
                  <c:v>45904</c:v>
                </c:pt>
                <c:pt idx="1123">
                  <c:v>45905</c:v>
                </c:pt>
                <c:pt idx="1124">
                  <c:v>45908</c:v>
                </c:pt>
                <c:pt idx="1125">
                  <c:v>45909</c:v>
                </c:pt>
                <c:pt idx="1126">
                  <c:v>45910</c:v>
                </c:pt>
                <c:pt idx="1127">
                  <c:v>45911</c:v>
                </c:pt>
                <c:pt idx="1128">
                  <c:v>45912</c:v>
                </c:pt>
                <c:pt idx="1129">
                  <c:v>45915</c:v>
                </c:pt>
                <c:pt idx="1130">
                  <c:v>45916</c:v>
                </c:pt>
                <c:pt idx="1131">
                  <c:v>45917</c:v>
                </c:pt>
                <c:pt idx="1132">
                  <c:v>45918</c:v>
                </c:pt>
                <c:pt idx="1133">
                  <c:v>45919</c:v>
                </c:pt>
                <c:pt idx="1134">
                  <c:v>45922</c:v>
                </c:pt>
                <c:pt idx="1135">
                  <c:v>45923</c:v>
                </c:pt>
                <c:pt idx="1136">
                  <c:v>45924</c:v>
                </c:pt>
                <c:pt idx="1137">
                  <c:v>45925</c:v>
                </c:pt>
                <c:pt idx="1138">
                  <c:v>45926</c:v>
                </c:pt>
                <c:pt idx="1139">
                  <c:v>45929</c:v>
                </c:pt>
                <c:pt idx="1140">
                  <c:v>45930</c:v>
                </c:pt>
                <c:pt idx="1141">
                  <c:v>45931</c:v>
                </c:pt>
                <c:pt idx="1142">
                  <c:v>45932</c:v>
                </c:pt>
                <c:pt idx="1143">
                  <c:v>45933</c:v>
                </c:pt>
                <c:pt idx="1144">
                  <c:v>45936</c:v>
                </c:pt>
                <c:pt idx="1145">
                  <c:v>45937</c:v>
                </c:pt>
                <c:pt idx="1146">
                  <c:v>45938</c:v>
                </c:pt>
                <c:pt idx="1147">
                  <c:v>45939</c:v>
                </c:pt>
                <c:pt idx="1148">
                  <c:v>45940</c:v>
                </c:pt>
                <c:pt idx="1149">
                  <c:v>45943</c:v>
                </c:pt>
                <c:pt idx="1150">
                  <c:v>45944</c:v>
                </c:pt>
                <c:pt idx="1151">
                  <c:v>45945</c:v>
                </c:pt>
                <c:pt idx="1152">
                  <c:v>45946</c:v>
                </c:pt>
                <c:pt idx="1153">
                  <c:v>45947</c:v>
                </c:pt>
                <c:pt idx="1154">
                  <c:v>45950</c:v>
                </c:pt>
                <c:pt idx="1155">
                  <c:v>45951</c:v>
                </c:pt>
                <c:pt idx="1156">
                  <c:v>45952</c:v>
                </c:pt>
                <c:pt idx="1157">
                  <c:v>45953</c:v>
                </c:pt>
                <c:pt idx="1158">
                  <c:v>45954</c:v>
                </c:pt>
                <c:pt idx="1159">
                  <c:v>45957</c:v>
                </c:pt>
                <c:pt idx="1160">
                  <c:v>45958</c:v>
                </c:pt>
                <c:pt idx="1161">
                  <c:v>45959</c:v>
                </c:pt>
                <c:pt idx="1162">
                  <c:v>45960</c:v>
                </c:pt>
                <c:pt idx="1163">
                  <c:v>45961</c:v>
                </c:pt>
                <c:pt idx="1164">
                  <c:v>45964</c:v>
                </c:pt>
                <c:pt idx="1165">
                  <c:v>45965</c:v>
                </c:pt>
                <c:pt idx="1166">
                  <c:v>45966</c:v>
                </c:pt>
                <c:pt idx="1167">
                  <c:v>45967</c:v>
                </c:pt>
                <c:pt idx="1168">
                  <c:v>45968</c:v>
                </c:pt>
                <c:pt idx="1169">
                  <c:v>45971</c:v>
                </c:pt>
                <c:pt idx="1170">
                  <c:v>45972</c:v>
                </c:pt>
                <c:pt idx="1171">
                  <c:v>45973</c:v>
                </c:pt>
                <c:pt idx="1172">
                  <c:v>45974</c:v>
                </c:pt>
                <c:pt idx="1173">
                  <c:v>45975</c:v>
                </c:pt>
                <c:pt idx="1174">
                  <c:v>45978</c:v>
                </c:pt>
                <c:pt idx="1175">
                  <c:v>45979</c:v>
                </c:pt>
                <c:pt idx="1176">
                  <c:v>45980</c:v>
                </c:pt>
                <c:pt idx="1177">
                  <c:v>45981</c:v>
                </c:pt>
                <c:pt idx="1178">
                  <c:v>45982</c:v>
                </c:pt>
                <c:pt idx="1179">
                  <c:v>45985</c:v>
                </c:pt>
                <c:pt idx="1180">
                  <c:v>45986</c:v>
                </c:pt>
                <c:pt idx="1181">
                  <c:v>45987</c:v>
                </c:pt>
                <c:pt idx="1182">
                  <c:v>45988</c:v>
                </c:pt>
                <c:pt idx="1183">
                  <c:v>45989</c:v>
                </c:pt>
                <c:pt idx="1184">
                  <c:v>45992</c:v>
                </c:pt>
                <c:pt idx="1185">
                  <c:v>45993</c:v>
                </c:pt>
                <c:pt idx="1186">
                  <c:v>45994</c:v>
                </c:pt>
                <c:pt idx="1187">
                  <c:v>45995</c:v>
                </c:pt>
                <c:pt idx="1188">
                  <c:v>45996</c:v>
                </c:pt>
                <c:pt idx="1189">
                  <c:v>45999</c:v>
                </c:pt>
                <c:pt idx="1190">
                  <c:v>46000</c:v>
                </c:pt>
                <c:pt idx="1191">
                  <c:v>46001</c:v>
                </c:pt>
                <c:pt idx="1192">
                  <c:v>46002</c:v>
                </c:pt>
                <c:pt idx="1193">
                  <c:v>46003</c:v>
                </c:pt>
                <c:pt idx="1194">
                  <c:v>46006</c:v>
                </c:pt>
                <c:pt idx="1195">
                  <c:v>46007</c:v>
                </c:pt>
                <c:pt idx="1196">
                  <c:v>46008</c:v>
                </c:pt>
                <c:pt idx="1197">
                  <c:v>46009</c:v>
                </c:pt>
                <c:pt idx="1198">
                  <c:v>46010</c:v>
                </c:pt>
                <c:pt idx="1199">
                  <c:v>46013</c:v>
                </c:pt>
                <c:pt idx="1200">
                  <c:v>46014</c:v>
                </c:pt>
                <c:pt idx="1201">
                  <c:v>46015</c:v>
                </c:pt>
                <c:pt idx="1202">
                  <c:v>46016</c:v>
                </c:pt>
                <c:pt idx="1203">
                  <c:v>46017</c:v>
                </c:pt>
                <c:pt idx="1204">
                  <c:v>46020</c:v>
                </c:pt>
                <c:pt idx="1205">
                  <c:v>46021</c:v>
                </c:pt>
                <c:pt idx="1206">
                  <c:v>46022</c:v>
                </c:pt>
                <c:pt idx="1207">
                  <c:v>46027</c:v>
                </c:pt>
                <c:pt idx="1208">
                  <c:v>46028</c:v>
                </c:pt>
                <c:pt idx="1209">
                  <c:v>46029</c:v>
                </c:pt>
                <c:pt idx="1210">
                  <c:v>46030</c:v>
                </c:pt>
                <c:pt idx="1211">
                  <c:v>46031</c:v>
                </c:pt>
                <c:pt idx="1212">
                  <c:v>46034</c:v>
                </c:pt>
                <c:pt idx="1213">
                  <c:v>46035</c:v>
                </c:pt>
                <c:pt idx="1214">
                  <c:v>46036</c:v>
                </c:pt>
                <c:pt idx="1215">
                  <c:v>46037</c:v>
                </c:pt>
                <c:pt idx="1216">
                  <c:v>46038</c:v>
                </c:pt>
                <c:pt idx="1217">
                  <c:v>46041</c:v>
                </c:pt>
                <c:pt idx="1218">
                  <c:v>46042</c:v>
                </c:pt>
                <c:pt idx="1219">
                  <c:v>46043</c:v>
                </c:pt>
                <c:pt idx="1220">
                  <c:v>46044</c:v>
                </c:pt>
                <c:pt idx="1221">
                  <c:v>46045</c:v>
                </c:pt>
                <c:pt idx="1222">
                  <c:v>46048</c:v>
                </c:pt>
                <c:pt idx="1223">
                  <c:v>46049</c:v>
                </c:pt>
                <c:pt idx="1224">
                  <c:v>46050</c:v>
                </c:pt>
                <c:pt idx="1225">
                  <c:v>46051</c:v>
                </c:pt>
                <c:pt idx="1226">
                  <c:v>46052</c:v>
                </c:pt>
                <c:pt idx="1227">
                  <c:v>46055</c:v>
                </c:pt>
                <c:pt idx="1228">
                  <c:v>46056</c:v>
                </c:pt>
                <c:pt idx="1229">
                  <c:v>46057</c:v>
                </c:pt>
                <c:pt idx="1230">
                  <c:v>46058</c:v>
                </c:pt>
                <c:pt idx="1231">
                  <c:v>46059</c:v>
                </c:pt>
                <c:pt idx="1232">
                  <c:v>46062</c:v>
                </c:pt>
                <c:pt idx="1233">
                  <c:v>46063</c:v>
                </c:pt>
                <c:pt idx="1234">
                  <c:v>46064</c:v>
                </c:pt>
                <c:pt idx="1235">
                  <c:v>46065</c:v>
                </c:pt>
                <c:pt idx="1236">
                  <c:v>46066</c:v>
                </c:pt>
                <c:pt idx="1237">
                  <c:v>46076</c:v>
                </c:pt>
                <c:pt idx="1238">
                  <c:v>46077</c:v>
                </c:pt>
                <c:pt idx="1239">
                  <c:v>46078</c:v>
                </c:pt>
                <c:pt idx="1240">
                  <c:v>46079</c:v>
                </c:pt>
                <c:pt idx="1241">
                  <c:v>46080</c:v>
                </c:pt>
                <c:pt idx="1242">
                  <c:v>46083</c:v>
                </c:pt>
                <c:pt idx="1243">
                  <c:v>46084</c:v>
                </c:pt>
                <c:pt idx="1244">
                  <c:v>46085</c:v>
                </c:pt>
                <c:pt idx="1245">
                  <c:v>46086</c:v>
                </c:pt>
                <c:pt idx="1246">
                  <c:v>46087</c:v>
                </c:pt>
              </c:numCache>
            </c:numRef>
          </c:cat>
          <c:val>
            <c:numRef>
              <c:f>'FX Data'!$C$957:$C$2203</c:f>
              <c:numCache>
                <c:formatCode>General</c:formatCode>
                <c:ptCount val="1247"/>
                <c:pt idx="0">
                  <c:v>16.771000000000001</c:v>
                </c:pt>
                <c:pt idx="1">
                  <c:v>16.594000000000001</c:v>
                </c:pt>
                <c:pt idx="2">
                  <c:v>16.881699999999999</c:v>
                </c:pt>
                <c:pt idx="3">
                  <c:v>16.970199999999998</c:v>
                </c:pt>
                <c:pt idx="4">
                  <c:v>16.925899999999999</c:v>
                </c:pt>
                <c:pt idx="5">
                  <c:v>16.925899999999999</c:v>
                </c:pt>
                <c:pt idx="6">
                  <c:v>17.921600000000002</c:v>
                </c:pt>
                <c:pt idx="7">
                  <c:v>17.877300000000002</c:v>
                </c:pt>
                <c:pt idx="8">
                  <c:v>17.921600000000002</c:v>
                </c:pt>
                <c:pt idx="9">
                  <c:v>17.655999999999999</c:v>
                </c:pt>
                <c:pt idx="10">
                  <c:v>17.412700000000001</c:v>
                </c:pt>
                <c:pt idx="11">
                  <c:v>17.434799999999999</c:v>
                </c:pt>
                <c:pt idx="12">
                  <c:v>17.0365</c:v>
                </c:pt>
                <c:pt idx="13">
                  <c:v>16.948</c:v>
                </c:pt>
                <c:pt idx="14">
                  <c:v>16.837399999999999</c:v>
                </c:pt>
                <c:pt idx="15">
                  <c:v>17.1693</c:v>
                </c:pt>
                <c:pt idx="16">
                  <c:v>17.058700000000002</c:v>
                </c:pt>
                <c:pt idx="17">
                  <c:v>16.4678</c:v>
                </c:pt>
                <c:pt idx="18">
                  <c:v>16.8917</c:v>
                </c:pt>
                <c:pt idx="19">
                  <c:v>16.912800000000001</c:v>
                </c:pt>
                <c:pt idx="20">
                  <c:v>16.8705</c:v>
                </c:pt>
                <c:pt idx="21">
                  <c:v>16.828099999999999</c:v>
                </c:pt>
                <c:pt idx="22">
                  <c:v>16.8705</c:v>
                </c:pt>
                <c:pt idx="23">
                  <c:v>16.8705</c:v>
                </c:pt>
                <c:pt idx="24">
                  <c:v>17.400300000000001</c:v>
                </c:pt>
                <c:pt idx="25">
                  <c:v>17.400300000000001</c:v>
                </c:pt>
                <c:pt idx="26">
                  <c:v>17.1036</c:v>
                </c:pt>
                <c:pt idx="27">
                  <c:v>17.167200000000001</c:v>
                </c:pt>
                <c:pt idx="28">
                  <c:v>16.955200000000001</c:v>
                </c:pt>
                <c:pt idx="29">
                  <c:v>16.8917</c:v>
                </c:pt>
                <c:pt idx="30">
                  <c:v>17.273099999999999</c:v>
                </c:pt>
                <c:pt idx="31">
                  <c:v>17.569900000000001</c:v>
                </c:pt>
                <c:pt idx="32">
                  <c:v>16.955200000000001</c:v>
                </c:pt>
                <c:pt idx="33">
                  <c:v>17.591100000000001</c:v>
                </c:pt>
                <c:pt idx="34">
                  <c:v>17.167200000000001</c:v>
                </c:pt>
                <c:pt idx="35">
                  <c:v>17.1036</c:v>
                </c:pt>
                <c:pt idx="36">
                  <c:v>17.1248</c:v>
                </c:pt>
                <c:pt idx="37">
                  <c:v>17.146000000000001</c:v>
                </c:pt>
                <c:pt idx="38">
                  <c:v>17.569900000000001</c:v>
                </c:pt>
                <c:pt idx="39">
                  <c:v>17.569900000000001</c:v>
                </c:pt>
                <c:pt idx="40">
                  <c:v>17.5275</c:v>
                </c:pt>
                <c:pt idx="41">
                  <c:v>17.591100000000001</c:v>
                </c:pt>
                <c:pt idx="42">
                  <c:v>18.1845</c:v>
                </c:pt>
                <c:pt idx="43">
                  <c:v>18.057300000000001</c:v>
                </c:pt>
                <c:pt idx="44">
                  <c:v>18.099699999999999</c:v>
                </c:pt>
                <c:pt idx="45">
                  <c:v>17.803000000000001</c:v>
                </c:pt>
                <c:pt idx="46">
                  <c:v>17.9726</c:v>
                </c:pt>
                <c:pt idx="47">
                  <c:v>18.1633</c:v>
                </c:pt>
                <c:pt idx="48">
                  <c:v>18.438800000000001</c:v>
                </c:pt>
                <c:pt idx="49">
                  <c:v>19.244199999999999</c:v>
                </c:pt>
                <c:pt idx="50">
                  <c:v>20.240300000000001</c:v>
                </c:pt>
                <c:pt idx="51">
                  <c:v>19.88</c:v>
                </c:pt>
                <c:pt idx="52">
                  <c:v>19.816400000000002</c:v>
                </c:pt>
                <c:pt idx="53">
                  <c:v>19.88</c:v>
                </c:pt>
                <c:pt idx="54">
                  <c:v>20.197900000000001</c:v>
                </c:pt>
                <c:pt idx="55">
                  <c:v>19.88</c:v>
                </c:pt>
                <c:pt idx="56">
                  <c:v>20.091999999999999</c:v>
                </c:pt>
                <c:pt idx="57">
                  <c:v>20.748999999999999</c:v>
                </c:pt>
                <c:pt idx="58">
                  <c:v>21.228999999999999</c:v>
                </c:pt>
                <c:pt idx="59">
                  <c:v>20.838999999999999</c:v>
                </c:pt>
                <c:pt idx="60">
                  <c:v>20.765899999999998</c:v>
                </c:pt>
                <c:pt idx="61">
                  <c:v>20.644100000000002</c:v>
                </c:pt>
                <c:pt idx="62">
                  <c:v>20.156600000000001</c:v>
                </c:pt>
                <c:pt idx="63">
                  <c:v>19.6935</c:v>
                </c:pt>
                <c:pt idx="64">
                  <c:v>19.9129</c:v>
                </c:pt>
                <c:pt idx="65">
                  <c:v>19.961600000000001</c:v>
                </c:pt>
                <c:pt idx="66">
                  <c:v>20.351600000000001</c:v>
                </c:pt>
                <c:pt idx="67">
                  <c:v>20.424700000000001</c:v>
                </c:pt>
                <c:pt idx="68">
                  <c:v>20.278500000000001</c:v>
                </c:pt>
                <c:pt idx="69">
                  <c:v>20.254100000000001</c:v>
                </c:pt>
                <c:pt idx="70">
                  <c:v>20.132200000000001</c:v>
                </c:pt>
                <c:pt idx="71">
                  <c:v>20.424700000000001</c:v>
                </c:pt>
                <c:pt idx="72">
                  <c:v>20.863399999999999</c:v>
                </c:pt>
                <c:pt idx="73">
                  <c:v>20.814699999999998</c:v>
                </c:pt>
                <c:pt idx="74">
                  <c:v>20.692799999999998</c:v>
                </c:pt>
                <c:pt idx="75">
                  <c:v>20.644100000000002</c:v>
                </c:pt>
                <c:pt idx="76">
                  <c:v>20.765899999999998</c:v>
                </c:pt>
                <c:pt idx="77">
                  <c:v>20.887799999999999</c:v>
                </c:pt>
                <c:pt idx="78">
                  <c:v>21.5946</c:v>
                </c:pt>
                <c:pt idx="79">
                  <c:v>20.7865</c:v>
                </c:pt>
                <c:pt idx="80">
                  <c:v>20.999099999999999</c:v>
                </c:pt>
                <c:pt idx="81">
                  <c:v>21.707799999999999</c:v>
                </c:pt>
                <c:pt idx="82">
                  <c:v>21.896699999999999</c:v>
                </c:pt>
                <c:pt idx="83">
                  <c:v>20.5503</c:v>
                </c:pt>
                <c:pt idx="84">
                  <c:v>21.377099999999999</c:v>
                </c:pt>
                <c:pt idx="85">
                  <c:v>21.2117</c:v>
                </c:pt>
                <c:pt idx="86">
                  <c:v>21.188099999999999</c:v>
                </c:pt>
                <c:pt idx="87">
                  <c:v>20.337700000000002</c:v>
                </c:pt>
                <c:pt idx="88">
                  <c:v>20.5503</c:v>
                </c:pt>
                <c:pt idx="89">
                  <c:v>20.1251</c:v>
                </c:pt>
                <c:pt idx="90">
                  <c:v>20.1724</c:v>
                </c:pt>
                <c:pt idx="91">
                  <c:v>20.5031</c:v>
                </c:pt>
                <c:pt idx="92">
                  <c:v>20.007000000000001</c:v>
                </c:pt>
                <c:pt idx="93">
                  <c:v>20.5031</c:v>
                </c:pt>
                <c:pt idx="94">
                  <c:v>20.4558</c:v>
                </c:pt>
                <c:pt idx="95">
                  <c:v>21.1172</c:v>
                </c:pt>
                <c:pt idx="96">
                  <c:v>21.377099999999999</c:v>
                </c:pt>
                <c:pt idx="97">
                  <c:v>22.132899999999999</c:v>
                </c:pt>
                <c:pt idx="98">
                  <c:v>22.014800000000001</c:v>
                </c:pt>
                <c:pt idx="99">
                  <c:v>21.731400000000001</c:v>
                </c:pt>
                <c:pt idx="100">
                  <c:v>22.062100000000001</c:v>
                </c:pt>
                <c:pt idx="101">
                  <c:v>22.203800000000001</c:v>
                </c:pt>
                <c:pt idx="102">
                  <c:v>22.581700000000001</c:v>
                </c:pt>
                <c:pt idx="103">
                  <c:v>22.629000000000001</c:v>
                </c:pt>
                <c:pt idx="104">
                  <c:v>22.581700000000001</c:v>
                </c:pt>
                <c:pt idx="105">
                  <c:v>22.817900000000002</c:v>
                </c:pt>
                <c:pt idx="106">
                  <c:v>22.817900000000002</c:v>
                </c:pt>
                <c:pt idx="107">
                  <c:v>23.0305</c:v>
                </c:pt>
                <c:pt idx="108">
                  <c:v>23.101400000000002</c:v>
                </c:pt>
                <c:pt idx="109">
                  <c:v>22.6998</c:v>
                </c:pt>
                <c:pt idx="110">
                  <c:v>22.156600000000001</c:v>
                </c:pt>
                <c:pt idx="111">
                  <c:v>22.44</c:v>
                </c:pt>
                <c:pt idx="112">
                  <c:v>22.345500000000001</c:v>
                </c:pt>
                <c:pt idx="113">
                  <c:v>22.156600000000001</c:v>
                </c:pt>
                <c:pt idx="114">
                  <c:v>22.203800000000001</c:v>
                </c:pt>
                <c:pt idx="115">
                  <c:v>22.321899999999999</c:v>
                </c:pt>
                <c:pt idx="116">
                  <c:v>21.920300000000001</c:v>
                </c:pt>
                <c:pt idx="117">
                  <c:v>21.495200000000001</c:v>
                </c:pt>
                <c:pt idx="118">
                  <c:v>21.707799999999999</c:v>
                </c:pt>
                <c:pt idx="119">
                  <c:v>21.707799999999999</c:v>
                </c:pt>
                <c:pt idx="120">
                  <c:v>21.589600000000001</c:v>
                </c:pt>
                <c:pt idx="121">
                  <c:v>21.731400000000001</c:v>
                </c:pt>
                <c:pt idx="122">
                  <c:v>21.778600000000001</c:v>
                </c:pt>
                <c:pt idx="123">
                  <c:v>21.825900000000001</c:v>
                </c:pt>
                <c:pt idx="124">
                  <c:v>21.825900000000001</c:v>
                </c:pt>
                <c:pt idx="125">
                  <c:v>22.416399999999999</c:v>
                </c:pt>
                <c:pt idx="126">
                  <c:v>22.085699999999999</c:v>
                </c:pt>
                <c:pt idx="127">
                  <c:v>21.991199999999999</c:v>
                </c:pt>
                <c:pt idx="128">
                  <c:v>22.014800000000001</c:v>
                </c:pt>
                <c:pt idx="129">
                  <c:v>22.085699999999999</c:v>
                </c:pt>
                <c:pt idx="130">
                  <c:v>21.967600000000001</c:v>
                </c:pt>
                <c:pt idx="131">
                  <c:v>22.156600000000001</c:v>
                </c:pt>
                <c:pt idx="132">
                  <c:v>22.227399999999999</c:v>
                </c:pt>
                <c:pt idx="133">
                  <c:v>22.3691</c:v>
                </c:pt>
                <c:pt idx="134">
                  <c:v>22.605399999999999</c:v>
                </c:pt>
                <c:pt idx="135">
                  <c:v>22.298300000000001</c:v>
                </c:pt>
                <c:pt idx="136">
                  <c:v>22.085699999999999</c:v>
                </c:pt>
                <c:pt idx="137">
                  <c:v>22.014800000000001</c:v>
                </c:pt>
                <c:pt idx="138">
                  <c:v>21.991199999999999</c:v>
                </c:pt>
                <c:pt idx="139">
                  <c:v>21.896699999999999</c:v>
                </c:pt>
                <c:pt idx="140">
                  <c:v>21.754999999999999</c:v>
                </c:pt>
                <c:pt idx="141">
                  <c:v>21.967600000000001</c:v>
                </c:pt>
                <c:pt idx="142">
                  <c:v>22.014800000000001</c:v>
                </c:pt>
                <c:pt idx="143">
                  <c:v>20.930199999999999</c:v>
                </c:pt>
                <c:pt idx="144">
                  <c:v>20.907699999999998</c:v>
                </c:pt>
                <c:pt idx="145">
                  <c:v>21.290299999999998</c:v>
                </c:pt>
                <c:pt idx="146">
                  <c:v>21.2453</c:v>
                </c:pt>
                <c:pt idx="147">
                  <c:v>21.2453</c:v>
                </c:pt>
                <c:pt idx="148">
                  <c:v>21.222799999999999</c:v>
                </c:pt>
                <c:pt idx="149">
                  <c:v>22.257999999999999</c:v>
                </c:pt>
                <c:pt idx="150">
                  <c:v>22.325600000000001</c:v>
                </c:pt>
                <c:pt idx="151">
                  <c:v>22.2806</c:v>
                </c:pt>
                <c:pt idx="152">
                  <c:v>22.3706</c:v>
                </c:pt>
                <c:pt idx="153">
                  <c:v>22.235499999999998</c:v>
                </c:pt>
                <c:pt idx="154">
                  <c:v>22.257999999999999</c:v>
                </c:pt>
                <c:pt idx="155">
                  <c:v>22.2806</c:v>
                </c:pt>
                <c:pt idx="156">
                  <c:v>22.1905</c:v>
                </c:pt>
                <c:pt idx="157">
                  <c:v>21.965499999999999</c:v>
                </c:pt>
                <c:pt idx="158">
                  <c:v>21.762899999999998</c:v>
                </c:pt>
                <c:pt idx="159">
                  <c:v>21.650400000000001</c:v>
                </c:pt>
                <c:pt idx="160">
                  <c:v>21.357800000000001</c:v>
                </c:pt>
                <c:pt idx="161">
                  <c:v>21.8079</c:v>
                </c:pt>
                <c:pt idx="162">
                  <c:v>22.1005</c:v>
                </c:pt>
                <c:pt idx="163">
                  <c:v>22.055499999999999</c:v>
                </c:pt>
                <c:pt idx="164">
                  <c:v>21.8079</c:v>
                </c:pt>
                <c:pt idx="165">
                  <c:v>21.560400000000001</c:v>
                </c:pt>
                <c:pt idx="166">
                  <c:v>21.6279</c:v>
                </c:pt>
                <c:pt idx="167">
                  <c:v>21.6279</c:v>
                </c:pt>
                <c:pt idx="168">
                  <c:v>21.605399999999999</c:v>
                </c:pt>
                <c:pt idx="169">
                  <c:v>21.965499999999999</c:v>
                </c:pt>
                <c:pt idx="170">
                  <c:v>21.920500000000001</c:v>
                </c:pt>
                <c:pt idx="171">
                  <c:v>21.695399999999999</c:v>
                </c:pt>
                <c:pt idx="172">
                  <c:v>21.830400000000001</c:v>
                </c:pt>
                <c:pt idx="173">
                  <c:v>21.605399999999999</c:v>
                </c:pt>
                <c:pt idx="174">
                  <c:v>22.055499999999999</c:v>
                </c:pt>
                <c:pt idx="175">
                  <c:v>21.898</c:v>
                </c:pt>
                <c:pt idx="176">
                  <c:v>22.123000000000001</c:v>
                </c:pt>
                <c:pt idx="177">
                  <c:v>22.123000000000001</c:v>
                </c:pt>
                <c:pt idx="178">
                  <c:v>21.7179</c:v>
                </c:pt>
                <c:pt idx="179">
                  <c:v>21.447800000000001</c:v>
                </c:pt>
                <c:pt idx="180">
                  <c:v>21.380299999999998</c:v>
                </c:pt>
                <c:pt idx="181">
                  <c:v>21.740400000000001</c:v>
                </c:pt>
                <c:pt idx="182">
                  <c:v>22.033000000000001</c:v>
                </c:pt>
                <c:pt idx="183">
                  <c:v>22.505600000000001</c:v>
                </c:pt>
                <c:pt idx="184">
                  <c:v>22.257999999999999</c:v>
                </c:pt>
                <c:pt idx="185">
                  <c:v>22.077999999999999</c:v>
                </c:pt>
                <c:pt idx="186">
                  <c:v>21.852900000000002</c:v>
                </c:pt>
                <c:pt idx="187">
                  <c:v>22.1005</c:v>
                </c:pt>
                <c:pt idx="188">
                  <c:v>21.875499999999999</c:v>
                </c:pt>
                <c:pt idx="189">
                  <c:v>21.492899999999999</c:v>
                </c:pt>
                <c:pt idx="190">
                  <c:v>21.267800000000001</c:v>
                </c:pt>
                <c:pt idx="191">
                  <c:v>21.605399999999999</c:v>
                </c:pt>
                <c:pt idx="192">
                  <c:v>21.5154</c:v>
                </c:pt>
                <c:pt idx="193">
                  <c:v>21.830400000000001</c:v>
                </c:pt>
                <c:pt idx="194">
                  <c:v>21.560400000000001</c:v>
                </c:pt>
                <c:pt idx="195">
                  <c:v>21.605399999999999</c:v>
                </c:pt>
                <c:pt idx="196">
                  <c:v>21.5379</c:v>
                </c:pt>
                <c:pt idx="197">
                  <c:v>21.582899999999999</c:v>
                </c:pt>
                <c:pt idx="198">
                  <c:v>21.492899999999999</c:v>
                </c:pt>
                <c:pt idx="199">
                  <c:v>21.695399999999999</c:v>
                </c:pt>
                <c:pt idx="200">
                  <c:v>21.560400000000001</c:v>
                </c:pt>
                <c:pt idx="201">
                  <c:v>21.4253</c:v>
                </c:pt>
                <c:pt idx="202">
                  <c:v>21.380299999999998</c:v>
                </c:pt>
                <c:pt idx="203">
                  <c:v>20.975200000000001</c:v>
                </c:pt>
                <c:pt idx="204">
                  <c:v>21.110299999999999</c:v>
                </c:pt>
                <c:pt idx="205">
                  <c:v>21.267800000000001</c:v>
                </c:pt>
                <c:pt idx="206">
                  <c:v>21.267800000000001</c:v>
                </c:pt>
                <c:pt idx="207">
                  <c:v>21.065300000000001</c:v>
                </c:pt>
                <c:pt idx="208">
                  <c:v>21.065300000000001</c:v>
                </c:pt>
                <c:pt idx="209">
                  <c:v>19.406600000000001</c:v>
                </c:pt>
                <c:pt idx="210">
                  <c:v>19.510899999999999</c:v>
                </c:pt>
                <c:pt idx="211">
                  <c:v>19.5318</c:v>
                </c:pt>
                <c:pt idx="212">
                  <c:v>19.510899999999999</c:v>
                </c:pt>
                <c:pt idx="213">
                  <c:v>19.489999999999998</c:v>
                </c:pt>
                <c:pt idx="214">
                  <c:v>19.197900000000001</c:v>
                </c:pt>
                <c:pt idx="215">
                  <c:v>18.676200000000001</c:v>
                </c:pt>
                <c:pt idx="216">
                  <c:v>18.697099999999999</c:v>
                </c:pt>
                <c:pt idx="217">
                  <c:v>19.218800000000002</c:v>
                </c:pt>
                <c:pt idx="218">
                  <c:v>19.0518</c:v>
                </c:pt>
                <c:pt idx="219">
                  <c:v>18.571899999999999</c:v>
                </c:pt>
                <c:pt idx="220">
                  <c:v>18.3841</c:v>
                </c:pt>
                <c:pt idx="221">
                  <c:v>18.425799999999999</c:v>
                </c:pt>
                <c:pt idx="222">
                  <c:v>18.530100000000001</c:v>
                </c:pt>
                <c:pt idx="223">
                  <c:v>18.404900000000001</c:v>
                </c:pt>
                <c:pt idx="224">
                  <c:v>17.799800000000001</c:v>
                </c:pt>
                <c:pt idx="225">
                  <c:v>18.0502</c:v>
                </c:pt>
                <c:pt idx="226">
                  <c:v>17.945900000000002</c:v>
                </c:pt>
                <c:pt idx="227">
                  <c:v>17.925000000000001</c:v>
                </c:pt>
                <c:pt idx="228">
                  <c:v>18.676200000000001</c:v>
                </c:pt>
                <c:pt idx="229">
                  <c:v>18.676200000000001</c:v>
                </c:pt>
                <c:pt idx="230">
                  <c:v>18.905799999999999</c:v>
                </c:pt>
                <c:pt idx="231">
                  <c:v>18.926600000000001</c:v>
                </c:pt>
                <c:pt idx="232">
                  <c:v>19.197900000000001</c:v>
                </c:pt>
                <c:pt idx="233">
                  <c:v>19.1144</c:v>
                </c:pt>
                <c:pt idx="234">
                  <c:v>18.9892</c:v>
                </c:pt>
                <c:pt idx="235">
                  <c:v>19.010100000000001</c:v>
                </c:pt>
                <c:pt idx="236">
                  <c:v>19.0518</c:v>
                </c:pt>
                <c:pt idx="237">
                  <c:v>19.364799999999999</c:v>
                </c:pt>
                <c:pt idx="238">
                  <c:v>19.239599999999999</c:v>
                </c:pt>
                <c:pt idx="239">
                  <c:v>19.510899999999999</c:v>
                </c:pt>
                <c:pt idx="240">
                  <c:v>19.3857</c:v>
                </c:pt>
                <c:pt idx="241">
                  <c:v>19.406600000000001</c:v>
                </c:pt>
                <c:pt idx="242">
                  <c:v>19.197900000000001</c:v>
                </c:pt>
                <c:pt idx="243">
                  <c:v>19.2605</c:v>
                </c:pt>
                <c:pt idx="244">
                  <c:v>19.469200000000001</c:v>
                </c:pt>
                <c:pt idx="245">
                  <c:v>19.489999999999998</c:v>
                </c:pt>
                <c:pt idx="246">
                  <c:v>19.427399999999999</c:v>
                </c:pt>
                <c:pt idx="247">
                  <c:v>19.489999999999998</c:v>
                </c:pt>
                <c:pt idx="248">
                  <c:v>19.510899999999999</c:v>
                </c:pt>
                <c:pt idx="249">
                  <c:v>19.573499999999999</c:v>
                </c:pt>
                <c:pt idx="250">
                  <c:v>19.7822</c:v>
                </c:pt>
                <c:pt idx="251">
                  <c:v>19.9283</c:v>
                </c:pt>
                <c:pt idx="252">
                  <c:v>19.740400000000001</c:v>
                </c:pt>
                <c:pt idx="253">
                  <c:v>19.4483</c:v>
                </c:pt>
                <c:pt idx="254">
                  <c:v>19.156199999999998</c:v>
                </c:pt>
                <c:pt idx="255">
                  <c:v>18.9892</c:v>
                </c:pt>
                <c:pt idx="256">
                  <c:v>19.1144</c:v>
                </c:pt>
                <c:pt idx="257">
                  <c:v>19.197900000000001</c:v>
                </c:pt>
                <c:pt idx="258">
                  <c:v>19.844799999999999</c:v>
                </c:pt>
                <c:pt idx="259">
                  <c:v>19.886500000000002</c:v>
                </c:pt>
                <c:pt idx="260">
                  <c:v>20.116099999999999</c:v>
                </c:pt>
                <c:pt idx="261">
                  <c:v>20.136900000000001</c:v>
                </c:pt>
                <c:pt idx="262">
                  <c:v>20.032599999999999</c:v>
                </c:pt>
                <c:pt idx="263">
                  <c:v>19.97</c:v>
                </c:pt>
                <c:pt idx="264">
                  <c:v>20.470800000000001</c:v>
                </c:pt>
                <c:pt idx="265">
                  <c:v>21.889800000000001</c:v>
                </c:pt>
                <c:pt idx="266">
                  <c:v>22.119299999999999</c:v>
                </c:pt>
                <c:pt idx="267">
                  <c:v>20.768699999999999</c:v>
                </c:pt>
                <c:pt idx="268">
                  <c:v>21.545100000000001</c:v>
                </c:pt>
                <c:pt idx="269">
                  <c:v>21.215199999999999</c:v>
                </c:pt>
                <c:pt idx="270">
                  <c:v>21.1569</c:v>
                </c:pt>
                <c:pt idx="271">
                  <c:v>21.933299999999999</c:v>
                </c:pt>
                <c:pt idx="272">
                  <c:v>21.991599999999998</c:v>
                </c:pt>
                <c:pt idx="273">
                  <c:v>21.059899999999999</c:v>
                </c:pt>
                <c:pt idx="274">
                  <c:v>21.312200000000001</c:v>
                </c:pt>
                <c:pt idx="275">
                  <c:v>22.341000000000001</c:v>
                </c:pt>
                <c:pt idx="276">
                  <c:v>22.632100000000001</c:v>
                </c:pt>
                <c:pt idx="277">
                  <c:v>22.3215</c:v>
                </c:pt>
                <c:pt idx="278">
                  <c:v>22.418600000000001</c:v>
                </c:pt>
                <c:pt idx="279">
                  <c:v>21.7392</c:v>
                </c:pt>
                <c:pt idx="280">
                  <c:v>21.7392</c:v>
                </c:pt>
                <c:pt idx="281">
                  <c:v>21.7392</c:v>
                </c:pt>
                <c:pt idx="282">
                  <c:v>21.564599999999999</c:v>
                </c:pt>
                <c:pt idx="283">
                  <c:v>20.07</c:v>
                </c:pt>
                <c:pt idx="284">
                  <c:v>20.244700000000002</c:v>
                </c:pt>
                <c:pt idx="285">
                  <c:v>19.9923</c:v>
                </c:pt>
                <c:pt idx="286">
                  <c:v>20.477599999999999</c:v>
                </c:pt>
                <c:pt idx="287">
                  <c:v>20.380500000000001</c:v>
                </c:pt>
                <c:pt idx="288">
                  <c:v>20.2835</c:v>
                </c:pt>
                <c:pt idx="289">
                  <c:v>20.322299999999998</c:v>
                </c:pt>
                <c:pt idx="290">
                  <c:v>19.448899999999998</c:v>
                </c:pt>
                <c:pt idx="291">
                  <c:v>18.2454</c:v>
                </c:pt>
                <c:pt idx="292">
                  <c:v>19.099499999999999</c:v>
                </c:pt>
                <c:pt idx="293">
                  <c:v>19.7788</c:v>
                </c:pt>
                <c:pt idx="294">
                  <c:v>18.556000000000001</c:v>
                </c:pt>
                <c:pt idx="295">
                  <c:v>18.1678</c:v>
                </c:pt>
                <c:pt idx="296">
                  <c:v>18.090199999999999</c:v>
                </c:pt>
                <c:pt idx="297">
                  <c:v>19.351800000000001</c:v>
                </c:pt>
                <c:pt idx="298">
                  <c:v>18.9636</c:v>
                </c:pt>
                <c:pt idx="299">
                  <c:v>18.8277</c:v>
                </c:pt>
                <c:pt idx="300">
                  <c:v>18.924800000000001</c:v>
                </c:pt>
                <c:pt idx="301">
                  <c:v>18.730699999999999</c:v>
                </c:pt>
                <c:pt idx="302">
                  <c:v>19.060700000000001</c:v>
                </c:pt>
                <c:pt idx="303">
                  <c:v>20.380500000000001</c:v>
                </c:pt>
                <c:pt idx="304">
                  <c:v>20.497</c:v>
                </c:pt>
                <c:pt idx="305">
                  <c:v>21.700399999999998</c:v>
                </c:pt>
                <c:pt idx="306">
                  <c:v>21.603400000000001</c:v>
                </c:pt>
                <c:pt idx="307">
                  <c:v>21.331600000000002</c:v>
                </c:pt>
                <c:pt idx="308">
                  <c:v>21.700399999999998</c:v>
                </c:pt>
                <c:pt idx="309">
                  <c:v>21.642199999999999</c:v>
                </c:pt>
                <c:pt idx="310">
                  <c:v>22.127400000000002</c:v>
                </c:pt>
                <c:pt idx="311">
                  <c:v>21.933299999999999</c:v>
                </c:pt>
                <c:pt idx="312">
                  <c:v>22.437999999999999</c:v>
                </c:pt>
                <c:pt idx="313">
                  <c:v>22.3215</c:v>
                </c:pt>
                <c:pt idx="314">
                  <c:v>22.379799999999999</c:v>
                </c:pt>
                <c:pt idx="315">
                  <c:v>21.350999999999999</c:v>
                </c:pt>
                <c:pt idx="316">
                  <c:v>20.0777</c:v>
                </c:pt>
                <c:pt idx="317">
                  <c:v>20.7532</c:v>
                </c:pt>
                <c:pt idx="318">
                  <c:v>21.0793</c:v>
                </c:pt>
                <c:pt idx="319">
                  <c:v>21.428699999999999</c:v>
                </c:pt>
                <c:pt idx="320">
                  <c:v>21.428699999999999</c:v>
                </c:pt>
                <c:pt idx="321">
                  <c:v>21.428699999999999</c:v>
                </c:pt>
                <c:pt idx="322">
                  <c:v>20.7532</c:v>
                </c:pt>
                <c:pt idx="323">
                  <c:v>19.681799999999999</c:v>
                </c:pt>
                <c:pt idx="324">
                  <c:v>19.9147</c:v>
                </c:pt>
                <c:pt idx="325">
                  <c:v>19.9147</c:v>
                </c:pt>
                <c:pt idx="326">
                  <c:v>20.147600000000001</c:v>
                </c:pt>
                <c:pt idx="327">
                  <c:v>20.893000000000001</c:v>
                </c:pt>
                <c:pt idx="328">
                  <c:v>20.962800000000001</c:v>
                </c:pt>
                <c:pt idx="329">
                  <c:v>19.103100000000001</c:v>
                </c:pt>
                <c:pt idx="330">
                  <c:v>19.501999999999999</c:v>
                </c:pt>
                <c:pt idx="331">
                  <c:v>19.213899999999999</c:v>
                </c:pt>
                <c:pt idx="332">
                  <c:v>18.925799999999999</c:v>
                </c:pt>
                <c:pt idx="333">
                  <c:v>18.5047</c:v>
                </c:pt>
                <c:pt idx="334">
                  <c:v>18.4161</c:v>
                </c:pt>
                <c:pt idx="335">
                  <c:v>18.526900000000001</c:v>
                </c:pt>
                <c:pt idx="336">
                  <c:v>18.349599999999999</c:v>
                </c:pt>
                <c:pt idx="337">
                  <c:v>18.5047</c:v>
                </c:pt>
                <c:pt idx="338">
                  <c:v>18.283100000000001</c:v>
                </c:pt>
                <c:pt idx="339">
                  <c:v>18.349599999999999</c:v>
                </c:pt>
                <c:pt idx="340">
                  <c:v>18.2166</c:v>
                </c:pt>
                <c:pt idx="341">
                  <c:v>18.393899999999999</c:v>
                </c:pt>
                <c:pt idx="342">
                  <c:v>18.393899999999999</c:v>
                </c:pt>
                <c:pt idx="343">
                  <c:v>18.815000000000001</c:v>
                </c:pt>
                <c:pt idx="344">
                  <c:v>18.8371</c:v>
                </c:pt>
                <c:pt idx="345">
                  <c:v>18.859300000000001</c:v>
                </c:pt>
                <c:pt idx="346">
                  <c:v>18.925799999999999</c:v>
                </c:pt>
                <c:pt idx="347">
                  <c:v>18.7928</c:v>
                </c:pt>
                <c:pt idx="348">
                  <c:v>18.881499999999999</c:v>
                </c:pt>
                <c:pt idx="349">
                  <c:v>18.815000000000001</c:v>
                </c:pt>
                <c:pt idx="350">
                  <c:v>18.5047</c:v>
                </c:pt>
                <c:pt idx="351">
                  <c:v>18.615500000000001</c:v>
                </c:pt>
                <c:pt idx="352">
                  <c:v>18.8371</c:v>
                </c:pt>
                <c:pt idx="353">
                  <c:v>18.7928</c:v>
                </c:pt>
                <c:pt idx="354">
                  <c:v>19.0809</c:v>
                </c:pt>
                <c:pt idx="355">
                  <c:v>19.014399999999998</c:v>
                </c:pt>
                <c:pt idx="356">
                  <c:v>19.058700000000002</c:v>
                </c:pt>
                <c:pt idx="357">
                  <c:v>19.103100000000001</c:v>
                </c:pt>
                <c:pt idx="358">
                  <c:v>19.058700000000002</c:v>
                </c:pt>
                <c:pt idx="359">
                  <c:v>19.058700000000002</c:v>
                </c:pt>
                <c:pt idx="360">
                  <c:v>19.169499999999999</c:v>
                </c:pt>
                <c:pt idx="361">
                  <c:v>19.7014</c:v>
                </c:pt>
                <c:pt idx="362">
                  <c:v>19.6571</c:v>
                </c:pt>
                <c:pt idx="363">
                  <c:v>19.5685</c:v>
                </c:pt>
                <c:pt idx="364">
                  <c:v>19.5685</c:v>
                </c:pt>
                <c:pt idx="365">
                  <c:v>19.258199999999999</c:v>
                </c:pt>
                <c:pt idx="366">
                  <c:v>19.236000000000001</c:v>
                </c:pt>
                <c:pt idx="367">
                  <c:v>19.2804</c:v>
                </c:pt>
                <c:pt idx="368">
                  <c:v>19.103100000000001</c:v>
                </c:pt>
                <c:pt idx="369">
                  <c:v>19.1252</c:v>
                </c:pt>
                <c:pt idx="370">
                  <c:v>19.3247</c:v>
                </c:pt>
                <c:pt idx="371">
                  <c:v>19.169499999999999</c:v>
                </c:pt>
                <c:pt idx="372">
                  <c:v>19.147400000000001</c:v>
                </c:pt>
                <c:pt idx="373">
                  <c:v>19.191700000000001</c:v>
                </c:pt>
                <c:pt idx="374">
                  <c:v>19.103100000000001</c:v>
                </c:pt>
                <c:pt idx="375">
                  <c:v>19.014399999999998</c:v>
                </c:pt>
                <c:pt idx="376">
                  <c:v>18.615500000000001</c:v>
                </c:pt>
                <c:pt idx="377">
                  <c:v>18.681999999999999</c:v>
                </c:pt>
                <c:pt idx="378">
                  <c:v>18.681999999999999</c:v>
                </c:pt>
                <c:pt idx="379">
                  <c:v>18.7485</c:v>
                </c:pt>
                <c:pt idx="380">
                  <c:v>18.7485</c:v>
                </c:pt>
                <c:pt idx="381">
                  <c:v>18.615500000000001</c:v>
                </c:pt>
                <c:pt idx="382">
                  <c:v>18.548999999999999</c:v>
                </c:pt>
                <c:pt idx="383">
                  <c:v>18.283100000000001</c:v>
                </c:pt>
                <c:pt idx="384">
                  <c:v>18.4161</c:v>
                </c:pt>
                <c:pt idx="385">
                  <c:v>18.482500000000002</c:v>
                </c:pt>
                <c:pt idx="386">
                  <c:v>18.238800000000001</c:v>
                </c:pt>
                <c:pt idx="387">
                  <c:v>18.371700000000001</c:v>
                </c:pt>
                <c:pt idx="388">
                  <c:v>18.260899999999999</c:v>
                </c:pt>
                <c:pt idx="389">
                  <c:v>18.061499999999999</c:v>
                </c:pt>
                <c:pt idx="390">
                  <c:v>17.8399</c:v>
                </c:pt>
                <c:pt idx="391">
                  <c:v>17.285799999999998</c:v>
                </c:pt>
                <c:pt idx="392">
                  <c:v>17.0642</c:v>
                </c:pt>
                <c:pt idx="393">
                  <c:v>16.7621</c:v>
                </c:pt>
                <c:pt idx="394">
                  <c:v>16.033300000000001</c:v>
                </c:pt>
                <c:pt idx="395">
                  <c:v>16.1374</c:v>
                </c:pt>
                <c:pt idx="396">
                  <c:v>16.3248</c:v>
                </c:pt>
                <c:pt idx="397">
                  <c:v>15.9292</c:v>
                </c:pt>
                <c:pt idx="398">
                  <c:v>15.4086</c:v>
                </c:pt>
                <c:pt idx="399">
                  <c:v>15.4086</c:v>
                </c:pt>
                <c:pt idx="400">
                  <c:v>14.783899999999999</c:v>
                </c:pt>
                <c:pt idx="401">
                  <c:v>15.0755</c:v>
                </c:pt>
                <c:pt idx="402">
                  <c:v>15.2004</c:v>
                </c:pt>
                <c:pt idx="403">
                  <c:v>15.4086</c:v>
                </c:pt>
                <c:pt idx="404">
                  <c:v>15.367000000000001</c:v>
                </c:pt>
                <c:pt idx="405">
                  <c:v>15.596</c:v>
                </c:pt>
                <c:pt idx="406">
                  <c:v>15.721</c:v>
                </c:pt>
                <c:pt idx="407">
                  <c:v>16.1999</c:v>
                </c:pt>
                <c:pt idx="408">
                  <c:v>15.3878</c:v>
                </c:pt>
                <c:pt idx="409">
                  <c:v>14.8048</c:v>
                </c:pt>
                <c:pt idx="410">
                  <c:v>15.242000000000001</c:v>
                </c:pt>
                <c:pt idx="411">
                  <c:v>15.367000000000001</c:v>
                </c:pt>
                <c:pt idx="412">
                  <c:v>15.7834</c:v>
                </c:pt>
                <c:pt idx="413">
                  <c:v>15.6168</c:v>
                </c:pt>
                <c:pt idx="414">
                  <c:v>15.7418</c:v>
                </c:pt>
                <c:pt idx="415">
                  <c:v>15.721</c:v>
                </c:pt>
                <c:pt idx="416">
                  <c:v>15.4086</c:v>
                </c:pt>
                <c:pt idx="417">
                  <c:v>15.429399999999999</c:v>
                </c:pt>
                <c:pt idx="418">
                  <c:v>15.179600000000001</c:v>
                </c:pt>
                <c:pt idx="419">
                  <c:v>15.117100000000001</c:v>
                </c:pt>
                <c:pt idx="420">
                  <c:v>15.2629</c:v>
                </c:pt>
                <c:pt idx="421">
                  <c:v>15.4086</c:v>
                </c:pt>
                <c:pt idx="422">
                  <c:v>15.2004</c:v>
                </c:pt>
                <c:pt idx="423">
                  <c:v>15.1587</c:v>
                </c:pt>
                <c:pt idx="424">
                  <c:v>14.7423</c:v>
                </c:pt>
                <c:pt idx="425">
                  <c:v>13.722</c:v>
                </c:pt>
                <c:pt idx="426">
                  <c:v>14.43</c:v>
                </c:pt>
                <c:pt idx="427">
                  <c:v>14.783899999999999</c:v>
                </c:pt>
                <c:pt idx="428">
                  <c:v>14.8881</c:v>
                </c:pt>
                <c:pt idx="429">
                  <c:v>14.596500000000001</c:v>
                </c:pt>
                <c:pt idx="430">
                  <c:v>14.6798</c:v>
                </c:pt>
                <c:pt idx="431">
                  <c:v>14.6798</c:v>
                </c:pt>
                <c:pt idx="432">
                  <c:v>14.6798</c:v>
                </c:pt>
                <c:pt idx="433">
                  <c:v>14.9922</c:v>
                </c:pt>
                <c:pt idx="434">
                  <c:v>15.4711</c:v>
                </c:pt>
                <c:pt idx="435">
                  <c:v>15.4711</c:v>
                </c:pt>
                <c:pt idx="436">
                  <c:v>15.5336</c:v>
                </c:pt>
                <c:pt idx="437">
                  <c:v>15.554399999999999</c:v>
                </c:pt>
                <c:pt idx="438">
                  <c:v>16.116599999999998</c:v>
                </c:pt>
                <c:pt idx="439">
                  <c:v>16.303999999999998</c:v>
                </c:pt>
                <c:pt idx="440">
                  <c:v>15.825100000000001</c:v>
                </c:pt>
                <c:pt idx="441">
                  <c:v>15.9292</c:v>
                </c:pt>
                <c:pt idx="442">
                  <c:v>16.033300000000001</c:v>
                </c:pt>
                <c:pt idx="443">
                  <c:v>16.241499999999998</c:v>
                </c:pt>
                <c:pt idx="444">
                  <c:v>16.033300000000001</c:v>
                </c:pt>
                <c:pt idx="445">
                  <c:v>16.0749</c:v>
                </c:pt>
                <c:pt idx="446">
                  <c:v>15.887499999999999</c:v>
                </c:pt>
                <c:pt idx="447">
                  <c:v>16.178999999999998</c:v>
                </c:pt>
                <c:pt idx="448">
                  <c:v>16.220700000000001</c:v>
                </c:pt>
                <c:pt idx="449">
                  <c:v>15.95</c:v>
                </c:pt>
                <c:pt idx="450">
                  <c:v>15.95</c:v>
                </c:pt>
                <c:pt idx="451">
                  <c:v>16.0749</c:v>
                </c:pt>
                <c:pt idx="452">
                  <c:v>16.0749</c:v>
                </c:pt>
                <c:pt idx="453">
                  <c:v>16.241499999999998</c:v>
                </c:pt>
                <c:pt idx="454">
                  <c:v>15.9084</c:v>
                </c:pt>
                <c:pt idx="455">
                  <c:v>15.9292</c:v>
                </c:pt>
                <c:pt idx="456">
                  <c:v>15.970800000000001</c:v>
                </c:pt>
                <c:pt idx="457">
                  <c:v>15.8667</c:v>
                </c:pt>
                <c:pt idx="458">
                  <c:v>15.860099999999999</c:v>
                </c:pt>
                <c:pt idx="459">
                  <c:v>16.499400000000001</c:v>
                </c:pt>
                <c:pt idx="460">
                  <c:v>16.499400000000001</c:v>
                </c:pt>
                <c:pt idx="461">
                  <c:v>16.623200000000001</c:v>
                </c:pt>
                <c:pt idx="462">
                  <c:v>16.561299999999999</c:v>
                </c:pt>
                <c:pt idx="463">
                  <c:v>16.561299999999999</c:v>
                </c:pt>
                <c:pt idx="464">
                  <c:v>16.581900000000001</c:v>
                </c:pt>
                <c:pt idx="465">
                  <c:v>16.685099999999998</c:v>
                </c:pt>
                <c:pt idx="466">
                  <c:v>16.643799999999999</c:v>
                </c:pt>
                <c:pt idx="467">
                  <c:v>16.499400000000001</c:v>
                </c:pt>
                <c:pt idx="468">
                  <c:v>16.664400000000001</c:v>
                </c:pt>
                <c:pt idx="469">
                  <c:v>16.911899999999999</c:v>
                </c:pt>
                <c:pt idx="470">
                  <c:v>17.200700000000001</c:v>
                </c:pt>
                <c:pt idx="471">
                  <c:v>17.303799999999999</c:v>
                </c:pt>
                <c:pt idx="472">
                  <c:v>17.324400000000001</c:v>
                </c:pt>
                <c:pt idx="473">
                  <c:v>17.262499999999999</c:v>
                </c:pt>
                <c:pt idx="474">
                  <c:v>17.221299999999999</c:v>
                </c:pt>
                <c:pt idx="475">
                  <c:v>16.911899999999999</c:v>
                </c:pt>
                <c:pt idx="476">
                  <c:v>16.891300000000001</c:v>
                </c:pt>
                <c:pt idx="477">
                  <c:v>16.520099999999999</c:v>
                </c:pt>
                <c:pt idx="478">
                  <c:v>16.602599999999999</c:v>
                </c:pt>
                <c:pt idx="479">
                  <c:v>16.643799999999999</c:v>
                </c:pt>
                <c:pt idx="480">
                  <c:v>16.7469</c:v>
                </c:pt>
                <c:pt idx="481">
                  <c:v>16.643799999999999</c:v>
                </c:pt>
                <c:pt idx="482">
                  <c:v>16.643799999999999</c:v>
                </c:pt>
                <c:pt idx="483">
                  <c:v>16.643799999999999</c:v>
                </c:pt>
                <c:pt idx="484">
                  <c:v>16.664400000000001</c:v>
                </c:pt>
                <c:pt idx="485">
                  <c:v>16.8294</c:v>
                </c:pt>
                <c:pt idx="486">
                  <c:v>16.8294</c:v>
                </c:pt>
                <c:pt idx="487">
                  <c:v>16.8294</c:v>
                </c:pt>
                <c:pt idx="488">
                  <c:v>17.076899999999998</c:v>
                </c:pt>
                <c:pt idx="489">
                  <c:v>17.076899999999998</c:v>
                </c:pt>
                <c:pt idx="490">
                  <c:v>16.870699999999999</c:v>
                </c:pt>
                <c:pt idx="491">
                  <c:v>16.7882</c:v>
                </c:pt>
                <c:pt idx="492">
                  <c:v>16.664400000000001</c:v>
                </c:pt>
                <c:pt idx="493">
                  <c:v>16.561299999999999</c:v>
                </c:pt>
                <c:pt idx="494">
                  <c:v>16.602599999999999</c:v>
                </c:pt>
                <c:pt idx="495">
                  <c:v>16.602599999999999</c:v>
                </c:pt>
                <c:pt idx="496">
                  <c:v>16.499400000000001</c:v>
                </c:pt>
                <c:pt idx="497">
                  <c:v>16.190100000000001</c:v>
                </c:pt>
                <c:pt idx="498">
                  <c:v>16.1282</c:v>
                </c:pt>
                <c:pt idx="499">
                  <c:v>16.251899999999999</c:v>
                </c:pt>
                <c:pt idx="500">
                  <c:v>16.3963</c:v>
                </c:pt>
                <c:pt idx="501">
                  <c:v>16.623200000000001</c:v>
                </c:pt>
                <c:pt idx="502">
                  <c:v>16.3963</c:v>
                </c:pt>
                <c:pt idx="503">
                  <c:v>16.272600000000001</c:v>
                </c:pt>
                <c:pt idx="504">
                  <c:v>16.231300000000001</c:v>
                </c:pt>
                <c:pt idx="505">
                  <c:v>16.602599999999999</c:v>
                </c:pt>
                <c:pt idx="506">
                  <c:v>16.334399999999999</c:v>
                </c:pt>
                <c:pt idx="507">
                  <c:v>16.293199999999999</c:v>
                </c:pt>
                <c:pt idx="508">
                  <c:v>16.0045</c:v>
                </c:pt>
                <c:pt idx="509">
                  <c:v>16.107600000000001</c:v>
                </c:pt>
                <c:pt idx="510">
                  <c:v>16.190100000000001</c:v>
                </c:pt>
                <c:pt idx="511">
                  <c:v>16.087</c:v>
                </c:pt>
                <c:pt idx="512">
                  <c:v>16.210699999999999</c:v>
                </c:pt>
                <c:pt idx="513">
                  <c:v>16.313800000000001</c:v>
                </c:pt>
                <c:pt idx="514">
                  <c:v>16.334399999999999</c:v>
                </c:pt>
                <c:pt idx="515">
                  <c:v>16.293199999999999</c:v>
                </c:pt>
                <c:pt idx="516">
                  <c:v>16.313800000000001</c:v>
                </c:pt>
                <c:pt idx="517">
                  <c:v>15.595000000000001</c:v>
                </c:pt>
                <c:pt idx="518">
                  <c:v>15.9498</c:v>
                </c:pt>
                <c:pt idx="519">
                  <c:v>15.871</c:v>
                </c:pt>
                <c:pt idx="520">
                  <c:v>15.890700000000001</c:v>
                </c:pt>
                <c:pt idx="521">
                  <c:v>15.8316</c:v>
                </c:pt>
                <c:pt idx="522">
                  <c:v>15.871</c:v>
                </c:pt>
                <c:pt idx="523">
                  <c:v>15.8316</c:v>
                </c:pt>
                <c:pt idx="524">
                  <c:v>15.8316</c:v>
                </c:pt>
                <c:pt idx="525">
                  <c:v>15.8316</c:v>
                </c:pt>
                <c:pt idx="526">
                  <c:v>15.6935</c:v>
                </c:pt>
                <c:pt idx="527">
                  <c:v>15.6935</c:v>
                </c:pt>
                <c:pt idx="528">
                  <c:v>15.6935</c:v>
                </c:pt>
                <c:pt idx="529">
                  <c:v>15.6541</c:v>
                </c:pt>
                <c:pt idx="530">
                  <c:v>15.634399999999999</c:v>
                </c:pt>
                <c:pt idx="531">
                  <c:v>15.6541</c:v>
                </c:pt>
                <c:pt idx="532">
                  <c:v>15.634399999999999</c:v>
                </c:pt>
                <c:pt idx="533">
                  <c:v>15.595000000000001</c:v>
                </c:pt>
                <c:pt idx="534">
                  <c:v>15.457000000000001</c:v>
                </c:pt>
                <c:pt idx="535">
                  <c:v>15.437200000000001</c:v>
                </c:pt>
                <c:pt idx="536">
                  <c:v>15.437200000000001</c:v>
                </c:pt>
                <c:pt idx="537">
                  <c:v>15.279500000000001</c:v>
                </c:pt>
                <c:pt idx="538">
                  <c:v>15.476699999999999</c:v>
                </c:pt>
                <c:pt idx="539">
                  <c:v>15.457000000000001</c:v>
                </c:pt>
                <c:pt idx="540">
                  <c:v>15.476699999999999</c:v>
                </c:pt>
                <c:pt idx="541">
                  <c:v>15.5555</c:v>
                </c:pt>
                <c:pt idx="542">
                  <c:v>15.5753</c:v>
                </c:pt>
                <c:pt idx="543">
                  <c:v>15.595000000000001</c:v>
                </c:pt>
                <c:pt idx="544">
                  <c:v>15.871</c:v>
                </c:pt>
                <c:pt idx="545">
                  <c:v>15.9696</c:v>
                </c:pt>
                <c:pt idx="546">
                  <c:v>16.068100000000001</c:v>
                </c:pt>
                <c:pt idx="547">
                  <c:v>16.068100000000001</c:v>
                </c:pt>
                <c:pt idx="548">
                  <c:v>16.344200000000001</c:v>
                </c:pt>
                <c:pt idx="549">
                  <c:v>16.324400000000001</c:v>
                </c:pt>
                <c:pt idx="550">
                  <c:v>16.2653</c:v>
                </c:pt>
                <c:pt idx="551">
                  <c:v>16.166699999999999</c:v>
                </c:pt>
                <c:pt idx="552">
                  <c:v>16.028700000000001</c:v>
                </c:pt>
                <c:pt idx="553">
                  <c:v>16.403300000000002</c:v>
                </c:pt>
                <c:pt idx="554">
                  <c:v>16.383600000000001</c:v>
                </c:pt>
                <c:pt idx="555">
                  <c:v>16.383600000000001</c:v>
                </c:pt>
                <c:pt idx="556">
                  <c:v>16.561</c:v>
                </c:pt>
                <c:pt idx="557">
                  <c:v>16.5807</c:v>
                </c:pt>
                <c:pt idx="558">
                  <c:v>16.462399999999999</c:v>
                </c:pt>
                <c:pt idx="559">
                  <c:v>16.521599999999999</c:v>
                </c:pt>
                <c:pt idx="560">
                  <c:v>16.758199999999999</c:v>
                </c:pt>
                <c:pt idx="561">
                  <c:v>16.817299999999999</c:v>
                </c:pt>
                <c:pt idx="562">
                  <c:v>16.758199999999999</c:v>
                </c:pt>
                <c:pt idx="563">
                  <c:v>16.482199999999999</c:v>
                </c:pt>
                <c:pt idx="564">
                  <c:v>16.679300000000001</c:v>
                </c:pt>
                <c:pt idx="565">
                  <c:v>16.738499999999998</c:v>
                </c:pt>
                <c:pt idx="566">
                  <c:v>16.639900000000001</c:v>
                </c:pt>
                <c:pt idx="567">
                  <c:v>16.6005</c:v>
                </c:pt>
                <c:pt idx="568">
                  <c:v>16.5807</c:v>
                </c:pt>
                <c:pt idx="569">
                  <c:v>16.659600000000001</c:v>
                </c:pt>
                <c:pt idx="570">
                  <c:v>16.699000000000002</c:v>
                </c:pt>
                <c:pt idx="571">
                  <c:v>16.8568</c:v>
                </c:pt>
                <c:pt idx="572">
                  <c:v>16.915900000000001</c:v>
                </c:pt>
                <c:pt idx="573">
                  <c:v>16.8568</c:v>
                </c:pt>
                <c:pt idx="574">
                  <c:v>16.777899999999999</c:v>
                </c:pt>
                <c:pt idx="575">
                  <c:v>16.915900000000001</c:v>
                </c:pt>
                <c:pt idx="576">
                  <c:v>17.211600000000001</c:v>
                </c:pt>
                <c:pt idx="577">
                  <c:v>17.1525</c:v>
                </c:pt>
                <c:pt idx="578">
                  <c:v>17.053899999999999</c:v>
                </c:pt>
                <c:pt idx="579">
                  <c:v>16.211300000000001</c:v>
                </c:pt>
                <c:pt idx="580">
                  <c:v>16.2867</c:v>
                </c:pt>
                <c:pt idx="581">
                  <c:v>16.399799999999999</c:v>
                </c:pt>
                <c:pt idx="582">
                  <c:v>16.215</c:v>
                </c:pt>
                <c:pt idx="583">
                  <c:v>16.171700000000001</c:v>
                </c:pt>
                <c:pt idx="584">
                  <c:v>16.323399999999999</c:v>
                </c:pt>
                <c:pt idx="585">
                  <c:v>16.323399999999999</c:v>
                </c:pt>
                <c:pt idx="586">
                  <c:v>16.258400000000002</c:v>
                </c:pt>
                <c:pt idx="587">
                  <c:v>16.323399999999999</c:v>
                </c:pt>
                <c:pt idx="588">
                  <c:v>16.431799999999999</c:v>
                </c:pt>
                <c:pt idx="589">
                  <c:v>16.973700000000001</c:v>
                </c:pt>
                <c:pt idx="590">
                  <c:v>17.125499999999999</c:v>
                </c:pt>
                <c:pt idx="591">
                  <c:v>17.060500000000001</c:v>
                </c:pt>
                <c:pt idx="592">
                  <c:v>17.017099999999999</c:v>
                </c:pt>
                <c:pt idx="593">
                  <c:v>17.407299999999999</c:v>
                </c:pt>
                <c:pt idx="594">
                  <c:v>17.559000000000001</c:v>
                </c:pt>
                <c:pt idx="595">
                  <c:v>17.559000000000001</c:v>
                </c:pt>
                <c:pt idx="596">
                  <c:v>17.624099999999999</c:v>
                </c:pt>
                <c:pt idx="597">
                  <c:v>17.927600000000002</c:v>
                </c:pt>
                <c:pt idx="598">
                  <c:v>18.144300000000001</c:v>
                </c:pt>
                <c:pt idx="599">
                  <c:v>18.296099999999999</c:v>
                </c:pt>
                <c:pt idx="600">
                  <c:v>18.5562</c:v>
                </c:pt>
                <c:pt idx="601">
                  <c:v>18.317799999999998</c:v>
                </c:pt>
                <c:pt idx="602">
                  <c:v>18.100999999999999</c:v>
                </c:pt>
                <c:pt idx="603">
                  <c:v>18.144300000000001</c:v>
                </c:pt>
                <c:pt idx="604">
                  <c:v>18.057600000000001</c:v>
                </c:pt>
                <c:pt idx="605">
                  <c:v>18.317799999999998</c:v>
                </c:pt>
                <c:pt idx="606">
                  <c:v>18.252700000000001</c:v>
                </c:pt>
                <c:pt idx="607">
                  <c:v>18.014299999999999</c:v>
                </c:pt>
                <c:pt idx="608">
                  <c:v>17.819199999999999</c:v>
                </c:pt>
                <c:pt idx="609">
                  <c:v>17.7758</c:v>
                </c:pt>
                <c:pt idx="610">
                  <c:v>17.905899999999999</c:v>
                </c:pt>
                <c:pt idx="611">
                  <c:v>18.209399999999999</c:v>
                </c:pt>
                <c:pt idx="612">
                  <c:v>18.447800000000001</c:v>
                </c:pt>
                <c:pt idx="613">
                  <c:v>18.642900000000001</c:v>
                </c:pt>
                <c:pt idx="614">
                  <c:v>18.534600000000001</c:v>
                </c:pt>
                <c:pt idx="615">
                  <c:v>18.621300000000002</c:v>
                </c:pt>
                <c:pt idx="616">
                  <c:v>18.751300000000001</c:v>
                </c:pt>
                <c:pt idx="617">
                  <c:v>18.751300000000001</c:v>
                </c:pt>
                <c:pt idx="618">
                  <c:v>19.510100000000001</c:v>
                </c:pt>
                <c:pt idx="619">
                  <c:v>19.6401</c:v>
                </c:pt>
                <c:pt idx="620">
                  <c:v>20.377199999999998</c:v>
                </c:pt>
                <c:pt idx="621">
                  <c:v>20.290500000000002</c:v>
                </c:pt>
                <c:pt idx="622">
                  <c:v>20.940799999999999</c:v>
                </c:pt>
                <c:pt idx="623">
                  <c:v>20.962499999999999</c:v>
                </c:pt>
                <c:pt idx="624">
                  <c:v>20.984100000000002</c:v>
                </c:pt>
                <c:pt idx="625">
                  <c:v>21.461099999999998</c:v>
                </c:pt>
                <c:pt idx="626">
                  <c:v>21.2226</c:v>
                </c:pt>
                <c:pt idx="627">
                  <c:v>21.157599999999999</c:v>
                </c:pt>
                <c:pt idx="628">
                  <c:v>21.1142</c:v>
                </c:pt>
                <c:pt idx="629">
                  <c:v>21.439399999999999</c:v>
                </c:pt>
                <c:pt idx="630">
                  <c:v>21.244299999999999</c:v>
                </c:pt>
                <c:pt idx="631">
                  <c:v>20.789000000000001</c:v>
                </c:pt>
                <c:pt idx="632">
                  <c:v>21.135899999999999</c:v>
                </c:pt>
                <c:pt idx="633">
                  <c:v>21.005800000000001</c:v>
                </c:pt>
                <c:pt idx="634">
                  <c:v>21.331</c:v>
                </c:pt>
                <c:pt idx="635">
                  <c:v>21.352699999999999</c:v>
                </c:pt>
                <c:pt idx="636">
                  <c:v>20.984100000000002</c:v>
                </c:pt>
                <c:pt idx="637">
                  <c:v>20.962499999999999</c:v>
                </c:pt>
                <c:pt idx="638">
                  <c:v>20.4422</c:v>
                </c:pt>
                <c:pt idx="639">
                  <c:v>20.268799999999999</c:v>
                </c:pt>
                <c:pt idx="640">
                  <c:v>20.4422</c:v>
                </c:pt>
                <c:pt idx="641">
                  <c:v>20.377199999999998</c:v>
                </c:pt>
                <c:pt idx="642">
                  <c:v>19.2121</c:v>
                </c:pt>
                <c:pt idx="643">
                  <c:v>19.294899999999998</c:v>
                </c:pt>
                <c:pt idx="644">
                  <c:v>19.087800000000001</c:v>
                </c:pt>
                <c:pt idx="645">
                  <c:v>19.149899999999999</c:v>
                </c:pt>
                <c:pt idx="646">
                  <c:v>18.9636</c:v>
                </c:pt>
                <c:pt idx="647">
                  <c:v>19.191299999999998</c:v>
                </c:pt>
                <c:pt idx="648">
                  <c:v>19.791699999999999</c:v>
                </c:pt>
                <c:pt idx="649">
                  <c:v>19.936599999999999</c:v>
                </c:pt>
                <c:pt idx="650">
                  <c:v>20.081600000000002</c:v>
                </c:pt>
                <c:pt idx="651">
                  <c:v>19.9573</c:v>
                </c:pt>
                <c:pt idx="652">
                  <c:v>19.895199999999999</c:v>
                </c:pt>
                <c:pt idx="653">
                  <c:v>20.040199999999999</c:v>
                </c:pt>
                <c:pt idx="654">
                  <c:v>19.2742</c:v>
                </c:pt>
                <c:pt idx="655">
                  <c:v>19.253499999999999</c:v>
                </c:pt>
                <c:pt idx="656">
                  <c:v>19.046399999999998</c:v>
                </c:pt>
                <c:pt idx="657">
                  <c:v>19.232800000000001</c:v>
                </c:pt>
                <c:pt idx="658">
                  <c:v>18.839400000000001</c:v>
                </c:pt>
                <c:pt idx="659">
                  <c:v>19.046399999999998</c:v>
                </c:pt>
                <c:pt idx="660">
                  <c:v>18.8187</c:v>
                </c:pt>
                <c:pt idx="661">
                  <c:v>17.969899999999999</c:v>
                </c:pt>
                <c:pt idx="662">
                  <c:v>18.011299999999999</c:v>
                </c:pt>
                <c:pt idx="663">
                  <c:v>17.597200000000001</c:v>
                </c:pt>
                <c:pt idx="664">
                  <c:v>17.183199999999999</c:v>
                </c:pt>
                <c:pt idx="665">
                  <c:v>17.680099999999999</c:v>
                </c:pt>
                <c:pt idx="666">
                  <c:v>18.4253</c:v>
                </c:pt>
                <c:pt idx="667">
                  <c:v>18.011299999999999</c:v>
                </c:pt>
                <c:pt idx="668">
                  <c:v>18.3218</c:v>
                </c:pt>
                <c:pt idx="669">
                  <c:v>18.2804</c:v>
                </c:pt>
                <c:pt idx="670">
                  <c:v>19.1706</c:v>
                </c:pt>
                <c:pt idx="671">
                  <c:v>19.149899999999999</c:v>
                </c:pt>
                <c:pt idx="672">
                  <c:v>18.942900000000002</c:v>
                </c:pt>
                <c:pt idx="673">
                  <c:v>18.9222</c:v>
                </c:pt>
                <c:pt idx="674">
                  <c:v>19.1706</c:v>
                </c:pt>
                <c:pt idx="675">
                  <c:v>19.129200000000001</c:v>
                </c:pt>
                <c:pt idx="676">
                  <c:v>19.253499999999999</c:v>
                </c:pt>
                <c:pt idx="677">
                  <c:v>18.839400000000001</c:v>
                </c:pt>
                <c:pt idx="678">
                  <c:v>18.7773</c:v>
                </c:pt>
                <c:pt idx="679">
                  <c:v>19.025700000000001</c:v>
                </c:pt>
                <c:pt idx="680">
                  <c:v>19.253499999999999</c:v>
                </c:pt>
                <c:pt idx="681">
                  <c:v>18.797999999999998</c:v>
                </c:pt>
                <c:pt idx="682">
                  <c:v>18.880800000000001</c:v>
                </c:pt>
                <c:pt idx="683">
                  <c:v>18.7773</c:v>
                </c:pt>
                <c:pt idx="684">
                  <c:v>18.860099999999999</c:v>
                </c:pt>
                <c:pt idx="685">
                  <c:v>18.984300000000001</c:v>
                </c:pt>
                <c:pt idx="686">
                  <c:v>19.025700000000001</c:v>
                </c:pt>
                <c:pt idx="687">
                  <c:v>19.129200000000001</c:v>
                </c:pt>
                <c:pt idx="688">
                  <c:v>19.377700000000001</c:v>
                </c:pt>
                <c:pt idx="689">
                  <c:v>19.626100000000001</c:v>
                </c:pt>
                <c:pt idx="690">
                  <c:v>19.6675</c:v>
                </c:pt>
                <c:pt idx="691">
                  <c:v>19.522600000000001</c:v>
                </c:pt>
                <c:pt idx="692">
                  <c:v>19.501899999999999</c:v>
                </c:pt>
                <c:pt idx="693">
                  <c:v>19.6675</c:v>
                </c:pt>
                <c:pt idx="694">
                  <c:v>20.040199999999999</c:v>
                </c:pt>
                <c:pt idx="695">
                  <c:v>19.7089</c:v>
                </c:pt>
                <c:pt idx="696">
                  <c:v>19.915900000000001</c:v>
                </c:pt>
                <c:pt idx="697">
                  <c:v>19.915900000000001</c:v>
                </c:pt>
                <c:pt idx="698">
                  <c:v>19.4605</c:v>
                </c:pt>
                <c:pt idx="699">
                  <c:v>19.584700000000002</c:v>
                </c:pt>
                <c:pt idx="700">
                  <c:v>19.605399999999999</c:v>
                </c:pt>
                <c:pt idx="701">
                  <c:v>19.688199999999998</c:v>
                </c:pt>
                <c:pt idx="702">
                  <c:v>19.584700000000002</c:v>
                </c:pt>
                <c:pt idx="703">
                  <c:v>19.874500000000001</c:v>
                </c:pt>
                <c:pt idx="704">
                  <c:v>20.123000000000001</c:v>
                </c:pt>
                <c:pt idx="705">
                  <c:v>20.0609</c:v>
                </c:pt>
                <c:pt idx="706">
                  <c:v>19.998799999999999</c:v>
                </c:pt>
                <c:pt idx="707">
                  <c:v>18.8292</c:v>
                </c:pt>
                <c:pt idx="708">
                  <c:v>18.790099999999999</c:v>
                </c:pt>
                <c:pt idx="709">
                  <c:v>18.868400000000001</c:v>
                </c:pt>
                <c:pt idx="710">
                  <c:v>19.044799999999999</c:v>
                </c:pt>
                <c:pt idx="711">
                  <c:v>19.084</c:v>
                </c:pt>
                <c:pt idx="712">
                  <c:v>19.064399999999999</c:v>
                </c:pt>
                <c:pt idx="713">
                  <c:v>18.927199999999999</c:v>
                </c:pt>
                <c:pt idx="714">
                  <c:v>18.5549</c:v>
                </c:pt>
                <c:pt idx="715">
                  <c:v>18.613700000000001</c:v>
                </c:pt>
                <c:pt idx="716">
                  <c:v>18.5549</c:v>
                </c:pt>
                <c:pt idx="717">
                  <c:v>18.6921</c:v>
                </c:pt>
                <c:pt idx="718">
                  <c:v>18.750900000000001</c:v>
                </c:pt>
                <c:pt idx="719">
                  <c:v>18.750900000000001</c:v>
                </c:pt>
                <c:pt idx="720">
                  <c:v>18.731300000000001</c:v>
                </c:pt>
                <c:pt idx="721">
                  <c:v>18.868400000000001</c:v>
                </c:pt>
                <c:pt idx="722">
                  <c:v>18.888000000000002</c:v>
                </c:pt>
                <c:pt idx="723">
                  <c:v>18.731300000000001</c:v>
                </c:pt>
                <c:pt idx="724">
                  <c:v>18.613700000000001</c:v>
                </c:pt>
                <c:pt idx="725">
                  <c:v>18.633299999999998</c:v>
                </c:pt>
                <c:pt idx="726">
                  <c:v>18.790099999999999</c:v>
                </c:pt>
                <c:pt idx="727">
                  <c:v>18.790099999999999</c:v>
                </c:pt>
                <c:pt idx="728">
                  <c:v>18.731300000000001</c:v>
                </c:pt>
                <c:pt idx="729">
                  <c:v>18.750900000000001</c:v>
                </c:pt>
                <c:pt idx="730">
                  <c:v>19.573799999999999</c:v>
                </c:pt>
                <c:pt idx="731">
                  <c:v>19.985299999999999</c:v>
                </c:pt>
                <c:pt idx="732">
                  <c:v>20.279199999999999</c:v>
                </c:pt>
                <c:pt idx="733">
                  <c:v>20.396699999999999</c:v>
                </c:pt>
                <c:pt idx="734">
                  <c:v>20.5535</c:v>
                </c:pt>
                <c:pt idx="735">
                  <c:v>20.377099999999999</c:v>
                </c:pt>
                <c:pt idx="736">
                  <c:v>20.592600000000001</c:v>
                </c:pt>
                <c:pt idx="737">
                  <c:v>20.5731</c:v>
                </c:pt>
                <c:pt idx="738">
                  <c:v>20.4359</c:v>
                </c:pt>
                <c:pt idx="739">
                  <c:v>20.749400000000001</c:v>
                </c:pt>
                <c:pt idx="740">
                  <c:v>20.494700000000002</c:v>
                </c:pt>
                <c:pt idx="741">
                  <c:v>20.357500000000002</c:v>
                </c:pt>
                <c:pt idx="742">
                  <c:v>21.160900000000002</c:v>
                </c:pt>
                <c:pt idx="743">
                  <c:v>21.141300000000001</c:v>
                </c:pt>
                <c:pt idx="744">
                  <c:v>21.258800000000001</c:v>
                </c:pt>
                <c:pt idx="745">
                  <c:v>21.3568</c:v>
                </c:pt>
                <c:pt idx="746">
                  <c:v>21.709499999999998</c:v>
                </c:pt>
                <c:pt idx="747">
                  <c:v>21.827000000000002</c:v>
                </c:pt>
                <c:pt idx="748">
                  <c:v>21.689900000000002</c:v>
                </c:pt>
                <c:pt idx="749">
                  <c:v>21.3764</c:v>
                </c:pt>
                <c:pt idx="750">
                  <c:v>21.807400000000001</c:v>
                </c:pt>
                <c:pt idx="751">
                  <c:v>21.552700000000002</c:v>
                </c:pt>
                <c:pt idx="752">
                  <c:v>21.552700000000002</c:v>
                </c:pt>
                <c:pt idx="753">
                  <c:v>21.925000000000001</c:v>
                </c:pt>
                <c:pt idx="754">
                  <c:v>22.924299999999999</c:v>
                </c:pt>
                <c:pt idx="755">
                  <c:v>22.924299999999999</c:v>
                </c:pt>
                <c:pt idx="756">
                  <c:v>22.728300000000001</c:v>
                </c:pt>
                <c:pt idx="757">
                  <c:v>22.140499999999999</c:v>
                </c:pt>
                <c:pt idx="758">
                  <c:v>21.944600000000001</c:v>
                </c:pt>
                <c:pt idx="759">
                  <c:v>22.4344</c:v>
                </c:pt>
                <c:pt idx="760">
                  <c:v>22.767499999999998</c:v>
                </c:pt>
                <c:pt idx="761">
                  <c:v>22.512799999999999</c:v>
                </c:pt>
                <c:pt idx="762">
                  <c:v>22.336500000000001</c:v>
                </c:pt>
                <c:pt idx="763">
                  <c:v>22.532399999999999</c:v>
                </c:pt>
                <c:pt idx="764">
                  <c:v>22.5716</c:v>
                </c:pt>
                <c:pt idx="765">
                  <c:v>22.943899999999999</c:v>
                </c:pt>
                <c:pt idx="766">
                  <c:v>21.831700000000001</c:v>
                </c:pt>
                <c:pt idx="767">
                  <c:v>21.887899999999998</c:v>
                </c:pt>
                <c:pt idx="768">
                  <c:v>21.9254</c:v>
                </c:pt>
                <c:pt idx="769">
                  <c:v>21.569299999999998</c:v>
                </c:pt>
                <c:pt idx="770">
                  <c:v>21.363199999999999</c:v>
                </c:pt>
                <c:pt idx="771">
                  <c:v>21.306999999999999</c:v>
                </c:pt>
                <c:pt idx="772">
                  <c:v>21.1008</c:v>
                </c:pt>
                <c:pt idx="773">
                  <c:v>21.175799999999999</c:v>
                </c:pt>
                <c:pt idx="774">
                  <c:v>21.325700000000001</c:v>
                </c:pt>
                <c:pt idx="775">
                  <c:v>21.5318</c:v>
                </c:pt>
                <c:pt idx="776">
                  <c:v>21.644300000000001</c:v>
                </c:pt>
                <c:pt idx="777">
                  <c:v>20.913399999999999</c:v>
                </c:pt>
                <c:pt idx="778">
                  <c:v>21.175799999999999</c:v>
                </c:pt>
                <c:pt idx="779">
                  <c:v>20.950900000000001</c:v>
                </c:pt>
                <c:pt idx="780">
                  <c:v>20.426200000000001</c:v>
                </c:pt>
                <c:pt idx="781">
                  <c:v>20.669799999999999</c:v>
                </c:pt>
                <c:pt idx="782">
                  <c:v>21.044599999999999</c:v>
                </c:pt>
                <c:pt idx="783">
                  <c:v>22.5063</c:v>
                </c:pt>
                <c:pt idx="784">
                  <c:v>23.087199999999999</c:v>
                </c:pt>
                <c:pt idx="785">
                  <c:v>23.087199999999999</c:v>
                </c:pt>
                <c:pt idx="786">
                  <c:v>23.855499999999999</c:v>
                </c:pt>
                <c:pt idx="787">
                  <c:v>23.5932</c:v>
                </c:pt>
                <c:pt idx="788">
                  <c:v>23.911799999999999</c:v>
                </c:pt>
                <c:pt idx="789">
                  <c:v>24.6051</c:v>
                </c:pt>
                <c:pt idx="790">
                  <c:v>24.5489</c:v>
                </c:pt>
                <c:pt idx="791">
                  <c:v>24.4177</c:v>
                </c:pt>
                <c:pt idx="792">
                  <c:v>24.5489</c:v>
                </c:pt>
                <c:pt idx="793">
                  <c:v>24.305299999999999</c:v>
                </c:pt>
                <c:pt idx="794">
                  <c:v>24.455200000000001</c:v>
                </c:pt>
                <c:pt idx="795">
                  <c:v>25.129799999999999</c:v>
                </c:pt>
                <c:pt idx="796">
                  <c:v>25.3735</c:v>
                </c:pt>
                <c:pt idx="797">
                  <c:v>25.204799999999999</c:v>
                </c:pt>
                <c:pt idx="798">
                  <c:v>24.9237</c:v>
                </c:pt>
                <c:pt idx="799">
                  <c:v>25.485900000000001</c:v>
                </c:pt>
                <c:pt idx="800">
                  <c:v>25.860700000000001</c:v>
                </c:pt>
                <c:pt idx="801">
                  <c:v>25.766999999999999</c:v>
                </c:pt>
                <c:pt idx="802">
                  <c:v>24.717600000000001</c:v>
                </c:pt>
                <c:pt idx="803">
                  <c:v>24.886199999999999</c:v>
                </c:pt>
                <c:pt idx="804">
                  <c:v>25.673300000000001</c:v>
                </c:pt>
                <c:pt idx="805">
                  <c:v>25.4297</c:v>
                </c:pt>
                <c:pt idx="806">
                  <c:v>25.298500000000001</c:v>
                </c:pt>
                <c:pt idx="807">
                  <c:v>25.223500000000001</c:v>
                </c:pt>
                <c:pt idx="808">
                  <c:v>25.654499999999999</c:v>
                </c:pt>
                <c:pt idx="809">
                  <c:v>26.066800000000001</c:v>
                </c:pt>
                <c:pt idx="810">
                  <c:v>26.254200000000001</c:v>
                </c:pt>
                <c:pt idx="811">
                  <c:v>26.160499999999999</c:v>
                </c:pt>
                <c:pt idx="812">
                  <c:v>26.610299999999999</c:v>
                </c:pt>
                <c:pt idx="813">
                  <c:v>26.985099999999999</c:v>
                </c:pt>
                <c:pt idx="814">
                  <c:v>27.453600000000002</c:v>
                </c:pt>
                <c:pt idx="815">
                  <c:v>28.4468</c:v>
                </c:pt>
                <c:pt idx="816">
                  <c:v>28.015699999999999</c:v>
                </c:pt>
                <c:pt idx="817">
                  <c:v>28.231200000000001</c:v>
                </c:pt>
                <c:pt idx="818">
                  <c:v>27.757100000000001</c:v>
                </c:pt>
                <c:pt idx="819">
                  <c:v>27.584700000000002</c:v>
                </c:pt>
                <c:pt idx="820">
                  <c:v>28.338999999999999</c:v>
                </c:pt>
                <c:pt idx="821">
                  <c:v>28.726900000000001</c:v>
                </c:pt>
                <c:pt idx="822">
                  <c:v>29.330300000000001</c:v>
                </c:pt>
                <c:pt idx="823">
                  <c:v>28.468299999999999</c:v>
                </c:pt>
                <c:pt idx="824">
                  <c:v>28.015699999999999</c:v>
                </c:pt>
                <c:pt idx="825">
                  <c:v>28.403700000000001</c:v>
                </c:pt>
                <c:pt idx="826">
                  <c:v>28.619199999999999</c:v>
                </c:pt>
                <c:pt idx="827">
                  <c:v>26.7088</c:v>
                </c:pt>
                <c:pt idx="828">
                  <c:v>26.32</c:v>
                </c:pt>
                <c:pt idx="829">
                  <c:v>26.197199999999999</c:v>
                </c:pt>
                <c:pt idx="830">
                  <c:v>26.811199999999999</c:v>
                </c:pt>
                <c:pt idx="831">
                  <c:v>27.793600000000001</c:v>
                </c:pt>
                <c:pt idx="832">
                  <c:v>28.3871</c:v>
                </c:pt>
                <c:pt idx="833">
                  <c:v>28.571300000000001</c:v>
                </c:pt>
                <c:pt idx="834">
                  <c:v>28.141500000000001</c:v>
                </c:pt>
                <c:pt idx="835">
                  <c:v>27.4252</c:v>
                </c:pt>
                <c:pt idx="836">
                  <c:v>27.220500000000001</c:v>
                </c:pt>
                <c:pt idx="837">
                  <c:v>27.3842</c:v>
                </c:pt>
                <c:pt idx="838">
                  <c:v>27.159099999999999</c:v>
                </c:pt>
                <c:pt idx="839">
                  <c:v>27.4252</c:v>
                </c:pt>
                <c:pt idx="840">
                  <c:v>26.9954</c:v>
                </c:pt>
                <c:pt idx="841">
                  <c:v>26.1767</c:v>
                </c:pt>
                <c:pt idx="842">
                  <c:v>25.787800000000001</c:v>
                </c:pt>
                <c:pt idx="843">
                  <c:v>25.399000000000001</c:v>
                </c:pt>
                <c:pt idx="844">
                  <c:v>25.685500000000001</c:v>
                </c:pt>
                <c:pt idx="845">
                  <c:v>25.787800000000001</c:v>
                </c:pt>
                <c:pt idx="846">
                  <c:v>25.583200000000001</c:v>
                </c:pt>
                <c:pt idx="847">
                  <c:v>26.197199999999999</c:v>
                </c:pt>
                <c:pt idx="848">
                  <c:v>26.401800000000001</c:v>
                </c:pt>
                <c:pt idx="849">
                  <c:v>26.197199999999999</c:v>
                </c:pt>
                <c:pt idx="850">
                  <c:v>26.32</c:v>
                </c:pt>
                <c:pt idx="851">
                  <c:v>25.542200000000001</c:v>
                </c:pt>
                <c:pt idx="852">
                  <c:v>25.2148</c:v>
                </c:pt>
                <c:pt idx="853">
                  <c:v>24.273299999999999</c:v>
                </c:pt>
                <c:pt idx="854">
                  <c:v>24.723600000000001</c:v>
                </c:pt>
                <c:pt idx="855">
                  <c:v>24.969200000000001</c:v>
                </c:pt>
                <c:pt idx="856">
                  <c:v>24.846399999999999</c:v>
                </c:pt>
                <c:pt idx="857">
                  <c:v>25.972000000000001</c:v>
                </c:pt>
                <c:pt idx="858">
                  <c:v>26.6065</c:v>
                </c:pt>
                <c:pt idx="859">
                  <c:v>26.545100000000001</c:v>
                </c:pt>
                <c:pt idx="860">
                  <c:v>26.504200000000001</c:v>
                </c:pt>
                <c:pt idx="861">
                  <c:v>26.340399999999999</c:v>
                </c:pt>
                <c:pt idx="862">
                  <c:v>26.729299999999999</c:v>
                </c:pt>
                <c:pt idx="863">
                  <c:v>26.7088</c:v>
                </c:pt>
                <c:pt idx="864">
                  <c:v>26.913499999999999</c:v>
                </c:pt>
                <c:pt idx="865">
                  <c:v>27.322800000000001</c:v>
                </c:pt>
                <c:pt idx="866">
                  <c:v>27.3842</c:v>
                </c:pt>
                <c:pt idx="867">
                  <c:v>27.241</c:v>
                </c:pt>
                <c:pt idx="868">
                  <c:v>26.913499999999999</c:v>
                </c:pt>
                <c:pt idx="869">
                  <c:v>27.118200000000002</c:v>
                </c:pt>
                <c:pt idx="870">
                  <c:v>27.2819</c:v>
                </c:pt>
                <c:pt idx="871">
                  <c:v>27.363800000000001</c:v>
                </c:pt>
                <c:pt idx="872">
                  <c:v>27.588899999999999</c:v>
                </c:pt>
                <c:pt idx="873">
                  <c:v>27.220500000000001</c:v>
                </c:pt>
                <c:pt idx="874">
                  <c:v>26.729299999999999</c:v>
                </c:pt>
                <c:pt idx="875">
                  <c:v>27.036300000000001</c:v>
                </c:pt>
                <c:pt idx="876">
                  <c:v>26.872599999999998</c:v>
                </c:pt>
                <c:pt idx="877">
                  <c:v>26.6065</c:v>
                </c:pt>
                <c:pt idx="878">
                  <c:v>26.729299999999999</c:v>
                </c:pt>
                <c:pt idx="879">
                  <c:v>27.077200000000001</c:v>
                </c:pt>
                <c:pt idx="880">
                  <c:v>27.220500000000001</c:v>
                </c:pt>
                <c:pt idx="881">
                  <c:v>26.831600000000002</c:v>
                </c:pt>
                <c:pt idx="882">
                  <c:v>27.2</c:v>
                </c:pt>
                <c:pt idx="883">
                  <c:v>27.547999999999998</c:v>
                </c:pt>
                <c:pt idx="884">
                  <c:v>27.6708</c:v>
                </c:pt>
                <c:pt idx="885">
                  <c:v>27.691199999999998</c:v>
                </c:pt>
                <c:pt idx="886">
                  <c:v>27.4252</c:v>
                </c:pt>
                <c:pt idx="887">
                  <c:v>27.5275</c:v>
                </c:pt>
                <c:pt idx="888">
                  <c:v>27.588899999999999</c:v>
                </c:pt>
                <c:pt idx="889">
                  <c:v>27.486599999999999</c:v>
                </c:pt>
                <c:pt idx="890">
                  <c:v>27.466100000000001</c:v>
                </c:pt>
                <c:pt idx="891">
                  <c:v>26.243500000000001</c:v>
                </c:pt>
                <c:pt idx="892">
                  <c:v>26.5167</c:v>
                </c:pt>
                <c:pt idx="893">
                  <c:v>26.4191</c:v>
                </c:pt>
                <c:pt idx="894">
                  <c:v>26.146000000000001</c:v>
                </c:pt>
                <c:pt idx="895">
                  <c:v>26.165500000000002</c:v>
                </c:pt>
                <c:pt idx="896">
                  <c:v>26.165500000000002</c:v>
                </c:pt>
                <c:pt idx="897">
                  <c:v>26.1069</c:v>
                </c:pt>
                <c:pt idx="898">
                  <c:v>26.4191</c:v>
                </c:pt>
                <c:pt idx="899">
                  <c:v>27.648399999999999</c:v>
                </c:pt>
                <c:pt idx="900">
                  <c:v>27.238600000000002</c:v>
                </c:pt>
                <c:pt idx="901">
                  <c:v>26.848400000000002</c:v>
                </c:pt>
                <c:pt idx="902">
                  <c:v>26.731300000000001</c:v>
                </c:pt>
                <c:pt idx="903">
                  <c:v>26.5947</c:v>
                </c:pt>
                <c:pt idx="904">
                  <c:v>26.731300000000001</c:v>
                </c:pt>
                <c:pt idx="905">
                  <c:v>26.731300000000001</c:v>
                </c:pt>
                <c:pt idx="906">
                  <c:v>26.438600000000001</c:v>
                </c:pt>
                <c:pt idx="907">
                  <c:v>25.970400000000001</c:v>
                </c:pt>
                <c:pt idx="908">
                  <c:v>26.184999999999999</c:v>
                </c:pt>
                <c:pt idx="909">
                  <c:v>26.204499999999999</c:v>
                </c:pt>
                <c:pt idx="910">
                  <c:v>26.146000000000001</c:v>
                </c:pt>
                <c:pt idx="911">
                  <c:v>26.3216</c:v>
                </c:pt>
                <c:pt idx="912">
                  <c:v>26.4191</c:v>
                </c:pt>
                <c:pt idx="913">
                  <c:v>26.5167</c:v>
                </c:pt>
                <c:pt idx="914">
                  <c:v>26.5167</c:v>
                </c:pt>
                <c:pt idx="915">
                  <c:v>26.263000000000002</c:v>
                </c:pt>
                <c:pt idx="916">
                  <c:v>25.911799999999999</c:v>
                </c:pt>
                <c:pt idx="917">
                  <c:v>25.872800000000002</c:v>
                </c:pt>
                <c:pt idx="918">
                  <c:v>26.263000000000002</c:v>
                </c:pt>
                <c:pt idx="919">
                  <c:v>26.360600000000002</c:v>
                </c:pt>
                <c:pt idx="920">
                  <c:v>26.497199999999999</c:v>
                </c:pt>
                <c:pt idx="921">
                  <c:v>26.984999999999999</c:v>
                </c:pt>
                <c:pt idx="922">
                  <c:v>26.692299999999999</c:v>
                </c:pt>
                <c:pt idx="923">
                  <c:v>26.8874</c:v>
                </c:pt>
                <c:pt idx="924">
                  <c:v>26.536200000000001</c:v>
                </c:pt>
                <c:pt idx="925">
                  <c:v>26.1265</c:v>
                </c:pt>
                <c:pt idx="926">
                  <c:v>26.146000000000001</c:v>
                </c:pt>
                <c:pt idx="927">
                  <c:v>25.365500000000001</c:v>
                </c:pt>
                <c:pt idx="928">
                  <c:v>25.8338</c:v>
                </c:pt>
                <c:pt idx="929">
                  <c:v>25.950800000000001</c:v>
                </c:pt>
                <c:pt idx="930">
                  <c:v>26.1265</c:v>
                </c:pt>
                <c:pt idx="931">
                  <c:v>26.1265</c:v>
                </c:pt>
                <c:pt idx="932">
                  <c:v>26.380099999999999</c:v>
                </c:pt>
                <c:pt idx="933">
                  <c:v>27.102</c:v>
                </c:pt>
                <c:pt idx="934">
                  <c:v>27.1996</c:v>
                </c:pt>
                <c:pt idx="935">
                  <c:v>28.1557</c:v>
                </c:pt>
                <c:pt idx="936">
                  <c:v>27.745899999999999</c:v>
                </c:pt>
                <c:pt idx="937">
                  <c:v>28.292300000000001</c:v>
                </c:pt>
                <c:pt idx="938">
                  <c:v>27.999600000000001</c:v>
                </c:pt>
                <c:pt idx="939">
                  <c:v>28.975200000000001</c:v>
                </c:pt>
                <c:pt idx="940">
                  <c:v>29.170300000000001</c:v>
                </c:pt>
                <c:pt idx="941">
                  <c:v>28.682500000000001</c:v>
                </c:pt>
                <c:pt idx="942">
                  <c:v>29.170300000000001</c:v>
                </c:pt>
                <c:pt idx="943">
                  <c:v>29.365400000000001</c:v>
                </c:pt>
                <c:pt idx="944">
                  <c:v>29.306899999999999</c:v>
                </c:pt>
                <c:pt idx="945">
                  <c:v>29.170300000000001</c:v>
                </c:pt>
                <c:pt idx="946">
                  <c:v>29.2484</c:v>
                </c:pt>
                <c:pt idx="947">
                  <c:v>28.877600000000001</c:v>
                </c:pt>
                <c:pt idx="948">
                  <c:v>29.014199999999999</c:v>
                </c:pt>
                <c:pt idx="949">
                  <c:v>28.897099999999998</c:v>
                </c:pt>
                <c:pt idx="950">
                  <c:v>29.170300000000001</c:v>
                </c:pt>
                <c:pt idx="951">
                  <c:v>29.2288</c:v>
                </c:pt>
                <c:pt idx="952">
                  <c:v>29.3459</c:v>
                </c:pt>
                <c:pt idx="953">
                  <c:v>29.423999999999999</c:v>
                </c:pt>
                <c:pt idx="954">
                  <c:v>29.2288</c:v>
                </c:pt>
                <c:pt idx="955">
                  <c:v>29.189800000000002</c:v>
                </c:pt>
                <c:pt idx="956">
                  <c:v>29.365400000000001</c:v>
                </c:pt>
                <c:pt idx="957">
                  <c:v>28.3934</c:v>
                </c:pt>
                <c:pt idx="958">
                  <c:v>28.3004</c:v>
                </c:pt>
                <c:pt idx="959">
                  <c:v>27.741800000000001</c:v>
                </c:pt>
                <c:pt idx="960">
                  <c:v>27.797699999999999</c:v>
                </c:pt>
                <c:pt idx="961">
                  <c:v>27.9466</c:v>
                </c:pt>
                <c:pt idx="962">
                  <c:v>27.611499999999999</c:v>
                </c:pt>
                <c:pt idx="963">
                  <c:v>27.704599999999999</c:v>
                </c:pt>
                <c:pt idx="964">
                  <c:v>27.4253</c:v>
                </c:pt>
                <c:pt idx="965">
                  <c:v>27.481100000000001</c:v>
                </c:pt>
                <c:pt idx="966">
                  <c:v>27.015699999999999</c:v>
                </c:pt>
                <c:pt idx="967">
                  <c:v>27.0901</c:v>
                </c:pt>
                <c:pt idx="968">
                  <c:v>27.276299999999999</c:v>
                </c:pt>
                <c:pt idx="969">
                  <c:v>27.741800000000001</c:v>
                </c:pt>
                <c:pt idx="970">
                  <c:v>27.928000000000001</c:v>
                </c:pt>
                <c:pt idx="971">
                  <c:v>27.909400000000002</c:v>
                </c:pt>
                <c:pt idx="972">
                  <c:v>27.8721</c:v>
                </c:pt>
                <c:pt idx="973">
                  <c:v>28.7286</c:v>
                </c:pt>
                <c:pt idx="974">
                  <c:v>28.561</c:v>
                </c:pt>
                <c:pt idx="975">
                  <c:v>27.0901</c:v>
                </c:pt>
                <c:pt idx="976">
                  <c:v>27.220500000000001</c:v>
                </c:pt>
                <c:pt idx="977">
                  <c:v>27.239100000000001</c:v>
                </c:pt>
                <c:pt idx="978">
                  <c:v>27.276299999999999</c:v>
                </c:pt>
                <c:pt idx="979">
                  <c:v>27.201899999999998</c:v>
                </c:pt>
                <c:pt idx="980">
                  <c:v>26.438500000000001</c:v>
                </c:pt>
                <c:pt idx="981">
                  <c:v>27.0715</c:v>
                </c:pt>
                <c:pt idx="982">
                  <c:v>26.997</c:v>
                </c:pt>
                <c:pt idx="983">
                  <c:v>26.6433</c:v>
                </c:pt>
                <c:pt idx="984">
                  <c:v>26.978400000000001</c:v>
                </c:pt>
                <c:pt idx="985">
                  <c:v>26.7364</c:v>
                </c:pt>
                <c:pt idx="986">
                  <c:v>26.792200000000001</c:v>
                </c:pt>
                <c:pt idx="987">
                  <c:v>26.8109</c:v>
                </c:pt>
                <c:pt idx="988">
                  <c:v>26.624700000000001</c:v>
                </c:pt>
                <c:pt idx="989">
                  <c:v>26.438500000000001</c:v>
                </c:pt>
                <c:pt idx="990">
                  <c:v>26.159199999999998</c:v>
                </c:pt>
                <c:pt idx="991">
                  <c:v>25.879899999999999</c:v>
                </c:pt>
                <c:pt idx="992">
                  <c:v>26.401299999999999</c:v>
                </c:pt>
                <c:pt idx="993">
                  <c:v>26.308199999999999</c:v>
                </c:pt>
                <c:pt idx="994">
                  <c:v>26.122</c:v>
                </c:pt>
                <c:pt idx="995">
                  <c:v>26.159199999999998</c:v>
                </c:pt>
                <c:pt idx="996">
                  <c:v>26.066099999999999</c:v>
                </c:pt>
                <c:pt idx="997">
                  <c:v>25.898499999999999</c:v>
                </c:pt>
                <c:pt idx="998">
                  <c:v>26.364000000000001</c:v>
                </c:pt>
                <c:pt idx="999">
                  <c:v>26.326799999999999</c:v>
                </c:pt>
                <c:pt idx="1000">
                  <c:v>25.9358</c:v>
                </c:pt>
                <c:pt idx="1001">
                  <c:v>25.6007</c:v>
                </c:pt>
                <c:pt idx="1002">
                  <c:v>25.302800000000001</c:v>
                </c:pt>
                <c:pt idx="1003">
                  <c:v>25.4145</c:v>
                </c:pt>
                <c:pt idx="1004">
                  <c:v>24.4649</c:v>
                </c:pt>
                <c:pt idx="1005">
                  <c:v>24.2043</c:v>
                </c:pt>
                <c:pt idx="1006">
                  <c:v>24.2043</c:v>
                </c:pt>
                <c:pt idx="1007">
                  <c:v>23.198799999999999</c:v>
                </c:pt>
                <c:pt idx="1008">
                  <c:v>23.273299999999999</c:v>
                </c:pt>
                <c:pt idx="1009">
                  <c:v>23.831900000000001</c:v>
                </c:pt>
                <c:pt idx="1010">
                  <c:v>24.0181</c:v>
                </c:pt>
                <c:pt idx="1011">
                  <c:v>23.552600000000002</c:v>
                </c:pt>
                <c:pt idx="1012">
                  <c:v>22.9009</c:v>
                </c:pt>
                <c:pt idx="1013">
                  <c:v>23.496700000000001</c:v>
                </c:pt>
                <c:pt idx="1014">
                  <c:v>23.0871</c:v>
                </c:pt>
                <c:pt idx="1015">
                  <c:v>21.539200000000001</c:v>
                </c:pt>
                <c:pt idx="1016">
                  <c:v>21.450199999999999</c:v>
                </c:pt>
                <c:pt idx="1017">
                  <c:v>21.717300000000002</c:v>
                </c:pt>
                <c:pt idx="1018">
                  <c:v>20.2042</c:v>
                </c:pt>
                <c:pt idx="1019">
                  <c:v>20.115200000000002</c:v>
                </c:pt>
                <c:pt idx="1020">
                  <c:v>18.7089</c:v>
                </c:pt>
                <c:pt idx="1021">
                  <c:v>18.744499999999999</c:v>
                </c:pt>
                <c:pt idx="1022">
                  <c:v>20.044</c:v>
                </c:pt>
                <c:pt idx="1023">
                  <c:v>21.094200000000001</c:v>
                </c:pt>
                <c:pt idx="1024">
                  <c:v>21.094200000000001</c:v>
                </c:pt>
                <c:pt idx="1025">
                  <c:v>20.6492</c:v>
                </c:pt>
                <c:pt idx="1026">
                  <c:v>19.2073</c:v>
                </c:pt>
                <c:pt idx="1027">
                  <c:v>19.474299999999999</c:v>
                </c:pt>
                <c:pt idx="1028">
                  <c:v>19.8659</c:v>
                </c:pt>
                <c:pt idx="1029">
                  <c:v>19.883700000000001</c:v>
                </c:pt>
                <c:pt idx="1030">
                  <c:v>19.6523</c:v>
                </c:pt>
                <c:pt idx="1031">
                  <c:v>19.6523</c:v>
                </c:pt>
                <c:pt idx="1032">
                  <c:v>19.937200000000001</c:v>
                </c:pt>
                <c:pt idx="1033">
                  <c:v>20.008400000000002</c:v>
                </c:pt>
                <c:pt idx="1034">
                  <c:v>19.492100000000001</c:v>
                </c:pt>
                <c:pt idx="1035">
                  <c:v>19.474299999999999</c:v>
                </c:pt>
                <c:pt idx="1036">
                  <c:v>19.331900000000001</c:v>
                </c:pt>
                <c:pt idx="1037">
                  <c:v>19.527699999999999</c:v>
                </c:pt>
                <c:pt idx="1038">
                  <c:v>19.527699999999999</c:v>
                </c:pt>
                <c:pt idx="1039">
                  <c:v>20.346599999999999</c:v>
                </c:pt>
                <c:pt idx="1040">
                  <c:v>20.6492</c:v>
                </c:pt>
                <c:pt idx="1041">
                  <c:v>21.058599999999998</c:v>
                </c:pt>
                <c:pt idx="1042">
                  <c:v>21.272200000000002</c:v>
                </c:pt>
                <c:pt idx="1043">
                  <c:v>22.482700000000001</c:v>
                </c:pt>
                <c:pt idx="1044">
                  <c:v>22.251300000000001</c:v>
                </c:pt>
                <c:pt idx="1045">
                  <c:v>21.539200000000001</c:v>
                </c:pt>
                <c:pt idx="1046">
                  <c:v>21.040800000000001</c:v>
                </c:pt>
                <c:pt idx="1047">
                  <c:v>21.218800000000002</c:v>
                </c:pt>
                <c:pt idx="1048">
                  <c:v>21.058599999999998</c:v>
                </c:pt>
                <c:pt idx="1049">
                  <c:v>20.791599999999999</c:v>
                </c:pt>
                <c:pt idx="1050">
                  <c:v>20.844999999999999</c:v>
                </c:pt>
                <c:pt idx="1051">
                  <c:v>20.880600000000001</c:v>
                </c:pt>
                <c:pt idx="1052">
                  <c:v>21.183199999999999</c:v>
                </c:pt>
                <c:pt idx="1053">
                  <c:v>21.0764</c:v>
                </c:pt>
                <c:pt idx="1054">
                  <c:v>20.844999999999999</c:v>
                </c:pt>
                <c:pt idx="1055">
                  <c:v>20.738199999999999</c:v>
                </c:pt>
                <c:pt idx="1056">
                  <c:v>20.667000000000002</c:v>
                </c:pt>
                <c:pt idx="1057">
                  <c:v>20.898399999999999</c:v>
                </c:pt>
                <c:pt idx="1058">
                  <c:v>20.844999999999999</c:v>
                </c:pt>
                <c:pt idx="1059">
                  <c:v>20.791599999999999</c:v>
                </c:pt>
                <c:pt idx="1060">
                  <c:v>20.4712</c:v>
                </c:pt>
                <c:pt idx="1061">
                  <c:v>20.684799999999999</c:v>
                </c:pt>
                <c:pt idx="1062">
                  <c:v>20.595800000000001</c:v>
                </c:pt>
                <c:pt idx="1063">
                  <c:v>20.987400000000001</c:v>
                </c:pt>
                <c:pt idx="1064">
                  <c:v>20.827200000000001</c:v>
                </c:pt>
                <c:pt idx="1065">
                  <c:v>20.542400000000001</c:v>
                </c:pt>
                <c:pt idx="1066">
                  <c:v>21.183199999999999</c:v>
                </c:pt>
                <c:pt idx="1067">
                  <c:v>21.147600000000001</c:v>
                </c:pt>
                <c:pt idx="1068">
                  <c:v>20.827200000000001</c:v>
                </c:pt>
                <c:pt idx="1069">
                  <c:v>20.6492</c:v>
                </c:pt>
                <c:pt idx="1070">
                  <c:v>20.667000000000002</c:v>
                </c:pt>
                <c:pt idx="1071">
                  <c:v>20.631399999999999</c:v>
                </c:pt>
                <c:pt idx="1072">
                  <c:v>20.738199999999999</c:v>
                </c:pt>
                <c:pt idx="1073">
                  <c:v>20.844999999999999</c:v>
                </c:pt>
                <c:pt idx="1074">
                  <c:v>20.827200000000001</c:v>
                </c:pt>
                <c:pt idx="1075">
                  <c:v>20.880600000000001</c:v>
                </c:pt>
                <c:pt idx="1076">
                  <c:v>20.178799999999999</c:v>
                </c:pt>
                <c:pt idx="1077">
                  <c:v>20.281199999999998</c:v>
                </c:pt>
                <c:pt idx="1078">
                  <c:v>20.2471</c:v>
                </c:pt>
                <c:pt idx="1079">
                  <c:v>20.1447</c:v>
                </c:pt>
                <c:pt idx="1080">
                  <c:v>20.9129</c:v>
                </c:pt>
                <c:pt idx="1081">
                  <c:v>21.134799999999998</c:v>
                </c:pt>
                <c:pt idx="1082">
                  <c:v>21.254300000000001</c:v>
                </c:pt>
                <c:pt idx="1083">
                  <c:v>20.964099999999998</c:v>
                </c:pt>
                <c:pt idx="1084">
                  <c:v>21.151900000000001</c:v>
                </c:pt>
                <c:pt idx="1085">
                  <c:v>21.6128</c:v>
                </c:pt>
                <c:pt idx="1086">
                  <c:v>21.6982</c:v>
                </c:pt>
                <c:pt idx="1087">
                  <c:v>21.510400000000001</c:v>
                </c:pt>
                <c:pt idx="1088">
                  <c:v>21.561599999999999</c:v>
                </c:pt>
                <c:pt idx="1089">
                  <c:v>21.681100000000001</c:v>
                </c:pt>
                <c:pt idx="1090">
                  <c:v>21.510400000000001</c:v>
                </c:pt>
                <c:pt idx="1091">
                  <c:v>21.654599999999999</c:v>
                </c:pt>
                <c:pt idx="1092">
                  <c:v>22.007999999999999</c:v>
                </c:pt>
                <c:pt idx="1093">
                  <c:v>21.949100000000001</c:v>
                </c:pt>
                <c:pt idx="1094">
                  <c:v>21.811699999999998</c:v>
                </c:pt>
                <c:pt idx="1095">
                  <c:v>21.7332</c:v>
                </c:pt>
                <c:pt idx="1096">
                  <c:v>21.850999999999999</c:v>
                </c:pt>
                <c:pt idx="1097">
                  <c:v>20.810400000000001</c:v>
                </c:pt>
                <c:pt idx="1098">
                  <c:v>20.830100000000002</c:v>
                </c:pt>
                <c:pt idx="1099">
                  <c:v>20.4178</c:v>
                </c:pt>
                <c:pt idx="1100">
                  <c:v>21.006799999999998</c:v>
                </c:pt>
                <c:pt idx="1101">
                  <c:v>20.9282</c:v>
                </c:pt>
                <c:pt idx="1102">
                  <c:v>20.7712</c:v>
                </c:pt>
                <c:pt idx="1103">
                  <c:v>20.5945</c:v>
                </c:pt>
                <c:pt idx="1104">
                  <c:v>20.849699999999999</c:v>
                </c:pt>
                <c:pt idx="1105">
                  <c:v>20.7319</c:v>
                </c:pt>
                <c:pt idx="1106">
                  <c:v>20.888999999999999</c:v>
                </c:pt>
                <c:pt idx="1107">
                  <c:v>21.104900000000001</c:v>
                </c:pt>
                <c:pt idx="1108">
                  <c:v>20.633800000000001</c:v>
                </c:pt>
                <c:pt idx="1109">
                  <c:v>20.378499999999999</c:v>
                </c:pt>
                <c:pt idx="1110">
                  <c:v>19.907399999999999</c:v>
                </c:pt>
                <c:pt idx="1111">
                  <c:v>19.730699999999999</c:v>
                </c:pt>
                <c:pt idx="1112">
                  <c:v>19.691400000000002</c:v>
                </c:pt>
                <c:pt idx="1113">
                  <c:v>19.181000000000001</c:v>
                </c:pt>
                <c:pt idx="1114">
                  <c:v>19.9663</c:v>
                </c:pt>
                <c:pt idx="1115">
                  <c:v>19.436199999999999</c:v>
                </c:pt>
                <c:pt idx="1116">
                  <c:v>19.396899999999999</c:v>
                </c:pt>
                <c:pt idx="1117">
                  <c:v>19.6325</c:v>
                </c:pt>
                <c:pt idx="1118">
                  <c:v>20.614100000000001</c:v>
                </c:pt>
                <c:pt idx="1119">
                  <c:v>20.515999999999998</c:v>
                </c:pt>
                <c:pt idx="1120">
                  <c:v>19.9466</c:v>
                </c:pt>
                <c:pt idx="1121">
                  <c:v>20.2607</c:v>
                </c:pt>
                <c:pt idx="1122">
                  <c:v>20.614100000000001</c:v>
                </c:pt>
                <c:pt idx="1123">
                  <c:v>20.3</c:v>
                </c:pt>
                <c:pt idx="1124">
                  <c:v>20.005500000000001</c:v>
                </c:pt>
                <c:pt idx="1125">
                  <c:v>20.044799999999999</c:v>
                </c:pt>
                <c:pt idx="1126">
                  <c:v>19.868099999999998</c:v>
                </c:pt>
                <c:pt idx="1127">
                  <c:v>20.025099999999998</c:v>
                </c:pt>
                <c:pt idx="1128">
                  <c:v>19.9466</c:v>
                </c:pt>
                <c:pt idx="1129">
                  <c:v>20.005500000000001</c:v>
                </c:pt>
                <c:pt idx="1130">
                  <c:v>20.319600000000001</c:v>
                </c:pt>
                <c:pt idx="1131">
                  <c:v>20.712299999999999</c:v>
                </c:pt>
                <c:pt idx="1132">
                  <c:v>20.221499999999999</c:v>
                </c:pt>
                <c:pt idx="1133">
                  <c:v>20.221499999999999</c:v>
                </c:pt>
                <c:pt idx="1134">
                  <c:v>19.573599999999999</c:v>
                </c:pt>
                <c:pt idx="1135">
                  <c:v>19.239799999999999</c:v>
                </c:pt>
                <c:pt idx="1136">
                  <c:v>19.534300000000002</c:v>
                </c:pt>
                <c:pt idx="1137">
                  <c:v>19.239799999999999</c:v>
                </c:pt>
                <c:pt idx="1138">
                  <c:v>19.1417</c:v>
                </c:pt>
                <c:pt idx="1139">
                  <c:v>18.748999999999999</c:v>
                </c:pt>
                <c:pt idx="1140">
                  <c:v>17.615600000000001</c:v>
                </c:pt>
                <c:pt idx="1141">
                  <c:v>17.691299999999998</c:v>
                </c:pt>
                <c:pt idx="1142">
                  <c:v>17.4451</c:v>
                </c:pt>
                <c:pt idx="1143">
                  <c:v>17.691299999999998</c:v>
                </c:pt>
                <c:pt idx="1144">
                  <c:v>18.089099999999998</c:v>
                </c:pt>
                <c:pt idx="1145">
                  <c:v>18.089099999999998</c:v>
                </c:pt>
                <c:pt idx="1146">
                  <c:v>17.899699999999999</c:v>
                </c:pt>
                <c:pt idx="1147">
                  <c:v>17.8429</c:v>
                </c:pt>
                <c:pt idx="1148">
                  <c:v>18.2027</c:v>
                </c:pt>
                <c:pt idx="1149">
                  <c:v>17.805</c:v>
                </c:pt>
                <c:pt idx="1150">
                  <c:v>17.501899999999999</c:v>
                </c:pt>
                <c:pt idx="1151">
                  <c:v>16.971599999999999</c:v>
                </c:pt>
                <c:pt idx="1152">
                  <c:v>17.009399999999999</c:v>
                </c:pt>
                <c:pt idx="1153">
                  <c:v>16.6874</c:v>
                </c:pt>
                <c:pt idx="1154">
                  <c:v>16.479099999999999</c:v>
                </c:pt>
                <c:pt idx="1155">
                  <c:v>17.615600000000001</c:v>
                </c:pt>
                <c:pt idx="1156">
                  <c:v>18.373200000000001</c:v>
                </c:pt>
                <c:pt idx="1157">
                  <c:v>17.994399999999999</c:v>
                </c:pt>
                <c:pt idx="1158">
                  <c:v>18.505800000000001</c:v>
                </c:pt>
                <c:pt idx="1159">
                  <c:v>18.5626</c:v>
                </c:pt>
                <c:pt idx="1160">
                  <c:v>19.3582</c:v>
                </c:pt>
                <c:pt idx="1161">
                  <c:v>19.263500000000001</c:v>
                </c:pt>
                <c:pt idx="1162">
                  <c:v>19.4529</c:v>
                </c:pt>
                <c:pt idx="1163">
                  <c:v>19.680199999999999</c:v>
                </c:pt>
                <c:pt idx="1164">
                  <c:v>19.888500000000001</c:v>
                </c:pt>
                <c:pt idx="1165">
                  <c:v>19.566500000000001</c:v>
                </c:pt>
                <c:pt idx="1166">
                  <c:v>19.111899999999999</c:v>
                </c:pt>
                <c:pt idx="1167">
                  <c:v>18.979299999999999</c:v>
                </c:pt>
                <c:pt idx="1168">
                  <c:v>19.1309</c:v>
                </c:pt>
                <c:pt idx="1169">
                  <c:v>18.221699999999998</c:v>
                </c:pt>
                <c:pt idx="1170">
                  <c:v>18.2027</c:v>
                </c:pt>
                <c:pt idx="1171">
                  <c:v>19.055099999999999</c:v>
                </c:pt>
                <c:pt idx="1172">
                  <c:v>18.7331</c:v>
                </c:pt>
                <c:pt idx="1173">
                  <c:v>18.941500000000001</c:v>
                </c:pt>
                <c:pt idx="1174">
                  <c:v>19.1309</c:v>
                </c:pt>
                <c:pt idx="1175">
                  <c:v>18.941500000000001</c:v>
                </c:pt>
                <c:pt idx="1176">
                  <c:v>18.5626</c:v>
                </c:pt>
                <c:pt idx="1177">
                  <c:v>18.752099999999999</c:v>
                </c:pt>
                <c:pt idx="1178">
                  <c:v>19.093</c:v>
                </c:pt>
                <c:pt idx="1179">
                  <c:v>18.979299999999999</c:v>
                </c:pt>
                <c:pt idx="1180">
                  <c:v>18.884599999999999</c:v>
                </c:pt>
                <c:pt idx="1181">
                  <c:v>18.752099999999999</c:v>
                </c:pt>
                <c:pt idx="1182">
                  <c:v>18.846800000000002</c:v>
                </c:pt>
                <c:pt idx="1183">
                  <c:v>18.392199999999999</c:v>
                </c:pt>
                <c:pt idx="1184">
                  <c:v>18.297499999999999</c:v>
                </c:pt>
                <c:pt idx="1185">
                  <c:v>18.297499999999999</c:v>
                </c:pt>
                <c:pt idx="1186">
                  <c:v>18.297499999999999</c:v>
                </c:pt>
                <c:pt idx="1187">
                  <c:v>18.4679</c:v>
                </c:pt>
                <c:pt idx="1188">
                  <c:v>18.221699999999998</c:v>
                </c:pt>
                <c:pt idx="1189">
                  <c:v>18.089099999999998</c:v>
                </c:pt>
                <c:pt idx="1190">
                  <c:v>18.354299999999999</c:v>
                </c:pt>
                <c:pt idx="1191">
                  <c:v>18.108000000000001</c:v>
                </c:pt>
                <c:pt idx="1192">
                  <c:v>18.183800000000002</c:v>
                </c:pt>
                <c:pt idx="1193">
                  <c:v>17.748200000000001</c:v>
                </c:pt>
                <c:pt idx="1194">
                  <c:v>17.767099999999999</c:v>
                </c:pt>
                <c:pt idx="1195">
                  <c:v>17.9755</c:v>
                </c:pt>
                <c:pt idx="1196">
                  <c:v>18.164899999999999</c:v>
                </c:pt>
                <c:pt idx="1197">
                  <c:v>17.880700000000001</c:v>
                </c:pt>
                <c:pt idx="1198">
                  <c:v>17.786000000000001</c:v>
                </c:pt>
                <c:pt idx="1199">
                  <c:v>17.748200000000001</c:v>
                </c:pt>
                <c:pt idx="1200">
                  <c:v>17.805</c:v>
                </c:pt>
                <c:pt idx="1201">
                  <c:v>17.729199999999999</c:v>
                </c:pt>
                <c:pt idx="1202">
                  <c:v>17.615600000000001</c:v>
                </c:pt>
                <c:pt idx="1203">
                  <c:v>17.520900000000001</c:v>
                </c:pt>
                <c:pt idx="1204">
                  <c:v>17.861799999999999</c:v>
                </c:pt>
                <c:pt idx="1205">
                  <c:v>18.278500000000001</c:v>
                </c:pt>
                <c:pt idx="1206">
                  <c:v>17.3902</c:v>
                </c:pt>
                <c:pt idx="1207">
                  <c:v>17.245000000000001</c:v>
                </c:pt>
                <c:pt idx="1208">
                  <c:v>17.063500000000001</c:v>
                </c:pt>
                <c:pt idx="1209">
                  <c:v>17.698799999999999</c:v>
                </c:pt>
                <c:pt idx="1210">
                  <c:v>17.517299999999999</c:v>
                </c:pt>
                <c:pt idx="1211">
                  <c:v>17.680700000000002</c:v>
                </c:pt>
                <c:pt idx="1212">
                  <c:v>18.061900000000001</c:v>
                </c:pt>
                <c:pt idx="1213">
                  <c:v>17.952999999999999</c:v>
                </c:pt>
                <c:pt idx="1214">
                  <c:v>18.116299999999999</c:v>
                </c:pt>
                <c:pt idx="1215">
                  <c:v>17.880400000000002</c:v>
                </c:pt>
                <c:pt idx="1216">
                  <c:v>19.114699999999999</c:v>
                </c:pt>
                <c:pt idx="1217">
                  <c:v>19.205500000000001</c:v>
                </c:pt>
                <c:pt idx="1218">
                  <c:v>18.896899999999999</c:v>
                </c:pt>
                <c:pt idx="1219">
                  <c:v>19.060300000000002</c:v>
                </c:pt>
                <c:pt idx="1220">
                  <c:v>18.788</c:v>
                </c:pt>
                <c:pt idx="1221">
                  <c:v>18.334199999999999</c:v>
                </c:pt>
                <c:pt idx="1222">
                  <c:v>17.880400000000002</c:v>
                </c:pt>
                <c:pt idx="1223">
                  <c:v>18.533899999999999</c:v>
                </c:pt>
                <c:pt idx="1224">
                  <c:v>18.9695</c:v>
                </c:pt>
                <c:pt idx="1225">
                  <c:v>19.260000000000002</c:v>
                </c:pt>
                <c:pt idx="1226">
                  <c:v>18.9695</c:v>
                </c:pt>
                <c:pt idx="1227">
                  <c:v>18.933199999999999</c:v>
                </c:pt>
                <c:pt idx="1228">
                  <c:v>18.860600000000002</c:v>
                </c:pt>
                <c:pt idx="1229">
                  <c:v>18.497499999999999</c:v>
                </c:pt>
                <c:pt idx="1230">
                  <c:v>17.9711</c:v>
                </c:pt>
                <c:pt idx="1231">
                  <c:v>17.716999999999999</c:v>
                </c:pt>
                <c:pt idx="1232">
                  <c:v>17.9711</c:v>
                </c:pt>
                <c:pt idx="1233">
                  <c:v>17.753299999999999</c:v>
                </c:pt>
                <c:pt idx="1234">
                  <c:v>17.898499999999999</c:v>
                </c:pt>
                <c:pt idx="1235">
                  <c:v>17.934799999999999</c:v>
                </c:pt>
                <c:pt idx="1236">
                  <c:v>17.481000000000002</c:v>
                </c:pt>
                <c:pt idx="1237">
                  <c:v>17.154299999999999</c:v>
                </c:pt>
                <c:pt idx="1238">
                  <c:v>16.7912</c:v>
                </c:pt>
                <c:pt idx="1239">
                  <c:v>16.173999999999999</c:v>
                </c:pt>
                <c:pt idx="1240">
                  <c:v>16.428100000000001</c:v>
                </c:pt>
                <c:pt idx="1241">
                  <c:v>16.863800000000001</c:v>
                </c:pt>
                <c:pt idx="1242">
                  <c:v>16.264800000000001</c:v>
                </c:pt>
                <c:pt idx="1243">
                  <c:v>15.7928</c:v>
                </c:pt>
                <c:pt idx="1244">
                  <c:v>15.447900000000001</c:v>
                </c:pt>
                <c:pt idx="1245">
                  <c:v>15.3208</c:v>
                </c:pt>
                <c:pt idx="1246">
                  <c:v>14.8126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0B0-454F-ADA1-96CBF634E7E5}"/>
            </c:ext>
          </c:extLst>
        </c:ser>
        <c:ser>
          <c:idx val="4"/>
          <c:order val="3"/>
          <c:tx>
            <c:strRef>
              <c:f>'FX Data'!$F$956</c:f>
              <c:strCache>
                <c:ptCount val="1"/>
                <c:pt idx="0">
                  <c:v>=+1sd</c:v>
                </c:pt>
              </c:strCache>
            </c:strRef>
          </c:tx>
          <c:spPr>
            <a:ln w="12700" cap="rnd">
              <a:solidFill>
                <a:srgbClr val="F79646">
                  <a:lumMod val="60000"/>
                  <a:lumOff val="40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'FX Data'!$B$957:$B$2203</c:f>
              <c:numCache>
                <c:formatCode>m/d/yyyy</c:formatCode>
                <c:ptCount val="1247"/>
                <c:pt idx="0">
                  <c:v>44263</c:v>
                </c:pt>
                <c:pt idx="1">
                  <c:v>44264</c:v>
                </c:pt>
                <c:pt idx="2">
                  <c:v>44265</c:v>
                </c:pt>
                <c:pt idx="3">
                  <c:v>44266</c:v>
                </c:pt>
                <c:pt idx="4">
                  <c:v>44267</c:v>
                </c:pt>
                <c:pt idx="5">
                  <c:v>44270</c:v>
                </c:pt>
                <c:pt idx="6">
                  <c:v>44271</c:v>
                </c:pt>
                <c:pt idx="7">
                  <c:v>44272</c:v>
                </c:pt>
                <c:pt idx="8">
                  <c:v>44273</c:v>
                </c:pt>
                <c:pt idx="9">
                  <c:v>44274</c:v>
                </c:pt>
                <c:pt idx="10">
                  <c:v>44277</c:v>
                </c:pt>
                <c:pt idx="11">
                  <c:v>44278</c:v>
                </c:pt>
                <c:pt idx="12">
                  <c:v>44279</c:v>
                </c:pt>
                <c:pt idx="13">
                  <c:v>44280</c:v>
                </c:pt>
                <c:pt idx="14">
                  <c:v>44281</c:v>
                </c:pt>
                <c:pt idx="15">
                  <c:v>44284</c:v>
                </c:pt>
                <c:pt idx="16">
                  <c:v>44285</c:v>
                </c:pt>
                <c:pt idx="17">
                  <c:v>44286</c:v>
                </c:pt>
                <c:pt idx="18">
                  <c:v>44287</c:v>
                </c:pt>
                <c:pt idx="19">
                  <c:v>44288</c:v>
                </c:pt>
                <c:pt idx="20">
                  <c:v>44291</c:v>
                </c:pt>
                <c:pt idx="21">
                  <c:v>44292</c:v>
                </c:pt>
                <c:pt idx="22">
                  <c:v>44293</c:v>
                </c:pt>
                <c:pt idx="23">
                  <c:v>44294</c:v>
                </c:pt>
                <c:pt idx="24">
                  <c:v>44295</c:v>
                </c:pt>
                <c:pt idx="25">
                  <c:v>44298</c:v>
                </c:pt>
                <c:pt idx="26">
                  <c:v>44299</c:v>
                </c:pt>
                <c:pt idx="27">
                  <c:v>44300</c:v>
                </c:pt>
                <c:pt idx="28">
                  <c:v>44301</c:v>
                </c:pt>
                <c:pt idx="29">
                  <c:v>44302</c:v>
                </c:pt>
                <c:pt idx="30">
                  <c:v>44305</c:v>
                </c:pt>
                <c:pt idx="31">
                  <c:v>44306</c:v>
                </c:pt>
                <c:pt idx="32">
                  <c:v>44308</c:v>
                </c:pt>
                <c:pt idx="33">
                  <c:v>44309</c:v>
                </c:pt>
                <c:pt idx="34">
                  <c:v>44312</c:v>
                </c:pt>
                <c:pt idx="35">
                  <c:v>44313</c:v>
                </c:pt>
                <c:pt idx="36">
                  <c:v>44314</c:v>
                </c:pt>
                <c:pt idx="37">
                  <c:v>44315</c:v>
                </c:pt>
                <c:pt idx="38">
                  <c:v>44320</c:v>
                </c:pt>
                <c:pt idx="39">
                  <c:v>44321</c:v>
                </c:pt>
                <c:pt idx="40">
                  <c:v>44322</c:v>
                </c:pt>
                <c:pt idx="41">
                  <c:v>44323</c:v>
                </c:pt>
                <c:pt idx="42">
                  <c:v>44326</c:v>
                </c:pt>
                <c:pt idx="43">
                  <c:v>44327</c:v>
                </c:pt>
                <c:pt idx="44">
                  <c:v>44328</c:v>
                </c:pt>
                <c:pt idx="45">
                  <c:v>44329</c:v>
                </c:pt>
                <c:pt idx="46">
                  <c:v>44330</c:v>
                </c:pt>
                <c:pt idx="47">
                  <c:v>44333</c:v>
                </c:pt>
                <c:pt idx="48">
                  <c:v>44334</c:v>
                </c:pt>
                <c:pt idx="49">
                  <c:v>44335</c:v>
                </c:pt>
                <c:pt idx="50">
                  <c:v>44336</c:v>
                </c:pt>
                <c:pt idx="51">
                  <c:v>44337</c:v>
                </c:pt>
                <c:pt idx="52">
                  <c:v>44340</c:v>
                </c:pt>
                <c:pt idx="53">
                  <c:v>44341</c:v>
                </c:pt>
                <c:pt idx="54">
                  <c:v>44342</c:v>
                </c:pt>
                <c:pt idx="55">
                  <c:v>44343</c:v>
                </c:pt>
                <c:pt idx="56">
                  <c:v>44344</c:v>
                </c:pt>
                <c:pt idx="57">
                  <c:v>44347</c:v>
                </c:pt>
                <c:pt idx="58">
                  <c:v>44348</c:v>
                </c:pt>
                <c:pt idx="59">
                  <c:v>44349</c:v>
                </c:pt>
                <c:pt idx="60">
                  <c:v>44350</c:v>
                </c:pt>
                <c:pt idx="61">
                  <c:v>44351</c:v>
                </c:pt>
                <c:pt idx="62">
                  <c:v>44354</c:v>
                </c:pt>
                <c:pt idx="63">
                  <c:v>44355</c:v>
                </c:pt>
                <c:pt idx="64">
                  <c:v>44356</c:v>
                </c:pt>
                <c:pt idx="65">
                  <c:v>44357</c:v>
                </c:pt>
                <c:pt idx="66">
                  <c:v>44358</c:v>
                </c:pt>
                <c:pt idx="67">
                  <c:v>44361</c:v>
                </c:pt>
                <c:pt idx="68">
                  <c:v>44362</c:v>
                </c:pt>
                <c:pt idx="69">
                  <c:v>44363</c:v>
                </c:pt>
                <c:pt idx="70">
                  <c:v>44364</c:v>
                </c:pt>
                <c:pt idx="71">
                  <c:v>44365</c:v>
                </c:pt>
                <c:pt idx="72">
                  <c:v>44368</c:v>
                </c:pt>
                <c:pt idx="73">
                  <c:v>44369</c:v>
                </c:pt>
                <c:pt idx="74">
                  <c:v>44370</c:v>
                </c:pt>
                <c:pt idx="75">
                  <c:v>44371</c:v>
                </c:pt>
                <c:pt idx="76">
                  <c:v>44372</c:v>
                </c:pt>
                <c:pt idx="77">
                  <c:v>44375</c:v>
                </c:pt>
                <c:pt idx="78">
                  <c:v>44376</c:v>
                </c:pt>
                <c:pt idx="79">
                  <c:v>44377</c:v>
                </c:pt>
                <c:pt idx="80">
                  <c:v>44378</c:v>
                </c:pt>
                <c:pt idx="81">
                  <c:v>44379</c:v>
                </c:pt>
                <c:pt idx="82">
                  <c:v>44382</c:v>
                </c:pt>
                <c:pt idx="83">
                  <c:v>44383</c:v>
                </c:pt>
                <c:pt idx="84">
                  <c:v>44384</c:v>
                </c:pt>
                <c:pt idx="85">
                  <c:v>44385</c:v>
                </c:pt>
                <c:pt idx="86">
                  <c:v>44386</c:v>
                </c:pt>
                <c:pt idx="87">
                  <c:v>44389</c:v>
                </c:pt>
                <c:pt idx="88">
                  <c:v>44390</c:v>
                </c:pt>
                <c:pt idx="89">
                  <c:v>44391</c:v>
                </c:pt>
                <c:pt idx="90">
                  <c:v>44392</c:v>
                </c:pt>
                <c:pt idx="91">
                  <c:v>44393</c:v>
                </c:pt>
                <c:pt idx="92">
                  <c:v>44396</c:v>
                </c:pt>
                <c:pt idx="93">
                  <c:v>44397</c:v>
                </c:pt>
                <c:pt idx="94">
                  <c:v>44398</c:v>
                </c:pt>
                <c:pt idx="95">
                  <c:v>44399</c:v>
                </c:pt>
                <c:pt idx="96">
                  <c:v>44400</c:v>
                </c:pt>
                <c:pt idx="97">
                  <c:v>44403</c:v>
                </c:pt>
                <c:pt idx="98">
                  <c:v>44404</c:v>
                </c:pt>
                <c:pt idx="99">
                  <c:v>44405</c:v>
                </c:pt>
                <c:pt idx="100">
                  <c:v>44406</c:v>
                </c:pt>
                <c:pt idx="101">
                  <c:v>44407</c:v>
                </c:pt>
                <c:pt idx="102">
                  <c:v>44410</c:v>
                </c:pt>
                <c:pt idx="103">
                  <c:v>44411</c:v>
                </c:pt>
                <c:pt idx="104">
                  <c:v>44412</c:v>
                </c:pt>
                <c:pt idx="105">
                  <c:v>44413</c:v>
                </c:pt>
                <c:pt idx="106">
                  <c:v>44414</c:v>
                </c:pt>
                <c:pt idx="107">
                  <c:v>44417</c:v>
                </c:pt>
                <c:pt idx="108">
                  <c:v>44418</c:v>
                </c:pt>
                <c:pt idx="109">
                  <c:v>44419</c:v>
                </c:pt>
                <c:pt idx="110">
                  <c:v>44420</c:v>
                </c:pt>
                <c:pt idx="111">
                  <c:v>44421</c:v>
                </c:pt>
                <c:pt idx="112">
                  <c:v>44424</c:v>
                </c:pt>
                <c:pt idx="113">
                  <c:v>44425</c:v>
                </c:pt>
                <c:pt idx="114">
                  <c:v>44426</c:v>
                </c:pt>
                <c:pt idx="115">
                  <c:v>44427</c:v>
                </c:pt>
                <c:pt idx="116">
                  <c:v>44428</c:v>
                </c:pt>
                <c:pt idx="117">
                  <c:v>44431</c:v>
                </c:pt>
                <c:pt idx="118">
                  <c:v>44432</c:v>
                </c:pt>
                <c:pt idx="119">
                  <c:v>44433</c:v>
                </c:pt>
                <c:pt idx="120">
                  <c:v>44434</c:v>
                </c:pt>
                <c:pt idx="121">
                  <c:v>44435</c:v>
                </c:pt>
                <c:pt idx="122">
                  <c:v>44438</c:v>
                </c:pt>
                <c:pt idx="123">
                  <c:v>44439</c:v>
                </c:pt>
                <c:pt idx="124">
                  <c:v>44440</c:v>
                </c:pt>
                <c:pt idx="125">
                  <c:v>44445</c:v>
                </c:pt>
                <c:pt idx="126">
                  <c:v>44446</c:v>
                </c:pt>
                <c:pt idx="127">
                  <c:v>44447</c:v>
                </c:pt>
                <c:pt idx="128">
                  <c:v>44448</c:v>
                </c:pt>
                <c:pt idx="129">
                  <c:v>44449</c:v>
                </c:pt>
                <c:pt idx="130">
                  <c:v>44452</c:v>
                </c:pt>
                <c:pt idx="131">
                  <c:v>44453</c:v>
                </c:pt>
                <c:pt idx="132">
                  <c:v>44454</c:v>
                </c:pt>
                <c:pt idx="133">
                  <c:v>44455</c:v>
                </c:pt>
                <c:pt idx="134">
                  <c:v>44456</c:v>
                </c:pt>
                <c:pt idx="135">
                  <c:v>44459</c:v>
                </c:pt>
                <c:pt idx="136">
                  <c:v>44460</c:v>
                </c:pt>
                <c:pt idx="137">
                  <c:v>44461</c:v>
                </c:pt>
                <c:pt idx="138">
                  <c:v>44462</c:v>
                </c:pt>
                <c:pt idx="139">
                  <c:v>44463</c:v>
                </c:pt>
                <c:pt idx="140">
                  <c:v>44466</c:v>
                </c:pt>
                <c:pt idx="141">
                  <c:v>44467</c:v>
                </c:pt>
                <c:pt idx="142">
                  <c:v>44468</c:v>
                </c:pt>
                <c:pt idx="143">
                  <c:v>44469</c:v>
                </c:pt>
                <c:pt idx="144">
                  <c:v>44470</c:v>
                </c:pt>
                <c:pt idx="145">
                  <c:v>44473</c:v>
                </c:pt>
                <c:pt idx="146">
                  <c:v>44474</c:v>
                </c:pt>
                <c:pt idx="147">
                  <c:v>44475</c:v>
                </c:pt>
                <c:pt idx="148">
                  <c:v>44476</c:v>
                </c:pt>
                <c:pt idx="149">
                  <c:v>44477</c:v>
                </c:pt>
                <c:pt idx="150">
                  <c:v>44480</c:v>
                </c:pt>
                <c:pt idx="151">
                  <c:v>44481</c:v>
                </c:pt>
                <c:pt idx="152">
                  <c:v>44482</c:v>
                </c:pt>
                <c:pt idx="153">
                  <c:v>44483</c:v>
                </c:pt>
                <c:pt idx="154">
                  <c:v>44484</c:v>
                </c:pt>
                <c:pt idx="155">
                  <c:v>44487</c:v>
                </c:pt>
                <c:pt idx="156">
                  <c:v>44488</c:v>
                </c:pt>
                <c:pt idx="157">
                  <c:v>44489</c:v>
                </c:pt>
                <c:pt idx="158">
                  <c:v>44490</c:v>
                </c:pt>
                <c:pt idx="159">
                  <c:v>44491</c:v>
                </c:pt>
                <c:pt idx="160">
                  <c:v>44494</c:v>
                </c:pt>
                <c:pt idx="161">
                  <c:v>44495</c:v>
                </c:pt>
                <c:pt idx="162">
                  <c:v>44496</c:v>
                </c:pt>
                <c:pt idx="163">
                  <c:v>44497</c:v>
                </c:pt>
                <c:pt idx="164">
                  <c:v>44498</c:v>
                </c:pt>
                <c:pt idx="165">
                  <c:v>44501</c:v>
                </c:pt>
                <c:pt idx="166">
                  <c:v>44502</c:v>
                </c:pt>
                <c:pt idx="167">
                  <c:v>44503</c:v>
                </c:pt>
                <c:pt idx="168">
                  <c:v>44504</c:v>
                </c:pt>
                <c:pt idx="169">
                  <c:v>44505</c:v>
                </c:pt>
                <c:pt idx="170">
                  <c:v>44508</c:v>
                </c:pt>
                <c:pt idx="171">
                  <c:v>44509</c:v>
                </c:pt>
                <c:pt idx="172">
                  <c:v>44510</c:v>
                </c:pt>
                <c:pt idx="173">
                  <c:v>44511</c:v>
                </c:pt>
                <c:pt idx="174">
                  <c:v>44512</c:v>
                </c:pt>
                <c:pt idx="175">
                  <c:v>44515</c:v>
                </c:pt>
                <c:pt idx="176">
                  <c:v>44516</c:v>
                </c:pt>
                <c:pt idx="177">
                  <c:v>44517</c:v>
                </c:pt>
                <c:pt idx="178">
                  <c:v>44518</c:v>
                </c:pt>
                <c:pt idx="179">
                  <c:v>44519</c:v>
                </c:pt>
                <c:pt idx="180">
                  <c:v>44522</c:v>
                </c:pt>
                <c:pt idx="181">
                  <c:v>44523</c:v>
                </c:pt>
                <c:pt idx="182">
                  <c:v>44524</c:v>
                </c:pt>
                <c:pt idx="183">
                  <c:v>44525</c:v>
                </c:pt>
                <c:pt idx="184">
                  <c:v>44526</c:v>
                </c:pt>
                <c:pt idx="185">
                  <c:v>44529</c:v>
                </c:pt>
                <c:pt idx="186">
                  <c:v>44530</c:v>
                </c:pt>
                <c:pt idx="187">
                  <c:v>44531</c:v>
                </c:pt>
                <c:pt idx="188">
                  <c:v>44532</c:v>
                </c:pt>
                <c:pt idx="189">
                  <c:v>44533</c:v>
                </c:pt>
                <c:pt idx="190">
                  <c:v>44536</c:v>
                </c:pt>
                <c:pt idx="191">
                  <c:v>44537</c:v>
                </c:pt>
                <c:pt idx="192">
                  <c:v>44538</c:v>
                </c:pt>
                <c:pt idx="193">
                  <c:v>44539</c:v>
                </c:pt>
                <c:pt idx="194">
                  <c:v>44540</c:v>
                </c:pt>
                <c:pt idx="195">
                  <c:v>44543</c:v>
                </c:pt>
                <c:pt idx="196">
                  <c:v>44544</c:v>
                </c:pt>
                <c:pt idx="197">
                  <c:v>44545</c:v>
                </c:pt>
                <c:pt idx="198">
                  <c:v>44546</c:v>
                </c:pt>
                <c:pt idx="199">
                  <c:v>44547</c:v>
                </c:pt>
                <c:pt idx="200">
                  <c:v>44550</c:v>
                </c:pt>
                <c:pt idx="201">
                  <c:v>44551</c:v>
                </c:pt>
                <c:pt idx="202">
                  <c:v>44552</c:v>
                </c:pt>
                <c:pt idx="203">
                  <c:v>44553</c:v>
                </c:pt>
                <c:pt idx="204">
                  <c:v>44554</c:v>
                </c:pt>
                <c:pt idx="205">
                  <c:v>44557</c:v>
                </c:pt>
                <c:pt idx="206">
                  <c:v>44558</c:v>
                </c:pt>
                <c:pt idx="207">
                  <c:v>44559</c:v>
                </c:pt>
                <c:pt idx="208">
                  <c:v>44560</c:v>
                </c:pt>
                <c:pt idx="209">
                  <c:v>44561</c:v>
                </c:pt>
                <c:pt idx="210">
                  <c:v>44565</c:v>
                </c:pt>
                <c:pt idx="211">
                  <c:v>44566</c:v>
                </c:pt>
                <c:pt idx="212">
                  <c:v>44567</c:v>
                </c:pt>
                <c:pt idx="213">
                  <c:v>44568</c:v>
                </c:pt>
                <c:pt idx="214">
                  <c:v>44571</c:v>
                </c:pt>
                <c:pt idx="215">
                  <c:v>44572</c:v>
                </c:pt>
                <c:pt idx="216">
                  <c:v>44573</c:v>
                </c:pt>
                <c:pt idx="217">
                  <c:v>44574</c:v>
                </c:pt>
                <c:pt idx="218">
                  <c:v>44575</c:v>
                </c:pt>
                <c:pt idx="219">
                  <c:v>44578</c:v>
                </c:pt>
                <c:pt idx="220">
                  <c:v>44579</c:v>
                </c:pt>
                <c:pt idx="221">
                  <c:v>44580</c:v>
                </c:pt>
                <c:pt idx="222">
                  <c:v>44581</c:v>
                </c:pt>
                <c:pt idx="223">
                  <c:v>44582</c:v>
                </c:pt>
                <c:pt idx="224">
                  <c:v>44585</c:v>
                </c:pt>
                <c:pt idx="225">
                  <c:v>44586</c:v>
                </c:pt>
                <c:pt idx="226">
                  <c:v>44587</c:v>
                </c:pt>
                <c:pt idx="227">
                  <c:v>44588</c:v>
                </c:pt>
                <c:pt idx="228">
                  <c:v>44589</c:v>
                </c:pt>
                <c:pt idx="229">
                  <c:v>44599</c:v>
                </c:pt>
                <c:pt idx="230">
                  <c:v>44600</c:v>
                </c:pt>
                <c:pt idx="231">
                  <c:v>44601</c:v>
                </c:pt>
                <c:pt idx="232">
                  <c:v>44602</c:v>
                </c:pt>
                <c:pt idx="233">
                  <c:v>44603</c:v>
                </c:pt>
                <c:pt idx="234">
                  <c:v>44606</c:v>
                </c:pt>
                <c:pt idx="235">
                  <c:v>44607</c:v>
                </c:pt>
                <c:pt idx="236">
                  <c:v>44608</c:v>
                </c:pt>
                <c:pt idx="237">
                  <c:v>44609</c:v>
                </c:pt>
                <c:pt idx="238">
                  <c:v>44610</c:v>
                </c:pt>
                <c:pt idx="239">
                  <c:v>44613</c:v>
                </c:pt>
                <c:pt idx="240">
                  <c:v>44614</c:v>
                </c:pt>
                <c:pt idx="241">
                  <c:v>44615</c:v>
                </c:pt>
                <c:pt idx="242">
                  <c:v>44616</c:v>
                </c:pt>
                <c:pt idx="243">
                  <c:v>44617</c:v>
                </c:pt>
                <c:pt idx="244">
                  <c:v>44620</c:v>
                </c:pt>
                <c:pt idx="245">
                  <c:v>44621</c:v>
                </c:pt>
                <c:pt idx="246">
                  <c:v>44622</c:v>
                </c:pt>
                <c:pt idx="247">
                  <c:v>44623</c:v>
                </c:pt>
                <c:pt idx="248">
                  <c:v>44624</c:v>
                </c:pt>
                <c:pt idx="249">
                  <c:v>44627</c:v>
                </c:pt>
                <c:pt idx="250">
                  <c:v>44628</c:v>
                </c:pt>
                <c:pt idx="251">
                  <c:v>44629</c:v>
                </c:pt>
                <c:pt idx="252">
                  <c:v>44630</c:v>
                </c:pt>
                <c:pt idx="253">
                  <c:v>44631</c:v>
                </c:pt>
                <c:pt idx="254">
                  <c:v>44634</c:v>
                </c:pt>
                <c:pt idx="255">
                  <c:v>44635</c:v>
                </c:pt>
                <c:pt idx="256">
                  <c:v>44636</c:v>
                </c:pt>
                <c:pt idx="257">
                  <c:v>44637</c:v>
                </c:pt>
                <c:pt idx="258">
                  <c:v>44638</c:v>
                </c:pt>
                <c:pt idx="259">
                  <c:v>44641</c:v>
                </c:pt>
                <c:pt idx="260">
                  <c:v>44642</c:v>
                </c:pt>
                <c:pt idx="261">
                  <c:v>44643</c:v>
                </c:pt>
                <c:pt idx="262">
                  <c:v>44644</c:v>
                </c:pt>
                <c:pt idx="263">
                  <c:v>44645</c:v>
                </c:pt>
                <c:pt idx="264">
                  <c:v>44648</c:v>
                </c:pt>
                <c:pt idx="265">
                  <c:v>44649</c:v>
                </c:pt>
                <c:pt idx="266">
                  <c:v>44650</c:v>
                </c:pt>
                <c:pt idx="267">
                  <c:v>44651</c:v>
                </c:pt>
                <c:pt idx="268">
                  <c:v>44652</c:v>
                </c:pt>
                <c:pt idx="269">
                  <c:v>44655</c:v>
                </c:pt>
                <c:pt idx="270">
                  <c:v>44656</c:v>
                </c:pt>
                <c:pt idx="271">
                  <c:v>44657</c:v>
                </c:pt>
                <c:pt idx="272">
                  <c:v>44658</c:v>
                </c:pt>
                <c:pt idx="273">
                  <c:v>44659</c:v>
                </c:pt>
                <c:pt idx="274">
                  <c:v>44663</c:v>
                </c:pt>
                <c:pt idx="275">
                  <c:v>44664</c:v>
                </c:pt>
                <c:pt idx="276">
                  <c:v>44665</c:v>
                </c:pt>
                <c:pt idx="277">
                  <c:v>44666</c:v>
                </c:pt>
                <c:pt idx="278">
                  <c:v>44669</c:v>
                </c:pt>
                <c:pt idx="279">
                  <c:v>44670</c:v>
                </c:pt>
                <c:pt idx="280">
                  <c:v>44671</c:v>
                </c:pt>
                <c:pt idx="281">
                  <c:v>44672</c:v>
                </c:pt>
                <c:pt idx="282">
                  <c:v>44673</c:v>
                </c:pt>
                <c:pt idx="283">
                  <c:v>44676</c:v>
                </c:pt>
                <c:pt idx="284">
                  <c:v>44677</c:v>
                </c:pt>
                <c:pt idx="285">
                  <c:v>44678</c:v>
                </c:pt>
                <c:pt idx="286">
                  <c:v>44679</c:v>
                </c:pt>
                <c:pt idx="287">
                  <c:v>44680</c:v>
                </c:pt>
                <c:pt idx="288">
                  <c:v>44685</c:v>
                </c:pt>
                <c:pt idx="289">
                  <c:v>44686</c:v>
                </c:pt>
                <c:pt idx="290">
                  <c:v>44687</c:v>
                </c:pt>
                <c:pt idx="291">
                  <c:v>44690</c:v>
                </c:pt>
                <c:pt idx="292">
                  <c:v>44691</c:v>
                </c:pt>
                <c:pt idx="293">
                  <c:v>44692</c:v>
                </c:pt>
                <c:pt idx="294">
                  <c:v>44693</c:v>
                </c:pt>
                <c:pt idx="295">
                  <c:v>44694</c:v>
                </c:pt>
                <c:pt idx="296">
                  <c:v>44697</c:v>
                </c:pt>
                <c:pt idx="297">
                  <c:v>44698</c:v>
                </c:pt>
                <c:pt idx="298">
                  <c:v>44699</c:v>
                </c:pt>
                <c:pt idx="299">
                  <c:v>44700</c:v>
                </c:pt>
                <c:pt idx="300">
                  <c:v>44701</c:v>
                </c:pt>
                <c:pt idx="301">
                  <c:v>44704</c:v>
                </c:pt>
                <c:pt idx="302">
                  <c:v>44705</c:v>
                </c:pt>
                <c:pt idx="303">
                  <c:v>44706</c:v>
                </c:pt>
                <c:pt idx="304">
                  <c:v>44707</c:v>
                </c:pt>
                <c:pt idx="305">
                  <c:v>44708</c:v>
                </c:pt>
                <c:pt idx="306">
                  <c:v>44711</c:v>
                </c:pt>
                <c:pt idx="307">
                  <c:v>44712</c:v>
                </c:pt>
                <c:pt idx="308">
                  <c:v>44713</c:v>
                </c:pt>
                <c:pt idx="309">
                  <c:v>44714</c:v>
                </c:pt>
                <c:pt idx="310">
                  <c:v>44715</c:v>
                </c:pt>
                <c:pt idx="311">
                  <c:v>44718</c:v>
                </c:pt>
                <c:pt idx="312">
                  <c:v>44719</c:v>
                </c:pt>
                <c:pt idx="313">
                  <c:v>44720</c:v>
                </c:pt>
                <c:pt idx="314">
                  <c:v>44721</c:v>
                </c:pt>
                <c:pt idx="315">
                  <c:v>44722</c:v>
                </c:pt>
                <c:pt idx="316">
                  <c:v>44725</c:v>
                </c:pt>
                <c:pt idx="317">
                  <c:v>44726</c:v>
                </c:pt>
                <c:pt idx="318">
                  <c:v>44727</c:v>
                </c:pt>
                <c:pt idx="319">
                  <c:v>44728</c:v>
                </c:pt>
                <c:pt idx="320">
                  <c:v>44729</c:v>
                </c:pt>
                <c:pt idx="321">
                  <c:v>44732</c:v>
                </c:pt>
                <c:pt idx="322">
                  <c:v>44733</c:v>
                </c:pt>
                <c:pt idx="323">
                  <c:v>44734</c:v>
                </c:pt>
                <c:pt idx="324">
                  <c:v>44735</c:v>
                </c:pt>
                <c:pt idx="325">
                  <c:v>44736</c:v>
                </c:pt>
                <c:pt idx="326">
                  <c:v>44739</c:v>
                </c:pt>
                <c:pt idx="327">
                  <c:v>44740</c:v>
                </c:pt>
                <c:pt idx="328">
                  <c:v>44741</c:v>
                </c:pt>
                <c:pt idx="329">
                  <c:v>44742</c:v>
                </c:pt>
                <c:pt idx="330">
                  <c:v>44743</c:v>
                </c:pt>
                <c:pt idx="331">
                  <c:v>44746</c:v>
                </c:pt>
                <c:pt idx="332">
                  <c:v>44747</c:v>
                </c:pt>
                <c:pt idx="333">
                  <c:v>44748</c:v>
                </c:pt>
                <c:pt idx="334">
                  <c:v>44749</c:v>
                </c:pt>
                <c:pt idx="335">
                  <c:v>44750</c:v>
                </c:pt>
                <c:pt idx="336">
                  <c:v>44753</c:v>
                </c:pt>
                <c:pt idx="337">
                  <c:v>44754</c:v>
                </c:pt>
                <c:pt idx="338">
                  <c:v>44755</c:v>
                </c:pt>
                <c:pt idx="339">
                  <c:v>44756</c:v>
                </c:pt>
                <c:pt idx="340">
                  <c:v>44757</c:v>
                </c:pt>
                <c:pt idx="341">
                  <c:v>44760</c:v>
                </c:pt>
                <c:pt idx="342">
                  <c:v>44761</c:v>
                </c:pt>
                <c:pt idx="343">
                  <c:v>44762</c:v>
                </c:pt>
                <c:pt idx="344">
                  <c:v>44763</c:v>
                </c:pt>
                <c:pt idx="345">
                  <c:v>44764</c:v>
                </c:pt>
                <c:pt idx="346">
                  <c:v>44767</c:v>
                </c:pt>
                <c:pt idx="347">
                  <c:v>44768</c:v>
                </c:pt>
                <c:pt idx="348">
                  <c:v>44769</c:v>
                </c:pt>
                <c:pt idx="349">
                  <c:v>44770</c:v>
                </c:pt>
                <c:pt idx="350">
                  <c:v>44771</c:v>
                </c:pt>
                <c:pt idx="351">
                  <c:v>44774</c:v>
                </c:pt>
                <c:pt idx="352">
                  <c:v>44775</c:v>
                </c:pt>
                <c:pt idx="353">
                  <c:v>44776</c:v>
                </c:pt>
                <c:pt idx="354">
                  <c:v>44777</c:v>
                </c:pt>
                <c:pt idx="355">
                  <c:v>44778</c:v>
                </c:pt>
                <c:pt idx="356">
                  <c:v>44781</c:v>
                </c:pt>
                <c:pt idx="357">
                  <c:v>44782</c:v>
                </c:pt>
                <c:pt idx="358">
                  <c:v>44783</c:v>
                </c:pt>
                <c:pt idx="359">
                  <c:v>44784</c:v>
                </c:pt>
                <c:pt idx="360">
                  <c:v>44785</c:v>
                </c:pt>
                <c:pt idx="361">
                  <c:v>44788</c:v>
                </c:pt>
                <c:pt idx="362">
                  <c:v>44789</c:v>
                </c:pt>
                <c:pt idx="363">
                  <c:v>44790</c:v>
                </c:pt>
                <c:pt idx="364">
                  <c:v>44791</c:v>
                </c:pt>
                <c:pt idx="365">
                  <c:v>44792</c:v>
                </c:pt>
                <c:pt idx="366">
                  <c:v>44795</c:v>
                </c:pt>
                <c:pt idx="367">
                  <c:v>44796</c:v>
                </c:pt>
                <c:pt idx="368">
                  <c:v>44797</c:v>
                </c:pt>
                <c:pt idx="369">
                  <c:v>44798</c:v>
                </c:pt>
                <c:pt idx="370">
                  <c:v>44799</c:v>
                </c:pt>
                <c:pt idx="371">
                  <c:v>44802</c:v>
                </c:pt>
                <c:pt idx="372">
                  <c:v>44803</c:v>
                </c:pt>
                <c:pt idx="373">
                  <c:v>44804</c:v>
                </c:pt>
                <c:pt idx="374">
                  <c:v>44809</c:v>
                </c:pt>
                <c:pt idx="375">
                  <c:v>44810</c:v>
                </c:pt>
                <c:pt idx="376">
                  <c:v>44811</c:v>
                </c:pt>
                <c:pt idx="377">
                  <c:v>44812</c:v>
                </c:pt>
                <c:pt idx="378">
                  <c:v>44813</c:v>
                </c:pt>
                <c:pt idx="379">
                  <c:v>44816</c:v>
                </c:pt>
                <c:pt idx="380">
                  <c:v>44817</c:v>
                </c:pt>
                <c:pt idx="381">
                  <c:v>44818</c:v>
                </c:pt>
                <c:pt idx="382">
                  <c:v>44819</c:v>
                </c:pt>
                <c:pt idx="383">
                  <c:v>44820</c:v>
                </c:pt>
                <c:pt idx="384">
                  <c:v>44823</c:v>
                </c:pt>
                <c:pt idx="385">
                  <c:v>44824</c:v>
                </c:pt>
                <c:pt idx="386">
                  <c:v>44825</c:v>
                </c:pt>
                <c:pt idx="387">
                  <c:v>44826</c:v>
                </c:pt>
                <c:pt idx="388">
                  <c:v>44827</c:v>
                </c:pt>
                <c:pt idx="389">
                  <c:v>44830</c:v>
                </c:pt>
                <c:pt idx="390">
                  <c:v>44831</c:v>
                </c:pt>
                <c:pt idx="391">
                  <c:v>44832</c:v>
                </c:pt>
                <c:pt idx="392">
                  <c:v>44833</c:v>
                </c:pt>
                <c:pt idx="393">
                  <c:v>44834</c:v>
                </c:pt>
                <c:pt idx="394">
                  <c:v>44837</c:v>
                </c:pt>
                <c:pt idx="395">
                  <c:v>44838</c:v>
                </c:pt>
                <c:pt idx="396">
                  <c:v>44839</c:v>
                </c:pt>
                <c:pt idx="397">
                  <c:v>44840</c:v>
                </c:pt>
                <c:pt idx="398">
                  <c:v>44841</c:v>
                </c:pt>
                <c:pt idx="399">
                  <c:v>44844</c:v>
                </c:pt>
                <c:pt idx="400">
                  <c:v>44845</c:v>
                </c:pt>
                <c:pt idx="401">
                  <c:v>44846</c:v>
                </c:pt>
                <c:pt idx="402">
                  <c:v>44847</c:v>
                </c:pt>
                <c:pt idx="403">
                  <c:v>44848</c:v>
                </c:pt>
                <c:pt idx="404">
                  <c:v>44851</c:v>
                </c:pt>
                <c:pt idx="405">
                  <c:v>44852</c:v>
                </c:pt>
                <c:pt idx="406">
                  <c:v>44853</c:v>
                </c:pt>
                <c:pt idx="407">
                  <c:v>44854</c:v>
                </c:pt>
                <c:pt idx="408">
                  <c:v>44855</c:v>
                </c:pt>
                <c:pt idx="409">
                  <c:v>44858</c:v>
                </c:pt>
                <c:pt idx="410">
                  <c:v>44859</c:v>
                </c:pt>
                <c:pt idx="411">
                  <c:v>44860</c:v>
                </c:pt>
                <c:pt idx="412">
                  <c:v>44861</c:v>
                </c:pt>
                <c:pt idx="413">
                  <c:v>44862</c:v>
                </c:pt>
                <c:pt idx="414">
                  <c:v>44865</c:v>
                </c:pt>
                <c:pt idx="415">
                  <c:v>44866</c:v>
                </c:pt>
                <c:pt idx="416">
                  <c:v>44867</c:v>
                </c:pt>
                <c:pt idx="417">
                  <c:v>44868</c:v>
                </c:pt>
                <c:pt idx="418">
                  <c:v>44869</c:v>
                </c:pt>
                <c:pt idx="419">
                  <c:v>44872</c:v>
                </c:pt>
                <c:pt idx="420">
                  <c:v>44873</c:v>
                </c:pt>
                <c:pt idx="421">
                  <c:v>44874</c:v>
                </c:pt>
                <c:pt idx="422">
                  <c:v>44875</c:v>
                </c:pt>
                <c:pt idx="423">
                  <c:v>44876</c:v>
                </c:pt>
                <c:pt idx="424">
                  <c:v>44879</c:v>
                </c:pt>
                <c:pt idx="425">
                  <c:v>44880</c:v>
                </c:pt>
                <c:pt idx="426">
                  <c:v>44881</c:v>
                </c:pt>
                <c:pt idx="427">
                  <c:v>44882</c:v>
                </c:pt>
                <c:pt idx="428">
                  <c:v>44883</c:v>
                </c:pt>
                <c:pt idx="429">
                  <c:v>44886</c:v>
                </c:pt>
                <c:pt idx="430">
                  <c:v>44887</c:v>
                </c:pt>
                <c:pt idx="431">
                  <c:v>44888</c:v>
                </c:pt>
                <c:pt idx="432">
                  <c:v>44889</c:v>
                </c:pt>
                <c:pt idx="433">
                  <c:v>44890</c:v>
                </c:pt>
                <c:pt idx="434">
                  <c:v>44893</c:v>
                </c:pt>
                <c:pt idx="435">
                  <c:v>44894</c:v>
                </c:pt>
                <c:pt idx="436">
                  <c:v>44895</c:v>
                </c:pt>
                <c:pt idx="437">
                  <c:v>44896</c:v>
                </c:pt>
                <c:pt idx="438">
                  <c:v>44897</c:v>
                </c:pt>
                <c:pt idx="439">
                  <c:v>44900</c:v>
                </c:pt>
                <c:pt idx="440">
                  <c:v>44901</c:v>
                </c:pt>
                <c:pt idx="441">
                  <c:v>44902</c:v>
                </c:pt>
                <c:pt idx="442">
                  <c:v>44903</c:v>
                </c:pt>
                <c:pt idx="443">
                  <c:v>44904</c:v>
                </c:pt>
                <c:pt idx="444">
                  <c:v>44907</c:v>
                </c:pt>
                <c:pt idx="445">
                  <c:v>44908</c:v>
                </c:pt>
                <c:pt idx="446">
                  <c:v>44909</c:v>
                </c:pt>
                <c:pt idx="447">
                  <c:v>44910</c:v>
                </c:pt>
                <c:pt idx="448">
                  <c:v>44911</c:v>
                </c:pt>
                <c:pt idx="449">
                  <c:v>44914</c:v>
                </c:pt>
                <c:pt idx="450">
                  <c:v>44915</c:v>
                </c:pt>
                <c:pt idx="451">
                  <c:v>44916</c:v>
                </c:pt>
                <c:pt idx="452">
                  <c:v>44917</c:v>
                </c:pt>
                <c:pt idx="453">
                  <c:v>44918</c:v>
                </c:pt>
                <c:pt idx="454">
                  <c:v>44921</c:v>
                </c:pt>
                <c:pt idx="455">
                  <c:v>44922</c:v>
                </c:pt>
                <c:pt idx="456">
                  <c:v>44923</c:v>
                </c:pt>
                <c:pt idx="457">
                  <c:v>44924</c:v>
                </c:pt>
                <c:pt idx="458">
                  <c:v>44925</c:v>
                </c:pt>
                <c:pt idx="459">
                  <c:v>44929</c:v>
                </c:pt>
                <c:pt idx="460">
                  <c:v>44930</c:v>
                </c:pt>
                <c:pt idx="461">
                  <c:v>44931</c:v>
                </c:pt>
                <c:pt idx="462">
                  <c:v>44932</c:v>
                </c:pt>
                <c:pt idx="463">
                  <c:v>44935</c:v>
                </c:pt>
                <c:pt idx="464">
                  <c:v>44936</c:v>
                </c:pt>
                <c:pt idx="465">
                  <c:v>44937</c:v>
                </c:pt>
                <c:pt idx="466">
                  <c:v>44938</c:v>
                </c:pt>
                <c:pt idx="467">
                  <c:v>44939</c:v>
                </c:pt>
                <c:pt idx="468">
                  <c:v>44942</c:v>
                </c:pt>
                <c:pt idx="469">
                  <c:v>44943</c:v>
                </c:pt>
                <c:pt idx="470">
                  <c:v>44944</c:v>
                </c:pt>
                <c:pt idx="471">
                  <c:v>44945</c:v>
                </c:pt>
                <c:pt idx="472">
                  <c:v>44953</c:v>
                </c:pt>
                <c:pt idx="473">
                  <c:v>44956</c:v>
                </c:pt>
                <c:pt idx="474">
                  <c:v>44957</c:v>
                </c:pt>
                <c:pt idx="475">
                  <c:v>44958</c:v>
                </c:pt>
                <c:pt idx="476">
                  <c:v>44959</c:v>
                </c:pt>
                <c:pt idx="477">
                  <c:v>44960</c:v>
                </c:pt>
                <c:pt idx="478">
                  <c:v>44963</c:v>
                </c:pt>
                <c:pt idx="479">
                  <c:v>44964</c:v>
                </c:pt>
                <c:pt idx="480">
                  <c:v>44965</c:v>
                </c:pt>
                <c:pt idx="481">
                  <c:v>44966</c:v>
                </c:pt>
                <c:pt idx="482">
                  <c:v>44967</c:v>
                </c:pt>
                <c:pt idx="483">
                  <c:v>44970</c:v>
                </c:pt>
                <c:pt idx="484">
                  <c:v>44971</c:v>
                </c:pt>
                <c:pt idx="485">
                  <c:v>44972</c:v>
                </c:pt>
                <c:pt idx="486">
                  <c:v>44973</c:v>
                </c:pt>
                <c:pt idx="487">
                  <c:v>44974</c:v>
                </c:pt>
                <c:pt idx="488">
                  <c:v>44977</c:v>
                </c:pt>
                <c:pt idx="489">
                  <c:v>44978</c:v>
                </c:pt>
                <c:pt idx="490">
                  <c:v>44979</c:v>
                </c:pt>
                <c:pt idx="491">
                  <c:v>44980</c:v>
                </c:pt>
                <c:pt idx="492">
                  <c:v>44981</c:v>
                </c:pt>
                <c:pt idx="493">
                  <c:v>44984</c:v>
                </c:pt>
                <c:pt idx="494">
                  <c:v>44985</c:v>
                </c:pt>
                <c:pt idx="495">
                  <c:v>44986</c:v>
                </c:pt>
                <c:pt idx="496">
                  <c:v>44987</c:v>
                </c:pt>
                <c:pt idx="497">
                  <c:v>44988</c:v>
                </c:pt>
                <c:pt idx="498">
                  <c:v>44991</c:v>
                </c:pt>
                <c:pt idx="499">
                  <c:v>44992</c:v>
                </c:pt>
                <c:pt idx="500">
                  <c:v>44993</c:v>
                </c:pt>
                <c:pt idx="501">
                  <c:v>44994</c:v>
                </c:pt>
                <c:pt idx="502">
                  <c:v>44995</c:v>
                </c:pt>
                <c:pt idx="503">
                  <c:v>44998</c:v>
                </c:pt>
                <c:pt idx="504">
                  <c:v>44999</c:v>
                </c:pt>
                <c:pt idx="505">
                  <c:v>45000</c:v>
                </c:pt>
                <c:pt idx="506">
                  <c:v>45001</c:v>
                </c:pt>
                <c:pt idx="507">
                  <c:v>45002</c:v>
                </c:pt>
                <c:pt idx="508">
                  <c:v>45005</c:v>
                </c:pt>
                <c:pt idx="509">
                  <c:v>45006</c:v>
                </c:pt>
                <c:pt idx="510">
                  <c:v>45007</c:v>
                </c:pt>
                <c:pt idx="511">
                  <c:v>45008</c:v>
                </c:pt>
                <c:pt idx="512">
                  <c:v>45009</c:v>
                </c:pt>
                <c:pt idx="513">
                  <c:v>45012</c:v>
                </c:pt>
                <c:pt idx="514">
                  <c:v>45013</c:v>
                </c:pt>
                <c:pt idx="515">
                  <c:v>45014</c:v>
                </c:pt>
                <c:pt idx="516">
                  <c:v>45015</c:v>
                </c:pt>
                <c:pt idx="517">
                  <c:v>45016</c:v>
                </c:pt>
                <c:pt idx="518">
                  <c:v>45019</c:v>
                </c:pt>
                <c:pt idx="519">
                  <c:v>45020</c:v>
                </c:pt>
                <c:pt idx="520">
                  <c:v>45021</c:v>
                </c:pt>
                <c:pt idx="521">
                  <c:v>45022</c:v>
                </c:pt>
                <c:pt idx="522">
                  <c:v>45023</c:v>
                </c:pt>
                <c:pt idx="523">
                  <c:v>45026</c:v>
                </c:pt>
                <c:pt idx="524">
                  <c:v>45027</c:v>
                </c:pt>
                <c:pt idx="525">
                  <c:v>45028</c:v>
                </c:pt>
                <c:pt idx="526">
                  <c:v>45029</c:v>
                </c:pt>
                <c:pt idx="527">
                  <c:v>45030</c:v>
                </c:pt>
                <c:pt idx="528">
                  <c:v>45033</c:v>
                </c:pt>
                <c:pt idx="529">
                  <c:v>45034</c:v>
                </c:pt>
                <c:pt idx="530">
                  <c:v>45035</c:v>
                </c:pt>
                <c:pt idx="531">
                  <c:v>45036</c:v>
                </c:pt>
                <c:pt idx="532">
                  <c:v>45037</c:v>
                </c:pt>
                <c:pt idx="533">
                  <c:v>45040</c:v>
                </c:pt>
                <c:pt idx="534">
                  <c:v>45041</c:v>
                </c:pt>
                <c:pt idx="535">
                  <c:v>45042</c:v>
                </c:pt>
                <c:pt idx="536">
                  <c:v>45043</c:v>
                </c:pt>
                <c:pt idx="537">
                  <c:v>45044</c:v>
                </c:pt>
                <c:pt idx="538">
                  <c:v>45050</c:v>
                </c:pt>
                <c:pt idx="539">
                  <c:v>45051</c:v>
                </c:pt>
                <c:pt idx="540">
                  <c:v>45054</c:v>
                </c:pt>
                <c:pt idx="541">
                  <c:v>45055</c:v>
                </c:pt>
                <c:pt idx="542">
                  <c:v>45056</c:v>
                </c:pt>
                <c:pt idx="543">
                  <c:v>45057</c:v>
                </c:pt>
                <c:pt idx="544">
                  <c:v>45058</c:v>
                </c:pt>
                <c:pt idx="545">
                  <c:v>45061</c:v>
                </c:pt>
                <c:pt idx="546">
                  <c:v>45062</c:v>
                </c:pt>
                <c:pt idx="547">
                  <c:v>45063</c:v>
                </c:pt>
                <c:pt idx="548">
                  <c:v>45064</c:v>
                </c:pt>
                <c:pt idx="549">
                  <c:v>45065</c:v>
                </c:pt>
                <c:pt idx="550">
                  <c:v>45068</c:v>
                </c:pt>
                <c:pt idx="551">
                  <c:v>45069</c:v>
                </c:pt>
                <c:pt idx="552">
                  <c:v>45070</c:v>
                </c:pt>
                <c:pt idx="553">
                  <c:v>45071</c:v>
                </c:pt>
                <c:pt idx="554">
                  <c:v>45072</c:v>
                </c:pt>
                <c:pt idx="555">
                  <c:v>45075</c:v>
                </c:pt>
                <c:pt idx="556">
                  <c:v>45076</c:v>
                </c:pt>
                <c:pt idx="557">
                  <c:v>45077</c:v>
                </c:pt>
                <c:pt idx="558">
                  <c:v>45078</c:v>
                </c:pt>
                <c:pt idx="559">
                  <c:v>45079</c:v>
                </c:pt>
                <c:pt idx="560">
                  <c:v>45082</c:v>
                </c:pt>
                <c:pt idx="561">
                  <c:v>45083</c:v>
                </c:pt>
                <c:pt idx="562">
                  <c:v>45084</c:v>
                </c:pt>
                <c:pt idx="563">
                  <c:v>45085</c:v>
                </c:pt>
                <c:pt idx="564">
                  <c:v>45086</c:v>
                </c:pt>
                <c:pt idx="565">
                  <c:v>45089</c:v>
                </c:pt>
                <c:pt idx="566">
                  <c:v>45090</c:v>
                </c:pt>
                <c:pt idx="567">
                  <c:v>45091</c:v>
                </c:pt>
                <c:pt idx="568">
                  <c:v>45092</c:v>
                </c:pt>
                <c:pt idx="569">
                  <c:v>45093</c:v>
                </c:pt>
                <c:pt idx="570">
                  <c:v>45096</c:v>
                </c:pt>
                <c:pt idx="571">
                  <c:v>45097</c:v>
                </c:pt>
                <c:pt idx="572">
                  <c:v>45098</c:v>
                </c:pt>
                <c:pt idx="573">
                  <c:v>45099</c:v>
                </c:pt>
                <c:pt idx="574">
                  <c:v>45100</c:v>
                </c:pt>
                <c:pt idx="575">
                  <c:v>45103</c:v>
                </c:pt>
                <c:pt idx="576">
                  <c:v>45104</c:v>
                </c:pt>
                <c:pt idx="577">
                  <c:v>45105</c:v>
                </c:pt>
                <c:pt idx="578">
                  <c:v>45106</c:v>
                </c:pt>
                <c:pt idx="579">
                  <c:v>45107</c:v>
                </c:pt>
                <c:pt idx="580">
                  <c:v>45110</c:v>
                </c:pt>
                <c:pt idx="581">
                  <c:v>45111</c:v>
                </c:pt>
                <c:pt idx="582">
                  <c:v>45112</c:v>
                </c:pt>
                <c:pt idx="583">
                  <c:v>45113</c:v>
                </c:pt>
                <c:pt idx="584">
                  <c:v>45114</c:v>
                </c:pt>
                <c:pt idx="585">
                  <c:v>45117</c:v>
                </c:pt>
                <c:pt idx="586">
                  <c:v>45118</c:v>
                </c:pt>
                <c:pt idx="587">
                  <c:v>45119</c:v>
                </c:pt>
                <c:pt idx="588">
                  <c:v>45120</c:v>
                </c:pt>
                <c:pt idx="589">
                  <c:v>45121</c:v>
                </c:pt>
                <c:pt idx="590">
                  <c:v>45124</c:v>
                </c:pt>
                <c:pt idx="591">
                  <c:v>45125</c:v>
                </c:pt>
                <c:pt idx="592">
                  <c:v>45126</c:v>
                </c:pt>
                <c:pt idx="593">
                  <c:v>45127</c:v>
                </c:pt>
                <c:pt idx="594">
                  <c:v>45128</c:v>
                </c:pt>
                <c:pt idx="595">
                  <c:v>45131</c:v>
                </c:pt>
                <c:pt idx="596">
                  <c:v>45132</c:v>
                </c:pt>
                <c:pt idx="597">
                  <c:v>45133</c:v>
                </c:pt>
                <c:pt idx="598">
                  <c:v>45134</c:v>
                </c:pt>
                <c:pt idx="599">
                  <c:v>45135</c:v>
                </c:pt>
                <c:pt idx="600">
                  <c:v>45138</c:v>
                </c:pt>
                <c:pt idx="601">
                  <c:v>45139</c:v>
                </c:pt>
                <c:pt idx="602">
                  <c:v>45140</c:v>
                </c:pt>
                <c:pt idx="603">
                  <c:v>45141</c:v>
                </c:pt>
                <c:pt idx="604">
                  <c:v>45142</c:v>
                </c:pt>
                <c:pt idx="605">
                  <c:v>45145</c:v>
                </c:pt>
                <c:pt idx="606">
                  <c:v>45146</c:v>
                </c:pt>
                <c:pt idx="607">
                  <c:v>45147</c:v>
                </c:pt>
                <c:pt idx="608">
                  <c:v>45148</c:v>
                </c:pt>
                <c:pt idx="609">
                  <c:v>45149</c:v>
                </c:pt>
                <c:pt idx="610">
                  <c:v>45152</c:v>
                </c:pt>
                <c:pt idx="611">
                  <c:v>45153</c:v>
                </c:pt>
                <c:pt idx="612">
                  <c:v>45154</c:v>
                </c:pt>
                <c:pt idx="613">
                  <c:v>45155</c:v>
                </c:pt>
                <c:pt idx="614">
                  <c:v>45156</c:v>
                </c:pt>
                <c:pt idx="615">
                  <c:v>45159</c:v>
                </c:pt>
                <c:pt idx="616">
                  <c:v>45160</c:v>
                </c:pt>
                <c:pt idx="617">
                  <c:v>45161</c:v>
                </c:pt>
                <c:pt idx="618">
                  <c:v>45162</c:v>
                </c:pt>
                <c:pt idx="619">
                  <c:v>45163</c:v>
                </c:pt>
                <c:pt idx="620">
                  <c:v>45166</c:v>
                </c:pt>
                <c:pt idx="621">
                  <c:v>45167</c:v>
                </c:pt>
                <c:pt idx="622">
                  <c:v>45168</c:v>
                </c:pt>
                <c:pt idx="623">
                  <c:v>45169</c:v>
                </c:pt>
                <c:pt idx="624">
                  <c:v>45174</c:v>
                </c:pt>
                <c:pt idx="625">
                  <c:v>45175</c:v>
                </c:pt>
                <c:pt idx="626">
                  <c:v>45176</c:v>
                </c:pt>
                <c:pt idx="627">
                  <c:v>45177</c:v>
                </c:pt>
                <c:pt idx="628">
                  <c:v>45180</c:v>
                </c:pt>
                <c:pt idx="629">
                  <c:v>45181</c:v>
                </c:pt>
                <c:pt idx="630">
                  <c:v>45182</c:v>
                </c:pt>
                <c:pt idx="631">
                  <c:v>45183</c:v>
                </c:pt>
                <c:pt idx="632">
                  <c:v>45184</c:v>
                </c:pt>
                <c:pt idx="633">
                  <c:v>45187</c:v>
                </c:pt>
                <c:pt idx="634">
                  <c:v>45188</c:v>
                </c:pt>
                <c:pt idx="635">
                  <c:v>45189</c:v>
                </c:pt>
                <c:pt idx="636">
                  <c:v>45190</c:v>
                </c:pt>
                <c:pt idx="637">
                  <c:v>45191</c:v>
                </c:pt>
                <c:pt idx="638">
                  <c:v>45194</c:v>
                </c:pt>
                <c:pt idx="639">
                  <c:v>45195</c:v>
                </c:pt>
                <c:pt idx="640">
                  <c:v>45196</c:v>
                </c:pt>
                <c:pt idx="641">
                  <c:v>45197</c:v>
                </c:pt>
                <c:pt idx="642">
                  <c:v>45198</c:v>
                </c:pt>
                <c:pt idx="643">
                  <c:v>45201</c:v>
                </c:pt>
                <c:pt idx="644">
                  <c:v>45202</c:v>
                </c:pt>
                <c:pt idx="645">
                  <c:v>45203</c:v>
                </c:pt>
                <c:pt idx="646">
                  <c:v>45204</c:v>
                </c:pt>
                <c:pt idx="647">
                  <c:v>45205</c:v>
                </c:pt>
                <c:pt idx="648">
                  <c:v>45208</c:v>
                </c:pt>
                <c:pt idx="649">
                  <c:v>45209</c:v>
                </c:pt>
                <c:pt idx="650">
                  <c:v>45210</c:v>
                </c:pt>
                <c:pt idx="651">
                  <c:v>45211</c:v>
                </c:pt>
                <c:pt idx="652">
                  <c:v>45212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45222</c:v>
                </c:pt>
                <c:pt idx="659">
                  <c:v>45223</c:v>
                </c:pt>
                <c:pt idx="660">
                  <c:v>45224</c:v>
                </c:pt>
                <c:pt idx="661">
                  <c:v>45225</c:v>
                </c:pt>
                <c:pt idx="662">
                  <c:v>45226</c:v>
                </c:pt>
                <c:pt idx="663">
                  <c:v>45229</c:v>
                </c:pt>
                <c:pt idx="664">
                  <c:v>45230</c:v>
                </c:pt>
                <c:pt idx="665">
                  <c:v>45231</c:v>
                </c:pt>
                <c:pt idx="666">
                  <c:v>45232</c:v>
                </c:pt>
                <c:pt idx="667">
                  <c:v>45233</c:v>
                </c:pt>
                <c:pt idx="668">
                  <c:v>45236</c:v>
                </c:pt>
                <c:pt idx="669">
                  <c:v>45237</c:v>
                </c:pt>
                <c:pt idx="670">
                  <c:v>45238</c:v>
                </c:pt>
                <c:pt idx="671">
                  <c:v>45239</c:v>
                </c:pt>
                <c:pt idx="672">
                  <c:v>45240</c:v>
                </c:pt>
                <c:pt idx="673">
                  <c:v>45243</c:v>
                </c:pt>
                <c:pt idx="674">
                  <c:v>45244</c:v>
                </c:pt>
                <c:pt idx="675">
                  <c:v>45245</c:v>
                </c:pt>
                <c:pt idx="676">
                  <c:v>45246</c:v>
                </c:pt>
                <c:pt idx="677">
                  <c:v>45247</c:v>
                </c:pt>
                <c:pt idx="678">
                  <c:v>45250</c:v>
                </c:pt>
                <c:pt idx="679">
                  <c:v>45251</c:v>
                </c:pt>
                <c:pt idx="680">
                  <c:v>45252</c:v>
                </c:pt>
                <c:pt idx="681">
                  <c:v>45253</c:v>
                </c:pt>
                <c:pt idx="682">
                  <c:v>45254</c:v>
                </c:pt>
                <c:pt idx="683">
                  <c:v>45257</c:v>
                </c:pt>
                <c:pt idx="684">
                  <c:v>45258</c:v>
                </c:pt>
                <c:pt idx="685">
                  <c:v>45259</c:v>
                </c:pt>
                <c:pt idx="686">
                  <c:v>45260</c:v>
                </c:pt>
                <c:pt idx="687">
                  <c:v>45261</c:v>
                </c:pt>
                <c:pt idx="688">
                  <c:v>45264</c:v>
                </c:pt>
                <c:pt idx="689">
                  <c:v>45265</c:v>
                </c:pt>
                <c:pt idx="690">
                  <c:v>45266</c:v>
                </c:pt>
                <c:pt idx="691">
                  <c:v>45267</c:v>
                </c:pt>
                <c:pt idx="692">
                  <c:v>45268</c:v>
                </c:pt>
                <c:pt idx="693">
                  <c:v>45271</c:v>
                </c:pt>
                <c:pt idx="694">
                  <c:v>45272</c:v>
                </c:pt>
                <c:pt idx="695">
                  <c:v>45273</c:v>
                </c:pt>
                <c:pt idx="696">
                  <c:v>45274</c:v>
                </c:pt>
                <c:pt idx="697">
                  <c:v>45275</c:v>
                </c:pt>
                <c:pt idx="698">
                  <c:v>45278</c:v>
                </c:pt>
                <c:pt idx="699">
                  <c:v>45279</c:v>
                </c:pt>
                <c:pt idx="700">
                  <c:v>45280</c:v>
                </c:pt>
                <c:pt idx="701">
                  <c:v>45281</c:v>
                </c:pt>
                <c:pt idx="702">
                  <c:v>45282</c:v>
                </c:pt>
                <c:pt idx="703">
                  <c:v>45285</c:v>
                </c:pt>
                <c:pt idx="704">
                  <c:v>45286</c:v>
                </c:pt>
                <c:pt idx="705">
                  <c:v>45287</c:v>
                </c:pt>
                <c:pt idx="706">
                  <c:v>45288</c:v>
                </c:pt>
                <c:pt idx="707">
                  <c:v>45289</c:v>
                </c:pt>
                <c:pt idx="708">
                  <c:v>45293</c:v>
                </c:pt>
                <c:pt idx="709">
                  <c:v>45294</c:v>
                </c:pt>
                <c:pt idx="710">
                  <c:v>45295</c:v>
                </c:pt>
                <c:pt idx="711">
                  <c:v>45296</c:v>
                </c:pt>
                <c:pt idx="712">
                  <c:v>45299</c:v>
                </c:pt>
                <c:pt idx="713">
                  <c:v>45300</c:v>
                </c:pt>
                <c:pt idx="714">
                  <c:v>45301</c:v>
                </c:pt>
                <c:pt idx="715">
                  <c:v>45302</c:v>
                </c:pt>
                <c:pt idx="716">
                  <c:v>45303</c:v>
                </c:pt>
                <c:pt idx="717">
                  <c:v>45306</c:v>
                </c:pt>
                <c:pt idx="718">
                  <c:v>45307</c:v>
                </c:pt>
                <c:pt idx="719">
                  <c:v>45308</c:v>
                </c:pt>
                <c:pt idx="720">
                  <c:v>45309</c:v>
                </c:pt>
                <c:pt idx="721">
                  <c:v>45310</c:v>
                </c:pt>
                <c:pt idx="722">
                  <c:v>45313</c:v>
                </c:pt>
                <c:pt idx="723">
                  <c:v>45314</c:v>
                </c:pt>
                <c:pt idx="724">
                  <c:v>45315</c:v>
                </c:pt>
                <c:pt idx="725">
                  <c:v>45316</c:v>
                </c:pt>
                <c:pt idx="726">
                  <c:v>45317</c:v>
                </c:pt>
                <c:pt idx="727">
                  <c:v>45320</c:v>
                </c:pt>
                <c:pt idx="728">
                  <c:v>45321</c:v>
                </c:pt>
                <c:pt idx="729">
                  <c:v>45322</c:v>
                </c:pt>
                <c:pt idx="730">
                  <c:v>45323</c:v>
                </c:pt>
                <c:pt idx="731">
                  <c:v>45324</c:v>
                </c:pt>
                <c:pt idx="732">
                  <c:v>45327</c:v>
                </c:pt>
                <c:pt idx="733">
                  <c:v>45328</c:v>
                </c:pt>
                <c:pt idx="734">
                  <c:v>45329</c:v>
                </c:pt>
                <c:pt idx="735">
                  <c:v>45337</c:v>
                </c:pt>
                <c:pt idx="736">
                  <c:v>45338</c:v>
                </c:pt>
                <c:pt idx="737">
                  <c:v>45341</c:v>
                </c:pt>
                <c:pt idx="738">
                  <c:v>45342</c:v>
                </c:pt>
                <c:pt idx="739">
                  <c:v>45343</c:v>
                </c:pt>
                <c:pt idx="740">
                  <c:v>45344</c:v>
                </c:pt>
                <c:pt idx="741">
                  <c:v>45345</c:v>
                </c:pt>
                <c:pt idx="742">
                  <c:v>45348</c:v>
                </c:pt>
                <c:pt idx="743">
                  <c:v>45349</c:v>
                </c:pt>
                <c:pt idx="744">
                  <c:v>45350</c:v>
                </c:pt>
                <c:pt idx="745">
                  <c:v>45351</c:v>
                </c:pt>
                <c:pt idx="746">
                  <c:v>45352</c:v>
                </c:pt>
                <c:pt idx="747">
                  <c:v>45355</c:v>
                </c:pt>
                <c:pt idx="748">
                  <c:v>45356</c:v>
                </c:pt>
                <c:pt idx="749">
                  <c:v>45357</c:v>
                </c:pt>
                <c:pt idx="750">
                  <c:v>45358</c:v>
                </c:pt>
                <c:pt idx="751">
                  <c:v>45359</c:v>
                </c:pt>
                <c:pt idx="752">
                  <c:v>45362</c:v>
                </c:pt>
                <c:pt idx="753">
                  <c:v>45363</c:v>
                </c:pt>
                <c:pt idx="754">
                  <c:v>45364</c:v>
                </c:pt>
                <c:pt idx="755">
                  <c:v>45365</c:v>
                </c:pt>
                <c:pt idx="756">
                  <c:v>45366</c:v>
                </c:pt>
                <c:pt idx="757">
                  <c:v>45369</c:v>
                </c:pt>
                <c:pt idx="758">
                  <c:v>45370</c:v>
                </c:pt>
                <c:pt idx="759">
                  <c:v>45371</c:v>
                </c:pt>
                <c:pt idx="760">
                  <c:v>45372</c:v>
                </c:pt>
                <c:pt idx="761">
                  <c:v>45373</c:v>
                </c:pt>
                <c:pt idx="762">
                  <c:v>45376</c:v>
                </c:pt>
                <c:pt idx="763">
                  <c:v>45377</c:v>
                </c:pt>
                <c:pt idx="764">
                  <c:v>45378</c:v>
                </c:pt>
                <c:pt idx="765">
                  <c:v>45379</c:v>
                </c:pt>
                <c:pt idx="766">
                  <c:v>45380</c:v>
                </c:pt>
                <c:pt idx="767">
                  <c:v>45383</c:v>
                </c:pt>
                <c:pt idx="768">
                  <c:v>45384</c:v>
                </c:pt>
                <c:pt idx="769">
                  <c:v>45385</c:v>
                </c:pt>
                <c:pt idx="770">
                  <c:v>45386</c:v>
                </c:pt>
                <c:pt idx="771">
                  <c:v>45387</c:v>
                </c:pt>
                <c:pt idx="772">
                  <c:v>45390</c:v>
                </c:pt>
                <c:pt idx="773">
                  <c:v>45391</c:v>
                </c:pt>
                <c:pt idx="774">
                  <c:v>45392</c:v>
                </c:pt>
                <c:pt idx="775">
                  <c:v>45393</c:v>
                </c:pt>
                <c:pt idx="776">
                  <c:v>45394</c:v>
                </c:pt>
                <c:pt idx="777">
                  <c:v>45397</c:v>
                </c:pt>
                <c:pt idx="778">
                  <c:v>45398</c:v>
                </c:pt>
                <c:pt idx="779">
                  <c:v>45399</c:v>
                </c:pt>
                <c:pt idx="780">
                  <c:v>45401</c:v>
                </c:pt>
                <c:pt idx="781">
                  <c:v>45404</c:v>
                </c:pt>
                <c:pt idx="782">
                  <c:v>45405</c:v>
                </c:pt>
                <c:pt idx="783">
                  <c:v>45406</c:v>
                </c:pt>
                <c:pt idx="784">
                  <c:v>45407</c:v>
                </c:pt>
                <c:pt idx="785">
                  <c:v>45408</c:v>
                </c:pt>
                <c:pt idx="786">
                  <c:v>45414</c:v>
                </c:pt>
                <c:pt idx="787">
                  <c:v>45415</c:v>
                </c:pt>
                <c:pt idx="788">
                  <c:v>45418</c:v>
                </c:pt>
                <c:pt idx="789">
                  <c:v>45419</c:v>
                </c:pt>
                <c:pt idx="790">
                  <c:v>45420</c:v>
                </c:pt>
                <c:pt idx="791">
                  <c:v>45421</c:v>
                </c:pt>
                <c:pt idx="792">
                  <c:v>45422</c:v>
                </c:pt>
                <c:pt idx="793">
                  <c:v>45425</c:v>
                </c:pt>
                <c:pt idx="794">
                  <c:v>45426</c:v>
                </c:pt>
                <c:pt idx="795">
                  <c:v>45427</c:v>
                </c:pt>
                <c:pt idx="796">
                  <c:v>45428</c:v>
                </c:pt>
                <c:pt idx="797">
                  <c:v>45429</c:v>
                </c:pt>
                <c:pt idx="798">
                  <c:v>45432</c:v>
                </c:pt>
                <c:pt idx="799">
                  <c:v>45433</c:v>
                </c:pt>
                <c:pt idx="800">
                  <c:v>45434</c:v>
                </c:pt>
                <c:pt idx="801">
                  <c:v>45435</c:v>
                </c:pt>
                <c:pt idx="802">
                  <c:v>45436</c:v>
                </c:pt>
                <c:pt idx="803">
                  <c:v>45439</c:v>
                </c:pt>
                <c:pt idx="804">
                  <c:v>45440</c:v>
                </c:pt>
                <c:pt idx="805">
                  <c:v>45441</c:v>
                </c:pt>
                <c:pt idx="806">
                  <c:v>45442</c:v>
                </c:pt>
                <c:pt idx="807">
                  <c:v>45443</c:v>
                </c:pt>
                <c:pt idx="808">
                  <c:v>45446</c:v>
                </c:pt>
                <c:pt idx="809">
                  <c:v>45447</c:v>
                </c:pt>
                <c:pt idx="810">
                  <c:v>45448</c:v>
                </c:pt>
                <c:pt idx="811">
                  <c:v>45449</c:v>
                </c:pt>
                <c:pt idx="812">
                  <c:v>45450</c:v>
                </c:pt>
                <c:pt idx="813">
                  <c:v>45453</c:v>
                </c:pt>
                <c:pt idx="814">
                  <c:v>45454</c:v>
                </c:pt>
                <c:pt idx="815">
                  <c:v>45455</c:v>
                </c:pt>
                <c:pt idx="816">
                  <c:v>45456</c:v>
                </c:pt>
                <c:pt idx="817">
                  <c:v>45457</c:v>
                </c:pt>
                <c:pt idx="818">
                  <c:v>45460</c:v>
                </c:pt>
                <c:pt idx="819">
                  <c:v>45461</c:v>
                </c:pt>
                <c:pt idx="820">
                  <c:v>45462</c:v>
                </c:pt>
                <c:pt idx="821">
                  <c:v>45463</c:v>
                </c:pt>
                <c:pt idx="822">
                  <c:v>45464</c:v>
                </c:pt>
                <c:pt idx="823">
                  <c:v>45467</c:v>
                </c:pt>
                <c:pt idx="824">
                  <c:v>45468</c:v>
                </c:pt>
                <c:pt idx="825">
                  <c:v>45469</c:v>
                </c:pt>
                <c:pt idx="826">
                  <c:v>45470</c:v>
                </c:pt>
                <c:pt idx="827">
                  <c:v>45471</c:v>
                </c:pt>
                <c:pt idx="828">
                  <c:v>45474</c:v>
                </c:pt>
                <c:pt idx="829">
                  <c:v>45475</c:v>
                </c:pt>
                <c:pt idx="830">
                  <c:v>45476</c:v>
                </c:pt>
                <c:pt idx="831">
                  <c:v>45477</c:v>
                </c:pt>
                <c:pt idx="832">
                  <c:v>45478</c:v>
                </c:pt>
                <c:pt idx="833">
                  <c:v>45481</c:v>
                </c:pt>
                <c:pt idx="834">
                  <c:v>45482</c:v>
                </c:pt>
                <c:pt idx="835">
                  <c:v>45483</c:v>
                </c:pt>
                <c:pt idx="836">
                  <c:v>45484</c:v>
                </c:pt>
                <c:pt idx="837">
                  <c:v>45485</c:v>
                </c:pt>
                <c:pt idx="838">
                  <c:v>45488</c:v>
                </c:pt>
                <c:pt idx="839">
                  <c:v>45489</c:v>
                </c:pt>
                <c:pt idx="840">
                  <c:v>45490</c:v>
                </c:pt>
                <c:pt idx="841">
                  <c:v>45491</c:v>
                </c:pt>
                <c:pt idx="842">
                  <c:v>45492</c:v>
                </c:pt>
                <c:pt idx="843">
                  <c:v>45495</c:v>
                </c:pt>
                <c:pt idx="844">
                  <c:v>45496</c:v>
                </c:pt>
                <c:pt idx="845">
                  <c:v>45497</c:v>
                </c:pt>
                <c:pt idx="846">
                  <c:v>45498</c:v>
                </c:pt>
                <c:pt idx="847">
                  <c:v>45499</c:v>
                </c:pt>
                <c:pt idx="848">
                  <c:v>45502</c:v>
                </c:pt>
                <c:pt idx="849">
                  <c:v>45503</c:v>
                </c:pt>
                <c:pt idx="850">
                  <c:v>45504</c:v>
                </c:pt>
                <c:pt idx="851">
                  <c:v>45505</c:v>
                </c:pt>
                <c:pt idx="852">
                  <c:v>45506</c:v>
                </c:pt>
                <c:pt idx="853">
                  <c:v>45509</c:v>
                </c:pt>
                <c:pt idx="854">
                  <c:v>45510</c:v>
                </c:pt>
                <c:pt idx="855">
                  <c:v>45511</c:v>
                </c:pt>
                <c:pt idx="856">
                  <c:v>45512</c:v>
                </c:pt>
                <c:pt idx="857">
                  <c:v>45513</c:v>
                </c:pt>
                <c:pt idx="858">
                  <c:v>45516</c:v>
                </c:pt>
                <c:pt idx="859">
                  <c:v>45517</c:v>
                </c:pt>
                <c:pt idx="860">
                  <c:v>45518</c:v>
                </c:pt>
                <c:pt idx="861">
                  <c:v>45519</c:v>
                </c:pt>
                <c:pt idx="862">
                  <c:v>45520</c:v>
                </c:pt>
                <c:pt idx="863">
                  <c:v>45523</c:v>
                </c:pt>
                <c:pt idx="864">
                  <c:v>45524</c:v>
                </c:pt>
                <c:pt idx="865">
                  <c:v>45525</c:v>
                </c:pt>
                <c:pt idx="866">
                  <c:v>45526</c:v>
                </c:pt>
                <c:pt idx="867">
                  <c:v>45527</c:v>
                </c:pt>
                <c:pt idx="868">
                  <c:v>45530</c:v>
                </c:pt>
                <c:pt idx="869">
                  <c:v>45531</c:v>
                </c:pt>
                <c:pt idx="870">
                  <c:v>45532</c:v>
                </c:pt>
                <c:pt idx="871">
                  <c:v>45533</c:v>
                </c:pt>
                <c:pt idx="872">
                  <c:v>45534</c:v>
                </c:pt>
                <c:pt idx="873">
                  <c:v>45539</c:v>
                </c:pt>
                <c:pt idx="874">
                  <c:v>45540</c:v>
                </c:pt>
                <c:pt idx="875">
                  <c:v>45541</c:v>
                </c:pt>
                <c:pt idx="876">
                  <c:v>45544</c:v>
                </c:pt>
                <c:pt idx="877">
                  <c:v>45545</c:v>
                </c:pt>
                <c:pt idx="878">
                  <c:v>45546</c:v>
                </c:pt>
                <c:pt idx="879">
                  <c:v>45547</c:v>
                </c:pt>
                <c:pt idx="880">
                  <c:v>45548</c:v>
                </c:pt>
                <c:pt idx="881">
                  <c:v>45551</c:v>
                </c:pt>
                <c:pt idx="882">
                  <c:v>45552</c:v>
                </c:pt>
                <c:pt idx="883">
                  <c:v>45553</c:v>
                </c:pt>
                <c:pt idx="884">
                  <c:v>45554</c:v>
                </c:pt>
                <c:pt idx="885">
                  <c:v>45555</c:v>
                </c:pt>
                <c:pt idx="886">
                  <c:v>45558</c:v>
                </c:pt>
                <c:pt idx="887">
                  <c:v>45559</c:v>
                </c:pt>
                <c:pt idx="888">
                  <c:v>45560</c:v>
                </c:pt>
                <c:pt idx="889">
                  <c:v>45561</c:v>
                </c:pt>
                <c:pt idx="890">
                  <c:v>45562</c:v>
                </c:pt>
                <c:pt idx="891">
                  <c:v>45565</c:v>
                </c:pt>
                <c:pt idx="892">
                  <c:v>45566</c:v>
                </c:pt>
                <c:pt idx="893">
                  <c:v>45567</c:v>
                </c:pt>
                <c:pt idx="894">
                  <c:v>45568</c:v>
                </c:pt>
                <c:pt idx="895">
                  <c:v>45569</c:v>
                </c:pt>
                <c:pt idx="896">
                  <c:v>45572</c:v>
                </c:pt>
                <c:pt idx="897">
                  <c:v>45573</c:v>
                </c:pt>
                <c:pt idx="898">
                  <c:v>45574</c:v>
                </c:pt>
                <c:pt idx="899">
                  <c:v>45575</c:v>
                </c:pt>
                <c:pt idx="900">
                  <c:v>45576</c:v>
                </c:pt>
                <c:pt idx="901">
                  <c:v>45579</c:v>
                </c:pt>
                <c:pt idx="902">
                  <c:v>45580</c:v>
                </c:pt>
                <c:pt idx="903">
                  <c:v>45581</c:v>
                </c:pt>
                <c:pt idx="904">
                  <c:v>45582</c:v>
                </c:pt>
                <c:pt idx="905">
                  <c:v>45583</c:v>
                </c:pt>
                <c:pt idx="906">
                  <c:v>45586</c:v>
                </c:pt>
                <c:pt idx="907">
                  <c:v>45587</c:v>
                </c:pt>
                <c:pt idx="908">
                  <c:v>45588</c:v>
                </c:pt>
                <c:pt idx="909">
                  <c:v>45589</c:v>
                </c:pt>
                <c:pt idx="910">
                  <c:v>45590</c:v>
                </c:pt>
                <c:pt idx="911">
                  <c:v>45593</c:v>
                </c:pt>
                <c:pt idx="912">
                  <c:v>45594</c:v>
                </c:pt>
                <c:pt idx="913">
                  <c:v>45595</c:v>
                </c:pt>
                <c:pt idx="914">
                  <c:v>45596</c:v>
                </c:pt>
                <c:pt idx="915">
                  <c:v>45597</c:v>
                </c:pt>
                <c:pt idx="916">
                  <c:v>45600</c:v>
                </c:pt>
                <c:pt idx="917">
                  <c:v>45601</c:v>
                </c:pt>
                <c:pt idx="918">
                  <c:v>45602</c:v>
                </c:pt>
                <c:pt idx="919">
                  <c:v>45603</c:v>
                </c:pt>
                <c:pt idx="920">
                  <c:v>45604</c:v>
                </c:pt>
                <c:pt idx="921">
                  <c:v>45607</c:v>
                </c:pt>
                <c:pt idx="922">
                  <c:v>45608</c:v>
                </c:pt>
                <c:pt idx="923">
                  <c:v>45609</c:v>
                </c:pt>
                <c:pt idx="924">
                  <c:v>45610</c:v>
                </c:pt>
                <c:pt idx="925">
                  <c:v>45611</c:v>
                </c:pt>
                <c:pt idx="926">
                  <c:v>45614</c:v>
                </c:pt>
                <c:pt idx="927">
                  <c:v>45615</c:v>
                </c:pt>
                <c:pt idx="928">
                  <c:v>45616</c:v>
                </c:pt>
                <c:pt idx="929">
                  <c:v>45617</c:v>
                </c:pt>
                <c:pt idx="930">
                  <c:v>45618</c:v>
                </c:pt>
                <c:pt idx="931">
                  <c:v>45621</c:v>
                </c:pt>
                <c:pt idx="932">
                  <c:v>45622</c:v>
                </c:pt>
                <c:pt idx="933">
                  <c:v>45623</c:v>
                </c:pt>
                <c:pt idx="934">
                  <c:v>45624</c:v>
                </c:pt>
                <c:pt idx="935">
                  <c:v>45625</c:v>
                </c:pt>
                <c:pt idx="936">
                  <c:v>45628</c:v>
                </c:pt>
                <c:pt idx="937">
                  <c:v>45629</c:v>
                </c:pt>
                <c:pt idx="938">
                  <c:v>45630</c:v>
                </c:pt>
                <c:pt idx="939">
                  <c:v>45631</c:v>
                </c:pt>
                <c:pt idx="940">
                  <c:v>45632</c:v>
                </c:pt>
                <c:pt idx="941">
                  <c:v>45635</c:v>
                </c:pt>
                <c:pt idx="942">
                  <c:v>45636</c:v>
                </c:pt>
                <c:pt idx="943">
                  <c:v>45637</c:v>
                </c:pt>
                <c:pt idx="944">
                  <c:v>45638</c:v>
                </c:pt>
                <c:pt idx="945">
                  <c:v>45639</c:v>
                </c:pt>
                <c:pt idx="946">
                  <c:v>45642</c:v>
                </c:pt>
                <c:pt idx="947">
                  <c:v>45643</c:v>
                </c:pt>
                <c:pt idx="948">
                  <c:v>45644</c:v>
                </c:pt>
                <c:pt idx="949">
                  <c:v>45645</c:v>
                </c:pt>
                <c:pt idx="950">
                  <c:v>45646</c:v>
                </c:pt>
                <c:pt idx="951">
                  <c:v>45649</c:v>
                </c:pt>
                <c:pt idx="952">
                  <c:v>45650</c:v>
                </c:pt>
                <c:pt idx="953">
                  <c:v>45651</c:v>
                </c:pt>
                <c:pt idx="954">
                  <c:v>45652</c:v>
                </c:pt>
                <c:pt idx="955">
                  <c:v>45653</c:v>
                </c:pt>
                <c:pt idx="956">
                  <c:v>45656</c:v>
                </c:pt>
                <c:pt idx="957">
                  <c:v>45657</c:v>
                </c:pt>
                <c:pt idx="958">
                  <c:v>45659</c:v>
                </c:pt>
                <c:pt idx="959">
                  <c:v>45660</c:v>
                </c:pt>
                <c:pt idx="960">
                  <c:v>45663</c:v>
                </c:pt>
                <c:pt idx="961">
                  <c:v>45664</c:v>
                </c:pt>
                <c:pt idx="962">
                  <c:v>45665</c:v>
                </c:pt>
                <c:pt idx="963">
                  <c:v>45666</c:v>
                </c:pt>
                <c:pt idx="964">
                  <c:v>45667</c:v>
                </c:pt>
                <c:pt idx="965">
                  <c:v>45670</c:v>
                </c:pt>
                <c:pt idx="966">
                  <c:v>45671</c:v>
                </c:pt>
                <c:pt idx="967">
                  <c:v>45672</c:v>
                </c:pt>
                <c:pt idx="968">
                  <c:v>45673</c:v>
                </c:pt>
                <c:pt idx="969">
                  <c:v>45674</c:v>
                </c:pt>
                <c:pt idx="970">
                  <c:v>45677</c:v>
                </c:pt>
                <c:pt idx="971">
                  <c:v>45678</c:v>
                </c:pt>
                <c:pt idx="972">
                  <c:v>45679</c:v>
                </c:pt>
                <c:pt idx="973">
                  <c:v>45680</c:v>
                </c:pt>
                <c:pt idx="974">
                  <c:v>45681</c:v>
                </c:pt>
                <c:pt idx="975">
                  <c:v>45691</c:v>
                </c:pt>
                <c:pt idx="976">
                  <c:v>45692</c:v>
                </c:pt>
                <c:pt idx="977">
                  <c:v>45693</c:v>
                </c:pt>
                <c:pt idx="978">
                  <c:v>45694</c:v>
                </c:pt>
                <c:pt idx="979">
                  <c:v>45695</c:v>
                </c:pt>
                <c:pt idx="980">
                  <c:v>45698</c:v>
                </c:pt>
                <c:pt idx="981">
                  <c:v>45699</c:v>
                </c:pt>
                <c:pt idx="982">
                  <c:v>45700</c:v>
                </c:pt>
                <c:pt idx="983">
                  <c:v>45701</c:v>
                </c:pt>
                <c:pt idx="984">
                  <c:v>45702</c:v>
                </c:pt>
                <c:pt idx="985">
                  <c:v>45705</c:v>
                </c:pt>
                <c:pt idx="986">
                  <c:v>45706</c:v>
                </c:pt>
                <c:pt idx="987">
                  <c:v>45707</c:v>
                </c:pt>
                <c:pt idx="988">
                  <c:v>45708</c:v>
                </c:pt>
                <c:pt idx="989">
                  <c:v>45709</c:v>
                </c:pt>
                <c:pt idx="990">
                  <c:v>45712</c:v>
                </c:pt>
                <c:pt idx="991">
                  <c:v>45713</c:v>
                </c:pt>
                <c:pt idx="992">
                  <c:v>45714</c:v>
                </c:pt>
                <c:pt idx="993">
                  <c:v>45715</c:v>
                </c:pt>
                <c:pt idx="994">
                  <c:v>45716</c:v>
                </c:pt>
                <c:pt idx="995">
                  <c:v>45719</c:v>
                </c:pt>
                <c:pt idx="996">
                  <c:v>45720</c:v>
                </c:pt>
                <c:pt idx="997">
                  <c:v>45721</c:v>
                </c:pt>
                <c:pt idx="998">
                  <c:v>45722</c:v>
                </c:pt>
                <c:pt idx="999">
                  <c:v>45723</c:v>
                </c:pt>
                <c:pt idx="1000">
                  <c:v>45726</c:v>
                </c:pt>
                <c:pt idx="1001">
                  <c:v>45727</c:v>
                </c:pt>
                <c:pt idx="1002">
                  <c:v>45728</c:v>
                </c:pt>
                <c:pt idx="1003">
                  <c:v>45729</c:v>
                </c:pt>
                <c:pt idx="1004">
                  <c:v>45730</c:v>
                </c:pt>
                <c:pt idx="1005">
                  <c:v>45733</c:v>
                </c:pt>
                <c:pt idx="1006">
                  <c:v>45734</c:v>
                </c:pt>
                <c:pt idx="1007">
                  <c:v>45735</c:v>
                </c:pt>
                <c:pt idx="1008">
                  <c:v>45736</c:v>
                </c:pt>
                <c:pt idx="1009">
                  <c:v>45737</c:v>
                </c:pt>
                <c:pt idx="1010">
                  <c:v>45740</c:v>
                </c:pt>
                <c:pt idx="1011">
                  <c:v>45741</c:v>
                </c:pt>
                <c:pt idx="1012">
                  <c:v>45742</c:v>
                </c:pt>
                <c:pt idx="1013">
                  <c:v>45743</c:v>
                </c:pt>
                <c:pt idx="1014">
                  <c:v>45744</c:v>
                </c:pt>
                <c:pt idx="1015">
                  <c:v>45747</c:v>
                </c:pt>
                <c:pt idx="1016">
                  <c:v>45748</c:v>
                </c:pt>
                <c:pt idx="1017">
                  <c:v>45749</c:v>
                </c:pt>
                <c:pt idx="1018">
                  <c:v>45750</c:v>
                </c:pt>
                <c:pt idx="1019">
                  <c:v>45751</c:v>
                </c:pt>
                <c:pt idx="1020">
                  <c:v>45755</c:v>
                </c:pt>
                <c:pt idx="1021">
                  <c:v>45756</c:v>
                </c:pt>
                <c:pt idx="1022">
                  <c:v>45757</c:v>
                </c:pt>
                <c:pt idx="1023">
                  <c:v>45758</c:v>
                </c:pt>
                <c:pt idx="1024">
                  <c:v>45761</c:v>
                </c:pt>
                <c:pt idx="1025">
                  <c:v>45762</c:v>
                </c:pt>
                <c:pt idx="1026">
                  <c:v>45763</c:v>
                </c:pt>
                <c:pt idx="1027">
                  <c:v>45764</c:v>
                </c:pt>
                <c:pt idx="1028">
                  <c:v>45765</c:v>
                </c:pt>
                <c:pt idx="1029">
                  <c:v>45768</c:v>
                </c:pt>
                <c:pt idx="1030">
                  <c:v>45769</c:v>
                </c:pt>
                <c:pt idx="1031">
                  <c:v>45770</c:v>
                </c:pt>
                <c:pt idx="1032">
                  <c:v>45771</c:v>
                </c:pt>
                <c:pt idx="1033">
                  <c:v>45772</c:v>
                </c:pt>
                <c:pt idx="1034">
                  <c:v>45775</c:v>
                </c:pt>
                <c:pt idx="1035">
                  <c:v>45776</c:v>
                </c:pt>
                <c:pt idx="1036">
                  <c:v>45782</c:v>
                </c:pt>
                <c:pt idx="1037">
                  <c:v>45783</c:v>
                </c:pt>
                <c:pt idx="1038">
                  <c:v>45784</c:v>
                </c:pt>
                <c:pt idx="1039">
                  <c:v>45785</c:v>
                </c:pt>
                <c:pt idx="1040">
                  <c:v>45786</c:v>
                </c:pt>
                <c:pt idx="1041">
                  <c:v>45789</c:v>
                </c:pt>
                <c:pt idx="1042">
                  <c:v>45790</c:v>
                </c:pt>
                <c:pt idx="1043">
                  <c:v>45791</c:v>
                </c:pt>
                <c:pt idx="1044">
                  <c:v>45792</c:v>
                </c:pt>
                <c:pt idx="1045">
                  <c:v>45793</c:v>
                </c:pt>
                <c:pt idx="1046">
                  <c:v>45796</c:v>
                </c:pt>
                <c:pt idx="1047">
                  <c:v>45797</c:v>
                </c:pt>
                <c:pt idx="1048">
                  <c:v>45798</c:v>
                </c:pt>
                <c:pt idx="1049">
                  <c:v>45799</c:v>
                </c:pt>
                <c:pt idx="1050">
                  <c:v>45800</c:v>
                </c:pt>
                <c:pt idx="1051">
                  <c:v>45803</c:v>
                </c:pt>
                <c:pt idx="1052">
                  <c:v>45804</c:v>
                </c:pt>
                <c:pt idx="1053">
                  <c:v>45805</c:v>
                </c:pt>
                <c:pt idx="1054">
                  <c:v>45806</c:v>
                </c:pt>
                <c:pt idx="1055">
                  <c:v>45807</c:v>
                </c:pt>
                <c:pt idx="1056">
                  <c:v>45810</c:v>
                </c:pt>
                <c:pt idx="1057">
                  <c:v>45811</c:v>
                </c:pt>
                <c:pt idx="1058">
                  <c:v>45812</c:v>
                </c:pt>
                <c:pt idx="1059">
                  <c:v>45813</c:v>
                </c:pt>
                <c:pt idx="1060">
                  <c:v>45814</c:v>
                </c:pt>
                <c:pt idx="1061">
                  <c:v>45817</c:v>
                </c:pt>
                <c:pt idx="1062">
                  <c:v>45818</c:v>
                </c:pt>
                <c:pt idx="1063">
                  <c:v>45819</c:v>
                </c:pt>
                <c:pt idx="1064">
                  <c:v>45820</c:v>
                </c:pt>
                <c:pt idx="1065">
                  <c:v>45821</c:v>
                </c:pt>
                <c:pt idx="1066">
                  <c:v>45824</c:v>
                </c:pt>
                <c:pt idx="1067">
                  <c:v>45825</c:v>
                </c:pt>
                <c:pt idx="1068">
                  <c:v>45826</c:v>
                </c:pt>
                <c:pt idx="1069">
                  <c:v>45827</c:v>
                </c:pt>
                <c:pt idx="1070">
                  <c:v>45828</c:v>
                </c:pt>
                <c:pt idx="1071">
                  <c:v>45831</c:v>
                </c:pt>
                <c:pt idx="1072">
                  <c:v>45832</c:v>
                </c:pt>
                <c:pt idx="1073">
                  <c:v>45833</c:v>
                </c:pt>
                <c:pt idx="1074">
                  <c:v>45834</c:v>
                </c:pt>
                <c:pt idx="1075">
                  <c:v>45835</c:v>
                </c:pt>
                <c:pt idx="1076">
                  <c:v>45838</c:v>
                </c:pt>
                <c:pt idx="1077">
                  <c:v>45839</c:v>
                </c:pt>
                <c:pt idx="1078">
                  <c:v>45840</c:v>
                </c:pt>
                <c:pt idx="1079">
                  <c:v>45841</c:v>
                </c:pt>
                <c:pt idx="1080">
                  <c:v>45842</c:v>
                </c:pt>
                <c:pt idx="1081">
                  <c:v>45845</c:v>
                </c:pt>
                <c:pt idx="1082">
                  <c:v>45846</c:v>
                </c:pt>
                <c:pt idx="1083">
                  <c:v>45847</c:v>
                </c:pt>
                <c:pt idx="1084">
                  <c:v>45848</c:v>
                </c:pt>
                <c:pt idx="1085">
                  <c:v>45849</c:v>
                </c:pt>
                <c:pt idx="1086">
                  <c:v>45852</c:v>
                </c:pt>
                <c:pt idx="1087">
                  <c:v>45853</c:v>
                </c:pt>
                <c:pt idx="1088">
                  <c:v>45854</c:v>
                </c:pt>
                <c:pt idx="1089">
                  <c:v>45855</c:v>
                </c:pt>
                <c:pt idx="1090">
                  <c:v>45856</c:v>
                </c:pt>
                <c:pt idx="1091">
                  <c:v>45859</c:v>
                </c:pt>
                <c:pt idx="1092">
                  <c:v>45860</c:v>
                </c:pt>
                <c:pt idx="1093">
                  <c:v>45861</c:v>
                </c:pt>
                <c:pt idx="1094">
                  <c:v>45862</c:v>
                </c:pt>
                <c:pt idx="1095">
                  <c:v>45863</c:v>
                </c:pt>
                <c:pt idx="1096">
                  <c:v>45866</c:v>
                </c:pt>
                <c:pt idx="1097">
                  <c:v>45867</c:v>
                </c:pt>
                <c:pt idx="1098">
                  <c:v>45868</c:v>
                </c:pt>
                <c:pt idx="1099">
                  <c:v>45869</c:v>
                </c:pt>
                <c:pt idx="1100">
                  <c:v>45870</c:v>
                </c:pt>
                <c:pt idx="1101">
                  <c:v>45873</c:v>
                </c:pt>
                <c:pt idx="1102">
                  <c:v>45874</c:v>
                </c:pt>
                <c:pt idx="1103">
                  <c:v>45875</c:v>
                </c:pt>
                <c:pt idx="1104">
                  <c:v>45876</c:v>
                </c:pt>
                <c:pt idx="1105">
                  <c:v>45877</c:v>
                </c:pt>
                <c:pt idx="1106">
                  <c:v>45880</c:v>
                </c:pt>
                <c:pt idx="1107">
                  <c:v>45881</c:v>
                </c:pt>
                <c:pt idx="1108">
                  <c:v>45882</c:v>
                </c:pt>
                <c:pt idx="1109">
                  <c:v>45883</c:v>
                </c:pt>
                <c:pt idx="1110">
                  <c:v>45884</c:v>
                </c:pt>
                <c:pt idx="1111">
                  <c:v>45887</c:v>
                </c:pt>
                <c:pt idx="1112">
                  <c:v>45888</c:v>
                </c:pt>
                <c:pt idx="1113">
                  <c:v>45889</c:v>
                </c:pt>
                <c:pt idx="1114">
                  <c:v>45890</c:v>
                </c:pt>
                <c:pt idx="1115">
                  <c:v>45891</c:v>
                </c:pt>
                <c:pt idx="1116">
                  <c:v>45894</c:v>
                </c:pt>
                <c:pt idx="1117">
                  <c:v>45895</c:v>
                </c:pt>
                <c:pt idx="1118">
                  <c:v>45896</c:v>
                </c:pt>
                <c:pt idx="1119">
                  <c:v>45897</c:v>
                </c:pt>
                <c:pt idx="1120">
                  <c:v>45898</c:v>
                </c:pt>
                <c:pt idx="1121">
                  <c:v>45903</c:v>
                </c:pt>
                <c:pt idx="1122">
                  <c:v>45904</c:v>
                </c:pt>
                <c:pt idx="1123">
                  <c:v>45905</c:v>
                </c:pt>
                <c:pt idx="1124">
                  <c:v>45908</c:v>
                </c:pt>
                <c:pt idx="1125">
                  <c:v>45909</c:v>
                </c:pt>
                <c:pt idx="1126">
                  <c:v>45910</c:v>
                </c:pt>
                <c:pt idx="1127">
                  <c:v>45911</c:v>
                </c:pt>
                <c:pt idx="1128">
                  <c:v>45912</c:v>
                </c:pt>
                <c:pt idx="1129">
                  <c:v>45915</c:v>
                </c:pt>
                <c:pt idx="1130">
                  <c:v>45916</c:v>
                </c:pt>
                <c:pt idx="1131">
                  <c:v>45917</c:v>
                </c:pt>
                <c:pt idx="1132">
                  <c:v>45918</c:v>
                </c:pt>
                <c:pt idx="1133">
                  <c:v>45919</c:v>
                </c:pt>
                <c:pt idx="1134">
                  <c:v>45922</c:v>
                </c:pt>
                <c:pt idx="1135">
                  <c:v>45923</c:v>
                </c:pt>
                <c:pt idx="1136">
                  <c:v>45924</c:v>
                </c:pt>
                <c:pt idx="1137">
                  <c:v>45925</c:v>
                </c:pt>
                <c:pt idx="1138">
                  <c:v>45926</c:v>
                </c:pt>
                <c:pt idx="1139">
                  <c:v>45929</c:v>
                </c:pt>
                <c:pt idx="1140">
                  <c:v>45930</c:v>
                </c:pt>
                <c:pt idx="1141">
                  <c:v>45931</c:v>
                </c:pt>
                <c:pt idx="1142">
                  <c:v>45932</c:v>
                </c:pt>
                <c:pt idx="1143">
                  <c:v>45933</c:v>
                </c:pt>
                <c:pt idx="1144">
                  <c:v>45936</c:v>
                </c:pt>
                <c:pt idx="1145">
                  <c:v>45937</c:v>
                </c:pt>
                <c:pt idx="1146">
                  <c:v>45938</c:v>
                </c:pt>
                <c:pt idx="1147">
                  <c:v>45939</c:v>
                </c:pt>
                <c:pt idx="1148">
                  <c:v>45940</c:v>
                </c:pt>
                <c:pt idx="1149">
                  <c:v>45943</c:v>
                </c:pt>
                <c:pt idx="1150">
                  <c:v>45944</c:v>
                </c:pt>
                <c:pt idx="1151">
                  <c:v>45945</c:v>
                </c:pt>
                <c:pt idx="1152">
                  <c:v>45946</c:v>
                </c:pt>
                <c:pt idx="1153">
                  <c:v>45947</c:v>
                </c:pt>
                <c:pt idx="1154">
                  <c:v>45950</c:v>
                </c:pt>
                <c:pt idx="1155">
                  <c:v>45951</c:v>
                </c:pt>
                <c:pt idx="1156">
                  <c:v>45952</c:v>
                </c:pt>
                <c:pt idx="1157">
                  <c:v>45953</c:v>
                </c:pt>
                <c:pt idx="1158">
                  <c:v>45954</c:v>
                </c:pt>
                <c:pt idx="1159">
                  <c:v>45957</c:v>
                </c:pt>
                <c:pt idx="1160">
                  <c:v>45958</c:v>
                </c:pt>
                <c:pt idx="1161">
                  <c:v>45959</c:v>
                </c:pt>
                <c:pt idx="1162">
                  <c:v>45960</c:v>
                </c:pt>
                <c:pt idx="1163">
                  <c:v>45961</c:v>
                </c:pt>
                <c:pt idx="1164">
                  <c:v>45964</c:v>
                </c:pt>
                <c:pt idx="1165">
                  <c:v>45965</c:v>
                </c:pt>
                <c:pt idx="1166">
                  <c:v>45966</c:v>
                </c:pt>
                <c:pt idx="1167">
                  <c:v>45967</c:v>
                </c:pt>
                <c:pt idx="1168">
                  <c:v>45968</c:v>
                </c:pt>
                <c:pt idx="1169">
                  <c:v>45971</c:v>
                </c:pt>
                <c:pt idx="1170">
                  <c:v>45972</c:v>
                </c:pt>
                <c:pt idx="1171">
                  <c:v>45973</c:v>
                </c:pt>
                <c:pt idx="1172">
                  <c:v>45974</c:v>
                </c:pt>
                <c:pt idx="1173">
                  <c:v>45975</c:v>
                </c:pt>
                <c:pt idx="1174">
                  <c:v>45978</c:v>
                </c:pt>
                <c:pt idx="1175">
                  <c:v>45979</c:v>
                </c:pt>
                <c:pt idx="1176">
                  <c:v>45980</c:v>
                </c:pt>
                <c:pt idx="1177">
                  <c:v>45981</c:v>
                </c:pt>
                <c:pt idx="1178">
                  <c:v>45982</c:v>
                </c:pt>
                <c:pt idx="1179">
                  <c:v>45985</c:v>
                </c:pt>
                <c:pt idx="1180">
                  <c:v>45986</c:v>
                </c:pt>
                <c:pt idx="1181">
                  <c:v>45987</c:v>
                </c:pt>
                <c:pt idx="1182">
                  <c:v>45988</c:v>
                </c:pt>
                <c:pt idx="1183">
                  <c:v>45989</c:v>
                </c:pt>
                <c:pt idx="1184">
                  <c:v>45992</c:v>
                </c:pt>
                <c:pt idx="1185">
                  <c:v>45993</c:v>
                </c:pt>
                <c:pt idx="1186">
                  <c:v>45994</c:v>
                </c:pt>
                <c:pt idx="1187">
                  <c:v>45995</c:v>
                </c:pt>
                <c:pt idx="1188">
                  <c:v>45996</c:v>
                </c:pt>
                <c:pt idx="1189">
                  <c:v>45999</c:v>
                </c:pt>
                <c:pt idx="1190">
                  <c:v>46000</c:v>
                </c:pt>
                <c:pt idx="1191">
                  <c:v>46001</c:v>
                </c:pt>
                <c:pt idx="1192">
                  <c:v>46002</c:v>
                </c:pt>
                <c:pt idx="1193">
                  <c:v>46003</c:v>
                </c:pt>
                <c:pt idx="1194">
                  <c:v>46006</c:v>
                </c:pt>
                <c:pt idx="1195">
                  <c:v>46007</c:v>
                </c:pt>
                <c:pt idx="1196">
                  <c:v>46008</c:v>
                </c:pt>
                <c:pt idx="1197">
                  <c:v>46009</c:v>
                </c:pt>
                <c:pt idx="1198">
                  <c:v>46010</c:v>
                </c:pt>
                <c:pt idx="1199">
                  <c:v>46013</c:v>
                </c:pt>
                <c:pt idx="1200">
                  <c:v>46014</c:v>
                </c:pt>
                <c:pt idx="1201">
                  <c:v>46015</c:v>
                </c:pt>
                <c:pt idx="1202">
                  <c:v>46016</c:v>
                </c:pt>
                <c:pt idx="1203">
                  <c:v>46017</c:v>
                </c:pt>
                <c:pt idx="1204">
                  <c:v>46020</c:v>
                </c:pt>
                <c:pt idx="1205">
                  <c:v>46021</c:v>
                </c:pt>
                <c:pt idx="1206">
                  <c:v>46022</c:v>
                </c:pt>
                <c:pt idx="1207">
                  <c:v>46027</c:v>
                </c:pt>
                <c:pt idx="1208">
                  <c:v>46028</c:v>
                </c:pt>
                <c:pt idx="1209">
                  <c:v>46029</c:v>
                </c:pt>
                <c:pt idx="1210">
                  <c:v>46030</c:v>
                </c:pt>
                <c:pt idx="1211">
                  <c:v>46031</c:v>
                </c:pt>
                <c:pt idx="1212">
                  <c:v>46034</c:v>
                </c:pt>
                <c:pt idx="1213">
                  <c:v>46035</c:v>
                </c:pt>
                <c:pt idx="1214">
                  <c:v>46036</c:v>
                </c:pt>
                <c:pt idx="1215">
                  <c:v>46037</c:v>
                </c:pt>
                <c:pt idx="1216">
                  <c:v>46038</c:v>
                </c:pt>
                <c:pt idx="1217">
                  <c:v>46041</c:v>
                </c:pt>
                <c:pt idx="1218">
                  <c:v>46042</c:v>
                </c:pt>
                <c:pt idx="1219">
                  <c:v>46043</c:v>
                </c:pt>
                <c:pt idx="1220">
                  <c:v>46044</c:v>
                </c:pt>
                <c:pt idx="1221">
                  <c:v>46045</c:v>
                </c:pt>
                <c:pt idx="1222">
                  <c:v>46048</c:v>
                </c:pt>
                <c:pt idx="1223">
                  <c:v>46049</c:v>
                </c:pt>
                <c:pt idx="1224">
                  <c:v>46050</c:v>
                </c:pt>
                <c:pt idx="1225">
                  <c:v>46051</c:v>
                </c:pt>
                <c:pt idx="1226">
                  <c:v>46052</c:v>
                </c:pt>
                <c:pt idx="1227">
                  <c:v>46055</c:v>
                </c:pt>
                <c:pt idx="1228">
                  <c:v>46056</c:v>
                </c:pt>
                <c:pt idx="1229">
                  <c:v>46057</c:v>
                </c:pt>
                <c:pt idx="1230">
                  <c:v>46058</c:v>
                </c:pt>
                <c:pt idx="1231">
                  <c:v>46059</c:v>
                </c:pt>
                <c:pt idx="1232">
                  <c:v>46062</c:v>
                </c:pt>
                <c:pt idx="1233">
                  <c:v>46063</c:v>
                </c:pt>
                <c:pt idx="1234">
                  <c:v>46064</c:v>
                </c:pt>
                <c:pt idx="1235">
                  <c:v>46065</c:v>
                </c:pt>
                <c:pt idx="1236">
                  <c:v>46066</c:v>
                </c:pt>
                <c:pt idx="1237">
                  <c:v>46076</c:v>
                </c:pt>
                <c:pt idx="1238">
                  <c:v>46077</c:v>
                </c:pt>
                <c:pt idx="1239">
                  <c:v>46078</c:v>
                </c:pt>
                <c:pt idx="1240">
                  <c:v>46079</c:v>
                </c:pt>
                <c:pt idx="1241">
                  <c:v>46080</c:v>
                </c:pt>
                <c:pt idx="1242">
                  <c:v>46083</c:v>
                </c:pt>
                <c:pt idx="1243">
                  <c:v>46084</c:v>
                </c:pt>
                <c:pt idx="1244">
                  <c:v>46085</c:v>
                </c:pt>
                <c:pt idx="1245">
                  <c:v>46086</c:v>
                </c:pt>
                <c:pt idx="1246">
                  <c:v>46087</c:v>
                </c:pt>
              </c:numCache>
            </c:numRef>
          </c:cat>
          <c:val>
            <c:numRef>
              <c:f>'FX Data'!$F$957:$F$2203</c:f>
              <c:numCache>
                <c:formatCode>0.0</c:formatCode>
                <c:ptCount val="1247"/>
                <c:pt idx="0">
                  <c:v>24.033050394191257</c:v>
                </c:pt>
                <c:pt idx="1">
                  <c:v>24.033050394191257</c:v>
                </c:pt>
                <c:pt idx="2">
                  <c:v>24.033050394191257</c:v>
                </c:pt>
                <c:pt idx="3">
                  <c:v>24.033050394191257</c:v>
                </c:pt>
                <c:pt idx="4">
                  <c:v>24.033050394191257</c:v>
                </c:pt>
                <c:pt idx="5">
                  <c:v>24.033050394191257</c:v>
                </c:pt>
                <c:pt idx="6">
                  <c:v>24.033050394191257</c:v>
                </c:pt>
                <c:pt idx="7">
                  <c:v>24.033050394191257</c:v>
                </c:pt>
                <c:pt idx="8">
                  <c:v>24.033050394191257</c:v>
                </c:pt>
                <c:pt idx="9">
                  <c:v>24.033050394191257</c:v>
                </c:pt>
                <c:pt idx="10">
                  <c:v>24.033050394191257</c:v>
                </c:pt>
                <c:pt idx="11">
                  <c:v>24.033050394191257</c:v>
                </c:pt>
                <c:pt idx="12">
                  <c:v>24.033050394191257</c:v>
                </c:pt>
                <c:pt idx="13">
                  <c:v>24.033050394191257</c:v>
                </c:pt>
                <c:pt idx="14">
                  <c:v>24.033050394191257</c:v>
                </c:pt>
                <c:pt idx="15">
                  <c:v>24.033050394191257</c:v>
                </c:pt>
                <c:pt idx="16">
                  <c:v>24.033050394191257</c:v>
                </c:pt>
                <c:pt idx="17">
                  <c:v>24.033050394191257</c:v>
                </c:pt>
                <c:pt idx="18">
                  <c:v>24.033050394191257</c:v>
                </c:pt>
                <c:pt idx="19">
                  <c:v>24.033050394191257</c:v>
                </c:pt>
                <c:pt idx="20">
                  <c:v>24.033050394191257</c:v>
                </c:pt>
                <c:pt idx="21">
                  <c:v>24.033050394191257</c:v>
                </c:pt>
                <c:pt idx="22">
                  <c:v>24.033050394191257</c:v>
                </c:pt>
                <c:pt idx="23">
                  <c:v>24.033050394191257</c:v>
                </c:pt>
                <c:pt idx="24">
                  <c:v>24.033050394191257</c:v>
                </c:pt>
                <c:pt idx="25">
                  <c:v>24.033050394191257</c:v>
                </c:pt>
                <c:pt idx="26">
                  <c:v>24.033050394191257</c:v>
                </c:pt>
                <c:pt idx="27">
                  <c:v>24.033050394191257</c:v>
                </c:pt>
                <c:pt idx="28">
                  <c:v>24.033050394191257</c:v>
                </c:pt>
                <c:pt idx="29">
                  <c:v>24.033050394191257</c:v>
                </c:pt>
                <c:pt idx="30">
                  <c:v>24.033050394191257</c:v>
                </c:pt>
                <c:pt idx="31">
                  <c:v>24.033050394191257</c:v>
                </c:pt>
                <c:pt idx="32">
                  <c:v>24.033050394191257</c:v>
                </c:pt>
                <c:pt idx="33">
                  <c:v>24.033050394191257</c:v>
                </c:pt>
                <c:pt idx="34">
                  <c:v>24.033050394191257</c:v>
                </c:pt>
                <c:pt idx="35">
                  <c:v>24.033050394191257</c:v>
                </c:pt>
                <c:pt idx="36">
                  <c:v>24.033050394191257</c:v>
                </c:pt>
                <c:pt idx="37">
                  <c:v>24.033050394191257</c:v>
                </c:pt>
                <c:pt idx="38">
                  <c:v>24.033050394191257</c:v>
                </c:pt>
                <c:pt idx="39">
                  <c:v>24.033050394191257</c:v>
                </c:pt>
                <c:pt idx="40">
                  <c:v>24.033050394191257</c:v>
                </c:pt>
                <c:pt idx="41">
                  <c:v>24.033050394191257</c:v>
                </c:pt>
                <c:pt idx="42">
                  <c:v>24.033050394191257</c:v>
                </c:pt>
                <c:pt idx="43">
                  <c:v>24.033050394191257</c:v>
                </c:pt>
                <c:pt idx="44">
                  <c:v>24.033050394191257</c:v>
                </c:pt>
                <c:pt idx="45">
                  <c:v>24.033050394191257</c:v>
                </c:pt>
                <c:pt idx="46">
                  <c:v>24.033050394191257</c:v>
                </c:pt>
                <c:pt idx="47">
                  <c:v>24.033050394191257</c:v>
                </c:pt>
                <c:pt idx="48">
                  <c:v>24.033050394191257</c:v>
                </c:pt>
                <c:pt idx="49">
                  <c:v>24.033050394191257</c:v>
                </c:pt>
                <c:pt idx="50">
                  <c:v>24.033050394191257</c:v>
                </c:pt>
                <c:pt idx="51">
                  <c:v>24.033050394191257</c:v>
                </c:pt>
                <c:pt idx="52">
                  <c:v>24.033050394191257</c:v>
                </c:pt>
                <c:pt idx="53">
                  <c:v>24.033050394191257</c:v>
                </c:pt>
                <c:pt idx="54">
                  <c:v>24.033050394191257</c:v>
                </c:pt>
                <c:pt idx="55">
                  <c:v>24.033050394191257</c:v>
                </c:pt>
                <c:pt idx="56">
                  <c:v>24.033050394191257</c:v>
                </c:pt>
                <c:pt idx="57">
                  <c:v>24.033050394191257</c:v>
                </c:pt>
                <c:pt idx="58">
                  <c:v>24.033050394191257</c:v>
                </c:pt>
                <c:pt idx="59">
                  <c:v>24.033050394191257</c:v>
                </c:pt>
                <c:pt idx="60">
                  <c:v>24.033050394191257</c:v>
                </c:pt>
                <c:pt idx="61">
                  <c:v>24.033050394191257</c:v>
                </c:pt>
                <c:pt idx="62">
                  <c:v>24.033050394191257</c:v>
                </c:pt>
                <c:pt idx="63">
                  <c:v>24.033050394191257</c:v>
                </c:pt>
                <c:pt idx="64">
                  <c:v>24.033050394191257</c:v>
                </c:pt>
                <c:pt idx="65">
                  <c:v>24.033050394191257</c:v>
                </c:pt>
                <c:pt idx="66">
                  <c:v>24.033050394191257</c:v>
                </c:pt>
                <c:pt idx="67">
                  <c:v>24.033050394191257</c:v>
                </c:pt>
                <c:pt idx="68">
                  <c:v>24.033050394191257</c:v>
                </c:pt>
                <c:pt idx="69">
                  <c:v>24.033050394191257</c:v>
                </c:pt>
                <c:pt idx="70">
                  <c:v>24.033050394191257</c:v>
                </c:pt>
                <c:pt idx="71">
                  <c:v>24.033050394191257</c:v>
                </c:pt>
                <c:pt idx="72">
                  <c:v>24.033050394191257</c:v>
                </c:pt>
                <c:pt idx="73">
                  <c:v>24.033050394191257</c:v>
                </c:pt>
                <c:pt idx="74">
                  <c:v>24.033050394191257</c:v>
                </c:pt>
                <c:pt idx="75">
                  <c:v>24.033050394191257</c:v>
                </c:pt>
                <c:pt idx="76">
                  <c:v>24.033050394191257</c:v>
                </c:pt>
                <c:pt idx="77">
                  <c:v>24.033050394191257</c:v>
                </c:pt>
                <c:pt idx="78">
                  <c:v>24.033050394191257</c:v>
                </c:pt>
                <c:pt idx="79">
                  <c:v>24.033050394191257</c:v>
                </c:pt>
                <c:pt idx="80">
                  <c:v>24.033050394191257</c:v>
                </c:pt>
                <c:pt idx="81">
                  <c:v>24.033050394191257</c:v>
                </c:pt>
                <c:pt idx="82">
                  <c:v>24.033050394191257</c:v>
                </c:pt>
                <c:pt idx="83">
                  <c:v>24.033050394191257</c:v>
                </c:pt>
                <c:pt idx="84">
                  <c:v>24.033050394191257</c:v>
                </c:pt>
                <c:pt idx="85">
                  <c:v>24.033050394191257</c:v>
                </c:pt>
                <c:pt idx="86">
                  <c:v>24.033050394191257</c:v>
                </c:pt>
                <c:pt idx="87">
                  <c:v>24.033050394191257</c:v>
                </c:pt>
                <c:pt idx="88">
                  <c:v>24.033050394191257</c:v>
                </c:pt>
                <c:pt idx="89">
                  <c:v>24.033050394191257</c:v>
                </c:pt>
                <c:pt idx="90">
                  <c:v>24.033050394191257</c:v>
                </c:pt>
                <c:pt idx="91">
                  <c:v>24.033050394191257</c:v>
                </c:pt>
                <c:pt idx="92">
                  <c:v>24.033050394191257</c:v>
                </c:pt>
                <c:pt idx="93">
                  <c:v>24.033050394191257</c:v>
                </c:pt>
                <c:pt idx="94">
                  <c:v>24.033050394191257</c:v>
                </c:pt>
                <c:pt idx="95">
                  <c:v>24.033050394191257</c:v>
                </c:pt>
                <c:pt idx="96">
                  <c:v>24.033050394191257</c:v>
                </c:pt>
                <c:pt idx="97">
                  <c:v>24.033050394191257</c:v>
                </c:pt>
                <c:pt idx="98">
                  <c:v>24.033050394191257</c:v>
                </c:pt>
                <c:pt idx="99">
                  <c:v>24.033050394191257</c:v>
                </c:pt>
                <c:pt idx="100">
                  <c:v>24.033050394191257</c:v>
                </c:pt>
                <c:pt idx="101">
                  <c:v>24.033050394191257</c:v>
                </c:pt>
                <c:pt idx="102">
                  <c:v>24.033050394191257</c:v>
                </c:pt>
                <c:pt idx="103">
                  <c:v>24.033050394191257</c:v>
                </c:pt>
                <c:pt idx="104">
                  <c:v>24.033050394191257</c:v>
                </c:pt>
                <c:pt idx="105">
                  <c:v>24.033050394191257</c:v>
                </c:pt>
                <c:pt idx="106">
                  <c:v>24.033050394191257</c:v>
                </c:pt>
                <c:pt idx="107">
                  <c:v>24.033050394191257</c:v>
                </c:pt>
                <c:pt idx="108">
                  <c:v>24.033050394191257</c:v>
                </c:pt>
                <c:pt idx="109">
                  <c:v>24.033050394191257</c:v>
                </c:pt>
                <c:pt idx="110">
                  <c:v>24.033050394191257</c:v>
                </c:pt>
                <c:pt idx="111">
                  <c:v>24.033050394191257</c:v>
                </c:pt>
                <c:pt idx="112">
                  <c:v>24.033050394191257</c:v>
                </c:pt>
                <c:pt idx="113">
                  <c:v>24.033050394191257</c:v>
                </c:pt>
                <c:pt idx="114">
                  <c:v>24.033050394191257</c:v>
                </c:pt>
                <c:pt idx="115">
                  <c:v>24.033050394191257</c:v>
                </c:pt>
                <c:pt idx="116">
                  <c:v>24.033050394191257</c:v>
                </c:pt>
                <c:pt idx="117">
                  <c:v>24.033050394191257</c:v>
                </c:pt>
                <c:pt idx="118">
                  <c:v>24.033050394191257</c:v>
                </c:pt>
                <c:pt idx="119">
                  <c:v>24.033050394191257</c:v>
                </c:pt>
                <c:pt idx="120">
                  <c:v>24.033050394191257</c:v>
                </c:pt>
                <c:pt idx="121">
                  <c:v>24.033050394191257</c:v>
                </c:pt>
                <c:pt idx="122">
                  <c:v>24.033050394191257</c:v>
                </c:pt>
                <c:pt idx="123">
                  <c:v>24.033050394191257</c:v>
                </c:pt>
                <c:pt idx="124">
                  <c:v>24.033050394191257</c:v>
                </c:pt>
                <c:pt idx="125">
                  <c:v>24.033050394191257</c:v>
                </c:pt>
                <c:pt idx="126">
                  <c:v>24.033050394191257</c:v>
                </c:pt>
                <c:pt idx="127">
                  <c:v>24.033050394191257</c:v>
                </c:pt>
                <c:pt idx="128">
                  <c:v>24.033050394191257</c:v>
                </c:pt>
                <c:pt idx="129">
                  <c:v>24.033050394191257</c:v>
                </c:pt>
                <c:pt idx="130">
                  <c:v>24.033050394191257</c:v>
                </c:pt>
                <c:pt idx="131">
                  <c:v>24.033050394191257</c:v>
                </c:pt>
                <c:pt idx="132">
                  <c:v>24.033050394191257</c:v>
                </c:pt>
                <c:pt idx="133">
                  <c:v>24.033050394191257</c:v>
                </c:pt>
                <c:pt idx="134">
                  <c:v>24.033050394191257</c:v>
                </c:pt>
                <c:pt idx="135">
                  <c:v>24.033050394191257</c:v>
                </c:pt>
                <c:pt idx="136">
                  <c:v>24.033050394191257</c:v>
                </c:pt>
                <c:pt idx="137">
                  <c:v>24.033050394191257</c:v>
                </c:pt>
                <c:pt idx="138">
                  <c:v>24.033050394191257</c:v>
                </c:pt>
                <c:pt idx="139">
                  <c:v>24.033050394191257</c:v>
                </c:pt>
                <c:pt idx="140">
                  <c:v>24.033050394191257</c:v>
                </c:pt>
                <c:pt idx="141">
                  <c:v>24.033050394191257</c:v>
                </c:pt>
                <c:pt idx="142">
                  <c:v>24.033050394191257</c:v>
                </c:pt>
                <c:pt idx="143">
                  <c:v>24.033050394191257</c:v>
                </c:pt>
                <c:pt idx="144">
                  <c:v>24.033050394191257</c:v>
                </c:pt>
                <c:pt idx="145">
                  <c:v>24.033050394191257</c:v>
                </c:pt>
                <c:pt idx="146">
                  <c:v>24.033050394191257</c:v>
                </c:pt>
                <c:pt idx="147">
                  <c:v>24.033050394191257</c:v>
                </c:pt>
                <c:pt idx="148">
                  <c:v>24.033050394191257</c:v>
                </c:pt>
                <c:pt idx="149">
                  <c:v>24.033050394191257</c:v>
                </c:pt>
                <c:pt idx="150">
                  <c:v>24.033050394191257</c:v>
                </c:pt>
                <c:pt idx="151">
                  <c:v>24.033050394191257</c:v>
                </c:pt>
                <c:pt idx="152">
                  <c:v>24.033050394191257</c:v>
                </c:pt>
                <c:pt idx="153">
                  <c:v>24.033050394191257</c:v>
                </c:pt>
                <c:pt idx="154">
                  <c:v>24.033050394191257</c:v>
                </c:pt>
                <c:pt idx="155">
                  <c:v>24.033050394191257</c:v>
                </c:pt>
                <c:pt idx="156">
                  <c:v>24.033050394191257</c:v>
                </c:pt>
                <c:pt idx="157">
                  <c:v>24.033050394191257</c:v>
                </c:pt>
                <c:pt idx="158">
                  <c:v>24.033050394191257</c:v>
                </c:pt>
                <c:pt idx="159">
                  <c:v>24.033050394191257</c:v>
                </c:pt>
                <c:pt idx="160">
                  <c:v>24.033050394191257</c:v>
                </c:pt>
                <c:pt idx="161">
                  <c:v>24.033050394191257</c:v>
                </c:pt>
                <c:pt idx="162">
                  <c:v>24.033050394191257</c:v>
                </c:pt>
                <c:pt idx="163">
                  <c:v>24.033050394191257</c:v>
                </c:pt>
                <c:pt idx="164">
                  <c:v>24.033050394191257</c:v>
                </c:pt>
                <c:pt idx="165">
                  <c:v>24.033050394191257</c:v>
                </c:pt>
                <c:pt idx="166">
                  <c:v>24.033050394191257</c:v>
                </c:pt>
                <c:pt idx="167">
                  <c:v>24.033050394191257</c:v>
                </c:pt>
                <c:pt idx="168">
                  <c:v>24.033050394191257</c:v>
                </c:pt>
                <c:pt idx="169">
                  <c:v>24.033050394191257</c:v>
                </c:pt>
                <c:pt idx="170">
                  <c:v>24.033050394191257</c:v>
                </c:pt>
                <c:pt idx="171">
                  <c:v>24.033050394191257</c:v>
                </c:pt>
                <c:pt idx="172">
                  <c:v>24.033050394191257</c:v>
                </c:pt>
                <c:pt idx="173">
                  <c:v>24.033050394191257</c:v>
                </c:pt>
                <c:pt idx="174">
                  <c:v>24.033050394191257</c:v>
                </c:pt>
                <c:pt idx="175">
                  <c:v>24.033050394191257</c:v>
                </c:pt>
                <c:pt idx="176">
                  <c:v>24.033050394191257</c:v>
                </c:pt>
                <c:pt idx="177">
                  <c:v>24.033050394191257</c:v>
                </c:pt>
                <c:pt idx="178">
                  <c:v>24.033050394191257</c:v>
                </c:pt>
                <c:pt idx="179">
                  <c:v>24.033050394191257</c:v>
                </c:pt>
                <c:pt idx="180">
                  <c:v>24.033050394191257</c:v>
                </c:pt>
                <c:pt idx="181">
                  <c:v>24.033050394191257</c:v>
                </c:pt>
                <c:pt idx="182">
                  <c:v>24.033050394191257</c:v>
                </c:pt>
                <c:pt idx="183">
                  <c:v>24.033050394191257</c:v>
                </c:pt>
                <c:pt idx="184">
                  <c:v>24.033050394191257</c:v>
                </c:pt>
                <c:pt idx="185">
                  <c:v>24.033050394191257</c:v>
                </c:pt>
                <c:pt idx="186">
                  <c:v>24.033050394191257</c:v>
                </c:pt>
                <c:pt idx="187">
                  <c:v>24.033050394191257</c:v>
                </c:pt>
                <c:pt idx="188">
                  <c:v>24.033050394191257</c:v>
                </c:pt>
                <c:pt idx="189">
                  <c:v>24.033050394191257</c:v>
                </c:pt>
                <c:pt idx="190">
                  <c:v>24.033050394191257</c:v>
                </c:pt>
                <c:pt idx="191">
                  <c:v>24.033050394191257</c:v>
                </c:pt>
                <c:pt idx="192">
                  <c:v>24.033050394191257</c:v>
                </c:pt>
                <c:pt idx="193">
                  <c:v>24.033050394191257</c:v>
                </c:pt>
                <c:pt idx="194">
                  <c:v>24.033050394191257</c:v>
                </c:pt>
                <c:pt idx="195">
                  <c:v>24.033050394191257</c:v>
                </c:pt>
                <c:pt idx="196">
                  <c:v>24.033050394191257</c:v>
                </c:pt>
                <c:pt idx="197">
                  <c:v>24.033050394191257</c:v>
                </c:pt>
                <c:pt idx="198">
                  <c:v>24.033050394191257</c:v>
                </c:pt>
                <c:pt idx="199">
                  <c:v>24.033050394191257</c:v>
                </c:pt>
                <c:pt idx="200">
                  <c:v>24.033050394191257</c:v>
                </c:pt>
                <c:pt idx="201">
                  <c:v>24.033050394191257</c:v>
                </c:pt>
                <c:pt idx="202">
                  <c:v>24.033050394191257</c:v>
                </c:pt>
                <c:pt idx="203">
                  <c:v>24.033050394191257</c:v>
                </c:pt>
                <c:pt idx="204">
                  <c:v>24.033050394191257</c:v>
                </c:pt>
                <c:pt idx="205">
                  <c:v>24.033050394191257</c:v>
                </c:pt>
                <c:pt idx="206">
                  <c:v>24.033050394191257</c:v>
                </c:pt>
                <c:pt idx="207">
                  <c:v>24.033050394191257</c:v>
                </c:pt>
                <c:pt idx="208">
                  <c:v>24.033050394191257</c:v>
                </c:pt>
                <c:pt idx="209">
                  <c:v>24.033050394191257</c:v>
                </c:pt>
                <c:pt idx="210">
                  <c:v>24.033050394191257</c:v>
                </c:pt>
                <c:pt idx="211">
                  <c:v>24.033050394191257</c:v>
                </c:pt>
                <c:pt idx="212">
                  <c:v>24.033050394191257</c:v>
                </c:pt>
                <c:pt idx="213">
                  <c:v>24.033050394191257</c:v>
                </c:pt>
                <c:pt idx="214">
                  <c:v>24.033050394191257</c:v>
                </c:pt>
                <c:pt idx="215">
                  <c:v>24.033050394191257</c:v>
                </c:pt>
                <c:pt idx="216">
                  <c:v>24.033050394191257</c:v>
                </c:pt>
                <c:pt idx="217">
                  <c:v>24.033050394191257</c:v>
                </c:pt>
                <c:pt idx="218">
                  <c:v>24.033050394191257</c:v>
                </c:pt>
                <c:pt idx="219">
                  <c:v>24.033050394191257</c:v>
                </c:pt>
                <c:pt idx="220">
                  <c:v>24.033050394191257</c:v>
                </c:pt>
                <c:pt idx="221">
                  <c:v>24.033050394191257</c:v>
                </c:pt>
                <c:pt idx="222">
                  <c:v>24.033050394191257</c:v>
                </c:pt>
                <c:pt idx="223">
                  <c:v>24.033050394191257</c:v>
                </c:pt>
                <c:pt idx="224">
                  <c:v>24.033050394191257</c:v>
                </c:pt>
                <c:pt idx="225">
                  <c:v>24.033050394191257</c:v>
                </c:pt>
                <c:pt idx="226">
                  <c:v>24.033050394191257</c:v>
                </c:pt>
                <c:pt idx="227">
                  <c:v>24.033050394191257</c:v>
                </c:pt>
                <c:pt idx="228">
                  <c:v>24.033050394191257</c:v>
                </c:pt>
                <c:pt idx="229">
                  <c:v>24.033050394191257</c:v>
                </c:pt>
                <c:pt idx="230">
                  <c:v>24.033050394191257</c:v>
                </c:pt>
                <c:pt idx="231">
                  <c:v>24.033050394191257</c:v>
                </c:pt>
                <c:pt idx="232">
                  <c:v>24.033050394191257</c:v>
                </c:pt>
                <c:pt idx="233">
                  <c:v>24.033050394191257</c:v>
                </c:pt>
                <c:pt idx="234">
                  <c:v>24.033050394191257</c:v>
                </c:pt>
                <c:pt idx="235">
                  <c:v>24.033050394191257</c:v>
                </c:pt>
                <c:pt idx="236">
                  <c:v>24.033050394191257</c:v>
                </c:pt>
                <c:pt idx="237">
                  <c:v>24.033050394191257</c:v>
                </c:pt>
                <c:pt idx="238">
                  <c:v>24.033050394191257</c:v>
                </c:pt>
                <c:pt idx="239">
                  <c:v>24.033050394191257</c:v>
                </c:pt>
                <c:pt idx="240">
                  <c:v>24.033050394191257</c:v>
                </c:pt>
                <c:pt idx="241">
                  <c:v>24.033050394191257</c:v>
                </c:pt>
                <c:pt idx="242">
                  <c:v>24.033050394191257</c:v>
                </c:pt>
                <c:pt idx="243">
                  <c:v>24.033050394191257</c:v>
                </c:pt>
                <c:pt idx="244">
                  <c:v>24.033050394191257</c:v>
                </c:pt>
                <c:pt idx="245">
                  <c:v>24.033050394191257</c:v>
                </c:pt>
                <c:pt idx="246">
                  <c:v>24.033050394191257</c:v>
                </c:pt>
                <c:pt idx="247">
                  <c:v>24.033050394191257</c:v>
                </c:pt>
                <c:pt idx="248">
                  <c:v>24.033050394191257</c:v>
                </c:pt>
                <c:pt idx="249">
                  <c:v>24.033050394191257</c:v>
                </c:pt>
                <c:pt idx="250">
                  <c:v>24.033050394191257</c:v>
                </c:pt>
                <c:pt idx="251">
                  <c:v>24.033050394191257</c:v>
                </c:pt>
                <c:pt idx="252">
                  <c:v>24.033050394191257</c:v>
                </c:pt>
                <c:pt idx="253">
                  <c:v>24.033050394191257</c:v>
                </c:pt>
                <c:pt idx="254">
                  <c:v>24.033050394191257</c:v>
                </c:pt>
                <c:pt idx="255">
                  <c:v>24.033050394191257</c:v>
                </c:pt>
                <c:pt idx="256">
                  <c:v>24.033050394191257</c:v>
                </c:pt>
                <c:pt idx="257">
                  <c:v>24.033050394191257</c:v>
                </c:pt>
                <c:pt idx="258">
                  <c:v>24.033050394191257</c:v>
                </c:pt>
                <c:pt idx="259">
                  <c:v>24.033050394191257</c:v>
                </c:pt>
                <c:pt idx="260">
                  <c:v>24.033050394191257</c:v>
                </c:pt>
                <c:pt idx="261">
                  <c:v>24.033050394191257</c:v>
                </c:pt>
                <c:pt idx="262">
                  <c:v>24.033050394191257</c:v>
                </c:pt>
                <c:pt idx="263">
                  <c:v>24.033050394191257</c:v>
                </c:pt>
                <c:pt idx="264">
                  <c:v>24.033050394191257</c:v>
                </c:pt>
                <c:pt idx="265">
                  <c:v>24.033050394191257</c:v>
                </c:pt>
                <c:pt idx="266">
                  <c:v>24.033050394191257</c:v>
                </c:pt>
                <c:pt idx="267">
                  <c:v>24.033050394191257</c:v>
                </c:pt>
                <c:pt idx="268">
                  <c:v>24.033050394191257</c:v>
                </c:pt>
                <c:pt idx="269">
                  <c:v>24.033050394191257</c:v>
                </c:pt>
                <c:pt idx="270">
                  <c:v>24.033050394191257</c:v>
                </c:pt>
                <c:pt idx="271">
                  <c:v>24.033050394191257</c:v>
                </c:pt>
                <c:pt idx="272">
                  <c:v>24.033050394191257</c:v>
                </c:pt>
                <c:pt idx="273">
                  <c:v>24.033050394191257</c:v>
                </c:pt>
                <c:pt idx="274">
                  <c:v>24.033050394191257</c:v>
                </c:pt>
                <c:pt idx="275">
                  <c:v>24.033050394191257</c:v>
                </c:pt>
                <c:pt idx="276">
                  <c:v>24.033050394191257</c:v>
                </c:pt>
                <c:pt idx="277">
                  <c:v>24.033050394191257</c:v>
                </c:pt>
                <c:pt idx="278">
                  <c:v>24.033050394191257</c:v>
                </c:pt>
                <c:pt idx="279">
                  <c:v>24.033050394191257</c:v>
                </c:pt>
                <c:pt idx="280">
                  <c:v>24.033050394191257</c:v>
                </c:pt>
                <c:pt idx="281">
                  <c:v>24.033050394191257</c:v>
                </c:pt>
                <c:pt idx="282">
                  <c:v>24.033050394191257</c:v>
                </c:pt>
                <c:pt idx="283">
                  <c:v>24.033050394191257</c:v>
                </c:pt>
                <c:pt idx="284">
                  <c:v>24.033050394191257</c:v>
                </c:pt>
                <c:pt idx="285">
                  <c:v>24.033050394191257</c:v>
                </c:pt>
                <c:pt idx="286">
                  <c:v>24.033050394191257</c:v>
                </c:pt>
                <c:pt idx="287">
                  <c:v>24.033050394191257</c:v>
                </c:pt>
                <c:pt idx="288">
                  <c:v>24.033050394191257</c:v>
                </c:pt>
                <c:pt idx="289">
                  <c:v>24.033050394191257</c:v>
                </c:pt>
                <c:pt idx="290">
                  <c:v>24.033050394191257</c:v>
                </c:pt>
                <c:pt idx="291">
                  <c:v>24.033050394191257</c:v>
                </c:pt>
                <c:pt idx="292">
                  <c:v>24.033050394191257</c:v>
                </c:pt>
                <c:pt idx="293">
                  <c:v>24.033050394191257</c:v>
                </c:pt>
                <c:pt idx="294">
                  <c:v>24.033050394191257</c:v>
                </c:pt>
                <c:pt idx="295">
                  <c:v>24.033050394191257</c:v>
                </c:pt>
                <c:pt idx="296">
                  <c:v>24.033050394191257</c:v>
                </c:pt>
                <c:pt idx="297">
                  <c:v>24.033050394191257</c:v>
                </c:pt>
                <c:pt idx="298">
                  <c:v>24.033050394191257</c:v>
                </c:pt>
                <c:pt idx="299">
                  <c:v>24.033050394191257</c:v>
                </c:pt>
                <c:pt idx="300">
                  <c:v>24.033050394191257</c:v>
                </c:pt>
                <c:pt idx="301">
                  <c:v>24.033050394191257</c:v>
                </c:pt>
                <c:pt idx="302">
                  <c:v>24.033050394191257</c:v>
                </c:pt>
                <c:pt idx="303">
                  <c:v>24.033050394191257</c:v>
                </c:pt>
                <c:pt idx="304">
                  <c:v>24.033050394191257</c:v>
                </c:pt>
                <c:pt idx="305">
                  <c:v>24.033050394191257</c:v>
                </c:pt>
                <c:pt idx="306">
                  <c:v>24.033050394191257</c:v>
                </c:pt>
                <c:pt idx="307">
                  <c:v>24.033050394191257</c:v>
                </c:pt>
                <c:pt idx="308">
                  <c:v>24.033050394191257</c:v>
                </c:pt>
                <c:pt idx="309">
                  <c:v>24.033050394191257</c:v>
                </c:pt>
                <c:pt idx="310">
                  <c:v>24.033050394191257</c:v>
                </c:pt>
                <c:pt idx="311">
                  <c:v>24.033050394191257</c:v>
                </c:pt>
                <c:pt idx="312">
                  <c:v>24.033050394191257</c:v>
                </c:pt>
                <c:pt idx="313">
                  <c:v>24.033050394191257</c:v>
                </c:pt>
                <c:pt idx="314">
                  <c:v>24.033050394191257</c:v>
                </c:pt>
                <c:pt idx="315">
                  <c:v>24.033050394191257</c:v>
                </c:pt>
                <c:pt idx="316">
                  <c:v>24.033050394191257</c:v>
                </c:pt>
                <c:pt idx="317">
                  <c:v>24.033050394191257</c:v>
                </c:pt>
                <c:pt idx="318">
                  <c:v>24.033050394191257</c:v>
                </c:pt>
                <c:pt idx="319">
                  <c:v>24.033050394191257</c:v>
                </c:pt>
                <c:pt idx="320">
                  <c:v>24.033050394191257</c:v>
                </c:pt>
                <c:pt idx="321">
                  <c:v>24.033050394191257</c:v>
                </c:pt>
                <c:pt idx="322">
                  <c:v>24.033050394191257</c:v>
                </c:pt>
                <c:pt idx="323">
                  <c:v>24.033050394191257</c:v>
                </c:pt>
                <c:pt idx="324">
                  <c:v>24.033050394191257</c:v>
                </c:pt>
                <c:pt idx="325">
                  <c:v>24.033050394191257</c:v>
                </c:pt>
                <c:pt idx="326">
                  <c:v>24.033050394191257</c:v>
                </c:pt>
                <c:pt idx="327">
                  <c:v>24.033050394191257</c:v>
                </c:pt>
                <c:pt idx="328">
                  <c:v>24.033050394191257</c:v>
                </c:pt>
                <c:pt idx="329">
                  <c:v>24.033050394191257</c:v>
                </c:pt>
                <c:pt idx="330">
                  <c:v>24.033050394191257</c:v>
                </c:pt>
                <c:pt idx="331">
                  <c:v>24.033050394191257</c:v>
                </c:pt>
                <c:pt idx="332">
                  <c:v>24.033050394191257</c:v>
                </c:pt>
                <c:pt idx="333">
                  <c:v>24.033050394191257</c:v>
                </c:pt>
                <c:pt idx="334">
                  <c:v>24.033050394191257</c:v>
                </c:pt>
                <c:pt idx="335">
                  <c:v>24.033050394191257</c:v>
                </c:pt>
                <c:pt idx="336">
                  <c:v>24.033050394191257</c:v>
                </c:pt>
                <c:pt idx="337">
                  <c:v>24.033050394191257</c:v>
                </c:pt>
                <c:pt idx="338">
                  <c:v>24.033050394191257</c:v>
                </c:pt>
                <c:pt idx="339">
                  <c:v>24.033050394191257</c:v>
                </c:pt>
                <c:pt idx="340">
                  <c:v>24.033050394191257</c:v>
                </c:pt>
                <c:pt idx="341">
                  <c:v>24.033050394191257</c:v>
                </c:pt>
                <c:pt idx="342">
                  <c:v>24.033050394191257</c:v>
                </c:pt>
                <c:pt idx="343">
                  <c:v>24.033050394191257</c:v>
                </c:pt>
                <c:pt idx="344">
                  <c:v>24.033050394191257</c:v>
                </c:pt>
                <c:pt idx="345">
                  <c:v>24.033050394191257</c:v>
                </c:pt>
                <c:pt idx="346">
                  <c:v>24.033050394191257</c:v>
                </c:pt>
                <c:pt idx="347">
                  <c:v>24.033050394191257</c:v>
                </c:pt>
                <c:pt idx="348">
                  <c:v>24.033050394191257</c:v>
                </c:pt>
                <c:pt idx="349">
                  <c:v>24.033050394191257</c:v>
                </c:pt>
                <c:pt idx="350">
                  <c:v>24.033050394191257</c:v>
                </c:pt>
                <c:pt idx="351">
                  <c:v>24.033050394191257</c:v>
                </c:pt>
                <c:pt idx="352">
                  <c:v>24.033050394191257</c:v>
                </c:pt>
                <c:pt idx="353">
                  <c:v>24.033050394191257</c:v>
                </c:pt>
                <c:pt idx="354">
                  <c:v>24.033050394191257</c:v>
                </c:pt>
                <c:pt idx="355">
                  <c:v>24.033050394191257</c:v>
                </c:pt>
                <c:pt idx="356">
                  <c:v>24.033050394191257</c:v>
                </c:pt>
                <c:pt idx="357">
                  <c:v>24.033050394191257</c:v>
                </c:pt>
                <c:pt idx="358">
                  <c:v>24.033050394191257</c:v>
                </c:pt>
                <c:pt idx="359">
                  <c:v>24.033050394191257</c:v>
                </c:pt>
                <c:pt idx="360">
                  <c:v>24.033050394191257</c:v>
                </c:pt>
                <c:pt idx="361">
                  <c:v>24.033050394191257</c:v>
                </c:pt>
                <c:pt idx="362">
                  <c:v>24.033050394191257</c:v>
                </c:pt>
                <c:pt idx="363">
                  <c:v>24.033050394191257</c:v>
                </c:pt>
                <c:pt idx="364">
                  <c:v>24.033050394191257</c:v>
                </c:pt>
                <c:pt idx="365">
                  <c:v>24.033050394191257</c:v>
                </c:pt>
                <c:pt idx="366">
                  <c:v>24.033050394191257</c:v>
                </c:pt>
                <c:pt idx="367">
                  <c:v>24.033050394191257</c:v>
                </c:pt>
                <c:pt idx="368">
                  <c:v>24.033050394191257</c:v>
                </c:pt>
                <c:pt idx="369">
                  <c:v>24.033050394191257</c:v>
                </c:pt>
                <c:pt idx="370">
                  <c:v>24.033050394191257</c:v>
                </c:pt>
                <c:pt idx="371">
                  <c:v>24.033050394191257</c:v>
                </c:pt>
                <c:pt idx="372">
                  <c:v>24.033050394191257</c:v>
                </c:pt>
                <c:pt idx="373">
                  <c:v>24.033050394191257</c:v>
                </c:pt>
                <c:pt idx="374">
                  <c:v>24.033050394191257</c:v>
                </c:pt>
                <c:pt idx="375">
                  <c:v>24.033050394191257</c:v>
                </c:pt>
                <c:pt idx="376">
                  <c:v>24.033050394191257</c:v>
                </c:pt>
                <c:pt idx="377">
                  <c:v>24.033050394191257</c:v>
                </c:pt>
                <c:pt idx="378">
                  <c:v>24.033050394191257</c:v>
                </c:pt>
                <c:pt idx="379">
                  <c:v>24.033050394191257</c:v>
                </c:pt>
                <c:pt idx="380">
                  <c:v>24.033050394191257</c:v>
                </c:pt>
                <c:pt idx="381">
                  <c:v>24.033050394191257</c:v>
                </c:pt>
                <c:pt idx="382">
                  <c:v>24.033050394191257</c:v>
                </c:pt>
                <c:pt idx="383">
                  <c:v>24.033050394191257</c:v>
                </c:pt>
                <c:pt idx="384">
                  <c:v>24.033050394191257</c:v>
                </c:pt>
                <c:pt idx="385">
                  <c:v>24.033050394191257</c:v>
                </c:pt>
                <c:pt idx="386">
                  <c:v>24.033050394191257</c:v>
                </c:pt>
                <c:pt idx="387">
                  <c:v>24.033050394191257</c:v>
                </c:pt>
                <c:pt idx="388">
                  <c:v>24.033050394191257</c:v>
                </c:pt>
                <c:pt idx="389">
                  <c:v>24.033050394191257</c:v>
                </c:pt>
                <c:pt idx="390">
                  <c:v>24.033050394191257</c:v>
                </c:pt>
                <c:pt idx="391">
                  <c:v>24.033050394191257</c:v>
                </c:pt>
                <c:pt idx="392">
                  <c:v>24.033050394191257</c:v>
                </c:pt>
                <c:pt idx="393">
                  <c:v>24.033050394191257</c:v>
                </c:pt>
                <c:pt idx="394">
                  <c:v>24.033050394191257</c:v>
                </c:pt>
                <c:pt idx="395">
                  <c:v>24.033050394191257</c:v>
                </c:pt>
                <c:pt idx="396">
                  <c:v>24.033050394191257</c:v>
                </c:pt>
                <c:pt idx="397">
                  <c:v>24.033050394191257</c:v>
                </c:pt>
                <c:pt idx="398">
                  <c:v>24.033050394191257</c:v>
                </c:pt>
                <c:pt idx="399">
                  <c:v>24.033050394191257</c:v>
                </c:pt>
                <c:pt idx="400">
                  <c:v>24.033050394191257</c:v>
                </c:pt>
                <c:pt idx="401">
                  <c:v>24.033050394191257</c:v>
                </c:pt>
                <c:pt idx="402">
                  <c:v>24.033050394191257</c:v>
                </c:pt>
                <c:pt idx="403">
                  <c:v>24.033050394191257</c:v>
                </c:pt>
                <c:pt idx="404">
                  <c:v>24.033050394191257</c:v>
                </c:pt>
                <c:pt idx="405">
                  <c:v>24.033050394191257</c:v>
                </c:pt>
                <c:pt idx="406">
                  <c:v>24.033050394191257</c:v>
                </c:pt>
                <c:pt idx="407">
                  <c:v>24.033050394191257</c:v>
                </c:pt>
                <c:pt idx="408">
                  <c:v>24.033050394191257</c:v>
                </c:pt>
                <c:pt idx="409">
                  <c:v>24.033050394191257</c:v>
                </c:pt>
                <c:pt idx="410">
                  <c:v>24.033050394191257</c:v>
                </c:pt>
                <c:pt idx="411">
                  <c:v>24.033050394191257</c:v>
                </c:pt>
                <c:pt idx="412">
                  <c:v>24.033050394191257</c:v>
                </c:pt>
                <c:pt idx="413">
                  <c:v>24.033050394191257</c:v>
                </c:pt>
                <c:pt idx="414">
                  <c:v>24.033050394191257</c:v>
                </c:pt>
                <c:pt idx="415">
                  <c:v>24.033050394191257</c:v>
                </c:pt>
                <c:pt idx="416">
                  <c:v>24.033050394191257</c:v>
                </c:pt>
                <c:pt idx="417">
                  <c:v>24.033050394191257</c:v>
                </c:pt>
                <c:pt idx="418">
                  <c:v>24.033050394191257</c:v>
                </c:pt>
                <c:pt idx="419">
                  <c:v>24.033050394191257</c:v>
                </c:pt>
                <c:pt idx="420">
                  <c:v>24.033050394191257</c:v>
                </c:pt>
                <c:pt idx="421">
                  <c:v>24.033050394191257</c:v>
                </c:pt>
                <c:pt idx="422">
                  <c:v>24.033050394191257</c:v>
                </c:pt>
                <c:pt idx="423">
                  <c:v>24.033050394191257</c:v>
                </c:pt>
                <c:pt idx="424">
                  <c:v>24.033050394191257</c:v>
                </c:pt>
                <c:pt idx="425">
                  <c:v>24.033050394191257</c:v>
                </c:pt>
                <c:pt idx="426">
                  <c:v>24.033050394191257</c:v>
                </c:pt>
                <c:pt idx="427">
                  <c:v>24.033050394191257</c:v>
                </c:pt>
                <c:pt idx="428">
                  <c:v>24.033050394191257</c:v>
                </c:pt>
                <c:pt idx="429">
                  <c:v>24.033050394191257</c:v>
                </c:pt>
                <c:pt idx="430">
                  <c:v>24.033050394191257</c:v>
                </c:pt>
                <c:pt idx="431">
                  <c:v>24.033050394191257</c:v>
                </c:pt>
                <c:pt idx="432">
                  <c:v>24.033050394191257</c:v>
                </c:pt>
                <c:pt idx="433">
                  <c:v>24.033050394191257</c:v>
                </c:pt>
                <c:pt idx="434">
                  <c:v>24.033050394191257</c:v>
                </c:pt>
                <c:pt idx="435">
                  <c:v>24.033050394191257</c:v>
                </c:pt>
                <c:pt idx="436">
                  <c:v>24.033050394191257</c:v>
                </c:pt>
                <c:pt idx="437">
                  <c:v>24.033050394191257</c:v>
                </c:pt>
                <c:pt idx="438">
                  <c:v>24.033050394191257</c:v>
                </c:pt>
                <c:pt idx="439">
                  <c:v>24.033050394191257</c:v>
                </c:pt>
                <c:pt idx="440">
                  <c:v>24.033050394191257</c:v>
                </c:pt>
                <c:pt idx="441">
                  <c:v>24.033050394191257</c:v>
                </c:pt>
                <c:pt idx="442">
                  <c:v>24.033050394191257</c:v>
                </c:pt>
                <c:pt idx="443">
                  <c:v>24.033050394191257</c:v>
                </c:pt>
                <c:pt idx="444">
                  <c:v>24.033050394191257</c:v>
                </c:pt>
                <c:pt idx="445">
                  <c:v>24.033050394191257</c:v>
                </c:pt>
                <c:pt idx="446">
                  <c:v>24.033050394191257</c:v>
                </c:pt>
                <c:pt idx="447">
                  <c:v>24.033050394191257</c:v>
                </c:pt>
                <c:pt idx="448">
                  <c:v>24.033050394191257</c:v>
                </c:pt>
                <c:pt idx="449">
                  <c:v>24.033050394191257</c:v>
                </c:pt>
                <c:pt idx="450">
                  <c:v>24.033050394191257</c:v>
                </c:pt>
                <c:pt idx="451">
                  <c:v>24.033050394191257</c:v>
                </c:pt>
                <c:pt idx="452">
                  <c:v>24.033050394191257</c:v>
                </c:pt>
                <c:pt idx="453">
                  <c:v>24.033050394191257</c:v>
                </c:pt>
                <c:pt idx="454">
                  <c:v>24.033050394191257</c:v>
                </c:pt>
                <c:pt idx="455">
                  <c:v>24.033050394191257</c:v>
                </c:pt>
                <c:pt idx="456">
                  <c:v>24.033050394191257</c:v>
                </c:pt>
                <c:pt idx="457">
                  <c:v>24.033050394191257</c:v>
                </c:pt>
                <c:pt idx="458">
                  <c:v>24.033050394191257</c:v>
                </c:pt>
                <c:pt idx="459">
                  <c:v>24.033050394191257</c:v>
                </c:pt>
                <c:pt idx="460">
                  <c:v>24.033050394191257</c:v>
                </c:pt>
                <c:pt idx="461">
                  <c:v>24.033050394191257</c:v>
                </c:pt>
                <c:pt idx="462">
                  <c:v>24.033050394191257</c:v>
                </c:pt>
                <c:pt idx="463">
                  <c:v>24.033050394191257</c:v>
                </c:pt>
                <c:pt idx="464">
                  <c:v>24.033050394191257</c:v>
                </c:pt>
                <c:pt idx="465">
                  <c:v>24.033050394191257</c:v>
                </c:pt>
                <c:pt idx="466">
                  <c:v>24.033050394191257</c:v>
                </c:pt>
                <c:pt idx="467">
                  <c:v>24.033050394191257</c:v>
                </c:pt>
                <c:pt idx="468">
                  <c:v>24.033050394191257</c:v>
                </c:pt>
                <c:pt idx="469">
                  <c:v>24.033050394191257</c:v>
                </c:pt>
                <c:pt idx="470">
                  <c:v>24.033050394191257</c:v>
                </c:pt>
                <c:pt idx="471">
                  <c:v>24.033050394191257</c:v>
                </c:pt>
                <c:pt idx="472">
                  <c:v>24.033050394191257</c:v>
                </c:pt>
                <c:pt idx="473">
                  <c:v>24.033050394191257</c:v>
                </c:pt>
                <c:pt idx="474">
                  <c:v>24.033050394191257</c:v>
                </c:pt>
                <c:pt idx="475">
                  <c:v>24.033050394191257</c:v>
                </c:pt>
                <c:pt idx="476">
                  <c:v>24.033050394191257</c:v>
                </c:pt>
                <c:pt idx="477">
                  <c:v>24.033050394191257</c:v>
                </c:pt>
                <c:pt idx="478">
                  <c:v>24.033050394191257</c:v>
                </c:pt>
                <c:pt idx="479">
                  <c:v>24.033050394191257</c:v>
                </c:pt>
                <c:pt idx="480">
                  <c:v>24.033050394191257</c:v>
                </c:pt>
                <c:pt idx="481">
                  <c:v>24.033050394191257</c:v>
                </c:pt>
                <c:pt idx="482">
                  <c:v>24.033050394191257</c:v>
                </c:pt>
                <c:pt idx="483">
                  <c:v>24.033050394191257</c:v>
                </c:pt>
                <c:pt idx="484">
                  <c:v>24.033050394191257</c:v>
                </c:pt>
                <c:pt idx="485">
                  <c:v>24.033050394191257</c:v>
                </c:pt>
                <c:pt idx="486">
                  <c:v>24.033050394191257</c:v>
                </c:pt>
                <c:pt idx="487">
                  <c:v>24.033050394191257</c:v>
                </c:pt>
                <c:pt idx="488">
                  <c:v>24.033050394191257</c:v>
                </c:pt>
                <c:pt idx="489">
                  <c:v>24.033050394191257</c:v>
                </c:pt>
                <c:pt idx="490">
                  <c:v>24.033050394191257</c:v>
                </c:pt>
                <c:pt idx="491">
                  <c:v>24.033050394191257</c:v>
                </c:pt>
                <c:pt idx="492">
                  <c:v>24.033050394191257</c:v>
                </c:pt>
                <c:pt idx="493">
                  <c:v>24.033050394191257</c:v>
                </c:pt>
                <c:pt idx="494">
                  <c:v>24.033050394191257</c:v>
                </c:pt>
                <c:pt idx="495">
                  <c:v>24.033050394191257</c:v>
                </c:pt>
                <c:pt idx="496">
                  <c:v>24.033050394191257</c:v>
                </c:pt>
                <c:pt idx="497">
                  <c:v>24.033050394191257</c:v>
                </c:pt>
                <c:pt idx="498">
                  <c:v>24.033050394191257</c:v>
                </c:pt>
                <c:pt idx="499">
                  <c:v>24.033050394191257</c:v>
                </c:pt>
                <c:pt idx="500">
                  <c:v>24.033050394191257</c:v>
                </c:pt>
                <c:pt idx="501">
                  <c:v>24.033050394191257</c:v>
                </c:pt>
                <c:pt idx="502">
                  <c:v>24.033050394191257</c:v>
                </c:pt>
                <c:pt idx="503">
                  <c:v>24.033050394191257</c:v>
                </c:pt>
                <c:pt idx="504">
                  <c:v>24.033050394191257</c:v>
                </c:pt>
                <c:pt idx="505">
                  <c:v>24.033050394191257</c:v>
                </c:pt>
                <c:pt idx="506">
                  <c:v>24.033050394191257</c:v>
                </c:pt>
                <c:pt idx="507">
                  <c:v>24.033050394191257</c:v>
                </c:pt>
                <c:pt idx="508">
                  <c:v>24.033050394191257</c:v>
                </c:pt>
                <c:pt idx="509">
                  <c:v>24.033050394191257</c:v>
                </c:pt>
                <c:pt idx="510">
                  <c:v>24.033050394191257</c:v>
                </c:pt>
                <c:pt idx="511">
                  <c:v>24.033050394191257</c:v>
                </c:pt>
                <c:pt idx="512">
                  <c:v>24.033050394191257</c:v>
                </c:pt>
                <c:pt idx="513">
                  <c:v>24.033050394191257</c:v>
                </c:pt>
                <c:pt idx="514">
                  <c:v>24.033050394191257</c:v>
                </c:pt>
                <c:pt idx="515">
                  <c:v>24.033050394191257</c:v>
                </c:pt>
                <c:pt idx="516">
                  <c:v>24.033050394191257</c:v>
                </c:pt>
                <c:pt idx="517">
                  <c:v>24.033050394191257</c:v>
                </c:pt>
                <c:pt idx="518">
                  <c:v>24.033050394191257</c:v>
                </c:pt>
                <c:pt idx="519">
                  <c:v>24.033050394191257</c:v>
                </c:pt>
                <c:pt idx="520">
                  <c:v>24.033050394191257</c:v>
                </c:pt>
                <c:pt idx="521">
                  <c:v>24.033050394191257</c:v>
                </c:pt>
                <c:pt idx="522">
                  <c:v>24.033050394191257</c:v>
                </c:pt>
                <c:pt idx="523">
                  <c:v>24.033050394191257</c:v>
                </c:pt>
                <c:pt idx="524">
                  <c:v>24.033050394191257</c:v>
                </c:pt>
                <c:pt idx="525">
                  <c:v>24.033050394191257</c:v>
                </c:pt>
                <c:pt idx="526">
                  <c:v>24.033050394191257</c:v>
                </c:pt>
                <c:pt idx="527">
                  <c:v>24.033050394191257</c:v>
                </c:pt>
                <c:pt idx="528">
                  <c:v>24.033050394191257</c:v>
                </c:pt>
                <c:pt idx="529">
                  <c:v>24.033050394191257</c:v>
                </c:pt>
                <c:pt idx="530">
                  <c:v>24.033050394191257</c:v>
                </c:pt>
                <c:pt idx="531">
                  <c:v>24.033050394191257</c:v>
                </c:pt>
                <c:pt idx="532">
                  <c:v>24.033050394191257</c:v>
                </c:pt>
                <c:pt idx="533">
                  <c:v>24.033050394191257</c:v>
                </c:pt>
                <c:pt idx="534">
                  <c:v>24.033050394191257</c:v>
                </c:pt>
                <c:pt idx="535">
                  <c:v>24.033050394191257</c:v>
                </c:pt>
                <c:pt idx="536">
                  <c:v>24.033050394191257</c:v>
                </c:pt>
                <c:pt idx="537">
                  <c:v>24.033050394191257</c:v>
                </c:pt>
                <c:pt idx="538">
                  <c:v>24.033050394191257</c:v>
                </c:pt>
                <c:pt idx="539">
                  <c:v>24.033050394191257</c:v>
                </c:pt>
                <c:pt idx="540">
                  <c:v>24.033050394191257</c:v>
                </c:pt>
                <c:pt idx="541">
                  <c:v>24.033050394191257</c:v>
                </c:pt>
                <c:pt idx="542">
                  <c:v>24.033050394191257</c:v>
                </c:pt>
                <c:pt idx="543">
                  <c:v>24.033050394191257</c:v>
                </c:pt>
                <c:pt idx="544">
                  <c:v>24.033050394191257</c:v>
                </c:pt>
                <c:pt idx="545">
                  <c:v>24.033050394191257</c:v>
                </c:pt>
                <c:pt idx="546">
                  <c:v>24.033050394191257</c:v>
                </c:pt>
                <c:pt idx="547">
                  <c:v>24.033050394191257</c:v>
                </c:pt>
                <c:pt idx="548">
                  <c:v>24.033050394191257</c:v>
                </c:pt>
                <c:pt idx="549">
                  <c:v>24.033050394191257</c:v>
                </c:pt>
                <c:pt idx="550">
                  <c:v>24.033050394191257</c:v>
                </c:pt>
                <c:pt idx="551">
                  <c:v>24.033050394191257</c:v>
                </c:pt>
                <c:pt idx="552">
                  <c:v>24.033050394191257</c:v>
                </c:pt>
                <c:pt idx="553">
                  <c:v>24.033050394191257</c:v>
                </c:pt>
                <c:pt idx="554">
                  <c:v>24.033050394191257</c:v>
                </c:pt>
                <c:pt idx="555">
                  <c:v>24.033050394191257</c:v>
                </c:pt>
                <c:pt idx="556">
                  <c:v>24.033050394191257</c:v>
                </c:pt>
                <c:pt idx="557">
                  <c:v>24.033050394191257</c:v>
                </c:pt>
                <c:pt idx="558">
                  <c:v>24.033050394191257</c:v>
                </c:pt>
                <c:pt idx="559">
                  <c:v>24.033050394191257</c:v>
                </c:pt>
                <c:pt idx="560">
                  <c:v>24.033050394191257</c:v>
                </c:pt>
                <c:pt idx="561">
                  <c:v>24.033050394191257</c:v>
                </c:pt>
                <c:pt idx="562">
                  <c:v>24.033050394191257</c:v>
                </c:pt>
                <c:pt idx="563">
                  <c:v>24.033050394191257</c:v>
                </c:pt>
                <c:pt idx="564">
                  <c:v>24.033050394191257</c:v>
                </c:pt>
                <c:pt idx="565">
                  <c:v>24.033050394191257</c:v>
                </c:pt>
                <c:pt idx="566">
                  <c:v>24.033050394191257</c:v>
                </c:pt>
                <c:pt idx="567">
                  <c:v>24.033050394191257</c:v>
                </c:pt>
                <c:pt idx="568">
                  <c:v>24.033050394191257</c:v>
                </c:pt>
                <c:pt idx="569">
                  <c:v>24.033050394191257</c:v>
                </c:pt>
                <c:pt idx="570">
                  <c:v>24.033050394191257</c:v>
                </c:pt>
                <c:pt idx="571">
                  <c:v>24.033050394191257</c:v>
                </c:pt>
                <c:pt idx="572">
                  <c:v>24.033050394191257</c:v>
                </c:pt>
                <c:pt idx="573">
                  <c:v>24.033050394191257</c:v>
                </c:pt>
                <c:pt idx="574">
                  <c:v>24.033050394191257</c:v>
                </c:pt>
                <c:pt idx="575">
                  <c:v>24.033050394191257</c:v>
                </c:pt>
                <c:pt idx="576">
                  <c:v>24.033050394191257</c:v>
                </c:pt>
                <c:pt idx="577">
                  <c:v>24.033050394191257</c:v>
                </c:pt>
                <c:pt idx="578">
                  <c:v>24.033050394191257</c:v>
                </c:pt>
                <c:pt idx="579">
                  <c:v>24.033050394191257</c:v>
                </c:pt>
                <c:pt idx="580">
                  <c:v>24.033050394191257</c:v>
                </c:pt>
                <c:pt idx="581">
                  <c:v>24.033050394191257</c:v>
                </c:pt>
                <c:pt idx="582">
                  <c:v>24.033050394191257</c:v>
                </c:pt>
                <c:pt idx="583">
                  <c:v>24.033050394191257</c:v>
                </c:pt>
                <c:pt idx="584">
                  <c:v>24.033050394191257</c:v>
                </c:pt>
                <c:pt idx="585">
                  <c:v>24.033050394191257</c:v>
                </c:pt>
                <c:pt idx="586">
                  <c:v>24.033050394191257</c:v>
                </c:pt>
                <c:pt idx="587">
                  <c:v>24.033050394191257</c:v>
                </c:pt>
                <c:pt idx="588">
                  <c:v>24.033050394191257</c:v>
                </c:pt>
                <c:pt idx="589">
                  <c:v>24.033050394191257</c:v>
                </c:pt>
                <c:pt idx="590">
                  <c:v>24.033050394191257</c:v>
                </c:pt>
                <c:pt idx="591">
                  <c:v>24.033050394191257</c:v>
                </c:pt>
                <c:pt idx="592">
                  <c:v>24.033050394191257</c:v>
                </c:pt>
                <c:pt idx="593">
                  <c:v>24.033050394191257</c:v>
                </c:pt>
                <c:pt idx="594">
                  <c:v>24.033050394191257</c:v>
                </c:pt>
                <c:pt idx="595">
                  <c:v>24.033050394191257</c:v>
                </c:pt>
                <c:pt idx="596">
                  <c:v>24.033050394191257</c:v>
                </c:pt>
                <c:pt idx="597">
                  <c:v>24.033050394191257</c:v>
                </c:pt>
                <c:pt idx="598">
                  <c:v>24.033050394191257</c:v>
                </c:pt>
                <c:pt idx="599">
                  <c:v>24.033050394191257</c:v>
                </c:pt>
                <c:pt idx="600">
                  <c:v>24.033050394191257</c:v>
                </c:pt>
                <c:pt idx="601">
                  <c:v>24.033050394191257</c:v>
                </c:pt>
                <c:pt idx="602">
                  <c:v>24.033050394191257</c:v>
                </c:pt>
                <c:pt idx="603">
                  <c:v>24.033050394191257</c:v>
                </c:pt>
                <c:pt idx="604">
                  <c:v>24.033050394191257</c:v>
                </c:pt>
                <c:pt idx="605">
                  <c:v>24.033050394191257</c:v>
                </c:pt>
                <c:pt idx="606">
                  <c:v>24.033050394191257</c:v>
                </c:pt>
                <c:pt idx="607">
                  <c:v>24.033050394191257</c:v>
                </c:pt>
                <c:pt idx="608">
                  <c:v>24.033050394191257</c:v>
                </c:pt>
                <c:pt idx="609">
                  <c:v>24.033050394191257</c:v>
                </c:pt>
                <c:pt idx="610">
                  <c:v>24.033050394191257</c:v>
                </c:pt>
                <c:pt idx="611">
                  <c:v>24.033050394191257</c:v>
                </c:pt>
                <c:pt idx="612">
                  <c:v>24.033050394191257</c:v>
                </c:pt>
                <c:pt idx="613">
                  <c:v>24.033050394191257</c:v>
                </c:pt>
                <c:pt idx="614">
                  <c:v>24.033050394191257</c:v>
                </c:pt>
                <c:pt idx="615">
                  <c:v>24.033050394191257</c:v>
                </c:pt>
                <c:pt idx="616">
                  <c:v>24.033050394191257</c:v>
                </c:pt>
                <c:pt idx="617">
                  <c:v>24.033050394191257</c:v>
                </c:pt>
                <c:pt idx="618">
                  <c:v>24.033050394191257</c:v>
                </c:pt>
                <c:pt idx="619">
                  <c:v>24.033050394191257</c:v>
                </c:pt>
                <c:pt idx="620">
                  <c:v>24.033050394191257</c:v>
                </c:pt>
                <c:pt idx="621">
                  <c:v>24.033050394191257</c:v>
                </c:pt>
                <c:pt idx="622">
                  <c:v>24.033050394191257</c:v>
                </c:pt>
                <c:pt idx="623">
                  <c:v>24.033050394191257</c:v>
                </c:pt>
                <c:pt idx="624">
                  <c:v>24.033050394191257</c:v>
                </c:pt>
                <c:pt idx="625">
                  <c:v>24.033050394191257</c:v>
                </c:pt>
                <c:pt idx="626">
                  <c:v>24.033050394191257</c:v>
                </c:pt>
                <c:pt idx="627">
                  <c:v>24.033050394191257</c:v>
                </c:pt>
                <c:pt idx="628">
                  <c:v>24.033050394191257</c:v>
                </c:pt>
                <c:pt idx="629">
                  <c:v>24.033050394191257</c:v>
                </c:pt>
                <c:pt idx="630">
                  <c:v>24.033050394191257</c:v>
                </c:pt>
                <c:pt idx="631">
                  <c:v>24.033050394191257</c:v>
                </c:pt>
                <c:pt idx="632">
                  <c:v>24.033050394191257</c:v>
                </c:pt>
                <c:pt idx="633">
                  <c:v>24.033050394191257</c:v>
                </c:pt>
                <c:pt idx="634">
                  <c:v>24.033050394191257</c:v>
                </c:pt>
                <c:pt idx="635">
                  <c:v>24.033050394191257</c:v>
                </c:pt>
                <c:pt idx="636">
                  <c:v>24.033050394191257</c:v>
                </c:pt>
                <c:pt idx="637">
                  <c:v>24.033050394191257</c:v>
                </c:pt>
                <c:pt idx="638">
                  <c:v>24.033050394191257</c:v>
                </c:pt>
                <c:pt idx="639">
                  <c:v>24.033050394191257</c:v>
                </c:pt>
                <c:pt idx="640">
                  <c:v>24.033050394191257</c:v>
                </c:pt>
                <c:pt idx="641">
                  <c:v>24.033050394191257</c:v>
                </c:pt>
                <c:pt idx="642">
                  <c:v>24.033050394191257</c:v>
                </c:pt>
                <c:pt idx="643">
                  <c:v>24.033050394191257</c:v>
                </c:pt>
                <c:pt idx="644">
                  <c:v>24.033050394191257</c:v>
                </c:pt>
                <c:pt idx="645">
                  <c:v>24.033050394191257</c:v>
                </c:pt>
                <c:pt idx="646">
                  <c:v>24.033050394191257</c:v>
                </c:pt>
                <c:pt idx="647">
                  <c:v>24.033050394191257</c:v>
                </c:pt>
                <c:pt idx="648">
                  <c:v>24.033050394191257</c:v>
                </c:pt>
                <c:pt idx="649">
                  <c:v>24.033050394191257</c:v>
                </c:pt>
                <c:pt idx="650">
                  <c:v>24.033050394191257</c:v>
                </c:pt>
                <c:pt idx="651">
                  <c:v>24.033050394191257</c:v>
                </c:pt>
                <c:pt idx="652">
                  <c:v>24.033050394191257</c:v>
                </c:pt>
                <c:pt idx="653">
                  <c:v>24.033050394191257</c:v>
                </c:pt>
                <c:pt idx="654">
                  <c:v>24.033050394191257</c:v>
                </c:pt>
                <c:pt idx="655">
                  <c:v>24.033050394191257</c:v>
                </c:pt>
                <c:pt idx="656">
                  <c:v>24.033050394191257</c:v>
                </c:pt>
                <c:pt idx="657">
                  <c:v>24.033050394191257</c:v>
                </c:pt>
                <c:pt idx="658">
                  <c:v>24.033050394191257</c:v>
                </c:pt>
                <c:pt idx="659">
                  <c:v>24.033050394191257</c:v>
                </c:pt>
                <c:pt idx="660">
                  <c:v>24.033050394191257</c:v>
                </c:pt>
                <c:pt idx="661">
                  <c:v>24.033050394191257</c:v>
                </c:pt>
                <c:pt idx="662">
                  <c:v>24.033050394191257</c:v>
                </c:pt>
                <c:pt idx="663">
                  <c:v>24.033050394191257</c:v>
                </c:pt>
                <c:pt idx="664">
                  <c:v>24.033050394191257</c:v>
                </c:pt>
                <c:pt idx="665">
                  <c:v>24.033050394191257</c:v>
                </c:pt>
                <c:pt idx="666">
                  <c:v>24.033050394191257</c:v>
                </c:pt>
                <c:pt idx="667">
                  <c:v>24.033050394191257</c:v>
                </c:pt>
                <c:pt idx="668">
                  <c:v>24.033050394191257</c:v>
                </c:pt>
                <c:pt idx="669">
                  <c:v>24.033050394191257</c:v>
                </c:pt>
                <c:pt idx="670">
                  <c:v>24.033050394191257</c:v>
                </c:pt>
                <c:pt idx="671">
                  <c:v>24.033050394191257</c:v>
                </c:pt>
                <c:pt idx="672">
                  <c:v>24.033050394191257</c:v>
                </c:pt>
                <c:pt idx="673">
                  <c:v>24.033050394191257</c:v>
                </c:pt>
                <c:pt idx="674">
                  <c:v>24.033050394191257</c:v>
                </c:pt>
                <c:pt idx="675">
                  <c:v>24.033050394191257</c:v>
                </c:pt>
                <c:pt idx="676">
                  <c:v>24.033050394191257</c:v>
                </c:pt>
                <c:pt idx="677">
                  <c:v>24.033050394191257</c:v>
                </c:pt>
                <c:pt idx="678">
                  <c:v>24.033050394191257</c:v>
                </c:pt>
                <c:pt idx="679">
                  <c:v>24.033050394191257</c:v>
                </c:pt>
                <c:pt idx="680">
                  <c:v>24.033050394191257</c:v>
                </c:pt>
                <c:pt idx="681">
                  <c:v>24.033050394191257</c:v>
                </c:pt>
                <c:pt idx="682">
                  <c:v>24.033050394191257</c:v>
                </c:pt>
                <c:pt idx="683">
                  <c:v>24.033050394191257</c:v>
                </c:pt>
                <c:pt idx="684">
                  <c:v>24.033050394191257</c:v>
                </c:pt>
                <c:pt idx="685">
                  <c:v>24.033050394191257</c:v>
                </c:pt>
                <c:pt idx="686">
                  <c:v>24.033050394191257</c:v>
                </c:pt>
                <c:pt idx="687">
                  <c:v>24.033050394191257</c:v>
                </c:pt>
                <c:pt idx="688">
                  <c:v>24.033050394191257</c:v>
                </c:pt>
                <c:pt idx="689">
                  <c:v>24.033050394191257</c:v>
                </c:pt>
                <c:pt idx="690">
                  <c:v>24.033050394191257</c:v>
                </c:pt>
                <c:pt idx="691">
                  <c:v>24.033050394191257</c:v>
                </c:pt>
                <c:pt idx="692">
                  <c:v>24.033050394191257</c:v>
                </c:pt>
                <c:pt idx="693">
                  <c:v>24.033050394191257</c:v>
                </c:pt>
                <c:pt idx="694">
                  <c:v>24.033050394191257</c:v>
                </c:pt>
                <c:pt idx="695">
                  <c:v>24.033050394191257</c:v>
                </c:pt>
                <c:pt idx="696">
                  <c:v>24.033050394191257</c:v>
                </c:pt>
                <c:pt idx="697">
                  <c:v>24.033050394191257</c:v>
                </c:pt>
                <c:pt idx="698">
                  <c:v>24.033050394191257</c:v>
                </c:pt>
                <c:pt idx="699">
                  <c:v>24.033050394191257</c:v>
                </c:pt>
                <c:pt idx="700">
                  <c:v>24.033050394191257</c:v>
                </c:pt>
                <c:pt idx="701">
                  <c:v>24.033050394191257</c:v>
                </c:pt>
                <c:pt idx="702">
                  <c:v>24.033050394191257</c:v>
                </c:pt>
                <c:pt idx="703">
                  <c:v>24.033050394191257</c:v>
                </c:pt>
                <c:pt idx="704">
                  <c:v>24.033050394191257</c:v>
                </c:pt>
                <c:pt idx="705">
                  <c:v>24.033050394191257</c:v>
                </c:pt>
                <c:pt idx="706">
                  <c:v>24.033050394191257</c:v>
                </c:pt>
                <c:pt idx="707">
                  <c:v>24.033050394191257</c:v>
                </c:pt>
                <c:pt idx="708">
                  <c:v>24.033050394191257</c:v>
                </c:pt>
                <c:pt idx="709">
                  <c:v>24.033050394191257</c:v>
                </c:pt>
                <c:pt idx="710">
                  <c:v>24.033050394191257</c:v>
                </c:pt>
                <c:pt idx="711">
                  <c:v>24.033050394191257</c:v>
                </c:pt>
                <c:pt idx="712">
                  <c:v>24.033050394191257</c:v>
                </c:pt>
                <c:pt idx="713">
                  <c:v>24.033050394191257</c:v>
                </c:pt>
                <c:pt idx="714">
                  <c:v>24.033050394191257</c:v>
                </c:pt>
                <c:pt idx="715">
                  <c:v>24.033050394191257</c:v>
                </c:pt>
                <c:pt idx="716">
                  <c:v>24.033050394191257</c:v>
                </c:pt>
                <c:pt idx="717">
                  <c:v>24.033050394191257</c:v>
                </c:pt>
                <c:pt idx="718">
                  <c:v>24.033050394191257</c:v>
                </c:pt>
                <c:pt idx="719">
                  <c:v>24.033050394191257</c:v>
                </c:pt>
                <c:pt idx="720">
                  <c:v>24.033050394191257</c:v>
                </c:pt>
                <c:pt idx="721">
                  <c:v>24.033050394191257</c:v>
                </c:pt>
                <c:pt idx="722">
                  <c:v>24.033050394191257</c:v>
                </c:pt>
                <c:pt idx="723">
                  <c:v>24.033050394191257</c:v>
                </c:pt>
                <c:pt idx="724">
                  <c:v>24.033050394191257</c:v>
                </c:pt>
                <c:pt idx="725">
                  <c:v>24.033050394191257</c:v>
                </c:pt>
                <c:pt idx="726">
                  <c:v>24.033050394191257</c:v>
                </c:pt>
                <c:pt idx="727">
                  <c:v>24.033050394191257</c:v>
                </c:pt>
                <c:pt idx="728">
                  <c:v>24.033050394191257</c:v>
                </c:pt>
                <c:pt idx="729">
                  <c:v>24.033050394191257</c:v>
                </c:pt>
                <c:pt idx="730">
                  <c:v>24.033050394191257</c:v>
                </c:pt>
                <c:pt idx="731">
                  <c:v>24.033050394191257</c:v>
                </c:pt>
                <c:pt idx="732">
                  <c:v>24.033050394191257</c:v>
                </c:pt>
                <c:pt idx="733">
                  <c:v>24.033050394191257</c:v>
                </c:pt>
                <c:pt idx="734">
                  <c:v>24.033050394191257</c:v>
                </c:pt>
                <c:pt idx="735">
                  <c:v>24.033050394191257</c:v>
                </c:pt>
                <c:pt idx="736">
                  <c:v>24.033050394191257</c:v>
                </c:pt>
                <c:pt idx="737">
                  <c:v>24.033050394191257</c:v>
                </c:pt>
                <c:pt idx="738">
                  <c:v>24.033050394191257</c:v>
                </c:pt>
                <c:pt idx="739">
                  <c:v>24.033050394191257</c:v>
                </c:pt>
                <c:pt idx="740">
                  <c:v>24.033050394191257</c:v>
                </c:pt>
                <c:pt idx="741">
                  <c:v>24.033050394191257</c:v>
                </c:pt>
                <c:pt idx="742">
                  <c:v>24.033050394191257</c:v>
                </c:pt>
                <c:pt idx="743">
                  <c:v>24.033050394191257</c:v>
                </c:pt>
                <c:pt idx="744">
                  <c:v>24.033050394191257</c:v>
                </c:pt>
                <c:pt idx="745">
                  <c:v>24.033050394191257</c:v>
                </c:pt>
                <c:pt idx="746">
                  <c:v>24.033050394191257</c:v>
                </c:pt>
                <c:pt idx="747">
                  <c:v>24.033050394191257</c:v>
                </c:pt>
                <c:pt idx="748">
                  <c:v>24.033050394191257</c:v>
                </c:pt>
                <c:pt idx="749">
                  <c:v>24.033050394191257</c:v>
                </c:pt>
                <c:pt idx="750">
                  <c:v>24.033050394191257</c:v>
                </c:pt>
                <c:pt idx="751">
                  <c:v>24.033050394191257</c:v>
                </c:pt>
                <c:pt idx="752">
                  <c:v>24.033050394191257</c:v>
                </c:pt>
                <c:pt idx="753">
                  <c:v>24.033050394191257</c:v>
                </c:pt>
                <c:pt idx="754">
                  <c:v>24.033050394191257</c:v>
                </c:pt>
                <c:pt idx="755">
                  <c:v>24.033050394191257</c:v>
                </c:pt>
                <c:pt idx="756">
                  <c:v>24.033050394191257</c:v>
                </c:pt>
                <c:pt idx="757">
                  <c:v>24.033050394191257</c:v>
                </c:pt>
                <c:pt idx="758">
                  <c:v>24.033050394191257</c:v>
                </c:pt>
                <c:pt idx="759">
                  <c:v>24.033050394191257</c:v>
                </c:pt>
                <c:pt idx="760">
                  <c:v>24.033050394191257</c:v>
                </c:pt>
                <c:pt idx="761">
                  <c:v>24.033050394191257</c:v>
                </c:pt>
                <c:pt idx="762">
                  <c:v>24.033050394191257</c:v>
                </c:pt>
                <c:pt idx="763">
                  <c:v>24.033050394191257</c:v>
                </c:pt>
                <c:pt idx="764">
                  <c:v>24.033050394191257</c:v>
                </c:pt>
                <c:pt idx="765">
                  <c:v>24.033050394191257</c:v>
                </c:pt>
                <c:pt idx="766">
                  <c:v>24.033050394191257</c:v>
                </c:pt>
                <c:pt idx="767">
                  <c:v>24.033050394191257</c:v>
                </c:pt>
                <c:pt idx="768">
                  <c:v>24.033050394191257</c:v>
                </c:pt>
                <c:pt idx="769">
                  <c:v>24.033050394191257</c:v>
                </c:pt>
                <c:pt idx="770">
                  <c:v>24.033050394191257</c:v>
                </c:pt>
                <c:pt idx="771">
                  <c:v>24.033050394191257</c:v>
                </c:pt>
                <c:pt idx="772">
                  <c:v>24.033050394191257</c:v>
                </c:pt>
                <c:pt idx="773">
                  <c:v>24.033050394191257</c:v>
                </c:pt>
                <c:pt idx="774">
                  <c:v>24.033050394191257</c:v>
                </c:pt>
                <c:pt idx="775">
                  <c:v>24.033050394191257</c:v>
                </c:pt>
                <c:pt idx="776">
                  <c:v>24.033050394191257</c:v>
                </c:pt>
                <c:pt idx="777">
                  <c:v>24.033050394191257</c:v>
                </c:pt>
                <c:pt idx="778">
                  <c:v>24.033050394191257</c:v>
                </c:pt>
                <c:pt idx="779">
                  <c:v>24.033050394191257</c:v>
                </c:pt>
                <c:pt idx="780">
                  <c:v>24.033050394191257</c:v>
                </c:pt>
                <c:pt idx="781">
                  <c:v>24.033050394191257</c:v>
                </c:pt>
                <c:pt idx="782">
                  <c:v>24.033050394191257</c:v>
                </c:pt>
                <c:pt idx="783">
                  <c:v>24.033050394191257</c:v>
                </c:pt>
                <c:pt idx="784">
                  <c:v>24.033050394191257</c:v>
                </c:pt>
                <c:pt idx="785">
                  <c:v>24.033050394191257</c:v>
                </c:pt>
                <c:pt idx="786">
                  <c:v>24.033050394191257</c:v>
                </c:pt>
                <c:pt idx="787">
                  <c:v>24.033050394191257</c:v>
                </c:pt>
                <c:pt idx="788">
                  <c:v>24.033050394191257</c:v>
                </c:pt>
                <c:pt idx="789">
                  <c:v>24.033050394191257</c:v>
                </c:pt>
                <c:pt idx="790">
                  <c:v>24.033050394191257</c:v>
                </c:pt>
                <c:pt idx="791">
                  <c:v>24.033050394191257</c:v>
                </c:pt>
                <c:pt idx="792">
                  <c:v>24.033050394191257</c:v>
                </c:pt>
                <c:pt idx="793">
                  <c:v>24.033050394191257</c:v>
                </c:pt>
                <c:pt idx="794">
                  <c:v>24.033050394191257</c:v>
                </c:pt>
                <c:pt idx="795">
                  <c:v>24.033050394191257</c:v>
                </c:pt>
                <c:pt idx="796">
                  <c:v>24.033050394191257</c:v>
                </c:pt>
                <c:pt idx="797">
                  <c:v>24.033050394191257</c:v>
                </c:pt>
                <c:pt idx="798">
                  <c:v>24.033050394191257</c:v>
                </c:pt>
                <c:pt idx="799">
                  <c:v>24.033050394191257</c:v>
                </c:pt>
                <c:pt idx="800">
                  <c:v>24.033050394191257</c:v>
                </c:pt>
                <c:pt idx="801">
                  <c:v>24.033050394191257</c:v>
                </c:pt>
                <c:pt idx="802">
                  <c:v>24.033050394191257</c:v>
                </c:pt>
                <c:pt idx="803">
                  <c:v>24.033050394191257</c:v>
                </c:pt>
                <c:pt idx="804">
                  <c:v>24.033050394191257</c:v>
                </c:pt>
                <c:pt idx="805">
                  <c:v>24.033050394191257</c:v>
                </c:pt>
                <c:pt idx="806">
                  <c:v>24.033050394191257</c:v>
                </c:pt>
                <c:pt idx="807">
                  <c:v>24.033050394191257</c:v>
                </c:pt>
                <c:pt idx="808">
                  <c:v>24.033050394191257</c:v>
                </c:pt>
                <c:pt idx="809">
                  <c:v>24.033050394191257</c:v>
                </c:pt>
                <c:pt idx="810">
                  <c:v>24.033050394191257</c:v>
                </c:pt>
                <c:pt idx="811">
                  <c:v>24.033050394191257</c:v>
                </c:pt>
                <c:pt idx="812">
                  <c:v>24.033050394191257</c:v>
                </c:pt>
                <c:pt idx="813">
                  <c:v>24.033050394191257</c:v>
                </c:pt>
                <c:pt idx="814">
                  <c:v>24.033050394191257</c:v>
                </c:pt>
                <c:pt idx="815">
                  <c:v>24.033050394191257</c:v>
                </c:pt>
                <c:pt idx="816">
                  <c:v>24.033050394191257</c:v>
                </c:pt>
                <c:pt idx="817">
                  <c:v>24.033050394191257</c:v>
                </c:pt>
                <c:pt idx="818">
                  <c:v>24.033050394191257</c:v>
                </c:pt>
                <c:pt idx="819">
                  <c:v>24.033050394191257</c:v>
                </c:pt>
                <c:pt idx="820">
                  <c:v>24.033050394191257</c:v>
                </c:pt>
                <c:pt idx="821">
                  <c:v>24.033050394191257</c:v>
                </c:pt>
                <c:pt idx="822">
                  <c:v>24.033050394191257</c:v>
                </c:pt>
                <c:pt idx="823">
                  <c:v>24.033050394191257</c:v>
                </c:pt>
                <c:pt idx="824">
                  <c:v>24.033050394191257</c:v>
                </c:pt>
                <c:pt idx="825">
                  <c:v>24.033050394191257</c:v>
                </c:pt>
                <c:pt idx="826">
                  <c:v>24.033050394191257</c:v>
                </c:pt>
                <c:pt idx="827">
                  <c:v>24.033050394191257</c:v>
                </c:pt>
                <c:pt idx="828">
                  <c:v>24.033050394191257</c:v>
                </c:pt>
                <c:pt idx="829">
                  <c:v>24.033050394191257</c:v>
                </c:pt>
                <c:pt idx="830">
                  <c:v>24.033050394191257</c:v>
                </c:pt>
                <c:pt idx="831">
                  <c:v>24.033050394191257</c:v>
                </c:pt>
                <c:pt idx="832">
                  <c:v>24.033050394191257</c:v>
                </c:pt>
                <c:pt idx="833">
                  <c:v>24.033050394191257</c:v>
                </c:pt>
                <c:pt idx="834">
                  <c:v>24.033050394191257</c:v>
                </c:pt>
                <c:pt idx="835">
                  <c:v>24.033050394191257</c:v>
                </c:pt>
                <c:pt idx="836">
                  <c:v>24.033050394191257</c:v>
                </c:pt>
                <c:pt idx="837">
                  <c:v>24.033050394191257</c:v>
                </c:pt>
                <c:pt idx="838">
                  <c:v>24.033050394191257</c:v>
                </c:pt>
                <c:pt idx="839">
                  <c:v>24.033050394191257</c:v>
                </c:pt>
                <c:pt idx="840">
                  <c:v>24.033050394191257</c:v>
                </c:pt>
                <c:pt idx="841">
                  <c:v>24.033050394191257</c:v>
                </c:pt>
                <c:pt idx="842">
                  <c:v>24.033050394191257</c:v>
                </c:pt>
                <c:pt idx="843">
                  <c:v>24.033050394191257</c:v>
                </c:pt>
                <c:pt idx="844">
                  <c:v>24.033050394191257</c:v>
                </c:pt>
                <c:pt idx="845">
                  <c:v>24.033050394191257</c:v>
                </c:pt>
                <c:pt idx="846">
                  <c:v>24.033050394191257</c:v>
                </c:pt>
                <c:pt idx="847">
                  <c:v>24.033050394191257</c:v>
                </c:pt>
                <c:pt idx="848">
                  <c:v>24.033050394191257</c:v>
                </c:pt>
                <c:pt idx="849">
                  <c:v>24.033050394191257</c:v>
                </c:pt>
                <c:pt idx="850">
                  <c:v>24.033050394191257</c:v>
                </c:pt>
                <c:pt idx="851">
                  <c:v>24.033050394191257</c:v>
                </c:pt>
                <c:pt idx="852">
                  <c:v>24.033050394191257</c:v>
                </c:pt>
                <c:pt idx="853">
                  <c:v>24.033050394191257</c:v>
                </c:pt>
                <c:pt idx="854">
                  <c:v>24.033050394191257</c:v>
                </c:pt>
                <c:pt idx="855">
                  <c:v>24.033050394191257</c:v>
                </c:pt>
                <c:pt idx="856">
                  <c:v>24.033050394191257</c:v>
                </c:pt>
                <c:pt idx="857">
                  <c:v>24.033050394191257</c:v>
                </c:pt>
                <c:pt idx="858">
                  <c:v>24.033050394191257</c:v>
                </c:pt>
                <c:pt idx="859">
                  <c:v>24.033050394191257</c:v>
                </c:pt>
                <c:pt idx="860">
                  <c:v>24.033050394191257</c:v>
                </c:pt>
                <c:pt idx="861">
                  <c:v>24.033050394191257</c:v>
                </c:pt>
                <c:pt idx="862">
                  <c:v>24.033050394191257</c:v>
                </c:pt>
                <c:pt idx="863">
                  <c:v>24.033050394191257</c:v>
                </c:pt>
                <c:pt idx="864">
                  <c:v>24.033050394191257</c:v>
                </c:pt>
                <c:pt idx="865">
                  <c:v>24.033050394191257</c:v>
                </c:pt>
                <c:pt idx="866">
                  <c:v>24.033050394191257</c:v>
                </c:pt>
                <c:pt idx="867">
                  <c:v>24.033050394191257</c:v>
                </c:pt>
                <c:pt idx="868">
                  <c:v>24.033050394191257</c:v>
                </c:pt>
                <c:pt idx="869">
                  <c:v>24.033050394191257</c:v>
                </c:pt>
                <c:pt idx="870">
                  <c:v>24.033050394191257</c:v>
                </c:pt>
                <c:pt idx="871">
                  <c:v>24.033050394191257</c:v>
                </c:pt>
                <c:pt idx="872">
                  <c:v>24.033050394191257</c:v>
                </c:pt>
                <c:pt idx="873">
                  <c:v>24.033050394191257</c:v>
                </c:pt>
                <c:pt idx="874">
                  <c:v>24.033050394191257</c:v>
                </c:pt>
                <c:pt idx="875">
                  <c:v>24.033050394191257</c:v>
                </c:pt>
                <c:pt idx="876">
                  <c:v>24.033050394191257</c:v>
                </c:pt>
                <c:pt idx="877">
                  <c:v>24.033050394191257</c:v>
                </c:pt>
                <c:pt idx="878">
                  <c:v>24.033050394191257</c:v>
                </c:pt>
                <c:pt idx="879">
                  <c:v>24.033050394191257</c:v>
                </c:pt>
                <c:pt idx="880">
                  <c:v>24.033050394191257</c:v>
                </c:pt>
                <c:pt idx="881">
                  <c:v>24.033050394191257</c:v>
                </c:pt>
                <c:pt idx="882">
                  <c:v>24.033050394191257</c:v>
                </c:pt>
                <c:pt idx="883">
                  <c:v>24.033050394191257</c:v>
                </c:pt>
                <c:pt idx="884">
                  <c:v>24.033050394191257</c:v>
                </c:pt>
                <c:pt idx="885">
                  <c:v>24.033050394191257</c:v>
                </c:pt>
                <c:pt idx="886">
                  <c:v>24.033050394191257</c:v>
                </c:pt>
                <c:pt idx="887">
                  <c:v>24.033050394191257</c:v>
                </c:pt>
                <c:pt idx="888">
                  <c:v>24.033050394191257</c:v>
                </c:pt>
                <c:pt idx="889">
                  <c:v>24.033050394191257</c:v>
                </c:pt>
                <c:pt idx="890">
                  <c:v>24.033050394191257</c:v>
                </c:pt>
                <c:pt idx="891">
                  <c:v>24.033050394191257</c:v>
                </c:pt>
                <c:pt idx="892">
                  <c:v>24.033050394191257</c:v>
                </c:pt>
                <c:pt idx="893">
                  <c:v>24.033050394191257</c:v>
                </c:pt>
                <c:pt idx="894">
                  <c:v>24.033050394191257</c:v>
                </c:pt>
                <c:pt idx="895">
                  <c:v>24.033050394191257</c:v>
                </c:pt>
                <c:pt idx="896">
                  <c:v>24.033050394191257</c:v>
                </c:pt>
                <c:pt idx="897">
                  <c:v>24.033050394191257</c:v>
                </c:pt>
                <c:pt idx="898">
                  <c:v>24.033050394191257</c:v>
                </c:pt>
                <c:pt idx="899">
                  <c:v>24.033050394191257</c:v>
                </c:pt>
                <c:pt idx="900">
                  <c:v>24.033050394191257</c:v>
                </c:pt>
                <c:pt idx="901">
                  <c:v>24.033050394191257</c:v>
                </c:pt>
                <c:pt idx="902">
                  <c:v>24.033050394191257</c:v>
                </c:pt>
                <c:pt idx="903">
                  <c:v>24.033050394191257</c:v>
                </c:pt>
                <c:pt idx="904">
                  <c:v>24.033050394191257</c:v>
                </c:pt>
                <c:pt idx="905">
                  <c:v>24.033050394191257</c:v>
                </c:pt>
                <c:pt idx="906">
                  <c:v>24.033050394191257</c:v>
                </c:pt>
                <c:pt idx="907">
                  <c:v>24.033050394191257</c:v>
                </c:pt>
                <c:pt idx="908">
                  <c:v>24.033050394191257</c:v>
                </c:pt>
                <c:pt idx="909">
                  <c:v>24.033050394191257</c:v>
                </c:pt>
                <c:pt idx="910">
                  <c:v>24.033050394191257</c:v>
                </c:pt>
                <c:pt idx="911">
                  <c:v>24.033050394191257</c:v>
                </c:pt>
                <c:pt idx="912">
                  <c:v>24.033050394191257</c:v>
                </c:pt>
                <c:pt idx="913">
                  <c:v>24.033050394191257</c:v>
                </c:pt>
                <c:pt idx="914">
                  <c:v>24.033050394191257</c:v>
                </c:pt>
                <c:pt idx="915">
                  <c:v>24.033050394191257</c:v>
                </c:pt>
                <c:pt idx="916">
                  <c:v>24.033050394191257</c:v>
                </c:pt>
                <c:pt idx="917">
                  <c:v>24.033050394191257</c:v>
                </c:pt>
                <c:pt idx="918">
                  <c:v>24.033050394191257</c:v>
                </c:pt>
                <c:pt idx="919">
                  <c:v>24.033050394191257</c:v>
                </c:pt>
                <c:pt idx="920">
                  <c:v>24.033050394191257</c:v>
                </c:pt>
                <c:pt idx="921">
                  <c:v>24.033050394191257</c:v>
                </c:pt>
                <c:pt idx="922">
                  <c:v>24.033050394191257</c:v>
                </c:pt>
                <c:pt idx="923">
                  <c:v>24.033050394191257</c:v>
                </c:pt>
                <c:pt idx="924">
                  <c:v>24.033050394191257</c:v>
                </c:pt>
                <c:pt idx="925">
                  <c:v>24.033050394191257</c:v>
                </c:pt>
                <c:pt idx="926">
                  <c:v>24.033050394191257</c:v>
                </c:pt>
                <c:pt idx="927">
                  <c:v>24.033050394191257</c:v>
                </c:pt>
                <c:pt idx="928">
                  <c:v>24.033050394191257</c:v>
                </c:pt>
                <c:pt idx="929">
                  <c:v>24.033050394191257</c:v>
                </c:pt>
                <c:pt idx="930">
                  <c:v>24.033050394191257</c:v>
                </c:pt>
                <c:pt idx="931">
                  <c:v>24.033050394191257</c:v>
                </c:pt>
                <c:pt idx="932">
                  <c:v>24.033050394191257</c:v>
                </c:pt>
                <c:pt idx="933">
                  <c:v>24.033050394191257</c:v>
                </c:pt>
                <c:pt idx="934">
                  <c:v>24.033050394191257</c:v>
                </c:pt>
                <c:pt idx="935">
                  <c:v>24.033050394191257</c:v>
                </c:pt>
                <c:pt idx="936">
                  <c:v>24.033050394191257</c:v>
                </c:pt>
                <c:pt idx="937">
                  <c:v>24.033050394191257</c:v>
                </c:pt>
                <c:pt idx="938">
                  <c:v>24.033050394191257</c:v>
                </c:pt>
                <c:pt idx="939">
                  <c:v>24.033050394191257</c:v>
                </c:pt>
                <c:pt idx="940">
                  <c:v>24.033050394191257</c:v>
                </c:pt>
                <c:pt idx="941">
                  <c:v>24.033050394191257</c:v>
                </c:pt>
                <c:pt idx="942">
                  <c:v>24.033050394191257</c:v>
                </c:pt>
                <c:pt idx="943">
                  <c:v>24.033050394191257</c:v>
                </c:pt>
                <c:pt idx="944">
                  <c:v>24.033050394191257</c:v>
                </c:pt>
                <c:pt idx="945">
                  <c:v>24.033050394191257</c:v>
                </c:pt>
                <c:pt idx="946">
                  <c:v>24.033050394191257</c:v>
                </c:pt>
                <c:pt idx="947">
                  <c:v>24.033050394191257</c:v>
                </c:pt>
                <c:pt idx="948">
                  <c:v>24.033050394191257</c:v>
                </c:pt>
                <c:pt idx="949">
                  <c:v>24.033050394191257</c:v>
                </c:pt>
                <c:pt idx="950">
                  <c:v>24.033050394191257</c:v>
                </c:pt>
                <c:pt idx="951">
                  <c:v>24.033050394191257</c:v>
                </c:pt>
                <c:pt idx="952">
                  <c:v>24.033050394191257</c:v>
                </c:pt>
                <c:pt idx="953">
                  <c:v>24.033050394191257</c:v>
                </c:pt>
                <c:pt idx="954">
                  <c:v>24.033050394191257</c:v>
                </c:pt>
                <c:pt idx="955">
                  <c:v>24.033050394191257</c:v>
                </c:pt>
                <c:pt idx="956">
                  <c:v>24.033050394191257</c:v>
                </c:pt>
                <c:pt idx="957">
                  <c:v>24.033050394191257</c:v>
                </c:pt>
                <c:pt idx="958">
                  <c:v>24.033050394191257</c:v>
                </c:pt>
                <c:pt idx="959">
                  <c:v>24.033050394191257</c:v>
                </c:pt>
                <c:pt idx="960">
                  <c:v>24.033050394191257</c:v>
                </c:pt>
                <c:pt idx="961">
                  <c:v>24.033050394191257</c:v>
                </c:pt>
                <c:pt idx="962">
                  <c:v>24.033050394191257</c:v>
                </c:pt>
                <c:pt idx="963">
                  <c:v>24.033050394191257</c:v>
                </c:pt>
                <c:pt idx="964">
                  <c:v>24.033050394191257</c:v>
                </c:pt>
                <c:pt idx="965">
                  <c:v>24.033050394191257</c:v>
                </c:pt>
                <c:pt idx="966">
                  <c:v>24.033050394191257</c:v>
                </c:pt>
                <c:pt idx="967">
                  <c:v>24.033050394191257</c:v>
                </c:pt>
                <c:pt idx="968">
                  <c:v>24.033050394191257</c:v>
                </c:pt>
                <c:pt idx="969">
                  <c:v>24.033050394191257</c:v>
                </c:pt>
                <c:pt idx="970">
                  <c:v>24.033050394191257</c:v>
                </c:pt>
                <c:pt idx="971">
                  <c:v>24.033050394191257</c:v>
                </c:pt>
                <c:pt idx="972">
                  <c:v>24.033050394191257</c:v>
                </c:pt>
                <c:pt idx="973">
                  <c:v>24.033050394191257</c:v>
                </c:pt>
                <c:pt idx="974">
                  <c:v>24.033050394191257</c:v>
                </c:pt>
                <c:pt idx="975">
                  <c:v>24.033050394191257</c:v>
                </c:pt>
                <c:pt idx="976">
                  <c:v>24.033050394191257</c:v>
                </c:pt>
                <c:pt idx="977">
                  <c:v>24.033050394191257</c:v>
                </c:pt>
                <c:pt idx="978">
                  <c:v>24.033050394191257</c:v>
                </c:pt>
                <c:pt idx="979">
                  <c:v>24.033050394191257</c:v>
                </c:pt>
                <c:pt idx="980">
                  <c:v>24.033050394191257</c:v>
                </c:pt>
                <c:pt idx="981">
                  <c:v>24.033050394191257</c:v>
                </c:pt>
                <c:pt idx="982">
                  <c:v>24.033050394191257</c:v>
                </c:pt>
                <c:pt idx="983">
                  <c:v>24.033050394191257</c:v>
                </c:pt>
                <c:pt idx="984">
                  <c:v>24.033050394191257</c:v>
                </c:pt>
                <c:pt idx="985">
                  <c:v>24.033050394191257</c:v>
                </c:pt>
                <c:pt idx="986">
                  <c:v>24.033050394191257</c:v>
                </c:pt>
                <c:pt idx="987">
                  <c:v>24.033050394191257</c:v>
                </c:pt>
                <c:pt idx="988">
                  <c:v>24.033050394191257</c:v>
                </c:pt>
                <c:pt idx="989">
                  <c:v>24.033050394191257</c:v>
                </c:pt>
                <c:pt idx="990">
                  <c:v>24.033050394191257</c:v>
                </c:pt>
                <c:pt idx="991">
                  <c:v>24.033050394191257</c:v>
                </c:pt>
                <c:pt idx="992">
                  <c:v>24.033050394191257</c:v>
                </c:pt>
                <c:pt idx="993">
                  <c:v>24.033050394191257</c:v>
                </c:pt>
                <c:pt idx="994">
                  <c:v>24.033050394191257</c:v>
                </c:pt>
                <c:pt idx="995">
                  <c:v>24.033050394191257</c:v>
                </c:pt>
                <c:pt idx="996">
                  <c:v>24.033050394191257</c:v>
                </c:pt>
                <c:pt idx="997">
                  <c:v>24.033050394191257</c:v>
                </c:pt>
                <c:pt idx="998">
                  <c:v>24.033050394191257</c:v>
                </c:pt>
                <c:pt idx="999">
                  <c:v>24.033050394191257</c:v>
                </c:pt>
                <c:pt idx="1000">
                  <c:v>24.033050394191257</c:v>
                </c:pt>
                <c:pt idx="1001">
                  <c:v>24.033050394191257</c:v>
                </c:pt>
                <c:pt idx="1002">
                  <c:v>24.033050394191257</c:v>
                </c:pt>
                <c:pt idx="1003">
                  <c:v>24.033050394191257</c:v>
                </c:pt>
                <c:pt idx="1004">
                  <c:v>24.033050394191257</c:v>
                </c:pt>
                <c:pt idx="1005">
                  <c:v>24.033050394191257</c:v>
                </c:pt>
                <c:pt idx="1006">
                  <c:v>24.033050394191257</c:v>
                </c:pt>
                <c:pt idx="1007">
                  <c:v>24.033050394191257</c:v>
                </c:pt>
                <c:pt idx="1008">
                  <c:v>24.033050394191257</c:v>
                </c:pt>
                <c:pt idx="1009">
                  <c:v>24.033050394191257</c:v>
                </c:pt>
                <c:pt idx="1010">
                  <c:v>24.033050394191257</c:v>
                </c:pt>
                <c:pt idx="1011">
                  <c:v>24.033050394191257</c:v>
                </c:pt>
                <c:pt idx="1012">
                  <c:v>24.033050394191257</c:v>
                </c:pt>
                <c:pt idx="1013">
                  <c:v>24.033050394191257</c:v>
                </c:pt>
                <c:pt idx="1014">
                  <c:v>24.033050394191257</c:v>
                </c:pt>
                <c:pt idx="1015">
                  <c:v>24.033050394191257</c:v>
                </c:pt>
                <c:pt idx="1016">
                  <c:v>24.033050394191257</c:v>
                </c:pt>
                <c:pt idx="1017">
                  <c:v>24.033050394191257</c:v>
                </c:pt>
                <c:pt idx="1018">
                  <c:v>24.033050394191257</c:v>
                </c:pt>
                <c:pt idx="1019">
                  <c:v>24.033050394191257</c:v>
                </c:pt>
                <c:pt idx="1020">
                  <c:v>24.033050394191257</c:v>
                </c:pt>
                <c:pt idx="1021">
                  <c:v>24.033050394191257</c:v>
                </c:pt>
                <c:pt idx="1022">
                  <c:v>24.033050394191257</c:v>
                </c:pt>
                <c:pt idx="1023">
                  <c:v>24.033050394191257</c:v>
                </c:pt>
                <c:pt idx="1024">
                  <c:v>24.033050394191257</c:v>
                </c:pt>
                <c:pt idx="1025">
                  <c:v>24.033050394191257</c:v>
                </c:pt>
                <c:pt idx="1026">
                  <c:v>24.033050394191257</c:v>
                </c:pt>
                <c:pt idx="1027">
                  <c:v>24.033050394191257</c:v>
                </c:pt>
                <c:pt idx="1028">
                  <c:v>24.033050394191257</c:v>
                </c:pt>
                <c:pt idx="1029">
                  <c:v>24.033050394191257</c:v>
                </c:pt>
                <c:pt idx="1030">
                  <c:v>24.033050394191257</c:v>
                </c:pt>
                <c:pt idx="1031">
                  <c:v>24.033050394191257</c:v>
                </c:pt>
                <c:pt idx="1032">
                  <c:v>24.033050394191257</c:v>
                </c:pt>
                <c:pt idx="1033">
                  <c:v>24.033050394191257</c:v>
                </c:pt>
                <c:pt idx="1034">
                  <c:v>24.033050394191257</c:v>
                </c:pt>
                <c:pt idx="1035">
                  <c:v>24.033050394191257</c:v>
                </c:pt>
                <c:pt idx="1036">
                  <c:v>24.033050394191257</c:v>
                </c:pt>
                <c:pt idx="1037">
                  <c:v>24.033050394191257</c:v>
                </c:pt>
                <c:pt idx="1038">
                  <c:v>24.033050394191257</c:v>
                </c:pt>
                <c:pt idx="1039">
                  <c:v>24.033050394191257</c:v>
                </c:pt>
                <c:pt idx="1040">
                  <c:v>24.033050394191257</c:v>
                </c:pt>
                <c:pt idx="1041">
                  <c:v>24.033050394191257</c:v>
                </c:pt>
                <c:pt idx="1042">
                  <c:v>24.033050394191257</c:v>
                </c:pt>
                <c:pt idx="1043">
                  <c:v>24.033050394191257</c:v>
                </c:pt>
                <c:pt idx="1044">
                  <c:v>24.033050394191257</c:v>
                </c:pt>
                <c:pt idx="1045">
                  <c:v>24.033050394191257</c:v>
                </c:pt>
                <c:pt idx="1046">
                  <c:v>24.033050394191257</c:v>
                </c:pt>
                <c:pt idx="1047">
                  <c:v>24.033050394191257</c:v>
                </c:pt>
                <c:pt idx="1048">
                  <c:v>24.033050394191257</c:v>
                </c:pt>
                <c:pt idx="1049">
                  <c:v>24.033050394191257</c:v>
                </c:pt>
                <c:pt idx="1050">
                  <c:v>24.033050394191257</c:v>
                </c:pt>
                <c:pt idx="1051">
                  <c:v>24.033050394191257</c:v>
                </c:pt>
                <c:pt idx="1052">
                  <c:v>24.033050394191257</c:v>
                </c:pt>
                <c:pt idx="1053">
                  <c:v>24.033050394191257</c:v>
                </c:pt>
                <c:pt idx="1054">
                  <c:v>24.033050394191257</c:v>
                </c:pt>
                <c:pt idx="1055">
                  <c:v>24.033050394191257</c:v>
                </c:pt>
                <c:pt idx="1056">
                  <c:v>24.033050394191257</c:v>
                </c:pt>
                <c:pt idx="1057">
                  <c:v>24.033050394191257</c:v>
                </c:pt>
                <c:pt idx="1058">
                  <c:v>24.033050394191257</c:v>
                </c:pt>
                <c:pt idx="1059">
                  <c:v>24.033050394191257</c:v>
                </c:pt>
                <c:pt idx="1060">
                  <c:v>24.033050394191257</c:v>
                </c:pt>
                <c:pt idx="1061">
                  <c:v>24.033050394191257</c:v>
                </c:pt>
                <c:pt idx="1062">
                  <c:v>24.033050394191257</c:v>
                </c:pt>
                <c:pt idx="1063">
                  <c:v>24.033050394191257</c:v>
                </c:pt>
                <c:pt idx="1064">
                  <c:v>24.033050394191257</c:v>
                </c:pt>
                <c:pt idx="1065">
                  <c:v>24.033050394191257</c:v>
                </c:pt>
                <c:pt idx="1066">
                  <c:v>24.033050394191257</c:v>
                </c:pt>
                <c:pt idx="1067">
                  <c:v>24.033050394191257</c:v>
                </c:pt>
                <c:pt idx="1068">
                  <c:v>24.033050394191257</c:v>
                </c:pt>
                <c:pt idx="1069">
                  <c:v>24.033050394191257</c:v>
                </c:pt>
                <c:pt idx="1070">
                  <c:v>24.033050394191257</c:v>
                </c:pt>
                <c:pt idx="1071">
                  <c:v>24.033050394191257</c:v>
                </c:pt>
                <c:pt idx="1072">
                  <c:v>24.033050394191257</c:v>
                </c:pt>
                <c:pt idx="1073">
                  <c:v>24.033050394191257</c:v>
                </c:pt>
                <c:pt idx="1074">
                  <c:v>24.033050394191257</c:v>
                </c:pt>
                <c:pt idx="1075">
                  <c:v>24.033050394191257</c:v>
                </c:pt>
                <c:pt idx="1076">
                  <c:v>24.033050394191257</c:v>
                </c:pt>
                <c:pt idx="1077">
                  <c:v>24.033050394191257</c:v>
                </c:pt>
                <c:pt idx="1078">
                  <c:v>24.033050394191257</c:v>
                </c:pt>
                <c:pt idx="1079">
                  <c:v>24.033050394191257</c:v>
                </c:pt>
                <c:pt idx="1080">
                  <c:v>24.033050394191257</c:v>
                </c:pt>
                <c:pt idx="1081">
                  <c:v>24.033050394191257</c:v>
                </c:pt>
                <c:pt idx="1082">
                  <c:v>24.033050394191257</c:v>
                </c:pt>
                <c:pt idx="1083">
                  <c:v>24.033050394191257</c:v>
                </c:pt>
                <c:pt idx="1084">
                  <c:v>24.033050394191257</c:v>
                </c:pt>
                <c:pt idx="1085">
                  <c:v>24.033050394191257</c:v>
                </c:pt>
                <c:pt idx="1086">
                  <c:v>24.033050394191257</c:v>
                </c:pt>
                <c:pt idx="1087">
                  <c:v>24.033050394191257</c:v>
                </c:pt>
                <c:pt idx="1088">
                  <c:v>24.033050394191257</c:v>
                </c:pt>
                <c:pt idx="1089">
                  <c:v>24.033050394191257</c:v>
                </c:pt>
                <c:pt idx="1090">
                  <c:v>24.033050394191257</c:v>
                </c:pt>
                <c:pt idx="1091">
                  <c:v>24.033050394191257</c:v>
                </c:pt>
                <c:pt idx="1092">
                  <c:v>24.033050394191257</c:v>
                </c:pt>
                <c:pt idx="1093">
                  <c:v>24.033050394191257</c:v>
                </c:pt>
                <c:pt idx="1094">
                  <c:v>24.033050394191257</c:v>
                </c:pt>
                <c:pt idx="1095">
                  <c:v>24.033050394191257</c:v>
                </c:pt>
                <c:pt idx="1096">
                  <c:v>24.033050394191257</c:v>
                </c:pt>
                <c:pt idx="1097">
                  <c:v>24.033050394191257</c:v>
                </c:pt>
                <c:pt idx="1098">
                  <c:v>24.033050394191257</c:v>
                </c:pt>
                <c:pt idx="1099">
                  <c:v>24.033050394191257</c:v>
                </c:pt>
                <c:pt idx="1100">
                  <c:v>24.033050394191257</c:v>
                </c:pt>
                <c:pt idx="1101">
                  <c:v>24.033050394191257</c:v>
                </c:pt>
                <c:pt idx="1102">
                  <c:v>24.033050394191257</c:v>
                </c:pt>
                <c:pt idx="1103">
                  <c:v>24.033050394191257</c:v>
                </c:pt>
                <c:pt idx="1104">
                  <c:v>24.033050394191257</c:v>
                </c:pt>
                <c:pt idx="1105">
                  <c:v>24.033050394191257</c:v>
                </c:pt>
                <c:pt idx="1106">
                  <c:v>24.033050394191257</c:v>
                </c:pt>
                <c:pt idx="1107">
                  <c:v>24.033050394191257</c:v>
                </c:pt>
                <c:pt idx="1108">
                  <c:v>24.033050394191257</c:v>
                </c:pt>
                <c:pt idx="1109">
                  <c:v>24.033050394191257</c:v>
                </c:pt>
                <c:pt idx="1110">
                  <c:v>24.033050394191257</c:v>
                </c:pt>
                <c:pt idx="1111">
                  <c:v>24.033050394191257</c:v>
                </c:pt>
                <c:pt idx="1112">
                  <c:v>24.033050394191257</c:v>
                </c:pt>
                <c:pt idx="1113">
                  <c:v>24.033050394191257</c:v>
                </c:pt>
                <c:pt idx="1114">
                  <c:v>24.033050394191257</c:v>
                </c:pt>
                <c:pt idx="1115">
                  <c:v>24.033050394191257</c:v>
                </c:pt>
                <c:pt idx="1116">
                  <c:v>24.033050394191257</c:v>
                </c:pt>
                <c:pt idx="1117">
                  <c:v>24.033050394191257</c:v>
                </c:pt>
                <c:pt idx="1118">
                  <c:v>24.033050394191257</c:v>
                </c:pt>
                <c:pt idx="1119">
                  <c:v>24.033050394191257</c:v>
                </c:pt>
                <c:pt idx="1120">
                  <c:v>24.033050394191257</c:v>
                </c:pt>
                <c:pt idx="1121">
                  <c:v>24.033050394191257</c:v>
                </c:pt>
                <c:pt idx="1122">
                  <c:v>24.033050394191257</c:v>
                </c:pt>
                <c:pt idx="1123">
                  <c:v>24.033050394191257</c:v>
                </c:pt>
                <c:pt idx="1124">
                  <c:v>24.033050394191257</c:v>
                </c:pt>
                <c:pt idx="1125">
                  <c:v>24.033050394191257</c:v>
                </c:pt>
                <c:pt idx="1126">
                  <c:v>24.033050394191257</c:v>
                </c:pt>
                <c:pt idx="1127">
                  <c:v>24.033050394191257</c:v>
                </c:pt>
                <c:pt idx="1128">
                  <c:v>24.033050394191257</c:v>
                </c:pt>
                <c:pt idx="1129">
                  <c:v>24.033050394191257</c:v>
                </c:pt>
                <c:pt idx="1130">
                  <c:v>24.033050394191257</c:v>
                </c:pt>
                <c:pt idx="1131">
                  <c:v>24.033050394191257</c:v>
                </c:pt>
                <c:pt idx="1132">
                  <c:v>24.033050394191257</c:v>
                </c:pt>
                <c:pt idx="1133">
                  <c:v>24.033050394191257</c:v>
                </c:pt>
                <c:pt idx="1134">
                  <c:v>24.033050394191257</c:v>
                </c:pt>
                <c:pt idx="1135">
                  <c:v>24.033050394191257</c:v>
                </c:pt>
                <c:pt idx="1136">
                  <c:v>24.033050394191257</c:v>
                </c:pt>
                <c:pt idx="1137">
                  <c:v>24.033050394191257</c:v>
                </c:pt>
                <c:pt idx="1138">
                  <c:v>24.033050394191257</c:v>
                </c:pt>
                <c:pt idx="1139">
                  <c:v>24.033050394191257</c:v>
                </c:pt>
                <c:pt idx="1140">
                  <c:v>24.033050394191257</c:v>
                </c:pt>
                <c:pt idx="1141">
                  <c:v>24.033050394191257</c:v>
                </c:pt>
                <c:pt idx="1142">
                  <c:v>24.033050394191257</c:v>
                </c:pt>
                <c:pt idx="1143">
                  <c:v>24.033050394191257</c:v>
                </c:pt>
                <c:pt idx="1144">
                  <c:v>24.033050394191257</c:v>
                </c:pt>
                <c:pt idx="1145">
                  <c:v>24.033050394191257</c:v>
                </c:pt>
                <c:pt idx="1146">
                  <c:v>24.033050394191257</c:v>
                </c:pt>
                <c:pt idx="1147">
                  <c:v>24.033050394191257</c:v>
                </c:pt>
                <c:pt idx="1148">
                  <c:v>24.033050394191257</c:v>
                </c:pt>
                <c:pt idx="1149">
                  <c:v>24.033050394191257</c:v>
                </c:pt>
                <c:pt idx="1150">
                  <c:v>24.033050394191257</c:v>
                </c:pt>
                <c:pt idx="1151">
                  <c:v>24.033050394191257</c:v>
                </c:pt>
                <c:pt idx="1152">
                  <c:v>24.033050394191257</c:v>
                </c:pt>
                <c:pt idx="1153">
                  <c:v>24.033050394191257</c:v>
                </c:pt>
                <c:pt idx="1154">
                  <c:v>24.033050394191257</c:v>
                </c:pt>
                <c:pt idx="1155">
                  <c:v>24.033050394191257</c:v>
                </c:pt>
                <c:pt idx="1156">
                  <c:v>24.033050394191257</c:v>
                </c:pt>
                <c:pt idx="1157">
                  <c:v>24.033050394191257</c:v>
                </c:pt>
                <c:pt idx="1158">
                  <c:v>24.033050394191257</c:v>
                </c:pt>
                <c:pt idx="1159">
                  <c:v>24.033050394191257</c:v>
                </c:pt>
                <c:pt idx="1160">
                  <c:v>24.033050394191257</c:v>
                </c:pt>
                <c:pt idx="1161">
                  <c:v>24.033050394191257</c:v>
                </c:pt>
                <c:pt idx="1162">
                  <c:v>24.033050394191257</c:v>
                </c:pt>
                <c:pt idx="1163">
                  <c:v>24.033050394191257</c:v>
                </c:pt>
                <c:pt idx="1164">
                  <c:v>24.033050394191257</c:v>
                </c:pt>
                <c:pt idx="1165">
                  <c:v>24.033050394191257</c:v>
                </c:pt>
                <c:pt idx="1166">
                  <c:v>24.033050394191257</c:v>
                </c:pt>
                <c:pt idx="1167">
                  <c:v>24.033050394191257</c:v>
                </c:pt>
                <c:pt idx="1168">
                  <c:v>24.033050394191257</c:v>
                </c:pt>
                <c:pt idx="1169">
                  <c:v>24.033050394191257</c:v>
                </c:pt>
                <c:pt idx="1170">
                  <c:v>24.033050394191257</c:v>
                </c:pt>
                <c:pt idx="1171">
                  <c:v>24.033050394191257</c:v>
                </c:pt>
                <c:pt idx="1172">
                  <c:v>24.033050394191257</c:v>
                </c:pt>
                <c:pt idx="1173">
                  <c:v>24.033050394191257</c:v>
                </c:pt>
                <c:pt idx="1174">
                  <c:v>24.033050394191257</c:v>
                </c:pt>
                <c:pt idx="1175">
                  <c:v>24.033050394191257</c:v>
                </c:pt>
                <c:pt idx="1176">
                  <c:v>24.033050394191257</c:v>
                </c:pt>
                <c:pt idx="1177">
                  <c:v>24.033050394191257</c:v>
                </c:pt>
                <c:pt idx="1178">
                  <c:v>24.033050394191257</c:v>
                </c:pt>
                <c:pt idx="1179">
                  <c:v>24.033050394191257</c:v>
                </c:pt>
                <c:pt idx="1180">
                  <c:v>24.033050394191257</c:v>
                </c:pt>
                <c:pt idx="1181">
                  <c:v>24.033050394191257</c:v>
                </c:pt>
                <c:pt idx="1182">
                  <c:v>24.033050394191257</c:v>
                </c:pt>
                <c:pt idx="1183">
                  <c:v>24.033050394191257</c:v>
                </c:pt>
                <c:pt idx="1184">
                  <c:v>24.033050394191257</c:v>
                </c:pt>
                <c:pt idx="1185">
                  <c:v>24.033050394191257</c:v>
                </c:pt>
                <c:pt idx="1186">
                  <c:v>24.033050394191257</c:v>
                </c:pt>
                <c:pt idx="1187">
                  <c:v>24.033050394191257</c:v>
                </c:pt>
                <c:pt idx="1188">
                  <c:v>24.033050394191257</c:v>
                </c:pt>
                <c:pt idx="1189">
                  <c:v>24.033050394191257</c:v>
                </c:pt>
                <c:pt idx="1190">
                  <c:v>24.033050394191257</c:v>
                </c:pt>
                <c:pt idx="1191">
                  <c:v>24.033050394191257</c:v>
                </c:pt>
                <c:pt idx="1192">
                  <c:v>24.033050394191257</c:v>
                </c:pt>
                <c:pt idx="1193">
                  <c:v>24.033050394191257</c:v>
                </c:pt>
                <c:pt idx="1194">
                  <c:v>24.033050394191257</c:v>
                </c:pt>
                <c:pt idx="1195">
                  <c:v>24.033050394191257</c:v>
                </c:pt>
                <c:pt idx="1196">
                  <c:v>24.033050394191257</c:v>
                </c:pt>
                <c:pt idx="1197">
                  <c:v>24.033050394191257</c:v>
                </c:pt>
                <c:pt idx="1198">
                  <c:v>24.033050394191257</c:v>
                </c:pt>
                <c:pt idx="1199">
                  <c:v>24.033050394191257</c:v>
                </c:pt>
                <c:pt idx="1200">
                  <c:v>24.033050394191257</c:v>
                </c:pt>
                <c:pt idx="1201">
                  <c:v>24.033050394191257</c:v>
                </c:pt>
                <c:pt idx="1202">
                  <c:v>24.033050394191257</c:v>
                </c:pt>
                <c:pt idx="1203">
                  <c:v>24.033050394191257</c:v>
                </c:pt>
                <c:pt idx="1204">
                  <c:v>24.033050394191257</c:v>
                </c:pt>
                <c:pt idx="1205">
                  <c:v>24.033050394191257</c:v>
                </c:pt>
                <c:pt idx="1206">
                  <c:v>24.033050394191257</c:v>
                </c:pt>
                <c:pt idx="1207">
                  <c:v>24.033050394191257</c:v>
                </c:pt>
                <c:pt idx="1208">
                  <c:v>24.033050394191257</c:v>
                </c:pt>
                <c:pt idx="1209">
                  <c:v>24.033050394191257</c:v>
                </c:pt>
                <c:pt idx="1210">
                  <c:v>24.033050394191257</c:v>
                </c:pt>
                <c:pt idx="1211">
                  <c:v>24.033050394191257</c:v>
                </c:pt>
                <c:pt idx="1212">
                  <c:v>24.033050394191257</c:v>
                </c:pt>
                <c:pt idx="1213">
                  <c:v>24.033050394191257</c:v>
                </c:pt>
                <c:pt idx="1214">
                  <c:v>24.033050394191257</c:v>
                </c:pt>
                <c:pt idx="1215">
                  <c:v>24.033050394191257</c:v>
                </c:pt>
                <c:pt idx="1216">
                  <c:v>24.033050394191257</c:v>
                </c:pt>
                <c:pt idx="1217">
                  <c:v>24.033050394191257</c:v>
                </c:pt>
                <c:pt idx="1218">
                  <c:v>24.033050394191257</c:v>
                </c:pt>
                <c:pt idx="1219">
                  <c:v>24.033050394191257</c:v>
                </c:pt>
                <c:pt idx="1220">
                  <c:v>24.033050394191257</c:v>
                </c:pt>
                <c:pt idx="1221">
                  <c:v>24.033050394191257</c:v>
                </c:pt>
                <c:pt idx="1222">
                  <c:v>24.033050394191257</c:v>
                </c:pt>
                <c:pt idx="1223">
                  <c:v>24.033050394191257</c:v>
                </c:pt>
                <c:pt idx="1224">
                  <c:v>24.033050394191257</c:v>
                </c:pt>
                <c:pt idx="1225">
                  <c:v>24.033050394191257</c:v>
                </c:pt>
                <c:pt idx="1226">
                  <c:v>24.033050394191257</c:v>
                </c:pt>
                <c:pt idx="1227">
                  <c:v>24.033050394191257</c:v>
                </c:pt>
                <c:pt idx="1228">
                  <c:v>24.033050394191257</c:v>
                </c:pt>
                <c:pt idx="1229">
                  <c:v>24.033050394191257</c:v>
                </c:pt>
                <c:pt idx="1230">
                  <c:v>24.033050394191257</c:v>
                </c:pt>
                <c:pt idx="1231">
                  <c:v>24.033050394191257</c:v>
                </c:pt>
                <c:pt idx="1232">
                  <c:v>24.033050394191257</c:v>
                </c:pt>
                <c:pt idx="1233">
                  <c:v>24.033050394191257</c:v>
                </c:pt>
                <c:pt idx="1234">
                  <c:v>24.033050394191257</c:v>
                </c:pt>
                <c:pt idx="1235">
                  <c:v>24.033050394191257</c:v>
                </c:pt>
                <c:pt idx="1236">
                  <c:v>24.033050394191257</c:v>
                </c:pt>
                <c:pt idx="1237">
                  <c:v>24.033050394191257</c:v>
                </c:pt>
                <c:pt idx="1238">
                  <c:v>24.033050394191257</c:v>
                </c:pt>
                <c:pt idx="1239">
                  <c:v>24.033050394191257</c:v>
                </c:pt>
                <c:pt idx="1240">
                  <c:v>24.033050394191257</c:v>
                </c:pt>
                <c:pt idx="1241">
                  <c:v>24.033050394191257</c:v>
                </c:pt>
                <c:pt idx="1242">
                  <c:v>24.033050394191257</c:v>
                </c:pt>
                <c:pt idx="1243">
                  <c:v>24.033050394191257</c:v>
                </c:pt>
                <c:pt idx="1244">
                  <c:v>24.033050394191257</c:v>
                </c:pt>
                <c:pt idx="1245">
                  <c:v>24.033050394191257</c:v>
                </c:pt>
                <c:pt idx="1246">
                  <c:v>24.033050394191257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0B0-454F-ADA1-96CBF634E7E5}"/>
            </c:ext>
          </c:extLst>
        </c:ser>
        <c:ser>
          <c:idx val="5"/>
          <c:order val="4"/>
          <c:tx>
            <c:strRef>
              <c:f>'FX Data'!$G$956</c:f>
              <c:strCache>
                <c:ptCount val="1"/>
                <c:pt idx="0">
                  <c:v>=+2sd</c:v>
                </c:pt>
              </c:strCache>
            </c:strRef>
          </c:tx>
          <c:spPr>
            <a:ln w="19050" cap="rnd">
              <a:solidFill>
                <a:sysClr val="window" lastClr="FFFFFF">
                  <a:lumMod val="75000"/>
                </a:sysClr>
              </a:solidFill>
              <a:round/>
            </a:ln>
            <a:effectLst/>
          </c:spPr>
          <c:marker>
            <c:symbol val="none"/>
          </c:marker>
          <c:cat>
            <c:numRef>
              <c:f>'FX Data'!$B$957:$B$2203</c:f>
              <c:numCache>
                <c:formatCode>m/d/yyyy</c:formatCode>
                <c:ptCount val="1247"/>
                <c:pt idx="0">
                  <c:v>44263</c:v>
                </c:pt>
                <c:pt idx="1">
                  <c:v>44264</c:v>
                </c:pt>
                <c:pt idx="2">
                  <c:v>44265</c:v>
                </c:pt>
                <c:pt idx="3">
                  <c:v>44266</c:v>
                </c:pt>
                <c:pt idx="4">
                  <c:v>44267</c:v>
                </c:pt>
                <c:pt idx="5">
                  <c:v>44270</c:v>
                </c:pt>
                <c:pt idx="6">
                  <c:v>44271</c:v>
                </c:pt>
                <c:pt idx="7">
                  <c:v>44272</c:v>
                </c:pt>
                <c:pt idx="8">
                  <c:v>44273</c:v>
                </c:pt>
                <c:pt idx="9">
                  <c:v>44274</c:v>
                </c:pt>
                <c:pt idx="10">
                  <c:v>44277</c:v>
                </c:pt>
                <c:pt idx="11">
                  <c:v>44278</c:v>
                </c:pt>
                <c:pt idx="12">
                  <c:v>44279</c:v>
                </c:pt>
                <c:pt idx="13">
                  <c:v>44280</c:v>
                </c:pt>
                <c:pt idx="14">
                  <c:v>44281</c:v>
                </c:pt>
                <c:pt idx="15">
                  <c:v>44284</c:v>
                </c:pt>
                <c:pt idx="16">
                  <c:v>44285</c:v>
                </c:pt>
                <c:pt idx="17">
                  <c:v>44286</c:v>
                </c:pt>
                <c:pt idx="18">
                  <c:v>44287</c:v>
                </c:pt>
                <c:pt idx="19">
                  <c:v>44288</c:v>
                </c:pt>
                <c:pt idx="20">
                  <c:v>44291</c:v>
                </c:pt>
                <c:pt idx="21">
                  <c:v>44292</c:v>
                </c:pt>
                <c:pt idx="22">
                  <c:v>44293</c:v>
                </c:pt>
                <c:pt idx="23">
                  <c:v>44294</c:v>
                </c:pt>
                <c:pt idx="24">
                  <c:v>44295</c:v>
                </c:pt>
                <c:pt idx="25">
                  <c:v>44298</c:v>
                </c:pt>
                <c:pt idx="26">
                  <c:v>44299</c:v>
                </c:pt>
                <c:pt idx="27">
                  <c:v>44300</c:v>
                </c:pt>
                <c:pt idx="28">
                  <c:v>44301</c:v>
                </c:pt>
                <c:pt idx="29">
                  <c:v>44302</c:v>
                </c:pt>
                <c:pt idx="30">
                  <c:v>44305</c:v>
                </c:pt>
                <c:pt idx="31">
                  <c:v>44306</c:v>
                </c:pt>
                <c:pt idx="32">
                  <c:v>44308</c:v>
                </c:pt>
                <c:pt idx="33">
                  <c:v>44309</c:v>
                </c:pt>
                <c:pt idx="34">
                  <c:v>44312</c:v>
                </c:pt>
                <c:pt idx="35">
                  <c:v>44313</c:v>
                </c:pt>
                <c:pt idx="36">
                  <c:v>44314</c:v>
                </c:pt>
                <c:pt idx="37">
                  <c:v>44315</c:v>
                </c:pt>
                <c:pt idx="38">
                  <c:v>44320</c:v>
                </c:pt>
                <c:pt idx="39">
                  <c:v>44321</c:v>
                </c:pt>
                <c:pt idx="40">
                  <c:v>44322</c:v>
                </c:pt>
                <c:pt idx="41">
                  <c:v>44323</c:v>
                </c:pt>
                <c:pt idx="42">
                  <c:v>44326</c:v>
                </c:pt>
                <c:pt idx="43">
                  <c:v>44327</c:v>
                </c:pt>
                <c:pt idx="44">
                  <c:v>44328</c:v>
                </c:pt>
                <c:pt idx="45">
                  <c:v>44329</c:v>
                </c:pt>
                <c:pt idx="46">
                  <c:v>44330</c:v>
                </c:pt>
                <c:pt idx="47">
                  <c:v>44333</c:v>
                </c:pt>
                <c:pt idx="48">
                  <c:v>44334</c:v>
                </c:pt>
                <c:pt idx="49">
                  <c:v>44335</c:v>
                </c:pt>
                <c:pt idx="50">
                  <c:v>44336</c:v>
                </c:pt>
                <c:pt idx="51">
                  <c:v>44337</c:v>
                </c:pt>
                <c:pt idx="52">
                  <c:v>44340</c:v>
                </c:pt>
                <c:pt idx="53">
                  <c:v>44341</c:v>
                </c:pt>
                <c:pt idx="54">
                  <c:v>44342</c:v>
                </c:pt>
                <c:pt idx="55">
                  <c:v>44343</c:v>
                </c:pt>
                <c:pt idx="56">
                  <c:v>44344</c:v>
                </c:pt>
                <c:pt idx="57">
                  <c:v>44347</c:v>
                </c:pt>
                <c:pt idx="58">
                  <c:v>44348</c:v>
                </c:pt>
                <c:pt idx="59">
                  <c:v>44349</c:v>
                </c:pt>
                <c:pt idx="60">
                  <c:v>44350</c:v>
                </c:pt>
                <c:pt idx="61">
                  <c:v>44351</c:v>
                </c:pt>
                <c:pt idx="62">
                  <c:v>44354</c:v>
                </c:pt>
                <c:pt idx="63">
                  <c:v>44355</c:v>
                </c:pt>
                <c:pt idx="64">
                  <c:v>44356</c:v>
                </c:pt>
                <c:pt idx="65">
                  <c:v>44357</c:v>
                </c:pt>
                <c:pt idx="66">
                  <c:v>44358</c:v>
                </c:pt>
                <c:pt idx="67">
                  <c:v>44361</c:v>
                </c:pt>
                <c:pt idx="68">
                  <c:v>44362</c:v>
                </c:pt>
                <c:pt idx="69">
                  <c:v>44363</c:v>
                </c:pt>
                <c:pt idx="70">
                  <c:v>44364</c:v>
                </c:pt>
                <c:pt idx="71">
                  <c:v>44365</c:v>
                </c:pt>
                <c:pt idx="72">
                  <c:v>44368</c:v>
                </c:pt>
                <c:pt idx="73">
                  <c:v>44369</c:v>
                </c:pt>
                <c:pt idx="74">
                  <c:v>44370</c:v>
                </c:pt>
                <c:pt idx="75">
                  <c:v>44371</c:v>
                </c:pt>
                <c:pt idx="76">
                  <c:v>44372</c:v>
                </c:pt>
                <c:pt idx="77">
                  <c:v>44375</c:v>
                </c:pt>
                <c:pt idx="78">
                  <c:v>44376</c:v>
                </c:pt>
                <c:pt idx="79">
                  <c:v>44377</c:v>
                </c:pt>
                <c:pt idx="80">
                  <c:v>44378</c:v>
                </c:pt>
                <c:pt idx="81">
                  <c:v>44379</c:v>
                </c:pt>
                <c:pt idx="82">
                  <c:v>44382</c:v>
                </c:pt>
                <c:pt idx="83">
                  <c:v>44383</c:v>
                </c:pt>
                <c:pt idx="84">
                  <c:v>44384</c:v>
                </c:pt>
                <c:pt idx="85">
                  <c:v>44385</c:v>
                </c:pt>
                <c:pt idx="86">
                  <c:v>44386</c:v>
                </c:pt>
                <c:pt idx="87">
                  <c:v>44389</c:v>
                </c:pt>
                <c:pt idx="88">
                  <c:v>44390</c:v>
                </c:pt>
                <c:pt idx="89">
                  <c:v>44391</c:v>
                </c:pt>
                <c:pt idx="90">
                  <c:v>44392</c:v>
                </c:pt>
                <c:pt idx="91">
                  <c:v>44393</c:v>
                </c:pt>
                <c:pt idx="92">
                  <c:v>44396</c:v>
                </c:pt>
                <c:pt idx="93">
                  <c:v>44397</c:v>
                </c:pt>
                <c:pt idx="94">
                  <c:v>44398</c:v>
                </c:pt>
                <c:pt idx="95">
                  <c:v>44399</c:v>
                </c:pt>
                <c:pt idx="96">
                  <c:v>44400</c:v>
                </c:pt>
                <c:pt idx="97">
                  <c:v>44403</c:v>
                </c:pt>
                <c:pt idx="98">
                  <c:v>44404</c:v>
                </c:pt>
                <c:pt idx="99">
                  <c:v>44405</c:v>
                </c:pt>
                <c:pt idx="100">
                  <c:v>44406</c:v>
                </c:pt>
                <c:pt idx="101">
                  <c:v>44407</c:v>
                </c:pt>
                <c:pt idx="102">
                  <c:v>44410</c:v>
                </c:pt>
                <c:pt idx="103">
                  <c:v>44411</c:v>
                </c:pt>
                <c:pt idx="104">
                  <c:v>44412</c:v>
                </c:pt>
                <c:pt idx="105">
                  <c:v>44413</c:v>
                </c:pt>
                <c:pt idx="106">
                  <c:v>44414</c:v>
                </c:pt>
                <c:pt idx="107">
                  <c:v>44417</c:v>
                </c:pt>
                <c:pt idx="108">
                  <c:v>44418</c:v>
                </c:pt>
                <c:pt idx="109">
                  <c:v>44419</c:v>
                </c:pt>
                <c:pt idx="110">
                  <c:v>44420</c:v>
                </c:pt>
                <c:pt idx="111">
                  <c:v>44421</c:v>
                </c:pt>
                <c:pt idx="112">
                  <c:v>44424</c:v>
                </c:pt>
                <c:pt idx="113">
                  <c:v>44425</c:v>
                </c:pt>
                <c:pt idx="114">
                  <c:v>44426</c:v>
                </c:pt>
                <c:pt idx="115">
                  <c:v>44427</c:v>
                </c:pt>
                <c:pt idx="116">
                  <c:v>44428</c:v>
                </c:pt>
                <c:pt idx="117">
                  <c:v>44431</c:v>
                </c:pt>
                <c:pt idx="118">
                  <c:v>44432</c:v>
                </c:pt>
                <c:pt idx="119">
                  <c:v>44433</c:v>
                </c:pt>
                <c:pt idx="120">
                  <c:v>44434</c:v>
                </c:pt>
                <c:pt idx="121">
                  <c:v>44435</c:v>
                </c:pt>
                <c:pt idx="122">
                  <c:v>44438</c:v>
                </c:pt>
                <c:pt idx="123">
                  <c:v>44439</c:v>
                </c:pt>
                <c:pt idx="124">
                  <c:v>44440</c:v>
                </c:pt>
                <c:pt idx="125">
                  <c:v>44445</c:v>
                </c:pt>
                <c:pt idx="126">
                  <c:v>44446</c:v>
                </c:pt>
                <c:pt idx="127">
                  <c:v>44447</c:v>
                </c:pt>
                <c:pt idx="128">
                  <c:v>44448</c:v>
                </c:pt>
                <c:pt idx="129">
                  <c:v>44449</c:v>
                </c:pt>
                <c:pt idx="130">
                  <c:v>44452</c:v>
                </c:pt>
                <c:pt idx="131">
                  <c:v>44453</c:v>
                </c:pt>
                <c:pt idx="132">
                  <c:v>44454</c:v>
                </c:pt>
                <c:pt idx="133">
                  <c:v>44455</c:v>
                </c:pt>
                <c:pt idx="134">
                  <c:v>44456</c:v>
                </c:pt>
                <c:pt idx="135">
                  <c:v>44459</c:v>
                </c:pt>
                <c:pt idx="136">
                  <c:v>44460</c:v>
                </c:pt>
                <c:pt idx="137">
                  <c:v>44461</c:v>
                </c:pt>
                <c:pt idx="138">
                  <c:v>44462</c:v>
                </c:pt>
                <c:pt idx="139">
                  <c:v>44463</c:v>
                </c:pt>
                <c:pt idx="140">
                  <c:v>44466</c:v>
                </c:pt>
                <c:pt idx="141">
                  <c:v>44467</c:v>
                </c:pt>
                <c:pt idx="142">
                  <c:v>44468</c:v>
                </c:pt>
                <c:pt idx="143">
                  <c:v>44469</c:v>
                </c:pt>
                <c:pt idx="144">
                  <c:v>44470</c:v>
                </c:pt>
                <c:pt idx="145">
                  <c:v>44473</c:v>
                </c:pt>
                <c:pt idx="146">
                  <c:v>44474</c:v>
                </c:pt>
                <c:pt idx="147">
                  <c:v>44475</c:v>
                </c:pt>
                <c:pt idx="148">
                  <c:v>44476</c:v>
                </c:pt>
                <c:pt idx="149">
                  <c:v>44477</c:v>
                </c:pt>
                <c:pt idx="150">
                  <c:v>44480</c:v>
                </c:pt>
                <c:pt idx="151">
                  <c:v>44481</c:v>
                </c:pt>
                <c:pt idx="152">
                  <c:v>44482</c:v>
                </c:pt>
                <c:pt idx="153">
                  <c:v>44483</c:v>
                </c:pt>
                <c:pt idx="154">
                  <c:v>44484</c:v>
                </c:pt>
                <c:pt idx="155">
                  <c:v>44487</c:v>
                </c:pt>
                <c:pt idx="156">
                  <c:v>44488</c:v>
                </c:pt>
                <c:pt idx="157">
                  <c:v>44489</c:v>
                </c:pt>
                <c:pt idx="158">
                  <c:v>44490</c:v>
                </c:pt>
                <c:pt idx="159">
                  <c:v>44491</c:v>
                </c:pt>
                <c:pt idx="160">
                  <c:v>44494</c:v>
                </c:pt>
                <c:pt idx="161">
                  <c:v>44495</c:v>
                </c:pt>
                <c:pt idx="162">
                  <c:v>44496</c:v>
                </c:pt>
                <c:pt idx="163">
                  <c:v>44497</c:v>
                </c:pt>
                <c:pt idx="164">
                  <c:v>44498</c:v>
                </c:pt>
                <c:pt idx="165">
                  <c:v>44501</c:v>
                </c:pt>
                <c:pt idx="166">
                  <c:v>44502</c:v>
                </c:pt>
                <c:pt idx="167">
                  <c:v>44503</c:v>
                </c:pt>
                <c:pt idx="168">
                  <c:v>44504</c:v>
                </c:pt>
                <c:pt idx="169">
                  <c:v>44505</c:v>
                </c:pt>
                <c:pt idx="170">
                  <c:v>44508</c:v>
                </c:pt>
                <c:pt idx="171">
                  <c:v>44509</c:v>
                </c:pt>
                <c:pt idx="172">
                  <c:v>44510</c:v>
                </c:pt>
                <c:pt idx="173">
                  <c:v>44511</c:v>
                </c:pt>
                <c:pt idx="174">
                  <c:v>44512</c:v>
                </c:pt>
                <c:pt idx="175">
                  <c:v>44515</c:v>
                </c:pt>
                <c:pt idx="176">
                  <c:v>44516</c:v>
                </c:pt>
                <c:pt idx="177">
                  <c:v>44517</c:v>
                </c:pt>
                <c:pt idx="178">
                  <c:v>44518</c:v>
                </c:pt>
                <c:pt idx="179">
                  <c:v>44519</c:v>
                </c:pt>
                <c:pt idx="180">
                  <c:v>44522</c:v>
                </c:pt>
                <c:pt idx="181">
                  <c:v>44523</c:v>
                </c:pt>
                <c:pt idx="182">
                  <c:v>44524</c:v>
                </c:pt>
                <c:pt idx="183">
                  <c:v>44525</c:v>
                </c:pt>
                <c:pt idx="184">
                  <c:v>44526</c:v>
                </c:pt>
                <c:pt idx="185">
                  <c:v>44529</c:v>
                </c:pt>
                <c:pt idx="186">
                  <c:v>44530</c:v>
                </c:pt>
                <c:pt idx="187">
                  <c:v>44531</c:v>
                </c:pt>
                <c:pt idx="188">
                  <c:v>44532</c:v>
                </c:pt>
                <c:pt idx="189">
                  <c:v>44533</c:v>
                </c:pt>
                <c:pt idx="190">
                  <c:v>44536</c:v>
                </c:pt>
                <c:pt idx="191">
                  <c:v>44537</c:v>
                </c:pt>
                <c:pt idx="192">
                  <c:v>44538</c:v>
                </c:pt>
                <c:pt idx="193">
                  <c:v>44539</c:v>
                </c:pt>
                <c:pt idx="194">
                  <c:v>44540</c:v>
                </c:pt>
                <c:pt idx="195">
                  <c:v>44543</c:v>
                </c:pt>
                <c:pt idx="196">
                  <c:v>44544</c:v>
                </c:pt>
                <c:pt idx="197">
                  <c:v>44545</c:v>
                </c:pt>
                <c:pt idx="198">
                  <c:v>44546</c:v>
                </c:pt>
                <c:pt idx="199">
                  <c:v>44547</c:v>
                </c:pt>
                <c:pt idx="200">
                  <c:v>44550</c:v>
                </c:pt>
                <c:pt idx="201">
                  <c:v>44551</c:v>
                </c:pt>
                <c:pt idx="202">
                  <c:v>44552</c:v>
                </c:pt>
                <c:pt idx="203">
                  <c:v>44553</c:v>
                </c:pt>
                <c:pt idx="204">
                  <c:v>44554</c:v>
                </c:pt>
                <c:pt idx="205">
                  <c:v>44557</c:v>
                </c:pt>
                <c:pt idx="206">
                  <c:v>44558</c:v>
                </c:pt>
                <c:pt idx="207">
                  <c:v>44559</c:v>
                </c:pt>
                <c:pt idx="208">
                  <c:v>44560</c:v>
                </c:pt>
                <c:pt idx="209">
                  <c:v>44561</c:v>
                </c:pt>
                <c:pt idx="210">
                  <c:v>44565</c:v>
                </c:pt>
                <c:pt idx="211">
                  <c:v>44566</c:v>
                </c:pt>
                <c:pt idx="212">
                  <c:v>44567</c:v>
                </c:pt>
                <c:pt idx="213">
                  <c:v>44568</c:v>
                </c:pt>
                <c:pt idx="214">
                  <c:v>44571</c:v>
                </c:pt>
                <c:pt idx="215">
                  <c:v>44572</c:v>
                </c:pt>
                <c:pt idx="216">
                  <c:v>44573</c:v>
                </c:pt>
                <c:pt idx="217">
                  <c:v>44574</c:v>
                </c:pt>
                <c:pt idx="218">
                  <c:v>44575</c:v>
                </c:pt>
                <c:pt idx="219">
                  <c:v>44578</c:v>
                </c:pt>
                <c:pt idx="220">
                  <c:v>44579</c:v>
                </c:pt>
                <c:pt idx="221">
                  <c:v>44580</c:v>
                </c:pt>
                <c:pt idx="222">
                  <c:v>44581</c:v>
                </c:pt>
                <c:pt idx="223">
                  <c:v>44582</c:v>
                </c:pt>
                <c:pt idx="224">
                  <c:v>44585</c:v>
                </c:pt>
                <c:pt idx="225">
                  <c:v>44586</c:v>
                </c:pt>
                <c:pt idx="226">
                  <c:v>44587</c:v>
                </c:pt>
                <c:pt idx="227">
                  <c:v>44588</c:v>
                </c:pt>
                <c:pt idx="228">
                  <c:v>44589</c:v>
                </c:pt>
                <c:pt idx="229">
                  <c:v>44599</c:v>
                </c:pt>
                <c:pt idx="230">
                  <c:v>44600</c:v>
                </c:pt>
                <c:pt idx="231">
                  <c:v>44601</c:v>
                </c:pt>
                <c:pt idx="232">
                  <c:v>44602</c:v>
                </c:pt>
                <c:pt idx="233">
                  <c:v>44603</c:v>
                </c:pt>
                <c:pt idx="234">
                  <c:v>44606</c:v>
                </c:pt>
                <c:pt idx="235">
                  <c:v>44607</c:v>
                </c:pt>
                <c:pt idx="236">
                  <c:v>44608</c:v>
                </c:pt>
                <c:pt idx="237">
                  <c:v>44609</c:v>
                </c:pt>
                <c:pt idx="238">
                  <c:v>44610</c:v>
                </c:pt>
                <c:pt idx="239">
                  <c:v>44613</c:v>
                </c:pt>
                <c:pt idx="240">
                  <c:v>44614</c:v>
                </c:pt>
                <c:pt idx="241">
                  <c:v>44615</c:v>
                </c:pt>
                <c:pt idx="242">
                  <c:v>44616</c:v>
                </c:pt>
                <c:pt idx="243">
                  <c:v>44617</c:v>
                </c:pt>
                <c:pt idx="244">
                  <c:v>44620</c:v>
                </c:pt>
                <c:pt idx="245">
                  <c:v>44621</c:v>
                </c:pt>
                <c:pt idx="246">
                  <c:v>44622</c:v>
                </c:pt>
                <c:pt idx="247">
                  <c:v>44623</c:v>
                </c:pt>
                <c:pt idx="248">
                  <c:v>44624</c:v>
                </c:pt>
                <c:pt idx="249">
                  <c:v>44627</c:v>
                </c:pt>
                <c:pt idx="250">
                  <c:v>44628</c:v>
                </c:pt>
                <c:pt idx="251">
                  <c:v>44629</c:v>
                </c:pt>
                <c:pt idx="252">
                  <c:v>44630</c:v>
                </c:pt>
                <c:pt idx="253">
                  <c:v>44631</c:v>
                </c:pt>
                <c:pt idx="254">
                  <c:v>44634</c:v>
                </c:pt>
                <c:pt idx="255">
                  <c:v>44635</c:v>
                </c:pt>
                <c:pt idx="256">
                  <c:v>44636</c:v>
                </c:pt>
                <c:pt idx="257">
                  <c:v>44637</c:v>
                </c:pt>
                <c:pt idx="258">
                  <c:v>44638</c:v>
                </c:pt>
                <c:pt idx="259">
                  <c:v>44641</c:v>
                </c:pt>
                <c:pt idx="260">
                  <c:v>44642</c:v>
                </c:pt>
                <c:pt idx="261">
                  <c:v>44643</c:v>
                </c:pt>
                <c:pt idx="262">
                  <c:v>44644</c:v>
                </c:pt>
                <c:pt idx="263">
                  <c:v>44645</c:v>
                </c:pt>
                <c:pt idx="264">
                  <c:v>44648</c:v>
                </c:pt>
                <c:pt idx="265">
                  <c:v>44649</c:v>
                </c:pt>
                <c:pt idx="266">
                  <c:v>44650</c:v>
                </c:pt>
                <c:pt idx="267">
                  <c:v>44651</c:v>
                </c:pt>
                <c:pt idx="268">
                  <c:v>44652</c:v>
                </c:pt>
                <c:pt idx="269">
                  <c:v>44655</c:v>
                </c:pt>
                <c:pt idx="270">
                  <c:v>44656</c:v>
                </c:pt>
                <c:pt idx="271">
                  <c:v>44657</c:v>
                </c:pt>
                <c:pt idx="272">
                  <c:v>44658</c:v>
                </c:pt>
                <c:pt idx="273">
                  <c:v>44659</c:v>
                </c:pt>
                <c:pt idx="274">
                  <c:v>44663</c:v>
                </c:pt>
                <c:pt idx="275">
                  <c:v>44664</c:v>
                </c:pt>
                <c:pt idx="276">
                  <c:v>44665</c:v>
                </c:pt>
                <c:pt idx="277">
                  <c:v>44666</c:v>
                </c:pt>
                <c:pt idx="278">
                  <c:v>44669</c:v>
                </c:pt>
                <c:pt idx="279">
                  <c:v>44670</c:v>
                </c:pt>
                <c:pt idx="280">
                  <c:v>44671</c:v>
                </c:pt>
                <c:pt idx="281">
                  <c:v>44672</c:v>
                </c:pt>
                <c:pt idx="282">
                  <c:v>44673</c:v>
                </c:pt>
                <c:pt idx="283">
                  <c:v>44676</c:v>
                </c:pt>
                <c:pt idx="284">
                  <c:v>44677</c:v>
                </c:pt>
                <c:pt idx="285">
                  <c:v>44678</c:v>
                </c:pt>
                <c:pt idx="286">
                  <c:v>44679</c:v>
                </c:pt>
                <c:pt idx="287">
                  <c:v>44680</c:v>
                </c:pt>
                <c:pt idx="288">
                  <c:v>44685</c:v>
                </c:pt>
                <c:pt idx="289">
                  <c:v>44686</c:v>
                </c:pt>
                <c:pt idx="290">
                  <c:v>44687</c:v>
                </c:pt>
                <c:pt idx="291">
                  <c:v>44690</c:v>
                </c:pt>
                <c:pt idx="292">
                  <c:v>44691</c:v>
                </c:pt>
                <c:pt idx="293">
                  <c:v>44692</c:v>
                </c:pt>
                <c:pt idx="294">
                  <c:v>44693</c:v>
                </c:pt>
                <c:pt idx="295">
                  <c:v>44694</c:v>
                </c:pt>
                <c:pt idx="296">
                  <c:v>44697</c:v>
                </c:pt>
                <c:pt idx="297">
                  <c:v>44698</c:v>
                </c:pt>
                <c:pt idx="298">
                  <c:v>44699</c:v>
                </c:pt>
                <c:pt idx="299">
                  <c:v>44700</c:v>
                </c:pt>
                <c:pt idx="300">
                  <c:v>44701</c:v>
                </c:pt>
                <c:pt idx="301">
                  <c:v>44704</c:v>
                </c:pt>
                <c:pt idx="302">
                  <c:v>44705</c:v>
                </c:pt>
                <c:pt idx="303">
                  <c:v>44706</c:v>
                </c:pt>
                <c:pt idx="304">
                  <c:v>44707</c:v>
                </c:pt>
                <c:pt idx="305">
                  <c:v>44708</c:v>
                </c:pt>
                <c:pt idx="306">
                  <c:v>44711</c:v>
                </c:pt>
                <c:pt idx="307">
                  <c:v>44712</c:v>
                </c:pt>
                <c:pt idx="308">
                  <c:v>44713</c:v>
                </c:pt>
                <c:pt idx="309">
                  <c:v>44714</c:v>
                </c:pt>
                <c:pt idx="310">
                  <c:v>44715</c:v>
                </c:pt>
                <c:pt idx="311">
                  <c:v>44718</c:v>
                </c:pt>
                <c:pt idx="312">
                  <c:v>44719</c:v>
                </c:pt>
                <c:pt idx="313">
                  <c:v>44720</c:v>
                </c:pt>
                <c:pt idx="314">
                  <c:v>44721</c:v>
                </c:pt>
                <c:pt idx="315">
                  <c:v>44722</c:v>
                </c:pt>
                <c:pt idx="316">
                  <c:v>44725</c:v>
                </c:pt>
                <c:pt idx="317">
                  <c:v>44726</c:v>
                </c:pt>
                <c:pt idx="318">
                  <c:v>44727</c:v>
                </c:pt>
                <c:pt idx="319">
                  <c:v>44728</c:v>
                </c:pt>
                <c:pt idx="320">
                  <c:v>44729</c:v>
                </c:pt>
                <c:pt idx="321">
                  <c:v>44732</c:v>
                </c:pt>
                <c:pt idx="322">
                  <c:v>44733</c:v>
                </c:pt>
                <c:pt idx="323">
                  <c:v>44734</c:v>
                </c:pt>
                <c:pt idx="324">
                  <c:v>44735</c:v>
                </c:pt>
                <c:pt idx="325">
                  <c:v>44736</c:v>
                </c:pt>
                <c:pt idx="326">
                  <c:v>44739</c:v>
                </c:pt>
                <c:pt idx="327">
                  <c:v>44740</c:v>
                </c:pt>
                <c:pt idx="328">
                  <c:v>44741</c:v>
                </c:pt>
                <c:pt idx="329">
                  <c:v>44742</c:v>
                </c:pt>
                <c:pt idx="330">
                  <c:v>44743</c:v>
                </c:pt>
                <c:pt idx="331">
                  <c:v>44746</c:v>
                </c:pt>
                <c:pt idx="332">
                  <c:v>44747</c:v>
                </c:pt>
                <c:pt idx="333">
                  <c:v>44748</c:v>
                </c:pt>
                <c:pt idx="334">
                  <c:v>44749</c:v>
                </c:pt>
                <c:pt idx="335">
                  <c:v>44750</c:v>
                </c:pt>
                <c:pt idx="336">
                  <c:v>44753</c:v>
                </c:pt>
                <c:pt idx="337">
                  <c:v>44754</c:v>
                </c:pt>
                <c:pt idx="338">
                  <c:v>44755</c:v>
                </c:pt>
                <c:pt idx="339">
                  <c:v>44756</c:v>
                </c:pt>
                <c:pt idx="340">
                  <c:v>44757</c:v>
                </c:pt>
                <c:pt idx="341">
                  <c:v>44760</c:v>
                </c:pt>
                <c:pt idx="342">
                  <c:v>44761</c:v>
                </c:pt>
                <c:pt idx="343">
                  <c:v>44762</c:v>
                </c:pt>
                <c:pt idx="344">
                  <c:v>44763</c:v>
                </c:pt>
                <c:pt idx="345">
                  <c:v>44764</c:v>
                </c:pt>
                <c:pt idx="346">
                  <c:v>44767</c:v>
                </c:pt>
                <c:pt idx="347">
                  <c:v>44768</c:v>
                </c:pt>
                <c:pt idx="348">
                  <c:v>44769</c:v>
                </c:pt>
                <c:pt idx="349">
                  <c:v>44770</c:v>
                </c:pt>
                <c:pt idx="350">
                  <c:v>44771</c:v>
                </c:pt>
                <c:pt idx="351">
                  <c:v>44774</c:v>
                </c:pt>
                <c:pt idx="352">
                  <c:v>44775</c:v>
                </c:pt>
                <c:pt idx="353">
                  <c:v>44776</c:v>
                </c:pt>
                <c:pt idx="354">
                  <c:v>44777</c:v>
                </c:pt>
                <c:pt idx="355">
                  <c:v>44778</c:v>
                </c:pt>
                <c:pt idx="356">
                  <c:v>44781</c:v>
                </c:pt>
                <c:pt idx="357">
                  <c:v>44782</c:v>
                </c:pt>
                <c:pt idx="358">
                  <c:v>44783</c:v>
                </c:pt>
                <c:pt idx="359">
                  <c:v>44784</c:v>
                </c:pt>
                <c:pt idx="360">
                  <c:v>44785</c:v>
                </c:pt>
                <c:pt idx="361">
                  <c:v>44788</c:v>
                </c:pt>
                <c:pt idx="362">
                  <c:v>44789</c:v>
                </c:pt>
                <c:pt idx="363">
                  <c:v>44790</c:v>
                </c:pt>
                <c:pt idx="364">
                  <c:v>44791</c:v>
                </c:pt>
                <c:pt idx="365">
                  <c:v>44792</c:v>
                </c:pt>
                <c:pt idx="366">
                  <c:v>44795</c:v>
                </c:pt>
                <c:pt idx="367">
                  <c:v>44796</c:v>
                </c:pt>
                <c:pt idx="368">
                  <c:v>44797</c:v>
                </c:pt>
                <c:pt idx="369">
                  <c:v>44798</c:v>
                </c:pt>
                <c:pt idx="370">
                  <c:v>44799</c:v>
                </c:pt>
                <c:pt idx="371">
                  <c:v>44802</c:v>
                </c:pt>
                <c:pt idx="372">
                  <c:v>44803</c:v>
                </c:pt>
                <c:pt idx="373">
                  <c:v>44804</c:v>
                </c:pt>
                <c:pt idx="374">
                  <c:v>44809</c:v>
                </c:pt>
                <c:pt idx="375">
                  <c:v>44810</c:v>
                </c:pt>
                <c:pt idx="376">
                  <c:v>44811</c:v>
                </c:pt>
                <c:pt idx="377">
                  <c:v>44812</c:v>
                </c:pt>
                <c:pt idx="378">
                  <c:v>44813</c:v>
                </c:pt>
                <c:pt idx="379">
                  <c:v>44816</c:v>
                </c:pt>
                <c:pt idx="380">
                  <c:v>44817</c:v>
                </c:pt>
                <c:pt idx="381">
                  <c:v>44818</c:v>
                </c:pt>
                <c:pt idx="382">
                  <c:v>44819</c:v>
                </c:pt>
                <c:pt idx="383">
                  <c:v>44820</c:v>
                </c:pt>
                <c:pt idx="384">
                  <c:v>44823</c:v>
                </c:pt>
                <c:pt idx="385">
                  <c:v>44824</c:v>
                </c:pt>
                <c:pt idx="386">
                  <c:v>44825</c:v>
                </c:pt>
                <c:pt idx="387">
                  <c:v>44826</c:v>
                </c:pt>
                <c:pt idx="388">
                  <c:v>44827</c:v>
                </c:pt>
                <c:pt idx="389">
                  <c:v>44830</c:v>
                </c:pt>
                <c:pt idx="390">
                  <c:v>44831</c:v>
                </c:pt>
                <c:pt idx="391">
                  <c:v>44832</c:v>
                </c:pt>
                <c:pt idx="392">
                  <c:v>44833</c:v>
                </c:pt>
                <c:pt idx="393">
                  <c:v>44834</c:v>
                </c:pt>
                <c:pt idx="394">
                  <c:v>44837</c:v>
                </c:pt>
                <c:pt idx="395">
                  <c:v>44838</c:v>
                </c:pt>
                <c:pt idx="396">
                  <c:v>44839</c:v>
                </c:pt>
                <c:pt idx="397">
                  <c:v>44840</c:v>
                </c:pt>
                <c:pt idx="398">
                  <c:v>44841</c:v>
                </c:pt>
                <c:pt idx="399">
                  <c:v>44844</c:v>
                </c:pt>
                <c:pt idx="400">
                  <c:v>44845</c:v>
                </c:pt>
                <c:pt idx="401">
                  <c:v>44846</c:v>
                </c:pt>
                <c:pt idx="402">
                  <c:v>44847</c:v>
                </c:pt>
                <c:pt idx="403">
                  <c:v>44848</c:v>
                </c:pt>
                <c:pt idx="404">
                  <c:v>44851</c:v>
                </c:pt>
                <c:pt idx="405">
                  <c:v>44852</c:v>
                </c:pt>
                <c:pt idx="406">
                  <c:v>44853</c:v>
                </c:pt>
                <c:pt idx="407">
                  <c:v>44854</c:v>
                </c:pt>
                <c:pt idx="408">
                  <c:v>44855</c:v>
                </c:pt>
                <c:pt idx="409">
                  <c:v>44858</c:v>
                </c:pt>
                <c:pt idx="410">
                  <c:v>44859</c:v>
                </c:pt>
                <c:pt idx="411">
                  <c:v>44860</c:v>
                </c:pt>
                <c:pt idx="412">
                  <c:v>44861</c:v>
                </c:pt>
                <c:pt idx="413">
                  <c:v>44862</c:v>
                </c:pt>
                <c:pt idx="414">
                  <c:v>44865</c:v>
                </c:pt>
                <c:pt idx="415">
                  <c:v>44866</c:v>
                </c:pt>
                <c:pt idx="416">
                  <c:v>44867</c:v>
                </c:pt>
                <c:pt idx="417">
                  <c:v>44868</c:v>
                </c:pt>
                <c:pt idx="418">
                  <c:v>44869</c:v>
                </c:pt>
                <c:pt idx="419">
                  <c:v>44872</c:v>
                </c:pt>
                <c:pt idx="420">
                  <c:v>44873</c:v>
                </c:pt>
                <c:pt idx="421">
                  <c:v>44874</c:v>
                </c:pt>
                <c:pt idx="422">
                  <c:v>44875</c:v>
                </c:pt>
                <c:pt idx="423">
                  <c:v>44876</c:v>
                </c:pt>
                <c:pt idx="424">
                  <c:v>44879</c:v>
                </c:pt>
                <c:pt idx="425">
                  <c:v>44880</c:v>
                </c:pt>
                <c:pt idx="426">
                  <c:v>44881</c:v>
                </c:pt>
                <c:pt idx="427">
                  <c:v>44882</c:v>
                </c:pt>
                <c:pt idx="428">
                  <c:v>44883</c:v>
                </c:pt>
                <c:pt idx="429">
                  <c:v>44886</c:v>
                </c:pt>
                <c:pt idx="430">
                  <c:v>44887</c:v>
                </c:pt>
                <c:pt idx="431">
                  <c:v>44888</c:v>
                </c:pt>
                <c:pt idx="432">
                  <c:v>44889</c:v>
                </c:pt>
                <c:pt idx="433">
                  <c:v>44890</c:v>
                </c:pt>
                <c:pt idx="434">
                  <c:v>44893</c:v>
                </c:pt>
                <c:pt idx="435">
                  <c:v>44894</c:v>
                </c:pt>
                <c:pt idx="436">
                  <c:v>44895</c:v>
                </c:pt>
                <c:pt idx="437">
                  <c:v>44896</c:v>
                </c:pt>
                <c:pt idx="438">
                  <c:v>44897</c:v>
                </c:pt>
                <c:pt idx="439">
                  <c:v>44900</c:v>
                </c:pt>
                <c:pt idx="440">
                  <c:v>44901</c:v>
                </c:pt>
                <c:pt idx="441">
                  <c:v>44902</c:v>
                </c:pt>
                <c:pt idx="442">
                  <c:v>44903</c:v>
                </c:pt>
                <c:pt idx="443">
                  <c:v>44904</c:v>
                </c:pt>
                <c:pt idx="444">
                  <c:v>44907</c:v>
                </c:pt>
                <c:pt idx="445">
                  <c:v>44908</c:v>
                </c:pt>
                <c:pt idx="446">
                  <c:v>44909</c:v>
                </c:pt>
                <c:pt idx="447">
                  <c:v>44910</c:v>
                </c:pt>
                <c:pt idx="448">
                  <c:v>44911</c:v>
                </c:pt>
                <c:pt idx="449">
                  <c:v>44914</c:v>
                </c:pt>
                <c:pt idx="450">
                  <c:v>44915</c:v>
                </c:pt>
                <c:pt idx="451">
                  <c:v>44916</c:v>
                </c:pt>
                <c:pt idx="452">
                  <c:v>44917</c:v>
                </c:pt>
                <c:pt idx="453">
                  <c:v>44918</c:v>
                </c:pt>
                <c:pt idx="454">
                  <c:v>44921</c:v>
                </c:pt>
                <c:pt idx="455">
                  <c:v>44922</c:v>
                </c:pt>
                <c:pt idx="456">
                  <c:v>44923</c:v>
                </c:pt>
                <c:pt idx="457">
                  <c:v>44924</c:v>
                </c:pt>
                <c:pt idx="458">
                  <c:v>44925</c:v>
                </c:pt>
                <c:pt idx="459">
                  <c:v>44929</c:v>
                </c:pt>
                <c:pt idx="460">
                  <c:v>44930</c:v>
                </c:pt>
                <c:pt idx="461">
                  <c:v>44931</c:v>
                </c:pt>
                <c:pt idx="462">
                  <c:v>44932</c:v>
                </c:pt>
                <c:pt idx="463">
                  <c:v>44935</c:v>
                </c:pt>
                <c:pt idx="464">
                  <c:v>44936</c:v>
                </c:pt>
                <c:pt idx="465">
                  <c:v>44937</c:v>
                </c:pt>
                <c:pt idx="466">
                  <c:v>44938</c:v>
                </c:pt>
                <c:pt idx="467">
                  <c:v>44939</c:v>
                </c:pt>
                <c:pt idx="468">
                  <c:v>44942</c:v>
                </c:pt>
                <c:pt idx="469">
                  <c:v>44943</c:v>
                </c:pt>
                <c:pt idx="470">
                  <c:v>44944</c:v>
                </c:pt>
                <c:pt idx="471">
                  <c:v>44945</c:v>
                </c:pt>
                <c:pt idx="472">
                  <c:v>44953</c:v>
                </c:pt>
                <c:pt idx="473">
                  <c:v>44956</c:v>
                </c:pt>
                <c:pt idx="474">
                  <c:v>44957</c:v>
                </c:pt>
                <c:pt idx="475">
                  <c:v>44958</c:v>
                </c:pt>
                <c:pt idx="476">
                  <c:v>44959</c:v>
                </c:pt>
                <c:pt idx="477">
                  <c:v>44960</c:v>
                </c:pt>
                <c:pt idx="478">
                  <c:v>44963</c:v>
                </c:pt>
                <c:pt idx="479">
                  <c:v>44964</c:v>
                </c:pt>
                <c:pt idx="480">
                  <c:v>44965</c:v>
                </c:pt>
                <c:pt idx="481">
                  <c:v>44966</c:v>
                </c:pt>
                <c:pt idx="482">
                  <c:v>44967</c:v>
                </c:pt>
                <c:pt idx="483">
                  <c:v>44970</c:v>
                </c:pt>
                <c:pt idx="484">
                  <c:v>44971</c:v>
                </c:pt>
                <c:pt idx="485">
                  <c:v>44972</c:v>
                </c:pt>
                <c:pt idx="486">
                  <c:v>44973</c:v>
                </c:pt>
                <c:pt idx="487">
                  <c:v>44974</c:v>
                </c:pt>
                <c:pt idx="488">
                  <c:v>44977</c:v>
                </c:pt>
                <c:pt idx="489">
                  <c:v>44978</c:v>
                </c:pt>
                <c:pt idx="490">
                  <c:v>44979</c:v>
                </c:pt>
                <c:pt idx="491">
                  <c:v>44980</c:v>
                </c:pt>
                <c:pt idx="492">
                  <c:v>44981</c:v>
                </c:pt>
                <c:pt idx="493">
                  <c:v>44984</c:v>
                </c:pt>
                <c:pt idx="494">
                  <c:v>44985</c:v>
                </c:pt>
                <c:pt idx="495">
                  <c:v>44986</c:v>
                </c:pt>
                <c:pt idx="496">
                  <c:v>44987</c:v>
                </c:pt>
                <c:pt idx="497">
                  <c:v>44988</c:v>
                </c:pt>
                <c:pt idx="498">
                  <c:v>44991</c:v>
                </c:pt>
                <c:pt idx="499">
                  <c:v>44992</c:v>
                </c:pt>
                <c:pt idx="500">
                  <c:v>44993</c:v>
                </c:pt>
                <c:pt idx="501">
                  <c:v>44994</c:v>
                </c:pt>
                <c:pt idx="502">
                  <c:v>44995</c:v>
                </c:pt>
                <c:pt idx="503">
                  <c:v>44998</c:v>
                </c:pt>
                <c:pt idx="504">
                  <c:v>44999</c:v>
                </c:pt>
                <c:pt idx="505">
                  <c:v>45000</c:v>
                </c:pt>
                <c:pt idx="506">
                  <c:v>45001</c:v>
                </c:pt>
                <c:pt idx="507">
                  <c:v>45002</c:v>
                </c:pt>
                <c:pt idx="508">
                  <c:v>45005</c:v>
                </c:pt>
                <c:pt idx="509">
                  <c:v>45006</c:v>
                </c:pt>
                <c:pt idx="510">
                  <c:v>45007</c:v>
                </c:pt>
                <c:pt idx="511">
                  <c:v>45008</c:v>
                </c:pt>
                <c:pt idx="512">
                  <c:v>45009</c:v>
                </c:pt>
                <c:pt idx="513">
                  <c:v>45012</c:v>
                </c:pt>
                <c:pt idx="514">
                  <c:v>45013</c:v>
                </c:pt>
                <c:pt idx="515">
                  <c:v>45014</c:v>
                </c:pt>
                <c:pt idx="516">
                  <c:v>45015</c:v>
                </c:pt>
                <c:pt idx="517">
                  <c:v>45016</c:v>
                </c:pt>
                <c:pt idx="518">
                  <c:v>45019</c:v>
                </c:pt>
                <c:pt idx="519">
                  <c:v>45020</c:v>
                </c:pt>
                <c:pt idx="520">
                  <c:v>45021</c:v>
                </c:pt>
                <c:pt idx="521">
                  <c:v>45022</c:v>
                </c:pt>
                <c:pt idx="522">
                  <c:v>45023</c:v>
                </c:pt>
                <c:pt idx="523">
                  <c:v>45026</c:v>
                </c:pt>
                <c:pt idx="524">
                  <c:v>45027</c:v>
                </c:pt>
                <c:pt idx="525">
                  <c:v>45028</c:v>
                </c:pt>
                <c:pt idx="526">
                  <c:v>45029</c:v>
                </c:pt>
                <c:pt idx="527">
                  <c:v>45030</c:v>
                </c:pt>
                <c:pt idx="528">
                  <c:v>45033</c:v>
                </c:pt>
                <c:pt idx="529">
                  <c:v>45034</c:v>
                </c:pt>
                <c:pt idx="530">
                  <c:v>45035</c:v>
                </c:pt>
                <c:pt idx="531">
                  <c:v>45036</c:v>
                </c:pt>
                <c:pt idx="532">
                  <c:v>45037</c:v>
                </c:pt>
                <c:pt idx="533">
                  <c:v>45040</c:v>
                </c:pt>
                <c:pt idx="534">
                  <c:v>45041</c:v>
                </c:pt>
                <c:pt idx="535">
                  <c:v>45042</c:v>
                </c:pt>
                <c:pt idx="536">
                  <c:v>45043</c:v>
                </c:pt>
                <c:pt idx="537">
                  <c:v>45044</c:v>
                </c:pt>
                <c:pt idx="538">
                  <c:v>45050</c:v>
                </c:pt>
                <c:pt idx="539">
                  <c:v>45051</c:v>
                </c:pt>
                <c:pt idx="540">
                  <c:v>45054</c:v>
                </c:pt>
                <c:pt idx="541">
                  <c:v>45055</c:v>
                </c:pt>
                <c:pt idx="542">
                  <c:v>45056</c:v>
                </c:pt>
                <c:pt idx="543">
                  <c:v>45057</c:v>
                </c:pt>
                <c:pt idx="544">
                  <c:v>45058</c:v>
                </c:pt>
                <c:pt idx="545">
                  <c:v>45061</c:v>
                </c:pt>
                <c:pt idx="546">
                  <c:v>45062</c:v>
                </c:pt>
                <c:pt idx="547">
                  <c:v>45063</c:v>
                </c:pt>
                <c:pt idx="548">
                  <c:v>45064</c:v>
                </c:pt>
                <c:pt idx="549">
                  <c:v>45065</c:v>
                </c:pt>
                <c:pt idx="550">
                  <c:v>45068</c:v>
                </c:pt>
                <c:pt idx="551">
                  <c:v>45069</c:v>
                </c:pt>
                <c:pt idx="552">
                  <c:v>45070</c:v>
                </c:pt>
                <c:pt idx="553">
                  <c:v>45071</c:v>
                </c:pt>
                <c:pt idx="554">
                  <c:v>45072</c:v>
                </c:pt>
                <c:pt idx="555">
                  <c:v>45075</c:v>
                </c:pt>
                <c:pt idx="556">
                  <c:v>45076</c:v>
                </c:pt>
                <c:pt idx="557">
                  <c:v>45077</c:v>
                </c:pt>
                <c:pt idx="558">
                  <c:v>45078</c:v>
                </c:pt>
                <c:pt idx="559">
                  <c:v>45079</c:v>
                </c:pt>
                <c:pt idx="560">
                  <c:v>45082</c:v>
                </c:pt>
                <c:pt idx="561">
                  <c:v>45083</c:v>
                </c:pt>
                <c:pt idx="562">
                  <c:v>45084</c:v>
                </c:pt>
                <c:pt idx="563">
                  <c:v>45085</c:v>
                </c:pt>
                <c:pt idx="564">
                  <c:v>45086</c:v>
                </c:pt>
                <c:pt idx="565">
                  <c:v>45089</c:v>
                </c:pt>
                <c:pt idx="566">
                  <c:v>45090</c:v>
                </c:pt>
                <c:pt idx="567">
                  <c:v>45091</c:v>
                </c:pt>
                <c:pt idx="568">
                  <c:v>45092</c:v>
                </c:pt>
                <c:pt idx="569">
                  <c:v>45093</c:v>
                </c:pt>
                <c:pt idx="570">
                  <c:v>45096</c:v>
                </c:pt>
                <c:pt idx="571">
                  <c:v>45097</c:v>
                </c:pt>
                <c:pt idx="572">
                  <c:v>45098</c:v>
                </c:pt>
                <c:pt idx="573">
                  <c:v>45099</c:v>
                </c:pt>
                <c:pt idx="574">
                  <c:v>45100</c:v>
                </c:pt>
                <c:pt idx="575">
                  <c:v>45103</c:v>
                </c:pt>
                <c:pt idx="576">
                  <c:v>45104</c:v>
                </c:pt>
                <c:pt idx="577">
                  <c:v>45105</c:v>
                </c:pt>
                <c:pt idx="578">
                  <c:v>45106</c:v>
                </c:pt>
                <c:pt idx="579">
                  <c:v>45107</c:v>
                </c:pt>
                <c:pt idx="580">
                  <c:v>45110</c:v>
                </c:pt>
                <c:pt idx="581">
                  <c:v>45111</c:v>
                </c:pt>
                <c:pt idx="582">
                  <c:v>45112</c:v>
                </c:pt>
                <c:pt idx="583">
                  <c:v>45113</c:v>
                </c:pt>
                <c:pt idx="584">
                  <c:v>45114</c:v>
                </c:pt>
                <c:pt idx="585">
                  <c:v>45117</c:v>
                </c:pt>
                <c:pt idx="586">
                  <c:v>45118</c:v>
                </c:pt>
                <c:pt idx="587">
                  <c:v>45119</c:v>
                </c:pt>
                <c:pt idx="588">
                  <c:v>45120</c:v>
                </c:pt>
                <c:pt idx="589">
                  <c:v>45121</c:v>
                </c:pt>
                <c:pt idx="590">
                  <c:v>45124</c:v>
                </c:pt>
                <c:pt idx="591">
                  <c:v>45125</c:v>
                </c:pt>
                <c:pt idx="592">
                  <c:v>45126</c:v>
                </c:pt>
                <c:pt idx="593">
                  <c:v>45127</c:v>
                </c:pt>
                <c:pt idx="594">
                  <c:v>45128</c:v>
                </c:pt>
                <c:pt idx="595">
                  <c:v>45131</c:v>
                </c:pt>
                <c:pt idx="596">
                  <c:v>45132</c:v>
                </c:pt>
                <c:pt idx="597">
                  <c:v>45133</c:v>
                </c:pt>
                <c:pt idx="598">
                  <c:v>45134</c:v>
                </c:pt>
                <c:pt idx="599">
                  <c:v>45135</c:v>
                </c:pt>
                <c:pt idx="600">
                  <c:v>45138</c:v>
                </c:pt>
                <c:pt idx="601">
                  <c:v>45139</c:v>
                </c:pt>
                <c:pt idx="602">
                  <c:v>45140</c:v>
                </c:pt>
                <c:pt idx="603">
                  <c:v>45141</c:v>
                </c:pt>
                <c:pt idx="604">
                  <c:v>45142</c:v>
                </c:pt>
                <c:pt idx="605">
                  <c:v>45145</c:v>
                </c:pt>
                <c:pt idx="606">
                  <c:v>45146</c:v>
                </c:pt>
                <c:pt idx="607">
                  <c:v>45147</c:v>
                </c:pt>
                <c:pt idx="608">
                  <c:v>45148</c:v>
                </c:pt>
                <c:pt idx="609">
                  <c:v>45149</c:v>
                </c:pt>
                <c:pt idx="610">
                  <c:v>45152</c:v>
                </c:pt>
                <c:pt idx="611">
                  <c:v>45153</c:v>
                </c:pt>
                <c:pt idx="612">
                  <c:v>45154</c:v>
                </c:pt>
                <c:pt idx="613">
                  <c:v>45155</c:v>
                </c:pt>
                <c:pt idx="614">
                  <c:v>45156</c:v>
                </c:pt>
                <c:pt idx="615">
                  <c:v>45159</c:v>
                </c:pt>
                <c:pt idx="616">
                  <c:v>45160</c:v>
                </c:pt>
                <c:pt idx="617">
                  <c:v>45161</c:v>
                </c:pt>
                <c:pt idx="618">
                  <c:v>45162</c:v>
                </c:pt>
                <c:pt idx="619">
                  <c:v>45163</c:v>
                </c:pt>
                <c:pt idx="620">
                  <c:v>45166</c:v>
                </c:pt>
                <c:pt idx="621">
                  <c:v>45167</c:v>
                </c:pt>
                <c:pt idx="622">
                  <c:v>45168</c:v>
                </c:pt>
                <c:pt idx="623">
                  <c:v>45169</c:v>
                </c:pt>
                <c:pt idx="624">
                  <c:v>45174</c:v>
                </c:pt>
                <c:pt idx="625">
                  <c:v>45175</c:v>
                </c:pt>
                <c:pt idx="626">
                  <c:v>45176</c:v>
                </c:pt>
                <c:pt idx="627">
                  <c:v>45177</c:v>
                </c:pt>
                <c:pt idx="628">
                  <c:v>45180</c:v>
                </c:pt>
                <c:pt idx="629">
                  <c:v>45181</c:v>
                </c:pt>
                <c:pt idx="630">
                  <c:v>45182</c:v>
                </c:pt>
                <c:pt idx="631">
                  <c:v>45183</c:v>
                </c:pt>
                <c:pt idx="632">
                  <c:v>45184</c:v>
                </c:pt>
                <c:pt idx="633">
                  <c:v>45187</c:v>
                </c:pt>
                <c:pt idx="634">
                  <c:v>45188</c:v>
                </c:pt>
                <c:pt idx="635">
                  <c:v>45189</c:v>
                </c:pt>
                <c:pt idx="636">
                  <c:v>45190</c:v>
                </c:pt>
                <c:pt idx="637">
                  <c:v>45191</c:v>
                </c:pt>
                <c:pt idx="638">
                  <c:v>45194</c:v>
                </c:pt>
                <c:pt idx="639">
                  <c:v>45195</c:v>
                </c:pt>
                <c:pt idx="640">
                  <c:v>45196</c:v>
                </c:pt>
                <c:pt idx="641">
                  <c:v>45197</c:v>
                </c:pt>
                <c:pt idx="642">
                  <c:v>45198</c:v>
                </c:pt>
                <c:pt idx="643">
                  <c:v>45201</c:v>
                </c:pt>
                <c:pt idx="644">
                  <c:v>45202</c:v>
                </c:pt>
                <c:pt idx="645">
                  <c:v>45203</c:v>
                </c:pt>
                <c:pt idx="646">
                  <c:v>45204</c:v>
                </c:pt>
                <c:pt idx="647">
                  <c:v>45205</c:v>
                </c:pt>
                <c:pt idx="648">
                  <c:v>45208</c:v>
                </c:pt>
                <c:pt idx="649">
                  <c:v>45209</c:v>
                </c:pt>
                <c:pt idx="650">
                  <c:v>45210</c:v>
                </c:pt>
                <c:pt idx="651">
                  <c:v>45211</c:v>
                </c:pt>
                <c:pt idx="652">
                  <c:v>45212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45222</c:v>
                </c:pt>
                <c:pt idx="659">
                  <c:v>45223</c:v>
                </c:pt>
                <c:pt idx="660">
                  <c:v>45224</c:v>
                </c:pt>
                <c:pt idx="661">
                  <c:v>45225</c:v>
                </c:pt>
                <c:pt idx="662">
                  <c:v>45226</c:v>
                </c:pt>
                <c:pt idx="663">
                  <c:v>45229</c:v>
                </c:pt>
                <c:pt idx="664">
                  <c:v>45230</c:v>
                </c:pt>
                <c:pt idx="665">
                  <c:v>45231</c:v>
                </c:pt>
                <c:pt idx="666">
                  <c:v>45232</c:v>
                </c:pt>
                <c:pt idx="667">
                  <c:v>45233</c:v>
                </c:pt>
                <c:pt idx="668">
                  <c:v>45236</c:v>
                </c:pt>
                <c:pt idx="669">
                  <c:v>45237</c:v>
                </c:pt>
                <c:pt idx="670">
                  <c:v>45238</c:v>
                </c:pt>
                <c:pt idx="671">
                  <c:v>45239</c:v>
                </c:pt>
                <c:pt idx="672">
                  <c:v>45240</c:v>
                </c:pt>
                <c:pt idx="673">
                  <c:v>45243</c:v>
                </c:pt>
                <c:pt idx="674">
                  <c:v>45244</c:v>
                </c:pt>
                <c:pt idx="675">
                  <c:v>45245</c:v>
                </c:pt>
                <c:pt idx="676">
                  <c:v>45246</c:v>
                </c:pt>
                <c:pt idx="677">
                  <c:v>45247</c:v>
                </c:pt>
                <c:pt idx="678">
                  <c:v>45250</c:v>
                </c:pt>
                <c:pt idx="679">
                  <c:v>45251</c:v>
                </c:pt>
                <c:pt idx="680">
                  <c:v>45252</c:v>
                </c:pt>
                <c:pt idx="681">
                  <c:v>45253</c:v>
                </c:pt>
                <c:pt idx="682">
                  <c:v>45254</c:v>
                </c:pt>
                <c:pt idx="683">
                  <c:v>45257</c:v>
                </c:pt>
                <c:pt idx="684">
                  <c:v>45258</c:v>
                </c:pt>
                <c:pt idx="685">
                  <c:v>45259</c:v>
                </c:pt>
                <c:pt idx="686">
                  <c:v>45260</c:v>
                </c:pt>
                <c:pt idx="687">
                  <c:v>45261</c:v>
                </c:pt>
                <c:pt idx="688">
                  <c:v>45264</c:v>
                </c:pt>
                <c:pt idx="689">
                  <c:v>45265</c:v>
                </c:pt>
                <c:pt idx="690">
                  <c:v>45266</c:v>
                </c:pt>
                <c:pt idx="691">
                  <c:v>45267</c:v>
                </c:pt>
                <c:pt idx="692">
                  <c:v>45268</c:v>
                </c:pt>
                <c:pt idx="693">
                  <c:v>45271</c:v>
                </c:pt>
                <c:pt idx="694">
                  <c:v>45272</c:v>
                </c:pt>
                <c:pt idx="695">
                  <c:v>45273</c:v>
                </c:pt>
                <c:pt idx="696">
                  <c:v>45274</c:v>
                </c:pt>
                <c:pt idx="697">
                  <c:v>45275</c:v>
                </c:pt>
                <c:pt idx="698">
                  <c:v>45278</c:v>
                </c:pt>
                <c:pt idx="699">
                  <c:v>45279</c:v>
                </c:pt>
                <c:pt idx="700">
                  <c:v>45280</c:v>
                </c:pt>
                <c:pt idx="701">
                  <c:v>45281</c:v>
                </c:pt>
                <c:pt idx="702">
                  <c:v>45282</c:v>
                </c:pt>
                <c:pt idx="703">
                  <c:v>45285</c:v>
                </c:pt>
                <c:pt idx="704">
                  <c:v>45286</c:v>
                </c:pt>
                <c:pt idx="705">
                  <c:v>45287</c:v>
                </c:pt>
                <c:pt idx="706">
                  <c:v>45288</c:v>
                </c:pt>
                <c:pt idx="707">
                  <c:v>45289</c:v>
                </c:pt>
                <c:pt idx="708">
                  <c:v>45293</c:v>
                </c:pt>
                <c:pt idx="709">
                  <c:v>45294</c:v>
                </c:pt>
                <c:pt idx="710">
                  <c:v>45295</c:v>
                </c:pt>
                <c:pt idx="711">
                  <c:v>45296</c:v>
                </c:pt>
                <c:pt idx="712">
                  <c:v>45299</c:v>
                </c:pt>
                <c:pt idx="713">
                  <c:v>45300</c:v>
                </c:pt>
                <c:pt idx="714">
                  <c:v>45301</c:v>
                </c:pt>
                <c:pt idx="715">
                  <c:v>45302</c:v>
                </c:pt>
                <c:pt idx="716">
                  <c:v>45303</c:v>
                </c:pt>
                <c:pt idx="717">
                  <c:v>45306</c:v>
                </c:pt>
                <c:pt idx="718">
                  <c:v>45307</c:v>
                </c:pt>
                <c:pt idx="719">
                  <c:v>45308</c:v>
                </c:pt>
                <c:pt idx="720">
                  <c:v>45309</c:v>
                </c:pt>
                <c:pt idx="721">
                  <c:v>45310</c:v>
                </c:pt>
                <c:pt idx="722">
                  <c:v>45313</c:v>
                </c:pt>
                <c:pt idx="723">
                  <c:v>45314</c:v>
                </c:pt>
                <c:pt idx="724">
                  <c:v>45315</c:v>
                </c:pt>
                <c:pt idx="725">
                  <c:v>45316</c:v>
                </c:pt>
                <c:pt idx="726">
                  <c:v>45317</c:v>
                </c:pt>
                <c:pt idx="727">
                  <c:v>45320</c:v>
                </c:pt>
                <c:pt idx="728">
                  <c:v>45321</c:v>
                </c:pt>
                <c:pt idx="729">
                  <c:v>45322</c:v>
                </c:pt>
                <c:pt idx="730">
                  <c:v>45323</c:v>
                </c:pt>
                <c:pt idx="731">
                  <c:v>45324</c:v>
                </c:pt>
                <c:pt idx="732">
                  <c:v>45327</c:v>
                </c:pt>
                <c:pt idx="733">
                  <c:v>45328</c:v>
                </c:pt>
                <c:pt idx="734">
                  <c:v>45329</c:v>
                </c:pt>
                <c:pt idx="735">
                  <c:v>45337</c:v>
                </c:pt>
                <c:pt idx="736">
                  <c:v>45338</c:v>
                </c:pt>
                <c:pt idx="737">
                  <c:v>45341</c:v>
                </c:pt>
                <c:pt idx="738">
                  <c:v>45342</c:v>
                </c:pt>
                <c:pt idx="739">
                  <c:v>45343</c:v>
                </c:pt>
                <c:pt idx="740">
                  <c:v>45344</c:v>
                </c:pt>
                <c:pt idx="741">
                  <c:v>45345</c:v>
                </c:pt>
                <c:pt idx="742">
                  <c:v>45348</c:v>
                </c:pt>
                <c:pt idx="743">
                  <c:v>45349</c:v>
                </c:pt>
                <c:pt idx="744">
                  <c:v>45350</c:v>
                </c:pt>
                <c:pt idx="745">
                  <c:v>45351</c:v>
                </c:pt>
                <c:pt idx="746">
                  <c:v>45352</c:v>
                </c:pt>
                <c:pt idx="747">
                  <c:v>45355</c:v>
                </c:pt>
                <c:pt idx="748">
                  <c:v>45356</c:v>
                </c:pt>
                <c:pt idx="749">
                  <c:v>45357</c:v>
                </c:pt>
                <c:pt idx="750">
                  <c:v>45358</c:v>
                </c:pt>
                <c:pt idx="751">
                  <c:v>45359</c:v>
                </c:pt>
                <c:pt idx="752">
                  <c:v>45362</c:v>
                </c:pt>
                <c:pt idx="753">
                  <c:v>45363</c:v>
                </c:pt>
                <c:pt idx="754">
                  <c:v>45364</c:v>
                </c:pt>
                <c:pt idx="755">
                  <c:v>45365</c:v>
                </c:pt>
                <c:pt idx="756">
                  <c:v>45366</c:v>
                </c:pt>
                <c:pt idx="757">
                  <c:v>45369</c:v>
                </c:pt>
                <c:pt idx="758">
                  <c:v>45370</c:v>
                </c:pt>
                <c:pt idx="759">
                  <c:v>45371</c:v>
                </c:pt>
                <c:pt idx="760">
                  <c:v>45372</c:v>
                </c:pt>
                <c:pt idx="761">
                  <c:v>45373</c:v>
                </c:pt>
                <c:pt idx="762">
                  <c:v>45376</c:v>
                </c:pt>
                <c:pt idx="763">
                  <c:v>45377</c:v>
                </c:pt>
                <c:pt idx="764">
                  <c:v>45378</c:v>
                </c:pt>
                <c:pt idx="765">
                  <c:v>45379</c:v>
                </c:pt>
                <c:pt idx="766">
                  <c:v>45380</c:v>
                </c:pt>
                <c:pt idx="767">
                  <c:v>45383</c:v>
                </c:pt>
                <c:pt idx="768">
                  <c:v>45384</c:v>
                </c:pt>
                <c:pt idx="769">
                  <c:v>45385</c:v>
                </c:pt>
                <c:pt idx="770">
                  <c:v>45386</c:v>
                </c:pt>
                <c:pt idx="771">
                  <c:v>45387</c:v>
                </c:pt>
                <c:pt idx="772">
                  <c:v>45390</c:v>
                </c:pt>
                <c:pt idx="773">
                  <c:v>45391</c:v>
                </c:pt>
                <c:pt idx="774">
                  <c:v>45392</c:v>
                </c:pt>
                <c:pt idx="775">
                  <c:v>45393</c:v>
                </c:pt>
                <c:pt idx="776">
                  <c:v>45394</c:v>
                </c:pt>
                <c:pt idx="777">
                  <c:v>45397</c:v>
                </c:pt>
                <c:pt idx="778">
                  <c:v>45398</c:v>
                </c:pt>
                <c:pt idx="779">
                  <c:v>45399</c:v>
                </c:pt>
                <c:pt idx="780">
                  <c:v>45401</c:v>
                </c:pt>
                <c:pt idx="781">
                  <c:v>45404</c:v>
                </c:pt>
                <c:pt idx="782">
                  <c:v>45405</c:v>
                </c:pt>
                <c:pt idx="783">
                  <c:v>45406</c:v>
                </c:pt>
                <c:pt idx="784">
                  <c:v>45407</c:v>
                </c:pt>
                <c:pt idx="785">
                  <c:v>45408</c:v>
                </c:pt>
                <c:pt idx="786">
                  <c:v>45414</c:v>
                </c:pt>
                <c:pt idx="787">
                  <c:v>45415</c:v>
                </c:pt>
                <c:pt idx="788">
                  <c:v>45418</c:v>
                </c:pt>
                <c:pt idx="789">
                  <c:v>45419</c:v>
                </c:pt>
                <c:pt idx="790">
                  <c:v>45420</c:v>
                </c:pt>
                <c:pt idx="791">
                  <c:v>45421</c:v>
                </c:pt>
                <c:pt idx="792">
                  <c:v>45422</c:v>
                </c:pt>
                <c:pt idx="793">
                  <c:v>45425</c:v>
                </c:pt>
                <c:pt idx="794">
                  <c:v>45426</c:v>
                </c:pt>
                <c:pt idx="795">
                  <c:v>45427</c:v>
                </c:pt>
                <c:pt idx="796">
                  <c:v>45428</c:v>
                </c:pt>
                <c:pt idx="797">
                  <c:v>45429</c:v>
                </c:pt>
                <c:pt idx="798">
                  <c:v>45432</c:v>
                </c:pt>
                <c:pt idx="799">
                  <c:v>45433</c:v>
                </c:pt>
                <c:pt idx="800">
                  <c:v>45434</c:v>
                </c:pt>
                <c:pt idx="801">
                  <c:v>45435</c:v>
                </c:pt>
                <c:pt idx="802">
                  <c:v>45436</c:v>
                </c:pt>
                <c:pt idx="803">
                  <c:v>45439</c:v>
                </c:pt>
                <c:pt idx="804">
                  <c:v>45440</c:v>
                </c:pt>
                <c:pt idx="805">
                  <c:v>45441</c:v>
                </c:pt>
                <c:pt idx="806">
                  <c:v>45442</c:v>
                </c:pt>
                <c:pt idx="807">
                  <c:v>45443</c:v>
                </c:pt>
                <c:pt idx="808">
                  <c:v>45446</c:v>
                </c:pt>
                <c:pt idx="809">
                  <c:v>45447</c:v>
                </c:pt>
                <c:pt idx="810">
                  <c:v>45448</c:v>
                </c:pt>
                <c:pt idx="811">
                  <c:v>45449</c:v>
                </c:pt>
                <c:pt idx="812">
                  <c:v>45450</c:v>
                </c:pt>
                <c:pt idx="813">
                  <c:v>45453</c:v>
                </c:pt>
                <c:pt idx="814">
                  <c:v>45454</c:v>
                </c:pt>
                <c:pt idx="815">
                  <c:v>45455</c:v>
                </c:pt>
                <c:pt idx="816">
                  <c:v>45456</c:v>
                </c:pt>
                <c:pt idx="817">
                  <c:v>45457</c:v>
                </c:pt>
                <c:pt idx="818">
                  <c:v>45460</c:v>
                </c:pt>
                <c:pt idx="819">
                  <c:v>45461</c:v>
                </c:pt>
                <c:pt idx="820">
                  <c:v>45462</c:v>
                </c:pt>
                <c:pt idx="821">
                  <c:v>45463</c:v>
                </c:pt>
                <c:pt idx="822">
                  <c:v>45464</c:v>
                </c:pt>
                <c:pt idx="823">
                  <c:v>45467</c:v>
                </c:pt>
                <c:pt idx="824">
                  <c:v>45468</c:v>
                </c:pt>
                <c:pt idx="825">
                  <c:v>45469</c:v>
                </c:pt>
                <c:pt idx="826">
                  <c:v>45470</c:v>
                </c:pt>
                <c:pt idx="827">
                  <c:v>45471</c:v>
                </c:pt>
                <c:pt idx="828">
                  <c:v>45474</c:v>
                </c:pt>
                <c:pt idx="829">
                  <c:v>45475</c:v>
                </c:pt>
                <c:pt idx="830">
                  <c:v>45476</c:v>
                </c:pt>
                <c:pt idx="831">
                  <c:v>45477</c:v>
                </c:pt>
                <c:pt idx="832">
                  <c:v>45478</c:v>
                </c:pt>
                <c:pt idx="833">
                  <c:v>45481</c:v>
                </c:pt>
                <c:pt idx="834">
                  <c:v>45482</c:v>
                </c:pt>
                <c:pt idx="835">
                  <c:v>45483</c:v>
                </c:pt>
                <c:pt idx="836">
                  <c:v>45484</c:v>
                </c:pt>
                <c:pt idx="837">
                  <c:v>45485</c:v>
                </c:pt>
                <c:pt idx="838">
                  <c:v>45488</c:v>
                </c:pt>
                <c:pt idx="839">
                  <c:v>45489</c:v>
                </c:pt>
                <c:pt idx="840">
                  <c:v>45490</c:v>
                </c:pt>
                <c:pt idx="841">
                  <c:v>45491</c:v>
                </c:pt>
                <c:pt idx="842">
                  <c:v>45492</c:v>
                </c:pt>
                <c:pt idx="843">
                  <c:v>45495</c:v>
                </c:pt>
                <c:pt idx="844">
                  <c:v>45496</c:v>
                </c:pt>
                <c:pt idx="845">
                  <c:v>45497</c:v>
                </c:pt>
                <c:pt idx="846">
                  <c:v>45498</c:v>
                </c:pt>
                <c:pt idx="847">
                  <c:v>45499</c:v>
                </c:pt>
                <c:pt idx="848">
                  <c:v>45502</c:v>
                </c:pt>
                <c:pt idx="849">
                  <c:v>45503</c:v>
                </c:pt>
                <c:pt idx="850">
                  <c:v>45504</c:v>
                </c:pt>
                <c:pt idx="851">
                  <c:v>45505</c:v>
                </c:pt>
                <c:pt idx="852">
                  <c:v>45506</c:v>
                </c:pt>
                <c:pt idx="853">
                  <c:v>45509</c:v>
                </c:pt>
                <c:pt idx="854">
                  <c:v>45510</c:v>
                </c:pt>
                <c:pt idx="855">
                  <c:v>45511</c:v>
                </c:pt>
                <c:pt idx="856">
                  <c:v>45512</c:v>
                </c:pt>
                <c:pt idx="857">
                  <c:v>45513</c:v>
                </c:pt>
                <c:pt idx="858">
                  <c:v>45516</c:v>
                </c:pt>
                <c:pt idx="859">
                  <c:v>45517</c:v>
                </c:pt>
                <c:pt idx="860">
                  <c:v>45518</c:v>
                </c:pt>
                <c:pt idx="861">
                  <c:v>45519</c:v>
                </c:pt>
                <c:pt idx="862">
                  <c:v>45520</c:v>
                </c:pt>
                <c:pt idx="863">
                  <c:v>45523</c:v>
                </c:pt>
                <c:pt idx="864">
                  <c:v>45524</c:v>
                </c:pt>
                <c:pt idx="865">
                  <c:v>45525</c:v>
                </c:pt>
                <c:pt idx="866">
                  <c:v>45526</c:v>
                </c:pt>
                <c:pt idx="867">
                  <c:v>45527</c:v>
                </c:pt>
                <c:pt idx="868">
                  <c:v>45530</c:v>
                </c:pt>
                <c:pt idx="869">
                  <c:v>45531</c:v>
                </c:pt>
                <c:pt idx="870">
                  <c:v>45532</c:v>
                </c:pt>
                <c:pt idx="871">
                  <c:v>45533</c:v>
                </c:pt>
                <c:pt idx="872">
                  <c:v>45534</c:v>
                </c:pt>
                <c:pt idx="873">
                  <c:v>45539</c:v>
                </c:pt>
                <c:pt idx="874">
                  <c:v>45540</c:v>
                </c:pt>
                <c:pt idx="875">
                  <c:v>45541</c:v>
                </c:pt>
                <c:pt idx="876">
                  <c:v>45544</c:v>
                </c:pt>
                <c:pt idx="877">
                  <c:v>45545</c:v>
                </c:pt>
                <c:pt idx="878">
                  <c:v>45546</c:v>
                </c:pt>
                <c:pt idx="879">
                  <c:v>45547</c:v>
                </c:pt>
                <c:pt idx="880">
                  <c:v>45548</c:v>
                </c:pt>
                <c:pt idx="881">
                  <c:v>45551</c:v>
                </c:pt>
                <c:pt idx="882">
                  <c:v>45552</c:v>
                </c:pt>
                <c:pt idx="883">
                  <c:v>45553</c:v>
                </c:pt>
                <c:pt idx="884">
                  <c:v>45554</c:v>
                </c:pt>
                <c:pt idx="885">
                  <c:v>45555</c:v>
                </c:pt>
                <c:pt idx="886">
                  <c:v>45558</c:v>
                </c:pt>
                <c:pt idx="887">
                  <c:v>45559</c:v>
                </c:pt>
                <c:pt idx="888">
                  <c:v>45560</c:v>
                </c:pt>
                <c:pt idx="889">
                  <c:v>45561</c:v>
                </c:pt>
                <c:pt idx="890">
                  <c:v>45562</c:v>
                </c:pt>
                <c:pt idx="891">
                  <c:v>45565</c:v>
                </c:pt>
                <c:pt idx="892">
                  <c:v>45566</c:v>
                </c:pt>
                <c:pt idx="893">
                  <c:v>45567</c:v>
                </c:pt>
                <c:pt idx="894">
                  <c:v>45568</c:v>
                </c:pt>
                <c:pt idx="895">
                  <c:v>45569</c:v>
                </c:pt>
                <c:pt idx="896">
                  <c:v>45572</c:v>
                </c:pt>
                <c:pt idx="897">
                  <c:v>45573</c:v>
                </c:pt>
                <c:pt idx="898">
                  <c:v>45574</c:v>
                </c:pt>
                <c:pt idx="899">
                  <c:v>45575</c:v>
                </c:pt>
                <c:pt idx="900">
                  <c:v>45576</c:v>
                </c:pt>
                <c:pt idx="901">
                  <c:v>45579</c:v>
                </c:pt>
                <c:pt idx="902">
                  <c:v>45580</c:v>
                </c:pt>
                <c:pt idx="903">
                  <c:v>45581</c:v>
                </c:pt>
                <c:pt idx="904">
                  <c:v>45582</c:v>
                </c:pt>
                <c:pt idx="905">
                  <c:v>45583</c:v>
                </c:pt>
                <c:pt idx="906">
                  <c:v>45586</c:v>
                </c:pt>
                <c:pt idx="907">
                  <c:v>45587</c:v>
                </c:pt>
                <c:pt idx="908">
                  <c:v>45588</c:v>
                </c:pt>
                <c:pt idx="909">
                  <c:v>45589</c:v>
                </c:pt>
                <c:pt idx="910">
                  <c:v>45590</c:v>
                </c:pt>
                <c:pt idx="911">
                  <c:v>45593</c:v>
                </c:pt>
                <c:pt idx="912">
                  <c:v>45594</c:v>
                </c:pt>
                <c:pt idx="913">
                  <c:v>45595</c:v>
                </c:pt>
                <c:pt idx="914">
                  <c:v>45596</c:v>
                </c:pt>
                <c:pt idx="915">
                  <c:v>45597</c:v>
                </c:pt>
                <c:pt idx="916">
                  <c:v>45600</c:v>
                </c:pt>
                <c:pt idx="917">
                  <c:v>45601</c:v>
                </c:pt>
                <c:pt idx="918">
                  <c:v>45602</c:v>
                </c:pt>
                <c:pt idx="919">
                  <c:v>45603</c:v>
                </c:pt>
                <c:pt idx="920">
                  <c:v>45604</c:v>
                </c:pt>
                <c:pt idx="921">
                  <c:v>45607</c:v>
                </c:pt>
                <c:pt idx="922">
                  <c:v>45608</c:v>
                </c:pt>
                <c:pt idx="923">
                  <c:v>45609</c:v>
                </c:pt>
                <c:pt idx="924">
                  <c:v>45610</c:v>
                </c:pt>
                <c:pt idx="925">
                  <c:v>45611</c:v>
                </c:pt>
                <c:pt idx="926">
                  <c:v>45614</c:v>
                </c:pt>
                <c:pt idx="927">
                  <c:v>45615</c:v>
                </c:pt>
                <c:pt idx="928">
                  <c:v>45616</c:v>
                </c:pt>
                <c:pt idx="929">
                  <c:v>45617</c:v>
                </c:pt>
                <c:pt idx="930">
                  <c:v>45618</c:v>
                </c:pt>
                <c:pt idx="931">
                  <c:v>45621</c:v>
                </c:pt>
                <c:pt idx="932">
                  <c:v>45622</c:v>
                </c:pt>
                <c:pt idx="933">
                  <c:v>45623</c:v>
                </c:pt>
                <c:pt idx="934">
                  <c:v>45624</c:v>
                </c:pt>
                <c:pt idx="935">
                  <c:v>45625</c:v>
                </c:pt>
                <c:pt idx="936">
                  <c:v>45628</c:v>
                </c:pt>
                <c:pt idx="937">
                  <c:v>45629</c:v>
                </c:pt>
                <c:pt idx="938">
                  <c:v>45630</c:v>
                </c:pt>
                <c:pt idx="939">
                  <c:v>45631</c:v>
                </c:pt>
                <c:pt idx="940">
                  <c:v>45632</c:v>
                </c:pt>
                <c:pt idx="941">
                  <c:v>45635</c:v>
                </c:pt>
                <c:pt idx="942">
                  <c:v>45636</c:v>
                </c:pt>
                <c:pt idx="943">
                  <c:v>45637</c:v>
                </c:pt>
                <c:pt idx="944">
                  <c:v>45638</c:v>
                </c:pt>
                <c:pt idx="945">
                  <c:v>45639</c:v>
                </c:pt>
                <c:pt idx="946">
                  <c:v>45642</c:v>
                </c:pt>
                <c:pt idx="947">
                  <c:v>45643</c:v>
                </c:pt>
                <c:pt idx="948">
                  <c:v>45644</c:v>
                </c:pt>
                <c:pt idx="949">
                  <c:v>45645</c:v>
                </c:pt>
                <c:pt idx="950">
                  <c:v>45646</c:v>
                </c:pt>
                <c:pt idx="951">
                  <c:v>45649</c:v>
                </c:pt>
                <c:pt idx="952">
                  <c:v>45650</c:v>
                </c:pt>
                <c:pt idx="953">
                  <c:v>45651</c:v>
                </c:pt>
                <c:pt idx="954">
                  <c:v>45652</c:v>
                </c:pt>
                <c:pt idx="955">
                  <c:v>45653</c:v>
                </c:pt>
                <c:pt idx="956">
                  <c:v>45656</c:v>
                </c:pt>
                <c:pt idx="957">
                  <c:v>45657</c:v>
                </c:pt>
                <c:pt idx="958">
                  <c:v>45659</c:v>
                </c:pt>
                <c:pt idx="959">
                  <c:v>45660</c:v>
                </c:pt>
                <c:pt idx="960">
                  <c:v>45663</c:v>
                </c:pt>
                <c:pt idx="961">
                  <c:v>45664</c:v>
                </c:pt>
                <c:pt idx="962">
                  <c:v>45665</c:v>
                </c:pt>
                <c:pt idx="963">
                  <c:v>45666</c:v>
                </c:pt>
                <c:pt idx="964">
                  <c:v>45667</c:v>
                </c:pt>
                <c:pt idx="965">
                  <c:v>45670</c:v>
                </c:pt>
                <c:pt idx="966">
                  <c:v>45671</c:v>
                </c:pt>
                <c:pt idx="967">
                  <c:v>45672</c:v>
                </c:pt>
                <c:pt idx="968">
                  <c:v>45673</c:v>
                </c:pt>
                <c:pt idx="969">
                  <c:v>45674</c:v>
                </c:pt>
                <c:pt idx="970">
                  <c:v>45677</c:v>
                </c:pt>
                <c:pt idx="971">
                  <c:v>45678</c:v>
                </c:pt>
                <c:pt idx="972">
                  <c:v>45679</c:v>
                </c:pt>
                <c:pt idx="973">
                  <c:v>45680</c:v>
                </c:pt>
                <c:pt idx="974">
                  <c:v>45681</c:v>
                </c:pt>
                <c:pt idx="975">
                  <c:v>45691</c:v>
                </c:pt>
                <c:pt idx="976">
                  <c:v>45692</c:v>
                </c:pt>
                <c:pt idx="977">
                  <c:v>45693</c:v>
                </c:pt>
                <c:pt idx="978">
                  <c:v>45694</c:v>
                </c:pt>
                <c:pt idx="979">
                  <c:v>45695</c:v>
                </c:pt>
                <c:pt idx="980">
                  <c:v>45698</c:v>
                </c:pt>
                <c:pt idx="981">
                  <c:v>45699</c:v>
                </c:pt>
                <c:pt idx="982">
                  <c:v>45700</c:v>
                </c:pt>
                <c:pt idx="983">
                  <c:v>45701</c:v>
                </c:pt>
                <c:pt idx="984">
                  <c:v>45702</c:v>
                </c:pt>
                <c:pt idx="985">
                  <c:v>45705</c:v>
                </c:pt>
                <c:pt idx="986">
                  <c:v>45706</c:v>
                </c:pt>
                <c:pt idx="987">
                  <c:v>45707</c:v>
                </c:pt>
                <c:pt idx="988">
                  <c:v>45708</c:v>
                </c:pt>
                <c:pt idx="989">
                  <c:v>45709</c:v>
                </c:pt>
                <c:pt idx="990">
                  <c:v>45712</c:v>
                </c:pt>
                <c:pt idx="991">
                  <c:v>45713</c:v>
                </c:pt>
                <c:pt idx="992">
                  <c:v>45714</c:v>
                </c:pt>
                <c:pt idx="993">
                  <c:v>45715</c:v>
                </c:pt>
                <c:pt idx="994">
                  <c:v>45716</c:v>
                </c:pt>
                <c:pt idx="995">
                  <c:v>45719</c:v>
                </c:pt>
                <c:pt idx="996">
                  <c:v>45720</c:v>
                </c:pt>
                <c:pt idx="997">
                  <c:v>45721</c:v>
                </c:pt>
                <c:pt idx="998">
                  <c:v>45722</c:v>
                </c:pt>
                <c:pt idx="999">
                  <c:v>45723</c:v>
                </c:pt>
                <c:pt idx="1000">
                  <c:v>45726</c:v>
                </c:pt>
                <c:pt idx="1001">
                  <c:v>45727</c:v>
                </c:pt>
                <c:pt idx="1002">
                  <c:v>45728</c:v>
                </c:pt>
                <c:pt idx="1003">
                  <c:v>45729</c:v>
                </c:pt>
                <c:pt idx="1004">
                  <c:v>45730</c:v>
                </c:pt>
                <c:pt idx="1005">
                  <c:v>45733</c:v>
                </c:pt>
                <c:pt idx="1006">
                  <c:v>45734</c:v>
                </c:pt>
                <c:pt idx="1007">
                  <c:v>45735</c:v>
                </c:pt>
                <c:pt idx="1008">
                  <c:v>45736</c:v>
                </c:pt>
                <c:pt idx="1009">
                  <c:v>45737</c:v>
                </c:pt>
                <c:pt idx="1010">
                  <c:v>45740</c:v>
                </c:pt>
                <c:pt idx="1011">
                  <c:v>45741</c:v>
                </c:pt>
                <c:pt idx="1012">
                  <c:v>45742</c:v>
                </c:pt>
                <c:pt idx="1013">
                  <c:v>45743</c:v>
                </c:pt>
                <c:pt idx="1014">
                  <c:v>45744</c:v>
                </c:pt>
                <c:pt idx="1015">
                  <c:v>45747</c:v>
                </c:pt>
                <c:pt idx="1016">
                  <c:v>45748</c:v>
                </c:pt>
                <c:pt idx="1017">
                  <c:v>45749</c:v>
                </c:pt>
                <c:pt idx="1018">
                  <c:v>45750</c:v>
                </c:pt>
                <c:pt idx="1019">
                  <c:v>45751</c:v>
                </c:pt>
                <c:pt idx="1020">
                  <c:v>45755</c:v>
                </c:pt>
                <c:pt idx="1021">
                  <c:v>45756</c:v>
                </c:pt>
                <c:pt idx="1022">
                  <c:v>45757</c:v>
                </c:pt>
                <c:pt idx="1023">
                  <c:v>45758</c:v>
                </c:pt>
                <c:pt idx="1024">
                  <c:v>45761</c:v>
                </c:pt>
                <c:pt idx="1025">
                  <c:v>45762</c:v>
                </c:pt>
                <c:pt idx="1026">
                  <c:v>45763</c:v>
                </c:pt>
                <c:pt idx="1027">
                  <c:v>45764</c:v>
                </c:pt>
                <c:pt idx="1028">
                  <c:v>45765</c:v>
                </c:pt>
                <c:pt idx="1029">
                  <c:v>45768</c:v>
                </c:pt>
                <c:pt idx="1030">
                  <c:v>45769</c:v>
                </c:pt>
                <c:pt idx="1031">
                  <c:v>45770</c:v>
                </c:pt>
                <c:pt idx="1032">
                  <c:v>45771</c:v>
                </c:pt>
                <c:pt idx="1033">
                  <c:v>45772</c:v>
                </c:pt>
                <c:pt idx="1034">
                  <c:v>45775</c:v>
                </c:pt>
                <c:pt idx="1035">
                  <c:v>45776</c:v>
                </c:pt>
                <c:pt idx="1036">
                  <c:v>45782</c:v>
                </c:pt>
                <c:pt idx="1037">
                  <c:v>45783</c:v>
                </c:pt>
                <c:pt idx="1038">
                  <c:v>45784</c:v>
                </c:pt>
                <c:pt idx="1039">
                  <c:v>45785</c:v>
                </c:pt>
                <c:pt idx="1040">
                  <c:v>45786</c:v>
                </c:pt>
                <c:pt idx="1041">
                  <c:v>45789</c:v>
                </c:pt>
                <c:pt idx="1042">
                  <c:v>45790</c:v>
                </c:pt>
                <c:pt idx="1043">
                  <c:v>45791</c:v>
                </c:pt>
                <c:pt idx="1044">
                  <c:v>45792</c:v>
                </c:pt>
                <c:pt idx="1045">
                  <c:v>45793</c:v>
                </c:pt>
                <c:pt idx="1046">
                  <c:v>45796</c:v>
                </c:pt>
                <c:pt idx="1047">
                  <c:v>45797</c:v>
                </c:pt>
                <c:pt idx="1048">
                  <c:v>45798</c:v>
                </c:pt>
                <c:pt idx="1049">
                  <c:v>45799</c:v>
                </c:pt>
                <c:pt idx="1050">
                  <c:v>45800</c:v>
                </c:pt>
                <c:pt idx="1051">
                  <c:v>45803</c:v>
                </c:pt>
                <c:pt idx="1052">
                  <c:v>45804</c:v>
                </c:pt>
                <c:pt idx="1053">
                  <c:v>45805</c:v>
                </c:pt>
                <c:pt idx="1054">
                  <c:v>45806</c:v>
                </c:pt>
                <c:pt idx="1055">
                  <c:v>45807</c:v>
                </c:pt>
                <c:pt idx="1056">
                  <c:v>45810</c:v>
                </c:pt>
                <c:pt idx="1057">
                  <c:v>45811</c:v>
                </c:pt>
                <c:pt idx="1058">
                  <c:v>45812</c:v>
                </c:pt>
                <c:pt idx="1059">
                  <c:v>45813</c:v>
                </c:pt>
                <c:pt idx="1060">
                  <c:v>45814</c:v>
                </c:pt>
                <c:pt idx="1061">
                  <c:v>45817</c:v>
                </c:pt>
                <c:pt idx="1062">
                  <c:v>45818</c:v>
                </c:pt>
                <c:pt idx="1063">
                  <c:v>45819</c:v>
                </c:pt>
                <c:pt idx="1064">
                  <c:v>45820</c:v>
                </c:pt>
                <c:pt idx="1065">
                  <c:v>45821</c:v>
                </c:pt>
                <c:pt idx="1066">
                  <c:v>45824</c:v>
                </c:pt>
                <c:pt idx="1067">
                  <c:v>45825</c:v>
                </c:pt>
                <c:pt idx="1068">
                  <c:v>45826</c:v>
                </c:pt>
                <c:pt idx="1069">
                  <c:v>45827</c:v>
                </c:pt>
                <c:pt idx="1070">
                  <c:v>45828</c:v>
                </c:pt>
                <c:pt idx="1071">
                  <c:v>45831</c:v>
                </c:pt>
                <c:pt idx="1072">
                  <c:v>45832</c:v>
                </c:pt>
                <c:pt idx="1073">
                  <c:v>45833</c:v>
                </c:pt>
                <c:pt idx="1074">
                  <c:v>45834</c:v>
                </c:pt>
                <c:pt idx="1075">
                  <c:v>45835</c:v>
                </c:pt>
                <c:pt idx="1076">
                  <c:v>45838</c:v>
                </c:pt>
                <c:pt idx="1077">
                  <c:v>45839</c:v>
                </c:pt>
                <c:pt idx="1078">
                  <c:v>45840</c:v>
                </c:pt>
                <c:pt idx="1079">
                  <c:v>45841</c:v>
                </c:pt>
                <c:pt idx="1080">
                  <c:v>45842</c:v>
                </c:pt>
                <c:pt idx="1081">
                  <c:v>45845</c:v>
                </c:pt>
                <c:pt idx="1082">
                  <c:v>45846</c:v>
                </c:pt>
                <c:pt idx="1083">
                  <c:v>45847</c:v>
                </c:pt>
                <c:pt idx="1084">
                  <c:v>45848</c:v>
                </c:pt>
                <c:pt idx="1085">
                  <c:v>45849</c:v>
                </c:pt>
                <c:pt idx="1086">
                  <c:v>45852</c:v>
                </c:pt>
                <c:pt idx="1087">
                  <c:v>45853</c:v>
                </c:pt>
                <c:pt idx="1088">
                  <c:v>45854</c:v>
                </c:pt>
                <c:pt idx="1089">
                  <c:v>45855</c:v>
                </c:pt>
                <c:pt idx="1090">
                  <c:v>45856</c:v>
                </c:pt>
                <c:pt idx="1091">
                  <c:v>45859</c:v>
                </c:pt>
                <c:pt idx="1092">
                  <c:v>45860</c:v>
                </c:pt>
                <c:pt idx="1093">
                  <c:v>45861</c:v>
                </c:pt>
                <c:pt idx="1094">
                  <c:v>45862</c:v>
                </c:pt>
                <c:pt idx="1095">
                  <c:v>45863</c:v>
                </c:pt>
                <c:pt idx="1096">
                  <c:v>45866</c:v>
                </c:pt>
                <c:pt idx="1097">
                  <c:v>45867</c:v>
                </c:pt>
                <c:pt idx="1098">
                  <c:v>45868</c:v>
                </c:pt>
                <c:pt idx="1099">
                  <c:v>45869</c:v>
                </c:pt>
                <c:pt idx="1100">
                  <c:v>45870</c:v>
                </c:pt>
                <c:pt idx="1101">
                  <c:v>45873</c:v>
                </c:pt>
                <c:pt idx="1102">
                  <c:v>45874</c:v>
                </c:pt>
                <c:pt idx="1103">
                  <c:v>45875</c:v>
                </c:pt>
                <c:pt idx="1104">
                  <c:v>45876</c:v>
                </c:pt>
                <c:pt idx="1105">
                  <c:v>45877</c:v>
                </c:pt>
                <c:pt idx="1106">
                  <c:v>45880</c:v>
                </c:pt>
                <c:pt idx="1107">
                  <c:v>45881</c:v>
                </c:pt>
                <c:pt idx="1108">
                  <c:v>45882</c:v>
                </c:pt>
                <c:pt idx="1109">
                  <c:v>45883</c:v>
                </c:pt>
                <c:pt idx="1110">
                  <c:v>45884</c:v>
                </c:pt>
                <c:pt idx="1111">
                  <c:v>45887</c:v>
                </c:pt>
                <c:pt idx="1112">
                  <c:v>45888</c:v>
                </c:pt>
                <c:pt idx="1113">
                  <c:v>45889</c:v>
                </c:pt>
                <c:pt idx="1114">
                  <c:v>45890</c:v>
                </c:pt>
                <c:pt idx="1115">
                  <c:v>45891</c:v>
                </c:pt>
                <c:pt idx="1116">
                  <c:v>45894</c:v>
                </c:pt>
                <c:pt idx="1117">
                  <c:v>45895</c:v>
                </c:pt>
                <c:pt idx="1118">
                  <c:v>45896</c:v>
                </c:pt>
                <c:pt idx="1119">
                  <c:v>45897</c:v>
                </c:pt>
                <c:pt idx="1120">
                  <c:v>45898</c:v>
                </c:pt>
                <c:pt idx="1121">
                  <c:v>45903</c:v>
                </c:pt>
                <c:pt idx="1122">
                  <c:v>45904</c:v>
                </c:pt>
                <c:pt idx="1123">
                  <c:v>45905</c:v>
                </c:pt>
                <c:pt idx="1124">
                  <c:v>45908</c:v>
                </c:pt>
                <c:pt idx="1125">
                  <c:v>45909</c:v>
                </c:pt>
                <c:pt idx="1126">
                  <c:v>45910</c:v>
                </c:pt>
                <c:pt idx="1127">
                  <c:v>45911</c:v>
                </c:pt>
                <c:pt idx="1128">
                  <c:v>45912</c:v>
                </c:pt>
                <c:pt idx="1129">
                  <c:v>45915</c:v>
                </c:pt>
                <c:pt idx="1130">
                  <c:v>45916</c:v>
                </c:pt>
                <c:pt idx="1131">
                  <c:v>45917</c:v>
                </c:pt>
                <c:pt idx="1132">
                  <c:v>45918</c:v>
                </c:pt>
                <c:pt idx="1133">
                  <c:v>45919</c:v>
                </c:pt>
                <c:pt idx="1134">
                  <c:v>45922</c:v>
                </c:pt>
                <c:pt idx="1135">
                  <c:v>45923</c:v>
                </c:pt>
                <c:pt idx="1136">
                  <c:v>45924</c:v>
                </c:pt>
                <c:pt idx="1137">
                  <c:v>45925</c:v>
                </c:pt>
                <c:pt idx="1138">
                  <c:v>45926</c:v>
                </c:pt>
                <c:pt idx="1139">
                  <c:v>45929</c:v>
                </c:pt>
                <c:pt idx="1140">
                  <c:v>45930</c:v>
                </c:pt>
                <c:pt idx="1141">
                  <c:v>45931</c:v>
                </c:pt>
                <c:pt idx="1142">
                  <c:v>45932</c:v>
                </c:pt>
                <c:pt idx="1143">
                  <c:v>45933</c:v>
                </c:pt>
                <c:pt idx="1144">
                  <c:v>45936</c:v>
                </c:pt>
                <c:pt idx="1145">
                  <c:v>45937</c:v>
                </c:pt>
                <c:pt idx="1146">
                  <c:v>45938</c:v>
                </c:pt>
                <c:pt idx="1147">
                  <c:v>45939</c:v>
                </c:pt>
                <c:pt idx="1148">
                  <c:v>45940</c:v>
                </c:pt>
                <c:pt idx="1149">
                  <c:v>45943</c:v>
                </c:pt>
                <c:pt idx="1150">
                  <c:v>45944</c:v>
                </c:pt>
                <c:pt idx="1151">
                  <c:v>45945</c:v>
                </c:pt>
                <c:pt idx="1152">
                  <c:v>45946</c:v>
                </c:pt>
                <c:pt idx="1153">
                  <c:v>45947</c:v>
                </c:pt>
                <c:pt idx="1154">
                  <c:v>45950</c:v>
                </c:pt>
                <c:pt idx="1155">
                  <c:v>45951</c:v>
                </c:pt>
                <c:pt idx="1156">
                  <c:v>45952</c:v>
                </c:pt>
                <c:pt idx="1157">
                  <c:v>45953</c:v>
                </c:pt>
                <c:pt idx="1158">
                  <c:v>45954</c:v>
                </c:pt>
                <c:pt idx="1159">
                  <c:v>45957</c:v>
                </c:pt>
                <c:pt idx="1160">
                  <c:v>45958</c:v>
                </c:pt>
                <c:pt idx="1161">
                  <c:v>45959</c:v>
                </c:pt>
                <c:pt idx="1162">
                  <c:v>45960</c:v>
                </c:pt>
                <c:pt idx="1163">
                  <c:v>45961</c:v>
                </c:pt>
                <c:pt idx="1164">
                  <c:v>45964</c:v>
                </c:pt>
                <c:pt idx="1165">
                  <c:v>45965</c:v>
                </c:pt>
                <c:pt idx="1166">
                  <c:v>45966</c:v>
                </c:pt>
                <c:pt idx="1167">
                  <c:v>45967</c:v>
                </c:pt>
                <c:pt idx="1168">
                  <c:v>45968</c:v>
                </c:pt>
                <c:pt idx="1169">
                  <c:v>45971</c:v>
                </c:pt>
                <c:pt idx="1170">
                  <c:v>45972</c:v>
                </c:pt>
                <c:pt idx="1171">
                  <c:v>45973</c:v>
                </c:pt>
                <c:pt idx="1172">
                  <c:v>45974</c:v>
                </c:pt>
                <c:pt idx="1173">
                  <c:v>45975</c:v>
                </c:pt>
                <c:pt idx="1174">
                  <c:v>45978</c:v>
                </c:pt>
                <c:pt idx="1175">
                  <c:v>45979</c:v>
                </c:pt>
                <c:pt idx="1176">
                  <c:v>45980</c:v>
                </c:pt>
                <c:pt idx="1177">
                  <c:v>45981</c:v>
                </c:pt>
                <c:pt idx="1178">
                  <c:v>45982</c:v>
                </c:pt>
                <c:pt idx="1179">
                  <c:v>45985</c:v>
                </c:pt>
                <c:pt idx="1180">
                  <c:v>45986</c:v>
                </c:pt>
                <c:pt idx="1181">
                  <c:v>45987</c:v>
                </c:pt>
                <c:pt idx="1182">
                  <c:v>45988</c:v>
                </c:pt>
                <c:pt idx="1183">
                  <c:v>45989</c:v>
                </c:pt>
                <c:pt idx="1184">
                  <c:v>45992</c:v>
                </c:pt>
                <c:pt idx="1185">
                  <c:v>45993</c:v>
                </c:pt>
                <c:pt idx="1186">
                  <c:v>45994</c:v>
                </c:pt>
                <c:pt idx="1187">
                  <c:v>45995</c:v>
                </c:pt>
                <c:pt idx="1188">
                  <c:v>45996</c:v>
                </c:pt>
                <c:pt idx="1189">
                  <c:v>45999</c:v>
                </c:pt>
                <c:pt idx="1190">
                  <c:v>46000</c:v>
                </c:pt>
                <c:pt idx="1191">
                  <c:v>46001</c:v>
                </c:pt>
                <c:pt idx="1192">
                  <c:v>46002</c:v>
                </c:pt>
                <c:pt idx="1193">
                  <c:v>46003</c:v>
                </c:pt>
                <c:pt idx="1194">
                  <c:v>46006</c:v>
                </c:pt>
                <c:pt idx="1195">
                  <c:v>46007</c:v>
                </c:pt>
                <c:pt idx="1196">
                  <c:v>46008</c:v>
                </c:pt>
                <c:pt idx="1197">
                  <c:v>46009</c:v>
                </c:pt>
                <c:pt idx="1198">
                  <c:v>46010</c:v>
                </c:pt>
                <c:pt idx="1199">
                  <c:v>46013</c:v>
                </c:pt>
                <c:pt idx="1200">
                  <c:v>46014</c:v>
                </c:pt>
                <c:pt idx="1201">
                  <c:v>46015</c:v>
                </c:pt>
                <c:pt idx="1202">
                  <c:v>46016</c:v>
                </c:pt>
                <c:pt idx="1203">
                  <c:v>46017</c:v>
                </c:pt>
                <c:pt idx="1204">
                  <c:v>46020</c:v>
                </c:pt>
                <c:pt idx="1205">
                  <c:v>46021</c:v>
                </c:pt>
                <c:pt idx="1206">
                  <c:v>46022</c:v>
                </c:pt>
                <c:pt idx="1207">
                  <c:v>46027</c:v>
                </c:pt>
                <c:pt idx="1208">
                  <c:v>46028</c:v>
                </c:pt>
                <c:pt idx="1209">
                  <c:v>46029</c:v>
                </c:pt>
                <c:pt idx="1210">
                  <c:v>46030</c:v>
                </c:pt>
                <c:pt idx="1211">
                  <c:v>46031</c:v>
                </c:pt>
                <c:pt idx="1212">
                  <c:v>46034</c:v>
                </c:pt>
                <c:pt idx="1213">
                  <c:v>46035</c:v>
                </c:pt>
                <c:pt idx="1214">
                  <c:v>46036</c:v>
                </c:pt>
                <c:pt idx="1215">
                  <c:v>46037</c:v>
                </c:pt>
                <c:pt idx="1216">
                  <c:v>46038</c:v>
                </c:pt>
                <c:pt idx="1217">
                  <c:v>46041</c:v>
                </c:pt>
                <c:pt idx="1218">
                  <c:v>46042</c:v>
                </c:pt>
                <c:pt idx="1219">
                  <c:v>46043</c:v>
                </c:pt>
                <c:pt idx="1220">
                  <c:v>46044</c:v>
                </c:pt>
                <c:pt idx="1221">
                  <c:v>46045</c:v>
                </c:pt>
                <c:pt idx="1222">
                  <c:v>46048</c:v>
                </c:pt>
                <c:pt idx="1223">
                  <c:v>46049</c:v>
                </c:pt>
                <c:pt idx="1224">
                  <c:v>46050</c:v>
                </c:pt>
                <c:pt idx="1225">
                  <c:v>46051</c:v>
                </c:pt>
                <c:pt idx="1226">
                  <c:v>46052</c:v>
                </c:pt>
                <c:pt idx="1227">
                  <c:v>46055</c:v>
                </c:pt>
                <c:pt idx="1228">
                  <c:v>46056</c:v>
                </c:pt>
                <c:pt idx="1229">
                  <c:v>46057</c:v>
                </c:pt>
                <c:pt idx="1230">
                  <c:v>46058</c:v>
                </c:pt>
                <c:pt idx="1231">
                  <c:v>46059</c:v>
                </c:pt>
                <c:pt idx="1232">
                  <c:v>46062</c:v>
                </c:pt>
                <c:pt idx="1233">
                  <c:v>46063</c:v>
                </c:pt>
                <c:pt idx="1234">
                  <c:v>46064</c:v>
                </c:pt>
                <c:pt idx="1235">
                  <c:v>46065</c:v>
                </c:pt>
                <c:pt idx="1236">
                  <c:v>46066</c:v>
                </c:pt>
                <c:pt idx="1237">
                  <c:v>46076</c:v>
                </c:pt>
                <c:pt idx="1238">
                  <c:v>46077</c:v>
                </c:pt>
                <c:pt idx="1239">
                  <c:v>46078</c:v>
                </c:pt>
                <c:pt idx="1240">
                  <c:v>46079</c:v>
                </c:pt>
                <c:pt idx="1241">
                  <c:v>46080</c:v>
                </c:pt>
                <c:pt idx="1242">
                  <c:v>46083</c:v>
                </c:pt>
                <c:pt idx="1243">
                  <c:v>46084</c:v>
                </c:pt>
                <c:pt idx="1244">
                  <c:v>46085</c:v>
                </c:pt>
                <c:pt idx="1245">
                  <c:v>46086</c:v>
                </c:pt>
                <c:pt idx="1246">
                  <c:v>46087</c:v>
                </c:pt>
              </c:numCache>
            </c:numRef>
          </c:cat>
          <c:val>
            <c:numRef>
              <c:f>'FX Data'!$G$957:$G$2203</c:f>
              <c:numCache>
                <c:formatCode>0.0</c:formatCode>
                <c:ptCount val="1247"/>
                <c:pt idx="0">
                  <c:v>27.569559842869719</c:v>
                </c:pt>
                <c:pt idx="1">
                  <c:v>27.569559842869719</c:v>
                </c:pt>
                <c:pt idx="2">
                  <c:v>27.569559842869719</c:v>
                </c:pt>
                <c:pt idx="3">
                  <c:v>27.569559842869719</c:v>
                </c:pt>
                <c:pt idx="4">
                  <c:v>27.569559842869719</c:v>
                </c:pt>
                <c:pt idx="5">
                  <c:v>27.569559842869719</c:v>
                </c:pt>
                <c:pt idx="6">
                  <c:v>27.569559842869719</c:v>
                </c:pt>
                <c:pt idx="7">
                  <c:v>27.569559842869719</c:v>
                </c:pt>
                <c:pt idx="8">
                  <c:v>27.569559842869719</c:v>
                </c:pt>
                <c:pt idx="9">
                  <c:v>27.569559842869719</c:v>
                </c:pt>
                <c:pt idx="10">
                  <c:v>27.569559842869719</c:v>
                </c:pt>
                <c:pt idx="11">
                  <c:v>27.569559842869719</c:v>
                </c:pt>
                <c:pt idx="12">
                  <c:v>27.569559842869719</c:v>
                </c:pt>
                <c:pt idx="13">
                  <c:v>27.569559842869719</c:v>
                </c:pt>
                <c:pt idx="14">
                  <c:v>27.569559842869719</c:v>
                </c:pt>
                <c:pt idx="15">
                  <c:v>27.569559842869719</c:v>
                </c:pt>
                <c:pt idx="16">
                  <c:v>27.569559842869719</c:v>
                </c:pt>
                <c:pt idx="17">
                  <c:v>27.569559842869719</c:v>
                </c:pt>
                <c:pt idx="18">
                  <c:v>27.569559842869719</c:v>
                </c:pt>
                <c:pt idx="19">
                  <c:v>27.569559842869719</c:v>
                </c:pt>
                <c:pt idx="20">
                  <c:v>27.569559842869719</c:v>
                </c:pt>
                <c:pt idx="21">
                  <c:v>27.569559842869719</c:v>
                </c:pt>
                <c:pt idx="22">
                  <c:v>27.569559842869719</c:v>
                </c:pt>
                <c:pt idx="23">
                  <c:v>27.569559842869719</c:v>
                </c:pt>
                <c:pt idx="24">
                  <c:v>27.569559842869719</c:v>
                </c:pt>
                <c:pt idx="25">
                  <c:v>27.569559842869719</c:v>
                </c:pt>
                <c:pt idx="26">
                  <c:v>27.569559842869719</c:v>
                </c:pt>
                <c:pt idx="27">
                  <c:v>27.569559842869719</c:v>
                </c:pt>
                <c:pt idx="28">
                  <c:v>27.569559842869719</c:v>
                </c:pt>
                <c:pt idx="29">
                  <c:v>27.569559842869719</c:v>
                </c:pt>
                <c:pt idx="30">
                  <c:v>27.569559842869719</c:v>
                </c:pt>
                <c:pt idx="31">
                  <c:v>27.569559842869719</c:v>
                </c:pt>
                <c:pt idx="32">
                  <c:v>27.569559842869719</c:v>
                </c:pt>
                <c:pt idx="33">
                  <c:v>27.569559842869719</c:v>
                </c:pt>
                <c:pt idx="34">
                  <c:v>27.569559842869719</c:v>
                </c:pt>
                <c:pt idx="35">
                  <c:v>27.569559842869719</c:v>
                </c:pt>
                <c:pt idx="36">
                  <c:v>27.569559842869719</c:v>
                </c:pt>
                <c:pt idx="37">
                  <c:v>27.569559842869719</c:v>
                </c:pt>
                <c:pt idx="38">
                  <c:v>27.569559842869719</c:v>
                </c:pt>
                <c:pt idx="39">
                  <c:v>27.569559842869719</c:v>
                </c:pt>
                <c:pt idx="40">
                  <c:v>27.569559842869719</c:v>
                </c:pt>
                <c:pt idx="41">
                  <c:v>27.569559842869719</c:v>
                </c:pt>
                <c:pt idx="42">
                  <c:v>27.569559842869719</c:v>
                </c:pt>
                <c:pt idx="43">
                  <c:v>27.569559842869719</c:v>
                </c:pt>
                <c:pt idx="44">
                  <c:v>27.569559842869719</c:v>
                </c:pt>
                <c:pt idx="45">
                  <c:v>27.569559842869719</c:v>
                </c:pt>
                <c:pt idx="46">
                  <c:v>27.569559842869719</c:v>
                </c:pt>
                <c:pt idx="47">
                  <c:v>27.569559842869719</c:v>
                </c:pt>
                <c:pt idx="48">
                  <c:v>27.569559842869719</c:v>
                </c:pt>
                <c:pt idx="49">
                  <c:v>27.569559842869719</c:v>
                </c:pt>
                <c:pt idx="50">
                  <c:v>27.569559842869719</c:v>
                </c:pt>
                <c:pt idx="51">
                  <c:v>27.569559842869719</c:v>
                </c:pt>
                <c:pt idx="52">
                  <c:v>27.569559842869719</c:v>
                </c:pt>
                <c:pt idx="53">
                  <c:v>27.569559842869719</c:v>
                </c:pt>
                <c:pt idx="54">
                  <c:v>27.569559842869719</c:v>
                </c:pt>
                <c:pt idx="55">
                  <c:v>27.569559842869719</c:v>
                </c:pt>
                <c:pt idx="56">
                  <c:v>27.569559842869719</c:v>
                </c:pt>
                <c:pt idx="57">
                  <c:v>27.569559842869719</c:v>
                </c:pt>
                <c:pt idx="58">
                  <c:v>27.569559842869719</c:v>
                </c:pt>
                <c:pt idx="59">
                  <c:v>27.569559842869719</c:v>
                </c:pt>
                <c:pt idx="60">
                  <c:v>27.569559842869719</c:v>
                </c:pt>
                <c:pt idx="61">
                  <c:v>27.569559842869719</c:v>
                </c:pt>
                <c:pt idx="62">
                  <c:v>27.569559842869719</c:v>
                </c:pt>
                <c:pt idx="63">
                  <c:v>27.569559842869719</c:v>
                </c:pt>
                <c:pt idx="64">
                  <c:v>27.569559842869719</c:v>
                </c:pt>
                <c:pt idx="65">
                  <c:v>27.569559842869719</c:v>
                </c:pt>
                <c:pt idx="66">
                  <c:v>27.569559842869719</c:v>
                </c:pt>
                <c:pt idx="67">
                  <c:v>27.569559842869719</c:v>
                </c:pt>
                <c:pt idx="68">
                  <c:v>27.569559842869719</c:v>
                </c:pt>
                <c:pt idx="69">
                  <c:v>27.569559842869719</c:v>
                </c:pt>
                <c:pt idx="70">
                  <c:v>27.569559842869719</c:v>
                </c:pt>
                <c:pt idx="71">
                  <c:v>27.569559842869719</c:v>
                </c:pt>
                <c:pt idx="72">
                  <c:v>27.569559842869719</c:v>
                </c:pt>
                <c:pt idx="73">
                  <c:v>27.569559842869719</c:v>
                </c:pt>
                <c:pt idx="74">
                  <c:v>27.569559842869719</c:v>
                </c:pt>
                <c:pt idx="75">
                  <c:v>27.569559842869719</c:v>
                </c:pt>
                <c:pt idx="76">
                  <c:v>27.569559842869719</c:v>
                </c:pt>
                <c:pt idx="77">
                  <c:v>27.569559842869719</c:v>
                </c:pt>
                <c:pt idx="78">
                  <c:v>27.569559842869719</c:v>
                </c:pt>
                <c:pt idx="79">
                  <c:v>27.569559842869719</c:v>
                </c:pt>
                <c:pt idx="80">
                  <c:v>27.569559842869719</c:v>
                </c:pt>
                <c:pt idx="81">
                  <c:v>27.569559842869719</c:v>
                </c:pt>
                <c:pt idx="82">
                  <c:v>27.569559842869719</c:v>
                </c:pt>
                <c:pt idx="83">
                  <c:v>27.569559842869719</c:v>
                </c:pt>
                <c:pt idx="84">
                  <c:v>27.569559842869719</c:v>
                </c:pt>
                <c:pt idx="85">
                  <c:v>27.569559842869719</c:v>
                </c:pt>
                <c:pt idx="86">
                  <c:v>27.569559842869719</c:v>
                </c:pt>
                <c:pt idx="87">
                  <c:v>27.569559842869719</c:v>
                </c:pt>
                <c:pt idx="88">
                  <c:v>27.569559842869719</c:v>
                </c:pt>
                <c:pt idx="89">
                  <c:v>27.569559842869719</c:v>
                </c:pt>
                <c:pt idx="90">
                  <c:v>27.569559842869719</c:v>
                </c:pt>
                <c:pt idx="91">
                  <c:v>27.569559842869719</c:v>
                </c:pt>
                <c:pt idx="92">
                  <c:v>27.569559842869719</c:v>
                </c:pt>
                <c:pt idx="93">
                  <c:v>27.569559842869719</c:v>
                </c:pt>
                <c:pt idx="94">
                  <c:v>27.569559842869719</c:v>
                </c:pt>
                <c:pt idx="95">
                  <c:v>27.569559842869719</c:v>
                </c:pt>
                <c:pt idx="96">
                  <c:v>27.569559842869719</c:v>
                </c:pt>
                <c:pt idx="97">
                  <c:v>27.569559842869719</c:v>
                </c:pt>
                <c:pt idx="98">
                  <c:v>27.569559842869719</c:v>
                </c:pt>
                <c:pt idx="99">
                  <c:v>27.569559842869719</c:v>
                </c:pt>
                <c:pt idx="100">
                  <c:v>27.569559842869719</c:v>
                </c:pt>
                <c:pt idx="101">
                  <c:v>27.569559842869719</c:v>
                </c:pt>
                <c:pt idx="102">
                  <c:v>27.569559842869719</c:v>
                </c:pt>
                <c:pt idx="103">
                  <c:v>27.569559842869719</c:v>
                </c:pt>
                <c:pt idx="104">
                  <c:v>27.569559842869719</c:v>
                </c:pt>
                <c:pt idx="105">
                  <c:v>27.569559842869719</c:v>
                </c:pt>
                <c:pt idx="106">
                  <c:v>27.569559842869719</c:v>
                </c:pt>
                <c:pt idx="107">
                  <c:v>27.569559842869719</c:v>
                </c:pt>
                <c:pt idx="108">
                  <c:v>27.569559842869719</c:v>
                </c:pt>
                <c:pt idx="109">
                  <c:v>27.569559842869719</c:v>
                </c:pt>
                <c:pt idx="110">
                  <c:v>27.569559842869719</c:v>
                </c:pt>
                <c:pt idx="111">
                  <c:v>27.569559842869719</c:v>
                </c:pt>
                <c:pt idx="112">
                  <c:v>27.569559842869719</c:v>
                </c:pt>
                <c:pt idx="113">
                  <c:v>27.569559842869719</c:v>
                </c:pt>
                <c:pt idx="114">
                  <c:v>27.569559842869719</c:v>
                </c:pt>
                <c:pt idx="115">
                  <c:v>27.569559842869719</c:v>
                </c:pt>
                <c:pt idx="116">
                  <c:v>27.569559842869719</c:v>
                </c:pt>
                <c:pt idx="117">
                  <c:v>27.569559842869719</c:v>
                </c:pt>
                <c:pt idx="118">
                  <c:v>27.569559842869719</c:v>
                </c:pt>
                <c:pt idx="119">
                  <c:v>27.569559842869719</c:v>
                </c:pt>
                <c:pt idx="120">
                  <c:v>27.569559842869719</c:v>
                </c:pt>
                <c:pt idx="121">
                  <c:v>27.569559842869719</c:v>
                </c:pt>
                <c:pt idx="122">
                  <c:v>27.569559842869719</c:v>
                </c:pt>
                <c:pt idx="123">
                  <c:v>27.569559842869719</c:v>
                </c:pt>
                <c:pt idx="124">
                  <c:v>27.569559842869719</c:v>
                </c:pt>
                <c:pt idx="125">
                  <c:v>27.569559842869719</c:v>
                </c:pt>
                <c:pt idx="126">
                  <c:v>27.569559842869719</c:v>
                </c:pt>
                <c:pt idx="127">
                  <c:v>27.569559842869719</c:v>
                </c:pt>
                <c:pt idx="128">
                  <c:v>27.569559842869719</c:v>
                </c:pt>
                <c:pt idx="129">
                  <c:v>27.569559842869719</c:v>
                </c:pt>
                <c:pt idx="130">
                  <c:v>27.569559842869719</c:v>
                </c:pt>
                <c:pt idx="131">
                  <c:v>27.569559842869719</c:v>
                </c:pt>
                <c:pt idx="132">
                  <c:v>27.569559842869719</c:v>
                </c:pt>
                <c:pt idx="133">
                  <c:v>27.569559842869719</c:v>
                </c:pt>
                <c:pt idx="134">
                  <c:v>27.569559842869719</c:v>
                </c:pt>
                <c:pt idx="135">
                  <c:v>27.569559842869719</c:v>
                </c:pt>
                <c:pt idx="136">
                  <c:v>27.569559842869719</c:v>
                </c:pt>
                <c:pt idx="137">
                  <c:v>27.569559842869719</c:v>
                </c:pt>
                <c:pt idx="138">
                  <c:v>27.569559842869719</c:v>
                </c:pt>
                <c:pt idx="139">
                  <c:v>27.569559842869719</c:v>
                </c:pt>
                <c:pt idx="140">
                  <c:v>27.569559842869719</c:v>
                </c:pt>
                <c:pt idx="141">
                  <c:v>27.569559842869719</c:v>
                </c:pt>
                <c:pt idx="142">
                  <c:v>27.569559842869719</c:v>
                </c:pt>
                <c:pt idx="143">
                  <c:v>27.569559842869719</c:v>
                </c:pt>
                <c:pt idx="144">
                  <c:v>27.569559842869719</c:v>
                </c:pt>
                <c:pt idx="145">
                  <c:v>27.569559842869719</c:v>
                </c:pt>
                <c:pt idx="146">
                  <c:v>27.569559842869719</c:v>
                </c:pt>
                <c:pt idx="147">
                  <c:v>27.569559842869719</c:v>
                </c:pt>
                <c:pt idx="148">
                  <c:v>27.569559842869719</c:v>
                </c:pt>
                <c:pt idx="149">
                  <c:v>27.569559842869719</c:v>
                </c:pt>
                <c:pt idx="150">
                  <c:v>27.569559842869719</c:v>
                </c:pt>
                <c:pt idx="151">
                  <c:v>27.569559842869719</c:v>
                </c:pt>
                <c:pt idx="152">
                  <c:v>27.569559842869719</c:v>
                </c:pt>
                <c:pt idx="153">
                  <c:v>27.569559842869719</c:v>
                </c:pt>
                <c:pt idx="154">
                  <c:v>27.569559842869719</c:v>
                </c:pt>
                <c:pt idx="155">
                  <c:v>27.569559842869719</c:v>
                </c:pt>
                <c:pt idx="156">
                  <c:v>27.569559842869719</c:v>
                </c:pt>
                <c:pt idx="157">
                  <c:v>27.569559842869719</c:v>
                </c:pt>
                <c:pt idx="158">
                  <c:v>27.569559842869719</c:v>
                </c:pt>
                <c:pt idx="159">
                  <c:v>27.569559842869719</c:v>
                </c:pt>
                <c:pt idx="160">
                  <c:v>27.569559842869719</c:v>
                </c:pt>
                <c:pt idx="161">
                  <c:v>27.569559842869719</c:v>
                </c:pt>
                <c:pt idx="162">
                  <c:v>27.569559842869719</c:v>
                </c:pt>
                <c:pt idx="163">
                  <c:v>27.569559842869719</c:v>
                </c:pt>
                <c:pt idx="164">
                  <c:v>27.569559842869719</c:v>
                </c:pt>
                <c:pt idx="165">
                  <c:v>27.569559842869719</c:v>
                </c:pt>
                <c:pt idx="166">
                  <c:v>27.569559842869719</c:v>
                </c:pt>
                <c:pt idx="167">
                  <c:v>27.569559842869719</c:v>
                </c:pt>
                <c:pt idx="168">
                  <c:v>27.569559842869719</c:v>
                </c:pt>
                <c:pt idx="169">
                  <c:v>27.569559842869719</c:v>
                </c:pt>
                <c:pt idx="170">
                  <c:v>27.569559842869719</c:v>
                </c:pt>
                <c:pt idx="171">
                  <c:v>27.569559842869719</c:v>
                </c:pt>
                <c:pt idx="172">
                  <c:v>27.569559842869719</c:v>
                </c:pt>
                <c:pt idx="173">
                  <c:v>27.569559842869719</c:v>
                </c:pt>
                <c:pt idx="174">
                  <c:v>27.569559842869719</c:v>
                </c:pt>
                <c:pt idx="175">
                  <c:v>27.569559842869719</c:v>
                </c:pt>
                <c:pt idx="176">
                  <c:v>27.569559842869719</c:v>
                </c:pt>
                <c:pt idx="177">
                  <c:v>27.569559842869719</c:v>
                </c:pt>
                <c:pt idx="178">
                  <c:v>27.569559842869719</c:v>
                </c:pt>
                <c:pt idx="179">
                  <c:v>27.569559842869719</c:v>
                </c:pt>
                <c:pt idx="180">
                  <c:v>27.569559842869719</c:v>
                </c:pt>
                <c:pt idx="181">
                  <c:v>27.569559842869719</c:v>
                </c:pt>
                <c:pt idx="182">
                  <c:v>27.569559842869719</c:v>
                </c:pt>
                <c:pt idx="183">
                  <c:v>27.569559842869719</c:v>
                </c:pt>
                <c:pt idx="184">
                  <c:v>27.569559842869719</c:v>
                </c:pt>
                <c:pt idx="185">
                  <c:v>27.569559842869719</c:v>
                </c:pt>
                <c:pt idx="186">
                  <c:v>27.569559842869719</c:v>
                </c:pt>
                <c:pt idx="187">
                  <c:v>27.569559842869719</c:v>
                </c:pt>
                <c:pt idx="188">
                  <c:v>27.569559842869719</c:v>
                </c:pt>
                <c:pt idx="189">
                  <c:v>27.569559842869719</c:v>
                </c:pt>
                <c:pt idx="190">
                  <c:v>27.569559842869719</c:v>
                </c:pt>
                <c:pt idx="191">
                  <c:v>27.569559842869719</c:v>
                </c:pt>
                <c:pt idx="192">
                  <c:v>27.569559842869719</c:v>
                </c:pt>
                <c:pt idx="193">
                  <c:v>27.569559842869719</c:v>
                </c:pt>
                <c:pt idx="194">
                  <c:v>27.569559842869719</c:v>
                </c:pt>
                <c:pt idx="195">
                  <c:v>27.569559842869719</c:v>
                </c:pt>
                <c:pt idx="196">
                  <c:v>27.569559842869719</c:v>
                </c:pt>
                <c:pt idx="197">
                  <c:v>27.569559842869719</c:v>
                </c:pt>
                <c:pt idx="198">
                  <c:v>27.569559842869719</c:v>
                </c:pt>
                <c:pt idx="199">
                  <c:v>27.569559842869719</c:v>
                </c:pt>
                <c:pt idx="200">
                  <c:v>27.569559842869719</c:v>
                </c:pt>
                <c:pt idx="201">
                  <c:v>27.569559842869719</c:v>
                </c:pt>
                <c:pt idx="202">
                  <c:v>27.569559842869719</c:v>
                </c:pt>
                <c:pt idx="203">
                  <c:v>27.569559842869719</c:v>
                </c:pt>
                <c:pt idx="204">
                  <c:v>27.569559842869719</c:v>
                </c:pt>
                <c:pt idx="205">
                  <c:v>27.569559842869719</c:v>
                </c:pt>
                <c:pt idx="206">
                  <c:v>27.569559842869719</c:v>
                </c:pt>
                <c:pt idx="207">
                  <c:v>27.569559842869719</c:v>
                </c:pt>
                <c:pt idx="208">
                  <c:v>27.569559842869719</c:v>
                </c:pt>
                <c:pt idx="209">
                  <c:v>27.569559842869719</c:v>
                </c:pt>
                <c:pt idx="210">
                  <c:v>27.569559842869719</c:v>
                </c:pt>
                <c:pt idx="211">
                  <c:v>27.569559842869719</c:v>
                </c:pt>
                <c:pt idx="212">
                  <c:v>27.569559842869719</c:v>
                </c:pt>
                <c:pt idx="213">
                  <c:v>27.569559842869719</c:v>
                </c:pt>
                <c:pt idx="214">
                  <c:v>27.569559842869719</c:v>
                </c:pt>
                <c:pt idx="215">
                  <c:v>27.569559842869719</c:v>
                </c:pt>
                <c:pt idx="216">
                  <c:v>27.569559842869719</c:v>
                </c:pt>
                <c:pt idx="217">
                  <c:v>27.569559842869719</c:v>
                </c:pt>
                <c:pt idx="218">
                  <c:v>27.569559842869719</c:v>
                </c:pt>
                <c:pt idx="219">
                  <c:v>27.569559842869719</c:v>
                </c:pt>
                <c:pt idx="220">
                  <c:v>27.569559842869719</c:v>
                </c:pt>
                <c:pt idx="221">
                  <c:v>27.569559842869719</c:v>
                </c:pt>
                <c:pt idx="222">
                  <c:v>27.569559842869719</c:v>
                </c:pt>
                <c:pt idx="223">
                  <c:v>27.569559842869719</c:v>
                </c:pt>
                <c:pt idx="224">
                  <c:v>27.569559842869719</c:v>
                </c:pt>
                <c:pt idx="225">
                  <c:v>27.569559842869719</c:v>
                </c:pt>
                <c:pt idx="226">
                  <c:v>27.569559842869719</c:v>
                </c:pt>
                <c:pt idx="227">
                  <c:v>27.569559842869719</c:v>
                </c:pt>
                <c:pt idx="228">
                  <c:v>27.569559842869719</c:v>
                </c:pt>
                <c:pt idx="229">
                  <c:v>27.569559842869719</c:v>
                </c:pt>
                <c:pt idx="230">
                  <c:v>27.569559842869719</c:v>
                </c:pt>
                <c:pt idx="231">
                  <c:v>27.569559842869719</c:v>
                </c:pt>
                <c:pt idx="232">
                  <c:v>27.569559842869719</c:v>
                </c:pt>
                <c:pt idx="233">
                  <c:v>27.569559842869719</c:v>
                </c:pt>
                <c:pt idx="234">
                  <c:v>27.569559842869719</c:v>
                </c:pt>
                <c:pt idx="235">
                  <c:v>27.569559842869719</c:v>
                </c:pt>
                <c:pt idx="236">
                  <c:v>27.569559842869719</c:v>
                </c:pt>
                <c:pt idx="237">
                  <c:v>27.569559842869719</c:v>
                </c:pt>
                <c:pt idx="238">
                  <c:v>27.569559842869719</c:v>
                </c:pt>
                <c:pt idx="239">
                  <c:v>27.569559842869719</c:v>
                </c:pt>
                <c:pt idx="240">
                  <c:v>27.569559842869719</c:v>
                </c:pt>
                <c:pt idx="241">
                  <c:v>27.569559842869719</c:v>
                </c:pt>
                <c:pt idx="242">
                  <c:v>27.569559842869719</c:v>
                </c:pt>
                <c:pt idx="243">
                  <c:v>27.569559842869719</c:v>
                </c:pt>
                <c:pt idx="244">
                  <c:v>27.569559842869719</c:v>
                </c:pt>
                <c:pt idx="245">
                  <c:v>27.569559842869719</c:v>
                </c:pt>
                <c:pt idx="246">
                  <c:v>27.569559842869719</c:v>
                </c:pt>
                <c:pt idx="247">
                  <c:v>27.569559842869719</c:v>
                </c:pt>
                <c:pt idx="248">
                  <c:v>27.569559842869719</c:v>
                </c:pt>
                <c:pt idx="249">
                  <c:v>27.569559842869719</c:v>
                </c:pt>
                <c:pt idx="250">
                  <c:v>27.569559842869719</c:v>
                </c:pt>
                <c:pt idx="251">
                  <c:v>27.569559842869719</c:v>
                </c:pt>
                <c:pt idx="252">
                  <c:v>27.569559842869719</c:v>
                </c:pt>
                <c:pt idx="253">
                  <c:v>27.569559842869719</c:v>
                </c:pt>
                <c:pt idx="254">
                  <c:v>27.569559842869719</c:v>
                </c:pt>
                <c:pt idx="255">
                  <c:v>27.569559842869719</c:v>
                </c:pt>
                <c:pt idx="256">
                  <c:v>27.569559842869719</c:v>
                </c:pt>
                <c:pt idx="257">
                  <c:v>27.569559842869719</c:v>
                </c:pt>
                <c:pt idx="258">
                  <c:v>27.569559842869719</c:v>
                </c:pt>
                <c:pt idx="259">
                  <c:v>27.569559842869719</c:v>
                </c:pt>
                <c:pt idx="260">
                  <c:v>27.569559842869719</c:v>
                </c:pt>
                <c:pt idx="261">
                  <c:v>27.569559842869719</c:v>
                </c:pt>
                <c:pt idx="262">
                  <c:v>27.569559842869719</c:v>
                </c:pt>
                <c:pt idx="263">
                  <c:v>27.569559842869719</c:v>
                </c:pt>
                <c:pt idx="264">
                  <c:v>27.569559842869719</c:v>
                </c:pt>
                <c:pt idx="265">
                  <c:v>27.569559842869719</c:v>
                </c:pt>
                <c:pt idx="266">
                  <c:v>27.569559842869719</c:v>
                </c:pt>
                <c:pt idx="267">
                  <c:v>27.569559842869719</c:v>
                </c:pt>
                <c:pt idx="268">
                  <c:v>27.569559842869719</c:v>
                </c:pt>
                <c:pt idx="269">
                  <c:v>27.569559842869719</c:v>
                </c:pt>
                <c:pt idx="270">
                  <c:v>27.569559842869719</c:v>
                </c:pt>
                <c:pt idx="271">
                  <c:v>27.569559842869719</c:v>
                </c:pt>
                <c:pt idx="272">
                  <c:v>27.569559842869719</c:v>
                </c:pt>
                <c:pt idx="273">
                  <c:v>27.569559842869719</c:v>
                </c:pt>
                <c:pt idx="274">
                  <c:v>27.569559842869719</c:v>
                </c:pt>
                <c:pt idx="275">
                  <c:v>27.569559842869719</c:v>
                </c:pt>
                <c:pt idx="276">
                  <c:v>27.569559842869719</c:v>
                </c:pt>
                <c:pt idx="277">
                  <c:v>27.569559842869719</c:v>
                </c:pt>
                <c:pt idx="278">
                  <c:v>27.569559842869719</c:v>
                </c:pt>
                <c:pt idx="279">
                  <c:v>27.569559842869719</c:v>
                </c:pt>
                <c:pt idx="280">
                  <c:v>27.569559842869719</c:v>
                </c:pt>
                <c:pt idx="281">
                  <c:v>27.569559842869719</c:v>
                </c:pt>
                <c:pt idx="282">
                  <c:v>27.569559842869719</c:v>
                </c:pt>
                <c:pt idx="283">
                  <c:v>27.569559842869719</c:v>
                </c:pt>
                <c:pt idx="284">
                  <c:v>27.569559842869719</c:v>
                </c:pt>
                <c:pt idx="285">
                  <c:v>27.569559842869719</c:v>
                </c:pt>
                <c:pt idx="286">
                  <c:v>27.569559842869719</c:v>
                </c:pt>
                <c:pt idx="287">
                  <c:v>27.569559842869719</c:v>
                </c:pt>
                <c:pt idx="288">
                  <c:v>27.569559842869719</c:v>
                </c:pt>
                <c:pt idx="289">
                  <c:v>27.569559842869719</c:v>
                </c:pt>
                <c:pt idx="290">
                  <c:v>27.569559842869719</c:v>
                </c:pt>
                <c:pt idx="291">
                  <c:v>27.569559842869719</c:v>
                </c:pt>
                <c:pt idx="292">
                  <c:v>27.569559842869719</c:v>
                </c:pt>
                <c:pt idx="293">
                  <c:v>27.569559842869719</c:v>
                </c:pt>
                <c:pt idx="294">
                  <c:v>27.569559842869719</c:v>
                </c:pt>
                <c:pt idx="295">
                  <c:v>27.569559842869719</c:v>
                </c:pt>
                <c:pt idx="296">
                  <c:v>27.569559842869719</c:v>
                </c:pt>
                <c:pt idx="297">
                  <c:v>27.569559842869719</c:v>
                </c:pt>
                <c:pt idx="298">
                  <c:v>27.569559842869719</c:v>
                </c:pt>
                <c:pt idx="299">
                  <c:v>27.569559842869719</c:v>
                </c:pt>
                <c:pt idx="300">
                  <c:v>27.569559842869719</c:v>
                </c:pt>
                <c:pt idx="301">
                  <c:v>27.569559842869719</c:v>
                </c:pt>
                <c:pt idx="302">
                  <c:v>27.569559842869719</c:v>
                </c:pt>
                <c:pt idx="303">
                  <c:v>27.569559842869719</c:v>
                </c:pt>
                <c:pt idx="304">
                  <c:v>27.569559842869719</c:v>
                </c:pt>
                <c:pt idx="305">
                  <c:v>27.569559842869719</c:v>
                </c:pt>
                <c:pt idx="306">
                  <c:v>27.569559842869719</c:v>
                </c:pt>
                <c:pt idx="307">
                  <c:v>27.569559842869719</c:v>
                </c:pt>
                <c:pt idx="308">
                  <c:v>27.569559842869719</c:v>
                </c:pt>
                <c:pt idx="309">
                  <c:v>27.569559842869719</c:v>
                </c:pt>
                <c:pt idx="310">
                  <c:v>27.569559842869719</c:v>
                </c:pt>
                <c:pt idx="311">
                  <c:v>27.569559842869719</c:v>
                </c:pt>
                <c:pt idx="312">
                  <c:v>27.569559842869719</c:v>
                </c:pt>
                <c:pt idx="313">
                  <c:v>27.569559842869719</c:v>
                </c:pt>
                <c:pt idx="314">
                  <c:v>27.569559842869719</c:v>
                </c:pt>
                <c:pt idx="315">
                  <c:v>27.569559842869719</c:v>
                </c:pt>
                <c:pt idx="316">
                  <c:v>27.569559842869719</c:v>
                </c:pt>
                <c:pt idx="317">
                  <c:v>27.569559842869719</c:v>
                </c:pt>
                <c:pt idx="318">
                  <c:v>27.569559842869719</c:v>
                </c:pt>
                <c:pt idx="319">
                  <c:v>27.569559842869719</c:v>
                </c:pt>
                <c:pt idx="320">
                  <c:v>27.569559842869719</c:v>
                </c:pt>
                <c:pt idx="321">
                  <c:v>27.569559842869719</c:v>
                </c:pt>
                <c:pt idx="322">
                  <c:v>27.569559842869719</c:v>
                </c:pt>
                <c:pt idx="323">
                  <c:v>27.569559842869719</c:v>
                </c:pt>
                <c:pt idx="324">
                  <c:v>27.569559842869719</c:v>
                </c:pt>
                <c:pt idx="325">
                  <c:v>27.569559842869719</c:v>
                </c:pt>
                <c:pt idx="326">
                  <c:v>27.569559842869719</c:v>
                </c:pt>
                <c:pt idx="327">
                  <c:v>27.569559842869719</c:v>
                </c:pt>
                <c:pt idx="328">
                  <c:v>27.569559842869719</c:v>
                </c:pt>
                <c:pt idx="329">
                  <c:v>27.569559842869719</c:v>
                </c:pt>
                <c:pt idx="330">
                  <c:v>27.569559842869719</c:v>
                </c:pt>
                <c:pt idx="331">
                  <c:v>27.569559842869719</c:v>
                </c:pt>
                <c:pt idx="332">
                  <c:v>27.569559842869719</c:v>
                </c:pt>
                <c:pt idx="333">
                  <c:v>27.569559842869719</c:v>
                </c:pt>
                <c:pt idx="334">
                  <c:v>27.569559842869719</c:v>
                </c:pt>
                <c:pt idx="335">
                  <c:v>27.569559842869719</c:v>
                </c:pt>
                <c:pt idx="336">
                  <c:v>27.569559842869719</c:v>
                </c:pt>
                <c:pt idx="337">
                  <c:v>27.569559842869719</c:v>
                </c:pt>
                <c:pt idx="338">
                  <c:v>27.569559842869719</c:v>
                </c:pt>
                <c:pt idx="339">
                  <c:v>27.569559842869719</c:v>
                </c:pt>
                <c:pt idx="340">
                  <c:v>27.569559842869719</c:v>
                </c:pt>
                <c:pt idx="341">
                  <c:v>27.569559842869719</c:v>
                </c:pt>
                <c:pt idx="342">
                  <c:v>27.569559842869719</c:v>
                </c:pt>
                <c:pt idx="343">
                  <c:v>27.569559842869719</c:v>
                </c:pt>
                <c:pt idx="344">
                  <c:v>27.569559842869719</c:v>
                </c:pt>
                <c:pt idx="345">
                  <c:v>27.569559842869719</c:v>
                </c:pt>
                <c:pt idx="346">
                  <c:v>27.569559842869719</c:v>
                </c:pt>
                <c:pt idx="347">
                  <c:v>27.569559842869719</c:v>
                </c:pt>
                <c:pt idx="348">
                  <c:v>27.569559842869719</c:v>
                </c:pt>
                <c:pt idx="349">
                  <c:v>27.569559842869719</c:v>
                </c:pt>
                <c:pt idx="350">
                  <c:v>27.569559842869719</c:v>
                </c:pt>
                <c:pt idx="351">
                  <c:v>27.569559842869719</c:v>
                </c:pt>
                <c:pt idx="352">
                  <c:v>27.569559842869719</c:v>
                </c:pt>
                <c:pt idx="353">
                  <c:v>27.569559842869719</c:v>
                </c:pt>
                <c:pt idx="354">
                  <c:v>27.569559842869719</c:v>
                </c:pt>
                <c:pt idx="355">
                  <c:v>27.569559842869719</c:v>
                </c:pt>
                <c:pt idx="356">
                  <c:v>27.569559842869719</c:v>
                </c:pt>
                <c:pt idx="357">
                  <c:v>27.569559842869719</c:v>
                </c:pt>
                <c:pt idx="358">
                  <c:v>27.569559842869719</c:v>
                </c:pt>
                <c:pt idx="359">
                  <c:v>27.569559842869719</c:v>
                </c:pt>
                <c:pt idx="360">
                  <c:v>27.569559842869719</c:v>
                </c:pt>
                <c:pt idx="361">
                  <c:v>27.569559842869719</c:v>
                </c:pt>
                <c:pt idx="362">
                  <c:v>27.569559842869719</c:v>
                </c:pt>
                <c:pt idx="363">
                  <c:v>27.569559842869719</c:v>
                </c:pt>
                <c:pt idx="364">
                  <c:v>27.569559842869719</c:v>
                </c:pt>
                <c:pt idx="365">
                  <c:v>27.569559842869719</c:v>
                </c:pt>
                <c:pt idx="366">
                  <c:v>27.569559842869719</c:v>
                </c:pt>
                <c:pt idx="367">
                  <c:v>27.569559842869719</c:v>
                </c:pt>
                <c:pt idx="368">
                  <c:v>27.569559842869719</c:v>
                </c:pt>
                <c:pt idx="369">
                  <c:v>27.569559842869719</c:v>
                </c:pt>
                <c:pt idx="370">
                  <c:v>27.569559842869719</c:v>
                </c:pt>
                <c:pt idx="371">
                  <c:v>27.569559842869719</c:v>
                </c:pt>
                <c:pt idx="372">
                  <c:v>27.569559842869719</c:v>
                </c:pt>
                <c:pt idx="373">
                  <c:v>27.569559842869719</c:v>
                </c:pt>
                <c:pt idx="374">
                  <c:v>27.569559842869719</c:v>
                </c:pt>
                <c:pt idx="375">
                  <c:v>27.569559842869719</c:v>
                </c:pt>
                <c:pt idx="376">
                  <c:v>27.569559842869719</c:v>
                </c:pt>
                <c:pt idx="377">
                  <c:v>27.569559842869719</c:v>
                </c:pt>
                <c:pt idx="378">
                  <c:v>27.569559842869719</c:v>
                </c:pt>
                <c:pt idx="379">
                  <c:v>27.569559842869719</c:v>
                </c:pt>
                <c:pt idx="380">
                  <c:v>27.569559842869719</c:v>
                </c:pt>
                <c:pt idx="381">
                  <c:v>27.569559842869719</c:v>
                </c:pt>
                <c:pt idx="382">
                  <c:v>27.569559842869719</c:v>
                </c:pt>
                <c:pt idx="383">
                  <c:v>27.569559842869719</c:v>
                </c:pt>
                <c:pt idx="384">
                  <c:v>27.569559842869719</c:v>
                </c:pt>
                <c:pt idx="385">
                  <c:v>27.569559842869719</c:v>
                </c:pt>
                <c:pt idx="386">
                  <c:v>27.569559842869719</c:v>
                </c:pt>
                <c:pt idx="387">
                  <c:v>27.569559842869719</c:v>
                </c:pt>
                <c:pt idx="388">
                  <c:v>27.569559842869719</c:v>
                </c:pt>
                <c:pt idx="389">
                  <c:v>27.569559842869719</c:v>
                </c:pt>
                <c:pt idx="390">
                  <c:v>27.569559842869719</c:v>
                </c:pt>
                <c:pt idx="391">
                  <c:v>27.569559842869719</c:v>
                </c:pt>
                <c:pt idx="392">
                  <c:v>27.569559842869719</c:v>
                </c:pt>
                <c:pt idx="393">
                  <c:v>27.569559842869719</c:v>
                </c:pt>
                <c:pt idx="394">
                  <c:v>27.569559842869719</c:v>
                </c:pt>
                <c:pt idx="395">
                  <c:v>27.569559842869719</c:v>
                </c:pt>
                <c:pt idx="396">
                  <c:v>27.569559842869719</c:v>
                </c:pt>
                <c:pt idx="397">
                  <c:v>27.569559842869719</c:v>
                </c:pt>
                <c:pt idx="398">
                  <c:v>27.569559842869719</c:v>
                </c:pt>
                <c:pt idx="399">
                  <c:v>27.569559842869719</c:v>
                </c:pt>
                <c:pt idx="400">
                  <c:v>27.569559842869719</c:v>
                </c:pt>
                <c:pt idx="401">
                  <c:v>27.569559842869719</c:v>
                </c:pt>
                <c:pt idx="402">
                  <c:v>27.569559842869719</c:v>
                </c:pt>
                <c:pt idx="403">
                  <c:v>27.569559842869719</c:v>
                </c:pt>
                <c:pt idx="404">
                  <c:v>27.569559842869719</c:v>
                </c:pt>
                <c:pt idx="405">
                  <c:v>27.569559842869719</c:v>
                </c:pt>
                <c:pt idx="406">
                  <c:v>27.569559842869719</c:v>
                </c:pt>
                <c:pt idx="407">
                  <c:v>27.569559842869719</c:v>
                </c:pt>
                <c:pt idx="408">
                  <c:v>27.569559842869719</c:v>
                </c:pt>
                <c:pt idx="409">
                  <c:v>27.569559842869719</c:v>
                </c:pt>
                <c:pt idx="410">
                  <c:v>27.569559842869719</c:v>
                </c:pt>
                <c:pt idx="411">
                  <c:v>27.569559842869719</c:v>
                </c:pt>
                <c:pt idx="412">
                  <c:v>27.569559842869719</c:v>
                </c:pt>
                <c:pt idx="413">
                  <c:v>27.569559842869719</c:v>
                </c:pt>
                <c:pt idx="414">
                  <c:v>27.569559842869719</c:v>
                </c:pt>
                <c:pt idx="415">
                  <c:v>27.569559842869719</c:v>
                </c:pt>
                <c:pt idx="416">
                  <c:v>27.569559842869719</c:v>
                </c:pt>
                <c:pt idx="417">
                  <c:v>27.569559842869719</c:v>
                </c:pt>
                <c:pt idx="418">
                  <c:v>27.569559842869719</c:v>
                </c:pt>
                <c:pt idx="419">
                  <c:v>27.569559842869719</c:v>
                </c:pt>
                <c:pt idx="420">
                  <c:v>27.569559842869719</c:v>
                </c:pt>
                <c:pt idx="421">
                  <c:v>27.569559842869719</c:v>
                </c:pt>
                <c:pt idx="422">
                  <c:v>27.569559842869719</c:v>
                </c:pt>
                <c:pt idx="423">
                  <c:v>27.569559842869719</c:v>
                </c:pt>
                <c:pt idx="424">
                  <c:v>27.569559842869719</c:v>
                </c:pt>
                <c:pt idx="425">
                  <c:v>27.569559842869719</c:v>
                </c:pt>
                <c:pt idx="426">
                  <c:v>27.569559842869719</c:v>
                </c:pt>
                <c:pt idx="427">
                  <c:v>27.569559842869719</c:v>
                </c:pt>
                <c:pt idx="428">
                  <c:v>27.569559842869719</c:v>
                </c:pt>
                <c:pt idx="429">
                  <c:v>27.569559842869719</c:v>
                </c:pt>
                <c:pt idx="430">
                  <c:v>27.569559842869719</c:v>
                </c:pt>
                <c:pt idx="431">
                  <c:v>27.569559842869719</c:v>
                </c:pt>
                <c:pt idx="432">
                  <c:v>27.569559842869719</c:v>
                </c:pt>
                <c:pt idx="433">
                  <c:v>27.569559842869719</c:v>
                </c:pt>
                <c:pt idx="434">
                  <c:v>27.569559842869719</c:v>
                </c:pt>
                <c:pt idx="435">
                  <c:v>27.569559842869719</c:v>
                </c:pt>
                <c:pt idx="436">
                  <c:v>27.569559842869719</c:v>
                </c:pt>
                <c:pt idx="437">
                  <c:v>27.569559842869719</c:v>
                </c:pt>
                <c:pt idx="438">
                  <c:v>27.569559842869719</c:v>
                </c:pt>
                <c:pt idx="439">
                  <c:v>27.569559842869719</c:v>
                </c:pt>
                <c:pt idx="440">
                  <c:v>27.569559842869719</c:v>
                </c:pt>
                <c:pt idx="441">
                  <c:v>27.569559842869719</c:v>
                </c:pt>
                <c:pt idx="442">
                  <c:v>27.569559842869719</c:v>
                </c:pt>
                <c:pt idx="443">
                  <c:v>27.569559842869719</c:v>
                </c:pt>
                <c:pt idx="444">
                  <c:v>27.569559842869719</c:v>
                </c:pt>
                <c:pt idx="445">
                  <c:v>27.569559842869719</c:v>
                </c:pt>
                <c:pt idx="446">
                  <c:v>27.569559842869719</c:v>
                </c:pt>
                <c:pt idx="447">
                  <c:v>27.569559842869719</c:v>
                </c:pt>
                <c:pt idx="448">
                  <c:v>27.569559842869719</c:v>
                </c:pt>
                <c:pt idx="449">
                  <c:v>27.569559842869719</c:v>
                </c:pt>
                <c:pt idx="450">
                  <c:v>27.569559842869719</c:v>
                </c:pt>
                <c:pt idx="451">
                  <c:v>27.569559842869719</c:v>
                </c:pt>
                <c:pt idx="452">
                  <c:v>27.569559842869719</c:v>
                </c:pt>
                <c:pt idx="453">
                  <c:v>27.569559842869719</c:v>
                </c:pt>
                <c:pt idx="454">
                  <c:v>27.569559842869719</c:v>
                </c:pt>
                <c:pt idx="455">
                  <c:v>27.569559842869719</c:v>
                </c:pt>
                <c:pt idx="456">
                  <c:v>27.569559842869719</c:v>
                </c:pt>
                <c:pt idx="457">
                  <c:v>27.569559842869719</c:v>
                </c:pt>
                <c:pt idx="458">
                  <c:v>27.569559842869719</c:v>
                </c:pt>
                <c:pt idx="459">
                  <c:v>27.569559842869719</c:v>
                </c:pt>
                <c:pt idx="460">
                  <c:v>27.569559842869719</c:v>
                </c:pt>
                <c:pt idx="461">
                  <c:v>27.569559842869719</c:v>
                </c:pt>
                <c:pt idx="462">
                  <c:v>27.569559842869719</c:v>
                </c:pt>
                <c:pt idx="463">
                  <c:v>27.569559842869719</c:v>
                </c:pt>
                <c:pt idx="464">
                  <c:v>27.569559842869719</c:v>
                </c:pt>
                <c:pt idx="465">
                  <c:v>27.569559842869719</c:v>
                </c:pt>
                <c:pt idx="466">
                  <c:v>27.569559842869719</c:v>
                </c:pt>
                <c:pt idx="467">
                  <c:v>27.569559842869719</c:v>
                </c:pt>
                <c:pt idx="468">
                  <c:v>27.569559842869719</c:v>
                </c:pt>
                <c:pt idx="469">
                  <c:v>27.569559842869719</c:v>
                </c:pt>
                <c:pt idx="470">
                  <c:v>27.569559842869719</c:v>
                </c:pt>
                <c:pt idx="471">
                  <c:v>27.569559842869719</c:v>
                </c:pt>
                <c:pt idx="472">
                  <c:v>27.569559842869719</c:v>
                </c:pt>
                <c:pt idx="473">
                  <c:v>27.569559842869719</c:v>
                </c:pt>
                <c:pt idx="474">
                  <c:v>27.569559842869719</c:v>
                </c:pt>
                <c:pt idx="475">
                  <c:v>27.569559842869719</c:v>
                </c:pt>
                <c:pt idx="476">
                  <c:v>27.569559842869719</c:v>
                </c:pt>
                <c:pt idx="477">
                  <c:v>27.569559842869719</c:v>
                </c:pt>
                <c:pt idx="478">
                  <c:v>27.569559842869719</c:v>
                </c:pt>
                <c:pt idx="479">
                  <c:v>27.569559842869719</c:v>
                </c:pt>
                <c:pt idx="480">
                  <c:v>27.569559842869719</c:v>
                </c:pt>
                <c:pt idx="481">
                  <c:v>27.569559842869719</c:v>
                </c:pt>
                <c:pt idx="482">
                  <c:v>27.569559842869719</c:v>
                </c:pt>
                <c:pt idx="483">
                  <c:v>27.569559842869719</c:v>
                </c:pt>
                <c:pt idx="484">
                  <c:v>27.569559842869719</c:v>
                </c:pt>
                <c:pt idx="485">
                  <c:v>27.569559842869719</c:v>
                </c:pt>
                <c:pt idx="486">
                  <c:v>27.569559842869719</c:v>
                </c:pt>
                <c:pt idx="487">
                  <c:v>27.569559842869719</c:v>
                </c:pt>
                <c:pt idx="488">
                  <c:v>27.569559842869719</c:v>
                </c:pt>
                <c:pt idx="489">
                  <c:v>27.569559842869719</c:v>
                </c:pt>
                <c:pt idx="490">
                  <c:v>27.569559842869719</c:v>
                </c:pt>
                <c:pt idx="491">
                  <c:v>27.569559842869719</c:v>
                </c:pt>
                <c:pt idx="492">
                  <c:v>27.569559842869719</c:v>
                </c:pt>
                <c:pt idx="493">
                  <c:v>27.569559842869719</c:v>
                </c:pt>
                <c:pt idx="494">
                  <c:v>27.569559842869719</c:v>
                </c:pt>
                <c:pt idx="495">
                  <c:v>27.569559842869719</c:v>
                </c:pt>
                <c:pt idx="496">
                  <c:v>27.569559842869719</c:v>
                </c:pt>
                <c:pt idx="497">
                  <c:v>27.569559842869719</c:v>
                </c:pt>
                <c:pt idx="498">
                  <c:v>27.569559842869719</c:v>
                </c:pt>
                <c:pt idx="499">
                  <c:v>27.569559842869719</c:v>
                </c:pt>
                <c:pt idx="500">
                  <c:v>27.569559842869719</c:v>
                </c:pt>
                <c:pt idx="501">
                  <c:v>27.569559842869719</c:v>
                </c:pt>
                <c:pt idx="502">
                  <c:v>27.569559842869719</c:v>
                </c:pt>
                <c:pt idx="503">
                  <c:v>27.569559842869719</c:v>
                </c:pt>
                <c:pt idx="504">
                  <c:v>27.569559842869719</c:v>
                </c:pt>
                <c:pt idx="505">
                  <c:v>27.569559842869719</c:v>
                </c:pt>
                <c:pt idx="506">
                  <c:v>27.569559842869719</c:v>
                </c:pt>
                <c:pt idx="507">
                  <c:v>27.569559842869719</c:v>
                </c:pt>
                <c:pt idx="508">
                  <c:v>27.569559842869719</c:v>
                </c:pt>
                <c:pt idx="509">
                  <c:v>27.569559842869719</c:v>
                </c:pt>
                <c:pt idx="510">
                  <c:v>27.569559842869719</c:v>
                </c:pt>
                <c:pt idx="511">
                  <c:v>27.569559842869719</c:v>
                </c:pt>
                <c:pt idx="512">
                  <c:v>27.569559842869719</c:v>
                </c:pt>
                <c:pt idx="513">
                  <c:v>27.569559842869719</c:v>
                </c:pt>
                <c:pt idx="514">
                  <c:v>27.569559842869719</c:v>
                </c:pt>
                <c:pt idx="515">
                  <c:v>27.569559842869719</c:v>
                </c:pt>
                <c:pt idx="516">
                  <c:v>27.569559842869719</c:v>
                </c:pt>
                <c:pt idx="517">
                  <c:v>27.569559842869719</c:v>
                </c:pt>
                <c:pt idx="518">
                  <c:v>27.569559842869719</c:v>
                </c:pt>
                <c:pt idx="519">
                  <c:v>27.569559842869719</c:v>
                </c:pt>
                <c:pt idx="520">
                  <c:v>27.569559842869719</c:v>
                </c:pt>
                <c:pt idx="521">
                  <c:v>27.569559842869719</c:v>
                </c:pt>
                <c:pt idx="522">
                  <c:v>27.569559842869719</c:v>
                </c:pt>
                <c:pt idx="523">
                  <c:v>27.569559842869719</c:v>
                </c:pt>
                <c:pt idx="524">
                  <c:v>27.569559842869719</c:v>
                </c:pt>
                <c:pt idx="525">
                  <c:v>27.569559842869719</c:v>
                </c:pt>
                <c:pt idx="526">
                  <c:v>27.569559842869719</c:v>
                </c:pt>
                <c:pt idx="527">
                  <c:v>27.569559842869719</c:v>
                </c:pt>
                <c:pt idx="528">
                  <c:v>27.569559842869719</c:v>
                </c:pt>
                <c:pt idx="529">
                  <c:v>27.569559842869719</c:v>
                </c:pt>
                <c:pt idx="530">
                  <c:v>27.569559842869719</c:v>
                </c:pt>
                <c:pt idx="531">
                  <c:v>27.569559842869719</c:v>
                </c:pt>
                <c:pt idx="532">
                  <c:v>27.569559842869719</c:v>
                </c:pt>
                <c:pt idx="533">
                  <c:v>27.569559842869719</c:v>
                </c:pt>
                <c:pt idx="534">
                  <c:v>27.569559842869719</c:v>
                </c:pt>
                <c:pt idx="535">
                  <c:v>27.569559842869719</c:v>
                </c:pt>
                <c:pt idx="536">
                  <c:v>27.569559842869719</c:v>
                </c:pt>
                <c:pt idx="537">
                  <c:v>27.569559842869719</c:v>
                </c:pt>
                <c:pt idx="538">
                  <c:v>27.569559842869719</c:v>
                </c:pt>
                <c:pt idx="539">
                  <c:v>27.569559842869719</c:v>
                </c:pt>
                <c:pt idx="540">
                  <c:v>27.569559842869719</c:v>
                </c:pt>
                <c:pt idx="541">
                  <c:v>27.569559842869719</c:v>
                </c:pt>
                <c:pt idx="542">
                  <c:v>27.569559842869719</c:v>
                </c:pt>
                <c:pt idx="543">
                  <c:v>27.569559842869719</c:v>
                </c:pt>
                <c:pt idx="544">
                  <c:v>27.569559842869719</c:v>
                </c:pt>
                <c:pt idx="545">
                  <c:v>27.569559842869719</c:v>
                </c:pt>
                <c:pt idx="546">
                  <c:v>27.569559842869719</c:v>
                </c:pt>
                <c:pt idx="547">
                  <c:v>27.569559842869719</c:v>
                </c:pt>
                <c:pt idx="548">
                  <c:v>27.569559842869719</c:v>
                </c:pt>
                <c:pt idx="549">
                  <c:v>27.569559842869719</c:v>
                </c:pt>
                <c:pt idx="550">
                  <c:v>27.569559842869719</c:v>
                </c:pt>
                <c:pt idx="551">
                  <c:v>27.569559842869719</c:v>
                </c:pt>
                <c:pt idx="552">
                  <c:v>27.569559842869719</c:v>
                </c:pt>
                <c:pt idx="553">
                  <c:v>27.569559842869719</c:v>
                </c:pt>
                <c:pt idx="554">
                  <c:v>27.569559842869719</c:v>
                </c:pt>
                <c:pt idx="555">
                  <c:v>27.569559842869719</c:v>
                </c:pt>
                <c:pt idx="556">
                  <c:v>27.569559842869719</c:v>
                </c:pt>
                <c:pt idx="557">
                  <c:v>27.569559842869719</c:v>
                </c:pt>
                <c:pt idx="558">
                  <c:v>27.569559842869719</c:v>
                </c:pt>
                <c:pt idx="559">
                  <c:v>27.569559842869719</c:v>
                </c:pt>
                <c:pt idx="560">
                  <c:v>27.569559842869719</c:v>
                </c:pt>
                <c:pt idx="561">
                  <c:v>27.569559842869719</c:v>
                </c:pt>
                <c:pt idx="562">
                  <c:v>27.569559842869719</c:v>
                </c:pt>
                <c:pt idx="563">
                  <c:v>27.569559842869719</c:v>
                </c:pt>
                <c:pt idx="564">
                  <c:v>27.569559842869719</c:v>
                </c:pt>
                <c:pt idx="565">
                  <c:v>27.569559842869719</c:v>
                </c:pt>
                <c:pt idx="566">
                  <c:v>27.569559842869719</c:v>
                </c:pt>
                <c:pt idx="567">
                  <c:v>27.569559842869719</c:v>
                </c:pt>
                <c:pt idx="568">
                  <c:v>27.569559842869719</c:v>
                </c:pt>
                <c:pt idx="569">
                  <c:v>27.569559842869719</c:v>
                </c:pt>
                <c:pt idx="570">
                  <c:v>27.569559842869719</c:v>
                </c:pt>
                <c:pt idx="571">
                  <c:v>27.569559842869719</c:v>
                </c:pt>
                <c:pt idx="572">
                  <c:v>27.569559842869719</c:v>
                </c:pt>
                <c:pt idx="573">
                  <c:v>27.569559842869719</c:v>
                </c:pt>
                <c:pt idx="574">
                  <c:v>27.569559842869719</c:v>
                </c:pt>
                <c:pt idx="575">
                  <c:v>27.569559842869719</c:v>
                </c:pt>
                <c:pt idx="576">
                  <c:v>27.569559842869719</c:v>
                </c:pt>
                <c:pt idx="577">
                  <c:v>27.569559842869719</c:v>
                </c:pt>
                <c:pt idx="578">
                  <c:v>27.569559842869719</c:v>
                </c:pt>
                <c:pt idx="579">
                  <c:v>27.569559842869719</c:v>
                </c:pt>
                <c:pt idx="580">
                  <c:v>27.569559842869719</c:v>
                </c:pt>
                <c:pt idx="581">
                  <c:v>27.569559842869719</c:v>
                </c:pt>
                <c:pt idx="582">
                  <c:v>27.569559842869719</c:v>
                </c:pt>
                <c:pt idx="583">
                  <c:v>27.569559842869719</c:v>
                </c:pt>
                <c:pt idx="584">
                  <c:v>27.569559842869719</c:v>
                </c:pt>
                <c:pt idx="585">
                  <c:v>27.569559842869719</c:v>
                </c:pt>
                <c:pt idx="586">
                  <c:v>27.569559842869719</c:v>
                </c:pt>
                <c:pt idx="587">
                  <c:v>27.569559842869719</c:v>
                </c:pt>
                <c:pt idx="588">
                  <c:v>27.569559842869719</c:v>
                </c:pt>
                <c:pt idx="589">
                  <c:v>27.569559842869719</c:v>
                </c:pt>
                <c:pt idx="590">
                  <c:v>27.569559842869719</c:v>
                </c:pt>
                <c:pt idx="591">
                  <c:v>27.569559842869719</c:v>
                </c:pt>
                <c:pt idx="592">
                  <c:v>27.569559842869719</c:v>
                </c:pt>
                <c:pt idx="593">
                  <c:v>27.569559842869719</c:v>
                </c:pt>
                <c:pt idx="594">
                  <c:v>27.569559842869719</c:v>
                </c:pt>
                <c:pt idx="595">
                  <c:v>27.569559842869719</c:v>
                </c:pt>
                <c:pt idx="596">
                  <c:v>27.569559842869719</c:v>
                </c:pt>
                <c:pt idx="597">
                  <c:v>27.569559842869719</c:v>
                </c:pt>
                <c:pt idx="598">
                  <c:v>27.569559842869719</c:v>
                </c:pt>
                <c:pt idx="599">
                  <c:v>27.569559842869719</c:v>
                </c:pt>
                <c:pt idx="600">
                  <c:v>27.569559842869719</c:v>
                </c:pt>
                <c:pt idx="601">
                  <c:v>27.569559842869719</c:v>
                </c:pt>
                <c:pt idx="602">
                  <c:v>27.569559842869719</c:v>
                </c:pt>
                <c:pt idx="603">
                  <c:v>27.569559842869719</c:v>
                </c:pt>
                <c:pt idx="604">
                  <c:v>27.569559842869719</c:v>
                </c:pt>
                <c:pt idx="605">
                  <c:v>27.569559842869719</c:v>
                </c:pt>
                <c:pt idx="606">
                  <c:v>27.569559842869719</c:v>
                </c:pt>
                <c:pt idx="607">
                  <c:v>27.569559842869719</c:v>
                </c:pt>
                <c:pt idx="608">
                  <c:v>27.569559842869719</c:v>
                </c:pt>
                <c:pt idx="609">
                  <c:v>27.569559842869719</c:v>
                </c:pt>
                <c:pt idx="610">
                  <c:v>27.569559842869719</c:v>
                </c:pt>
                <c:pt idx="611">
                  <c:v>27.569559842869719</c:v>
                </c:pt>
                <c:pt idx="612">
                  <c:v>27.569559842869719</c:v>
                </c:pt>
                <c:pt idx="613">
                  <c:v>27.569559842869719</c:v>
                </c:pt>
                <c:pt idx="614">
                  <c:v>27.569559842869719</c:v>
                </c:pt>
                <c:pt idx="615">
                  <c:v>27.569559842869719</c:v>
                </c:pt>
                <c:pt idx="616">
                  <c:v>27.569559842869719</c:v>
                </c:pt>
                <c:pt idx="617">
                  <c:v>27.569559842869719</c:v>
                </c:pt>
                <c:pt idx="618">
                  <c:v>27.569559842869719</c:v>
                </c:pt>
                <c:pt idx="619">
                  <c:v>27.569559842869719</c:v>
                </c:pt>
                <c:pt idx="620">
                  <c:v>27.569559842869719</c:v>
                </c:pt>
                <c:pt idx="621">
                  <c:v>27.569559842869719</c:v>
                </c:pt>
                <c:pt idx="622">
                  <c:v>27.569559842869719</c:v>
                </c:pt>
                <c:pt idx="623">
                  <c:v>27.569559842869719</c:v>
                </c:pt>
                <c:pt idx="624">
                  <c:v>27.569559842869719</c:v>
                </c:pt>
                <c:pt idx="625">
                  <c:v>27.569559842869719</c:v>
                </c:pt>
                <c:pt idx="626">
                  <c:v>27.569559842869719</c:v>
                </c:pt>
                <c:pt idx="627">
                  <c:v>27.569559842869719</c:v>
                </c:pt>
                <c:pt idx="628">
                  <c:v>27.569559842869719</c:v>
                </c:pt>
                <c:pt idx="629">
                  <c:v>27.569559842869719</c:v>
                </c:pt>
                <c:pt idx="630">
                  <c:v>27.569559842869719</c:v>
                </c:pt>
                <c:pt idx="631">
                  <c:v>27.569559842869719</c:v>
                </c:pt>
                <c:pt idx="632">
                  <c:v>27.569559842869719</c:v>
                </c:pt>
                <c:pt idx="633">
                  <c:v>27.569559842869719</c:v>
                </c:pt>
                <c:pt idx="634">
                  <c:v>27.569559842869719</c:v>
                </c:pt>
                <c:pt idx="635">
                  <c:v>27.569559842869719</c:v>
                </c:pt>
                <c:pt idx="636">
                  <c:v>27.569559842869719</c:v>
                </c:pt>
                <c:pt idx="637">
                  <c:v>27.569559842869719</c:v>
                </c:pt>
                <c:pt idx="638">
                  <c:v>27.569559842869719</c:v>
                </c:pt>
                <c:pt idx="639">
                  <c:v>27.569559842869719</c:v>
                </c:pt>
                <c:pt idx="640">
                  <c:v>27.569559842869719</c:v>
                </c:pt>
                <c:pt idx="641">
                  <c:v>27.569559842869719</c:v>
                </c:pt>
                <c:pt idx="642">
                  <c:v>27.569559842869719</c:v>
                </c:pt>
                <c:pt idx="643">
                  <c:v>27.569559842869719</c:v>
                </c:pt>
                <c:pt idx="644">
                  <c:v>27.569559842869719</c:v>
                </c:pt>
                <c:pt idx="645">
                  <c:v>27.569559842869719</c:v>
                </c:pt>
                <c:pt idx="646">
                  <c:v>27.569559842869719</c:v>
                </c:pt>
                <c:pt idx="647">
                  <c:v>27.569559842869719</c:v>
                </c:pt>
                <c:pt idx="648">
                  <c:v>27.569559842869719</c:v>
                </c:pt>
                <c:pt idx="649">
                  <c:v>27.569559842869719</c:v>
                </c:pt>
                <c:pt idx="650">
                  <c:v>27.569559842869719</c:v>
                </c:pt>
                <c:pt idx="651">
                  <c:v>27.569559842869719</c:v>
                </c:pt>
                <c:pt idx="652">
                  <c:v>27.569559842869719</c:v>
                </c:pt>
                <c:pt idx="653">
                  <c:v>27.569559842869719</c:v>
                </c:pt>
                <c:pt idx="654">
                  <c:v>27.569559842869719</c:v>
                </c:pt>
                <c:pt idx="655">
                  <c:v>27.569559842869719</c:v>
                </c:pt>
                <c:pt idx="656">
                  <c:v>27.569559842869719</c:v>
                </c:pt>
                <c:pt idx="657">
                  <c:v>27.569559842869719</c:v>
                </c:pt>
                <c:pt idx="658">
                  <c:v>27.569559842869719</c:v>
                </c:pt>
                <c:pt idx="659">
                  <c:v>27.569559842869719</c:v>
                </c:pt>
                <c:pt idx="660">
                  <c:v>27.569559842869719</c:v>
                </c:pt>
                <c:pt idx="661">
                  <c:v>27.569559842869719</c:v>
                </c:pt>
                <c:pt idx="662">
                  <c:v>27.569559842869719</c:v>
                </c:pt>
                <c:pt idx="663">
                  <c:v>27.569559842869719</c:v>
                </c:pt>
                <c:pt idx="664">
                  <c:v>27.569559842869719</c:v>
                </c:pt>
                <c:pt idx="665">
                  <c:v>27.569559842869719</c:v>
                </c:pt>
                <c:pt idx="666">
                  <c:v>27.569559842869719</c:v>
                </c:pt>
                <c:pt idx="667">
                  <c:v>27.569559842869719</c:v>
                </c:pt>
                <c:pt idx="668">
                  <c:v>27.569559842869719</c:v>
                </c:pt>
                <c:pt idx="669">
                  <c:v>27.569559842869719</c:v>
                </c:pt>
                <c:pt idx="670">
                  <c:v>27.569559842869719</c:v>
                </c:pt>
                <c:pt idx="671">
                  <c:v>27.569559842869719</c:v>
                </c:pt>
                <c:pt idx="672">
                  <c:v>27.569559842869719</c:v>
                </c:pt>
                <c:pt idx="673">
                  <c:v>27.569559842869719</c:v>
                </c:pt>
                <c:pt idx="674">
                  <c:v>27.569559842869719</c:v>
                </c:pt>
                <c:pt idx="675">
                  <c:v>27.569559842869719</c:v>
                </c:pt>
                <c:pt idx="676">
                  <c:v>27.569559842869719</c:v>
                </c:pt>
                <c:pt idx="677">
                  <c:v>27.569559842869719</c:v>
                </c:pt>
                <c:pt idx="678">
                  <c:v>27.569559842869719</c:v>
                </c:pt>
                <c:pt idx="679">
                  <c:v>27.569559842869719</c:v>
                </c:pt>
                <c:pt idx="680">
                  <c:v>27.569559842869719</c:v>
                </c:pt>
                <c:pt idx="681">
                  <c:v>27.569559842869719</c:v>
                </c:pt>
                <c:pt idx="682">
                  <c:v>27.569559842869719</c:v>
                </c:pt>
                <c:pt idx="683">
                  <c:v>27.569559842869719</c:v>
                </c:pt>
                <c:pt idx="684">
                  <c:v>27.569559842869719</c:v>
                </c:pt>
                <c:pt idx="685">
                  <c:v>27.569559842869719</c:v>
                </c:pt>
                <c:pt idx="686">
                  <c:v>27.569559842869719</c:v>
                </c:pt>
                <c:pt idx="687">
                  <c:v>27.569559842869719</c:v>
                </c:pt>
                <c:pt idx="688">
                  <c:v>27.569559842869719</c:v>
                </c:pt>
                <c:pt idx="689">
                  <c:v>27.569559842869719</c:v>
                </c:pt>
                <c:pt idx="690">
                  <c:v>27.569559842869719</c:v>
                </c:pt>
                <c:pt idx="691">
                  <c:v>27.569559842869719</c:v>
                </c:pt>
                <c:pt idx="692">
                  <c:v>27.569559842869719</c:v>
                </c:pt>
                <c:pt idx="693">
                  <c:v>27.569559842869719</c:v>
                </c:pt>
                <c:pt idx="694">
                  <c:v>27.569559842869719</c:v>
                </c:pt>
                <c:pt idx="695">
                  <c:v>27.569559842869719</c:v>
                </c:pt>
                <c:pt idx="696">
                  <c:v>27.569559842869719</c:v>
                </c:pt>
                <c:pt idx="697">
                  <c:v>27.569559842869719</c:v>
                </c:pt>
                <c:pt idx="698">
                  <c:v>27.569559842869719</c:v>
                </c:pt>
                <c:pt idx="699">
                  <c:v>27.569559842869719</c:v>
                </c:pt>
                <c:pt idx="700">
                  <c:v>27.569559842869719</c:v>
                </c:pt>
                <c:pt idx="701">
                  <c:v>27.569559842869719</c:v>
                </c:pt>
                <c:pt idx="702">
                  <c:v>27.569559842869719</c:v>
                </c:pt>
                <c:pt idx="703">
                  <c:v>27.569559842869719</c:v>
                </c:pt>
                <c:pt idx="704">
                  <c:v>27.569559842869719</c:v>
                </c:pt>
                <c:pt idx="705">
                  <c:v>27.569559842869719</c:v>
                </c:pt>
                <c:pt idx="706">
                  <c:v>27.569559842869719</c:v>
                </c:pt>
                <c:pt idx="707">
                  <c:v>27.569559842869719</c:v>
                </c:pt>
                <c:pt idx="708">
                  <c:v>27.569559842869719</c:v>
                </c:pt>
                <c:pt idx="709">
                  <c:v>27.569559842869719</c:v>
                </c:pt>
                <c:pt idx="710">
                  <c:v>27.569559842869719</c:v>
                </c:pt>
                <c:pt idx="711">
                  <c:v>27.569559842869719</c:v>
                </c:pt>
                <c:pt idx="712">
                  <c:v>27.569559842869719</c:v>
                </c:pt>
                <c:pt idx="713">
                  <c:v>27.569559842869719</c:v>
                </c:pt>
                <c:pt idx="714">
                  <c:v>27.569559842869719</c:v>
                </c:pt>
                <c:pt idx="715">
                  <c:v>27.569559842869719</c:v>
                </c:pt>
                <c:pt idx="716">
                  <c:v>27.569559842869719</c:v>
                </c:pt>
                <c:pt idx="717">
                  <c:v>27.569559842869719</c:v>
                </c:pt>
                <c:pt idx="718">
                  <c:v>27.569559842869719</c:v>
                </c:pt>
                <c:pt idx="719">
                  <c:v>27.569559842869719</c:v>
                </c:pt>
                <c:pt idx="720">
                  <c:v>27.569559842869719</c:v>
                </c:pt>
                <c:pt idx="721">
                  <c:v>27.569559842869719</c:v>
                </c:pt>
                <c:pt idx="722">
                  <c:v>27.569559842869719</c:v>
                </c:pt>
                <c:pt idx="723">
                  <c:v>27.569559842869719</c:v>
                </c:pt>
                <c:pt idx="724">
                  <c:v>27.569559842869719</c:v>
                </c:pt>
                <c:pt idx="725">
                  <c:v>27.569559842869719</c:v>
                </c:pt>
                <c:pt idx="726">
                  <c:v>27.569559842869719</c:v>
                </c:pt>
                <c:pt idx="727">
                  <c:v>27.569559842869719</c:v>
                </c:pt>
                <c:pt idx="728">
                  <c:v>27.569559842869719</c:v>
                </c:pt>
                <c:pt idx="729">
                  <c:v>27.569559842869719</c:v>
                </c:pt>
                <c:pt idx="730">
                  <c:v>27.569559842869719</c:v>
                </c:pt>
                <c:pt idx="731">
                  <c:v>27.569559842869719</c:v>
                </c:pt>
                <c:pt idx="732">
                  <c:v>27.569559842869719</c:v>
                </c:pt>
                <c:pt idx="733">
                  <c:v>27.569559842869719</c:v>
                </c:pt>
                <c:pt idx="734">
                  <c:v>27.569559842869719</c:v>
                </c:pt>
                <c:pt idx="735">
                  <c:v>27.569559842869719</c:v>
                </c:pt>
                <c:pt idx="736">
                  <c:v>27.569559842869719</c:v>
                </c:pt>
                <c:pt idx="737">
                  <c:v>27.569559842869719</c:v>
                </c:pt>
                <c:pt idx="738">
                  <c:v>27.569559842869719</c:v>
                </c:pt>
                <c:pt idx="739">
                  <c:v>27.569559842869719</c:v>
                </c:pt>
                <c:pt idx="740">
                  <c:v>27.569559842869719</c:v>
                </c:pt>
                <c:pt idx="741">
                  <c:v>27.569559842869719</c:v>
                </c:pt>
                <c:pt idx="742">
                  <c:v>27.569559842869719</c:v>
                </c:pt>
                <c:pt idx="743">
                  <c:v>27.569559842869719</c:v>
                </c:pt>
                <c:pt idx="744">
                  <c:v>27.569559842869719</c:v>
                </c:pt>
                <c:pt idx="745">
                  <c:v>27.569559842869719</c:v>
                </c:pt>
                <c:pt idx="746">
                  <c:v>27.569559842869719</c:v>
                </c:pt>
                <c:pt idx="747">
                  <c:v>27.569559842869719</c:v>
                </c:pt>
                <c:pt idx="748">
                  <c:v>27.569559842869719</c:v>
                </c:pt>
                <c:pt idx="749">
                  <c:v>27.569559842869719</c:v>
                </c:pt>
                <c:pt idx="750">
                  <c:v>27.569559842869719</c:v>
                </c:pt>
                <c:pt idx="751">
                  <c:v>27.569559842869719</c:v>
                </c:pt>
                <c:pt idx="752">
                  <c:v>27.569559842869719</c:v>
                </c:pt>
                <c:pt idx="753">
                  <c:v>27.569559842869719</c:v>
                </c:pt>
                <c:pt idx="754">
                  <c:v>27.569559842869719</c:v>
                </c:pt>
                <c:pt idx="755">
                  <c:v>27.569559842869719</c:v>
                </c:pt>
                <c:pt idx="756">
                  <c:v>27.569559842869719</c:v>
                </c:pt>
                <c:pt idx="757">
                  <c:v>27.569559842869719</c:v>
                </c:pt>
                <c:pt idx="758">
                  <c:v>27.569559842869719</c:v>
                </c:pt>
                <c:pt idx="759">
                  <c:v>27.569559842869719</c:v>
                </c:pt>
                <c:pt idx="760">
                  <c:v>27.569559842869719</c:v>
                </c:pt>
                <c:pt idx="761">
                  <c:v>27.569559842869719</c:v>
                </c:pt>
                <c:pt idx="762">
                  <c:v>27.569559842869719</c:v>
                </c:pt>
                <c:pt idx="763">
                  <c:v>27.569559842869719</c:v>
                </c:pt>
                <c:pt idx="764">
                  <c:v>27.569559842869719</c:v>
                </c:pt>
                <c:pt idx="765">
                  <c:v>27.569559842869719</c:v>
                </c:pt>
                <c:pt idx="766">
                  <c:v>27.569559842869719</c:v>
                </c:pt>
                <c:pt idx="767">
                  <c:v>27.569559842869719</c:v>
                </c:pt>
                <c:pt idx="768">
                  <c:v>27.569559842869719</c:v>
                </c:pt>
                <c:pt idx="769">
                  <c:v>27.569559842869719</c:v>
                </c:pt>
                <c:pt idx="770">
                  <c:v>27.569559842869719</c:v>
                </c:pt>
                <c:pt idx="771">
                  <c:v>27.569559842869719</c:v>
                </c:pt>
                <c:pt idx="772">
                  <c:v>27.569559842869719</c:v>
                </c:pt>
                <c:pt idx="773">
                  <c:v>27.569559842869719</c:v>
                </c:pt>
                <c:pt idx="774">
                  <c:v>27.569559842869719</c:v>
                </c:pt>
                <c:pt idx="775">
                  <c:v>27.569559842869719</c:v>
                </c:pt>
                <c:pt idx="776">
                  <c:v>27.569559842869719</c:v>
                </c:pt>
                <c:pt idx="777">
                  <c:v>27.569559842869719</c:v>
                </c:pt>
                <c:pt idx="778">
                  <c:v>27.569559842869719</c:v>
                </c:pt>
                <c:pt idx="779">
                  <c:v>27.569559842869719</c:v>
                </c:pt>
                <c:pt idx="780">
                  <c:v>27.569559842869719</c:v>
                </c:pt>
                <c:pt idx="781">
                  <c:v>27.569559842869719</c:v>
                </c:pt>
                <c:pt idx="782">
                  <c:v>27.569559842869719</c:v>
                </c:pt>
                <c:pt idx="783">
                  <c:v>27.569559842869719</c:v>
                </c:pt>
                <c:pt idx="784">
                  <c:v>27.569559842869719</c:v>
                </c:pt>
                <c:pt idx="785">
                  <c:v>27.569559842869719</c:v>
                </c:pt>
                <c:pt idx="786">
                  <c:v>27.569559842869719</c:v>
                </c:pt>
                <c:pt idx="787">
                  <c:v>27.569559842869719</c:v>
                </c:pt>
                <c:pt idx="788">
                  <c:v>27.569559842869719</c:v>
                </c:pt>
                <c:pt idx="789">
                  <c:v>27.569559842869719</c:v>
                </c:pt>
                <c:pt idx="790">
                  <c:v>27.569559842869719</c:v>
                </c:pt>
                <c:pt idx="791">
                  <c:v>27.569559842869719</c:v>
                </c:pt>
                <c:pt idx="792">
                  <c:v>27.569559842869719</c:v>
                </c:pt>
                <c:pt idx="793">
                  <c:v>27.569559842869719</c:v>
                </c:pt>
                <c:pt idx="794">
                  <c:v>27.569559842869719</c:v>
                </c:pt>
                <c:pt idx="795">
                  <c:v>27.569559842869719</c:v>
                </c:pt>
                <c:pt idx="796">
                  <c:v>27.569559842869719</c:v>
                </c:pt>
                <c:pt idx="797">
                  <c:v>27.569559842869719</c:v>
                </c:pt>
                <c:pt idx="798">
                  <c:v>27.569559842869719</c:v>
                </c:pt>
                <c:pt idx="799">
                  <c:v>27.569559842869719</c:v>
                </c:pt>
                <c:pt idx="800">
                  <c:v>27.569559842869719</c:v>
                </c:pt>
                <c:pt idx="801">
                  <c:v>27.569559842869719</c:v>
                </c:pt>
                <c:pt idx="802">
                  <c:v>27.569559842869719</c:v>
                </c:pt>
                <c:pt idx="803">
                  <c:v>27.569559842869719</c:v>
                </c:pt>
                <c:pt idx="804">
                  <c:v>27.569559842869719</c:v>
                </c:pt>
                <c:pt idx="805">
                  <c:v>27.569559842869719</c:v>
                </c:pt>
                <c:pt idx="806">
                  <c:v>27.569559842869719</c:v>
                </c:pt>
                <c:pt idx="807">
                  <c:v>27.569559842869719</c:v>
                </c:pt>
                <c:pt idx="808">
                  <c:v>27.569559842869719</c:v>
                </c:pt>
                <c:pt idx="809">
                  <c:v>27.569559842869719</c:v>
                </c:pt>
                <c:pt idx="810">
                  <c:v>27.569559842869719</c:v>
                </c:pt>
                <c:pt idx="811">
                  <c:v>27.569559842869719</c:v>
                </c:pt>
                <c:pt idx="812">
                  <c:v>27.569559842869719</c:v>
                </c:pt>
                <c:pt idx="813">
                  <c:v>27.569559842869719</c:v>
                </c:pt>
                <c:pt idx="814">
                  <c:v>27.569559842869719</c:v>
                </c:pt>
                <c:pt idx="815">
                  <c:v>27.569559842869719</c:v>
                </c:pt>
                <c:pt idx="816">
                  <c:v>27.569559842869719</c:v>
                </c:pt>
                <c:pt idx="817">
                  <c:v>27.569559842869719</c:v>
                </c:pt>
                <c:pt idx="818">
                  <c:v>27.569559842869719</c:v>
                </c:pt>
                <c:pt idx="819">
                  <c:v>27.569559842869719</c:v>
                </c:pt>
                <c:pt idx="820">
                  <c:v>27.569559842869719</c:v>
                </c:pt>
                <c:pt idx="821">
                  <c:v>27.569559842869719</c:v>
                </c:pt>
                <c:pt idx="822">
                  <c:v>27.569559842869719</c:v>
                </c:pt>
                <c:pt idx="823">
                  <c:v>27.569559842869719</c:v>
                </c:pt>
                <c:pt idx="824">
                  <c:v>27.569559842869719</c:v>
                </c:pt>
                <c:pt idx="825">
                  <c:v>27.569559842869719</c:v>
                </c:pt>
                <c:pt idx="826">
                  <c:v>27.569559842869719</c:v>
                </c:pt>
                <c:pt idx="827">
                  <c:v>27.569559842869719</c:v>
                </c:pt>
                <c:pt idx="828">
                  <c:v>27.569559842869719</c:v>
                </c:pt>
                <c:pt idx="829">
                  <c:v>27.569559842869719</c:v>
                </c:pt>
                <c:pt idx="830">
                  <c:v>27.569559842869719</c:v>
                </c:pt>
                <c:pt idx="831">
                  <c:v>27.569559842869719</c:v>
                </c:pt>
                <c:pt idx="832">
                  <c:v>27.569559842869719</c:v>
                </c:pt>
                <c:pt idx="833">
                  <c:v>27.569559842869719</c:v>
                </c:pt>
                <c:pt idx="834">
                  <c:v>27.569559842869719</c:v>
                </c:pt>
                <c:pt idx="835">
                  <c:v>27.569559842869719</c:v>
                </c:pt>
                <c:pt idx="836">
                  <c:v>27.569559842869719</c:v>
                </c:pt>
                <c:pt idx="837">
                  <c:v>27.569559842869719</c:v>
                </c:pt>
                <c:pt idx="838">
                  <c:v>27.569559842869719</c:v>
                </c:pt>
                <c:pt idx="839">
                  <c:v>27.569559842869719</c:v>
                </c:pt>
                <c:pt idx="840">
                  <c:v>27.569559842869719</c:v>
                </c:pt>
                <c:pt idx="841">
                  <c:v>27.569559842869719</c:v>
                </c:pt>
                <c:pt idx="842">
                  <c:v>27.569559842869719</c:v>
                </c:pt>
                <c:pt idx="843">
                  <c:v>27.569559842869719</c:v>
                </c:pt>
                <c:pt idx="844">
                  <c:v>27.569559842869719</c:v>
                </c:pt>
                <c:pt idx="845">
                  <c:v>27.569559842869719</c:v>
                </c:pt>
                <c:pt idx="846">
                  <c:v>27.569559842869719</c:v>
                </c:pt>
                <c:pt idx="847">
                  <c:v>27.569559842869719</c:v>
                </c:pt>
                <c:pt idx="848">
                  <c:v>27.569559842869719</c:v>
                </c:pt>
                <c:pt idx="849">
                  <c:v>27.569559842869719</c:v>
                </c:pt>
                <c:pt idx="850">
                  <c:v>27.569559842869719</c:v>
                </c:pt>
                <c:pt idx="851">
                  <c:v>27.569559842869719</c:v>
                </c:pt>
                <c:pt idx="852">
                  <c:v>27.569559842869719</c:v>
                </c:pt>
                <c:pt idx="853">
                  <c:v>27.569559842869719</c:v>
                </c:pt>
                <c:pt idx="854">
                  <c:v>27.569559842869719</c:v>
                </c:pt>
                <c:pt idx="855">
                  <c:v>27.569559842869719</c:v>
                </c:pt>
                <c:pt idx="856">
                  <c:v>27.569559842869719</c:v>
                </c:pt>
                <c:pt idx="857">
                  <c:v>27.569559842869719</c:v>
                </c:pt>
                <c:pt idx="858">
                  <c:v>27.569559842869719</c:v>
                </c:pt>
                <c:pt idx="859">
                  <c:v>27.569559842869719</c:v>
                </c:pt>
                <c:pt idx="860">
                  <c:v>27.569559842869719</c:v>
                </c:pt>
                <c:pt idx="861">
                  <c:v>27.569559842869719</c:v>
                </c:pt>
                <c:pt idx="862">
                  <c:v>27.569559842869719</c:v>
                </c:pt>
                <c:pt idx="863">
                  <c:v>27.569559842869719</c:v>
                </c:pt>
                <c:pt idx="864">
                  <c:v>27.569559842869719</c:v>
                </c:pt>
                <c:pt idx="865">
                  <c:v>27.569559842869719</c:v>
                </c:pt>
                <c:pt idx="866">
                  <c:v>27.569559842869719</c:v>
                </c:pt>
                <c:pt idx="867">
                  <c:v>27.569559842869719</c:v>
                </c:pt>
                <c:pt idx="868">
                  <c:v>27.569559842869719</c:v>
                </c:pt>
                <c:pt idx="869">
                  <c:v>27.569559842869719</c:v>
                </c:pt>
                <c:pt idx="870">
                  <c:v>27.569559842869719</c:v>
                </c:pt>
                <c:pt idx="871">
                  <c:v>27.569559842869719</c:v>
                </c:pt>
                <c:pt idx="872">
                  <c:v>27.569559842869719</c:v>
                </c:pt>
                <c:pt idx="873">
                  <c:v>27.569559842869719</c:v>
                </c:pt>
                <c:pt idx="874">
                  <c:v>27.569559842869719</c:v>
                </c:pt>
                <c:pt idx="875">
                  <c:v>27.569559842869719</c:v>
                </c:pt>
                <c:pt idx="876">
                  <c:v>27.569559842869719</c:v>
                </c:pt>
                <c:pt idx="877">
                  <c:v>27.569559842869719</c:v>
                </c:pt>
                <c:pt idx="878">
                  <c:v>27.569559842869719</c:v>
                </c:pt>
                <c:pt idx="879">
                  <c:v>27.569559842869719</c:v>
                </c:pt>
                <c:pt idx="880">
                  <c:v>27.569559842869719</c:v>
                </c:pt>
                <c:pt idx="881">
                  <c:v>27.569559842869719</c:v>
                </c:pt>
                <c:pt idx="882">
                  <c:v>27.569559842869719</c:v>
                </c:pt>
                <c:pt idx="883">
                  <c:v>27.569559842869719</c:v>
                </c:pt>
                <c:pt idx="884">
                  <c:v>27.569559842869719</c:v>
                </c:pt>
                <c:pt idx="885">
                  <c:v>27.569559842869719</c:v>
                </c:pt>
                <c:pt idx="886">
                  <c:v>27.569559842869719</c:v>
                </c:pt>
                <c:pt idx="887">
                  <c:v>27.569559842869719</c:v>
                </c:pt>
                <c:pt idx="888">
                  <c:v>27.569559842869719</c:v>
                </c:pt>
                <c:pt idx="889">
                  <c:v>27.569559842869719</c:v>
                </c:pt>
                <c:pt idx="890">
                  <c:v>27.569559842869719</c:v>
                </c:pt>
                <c:pt idx="891">
                  <c:v>27.569559842869719</c:v>
                </c:pt>
                <c:pt idx="892">
                  <c:v>27.569559842869719</c:v>
                </c:pt>
                <c:pt idx="893">
                  <c:v>27.569559842869719</c:v>
                </c:pt>
                <c:pt idx="894">
                  <c:v>27.569559842869719</c:v>
                </c:pt>
                <c:pt idx="895">
                  <c:v>27.569559842869719</c:v>
                </c:pt>
                <c:pt idx="896">
                  <c:v>27.569559842869719</c:v>
                </c:pt>
                <c:pt idx="897">
                  <c:v>27.569559842869719</c:v>
                </c:pt>
                <c:pt idx="898">
                  <c:v>27.569559842869719</c:v>
                </c:pt>
                <c:pt idx="899">
                  <c:v>27.569559842869719</c:v>
                </c:pt>
                <c:pt idx="900">
                  <c:v>27.569559842869719</c:v>
                </c:pt>
                <c:pt idx="901">
                  <c:v>27.569559842869719</c:v>
                </c:pt>
                <c:pt idx="902">
                  <c:v>27.569559842869719</c:v>
                </c:pt>
                <c:pt idx="903">
                  <c:v>27.569559842869719</c:v>
                </c:pt>
                <c:pt idx="904">
                  <c:v>27.569559842869719</c:v>
                </c:pt>
                <c:pt idx="905">
                  <c:v>27.569559842869719</c:v>
                </c:pt>
                <c:pt idx="906">
                  <c:v>27.569559842869719</c:v>
                </c:pt>
                <c:pt idx="907">
                  <c:v>27.569559842869719</c:v>
                </c:pt>
                <c:pt idx="908">
                  <c:v>27.569559842869719</c:v>
                </c:pt>
                <c:pt idx="909">
                  <c:v>27.569559842869719</c:v>
                </c:pt>
                <c:pt idx="910">
                  <c:v>27.569559842869719</c:v>
                </c:pt>
                <c:pt idx="911">
                  <c:v>27.569559842869719</c:v>
                </c:pt>
                <c:pt idx="912">
                  <c:v>27.569559842869719</c:v>
                </c:pt>
                <c:pt idx="913">
                  <c:v>27.569559842869719</c:v>
                </c:pt>
                <c:pt idx="914">
                  <c:v>27.569559842869719</c:v>
                </c:pt>
                <c:pt idx="915">
                  <c:v>27.569559842869719</c:v>
                </c:pt>
                <c:pt idx="916">
                  <c:v>27.569559842869719</c:v>
                </c:pt>
                <c:pt idx="917">
                  <c:v>27.569559842869719</c:v>
                </c:pt>
                <c:pt idx="918">
                  <c:v>27.569559842869719</c:v>
                </c:pt>
                <c:pt idx="919">
                  <c:v>27.569559842869719</c:v>
                </c:pt>
                <c:pt idx="920">
                  <c:v>27.569559842869719</c:v>
                </c:pt>
                <c:pt idx="921">
                  <c:v>27.569559842869719</c:v>
                </c:pt>
                <c:pt idx="922">
                  <c:v>27.569559842869719</c:v>
                </c:pt>
                <c:pt idx="923">
                  <c:v>27.569559842869719</c:v>
                </c:pt>
                <c:pt idx="924">
                  <c:v>27.569559842869719</c:v>
                </c:pt>
                <c:pt idx="925">
                  <c:v>27.569559842869719</c:v>
                </c:pt>
                <c:pt idx="926">
                  <c:v>27.569559842869719</c:v>
                </c:pt>
                <c:pt idx="927">
                  <c:v>27.569559842869719</c:v>
                </c:pt>
                <c:pt idx="928">
                  <c:v>27.569559842869719</c:v>
                </c:pt>
                <c:pt idx="929">
                  <c:v>27.569559842869719</c:v>
                </c:pt>
                <c:pt idx="930">
                  <c:v>27.569559842869719</c:v>
                </c:pt>
                <c:pt idx="931">
                  <c:v>27.569559842869719</c:v>
                </c:pt>
                <c:pt idx="932">
                  <c:v>27.569559842869719</c:v>
                </c:pt>
                <c:pt idx="933">
                  <c:v>27.569559842869719</c:v>
                </c:pt>
                <c:pt idx="934">
                  <c:v>27.569559842869719</c:v>
                </c:pt>
                <c:pt idx="935">
                  <c:v>27.569559842869719</c:v>
                </c:pt>
                <c:pt idx="936">
                  <c:v>27.569559842869719</c:v>
                </c:pt>
                <c:pt idx="937">
                  <c:v>27.569559842869719</c:v>
                </c:pt>
                <c:pt idx="938">
                  <c:v>27.569559842869719</c:v>
                </c:pt>
                <c:pt idx="939">
                  <c:v>27.569559842869719</c:v>
                </c:pt>
                <c:pt idx="940">
                  <c:v>27.569559842869719</c:v>
                </c:pt>
                <c:pt idx="941">
                  <c:v>27.569559842869719</c:v>
                </c:pt>
                <c:pt idx="942">
                  <c:v>27.569559842869719</c:v>
                </c:pt>
                <c:pt idx="943">
                  <c:v>27.569559842869719</c:v>
                </c:pt>
                <c:pt idx="944">
                  <c:v>27.569559842869719</c:v>
                </c:pt>
                <c:pt idx="945">
                  <c:v>27.569559842869719</c:v>
                </c:pt>
                <c:pt idx="946">
                  <c:v>27.569559842869719</c:v>
                </c:pt>
                <c:pt idx="947">
                  <c:v>27.569559842869719</c:v>
                </c:pt>
                <c:pt idx="948">
                  <c:v>27.569559842869719</c:v>
                </c:pt>
                <c:pt idx="949">
                  <c:v>27.569559842869719</c:v>
                </c:pt>
                <c:pt idx="950">
                  <c:v>27.569559842869719</c:v>
                </c:pt>
                <c:pt idx="951">
                  <c:v>27.569559842869719</c:v>
                </c:pt>
                <c:pt idx="952">
                  <c:v>27.569559842869719</c:v>
                </c:pt>
                <c:pt idx="953">
                  <c:v>27.569559842869719</c:v>
                </c:pt>
                <c:pt idx="954">
                  <c:v>27.569559842869719</c:v>
                </c:pt>
                <c:pt idx="955">
                  <c:v>27.569559842869719</c:v>
                </c:pt>
                <c:pt idx="956">
                  <c:v>27.569559842869719</c:v>
                </c:pt>
                <c:pt idx="957">
                  <c:v>27.569559842869719</c:v>
                </c:pt>
                <c:pt idx="958">
                  <c:v>27.569559842869719</c:v>
                </c:pt>
                <c:pt idx="959">
                  <c:v>27.569559842869719</c:v>
                </c:pt>
                <c:pt idx="960">
                  <c:v>27.569559842869719</c:v>
                </c:pt>
                <c:pt idx="961">
                  <c:v>27.569559842869719</c:v>
                </c:pt>
                <c:pt idx="962">
                  <c:v>27.569559842869719</c:v>
                </c:pt>
                <c:pt idx="963">
                  <c:v>27.569559842869719</c:v>
                </c:pt>
                <c:pt idx="964">
                  <c:v>27.569559842869719</c:v>
                </c:pt>
                <c:pt idx="965">
                  <c:v>27.569559842869719</c:v>
                </c:pt>
                <c:pt idx="966">
                  <c:v>27.569559842869719</c:v>
                </c:pt>
                <c:pt idx="967">
                  <c:v>27.569559842869719</c:v>
                </c:pt>
                <c:pt idx="968">
                  <c:v>27.569559842869719</c:v>
                </c:pt>
                <c:pt idx="969">
                  <c:v>27.569559842869719</c:v>
                </c:pt>
                <c:pt idx="970">
                  <c:v>27.569559842869719</c:v>
                </c:pt>
                <c:pt idx="971">
                  <c:v>27.569559842869719</c:v>
                </c:pt>
                <c:pt idx="972">
                  <c:v>27.569559842869719</c:v>
                </c:pt>
                <c:pt idx="973">
                  <c:v>27.569559842869719</c:v>
                </c:pt>
                <c:pt idx="974">
                  <c:v>27.569559842869719</c:v>
                </c:pt>
                <c:pt idx="975">
                  <c:v>27.569559842869719</c:v>
                </c:pt>
                <c:pt idx="976">
                  <c:v>27.569559842869719</c:v>
                </c:pt>
                <c:pt idx="977">
                  <c:v>27.569559842869719</c:v>
                </c:pt>
                <c:pt idx="978">
                  <c:v>27.569559842869719</c:v>
                </c:pt>
                <c:pt idx="979">
                  <c:v>27.569559842869719</c:v>
                </c:pt>
                <c:pt idx="980">
                  <c:v>27.569559842869719</c:v>
                </c:pt>
                <c:pt idx="981">
                  <c:v>27.569559842869719</c:v>
                </c:pt>
                <c:pt idx="982">
                  <c:v>27.569559842869719</c:v>
                </c:pt>
                <c:pt idx="983">
                  <c:v>27.569559842869719</c:v>
                </c:pt>
                <c:pt idx="984">
                  <c:v>27.569559842869719</c:v>
                </c:pt>
                <c:pt idx="985">
                  <c:v>27.569559842869719</c:v>
                </c:pt>
                <c:pt idx="986">
                  <c:v>27.569559842869719</c:v>
                </c:pt>
                <c:pt idx="987">
                  <c:v>27.569559842869719</c:v>
                </c:pt>
                <c:pt idx="988">
                  <c:v>27.569559842869719</c:v>
                </c:pt>
                <c:pt idx="989">
                  <c:v>27.569559842869719</c:v>
                </c:pt>
                <c:pt idx="990">
                  <c:v>27.569559842869719</c:v>
                </c:pt>
                <c:pt idx="991">
                  <c:v>27.569559842869719</c:v>
                </c:pt>
                <c:pt idx="992">
                  <c:v>27.569559842869719</c:v>
                </c:pt>
                <c:pt idx="993">
                  <c:v>27.569559842869719</c:v>
                </c:pt>
                <c:pt idx="994">
                  <c:v>27.569559842869719</c:v>
                </c:pt>
                <c:pt idx="995">
                  <c:v>27.569559842869719</c:v>
                </c:pt>
                <c:pt idx="996">
                  <c:v>27.569559842869719</c:v>
                </c:pt>
                <c:pt idx="997">
                  <c:v>27.569559842869719</c:v>
                </c:pt>
                <c:pt idx="998">
                  <c:v>27.569559842869719</c:v>
                </c:pt>
                <c:pt idx="999">
                  <c:v>27.569559842869719</c:v>
                </c:pt>
                <c:pt idx="1000">
                  <c:v>27.569559842869719</c:v>
                </c:pt>
                <c:pt idx="1001">
                  <c:v>27.569559842869719</c:v>
                </c:pt>
                <c:pt idx="1002">
                  <c:v>27.569559842869719</c:v>
                </c:pt>
                <c:pt idx="1003">
                  <c:v>27.569559842869719</c:v>
                </c:pt>
                <c:pt idx="1004">
                  <c:v>27.569559842869719</c:v>
                </c:pt>
                <c:pt idx="1005">
                  <c:v>27.569559842869719</c:v>
                </c:pt>
                <c:pt idx="1006">
                  <c:v>27.569559842869719</c:v>
                </c:pt>
                <c:pt idx="1007">
                  <c:v>27.569559842869719</c:v>
                </c:pt>
                <c:pt idx="1008">
                  <c:v>27.569559842869719</c:v>
                </c:pt>
                <c:pt idx="1009">
                  <c:v>27.569559842869719</c:v>
                </c:pt>
                <c:pt idx="1010">
                  <c:v>27.569559842869719</c:v>
                </c:pt>
                <c:pt idx="1011">
                  <c:v>27.569559842869719</c:v>
                </c:pt>
                <c:pt idx="1012">
                  <c:v>27.569559842869719</c:v>
                </c:pt>
                <c:pt idx="1013">
                  <c:v>27.569559842869719</c:v>
                </c:pt>
                <c:pt idx="1014">
                  <c:v>27.569559842869719</c:v>
                </c:pt>
                <c:pt idx="1015">
                  <c:v>27.569559842869719</c:v>
                </c:pt>
                <c:pt idx="1016">
                  <c:v>27.569559842869719</c:v>
                </c:pt>
                <c:pt idx="1017">
                  <c:v>27.569559842869719</c:v>
                </c:pt>
                <c:pt idx="1018">
                  <c:v>27.569559842869719</c:v>
                </c:pt>
                <c:pt idx="1019">
                  <c:v>27.569559842869719</c:v>
                </c:pt>
                <c:pt idx="1020">
                  <c:v>27.569559842869719</c:v>
                </c:pt>
                <c:pt idx="1021">
                  <c:v>27.569559842869719</c:v>
                </c:pt>
                <c:pt idx="1022">
                  <c:v>27.569559842869719</c:v>
                </c:pt>
                <c:pt idx="1023">
                  <c:v>27.569559842869719</c:v>
                </c:pt>
                <c:pt idx="1024">
                  <c:v>27.569559842869719</c:v>
                </c:pt>
                <c:pt idx="1025">
                  <c:v>27.569559842869719</c:v>
                </c:pt>
                <c:pt idx="1026">
                  <c:v>27.569559842869719</c:v>
                </c:pt>
                <c:pt idx="1027">
                  <c:v>27.569559842869719</c:v>
                </c:pt>
                <c:pt idx="1028">
                  <c:v>27.569559842869719</c:v>
                </c:pt>
                <c:pt idx="1029">
                  <c:v>27.569559842869719</c:v>
                </c:pt>
                <c:pt idx="1030">
                  <c:v>27.569559842869719</c:v>
                </c:pt>
                <c:pt idx="1031">
                  <c:v>27.569559842869719</c:v>
                </c:pt>
                <c:pt idx="1032">
                  <c:v>27.569559842869719</c:v>
                </c:pt>
                <c:pt idx="1033">
                  <c:v>27.569559842869719</c:v>
                </c:pt>
                <c:pt idx="1034">
                  <c:v>27.569559842869719</c:v>
                </c:pt>
                <c:pt idx="1035">
                  <c:v>27.569559842869719</c:v>
                </c:pt>
                <c:pt idx="1036">
                  <c:v>27.569559842869719</c:v>
                </c:pt>
                <c:pt idx="1037">
                  <c:v>27.569559842869719</c:v>
                </c:pt>
                <c:pt idx="1038">
                  <c:v>27.569559842869719</c:v>
                </c:pt>
                <c:pt idx="1039">
                  <c:v>27.569559842869719</c:v>
                </c:pt>
                <c:pt idx="1040">
                  <c:v>27.569559842869719</c:v>
                </c:pt>
                <c:pt idx="1041">
                  <c:v>27.569559842869719</c:v>
                </c:pt>
                <c:pt idx="1042">
                  <c:v>27.569559842869719</c:v>
                </c:pt>
                <c:pt idx="1043">
                  <c:v>27.569559842869719</c:v>
                </c:pt>
                <c:pt idx="1044">
                  <c:v>27.569559842869719</c:v>
                </c:pt>
                <c:pt idx="1045">
                  <c:v>27.569559842869719</c:v>
                </c:pt>
                <c:pt idx="1046">
                  <c:v>27.569559842869719</c:v>
                </c:pt>
                <c:pt idx="1047">
                  <c:v>27.569559842869719</c:v>
                </c:pt>
                <c:pt idx="1048">
                  <c:v>27.569559842869719</c:v>
                </c:pt>
                <c:pt idx="1049">
                  <c:v>27.569559842869719</c:v>
                </c:pt>
                <c:pt idx="1050">
                  <c:v>27.569559842869719</c:v>
                </c:pt>
                <c:pt idx="1051">
                  <c:v>27.569559842869719</c:v>
                </c:pt>
                <c:pt idx="1052">
                  <c:v>27.569559842869719</c:v>
                </c:pt>
                <c:pt idx="1053">
                  <c:v>27.569559842869719</c:v>
                </c:pt>
                <c:pt idx="1054">
                  <c:v>27.569559842869719</c:v>
                </c:pt>
                <c:pt idx="1055">
                  <c:v>27.569559842869719</c:v>
                </c:pt>
                <c:pt idx="1056">
                  <c:v>27.569559842869719</c:v>
                </c:pt>
                <c:pt idx="1057">
                  <c:v>27.569559842869719</c:v>
                </c:pt>
                <c:pt idx="1058">
                  <c:v>27.569559842869719</c:v>
                </c:pt>
                <c:pt idx="1059">
                  <c:v>27.569559842869719</c:v>
                </c:pt>
                <c:pt idx="1060">
                  <c:v>27.569559842869719</c:v>
                </c:pt>
                <c:pt idx="1061">
                  <c:v>27.569559842869719</c:v>
                </c:pt>
                <c:pt idx="1062">
                  <c:v>27.569559842869719</c:v>
                </c:pt>
                <c:pt idx="1063">
                  <c:v>27.569559842869719</c:v>
                </c:pt>
                <c:pt idx="1064">
                  <c:v>27.569559842869719</c:v>
                </c:pt>
                <c:pt idx="1065">
                  <c:v>27.569559842869719</c:v>
                </c:pt>
                <c:pt idx="1066">
                  <c:v>27.569559842869719</c:v>
                </c:pt>
                <c:pt idx="1067">
                  <c:v>27.569559842869719</c:v>
                </c:pt>
                <c:pt idx="1068">
                  <c:v>27.569559842869719</c:v>
                </c:pt>
                <c:pt idx="1069">
                  <c:v>27.569559842869719</c:v>
                </c:pt>
                <c:pt idx="1070">
                  <c:v>27.569559842869719</c:v>
                </c:pt>
                <c:pt idx="1071">
                  <c:v>27.569559842869719</c:v>
                </c:pt>
                <c:pt idx="1072">
                  <c:v>27.569559842869719</c:v>
                </c:pt>
                <c:pt idx="1073">
                  <c:v>27.569559842869719</c:v>
                </c:pt>
                <c:pt idx="1074">
                  <c:v>27.569559842869719</c:v>
                </c:pt>
                <c:pt idx="1075">
                  <c:v>27.569559842869719</c:v>
                </c:pt>
                <c:pt idx="1076">
                  <c:v>27.569559842869719</c:v>
                </c:pt>
                <c:pt idx="1077">
                  <c:v>27.569559842869719</c:v>
                </c:pt>
                <c:pt idx="1078">
                  <c:v>27.569559842869719</c:v>
                </c:pt>
                <c:pt idx="1079">
                  <c:v>27.569559842869719</c:v>
                </c:pt>
                <c:pt idx="1080">
                  <c:v>27.569559842869719</c:v>
                </c:pt>
                <c:pt idx="1081">
                  <c:v>27.569559842869719</c:v>
                </c:pt>
                <c:pt idx="1082">
                  <c:v>27.569559842869719</c:v>
                </c:pt>
                <c:pt idx="1083">
                  <c:v>27.569559842869719</c:v>
                </c:pt>
                <c:pt idx="1084">
                  <c:v>27.569559842869719</c:v>
                </c:pt>
                <c:pt idx="1085">
                  <c:v>27.569559842869719</c:v>
                </c:pt>
                <c:pt idx="1086">
                  <c:v>27.569559842869719</c:v>
                </c:pt>
                <c:pt idx="1087">
                  <c:v>27.569559842869719</c:v>
                </c:pt>
                <c:pt idx="1088">
                  <c:v>27.569559842869719</c:v>
                </c:pt>
                <c:pt idx="1089">
                  <c:v>27.569559842869719</c:v>
                </c:pt>
                <c:pt idx="1090">
                  <c:v>27.569559842869719</c:v>
                </c:pt>
                <c:pt idx="1091">
                  <c:v>27.569559842869719</c:v>
                </c:pt>
                <c:pt idx="1092">
                  <c:v>27.569559842869719</c:v>
                </c:pt>
                <c:pt idx="1093">
                  <c:v>27.569559842869719</c:v>
                </c:pt>
                <c:pt idx="1094">
                  <c:v>27.569559842869719</c:v>
                </c:pt>
                <c:pt idx="1095">
                  <c:v>27.569559842869719</c:v>
                </c:pt>
                <c:pt idx="1096">
                  <c:v>27.569559842869719</c:v>
                </c:pt>
                <c:pt idx="1097">
                  <c:v>27.569559842869719</c:v>
                </c:pt>
                <c:pt idx="1098">
                  <c:v>27.569559842869719</c:v>
                </c:pt>
                <c:pt idx="1099">
                  <c:v>27.569559842869719</c:v>
                </c:pt>
                <c:pt idx="1100">
                  <c:v>27.569559842869719</c:v>
                </c:pt>
                <c:pt idx="1101">
                  <c:v>27.569559842869719</c:v>
                </c:pt>
                <c:pt idx="1102">
                  <c:v>27.569559842869719</c:v>
                </c:pt>
                <c:pt idx="1103">
                  <c:v>27.569559842869719</c:v>
                </c:pt>
                <c:pt idx="1104">
                  <c:v>27.569559842869719</c:v>
                </c:pt>
                <c:pt idx="1105">
                  <c:v>27.569559842869719</c:v>
                </c:pt>
                <c:pt idx="1106">
                  <c:v>27.569559842869719</c:v>
                </c:pt>
                <c:pt idx="1107">
                  <c:v>27.569559842869719</c:v>
                </c:pt>
                <c:pt idx="1108">
                  <c:v>27.569559842869719</c:v>
                </c:pt>
                <c:pt idx="1109">
                  <c:v>27.569559842869719</c:v>
                </c:pt>
                <c:pt idx="1110">
                  <c:v>27.569559842869719</c:v>
                </c:pt>
                <c:pt idx="1111">
                  <c:v>27.569559842869719</c:v>
                </c:pt>
                <c:pt idx="1112">
                  <c:v>27.569559842869719</c:v>
                </c:pt>
                <c:pt idx="1113">
                  <c:v>27.569559842869719</c:v>
                </c:pt>
                <c:pt idx="1114">
                  <c:v>27.569559842869719</c:v>
                </c:pt>
                <c:pt idx="1115">
                  <c:v>27.569559842869719</c:v>
                </c:pt>
                <c:pt idx="1116">
                  <c:v>27.569559842869719</c:v>
                </c:pt>
                <c:pt idx="1117">
                  <c:v>27.569559842869719</c:v>
                </c:pt>
                <c:pt idx="1118">
                  <c:v>27.569559842869719</c:v>
                </c:pt>
                <c:pt idx="1119">
                  <c:v>27.569559842869719</c:v>
                </c:pt>
                <c:pt idx="1120">
                  <c:v>27.569559842869719</c:v>
                </c:pt>
                <c:pt idx="1121">
                  <c:v>27.569559842869719</c:v>
                </c:pt>
                <c:pt idx="1122">
                  <c:v>27.569559842869719</c:v>
                </c:pt>
                <c:pt idx="1123">
                  <c:v>27.569559842869719</c:v>
                </c:pt>
                <c:pt idx="1124">
                  <c:v>27.569559842869719</c:v>
                </c:pt>
                <c:pt idx="1125">
                  <c:v>27.569559842869719</c:v>
                </c:pt>
                <c:pt idx="1126">
                  <c:v>27.569559842869719</c:v>
                </c:pt>
                <c:pt idx="1127">
                  <c:v>27.569559842869719</c:v>
                </c:pt>
                <c:pt idx="1128">
                  <c:v>27.569559842869719</c:v>
                </c:pt>
                <c:pt idx="1129">
                  <c:v>27.569559842869719</c:v>
                </c:pt>
                <c:pt idx="1130">
                  <c:v>27.569559842869719</c:v>
                </c:pt>
                <c:pt idx="1131">
                  <c:v>27.569559842869719</c:v>
                </c:pt>
                <c:pt idx="1132">
                  <c:v>27.569559842869719</c:v>
                </c:pt>
                <c:pt idx="1133">
                  <c:v>27.569559842869719</c:v>
                </c:pt>
                <c:pt idx="1134">
                  <c:v>27.569559842869719</c:v>
                </c:pt>
                <c:pt idx="1135">
                  <c:v>27.569559842869719</c:v>
                </c:pt>
                <c:pt idx="1136">
                  <c:v>27.569559842869719</c:v>
                </c:pt>
                <c:pt idx="1137">
                  <c:v>27.569559842869719</c:v>
                </c:pt>
                <c:pt idx="1138">
                  <c:v>27.569559842869719</c:v>
                </c:pt>
                <c:pt idx="1139">
                  <c:v>27.569559842869719</c:v>
                </c:pt>
                <c:pt idx="1140">
                  <c:v>27.569559842869719</c:v>
                </c:pt>
                <c:pt idx="1141">
                  <c:v>27.569559842869719</c:v>
                </c:pt>
                <c:pt idx="1142">
                  <c:v>27.569559842869719</c:v>
                </c:pt>
                <c:pt idx="1143">
                  <c:v>27.569559842869719</c:v>
                </c:pt>
                <c:pt idx="1144">
                  <c:v>27.569559842869719</c:v>
                </c:pt>
                <c:pt idx="1145">
                  <c:v>27.569559842869719</c:v>
                </c:pt>
                <c:pt idx="1146">
                  <c:v>27.569559842869719</c:v>
                </c:pt>
                <c:pt idx="1147">
                  <c:v>27.569559842869719</c:v>
                </c:pt>
                <c:pt idx="1148">
                  <c:v>27.569559842869719</c:v>
                </c:pt>
                <c:pt idx="1149">
                  <c:v>27.569559842869719</c:v>
                </c:pt>
                <c:pt idx="1150">
                  <c:v>27.569559842869719</c:v>
                </c:pt>
                <c:pt idx="1151">
                  <c:v>27.569559842869719</c:v>
                </c:pt>
                <c:pt idx="1152">
                  <c:v>27.569559842869719</c:v>
                </c:pt>
                <c:pt idx="1153">
                  <c:v>27.569559842869719</c:v>
                </c:pt>
                <c:pt idx="1154">
                  <c:v>27.569559842869719</c:v>
                </c:pt>
                <c:pt idx="1155">
                  <c:v>27.569559842869719</c:v>
                </c:pt>
                <c:pt idx="1156">
                  <c:v>27.569559842869719</c:v>
                </c:pt>
                <c:pt idx="1157">
                  <c:v>27.569559842869719</c:v>
                </c:pt>
                <c:pt idx="1158">
                  <c:v>27.569559842869719</c:v>
                </c:pt>
                <c:pt idx="1159">
                  <c:v>27.569559842869719</c:v>
                </c:pt>
                <c:pt idx="1160">
                  <c:v>27.569559842869719</c:v>
                </c:pt>
                <c:pt idx="1161">
                  <c:v>27.569559842869719</c:v>
                </c:pt>
                <c:pt idx="1162">
                  <c:v>27.569559842869719</c:v>
                </c:pt>
                <c:pt idx="1163">
                  <c:v>27.569559842869719</c:v>
                </c:pt>
                <c:pt idx="1164">
                  <c:v>27.569559842869719</c:v>
                </c:pt>
                <c:pt idx="1165">
                  <c:v>27.569559842869719</c:v>
                </c:pt>
                <c:pt idx="1166">
                  <c:v>27.569559842869719</c:v>
                </c:pt>
                <c:pt idx="1167">
                  <c:v>27.569559842869719</c:v>
                </c:pt>
                <c:pt idx="1168">
                  <c:v>27.569559842869719</c:v>
                </c:pt>
                <c:pt idx="1169">
                  <c:v>27.569559842869719</c:v>
                </c:pt>
                <c:pt idx="1170">
                  <c:v>27.569559842869719</c:v>
                </c:pt>
                <c:pt idx="1171">
                  <c:v>27.569559842869719</c:v>
                </c:pt>
                <c:pt idx="1172">
                  <c:v>27.569559842869719</c:v>
                </c:pt>
                <c:pt idx="1173">
                  <c:v>27.569559842869719</c:v>
                </c:pt>
                <c:pt idx="1174">
                  <c:v>27.569559842869719</c:v>
                </c:pt>
                <c:pt idx="1175">
                  <c:v>27.569559842869719</c:v>
                </c:pt>
                <c:pt idx="1176">
                  <c:v>27.569559842869719</c:v>
                </c:pt>
                <c:pt idx="1177">
                  <c:v>27.569559842869719</c:v>
                </c:pt>
                <c:pt idx="1178">
                  <c:v>27.569559842869719</c:v>
                </c:pt>
                <c:pt idx="1179">
                  <c:v>27.569559842869719</c:v>
                </c:pt>
                <c:pt idx="1180">
                  <c:v>27.569559842869719</c:v>
                </c:pt>
                <c:pt idx="1181">
                  <c:v>27.569559842869719</c:v>
                </c:pt>
                <c:pt idx="1182">
                  <c:v>27.569559842869719</c:v>
                </c:pt>
                <c:pt idx="1183">
                  <c:v>27.569559842869719</c:v>
                </c:pt>
                <c:pt idx="1184">
                  <c:v>27.569559842869719</c:v>
                </c:pt>
                <c:pt idx="1185">
                  <c:v>27.569559842869719</c:v>
                </c:pt>
                <c:pt idx="1186">
                  <c:v>27.569559842869719</c:v>
                </c:pt>
                <c:pt idx="1187">
                  <c:v>27.569559842869719</c:v>
                </c:pt>
                <c:pt idx="1188">
                  <c:v>27.569559842869719</c:v>
                </c:pt>
                <c:pt idx="1189">
                  <c:v>27.569559842869719</c:v>
                </c:pt>
                <c:pt idx="1190">
                  <c:v>27.569559842869719</c:v>
                </c:pt>
                <c:pt idx="1191">
                  <c:v>27.569559842869719</c:v>
                </c:pt>
                <c:pt idx="1192">
                  <c:v>27.569559842869719</c:v>
                </c:pt>
                <c:pt idx="1193">
                  <c:v>27.569559842869719</c:v>
                </c:pt>
                <c:pt idx="1194">
                  <c:v>27.569559842869719</c:v>
                </c:pt>
                <c:pt idx="1195">
                  <c:v>27.569559842869719</c:v>
                </c:pt>
                <c:pt idx="1196">
                  <c:v>27.569559842869719</c:v>
                </c:pt>
                <c:pt idx="1197">
                  <c:v>27.569559842869719</c:v>
                </c:pt>
                <c:pt idx="1198">
                  <c:v>27.569559842869719</c:v>
                </c:pt>
                <c:pt idx="1199">
                  <c:v>27.569559842869719</c:v>
                </c:pt>
                <c:pt idx="1200">
                  <c:v>27.569559842869719</c:v>
                </c:pt>
                <c:pt idx="1201">
                  <c:v>27.569559842869719</c:v>
                </c:pt>
                <c:pt idx="1202">
                  <c:v>27.569559842869719</c:v>
                </c:pt>
                <c:pt idx="1203">
                  <c:v>27.569559842869719</c:v>
                </c:pt>
                <c:pt idx="1204">
                  <c:v>27.569559842869719</c:v>
                </c:pt>
                <c:pt idx="1205">
                  <c:v>27.569559842869719</c:v>
                </c:pt>
                <c:pt idx="1206">
                  <c:v>27.569559842869719</c:v>
                </c:pt>
                <c:pt idx="1207">
                  <c:v>27.569559842869719</c:v>
                </c:pt>
                <c:pt idx="1208">
                  <c:v>27.569559842869719</c:v>
                </c:pt>
                <c:pt idx="1209">
                  <c:v>27.569559842869719</c:v>
                </c:pt>
                <c:pt idx="1210">
                  <c:v>27.569559842869719</c:v>
                </c:pt>
                <c:pt idx="1211">
                  <c:v>27.569559842869719</c:v>
                </c:pt>
                <c:pt idx="1212">
                  <c:v>27.569559842869719</c:v>
                </c:pt>
                <c:pt idx="1213">
                  <c:v>27.569559842869719</c:v>
                </c:pt>
                <c:pt idx="1214">
                  <c:v>27.569559842869719</c:v>
                </c:pt>
                <c:pt idx="1215">
                  <c:v>27.569559842869719</c:v>
                </c:pt>
                <c:pt idx="1216">
                  <c:v>27.569559842869719</c:v>
                </c:pt>
                <c:pt idx="1217">
                  <c:v>27.569559842869719</c:v>
                </c:pt>
                <c:pt idx="1218">
                  <c:v>27.569559842869719</c:v>
                </c:pt>
                <c:pt idx="1219">
                  <c:v>27.569559842869719</c:v>
                </c:pt>
                <c:pt idx="1220">
                  <c:v>27.569559842869719</c:v>
                </c:pt>
                <c:pt idx="1221">
                  <c:v>27.569559842869719</c:v>
                </c:pt>
                <c:pt idx="1222">
                  <c:v>27.569559842869719</c:v>
                </c:pt>
                <c:pt idx="1223">
                  <c:v>27.569559842869719</c:v>
                </c:pt>
                <c:pt idx="1224">
                  <c:v>27.569559842869719</c:v>
                </c:pt>
                <c:pt idx="1225">
                  <c:v>27.569559842869719</c:v>
                </c:pt>
                <c:pt idx="1226">
                  <c:v>27.569559842869719</c:v>
                </c:pt>
                <c:pt idx="1227">
                  <c:v>27.569559842869719</c:v>
                </c:pt>
                <c:pt idx="1228">
                  <c:v>27.569559842869719</c:v>
                </c:pt>
                <c:pt idx="1229">
                  <c:v>27.569559842869719</c:v>
                </c:pt>
                <c:pt idx="1230">
                  <c:v>27.569559842869719</c:v>
                </c:pt>
                <c:pt idx="1231">
                  <c:v>27.569559842869719</c:v>
                </c:pt>
                <c:pt idx="1232">
                  <c:v>27.569559842869719</c:v>
                </c:pt>
                <c:pt idx="1233">
                  <c:v>27.569559842869719</c:v>
                </c:pt>
                <c:pt idx="1234">
                  <c:v>27.569559842869719</c:v>
                </c:pt>
                <c:pt idx="1235">
                  <c:v>27.569559842869719</c:v>
                </c:pt>
                <c:pt idx="1236">
                  <c:v>27.569559842869719</c:v>
                </c:pt>
                <c:pt idx="1237">
                  <c:v>27.569559842869719</c:v>
                </c:pt>
                <c:pt idx="1238">
                  <c:v>27.569559842869719</c:v>
                </c:pt>
                <c:pt idx="1239">
                  <c:v>27.569559842869719</c:v>
                </c:pt>
                <c:pt idx="1240">
                  <c:v>27.569559842869719</c:v>
                </c:pt>
                <c:pt idx="1241">
                  <c:v>27.569559842869719</c:v>
                </c:pt>
                <c:pt idx="1242">
                  <c:v>27.569559842869719</c:v>
                </c:pt>
                <c:pt idx="1243">
                  <c:v>27.569559842869719</c:v>
                </c:pt>
                <c:pt idx="1244">
                  <c:v>27.569559842869719</c:v>
                </c:pt>
                <c:pt idx="1245">
                  <c:v>27.569559842869719</c:v>
                </c:pt>
                <c:pt idx="1246">
                  <c:v>27.569559842869719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0B0-454F-ADA1-96CBF634E7E5}"/>
            </c:ext>
          </c:extLst>
        </c:ser>
        <c:ser>
          <c:idx val="0"/>
          <c:order val="5"/>
          <c:tx>
            <c:strRef>
              <c:f>'FX Data'!$E$956</c:f>
              <c:strCache>
                <c:ptCount val="1"/>
                <c:pt idx="0">
                  <c:v>Average P/E</c:v>
                </c:pt>
              </c:strCache>
            </c:strRef>
          </c:tx>
          <c:spPr>
            <a:ln w="28575" cap="rnd">
              <a:solidFill>
                <a:sysClr val="windowText" lastClr="000000">
                  <a:lumMod val="50000"/>
                  <a:lumOff val="50000"/>
                </a:sysClr>
              </a:solidFill>
              <a:round/>
            </a:ln>
            <a:effectLst/>
          </c:spPr>
          <c:marker>
            <c:symbol val="none"/>
          </c:marker>
          <c:cat>
            <c:numRef>
              <c:f>'FX Data'!$B$957:$B$2203</c:f>
              <c:numCache>
                <c:formatCode>m/d/yyyy</c:formatCode>
                <c:ptCount val="1247"/>
                <c:pt idx="0">
                  <c:v>44263</c:v>
                </c:pt>
                <c:pt idx="1">
                  <c:v>44264</c:v>
                </c:pt>
                <c:pt idx="2">
                  <c:v>44265</c:v>
                </c:pt>
                <c:pt idx="3">
                  <c:v>44266</c:v>
                </c:pt>
                <c:pt idx="4">
                  <c:v>44267</c:v>
                </c:pt>
                <c:pt idx="5">
                  <c:v>44270</c:v>
                </c:pt>
                <c:pt idx="6">
                  <c:v>44271</c:v>
                </c:pt>
                <c:pt idx="7">
                  <c:v>44272</c:v>
                </c:pt>
                <c:pt idx="8">
                  <c:v>44273</c:v>
                </c:pt>
                <c:pt idx="9">
                  <c:v>44274</c:v>
                </c:pt>
                <c:pt idx="10">
                  <c:v>44277</c:v>
                </c:pt>
                <c:pt idx="11">
                  <c:v>44278</c:v>
                </c:pt>
                <c:pt idx="12">
                  <c:v>44279</c:v>
                </c:pt>
                <c:pt idx="13">
                  <c:v>44280</c:v>
                </c:pt>
                <c:pt idx="14">
                  <c:v>44281</c:v>
                </c:pt>
                <c:pt idx="15">
                  <c:v>44284</c:v>
                </c:pt>
                <c:pt idx="16">
                  <c:v>44285</c:v>
                </c:pt>
                <c:pt idx="17">
                  <c:v>44286</c:v>
                </c:pt>
                <c:pt idx="18">
                  <c:v>44287</c:v>
                </c:pt>
                <c:pt idx="19">
                  <c:v>44288</c:v>
                </c:pt>
                <c:pt idx="20">
                  <c:v>44291</c:v>
                </c:pt>
                <c:pt idx="21">
                  <c:v>44292</c:v>
                </c:pt>
                <c:pt idx="22">
                  <c:v>44293</c:v>
                </c:pt>
                <c:pt idx="23">
                  <c:v>44294</c:v>
                </c:pt>
                <c:pt idx="24">
                  <c:v>44295</c:v>
                </c:pt>
                <c:pt idx="25">
                  <c:v>44298</c:v>
                </c:pt>
                <c:pt idx="26">
                  <c:v>44299</c:v>
                </c:pt>
                <c:pt idx="27">
                  <c:v>44300</c:v>
                </c:pt>
                <c:pt idx="28">
                  <c:v>44301</c:v>
                </c:pt>
                <c:pt idx="29">
                  <c:v>44302</c:v>
                </c:pt>
                <c:pt idx="30">
                  <c:v>44305</c:v>
                </c:pt>
                <c:pt idx="31">
                  <c:v>44306</c:v>
                </c:pt>
                <c:pt idx="32">
                  <c:v>44308</c:v>
                </c:pt>
                <c:pt idx="33">
                  <c:v>44309</c:v>
                </c:pt>
                <c:pt idx="34">
                  <c:v>44312</c:v>
                </c:pt>
                <c:pt idx="35">
                  <c:v>44313</c:v>
                </c:pt>
                <c:pt idx="36">
                  <c:v>44314</c:v>
                </c:pt>
                <c:pt idx="37">
                  <c:v>44315</c:v>
                </c:pt>
                <c:pt idx="38">
                  <c:v>44320</c:v>
                </c:pt>
                <c:pt idx="39">
                  <c:v>44321</c:v>
                </c:pt>
                <c:pt idx="40">
                  <c:v>44322</c:v>
                </c:pt>
                <c:pt idx="41">
                  <c:v>44323</c:v>
                </c:pt>
                <c:pt idx="42">
                  <c:v>44326</c:v>
                </c:pt>
                <c:pt idx="43">
                  <c:v>44327</c:v>
                </c:pt>
                <c:pt idx="44">
                  <c:v>44328</c:v>
                </c:pt>
                <c:pt idx="45">
                  <c:v>44329</c:v>
                </c:pt>
                <c:pt idx="46">
                  <c:v>44330</c:v>
                </c:pt>
                <c:pt idx="47">
                  <c:v>44333</c:v>
                </c:pt>
                <c:pt idx="48">
                  <c:v>44334</c:v>
                </c:pt>
                <c:pt idx="49">
                  <c:v>44335</c:v>
                </c:pt>
                <c:pt idx="50">
                  <c:v>44336</c:v>
                </c:pt>
                <c:pt idx="51">
                  <c:v>44337</c:v>
                </c:pt>
                <c:pt idx="52">
                  <c:v>44340</c:v>
                </c:pt>
                <c:pt idx="53">
                  <c:v>44341</c:v>
                </c:pt>
                <c:pt idx="54">
                  <c:v>44342</c:v>
                </c:pt>
                <c:pt idx="55">
                  <c:v>44343</c:v>
                </c:pt>
                <c:pt idx="56">
                  <c:v>44344</c:v>
                </c:pt>
                <c:pt idx="57">
                  <c:v>44347</c:v>
                </c:pt>
                <c:pt idx="58">
                  <c:v>44348</c:v>
                </c:pt>
                <c:pt idx="59">
                  <c:v>44349</c:v>
                </c:pt>
                <c:pt idx="60">
                  <c:v>44350</c:v>
                </c:pt>
                <c:pt idx="61">
                  <c:v>44351</c:v>
                </c:pt>
                <c:pt idx="62">
                  <c:v>44354</c:v>
                </c:pt>
                <c:pt idx="63">
                  <c:v>44355</c:v>
                </c:pt>
                <c:pt idx="64">
                  <c:v>44356</c:v>
                </c:pt>
                <c:pt idx="65">
                  <c:v>44357</c:v>
                </c:pt>
                <c:pt idx="66">
                  <c:v>44358</c:v>
                </c:pt>
                <c:pt idx="67">
                  <c:v>44361</c:v>
                </c:pt>
                <c:pt idx="68">
                  <c:v>44362</c:v>
                </c:pt>
                <c:pt idx="69">
                  <c:v>44363</c:v>
                </c:pt>
                <c:pt idx="70">
                  <c:v>44364</c:v>
                </c:pt>
                <c:pt idx="71">
                  <c:v>44365</c:v>
                </c:pt>
                <c:pt idx="72">
                  <c:v>44368</c:v>
                </c:pt>
                <c:pt idx="73">
                  <c:v>44369</c:v>
                </c:pt>
                <c:pt idx="74">
                  <c:v>44370</c:v>
                </c:pt>
                <c:pt idx="75">
                  <c:v>44371</c:v>
                </c:pt>
                <c:pt idx="76">
                  <c:v>44372</c:v>
                </c:pt>
                <c:pt idx="77">
                  <c:v>44375</c:v>
                </c:pt>
                <c:pt idx="78">
                  <c:v>44376</c:v>
                </c:pt>
                <c:pt idx="79">
                  <c:v>44377</c:v>
                </c:pt>
                <c:pt idx="80">
                  <c:v>44378</c:v>
                </c:pt>
                <c:pt idx="81">
                  <c:v>44379</c:v>
                </c:pt>
                <c:pt idx="82">
                  <c:v>44382</c:v>
                </c:pt>
                <c:pt idx="83">
                  <c:v>44383</c:v>
                </c:pt>
                <c:pt idx="84">
                  <c:v>44384</c:v>
                </c:pt>
                <c:pt idx="85">
                  <c:v>44385</c:v>
                </c:pt>
                <c:pt idx="86">
                  <c:v>44386</c:v>
                </c:pt>
                <c:pt idx="87">
                  <c:v>44389</c:v>
                </c:pt>
                <c:pt idx="88">
                  <c:v>44390</c:v>
                </c:pt>
                <c:pt idx="89">
                  <c:v>44391</c:v>
                </c:pt>
                <c:pt idx="90">
                  <c:v>44392</c:v>
                </c:pt>
                <c:pt idx="91">
                  <c:v>44393</c:v>
                </c:pt>
                <c:pt idx="92">
                  <c:v>44396</c:v>
                </c:pt>
                <c:pt idx="93">
                  <c:v>44397</c:v>
                </c:pt>
                <c:pt idx="94">
                  <c:v>44398</c:v>
                </c:pt>
                <c:pt idx="95">
                  <c:v>44399</c:v>
                </c:pt>
                <c:pt idx="96">
                  <c:v>44400</c:v>
                </c:pt>
                <c:pt idx="97">
                  <c:v>44403</c:v>
                </c:pt>
                <c:pt idx="98">
                  <c:v>44404</c:v>
                </c:pt>
                <c:pt idx="99">
                  <c:v>44405</c:v>
                </c:pt>
                <c:pt idx="100">
                  <c:v>44406</c:v>
                </c:pt>
                <c:pt idx="101">
                  <c:v>44407</c:v>
                </c:pt>
                <c:pt idx="102">
                  <c:v>44410</c:v>
                </c:pt>
                <c:pt idx="103">
                  <c:v>44411</c:v>
                </c:pt>
                <c:pt idx="104">
                  <c:v>44412</c:v>
                </c:pt>
                <c:pt idx="105">
                  <c:v>44413</c:v>
                </c:pt>
                <c:pt idx="106">
                  <c:v>44414</c:v>
                </c:pt>
                <c:pt idx="107">
                  <c:v>44417</c:v>
                </c:pt>
                <c:pt idx="108">
                  <c:v>44418</c:v>
                </c:pt>
                <c:pt idx="109">
                  <c:v>44419</c:v>
                </c:pt>
                <c:pt idx="110">
                  <c:v>44420</c:v>
                </c:pt>
                <c:pt idx="111">
                  <c:v>44421</c:v>
                </c:pt>
                <c:pt idx="112">
                  <c:v>44424</c:v>
                </c:pt>
                <c:pt idx="113">
                  <c:v>44425</c:v>
                </c:pt>
                <c:pt idx="114">
                  <c:v>44426</c:v>
                </c:pt>
                <c:pt idx="115">
                  <c:v>44427</c:v>
                </c:pt>
                <c:pt idx="116">
                  <c:v>44428</c:v>
                </c:pt>
                <c:pt idx="117">
                  <c:v>44431</c:v>
                </c:pt>
                <c:pt idx="118">
                  <c:v>44432</c:v>
                </c:pt>
                <c:pt idx="119">
                  <c:v>44433</c:v>
                </c:pt>
                <c:pt idx="120">
                  <c:v>44434</c:v>
                </c:pt>
                <c:pt idx="121">
                  <c:v>44435</c:v>
                </c:pt>
                <c:pt idx="122">
                  <c:v>44438</c:v>
                </c:pt>
                <c:pt idx="123">
                  <c:v>44439</c:v>
                </c:pt>
                <c:pt idx="124">
                  <c:v>44440</c:v>
                </c:pt>
                <c:pt idx="125">
                  <c:v>44445</c:v>
                </c:pt>
                <c:pt idx="126">
                  <c:v>44446</c:v>
                </c:pt>
                <c:pt idx="127">
                  <c:v>44447</c:v>
                </c:pt>
                <c:pt idx="128">
                  <c:v>44448</c:v>
                </c:pt>
                <c:pt idx="129">
                  <c:v>44449</c:v>
                </c:pt>
                <c:pt idx="130">
                  <c:v>44452</c:v>
                </c:pt>
                <c:pt idx="131">
                  <c:v>44453</c:v>
                </c:pt>
                <c:pt idx="132">
                  <c:v>44454</c:v>
                </c:pt>
                <c:pt idx="133">
                  <c:v>44455</c:v>
                </c:pt>
                <c:pt idx="134">
                  <c:v>44456</c:v>
                </c:pt>
                <c:pt idx="135">
                  <c:v>44459</c:v>
                </c:pt>
                <c:pt idx="136">
                  <c:v>44460</c:v>
                </c:pt>
                <c:pt idx="137">
                  <c:v>44461</c:v>
                </c:pt>
                <c:pt idx="138">
                  <c:v>44462</c:v>
                </c:pt>
                <c:pt idx="139">
                  <c:v>44463</c:v>
                </c:pt>
                <c:pt idx="140">
                  <c:v>44466</c:v>
                </c:pt>
                <c:pt idx="141">
                  <c:v>44467</c:v>
                </c:pt>
                <c:pt idx="142">
                  <c:v>44468</c:v>
                </c:pt>
                <c:pt idx="143">
                  <c:v>44469</c:v>
                </c:pt>
                <c:pt idx="144">
                  <c:v>44470</c:v>
                </c:pt>
                <c:pt idx="145">
                  <c:v>44473</c:v>
                </c:pt>
                <c:pt idx="146">
                  <c:v>44474</c:v>
                </c:pt>
                <c:pt idx="147">
                  <c:v>44475</c:v>
                </c:pt>
                <c:pt idx="148">
                  <c:v>44476</c:v>
                </c:pt>
                <c:pt idx="149">
                  <c:v>44477</c:v>
                </c:pt>
                <c:pt idx="150">
                  <c:v>44480</c:v>
                </c:pt>
                <c:pt idx="151">
                  <c:v>44481</c:v>
                </c:pt>
                <c:pt idx="152">
                  <c:v>44482</c:v>
                </c:pt>
                <c:pt idx="153">
                  <c:v>44483</c:v>
                </c:pt>
                <c:pt idx="154">
                  <c:v>44484</c:v>
                </c:pt>
                <c:pt idx="155">
                  <c:v>44487</c:v>
                </c:pt>
                <c:pt idx="156">
                  <c:v>44488</c:v>
                </c:pt>
                <c:pt idx="157">
                  <c:v>44489</c:v>
                </c:pt>
                <c:pt idx="158">
                  <c:v>44490</c:v>
                </c:pt>
                <c:pt idx="159">
                  <c:v>44491</c:v>
                </c:pt>
                <c:pt idx="160">
                  <c:v>44494</c:v>
                </c:pt>
                <c:pt idx="161">
                  <c:v>44495</c:v>
                </c:pt>
                <c:pt idx="162">
                  <c:v>44496</c:v>
                </c:pt>
                <c:pt idx="163">
                  <c:v>44497</c:v>
                </c:pt>
                <c:pt idx="164">
                  <c:v>44498</c:v>
                </c:pt>
                <c:pt idx="165">
                  <c:v>44501</c:v>
                </c:pt>
                <c:pt idx="166">
                  <c:v>44502</c:v>
                </c:pt>
                <c:pt idx="167">
                  <c:v>44503</c:v>
                </c:pt>
                <c:pt idx="168">
                  <c:v>44504</c:v>
                </c:pt>
                <c:pt idx="169">
                  <c:v>44505</c:v>
                </c:pt>
                <c:pt idx="170">
                  <c:v>44508</c:v>
                </c:pt>
                <c:pt idx="171">
                  <c:v>44509</c:v>
                </c:pt>
                <c:pt idx="172">
                  <c:v>44510</c:v>
                </c:pt>
                <c:pt idx="173">
                  <c:v>44511</c:v>
                </c:pt>
                <c:pt idx="174">
                  <c:v>44512</c:v>
                </c:pt>
                <c:pt idx="175">
                  <c:v>44515</c:v>
                </c:pt>
                <c:pt idx="176">
                  <c:v>44516</c:v>
                </c:pt>
                <c:pt idx="177">
                  <c:v>44517</c:v>
                </c:pt>
                <c:pt idx="178">
                  <c:v>44518</c:v>
                </c:pt>
                <c:pt idx="179">
                  <c:v>44519</c:v>
                </c:pt>
                <c:pt idx="180">
                  <c:v>44522</c:v>
                </c:pt>
                <c:pt idx="181">
                  <c:v>44523</c:v>
                </c:pt>
                <c:pt idx="182">
                  <c:v>44524</c:v>
                </c:pt>
                <c:pt idx="183">
                  <c:v>44525</c:v>
                </c:pt>
                <c:pt idx="184">
                  <c:v>44526</c:v>
                </c:pt>
                <c:pt idx="185">
                  <c:v>44529</c:v>
                </c:pt>
                <c:pt idx="186">
                  <c:v>44530</c:v>
                </c:pt>
                <c:pt idx="187">
                  <c:v>44531</c:v>
                </c:pt>
                <c:pt idx="188">
                  <c:v>44532</c:v>
                </c:pt>
                <c:pt idx="189">
                  <c:v>44533</c:v>
                </c:pt>
                <c:pt idx="190">
                  <c:v>44536</c:v>
                </c:pt>
                <c:pt idx="191">
                  <c:v>44537</c:v>
                </c:pt>
                <c:pt idx="192">
                  <c:v>44538</c:v>
                </c:pt>
                <c:pt idx="193">
                  <c:v>44539</c:v>
                </c:pt>
                <c:pt idx="194">
                  <c:v>44540</c:v>
                </c:pt>
                <c:pt idx="195">
                  <c:v>44543</c:v>
                </c:pt>
                <c:pt idx="196">
                  <c:v>44544</c:v>
                </c:pt>
                <c:pt idx="197">
                  <c:v>44545</c:v>
                </c:pt>
                <c:pt idx="198">
                  <c:v>44546</c:v>
                </c:pt>
                <c:pt idx="199">
                  <c:v>44547</c:v>
                </c:pt>
                <c:pt idx="200">
                  <c:v>44550</c:v>
                </c:pt>
                <c:pt idx="201">
                  <c:v>44551</c:v>
                </c:pt>
                <c:pt idx="202">
                  <c:v>44552</c:v>
                </c:pt>
                <c:pt idx="203">
                  <c:v>44553</c:v>
                </c:pt>
                <c:pt idx="204">
                  <c:v>44554</c:v>
                </c:pt>
                <c:pt idx="205">
                  <c:v>44557</c:v>
                </c:pt>
                <c:pt idx="206">
                  <c:v>44558</c:v>
                </c:pt>
                <c:pt idx="207">
                  <c:v>44559</c:v>
                </c:pt>
                <c:pt idx="208">
                  <c:v>44560</c:v>
                </c:pt>
                <c:pt idx="209">
                  <c:v>44561</c:v>
                </c:pt>
                <c:pt idx="210">
                  <c:v>44565</c:v>
                </c:pt>
                <c:pt idx="211">
                  <c:v>44566</c:v>
                </c:pt>
                <c:pt idx="212">
                  <c:v>44567</c:v>
                </c:pt>
                <c:pt idx="213">
                  <c:v>44568</c:v>
                </c:pt>
                <c:pt idx="214">
                  <c:v>44571</c:v>
                </c:pt>
                <c:pt idx="215">
                  <c:v>44572</c:v>
                </c:pt>
                <c:pt idx="216">
                  <c:v>44573</c:v>
                </c:pt>
                <c:pt idx="217">
                  <c:v>44574</c:v>
                </c:pt>
                <c:pt idx="218">
                  <c:v>44575</c:v>
                </c:pt>
                <c:pt idx="219">
                  <c:v>44578</c:v>
                </c:pt>
                <c:pt idx="220">
                  <c:v>44579</c:v>
                </c:pt>
                <c:pt idx="221">
                  <c:v>44580</c:v>
                </c:pt>
                <c:pt idx="222">
                  <c:v>44581</c:v>
                </c:pt>
                <c:pt idx="223">
                  <c:v>44582</c:v>
                </c:pt>
                <c:pt idx="224">
                  <c:v>44585</c:v>
                </c:pt>
                <c:pt idx="225">
                  <c:v>44586</c:v>
                </c:pt>
                <c:pt idx="226">
                  <c:v>44587</c:v>
                </c:pt>
                <c:pt idx="227">
                  <c:v>44588</c:v>
                </c:pt>
                <c:pt idx="228">
                  <c:v>44589</c:v>
                </c:pt>
                <c:pt idx="229">
                  <c:v>44599</c:v>
                </c:pt>
                <c:pt idx="230">
                  <c:v>44600</c:v>
                </c:pt>
                <c:pt idx="231">
                  <c:v>44601</c:v>
                </c:pt>
                <c:pt idx="232">
                  <c:v>44602</c:v>
                </c:pt>
                <c:pt idx="233">
                  <c:v>44603</c:v>
                </c:pt>
                <c:pt idx="234">
                  <c:v>44606</c:v>
                </c:pt>
                <c:pt idx="235">
                  <c:v>44607</c:v>
                </c:pt>
                <c:pt idx="236">
                  <c:v>44608</c:v>
                </c:pt>
                <c:pt idx="237">
                  <c:v>44609</c:v>
                </c:pt>
                <c:pt idx="238">
                  <c:v>44610</c:v>
                </c:pt>
                <c:pt idx="239">
                  <c:v>44613</c:v>
                </c:pt>
                <c:pt idx="240">
                  <c:v>44614</c:v>
                </c:pt>
                <c:pt idx="241">
                  <c:v>44615</c:v>
                </c:pt>
                <c:pt idx="242">
                  <c:v>44616</c:v>
                </c:pt>
                <c:pt idx="243">
                  <c:v>44617</c:v>
                </c:pt>
                <c:pt idx="244">
                  <c:v>44620</c:v>
                </c:pt>
                <c:pt idx="245">
                  <c:v>44621</c:v>
                </c:pt>
                <c:pt idx="246">
                  <c:v>44622</c:v>
                </c:pt>
                <c:pt idx="247">
                  <c:v>44623</c:v>
                </c:pt>
                <c:pt idx="248">
                  <c:v>44624</c:v>
                </c:pt>
                <c:pt idx="249">
                  <c:v>44627</c:v>
                </c:pt>
                <c:pt idx="250">
                  <c:v>44628</c:v>
                </c:pt>
                <c:pt idx="251">
                  <c:v>44629</c:v>
                </c:pt>
                <c:pt idx="252">
                  <c:v>44630</c:v>
                </c:pt>
                <c:pt idx="253">
                  <c:v>44631</c:v>
                </c:pt>
                <c:pt idx="254">
                  <c:v>44634</c:v>
                </c:pt>
                <c:pt idx="255">
                  <c:v>44635</c:v>
                </c:pt>
                <c:pt idx="256">
                  <c:v>44636</c:v>
                </c:pt>
                <c:pt idx="257">
                  <c:v>44637</c:v>
                </c:pt>
                <c:pt idx="258">
                  <c:v>44638</c:v>
                </c:pt>
                <c:pt idx="259">
                  <c:v>44641</c:v>
                </c:pt>
                <c:pt idx="260">
                  <c:v>44642</c:v>
                </c:pt>
                <c:pt idx="261">
                  <c:v>44643</c:v>
                </c:pt>
                <c:pt idx="262">
                  <c:v>44644</c:v>
                </c:pt>
                <c:pt idx="263">
                  <c:v>44645</c:v>
                </c:pt>
                <c:pt idx="264">
                  <c:v>44648</c:v>
                </c:pt>
                <c:pt idx="265">
                  <c:v>44649</c:v>
                </c:pt>
                <c:pt idx="266">
                  <c:v>44650</c:v>
                </c:pt>
                <c:pt idx="267">
                  <c:v>44651</c:v>
                </c:pt>
                <c:pt idx="268">
                  <c:v>44652</c:v>
                </c:pt>
                <c:pt idx="269">
                  <c:v>44655</c:v>
                </c:pt>
                <c:pt idx="270">
                  <c:v>44656</c:v>
                </c:pt>
                <c:pt idx="271">
                  <c:v>44657</c:v>
                </c:pt>
                <c:pt idx="272">
                  <c:v>44658</c:v>
                </c:pt>
                <c:pt idx="273">
                  <c:v>44659</c:v>
                </c:pt>
                <c:pt idx="274">
                  <c:v>44663</c:v>
                </c:pt>
                <c:pt idx="275">
                  <c:v>44664</c:v>
                </c:pt>
                <c:pt idx="276">
                  <c:v>44665</c:v>
                </c:pt>
                <c:pt idx="277">
                  <c:v>44666</c:v>
                </c:pt>
                <c:pt idx="278">
                  <c:v>44669</c:v>
                </c:pt>
                <c:pt idx="279">
                  <c:v>44670</c:v>
                </c:pt>
                <c:pt idx="280">
                  <c:v>44671</c:v>
                </c:pt>
                <c:pt idx="281">
                  <c:v>44672</c:v>
                </c:pt>
                <c:pt idx="282">
                  <c:v>44673</c:v>
                </c:pt>
                <c:pt idx="283">
                  <c:v>44676</c:v>
                </c:pt>
                <c:pt idx="284">
                  <c:v>44677</c:v>
                </c:pt>
                <c:pt idx="285">
                  <c:v>44678</c:v>
                </c:pt>
                <c:pt idx="286">
                  <c:v>44679</c:v>
                </c:pt>
                <c:pt idx="287">
                  <c:v>44680</c:v>
                </c:pt>
                <c:pt idx="288">
                  <c:v>44685</c:v>
                </c:pt>
                <c:pt idx="289">
                  <c:v>44686</c:v>
                </c:pt>
                <c:pt idx="290">
                  <c:v>44687</c:v>
                </c:pt>
                <c:pt idx="291">
                  <c:v>44690</c:v>
                </c:pt>
                <c:pt idx="292">
                  <c:v>44691</c:v>
                </c:pt>
                <c:pt idx="293">
                  <c:v>44692</c:v>
                </c:pt>
                <c:pt idx="294">
                  <c:v>44693</c:v>
                </c:pt>
                <c:pt idx="295">
                  <c:v>44694</c:v>
                </c:pt>
                <c:pt idx="296">
                  <c:v>44697</c:v>
                </c:pt>
                <c:pt idx="297">
                  <c:v>44698</c:v>
                </c:pt>
                <c:pt idx="298">
                  <c:v>44699</c:v>
                </c:pt>
                <c:pt idx="299">
                  <c:v>44700</c:v>
                </c:pt>
                <c:pt idx="300">
                  <c:v>44701</c:v>
                </c:pt>
                <c:pt idx="301">
                  <c:v>44704</c:v>
                </c:pt>
                <c:pt idx="302">
                  <c:v>44705</c:v>
                </c:pt>
                <c:pt idx="303">
                  <c:v>44706</c:v>
                </c:pt>
                <c:pt idx="304">
                  <c:v>44707</c:v>
                </c:pt>
                <c:pt idx="305">
                  <c:v>44708</c:v>
                </c:pt>
                <c:pt idx="306">
                  <c:v>44711</c:v>
                </c:pt>
                <c:pt idx="307">
                  <c:v>44712</c:v>
                </c:pt>
                <c:pt idx="308">
                  <c:v>44713</c:v>
                </c:pt>
                <c:pt idx="309">
                  <c:v>44714</c:v>
                </c:pt>
                <c:pt idx="310">
                  <c:v>44715</c:v>
                </c:pt>
                <c:pt idx="311">
                  <c:v>44718</c:v>
                </c:pt>
                <c:pt idx="312">
                  <c:v>44719</c:v>
                </c:pt>
                <c:pt idx="313">
                  <c:v>44720</c:v>
                </c:pt>
                <c:pt idx="314">
                  <c:v>44721</c:v>
                </c:pt>
                <c:pt idx="315">
                  <c:v>44722</c:v>
                </c:pt>
                <c:pt idx="316">
                  <c:v>44725</c:v>
                </c:pt>
                <c:pt idx="317">
                  <c:v>44726</c:v>
                </c:pt>
                <c:pt idx="318">
                  <c:v>44727</c:v>
                </c:pt>
                <c:pt idx="319">
                  <c:v>44728</c:v>
                </c:pt>
                <c:pt idx="320">
                  <c:v>44729</c:v>
                </c:pt>
                <c:pt idx="321">
                  <c:v>44732</c:v>
                </c:pt>
                <c:pt idx="322">
                  <c:v>44733</c:v>
                </c:pt>
                <c:pt idx="323">
                  <c:v>44734</c:v>
                </c:pt>
                <c:pt idx="324">
                  <c:v>44735</c:v>
                </c:pt>
                <c:pt idx="325">
                  <c:v>44736</c:v>
                </c:pt>
                <c:pt idx="326">
                  <c:v>44739</c:v>
                </c:pt>
                <c:pt idx="327">
                  <c:v>44740</c:v>
                </c:pt>
                <c:pt idx="328">
                  <c:v>44741</c:v>
                </c:pt>
                <c:pt idx="329">
                  <c:v>44742</c:v>
                </c:pt>
                <c:pt idx="330">
                  <c:v>44743</c:v>
                </c:pt>
                <c:pt idx="331">
                  <c:v>44746</c:v>
                </c:pt>
                <c:pt idx="332">
                  <c:v>44747</c:v>
                </c:pt>
                <c:pt idx="333">
                  <c:v>44748</c:v>
                </c:pt>
                <c:pt idx="334">
                  <c:v>44749</c:v>
                </c:pt>
                <c:pt idx="335">
                  <c:v>44750</c:v>
                </c:pt>
                <c:pt idx="336">
                  <c:v>44753</c:v>
                </c:pt>
                <c:pt idx="337">
                  <c:v>44754</c:v>
                </c:pt>
                <c:pt idx="338">
                  <c:v>44755</c:v>
                </c:pt>
                <c:pt idx="339">
                  <c:v>44756</c:v>
                </c:pt>
                <c:pt idx="340">
                  <c:v>44757</c:v>
                </c:pt>
                <c:pt idx="341">
                  <c:v>44760</c:v>
                </c:pt>
                <c:pt idx="342">
                  <c:v>44761</c:v>
                </c:pt>
                <c:pt idx="343">
                  <c:v>44762</c:v>
                </c:pt>
                <c:pt idx="344">
                  <c:v>44763</c:v>
                </c:pt>
                <c:pt idx="345">
                  <c:v>44764</c:v>
                </c:pt>
                <c:pt idx="346">
                  <c:v>44767</c:v>
                </c:pt>
                <c:pt idx="347">
                  <c:v>44768</c:v>
                </c:pt>
                <c:pt idx="348">
                  <c:v>44769</c:v>
                </c:pt>
                <c:pt idx="349">
                  <c:v>44770</c:v>
                </c:pt>
                <c:pt idx="350">
                  <c:v>44771</c:v>
                </c:pt>
                <c:pt idx="351">
                  <c:v>44774</c:v>
                </c:pt>
                <c:pt idx="352">
                  <c:v>44775</c:v>
                </c:pt>
                <c:pt idx="353">
                  <c:v>44776</c:v>
                </c:pt>
                <c:pt idx="354">
                  <c:v>44777</c:v>
                </c:pt>
                <c:pt idx="355">
                  <c:v>44778</c:v>
                </c:pt>
                <c:pt idx="356">
                  <c:v>44781</c:v>
                </c:pt>
                <c:pt idx="357">
                  <c:v>44782</c:v>
                </c:pt>
                <c:pt idx="358">
                  <c:v>44783</c:v>
                </c:pt>
                <c:pt idx="359">
                  <c:v>44784</c:v>
                </c:pt>
                <c:pt idx="360">
                  <c:v>44785</c:v>
                </c:pt>
                <c:pt idx="361">
                  <c:v>44788</c:v>
                </c:pt>
                <c:pt idx="362">
                  <c:v>44789</c:v>
                </c:pt>
                <c:pt idx="363">
                  <c:v>44790</c:v>
                </c:pt>
                <c:pt idx="364">
                  <c:v>44791</c:v>
                </c:pt>
                <c:pt idx="365">
                  <c:v>44792</c:v>
                </c:pt>
                <c:pt idx="366">
                  <c:v>44795</c:v>
                </c:pt>
                <c:pt idx="367">
                  <c:v>44796</c:v>
                </c:pt>
                <c:pt idx="368">
                  <c:v>44797</c:v>
                </c:pt>
                <c:pt idx="369">
                  <c:v>44798</c:v>
                </c:pt>
                <c:pt idx="370">
                  <c:v>44799</c:v>
                </c:pt>
                <c:pt idx="371">
                  <c:v>44802</c:v>
                </c:pt>
                <c:pt idx="372">
                  <c:v>44803</c:v>
                </c:pt>
                <c:pt idx="373">
                  <c:v>44804</c:v>
                </c:pt>
                <c:pt idx="374">
                  <c:v>44809</c:v>
                </c:pt>
                <c:pt idx="375">
                  <c:v>44810</c:v>
                </c:pt>
                <c:pt idx="376">
                  <c:v>44811</c:v>
                </c:pt>
                <c:pt idx="377">
                  <c:v>44812</c:v>
                </c:pt>
                <c:pt idx="378">
                  <c:v>44813</c:v>
                </c:pt>
                <c:pt idx="379">
                  <c:v>44816</c:v>
                </c:pt>
                <c:pt idx="380">
                  <c:v>44817</c:v>
                </c:pt>
                <c:pt idx="381">
                  <c:v>44818</c:v>
                </c:pt>
                <c:pt idx="382">
                  <c:v>44819</c:v>
                </c:pt>
                <c:pt idx="383">
                  <c:v>44820</c:v>
                </c:pt>
                <c:pt idx="384">
                  <c:v>44823</c:v>
                </c:pt>
                <c:pt idx="385">
                  <c:v>44824</c:v>
                </c:pt>
                <c:pt idx="386">
                  <c:v>44825</c:v>
                </c:pt>
                <c:pt idx="387">
                  <c:v>44826</c:v>
                </c:pt>
                <c:pt idx="388">
                  <c:v>44827</c:v>
                </c:pt>
                <c:pt idx="389">
                  <c:v>44830</c:v>
                </c:pt>
                <c:pt idx="390">
                  <c:v>44831</c:v>
                </c:pt>
                <c:pt idx="391">
                  <c:v>44832</c:v>
                </c:pt>
                <c:pt idx="392">
                  <c:v>44833</c:v>
                </c:pt>
                <c:pt idx="393">
                  <c:v>44834</c:v>
                </c:pt>
                <c:pt idx="394">
                  <c:v>44837</c:v>
                </c:pt>
                <c:pt idx="395">
                  <c:v>44838</c:v>
                </c:pt>
                <c:pt idx="396">
                  <c:v>44839</c:v>
                </c:pt>
                <c:pt idx="397">
                  <c:v>44840</c:v>
                </c:pt>
                <c:pt idx="398">
                  <c:v>44841</c:v>
                </c:pt>
                <c:pt idx="399">
                  <c:v>44844</c:v>
                </c:pt>
                <c:pt idx="400">
                  <c:v>44845</c:v>
                </c:pt>
                <c:pt idx="401">
                  <c:v>44846</c:v>
                </c:pt>
                <c:pt idx="402">
                  <c:v>44847</c:v>
                </c:pt>
                <c:pt idx="403">
                  <c:v>44848</c:v>
                </c:pt>
                <c:pt idx="404">
                  <c:v>44851</c:v>
                </c:pt>
                <c:pt idx="405">
                  <c:v>44852</c:v>
                </c:pt>
                <c:pt idx="406">
                  <c:v>44853</c:v>
                </c:pt>
                <c:pt idx="407">
                  <c:v>44854</c:v>
                </c:pt>
                <c:pt idx="408">
                  <c:v>44855</c:v>
                </c:pt>
                <c:pt idx="409">
                  <c:v>44858</c:v>
                </c:pt>
                <c:pt idx="410">
                  <c:v>44859</c:v>
                </c:pt>
                <c:pt idx="411">
                  <c:v>44860</c:v>
                </c:pt>
                <c:pt idx="412">
                  <c:v>44861</c:v>
                </c:pt>
                <c:pt idx="413">
                  <c:v>44862</c:v>
                </c:pt>
                <c:pt idx="414">
                  <c:v>44865</c:v>
                </c:pt>
                <c:pt idx="415">
                  <c:v>44866</c:v>
                </c:pt>
                <c:pt idx="416">
                  <c:v>44867</c:v>
                </c:pt>
                <c:pt idx="417">
                  <c:v>44868</c:v>
                </c:pt>
                <c:pt idx="418">
                  <c:v>44869</c:v>
                </c:pt>
                <c:pt idx="419">
                  <c:v>44872</c:v>
                </c:pt>
                <c:pt idx="420">
                  <c:v>44873</c:v>
                </c:pt>
                <c:pt idx="421">
                  <c:v>44874</c:v>
                </c:pt>
                <c:pt idx="422">
                  <c:v>44875</c:v>
                </c:pt>
                <c:pt idx="423">
                  <c:v>44876</c:v>
                </c:pt>
                <c:pt idx="424">
                  <c:v>44879</c:v>
                </c:pt>
                <c:pt idx="425">
                  <c:v>44880</c:v>
                </c:pt>
                <c:pt idx="426">
                  <c:v>44881</c:v>
                </c:pt>
                <c:pt idx="427">
                  <c:v>44882</c:v>
                </c:pt>
                <c:pt idx="428">
                  <c:v>44883</c:v>
                </c:pt>
                <c:pt idx="429">
                  <c:v>44886</c:v>
                </c:pt>
                <c:pt idx="430">
                  <c:v>44887</c:v>
                </c:pt>
                <c:pt idx="431">
                  <c:v>44888</c:v>
                </c:pt>
                <c:pt idx="432">
                  <c:v>44889</c:v>
                </c:pt>
                <c:pt idx="433">
                  <c:v>44890</c:v>
                </c:pt>
                <c:pt idx="434">
                  <c:v>44893</c:v>
                </c:pt>
                <c:pt idx="435">
                  <c:v>44894</c:v>
                </c:pt>
                <c:pt idx="436">
                  <c:v>44895</c:v>
                </c:pt>
                <c:pt idx="437">
                  <c:v>44896</c:v>
                </c:pt>
                <c:pt idx="438">
                  <c:v>44897</c:v>
                </c:pt>
                <c:pt idx="439">
                  <c:v>44900</c:v>
                </c:pt>
                <c:pt idx="440">
                  <c:v>44901</c:v>
                </c:pt>
                <c:pt idx="441">
                  <c:v>44902</c:v>
                </c:pt>
                <c:pt idx="442">
                  <c:v>44903</c:v>
                </c:pt>
                <c:pt idx="443">
                  <c:v>44904</c:v>
                </c:pt>
                <c:pt idx="444">
                  <c:v>44907</c:v>
                </c:pt>
                <c:pt idx="445">
                  <c:v>44908</c:v>
                </c:pt>
                <c:pt idx="446">
                  <c:v>44909</c:v>
                </c:pt>
                <c:pt idx="447">
                  <c:v>44910</c:v>
                </c:pt>
                <c:pt idx="448">
                  <c:v>44911</c:v>
                </c:pt>
                <c:pt idx="449">
                  <c:v>44914</c:v>
                </c:pt>
                <c:pt idx="450">
                  <c:v>44915</c:v>
                </c:pt>
                <c:pt idx="451">
                  <c:v>44916</c:v>
                </c:pt>
                <c:pt idx="452">
                  <c:v>44917</c:v>
                </c:pt>
                <c:pt idx="453">
                  <c:v>44918</c:v>
                </c:pt>
                <c:pt idx="454">
                  <c:v>44921</c:v>
                </c:pt>
                <c:pt idx="455">
                  <c:v>44922</c:v>
                </c:pt>
                <c:pt idx="456">
                  <c:v>44923</c:v>
                </c:pt>
                <c:pt idx="457">
                  <c:v>44924</c:v>
                </c:pt>
                <c:pt idx="458">
                  <c:v>44925</c:v>
                </c:pt>
                <c:pt idx="459">
                  <c:v>44929</c:v>
                </c:pt>
                <c:pt idx="460">
                  <c:v>44930</c:v>
                </c:pt>
                <c:pt idx="461">
                  <c:v>44931</c:v>
                </c:pt>
                <c:pt idx="462">
                  <c:v>44932</c:v>
                </c:pt>
                <c:pt idx="463">
                  <c:v>44935</c:v>
                </c:pt>
                <c:pt idx="464">
                  <c:v>44936</c:v>
                </c:pt>
                <c:pt idx="465">
                  <c:v>44937</c:v>
                </c:pt>
                <c:pt idx="466">
                  <c:v>44938</c:v>
                </c:pt>
                <c:pt idx="467">
                  <c:v>44939</c:v>
                </c:pt>
                <c:pt idx="468">
                  <c:v>44942</c:v>
                </c:pt>
                <c:pt idx="469">
                  <c:v>44943</c:v>
                </c:pt>
                <c:pt idx="470">
                  <c:v>44944</c:v>
                </c:pt>
                <c:pt idx="471">
                  <c:v>44945</c:v>
                </c:pt>
                <c:pt idx="472">
                  <c:v>44953</c:v>
                </c:pt>
                <c:pt idx="473">
                  <c:v>44956</c:v>
                </c:pt>
                <c:pt idx="474">
                  <c:v>44957</c:v>
                </c:pt>
                <c:pt idx="475">
                  <c:v>44958</c:v>
                </c:pt>
                <c:pt idx="476">
                  <c:v>44959</c:v>
                </c:pt>
                <c:pt idx="477">
                  <c:v>44960</c:v>
                </c:pt>
                <c:pt idx="478">
                  <c:v>44963</c:v>
                </c:pt>
                <c:pt idx="479">
                  <c:v>44964</c:v>
                </c:pt>
                <c:pt idx="480">
                  <c:v>44965</c:v>
                </c:pt>
                <c:pt idx="481">
                  <c:v>44966</c:v>
                </c:pt>
                <c:pt idx="482">
                  <c:v>44967</c:v>
                </c:pt>
                <c:pt idx="483">
                  <c:v>44970</c:v>
                </c:pt>
                <c:pt idx="484">
                  <c:v>44971</c:v>
                </c:pt>
                <c:pt idx="485">
                  <c:v>44972</c:v>
                </c:pt>
                <c:pt idx="486">
                  <c:v>44973</c:v>
                </c:pt>
                <c:pt idx="487">
                  <c:v>44974</c:v>
                </c:pt>
                <c:pt idx="488">
                  <c:v>44977</c:v>
                </c:pt>
                <c:pt idx="489">
                  <c:v>44978</c:v>
                </c:pt>
                <c:pt idx="490">
                  <c:v>44979</c:v>
                </c:pt>
                <c:pt idx="491">
                  <c:v>44980</c:v>
                </c:pt>
                <c:pt idx="492">
                  <c:v>44981</c:v>
                </c:pt>
                <c:pt idx="493">
                  <c:v>44984</c:v>
                </c:pt>
                <c:pt idx="494">
                  <c:v>44985</c:v>
                </c:pt>
                <c:pt idx="495">
                  <c:v>44986</c:v>
                </c:pt>
                <c:pt idx="496">
                  <c:v>44987</c:v>
                </c:pt>
                <c:pt idx="497">
                  <c:v>44988</c:v>
                </c:pt>
                <c:pt idx="498">
                  <c:v>44991</c:v>
                </c:pt>
                <c:pt idx="499">
                  <c:v>44992</c:v>
                </c:pt>
                <c:pt idx="500">
                  <c:v>44993</c:v>
                </c:pt>
                <c:pt idx="501">
                  <c:v>44994</c:v>
                </c:pt>
                <c:pt idx="502">
                  <c:v>44995</c:v>
                </c:pt>
                <c:pt idx="503">
                  <c:v>44998</c:v>
                </c:pt>
                <c:pt idx="504">
                  <c:v>44999</c:v>
                </c:pt>
                <c:pt idx="505">
                  <c:v>45000</c:v>
                </c:pt>
                <c:pt idx="506">
                  <c:v>45001</c:v>
                </c:pt>
                <c:pt idx="507">
                  <c:v>45002</c:v>
                </c:pt>
                <c:pt idx="508">
                  <c:v>45005</c:v>
                </c:pt>
                <c:pt idx="509">
                  <c:v>45006</c:v>
                </c:pt>
                <c:pt idx="510">
                  <c:v>45007</c:v>
                </c:pt>
                <c:pt idx="511">
                  <c:v>45008</c:v>
                </c:pt>
                <c:pt idx="512">
                  <c:v>45009</c:v>
                </c:pt>
                <c:pt idx="513">
                  <c:v>45012</c:v>
                </c:pt>
                <c:pt idx="514">
                  <c:v>45013</c:v>
                </c:pt>
                <c:pt idx="515">
                  <c:v>45014</c:v>
                </c:pt>
                <c:pt idx="516">
                  <c:v>45015</c:v>
                </c:pt>
                <c:pt idx="517">
                  <c:v>45016</c:v>
                </c:pt>
                <c:pt idx="518">
                  <c:v>45019</c:v>
                </c:pt>
                <c:pt idx="519">
                  <c:v>45020</c:v>
                </c:pt>
                <c:pt idx="520">
                  <c:v>45021</c:v>
                </c:pt>
                <c:pt idx="521">
                  <c:v>45022</c:v>
                </c:pt>
                <c:pt idx="522">
                  <c:v>45023</c:v>
                </c:pt>
                <c:pt idx="523">
                  <c:v>45026</c:v>
                </c:pt>
                <c:pt idx="524">
                  <c:v>45027</c:v>
                </c:pt>
                <c:pt idx="525">
                  <c:v>45028</c:v>
                </c:pt>
                <c:pt idx="526">
                  <c:v>45029</c:v>
                </c:pt>
                <c:pt idx="527">
                  <c:v>45030</c:v>
                </c:pt>
                <c:pt idx="528">
                  <c:v>45033</c:v>
                </c:pt>
                <c:pt idx="529">
                  <c:v>45034</c:v>
                </c:pt>
                <c:pt idx="530">
                  <c:v>45035</c:v>
                </c:pt>
                <c:pt idx="531">
                  <c:v>45036</c:v>
                </c:pt>
                <c:pt idx="532">
                  <c:v>45037</c:v>
                </c:pt>
                <c:pt idx="533">
                  <c:v>45040</c:v>
                </c:pt>
                <c:pt idx="534">
                  <c:v>45041</c:v>
                </c:pt>
                <c:pt idx="535">
                  <c:v>45042</c:v>
                </c:pt>
                <c:pt idx="536">
                  <c:v>45043</c:v>
                </c:pt>
                <c:pt idx="537">
                  <c:v>45044</c:v>
                </c:pt>
                <c:pt idx="538">
                  <c:v>45050</c:v>
                </c:pt>
                <c:pt idx="539">
                  <c:v>45051</c:v>
                </c:pt>
                <c:pt idx="540">
                  <c:v>45054</c:v>
                </c:pt>
                <c:pt idx="541">
                  <c:v>45055</c:v>
                </c:pt>
                <c:pt idx="542">
                  <c:v>45056</c:v>
                </c:pt>
                <c:pt idx="543">
                  <c:v>45057</c:v>
                </c:pt>
                <c:pt idx="544">
                  <c:v>45058</c:v>
                </c:pt>
                <c:pt idx="545">
                  <c:v>45061</c:v>
                </c:pt>
                <c:pt idx="546">
                  <c:v>45062</c:v>
                </c:pt>
                <c:pt idx="547">
                  <c:v>45063</c:v>
                </c:pt>
                <c:pt idx="548">
                  <c:v>45064</c:v>
                </c:pt>
                <c:pt idx="549">
                  <c:v>45065</c:v>
                </c:pt>
                <c:pt idx="550">
                  <c:v>45068</c:v>
                </c:pt>
                <c:pt idx="551">
                  <c:v>45069</c:v>
                </c:pt>
                <c:pt idx="552">
                  <c:v>45070</c:v>
                </c:pt>
                <c:pt idx="553">
                  <c:v>45071</c:v>
                </c:pt>
                <c:pt idx="554">
                  <c:v>45072</c:v>
                </c:pt>
                <c:pt idx="555">
                  <c:v>45075</c:v>
                </c:pt>
                <c:pt idx="556">
                  <c:v>45076</c:v>
                </c:pt>
                <c:pt idx="557">
                  <c:v>45077</c:v>
                </c:pt>
                <c:pt idx="558">
                  <c:v>45078</c:v>
                </c:pt>
                <c:pt idx="559">
                  <c:v>45079</c:v>
                </c:pt>
                <c:pt idx="560">
                  <c:v>45082</c:v>
                </c:pt>
                <c:pt idx="561">
                  <c:v>45083</c:v>
                </c:pt>
                <c:pt idx="562">
                  <c:v>45084</c:v>
                </c:pt>
                <c:pt idx="563">
                  <c:v>45085</c:v>
                </c:pt>
                <c:pt idx="564">
                  <c:v>45086</c:v>
                </c:pt>
                <c:pt idx="565">
                  <c:v>45089</c:v>
                </c:pt>
                <c:pt idx="566">
                  <c:v>45090</c:v>
                </c:pt>
                <c:pt idx="567">
                  <c:v>45091</c:v>
                </c:pt>
                <c:pt idx="568">
                  <c:v>45092</c:v>
                </c:pt>
                <c:pt idx="569">
                  <c:v>45093</c:v>
                </c:pt>
                <c:pt idx="570">
                  <c:v>45096</c:v>
                </c:pt>
                <c:pt idx="571">
                  <c:v>45097</c:v>
                </c:pt>
                <c:pt idx="572">
                  <c:v>45098</c:v>
                </c:pt>
                <c:pt idx="573">
                  <c:v>45099</c:v>
                </c:pt>
                <c:pt idx="574">
                  <c:v>45100</c:v>
                </c:pt>
                <c:pt idx="575">
                  <c:v>45103</c:v>
                </c:pt>
                <c:pt idx="576">
                  <c:v>45104</c:v>
                </c:pt>
                <c:pt idx="577">
                  <c:v>45105</c:v>
                </c:pt>
                <c:pt idx="578">
                  <c:v>45106</c:v>
                </c:pt>
                <c:pt idx="579">
                  <c:v>45107</c:v>
                </c:pt>
                <c:pt idx="580">
                  <c:v>45110</c:v>
                </c:pt>
                <c:pt idx="581">
                  <c:v>45111</c:v>
                </c:pt>
                <c:pt idx="582">
                  <c:v>45112</c:v>
                </c:pt>
                <c:pt idx="583">
                  <c:v>45113</c:v>
                </c:pt>
                <c:pt idx="584">
                  <c:v>45114</c:v>
                </c:pt>
                <c:pt idx="585">
                  <c:v>45117</c:v>
                </c:pt>
                <c:pt idx="586">
                  <c:v>45118</c:v>
                </c:pt>
                <c:pt idx="587">
                  <c:v>45119</c:v>
                </c:pt>
                <c:pt idx="588">
                  <c:v>45120</c:v>
                </c:pt>
                <c:pt idx="589">
                  <c:v>45121</c:v>
                </c:pt>
                <c:pt idx="590">
                  <c:v>45124</c:v>
                </c:pt>
                <c:pt idx="591">
                  <c:v>45125</c:v>
                </c:pt>
                <c:pt idx="592">
                  <c:v>45126</c:v>
                </c:pt>
                <c:pt idx="593">
                  <c:v>45127</c:v>
                </c:pt>
                <c:pt idx="594">
                  <c:v>45128</c:v>
                </c:pt>
                <c:pt idx="595">
                  <c:v>45131</c:v>
                </c:pt>
                <c:pt idx="596">
                  <c:v>45132</c:v>
                </c:pt>
                <c:pt idx="597">
                  <c:v>45133</c:v>
                </c:pt>
                <c:pt idx="598">
                  <c:v>45134</c:v>
                </c:pt>
                <c:pt idx="599">
                  <c:v>45135</c:v>
                </c:pt>
                <c:pt idx="600">
                  <c:v>45138</c:v>
                </c:pt>
                <c:pt idx="601">
                  <c:v>45139</c:v>
                </c:pt>
                <c:pt idx="602">
                  <c:v>45140</c:v>
                </c:pt>
                <c:pt idx="603">
                  <c:v>45141</c:v>
                </c:pt>
                <c:pt idx="604">
                  <c:v>45142</c:v>
                </c:pt>
                <c:pt idx="605">
                  <c:v>45145</c:v>
                </c:pt>
                <c:pt idx="606">
                  <c:v>45146</c:v>
                </c:pt>
                <c:pt idx="607">
                  <c:v>45147</c:v>
                </c:pt>
                <c:pt idx="608">
                  <c:v>45148</c:v>
                </c:pt>
                <c:pt idx="609">
                  <c:v>45149</c:v>
                </c:pt>
                <c:pt idx="610">
                  <c:v>45152</c:v>
                </c:pt>
                <c:pt idx="611">
                  <c:v>45153</c:v>
                </c:pt>
                <c:pt idx="612">
                  <c:v>45154</c:v>
                </c:pt>
                <c:pt idx="613">
                  <c:v>45155</c:v>
                </c:pt>
                <c:pt idx="614">
                  <c:v>45156</c:v>
                </c:pt>
                <c:pt idx="615">
                  <c:v>45159</c:v>
                </c:pt>
                <c:pt idx="616">
                  <c:v>45160</c:v>
                </c:pt>
                <c:pt idx="617">
                  <c:v>45161</c:v>
                </c:pt>
                <c:pt idx="618">
                  <c:v>45162</c:v>
                </c:pt>
                <c:pt idx="619">
                  <c:v>45163</c:v>
                </c:pt>
                <c:pt idx="620">
                  <c:v>45166</c:v>
                </c:pt>
                <c:pt idx="621">
                  <c:v>45167</c:v>
                </c:pt>
                <c:pt idx="622">
                  <c:v>45168</c:v>
                </c:pt>
                <c:pt idx="623">
                  <c:v>45169</c:v>
                </c:pt>
                <c:pt idx="624">
                  <c:v>45174</c:v>
                </c:pt>
                <c:pt idx="625">
                  <c:v>45175</c:v>
                </c:pt>
                <c:pt idx="626">
                  <c:v>45176</c:v>
                </c:pt>
                <c:pt idx="627">
                  <c:v>45177</c:v>
                </c:pt>
                <c:pt idx="628">
                  <c:v>45180</c:v>
                </c:pt>
                <c:pt idx="629">
                  <c:v>45181</c:v>
                </c:pt>
                <c:pt idx="630">
                  <c:v>45182</c:v>
                </c:pt>
                <c:pt idx="631">
                  <c:v>45183</c:v>
                </c:pt>
                <c:pt idx="632">
                  <c:v>45184</c:v>
                </c:pt>
                <c:pt idx="633">
                  <c:v>45187</c:v>
                </c:pt>
                <c:pt idx="634">
                  <c:v>45188</c:v>
                </c:pt>
                <c:pt idx="635">
                  <c:v>45189</c:v>
                </c:pt>
                <c:pt idx="636">
                  <c:v>45190</c:v>
                </c:pt>
                <c:pt idx="637">
                  <c:v>45191</c:v>
                </c:pt>
                <c:pt idx="638">
                  <c:v>45194</c:v>
                </c:pt>
                <c:pt idx="639">
                  <c:v>45195</c:v>
                </c:pt>
                <c:pt idx="640">
                  <c:v>45196</c:v>
                </c:pt>
                <c:pt idx="641">
                  <c:v>45197</c:v>
                </c:pt>
                <c:pt idx="642">
                  <c:v>45198</c:v>
                </c:pt>
                <c:pt idx="643">
                  <c:v>45201</c:v>
                </c:pt>
                <c:pt idx="644">
                  <c:v>45202</c:v>
                </c:pt>
                <c:pt idx="645">
                  <c:v>45203</c:v>
                </c:pt>
                <c:pt idx="646">
                  <c:v>45204</c:v>
                </c:pt>
                <c:pt idx="647">
                  <c:v>45205</c:v>
                </c:pt>
                <c:pt idx="648">
                  <c:v>45208</c:v>
                </c:pt>
                <c:pt idx="649">
                  <c:v>45209</c:v>
                </c:pt>
                <c:pt idx="650">
                  <c:v>45210</c:v>
                </c:pt>
                <c:pt idx="651">
                  <c:v>45211</c:v>
                </c:pt>
                <c:pt idx="652">
                  <c:v>45212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45222</c:v>
                </c:pt>
                <c:pt idx="659">
                  <c:v>45223</c:v>
                </c:pt>
                <c:pt idx="660">
                  <c:v>45224</c:v>
                </c:pt>
                <c:pt idx="661">
                  <c:v>45225</c:v>
                </c:pt>
                <c:pt idx="662">
                  <c:v>45226</c:v>
                </c:pt>
                <c:pt idx="663">
                  <c:v>45229</c:v>
                </c:pt>
                <c:pt idx="664">
                  <c:v>45230</c:v>
                </c:pt>
                <c:pt idx="665">
                  <c:v>45231</c:v>
                </c:pt>
                <c:pt idx="666">
                  <c:v>45232</c:v>
                </c:pt>
                <c:pt idx="667">
                  <c:v>45233</c:v>
                </c:pt>
                <c:pt idx="668">
                  <c:v>45236</c:v>
                </c:pt>
                <c:pt idx="669">
                  <c:v>45237</c:v>
                </c:pt>
                <c:pt idx="670">
                  <c:v>45238</c:v>
                </c:pt>
                <c:pt idx="671">
                  <c:v>45239</c:v>
                </c:pt>
                <c:pt idx="672">
                  <c:v>45240</c:v>
                </c:pt>
                <c:pt idx="673">
                  <c:v>45243</c:v>
                </c:pt>
                <c:pt idx="674">
                  <c:v>45244</c:v>
                </c:pt>
                <c:pt idx="675">
                  <c:v>45245</c:v>
                </c:pt>
                <c:pt idx="676">
                  <c:v>45246</c:v>
                </c:pt>
                <c:pt idx="677">
                  <c:v>45247</c:v>
                </c:pt>
                <c:pt idx="678">
                  <c:v>45250</c:v>
                </c:pt>
                <c:pt idx="679">
                  <c:v>45251</c:v>
                </c:pt>
                <c:pt idx="680">
                  <c:v>45252</c:v>
                </c:pt>
                <c:pt idx="681">
                  <c:v>45253</c:v>
                </c:pt>
                <c:pt idx="682">
                  <c:v>45254</c:v>
                </c:pt>
                <c:pt idx="683">
                  <c:v>45257</c:v>
                </c:pt>
                <c:pt idx="684">
                  <c:v>45258</c:v>
                </c:pt>
                <c:pt idx="685">
                  <c:v>45259</c:v>
                </c:pt>
                <c:pt idx="686">
                  <c:v>45260</c:v>
                </c:pt>
                <c:pt idx="687">
                  <c:v>45261</c:v>
                </c:pt>
                <c:pt idx="688">
                  <c:v>45264</c:v>
                </c:pt>
                <c:pt idx="689">
                  <c:v>45265</c:v>
                </c:pt>
                <c:pt idx="690">
                  <c:v>45266</c:v>
                </c:pt>
                <c:pt idx="691">
                  <c:v>45267</c:v>
                </c:pt>
                <c:pt idx="692">
                  <c:v>45268</c:v>
                </c:pt>
                <c:pt idx="693">
                  <c:v>45271</c:v>
                </c:pt>
                <c:pt idx="694">
                  <c:v>45272</c:v>
                </c:pt>
                <c:pt idx="695">
                  <c:v>45273</c:v>
                </c:pt>
                <c:pt idx="696">
                  <c:v>45274</c:v>
                </c:pt>
                <c:pt idx="697">
                  <c:v>45275</c:v>
                </c:pt>
                <c:pt idx="698">
                  <c:v>45278</c:v>
                </c:pt>
                <c:pt idx="699">
                  <c:v>45279</c:v>
                </c:pt>
                <c:pt idx="700">
                  <c:v>45280</c:v>
                </c:pt>
                <c:pt idx="701">
                  <c:v>45281</c:v>
                </c:pt>
                <c:pt idx="702">
                  <c:v>45282</c:v>
                </c:pt>
                <c:pt idx="703">
                  <c:v>45285</c:v>
                </c:pt>
                <c:pt idx="704">
                  <c:v>45286</c:v>
                </c:pt>
                <c:pt idx="705">
                  <c:v>45287</c:v>
                </c:pt>
                <c:pt idx="706">
                  <c:v>45288</c:v>
                </c:pt>
                <c:pt idx="707">
                  <c:v>45289</c:v>
                </c:pt>
                <c:pt idx="708">
                  <c:v>45293</c:v>
                </c:pt>
                <c:pt idx="709">
                  <c:v>45294</c:v>
                </c:pt>
                <c:pt idx="710">
                  <c:v>45295</c:v>
                </c:pt>
                <c:pt idx="711">
                  <c:v>45296</c:v>
                </c:pt>
                <c:pt idx="712">
                  <c:v>45299</c:v>
                </c:pt>
                <c:pt idx="713">
                  <c:v>45300</c:v>
                </c:pt>
                <c:pt idx="714">
                  <c:v>45301</c:v>
                </c:pt>
                <c:pt idx="715">
                  <c:v>45302</c:v>
                </c:pt>
                <c:pt idx="716">
                  <c:v>45303</c:v>
                </c:pt>
                <c:pt idx="717">
                  <c:v>45306</c:v>
                </c:pt>
                <c:pt idx="718">
                  <c:v>45307</c:v>
                </c:pt>
                <c:pt idx="719">
                  <c:v>45308</c:v>
                </c:pt>
                <c:pt idx="720">
                  <c:v>45309</c:v>
                </c:pt>
                <c:pt idx="721">
                  <c:v>45310</c:v>
                </c:pt>
                <c:pt idx="722">
                  <c:v>45313</c:v>
                </c:pt>
                <c:pt idx="723">
                  <c:v>45314</c:v>
                </c:pt>
                <c:pt idx="724">
                  <c:v>45315</c:v>
                </c:pt>
                <c:pt idx="725">
                  <c:v>45316</c:v>
                </c:pt>
                <c:pt idx="726">
                  <c:v>45317</c:v>
                </c:pt>
                <c:pt idx="727">
                  <c:v>45320</c:v>
                </c:pt>
                <c:pt idx="728">
                  <c:v>45321</c:v>
                </c:pt>
                <c:pt idx="729">
                  <c:v>45322</c:v>
                </c:pt>
                <c:pt idx="730">
                  <c:v>45323</c:v>
                </c:pt>
                <c:pt idx="731">
                  <c:v>45324</c:v>
                </c:pt>
                <c:pt idx="732">
                  <c:v>45327</c:v>
                </c:pt>
                <c:pt idx="733">
                  <c:v>45328</c:v>
                </c:pt>
                <c:pt idx="734">
                  <c:v>45329</c:v>
                </c:pt>
                <c:pt idx="735">
                  <c:v>45337</c:v>
                </c:pt>
                <c:pt idx="736">
                  <c:v>45338</c:v>
                </c:pt>
                <c:pt idx="737">
                  <c:v>45341</c:v>
                </c:pt>
                <c:pt idx="738">
                  <c:v>45342</c:v>
                </c:pt>
                <c:pt idx="739">
                  <c:v>45343</c:v>
                </c:pt>
                <c:pt idx="740">
                  <c:v>45344</c:v>
                </c:pt>
                <c:pt idx="741">
                  <c:v>45345</c:v>
                </c:pt>
                <c:pt idx="742">
                  <c:v>45348</c:v>
                </c:pt>
                <c:pt idx="743">
                  <c:v>45349</c:v>
                </c:pt>
                <c:pt idx="744">
                  <c:v>45350</c:v>
                </c:pt>
                <c:pt idx="745">
                  <c:v>45351</c:v>
                </c:pt>
                <c:pt idx="746">
                  <c:v>45352</c:v>
                </c:pt>
                <c:pt idx="747">
                  <c:v>45355</c:v>
                </c:pt>
                <c:pt idx="748">
                  <c:v>45356</c:v>
                </c:pt>
                <c:pt idx="749">
                  <c:v>45357</c:v>
                </c:pt>
                <c:pt idx="750">
                  <c:v>45358</c:v>
                </c:pt>
                <c:pt idx="751">
                  <c:v>45359</c:v>
                </c:pt>
                <c:pt idx="752">
                  <c:v>45362</c:v>
                </c:pt>
                <c:pt idx="753">
                  <c:v>45363</c:v>
                </c:pt>
                <c:pt idx="754">
                  <c:v>45364</c:v>
                </c:pt>
                <c:pt idx="755">
                  <c:v>45365</c:v>
                </c:pt>
                <c:pt idx="756">
                  <c:v>45366</c:v>
                </c:pt>
                <c:pt idx="757">
                  <c:v>45369</c:v>
                </c:pt>
                <c:pt idx="758">
                  <c:v>45370</c:v>
                </c:pt>
                <c:pt idx="759">
                  <c:v>45371</c:v>
                </c:pt>
                <c:pt idx="760">
                  <c:v>45372</c:v>
                </c:pt>
                <c:pt idx="761">
                  <c:v>45373</c:v>
                </c:pt>
                <c:pt idx="762">
                  <c:v>45376</c:v>
                </c:pt>
                <c:pt idx="763">
                  <c:v>45377</c:v>
                </c:pt>
                <c:pt idx="764">
                  <c:v>45378</c:v>
                </c:pt>
                <c:pt idx="765">
                  <c:v>45379</c:v>
                </c:pt>
                <c:pt idx="766">
                  <c:v>45380</c:v>
                </c:pt>
                <c:pt idx="767">
                  <c:v>45383</c:v>
                </c:pt>
                <c:pt idx="768">
                  <c:v>45384</c:v>
                </c:pt>
                <c:pt idx="769">
                  <c:v>45385</c:v>
                </c:pt>
                <c:pt idx="770">
                  <c:v>45386</c:v>
                </c:pt>
                <c:pt idx="771">
                  <c:v>45387</c:v>
                </c:pt>
                <c:pt idx="772">
                  <c:v>45390</c:v>
                </c:pt>
                <c:pt idx="773">
                  <c:v>45391</c:v>
                </c:pt>
                <c:pt idx="774">
                  <c:v>45392</c:v>
                </c:pt>
                <c:pt idx="775">
                  <c:v>45393</c:v>
                </c:pt>
                <c:pt idx="776">
                  <c:v>45394</c:v>
                </c:pt>
                <c:pt idx="777">
                  <c:v>45397</c:v>
                </c:pt>
                <c:pt idx="778">
                  <c:v>45398</c:v>
                </c:pt>
                <c:pt idx="779">
                  <c:v>45399</c:v>
                </c:pt>
                <c:pt idx="780">
                  <c:v>45401</c:v>
                </c:pt>
                <c:pt idx="781">
                  <c:v>45404</c:v>
                </c:pt>
                <c:pt idx="782">
                  <c:v>45405</c:v>
                </c:pt>
                <c:pt idx="783">
                  <c:v>45406</c:v>
                </c:pt>
                <c:pt idx="784">
                  <c:v>45407</c:v>
                </c:pt>
                <c:pt idx="785">
                  <c:v>45408</c:v>
                </c:pt>
                <c:pt idx="786">
                  <c:v>45414</c:v>
                </c:pt>
                <c:pt idx="787">
                  <c:v>45415</c:v>
                </c:pt>
                <c:pt idx="788">
                  <c:v>45418</c:v>
                </c:pt>
                <c:pt idx="789">
                  <c:v>45419</c:v>
                </c:pt>
                <c:pt idx="790">
                  <c:v>45420</c:v>
                </c:pt>
                <c:pt idx="791">
                  <c:v>45421</c:v>
                </c:pt>
                <c:pt idx="792">
                  <c:v>45422</c:v>
                </c:pt>
                <c:pt idx="793">
                  <c:v>45425</c:v>
                </c:pt>
                <c:pt idx="794">
                  <c:v>45426</c:v>
                </c:pt>
                <c:pt idx="795">
                  <c:v>45427</c:v>
                </c:pt>
                <c:pt idx="796">
                  <c:v>45428</c:v>
                </c:pt>
                <c:pt idx="797">
                  <c:v>45429</c:v>
                </c:pt>
                <c:pt idx="798">
                  <c:v>45432</c:v>
                </c:pt>
                <c:pt idx="799">
                  <c:v>45433</c:v>
                </c:pt>
                <c:pt idx="800">
                  <c:v>45434</c:v>
                </c:pt>
                <c:pt idx="801">
                  <c:v>45435</c:v>
                </c:pt>
                <c:pt idx="802">
                  <c:v>45436</c:v>
                </c:pt>
                <c:pt idx="803">
                  <c:v>45439</c:v>
                </c:pt>
                <c:pt idx="804">
                  <c:v>45440</c:v>
                </c:pt>
                <c:pt idx="805">
                  <c:v>45441</c:v>
                </c:pt>
                <c:pt idx="806">
                  <c:v>45442</c:v>
                </c:pt>
                <c:pt idx="807">
                  <c:v>45443</c:v>
                </c:pt>
                <c:pt idx="808">
                  <c:v>45446</c:v>
                </c:pt>
                <c:pt idx="809">
                  <c:v>45447</c:v>
                </c:pt>
                <c:pt idx="810">
                  <c:v>45448</c:v>
                </c:pt>
                <c:pt idx="811">
                  <c:v>45449</c:v>
                </c:pt>
                <c:pt idx="812">
                  <c:v>45450</c:v>
                </c:pt>
                <c:pt idx="813">
                  <c:v>45453</c:v>
                </c:pt>
                <c:pt idx="814">
                  <c:v>45454</c:v>
                </c:pt>
                <c:pt idx="815">
                  <c:v>45455</c:v>
                </c:pt>
                <c:pt idx="816">
                  <c:v>45456</c:v>
                </c:pt>
                <c:pt idx="817">
                  <c:v>45457</c:v>
                </c:pt>
                <c:pt idx="818">
                  <c:v>45460</c:v>
                </c:pt>
                <c:pt idx="819">
                  <c:v>45461</c:v>
                </c:pt>
                <c:pt idx="820">
                  <c:v>45462</c:v>
                </c:pt>
                <c:pt idx="821">
                  <c:v>45463</c:v>
                </c:pt>
                <c:pt idx="822">
                  <c:v>45464</c:v>
                </c:pt>
                <c:pt idx="823">
                  <c:v>45467</c:v>
                </c:pt>
                <c:pt idx="824">
                  <c:v>45468</c:v>
                </c:pt>
                <c:pt idx="825">
                  <c:v>45469</c:v>
                </c:pt>
                <c:pt idx="826">
                  <c:v>45470</c:v>
                </c:pt>
                <c:pt idx="827">
                  <c:v>45471</c:v>
                </c:pt>
                <c:pt idx="828">
                  <c:v>45474</c:v>
                </c:pt>
                <c:pt idx="829">
                  <c:v>45475</c:v>
                </c:pt>
                <c:pt idx="830">
                  <c:v>45476</c:v>
                </c:pt>
                <c:pt idx="831">
                  <c:v>45477</c:v>
                </c:pt>
                <c:pt idx="832">
                  <c:v>45478</c:v>
                </c:pt>
                <c:pt idx="833">
                  <c:v>45481</c:v>
                </c:pt>
                <c:pt idx="834">
                  <c:v>45482</c:v>
                </c:pt>
                <c:pt idx="835">
                  <c:v>45483</c:v>
                </c:pt>
                <c:pt idx="836">
                  <c:v>45484</c:v>
                </c:pt>
                <c:pt idx="837">
                  <c:v>45485</c:v>
                </c:pt>
                <c:pt idx="838">
                  <c:v>45488</c:v>
                </c:pt>
                <c:pt idx="839">
                  <c:v>45489</c:v>
                </c:pt>
                <c:pt idx="840">
                  <c:v>45490</c:v>
                </c:pt>
                <c:pt idx="841">
                  <c:v>45491</c:v>
                </c:pt>
                <c:pt idx="842">
                  <c:v>45492</c:v>
                </c:pt>
                <c:pt idx="843">
                  <c:v>45495</c:v>
                </c:pt>
                <c:pt idx="844">
                  <c:v>45496</c:v>
                </c:pt>
                <c:pt idx="845">
                  <c:v>45497</c:v>
                </c:pt>
                <c:pt idx="846">
                  <c:v>45498</c:v>
                </c:pt>
                <c:pt idx="847">
                  <c:v>45499</c:v>
                </c:pt>
                <c:pt idx="848">
                  <c:v>45502</c:v>
                </c:pt>
                <c:pt idx="849">
                  <c:v>45503</c:v>
                </c:pt>
                <c:pt idx="850">
                  <c:v>45504</c:v>
                </c:pt>
                <c:pt idx="851">
                  <c:v>45505</c:v>
                </c:pt>
                <c:pt idx="852">
                  <c:v>45506</c:v>
                </c:pt>
                <c:pt idx="853">
                  <c:v>45509</c:v>
                </c:pt>
                <c:pt idx="854">
                  <c:v>45510</c:v>
                </c:pt>
                <c:pt idx="855">
                  <c:v>45511</c:v>
                </c:pt>
                <c:pt idx="856">
                  <c:v>45512</c:v>
                </c:pt>
                <c:pt idx="857">
                  <c:v>45513</c:v>
                </c:pt>
                <c:pt idx="858">
                  <c:v>45516</c:v>
                </c:pt>
                <c:pt idx="859">
                  <c:v>45517</c:v>
                </c:pt>
                <c:pt idx="860">
                  <c:v>45518</c:v>
                </c:pt>
                <c:pt idx="861">
                  <c:v>45519</c:v>
                </c:pt>
                <c:pt idx="862">
                  <c:v>45520</c:v>
                </c:pt>
                <c:pt idx="863">
                  <c:v>45523</c:v>
                </c:pt>
                <c:pt idx="864">
                  <c:v>45524</c:v>
                </c:pt>
                <c:pt idx="865">
                  <c:v>45525</c:v>
                </c:pt>
                <c:pt idx="866">
                  <c:v>45526</c:v>
                </c:pt>
                <c:pt idx="867">
                  <c:v>45527</c:v>
                </c:pt>
                <c:pt idx="868">
                  <c:v>45530</c:v>
                </c:pt>
                <c:pt idx="869">
                  <c:v>45531</c:v>
                </c:pt>
                <c:pt idx="870">
                  <c:v>45532</c:v>
                </c:pt>
                <c:pt idx="871">
                  <c:v>45533</c:v>
                </c:pt>
                <c:pt idx="872">
                  <c:v>45534</c:v>
                </c:pt>
                <c:pt idx="873">
                  <c:v>45539</c:v>
                </c:pt>
                <c:pt idx="874">
                  <c:v>45540</c:v>
                </c:pt>
                <c:pt idx="875">
                  <c:v>45541</c:v>
                </c:pt>
                <c:pt idx="876">
                  <c:v>45544</c:v>
                </c:pt>
                <c:pt idx="877">
                  <c:v>45545</c:v>
                </c:pt>
                <c:pt idx="878">
                  <c:v>45546</c:v>
                </c:pt>
                <c:pt idx="879">
                  <c:v>45547</c:v>
                </c:pt>
                <c:pt idx="880">
                  <c:v>45548</c:v>
                </c:pt>
                <c:pt idx="881">
                  <c:v>45551</c:v>
                </c:pt>
                <c:pt idx="882">
                  <c:v>45552</c:v>
                </c:pt>
                <c:pt idx="883">
                  <c:v>45553</c:v>
                </c:pt>
                <c:pt idx="884">
                  <c:v>45554</c:v>
                </c:pt>
                <c:pt idx="885">
                  <c:v>45555</c:v>
                </c:pt>
                <c:pt idx="886">
                  <c:v>45558</c:v>
                </c:pt>
                <c:pt idx="887">
                  <c:v>45559</c:v>
                </c:pt>
                <c:pt idx="888">
                  <c:v>45560</c:v>
                </c:pt>
                <c:pt idx="889">
                  <c:v>45561</c:v>
                </c:pt>
                <c:pt idx="890">
                  <c:v>45562</c:v>
                </c:pt>
                <c:pt idx="891">
                  <c:v>45565</c:v>
                </c:pt>
                <c:pt idx="892">
                  <c:v>45566</c:v>
                </c:pt>
                <c:pt idx="893">
                  <c:v>45567</c:v>
                </c:pt>
                <c:pt idx="894">
                  <c:v>45568</c:v>
                </c:pt>
                <c:pt idx="895">
                  <c:v>45569</c:v>
                </c:pt>
                <c:pt idx="896">
                  <c:v>45572</c:v>
                </c:pt>
                <c:pt idx="897">
                  <c:v>45573</c:v>
                </c:pt>
                <c:pt idx="898">
                  <c:v>45574</c:v>
                </c:pt>
                <c:pt idx="899">
                  <c:v>45575</c:v>
                </c:pt>
                <c:pt idx="900">
                  <c:v>45576</c:v>
                </c:pt>
                <c:pt idx="901">
                  <c:v>45579</c:v>
                </c:pt>
                <c:pt idx="902">
                  <c:v>45580</c:v>
                </c:pt>
                <c:pt idx="903">
                  <c:v>45581</c:v>
                </c:pt>
                <c:pt idx="904">
                  <c:v>45582</c:v>
                </c:pt>
                <c:pt idx="905">
                  <c:v>45583</c:v>
                </c:pt>
                <c:pt idx="906">
                  <c:v>45586</c:v>
                </c:pt>
                <c:pt idx="907">
                  <c:v>45587</c:v>
                </c:pt>
                <c:pt idx="908">
                  <c:v>45588</c:v>
                </c:pt>
                <c:pt idx="909">
                  <c:v>45589</c:v>
                </c:pt>
                <c:pt idx="910">
                  <c:v>45590</c:v>
                </c:pt>
                <c:pt idx="911">
                  <c:v>45593</c:v>
                </c:pt>
                <c:pt idx="912">
                  <c:v>45594</c:v>
                </c:pt>
                <c:pt idx="913">
                  <c:v>45595</c:v>
                </c:pt>
                <c:pt idx="914">
                  <c:v>45596</c:v>
                </c:pt>
                <c:pt idx="915">
                  <c:v>45597</c:v>
                </c:pt>
                <c:pt idx="916">
                  <c:v>45600</c:v>
                </c:pt>
                <c:pt idx="917">
                  <c:v>45601</c:v>
                </c:pt>
                <c:pt idx="918">
                  <c:v>45602</c:v>
                </c:pt>
                <c:pt idx="919">
                  <c:v>45603</c:v>
                </c:pt>
                <c:pt idx="920">
                  <c:v>45604</c:v>
                </c:pt>
                <c:pt idx="921">
                  <c:v>45607</c:v>
                </c:pt>
                <c:pt idx="922">
                  <c:v>45608</c:v>
                </c:pt>
                <c:pt idx="923">
                  <c:v>45609</c:v>
                </c:pt>
                <c:pt idx="924">
                  <c:v>45610</c:v>
                </c:pt>
                <c:pt idx="925">
                  <c:v>45611</c:v>
                </c:pt>
                <c:pt idx="926">
                  <c:v>45614</c:v>
                </c:pt>
                <c:pt idx="927">
                  <c:v>45615</c:v>
                </c:pt>
                <c:pt idx="928">
                  <c:v>45616</c:v>
                </c:pt>
                <c:pt idx="929">
                  <c:v>45617</c:v>
                </c:pt>
                <c:pt idx="930">
                  <c:v>45618</c:v>
                </c:pt>
                <c:pt idx="931">
                  <c:v>45621</c:v>
                </c:pt>
                <c:pt idx="932">
                  <c:v>45622</c:v>
                </c:pt>
                <c:pt idx="933">
                  <c:v>45623</c:v>
                </c:pt>
                <c:pt idx="934">
                  <c:v>45624</c:v>
                </c:pt>
                <c:pt idx="935">
                  <c:v>45625</c:v>
                </c:pt>
                <c:pt idx="936">
                  <c:v>45628</c:v>
                </c:pt>
                <c:pt idx="937">
                  <c:v>45629</c:v>
                </c:pt>
                <c:pt idx="938">
                  <c:v>45630</c:v>
                </c:pt>
                <c:pt idx="939">
                  <c:v>45631</c:v>
                </c:pt>
                <c:pt idx="940">
                  <c:v>45632</c:v>
                </c:pt>
                <c:pt idx="941">
                  <c:v>45635</c:v>
                </c:pt>
                <c:pt idx="942">
                  <c:v>45636</c:v>
                </c:pt>
                <c:pt idx="943">
                  <c:v>45637</c:v>
                </c:pt>
                <c:pt idx="944">
                  <c:v>45638</c:v>
                </c:pt>
                <c:pt idx="945">
                  <c:v>45639</c:v>
                </c:pt>
                <c:pt idx="946">
                  <c:v>45642</c:v>
                </c:pt>
                <c:pt idx="947">
                  <c:v>45643</c:v>
                </c:pt>
                <c:pt idx="948">
                  <c:v>45644</c:v>
                </c:pt>
                <c:pt idx="949">
                  <c:v>45645</c:v>
                </c:pt>
                <c:pt idx="950">
                  <c:v>45646</c:v>
                </c:pt>
                <c:pt idx="951">
                  <c:v>45649</c:v>
                </c:pt>
                <c:pt idx="952">
                  <c:v>45650</c:v>
                </c:pt>
                <c:pt idx="953">
                  <c:v>45651</c:v>
                </c:pt>
                <c:pt idx="954">
                  <c:v>45652</c:v>
                </c:pt>
                <c:pt idx="955">
                  <c:v>45653</c:v>
                </c:pt>
                <c:pt idx="956">
                  <c:v>45656</c:v>
                </c:pt>
                <c:pt idx="957">
                  <c:v>45657</c:v>
                </c:pt>
                <c:pt idx="958">
                  <c:v>45659</c:v>
                </c:pt>
                <c:pt idx="959">
                  <c:v>45660</c:v>
                </c:pt>
                <c:pt idx="960">
                  <c:v>45663</c:v>
                </c:pt>
                <c:pt idx="961">
                  <c:v>45664</c:v>
                </c:pt>
                <c:pt idx="962">
                  <c:v>45665</c:v>
                </c:pt>
                <c:pt idx="963">
                  <c:v>45666</c:v>
                </c:pt>
                <c:pt idx="964">
                  <c:v>45667</c:v>
                </c:pt>
                <c:pt idx="965">
                  <c:v>45670</c:v>
                </c:pt>
                <c:pt idx="966">
                  <c:v>45671</c:v>
                </c:pt>
                <c:pt idx="967">
                  <c:v>45672</c:v>
                </c:pt>
                <c:pt idx="968">
                  <c:v>45673</c:v>
                </c:pt>
                <c:pt idx="969">
                  <c:v>45674</c:v>
                </c:pt>
                <c:pt idx="970">
                  <c:v>45677</c:v>
                </c:pt>
                <c:pt idx="971">
                  <c:v>45678</c:v>
                </c:pt>
                <c:pt idx="972">
                  <c:v>45679</c:v>
                </c:pt>
                <c:pt idx="973">
                  <c:v>45680</c:v>
                </c:pt>
                <c:pt idx="974">
                  <c:v>45681</c:v>
                </c:pt>
                <c:pt idx="975">
                  <c:v>45691</c:v>
                </c:pt>
                <c:pt idx="976">
                  <c:v>45692</c:v>
                </c:pt>
                <c:pt idx="977">
                  <c:v>45693</c:v>
                </c:pt>
                <c:pt idx="978">
                  <c:v>45694</c:v>
                </c:pt>
                <c:pt idx="979">
                  <c:v>45695</c:v>
                </c:pt>
                <c:pt idx="980">
                  <c:v>45698</c:v>
                </c:pt>
                <c:pt idx="981">
                  <c:v>45699</c:v>
                </c:pt>
                <c:pt idx="982">
                  <c:v>45700</c:v>
                </c:pt>
                <c:pt idx="983">
                  <c:v>45701</c:v>
                </c:pt>
                <c:pt idx="984">
                  <c:v>45702</c:v>
                </c:pt>
                <c:pt idx="985">
                  <c:v>45705</c:v>
                </c:pt>
                <c:pt idx="986">
                  <c:v>45706</c:v>
                </c:pt>
                <c:pt idx="987">
                  <c:v>45707</c:v>
                </c:pt>
                <c:pt idx="988">
                  <c:v>45708</c:v>
                </c:pt>
                <c:pt idx="989">
                  <c:v>45709</c:v>
                </c:pt>
                <c:pt idx="990">
                  <c:v>45712</c:v>
                </c:pt>
                <c:pt idx="991">
                  <c:v>45713</c:v>
                </c:pt>
                <c:pt idx="992">
                  <c:v>45714</c:v>
                </c:pt>
                <c:pt idx="993">
                  <c:v>45715</c:v>
                </c:pt>
                <c:pt idx="994">
                  <c:v>45716</c:v>
                </c:pt>
                <c:pt idx="995">
                  <c:v>45719</c:v>
                </c:pt>
                <c:pt idx="996">
                  <c:v>45720</c:v>
                </c:pt>
                <c:pt idx="997">
                  <c:v>45721</c:v>
                </c:pt>
                <c:pt idx="998">
                  <c:v>45722</c:v>
                </c:pt>
                <c:pt idx="999">
                  <c:v>45723</c:v>
                </c:pt>
                <c:pt idx="1000">
                  <c:v>45726</c:v>
                </c:pt>
                <c:pt idx="1001">
                  <c:v>45727</c:v>
                </c:pt>
                <c:pt idx="1002">
                  <c:v>45728</c:v>
                </c:pt>
                <c:pt idx="1003">
                  <c:v>45729</c:v>
                </c:pt>
                <c:pt idx="1004">
                  <c:v>45730</c:v>
                </c:pt>
                <c:pt idx="1005">
                  <c:v>45733</c:v>
                </c:pt>
                <c:pt idx="1006">
                  <c:v>45734</c:v>
                </c:pt>
                <c:pt idx="1007">
                  <c:v>45735</c:v>
                </c:pt>
                <c:pt idx="1008">
                  <c:v>45736</c:v>
                </c:pt>
                <c:pt idx="1009">
                  <c:v>45737</c:v>
                </c:pt>
                <c:pt idx="1010">
                  <c:v>45740</c:v>
                </c:pt>
                <c:pt idx="1011">
                  <c:v>45741</c:v>
                </c:pt>
                <c:pt idx="1012">
                  <c:v>45742</c:v>
                </c:pt>
                <c:pt idx="1013">
                  <c:v>45743</c:v>
                </c:pt>
                <c:pt idx="1014">
                  <c:v>45744</c:v>
                </c:pt>
                <c:pt idx="1015">
                  <c:v>45747</c:v>
                </c:pt>
                <c:pt idx="1016">
                  <c:v>45748</c:v>
                </c:pt>
                <c:pt idx="1017">
                  <c:v>45749</c:v>
                </c:pt>
                <c:pt idx="1018">
                  <c:v>45750</c:v>
                </c:pt>
                <c:pt idx="1019">
                  <c:v>45751</c:v>
                </c:pt>
                <c:pt idx="1020">
                  <c:v>45755</c:v>
                </c:pt>
                <c:pt idx="1021">
                  <c:v>45756</c:v>
                </c:pt>
                <c:pt idx="1022">
                  <c:v>45757</c:v>
                </c:pt>
                <c:pt idx="1023">
                  <c:v>45758</c:v>
                </c:pt>
                <c:pt idx="1024">
                  <c:v>45761</c:v>
                </c:pt>
                <c:pt idx="1025">
                  <c:v>45762</c:v>
                </c:pt>
                <c:pt idx="1026">
                  <c:v>45763</c:v>
                </c:pt>
                <c:pt idx="1027">
                  <c:v>45764</c:v>
                </c:pt>
                <c:pt idx="1028">
                  <c:v>45765</c:v>
                </c:pt>
                <c:pt idx="1029">
                  <c:v>45768</c:v>
                </c:pt>
                <c:pt idx="1030">
                  <c:v>45769</c:v>
                </c:pt>
                <c:pt idx="1031">
                  <c:v>45770</c:v>
                </c:pt>
                <c:pt idx="1032">
                  <c:v>45771</c:v>
                </c:pt>
                <c:pt idx="1033">
                  <c:v>45772</c:v>
                </c:pt>
                <c:pt idx="1034">
                  <c:v>45775</c:v>
                </c:pt>
                <c:pt idx="1035">
                  <c:v>45776</c:v>
                </c:pt>
                <c:pt idx="1036">
                  <c:v>45782</c:v>
                </c:pt>
                <c:pt idx="1037">
                  <c:v>45783</c:v>
                </c:pt>
                <c:pt idx="1038">
                  <c:v>45784</c:v>
                </c:pt>
                <c:pt idx="1039">
                  <c:v>45785</c:v>
                </c:pt>
                <c:pt idx="1040">
                  <c:v>45786</c:v>
                </c:pt>
                <c:pt idx="1041">
                  <c:v>45789</c:v>
                </c:pt>
                <c:pt idx="1042">
                  <c:v>45790</c:v>
                </c:pt>
                <c:pt idx="1043">
                  <c:v>45791</c:v>
                </c:pt>
                <c:pt idx="1044">
                  <c:v>45792</c:v>
                </c:pt>
                <c:pt idx="1045">
                  <c:v>45793</c:v>
                </c:pt>
                <c:pt idx="1046">
                  <c:v>45796</c:v>
                </c:pt>
                <c:pt idx="1047">
                  <c:v>45797</c:v>
                </c:pt>
                <c:pt idx="1048">
                  <c:v>45798</c:v>
                </c:pt>
                <c:pt idx="1049">
                  <c:v>45799</c:v>
                </c:pt>
                <c:pt idx="1050">
                  <c:v>45800</c:v>
                </c:pt>
                <c:pt idx="1051">
                  <c:v>45803</c:v>
                </c:pt>
                <c:pt idx="1052">
                  <c:v>45804</c:v>
                </c:pt>
                <c:pt idx="1053">
                  <c:v>45805</c:v>
                </c:pt>
                <c:pt idx="1054">
                  <c:v>45806</c:v>
                </c:pt>
                <c:pt idx="1055">
                  <c:v>45807</c:v>
                </c:pt>
                <c:pt idx="1056">
                  <c:v>45810</c:v>
                </c:pt>
                <c:pt idx="1057">
                  <c:v>45811</c:v>
                </c:pt>
                <c:pt idx="1058">
                  <c:v>45812</c:v>
                </c:pt>
                <c:pt idx="1059">
                  <c:v>45813</c:v>
                </c:pt>
                <c:pt idx="1060">
                  <c:v>45814</c:v>
                </c:pt>
                <c:pt idx="1061">
                  <c:v>45817</c:v>
                </c:pt>
                <c:pt idx="1062">
                  <c:v>45818</c:v>
                </c:pt>
                <c:pt idx="1063">
                  <c:v>45819</c:v>
                </c:pt>
                <c:pt idx="1064">
                  <c:v>45820</c:v>
                </c:pt>
                <c:pt idx="1065">
                  <c:v>45821</c:v>
                </c:pt>
                <c:pt idx="1066">
                  <c:v>45824</c:v>
                </c:pt>
                <c:pt idx="1067">
                  <c:v>45825</c:v>
                </c:pt>
                <c:pt idx="1068">
                  <c:v>45826</c:v>
                </c:pt>
                <c:pt idx="1069">
                  <c:v>45827</c:v>
                </c:pt>
                <c:pt idx="1070">
                  <c:v>45828</c:v>
                </c:pt>
                <c:pt idx="1071">
                  <c:v>45831</c:v>
                </c:pt>
                <c:pt idx="1072">
                  <c:v>45832</c:v>
                </c:pt>
                <c:pt idx="1073">
                  <c:v>45833</c:v>
                </c:pt>
                <c:pt idx="1074">
                  <c:v>45834</c:v>
                </c:pt>
                <c:pt idx="1075">
                  <c:v>45835</c:v>
                </c:pt>
                <c:pt idx="1076">
                  <c:v>45838</c:v>
                </c:pt>
                <c:pt idx="1077">
                  <c:v>45839</c:v>
                </c:pt>
                <c:pt idx="1078">
                  <c:v>45840</c:v>
                </c:pt>
                <c:pt idx="1079">
                  <c:v>45841</c:v>
                </c:pt>
                <c:pt idx="1080">
                  <c:v>45842</c:v>
                </c:pt>
                <c:pt idx="1081">
                  <c:v>45845</c:v>
                </c:pt>
                <c:pt idx="1082">
                  <c:v>45846</c:v>
                </c:pt>
                <c:pt idx="1083">
                  <c:v>45847</c:v>
                </c:pt>
                <c:pt idx="1084">
                  <c:v>45848</c:v>
                </c:pt>
                <c:pt idx="1085">
                  <c:v>45849</c:v>
                </c:pt>
                <c:pt idx="1086">
                  <c:v>45852</c:v>
                </c:pt>
                <c:pt idx="1087">
                  <c:v>45853</c:v>
                </c:pt>
                <c:pt idx="1088">
                  <c:v>45854</c:v>
                </c:pt>
                <c:pt idx="1089">
                  <c:v>45855</c:v>
                </c:pt>
                <c:pt idx="1090">
                  <c:v>45856</c:v>
                </c:pt>
                <c:pt idx="1091">
                  <c:v>45859</c:v>
                </c:pt>
                <c:pt idx="1092">
                  <c:v>45860</c:v>
                </c:pt>
                <c:pt idx="1093">
                  <c:v>45861</c:v>
                </c:pt>
                <c:pt idx="1094">
                  <c:v>45862</c:v>
                </c:pt>
                <c:pt idx="1095">
                  <c:v>45863</c:v>
                </c:pt>
                <c:pt idx="1096">
                  <c:v>45866</c:v>
                </c:pt>
                <c:pt idx="1097">
                  <c:v>45867</c:v>
                </c:pt>
                <c:pt idx="1098">
                  <c:v>45868</c:v>
                </c:pt>
                <c:pt idx="1099">
                  <c:v>45869</c:v>
                </c:pt>
                <c:pt idx="1100">
                  <c:v>45870</c:v>
                </c:pt>
                <c:pt idx="1101">
                  <c:v>45873</c:v>
                </c:pt>
                <c:pt idx="1102">
                  <c:v>45874</c:v>
                </c:pt>
                <c:pt idx="1103">
                  <c:v>45875</c:v>
                </c:pt>
                <c:pt idx="1104">
                  <c:v>45876</c:v>
                </c:pt>
                <c:pt idx="1105">
                  <c:v>45877</c:v>
                </c:pt>
                <c:pt idx="1106">
                  <c:v>45880</c:v>
                </c:pt>
                <c:pt idx="1107">
                  <c:v>45881</c:v>
                </c:pt>
                <c:pt idx="1108">
                  <c:v>45882</c:v>
                </c:pt>
                <c:pt idx="1109">
                  <c:v>45883</c:v>
                </c:pt>
                <c:pt idx="1110">
                  <c:v>45884</c:v>
                </c:pt>
                <c:pt idx="1111">
                  <c:v>45887</c:v>
                </c:pt>
                <c:pt idx="1112">
                  <c:v>45888</c:v>
                </c:pt>
                <c:pt idx="1113">
                  <c:v>45889</c:v>
                </c:pt>
                <c:pt idx="1114">
                  <c:v>45890</c:v>
                </c:pt>
                <c:pt idx="1115">
                  <c:v>45891</c:v>
                </c:pt>
                <c:pt idx="1116">
                  <c:v>45894</c:v>
                </c:pt>
                <c:pt idx="1117">
                  <c:v>45895</c:v>
                </c:pt>
                <c:pt idx="1118">
                  <c:v>45896</c:v>
                </c:pt>
                <c:pt idx="1119">
                  <c:v>45897</c:v>
                </c:pt>
                <c:pt idx="1120">
                  <c:v>45898</c:v>
                </c:pt>
                <c:pt idx="1121">
                  <c:v>45903</c:v>
                </c:pt>
                <c:pt idx="1122">
                  <c:v>45904</c:v>
                </c:pt>
                <c:pt idx="1123">
                  <c:v>45905</c:v>
                </c:pt>
                <c:pt idx="1124">
                  <c:v>45908</c:v>
                </c:pt>
                <c:pt idx="1125">
                  <c:v>45909</c:v>
                </c:pt>
                <c:pt idx="1126">
                  <c:v>45910</c:v>
                </c:pt>
                <c:pt idx="1127">
                  <c:v>45911</c:v>
                </c:pt>
                <c:pt idx="1128">
                  <c:v>45912</c:v>
                </c:pt>
                <c:pt idx="1129">
                  <c:v>45915</c:v>
                </c:pt>
                <c:pt idx="1130">
                  <c:v>45916</c:v>
                </c:pt>
                <c:pt idx="1131">
                  <c:v>45917</c:v>
                </c:pt>
                <c:pt idx="1132">
                  <c:v>45918</c:v>
                </c:pt>
                <c:pt idx="1133">
                  <c:v>45919</c:v>
                </c:pt>
                <c:pt idx="1134">
                  <c:v>45922</c:v>
                </c:pt>
                <c:pt idx="1135">
                  <c:v>45923</c:v>
                </c:pt>
                <c:pt idx="1136">
                  <c:v>45924</c:v>
                </c:pt>
                <c:pt idx="1137">
                  <c:v>45925</c:v>
                </c:pt>
                <c:pt idx="1138">
                  <c:v>45926</c:v>
                </c:pt>
                <c:pt idx="1139">
                  <c:v>45929</c:v>
                </c:pt>
                <c:pt idx="1140">
                  <c:v>45930</c:v>
                </c:pt>
                <c:pt idx="1141">
                  <c:v>45931</c:v>
                </c:pt>
                <c:pt idx="1142">
                  <c:v>45932</c:v>
                </c:pt>
                <c:pt idx="1143">
                  <c:v>45933</c:v>
                </c:pt>
                <c:pt idx="1144">
                  <c:v>45936</c:v>
                </c:pt>
                <c:pt idx="1145">
                  <c:v>45937</c:v>
                </c:pt>
                <c:pt idx="1146">
                  <c:v>45938</c:v>
                </c:pt>
                <c:pt idx="1147">
                  <c:v>45939</c:v>
                </c:pt>
                <c:pt idx="1148">
                  <c:v>45940</c:v>
                </c:pt>
                <c:pt idx="1149">
                  <c:v>45943</c:v>
                </c:pt>
                <c:pt idx="1150">
                  <c:v>45944</c:v>
                </c:pt>
                <c:pt idx="1151">
                  <c:v>45945</c:v>
                </c:pt>
                <c:pt idx="1152">
                  <c:v>45946</c:v>
                </c:pt>
                <c:pt idx="1153">
                  <c:v>45947</c:v>
                </c:pt>
                <c:pt idx="1154">
                  <c:v>45950</c:v>
                </c:pt>
                <c:pt idx="1155">
                  <c:v>45951</c:v>
                </c:pt>
                <c:pt idx="1156">
                  <c:v>45952</c:v>
                </c:pt>
                <c:pt idx="1157">
                  <c:v>45953</c:v>
                </c:pt>
                <c:pt idx="1158">
                  <c:v>45954</c:v>
                </c:pt>
                <c:pt idx="1159">
                  <c:v>45957</c:v>
                </c:pt>
                <c:pt idx="1160">
                  <c:v>45958</c:v>
                </c:pt>
                <c:pt idx="1161">
                  <c:v>45959</c:v>
                </c:pt>
                <c:pt idx="1162">
                  <c:v>45960</c:v>
                </c:pt>
                <c:pt idx="1163">
                  <c:v>45961</c:v>
                </c:pt>
                <c:pt idx="1164">
                  <c:v>45964</c:v>
                </c:pt>
                <c:pt idx="1165">
                  <c:v>45965</c:v>
                </c:pt>
                <c:pt idx="1166">
                  <c:v>45966</c:v>
                </c:pt>
                <c:pt idx="1167">
                  <c:v>45967</c:v>
                </c:pt>
                <c:pt idx="1168">
                  <c:v>45968</c:v>
                </c:pt>
                <c:pt idx="1169">
                  <c:v>45971</c:v>
                </c:pt>
                <c:pt idx="1170">
                  <c:v>45972</c:v>
                </c:pt>
                <c:pt idx="1171">
                  <c:v>45973</c:v>
                </c:pt>
                <c:pt idx="1172">
                  <c:v>45974</c:v>
                </c:pt>
                <c:pt idx="1173">
                  <c:v>45975</c:v>
                </c:pt>
                <c:pt idx="1174">
                  <c:v>45978</c:v>
                </c:pt>
                <c:pt idx="1175">
                  <c:v>45979</c:v>
                </c:pt>
                <c:pt idx="1176">
                  <c:v>45980</c:v>
                </c:pt>
                <c:pt idx="1177">
                  <c:v>45981</c:v>
                </c:pt>
                <c:pt idx="1178">
                  <c:v>45982</c:v>
                </c:pt>
                <c:pt idx="1179">
                  <c:v>45985</c:v>
                </c:pt>
                <c:pt idx="1180">
                  <c:v>45986</c:v>
                </c:pt>
                <c:pt idx="1181">
                  <c:v>45987</c:v>
                </c:pt>
                <c:pt idx="1182">
                  <c:v>45988</c:v>
                </c:pt>
                <c:pt idx="1183">
                  <c:v>45989</c:v>
                </c:pt>
                <c:pt idx="1184">
                  <c:v>45992</c:v>
                </c:pt>
                <c:pt idx="1185">
                  <c:v>45993</c:v>
                </c:pt>
                <c:pt idx="1186">
                  <c:v>45994</c:v>
                </c:pt>
                <c:pt idx="1187">
                  <c:v>45995</c:v>
                </c:pt>
                <c:pt idx="1188">
                  <c:v>45996</c:v>
                </c:pt>
                <c:pt idx="1189">
                  <c:v>45999</c:v>
                </c:pt>
                <c:pt idx="1190">
                  <c:v>46000</c:v>
                </c:pt>
                <c:pt idx="1191">
                  <c:v>46001</c:v>
                </c:pt>
                <c:pt idx="1192">
                  <c:v>46002</c:v>
                </c:pt>
                <c:pt idx="1193">
                  <c:v>46003</c:v>
                </c:pt>
                <c:pt idx="1194">
                  <c:v>46006</c:v>
                </c:pt>
                <c:pt idx="1195">
                  <c:v>46007</c:v>
                </c:pt>
                <c:pt idx="1196">
                  <c:v>46008</c:v>
                </c:pt>
                <c:pt idx="1197">
                  <c:v>46009</c:v>
                </c:pt>
                <c:pt idx="1198">
                  <c:v>46010</c:v>
                </c:pt>
                <c:pt idx="1199">
                  <c:v>46013</c:v>
                </c:pt>
                <c:pt idx="1200">
                  <c:v>46014</c:v>
                </c:pt>
                <c:pt idx="1201">
                  <c:v>46015</c:v>
                </c:pt>
                <c:pt idx="1202">
                  <c:v>46016</c:v>
                </c:pt>
                <c:pt idx="1203">
                  <c:v>46017</c:v>
                </c:pt>
                <c:pt idx="1204">
                  <c:v>46020</c:v>
                </c:pt>
                <c:pt idx="1205">
                  <c:v>46021</c:v>
                </c:pt>
                <c:pt idx="1206">
                  <c:v>46022</c:v>
                </c:pt>
                <c:pt idx="1207">
                  <c:v>46027</c:v>
                </c:pt>
                <c:pt idx="1208">
                  <c:v>46028</c:v>
                </c:pt>
                <c:pt idx="1209">
                  <c:v>46029</c:v>
                </c:pt>
                <c:pt idx="1210">
                  <c:v>46030</c:v>
                </c:pt>
                <c:pt idx="1211">
                  <c:v>46031</c:v>
                </c:pt>
                <c:pt idx="1212">
                  <c:v>46034</c:v>
                </c:pt>
                <c:pt idx="1213">
                  <c:v>46035</c:v>
                </c:pt>
                <c:pt idx="1214">
                  <c:v>46036</c:v>
                </c:pt>
                <c:pt idx="1215">
                  <c:v>46037</c:v>
                </c:pt>
                <c:pt idx="1216">
                  <c:v>46038</c:v>
                </c:pt>
                <c:pt idx="1217">
                  <c:v>46041</c:v>
                </c:pt>
                <c:pt idx="1218">
                  <c:v>46042</c:v>
                </c:pt>
                <c:pt idx="1219">
                  <c:v>46043</c:v>
                </c:pt>
                <c:pt idx="1220">
                  <c:v>46044</c:v>
                </c:pt>
                <c:pt idx="1221">
                  <c:v>46045</c:v>
                </c:pt>
                <c:pt idx="1222">
                  <c:v>46048</c:v>
                </c:pt>
                <c:pt idx="1223">
                  <c:v>46049</c:v>
                </c:pt>
                <c:pt idx="1224">
                  <c:v>46050</c:v>
                </c:pt>
                <c:pt idx="1225">
                  <c:v>46051</c:v>
                </c:pt>
                <c:pt idx="1226">
                  <c:v>46052</c:v>
                </c:pt>
                <c:pt idx="1227">
                  <c:v>46055</c:v>
                </c:pt>
                <c:pt idx="1228">
                  <c:v>46056</c:v>
                </c:pt>
                <c:pt idx="1229">
                  <c:v>46057</c:v>
                </c:pt>
                <c:pt idx="1230">
                  <c:v>46058</c:v>
                </c:pt>
                <c:pt idx="1231">
                  <c:v>46059</c:v>
                </c:pt>
                <c:pt idx="1232">
                  <c:v>46062</c:v>
                </c:pt>
                <c:pt idx="1233">
                  <c:v>46063</c:v>
                </c:pt>
                <c:pt idx="1234">
                  <c:v>46064</c:v>
                </c:pt>
                <c:pt idx="1235">
                  <c:v>46065</c:v>
                </c:pt>
                <c:pt idx="1236">
                  <c:v>46066</c:v>
                </c:pt>
                <c:pt idx="1237">
                  <c:v>46076</c:v>
                </c:pt>
                <c:pt idx="1238">
                  <c:v>46077</c:v>
                </c:pt>
                <c:pt idx="1239">
                  <c:v>46078</c:v>
                </c:pt>
                <c:pt idx="1240">
                  <c:v>46079</c:v>
                </c:pt>
                <c:pt idx="1241">
                  <c:v>46080</c:v>
                </c:pt>
                <c:pt idx="1242">
                  <c:v>46083</c:v>
                </c:pt>
                <c:pt idx="1243">
                  <c:v>46084</c:v>
                </c:pt>
                <c:pt idx="1244">
                  <c:v>46085</c:v>
                </c:pt>
                <c:pt idx="1245">
                  <c:v>46086</c:v>
                </c:pt>
                <c:pt idx="1246">
                  <c:v>46087</c:v>
                </c:pt>
              </c:numCache>
            </c:numRef>
          </c:cat>
          <c:val>
            <c:numRef>
              <c:f>'FX Data'!$E$957:$E$2203</c:f>
              <c:numCache>
                <c:formatCode>0.0</c:formatCode>
                <c:ptCount val="1247"/>
                <c:pt idx="0">
                  <c:v>20.496540945512795</c:v>
                </c:pt>
                <c:pt idx="1">
                  <c:v>20.496540945512795</c:v>
                </c:pt>
                <c:pt idx="2">
                  <c:v>20.496540945512795</c:v>
                </c:pt>
                <c:pt idx="3">
                  <c:v>20.496540945512795</c:v>
                </c:pt>
                <c:pt idx="4">
                  <c:v>20.496540945512795</c:v>
                </c:pt>
                <c:pt idx="5">
                  <c:v>20.496540945512795</c:v>
                </c:pt>
                <c:pt idx="6">
                  <c:v>20.496540945512795</c:v>
                </c:pt>
                <c:pt idx="7">
                  <c:v>20.496540945512795</c:v>
                </c:pt>
                <c:pt idx="8">
                  <c:v>20.496540945512795</c:v>
                </c:pt>
                <c:pt idx="9">
                  <c:v>20.496540945512795</c:v>
                </c:pt>
                <c:pt idx="10">
                  <c:v>20.496540945512795</c:v>
                </c:pt>
                <c:pt idx="11">
                  <c:v>20.496540945512795</c:v>
                </c:pt>
                <c:pt idx="12">
                  <c:v>20.496540945512795</c:v>
                </c:pt>
                <c:pt idx="13">
                  <c:v>20.496540945512795</c:v>
                </c:pt>
                <c:pt idx="14">
                  <c:v>20.496540945512795</c:v>
                </c:pt>
                <c:pt idx="15">
                  <c:v>20.496540945512795</c:v>
                </c:pt>
                <c:pt idx="16">
                  <c:v>20.496540945512795</c:v>
                </c:pt>
                <c:pt idx="17">
                  <c:v>20.496540945512795</c:v>
                </c:pt>
                <c:pt idx="18">
                  <c:v>20.496540945512795</c:v>
                </c:pt>
                <c:pt idx="19">
                  <c:v>20.496540945512795</c:v>
                </c:pt>
                <c:pt idx="20">
                  <c:v>20.496540945512795</c:v>
                </c:pt>
                <c:pt idx="21">
                  <c:v>20.496540945512795</c:v>
                </c:pt>
                <c:pt idx="22">
                  <c:v>20.496540945512795</c:v>
                </c:pt>
                <c:pt idx="23">
                  <c:v>20.496540945512795</c:v>
                </c:pt>
                <c:pt idx="24">
                  <c:v>20.496540945512795</c:v>
                </c:pt>
                <c:pt idx="25">
                  <c:v>20.496540945512795</c:v>
                </c:pt>
                <c:pt idx="26">
                  <c:v>20.496540945512795</c:v>
                </c:pt>
                <c:pt idx="27">
                  <c:v>20.496540945512795</c:v>
                </c:pt>
                <c:pt idx="28">
                  <c:v>20.496540945512795</c:v>
                </c:pt>
                <c:pt idx="29">
                  <c:v>20.496540945512795</c:v>
                </c:pt>
                <c:pt idx="30">
                  <c:v>20.496540945512795</c:v>
                </c:pt>
                <c:pt idx="31">
                  <c:v>20.496540945512795</c:v>
                </c:pt>
                <c:pt idx="32">
                  <c:v>20.496540945512795</c:v>
                </c:pt>
                <c:pt idx="33">
                  <c:v>20.496540945512795</c:v>
                </c:pt>
                <c:pt idx="34">
                  <c:v>20.496540945512795</c:v>
                </c:pt>
                <c:pt idx="35">
                  <c:v>20.496540945512795</c:v>
                </c:pt>
                <c:pt idx="36">
                  <c:v>20.496540945512795</c:v>
                </c:pt>
                <c:pt idx="37">
                  <c:v>20.496540945512795</c:v>
                </c:pt>
                <c:pt idx="38">
                  <c:v>20.496540945512795</c:v>
                </c:pt>
                <c:pt idx="39">
                  <c:v>20.496540945512795</c:v>
                </c:pt>
                <c:pt idx="40">
                  <c:v>20.496540945512795</c:v>
                </c:pt>
                <c:pt idx="41">
                  <c:v>20.496540945512795</c:v>
                </c:pt>
                <c:pt idx="42">
                  <c:v>20.496540945512795</c:v>
                </c:pt>
                <c:pt idx="43">
                  <c:v>20.496540945512795</c:v>
                </c:pt>
                <c:pt idx="44">
                  <c:v>20.496540945512795</c:v>
                </c:pt>
                <c:pt idx="45">
                  <c:v>20.496540945512795</c:v>
                </c:pt>
                <c:pt idx="46">
                  <c:v>20.496540945512795</c:v>
                </c:pt>
                <c:pt idx="47">
                  <c:v>20.496540945512795</c:v>
                </c:pt>
                <c:pt idx="48">
                  <c:v>20.496540945512795</c:v>
                </c:pt>
                <c:pt idx="49">
                  <c:v>20.496540945512795</c:v>
                </c:pt>
                <c:pt idx="50">
                  <c:v>20.496540945512795</c:v>
                </c:pt>
                <c:pt idx="51">
                  <c:v>20.496540945512795</c:v>
                </c:pt>
                <c:pt idx="52">
                  <c:v>20.496540945512795</c:v>
                </c:pt>
                <c:pt idx="53">
                  <c:v>20.496540945512795</c:v>
                </c:pt>
                <c:pt idx="54">
                  <c:v>20.496540945512795</c:v>
                </c:pt>
                <c:pt idx="55">
                  <c:v>20.496540945512795</c:v>
                </c:pt>
                <c:pt idx="56">
                  <c:v>20.496540945512795</c:v>
                </c:pt>
                <c:pt idx="57">
                  <c:v>20.496540945512795</c:v>
                </c:pt>
                <c:pt idx="58">
                  <c:v>20.496540945512795</c:v>
                </c:pt>
                <c:pt idx="59">
                  <c:v>20.496540945512795</c:v>
                </c:pt>
                <c:pt idx="60">
                  <c:v>20.496540945512795</c:v>
                </c:pt>
                <c:pt idx="61">
                  <c:v>20.496540945512795</c:v>
                </c:pt>
                <c:pt idx="62">
                  <c:v>20.496540945512795</c:v>
                </c:pt>
                <c:pt idx="63">
                  <c:v>20.496540945512795</c:v>
                </c:pt>
                <c:pt idx="64">
                  <c:v>20.496540945512795</c:v>
                </c:pt>
                <c:pt idx="65">
                  <c:v>20.496540945512795</c:v>
                </c:pt>
                <c:pt idx="66">
                  <c:v>20.496540945512795</c:v>
                </c:pt>
                <c:pt idx="67">
                  <c:v>20.496540945512795</c:v>
                </c:pt>
                <c:pt idx="68">
                  <c:v>20.496540945512795</c:v>
                </c:pt>
                <c:pt idx="69">
                  <c:v>20.496540945512795</c:v>
                </c:pt>
                <c:pt idx="70">
                  <c:v>20.496540945512795</c:v>
                </c:pt>
                <c:pt idx="71">
                  <c:v>20.496540945512795</c:v>
                </c:pt>
                <c:pt idx="72">
                  <c:v>20.496540945512795</c:v>
                </c:pt>
                <c:pt idx="73">
                  <c:v>20.496540945512795</c:v>
                </c:pt>
                <c:pt idx="74">
                  <c:v>20.496540945512795</c:v>
                </c:pt>
                <c:pt idx="75">
                  <c:v>20.496540945512795</c:v>
                </c:pt>
                <c:pt idx="76">
                  <c:v>20.496540945512795</c:v>
                </c:pt>
                <c:pt idx="77">
                  <c:v>20.496540945512795</c:v>
                </c:pt>
                <c:pt idx="78">
                  <c:v>20.496540945512795</c:v>
                </c:pt>
                <c:pt idx="79">
                  <c:v>20.496540945512795</c:v>
                </c:pt>
                <c:pt idx="80">
                  <c:v>20.496540945512795</c:v>
                </c:pt>
                <c:pt idx="81">
                  <c:v>20.496540945512795</c:v>
                </c:pt>
                <c:pt idx="82">
                  <c:v>20.496540945512795</c:v>
                </c:pt>
                <c:pt idx="83">
                  <c:v>20.496540945512795</c:v>
                </c:pt>
                <c:pt idx="84">
                  <c:v>20.496540945512795</c:v>
                </c:pt>
                <c:pt idx="85">
                  <c:v>20.496540945512795</c:v>
                </c:pt>
                <c:pt idx="86">
                  <c:v>20.496540945512795</c:v>
                </c:pt>
                <c:pt idx="87">
                  <c:v>20.496540945512795</c:v>
                </c:pt>
                <c:pt idx="88">
                  <c:v>20.496540945512795</c:v>
                </c:pt>
                <c:pt idx="89">
                  <c:v>20.496540945512795</c:v>
                </c:pt>
                <c:pt idx="90">
                  <c:v>20.496540945512795</c:v>
                </c:pt>
                <c:pt idx="91">
                  <c:v>20.496540945512795</c:v>
                </c:pt>
                <c:pt idx="92">
                  <c:v>20.496540945512795</c:v>
                </c:pt>
                <c:pt idx="93">
                  <c:v>20.496540945512795</c:v>
                </c:pt>
                <c:pt idx="94">
                  <c:v>20.496540945512795</c:v>
                </c:pt>
                <c:pt idx="95">
                  <c:v>20.496540945512795</c:v>
                </c:pt>
                <c:pt idx="96">
                  <c:v>20.496540945512795</c:v>
                </c:pt>
                <c:pt idx="97">
                  <c:v>20.496540945512795</c:v>
                </c:pt>
                <c:pt idx="98">
                  <c:v>20.496540945512795</c:v>
                </c:pt>
                <c:pt idx="99">
                  <c:v>20.496540945512795</c:v>
                </c:pt>
                <c:pt idx="100">
                  <c:v>20.496540945512795</c:v>
                </c:pt>
                <c:pt idx="101">
                  <c:v>20.496540945512795</c:v>
                </c:pt>
                <c:pt idx="102">
                  <c:v>20.496540945512795</c:v>
                </c:pt>
                <c:pt idx="103">
                  <c:v>20.496540945512795</c:v>
                </c:pt>
                <c:pt idx="104">
                  <c:v>20.496540945512795</c:v>
                </c:pt>
                <c:pt idx="105">
                  <c:v>20.496540945512795</c:v>
                </c:pt>
                <c:pt idx="106">
                  <c:v>20.496540945512795</c:v>
                </c:pt>
                <c:pt idx="107">
                  <c:v>20.496540945512795</c:v>
                </c:pt>
                <c:pt idx="108">
                  <c:v>20.496540945512795</c:v>
                </c:pt>
                <c:pt idx="109">
                  <c:v>20.496540945512795</c:v>
                </c:pt>
                <c:pt idx="110">
                  <c:v>20.496540945512795</c:v>
                </c:pt>
                <c:pt idx="111">
                  <c:v>20.496540945512795</c:v>
                </c:pt>
                <c:pt idx="112">
                  <c:v>20.496540945512795</c:v>
                </c:pt>
                <c:pt idx="113">
                  <c:v>20.496540945512795</c:v>
                </c:pt>
                <c:pt idx="114">
                  <c:v>20.496540945512795</c:v>
                </c:pt>
                <c:pt idx="115">
                  <c:v>20.496540945512795</c:v>
                </c:pt>
                <c:pt idx="116">
                  <c:v>20.496540945512795</c:v>
                </c:pt>
                <c:pt idx="117">
                  <c:v>20.496540945512795</c:v>
                </c:pt>
                <c:pt idx="118">
                  <c:v>20.496540945512795</c:v>
                </c:pt>
                <c:pt idx="119">
                  <c:v>20.496540945512795</c:v>
                </c:pt>
                <c:pt idx="120">
                  <c:v>20.496540945512795</c:v>
                </c:pt>
                <c:pt idx="121">
                  <c:v>20.496540945512795</c:v>
                </c:pt>
                <c:pt idx="122">
                  <c:v>20.496540945512795</c:v>
                </c:pt>
                <c:pt idx="123">
                  <c:v>20.496540945512795</c:v>
                </c:pt>
                <c:pt idx="124">
                  <c:v>20.496540945512795</c:v>
                </c:pt>
                <c:pt idx="125">
                  <c:v>20.496540945512795</c:v>
                </c:pt>
                <c:pt idx="126">
                  <c:v>20.496540945512795</c:v>
                </c:pt>
                <c:pt idx="127">
                  <c:v>20.496540945512795</c:v>
                </c:pt>
                <c:pt idx="128">
                  <c:v>20.496540945512795</c:v>
                </c:pt>
                <c:pt idx="129">
                  <c:v>20.496540945512795</c:v>
                </c:pt>
                <c:pt idx="130">
                  <c:v>20.496540945512795</c:v>
                </c:pt>
                <c:pt idx="131">
                  <c:v>20.496540945512795</c:v>
                </c:pt>
                <c:pt idx="132">
                  <c:v>20.496540945512795</c:v>
                </c:pt>
                <c:pt idx="133">
                  <c:v>20.496540945512795</c:v>
                </c:pt>
                <c:pt idx="134">
                  <c:v>20.496540945512795</c:v>
                </c:pt>
                <c:pt idx="135">
                  <c:v>20.496540945512795</c:v>
                </c:pt>
                <c:pt idx="136">
                  <c:v>20.496540945512795</c:v>
                </c:pt>
                <c:pt idx="137">
                  <c:v>20.496540945512795</c:v>
                </c:pt>
                <c:pt idx="138">
                  <c:v>20.496540945512795</c:v>
                </c:pt>
                <c:pt idx="139">
                  <c:v>20.496540945512795</c:v>
                </c:pt>
                <c:pt idx="140">
                  <c:v>20.496540945512795</c:v>
                </c:pt>
                <c:pt idx="141">
                  <c:v>20.496540945512795</c:v>
                </c:pt>
                <c:pt idx="142">
                  <c:v>20.496540945512795</c:v>
                </c:pt>
                <c:pt idx="143">
                  <c:v>20.496540945512795</c:v>
                </c:pt>
                <c:pt idx="144">
                  <c:v>20.496540945512795</c:v>
                </c:pt>
                <c:pt idx="145">
                  <c:v>20.496540945512795</c:v>
                </c:pt>
                <c:pt idx="146">
                  <c:v>20.496540945512795</c:v>
                </c:pt>
                <c:pt idx="147">
                  <c:v>20.496540945512795</c:v>
                </c:pt>
                <c:pt idx="148">
                  <c:v>20.496540945512795</c:v>
                </c:pt>
                <c:pt idx="149">
                  <c:v>20.496540945512795</c:v>
                </c:pt>
                <c:pt idx="150">
                  <c:v>20.496540945512795</c:v>
                </c:pt>
                <c:pt idx="151">
                  <c:v>20.496540945512795</c:v>
                </c:pt>
                <c:pt idx="152">
                  <c:v>20.496540945512795</c:v>
                </c:pt>
                <c:pt idx="153">
                  <c:v>20.496540945512795</c:v>
                </c:pt>
                <c:pt idx="154">
                  <c:v>20.496540945512795</c:v>
                </c:pt>
                <c:pt idx="155">
                  <c:v>20.496540945512795</c:v>
                </c:pt>
                <c:pt idx="156">
                  <c:v>20.496540945512795</c:v>
                </c:pt>
                <c:pt idx="157">
                  <c:v>20.496540945512795</c:v>
                </c:pt>
                <c:pt idx="158">
                  <c:v>20.496540945512795</c:v>
                </c:pt>
                <c:pt idx="159">
                  <c:v>20.496540945512795</c:v>
                </c:pt>
                <c:pt idx="160">
                  <c:v>20.496540945512795</c:v>
                </c:pt>
                <c:pt idx="161">
                  <c:v>20.496540945512795</c:v>
                </c:pt>
                <c:pt idx="162">
                  <c:v>20.496540945512795</c:v>
                </c:pt>
                <c:pt idx="163">
                  <c:v>20.496540945512795</c:v>
                </c:pt>
                <c:pt idx="164">
                  <c:v>20.496540945512795</c:v>
                </c:pt>
                <c:pt idx="165">
                  <c:v>20.496540945512795</c:v>
                </c:pt>
                <c:pt idx="166">
                  <c:v>20.496540945512795</c:v>
                </c:pt>
                <c:pt idx="167">
                  <c:v>20.496540945512795</c:v>
                </c:pt>
                <c:pt idx="168">
                  <c:v>20.496540945512795</c:v>
                </c:pt>
                <c:pt idx="169">
                  <c:v>20.496540945512795</c:v>
                </c:pt>
                <c:pt idx="170">
                  <c:v>20.496540945512795</c:v>
                </c:pt>
                <c:pt idx="171">
                  <c:v>20.496540945512795</c:v>
                </c:pt>
                <c:pt idx="172">
                  <c:v>20.496540945512795</c:v>
                </c:pt>
                <c:pt idx="173">
                  <c:v>20.496540945512795</c:v>
                </c:pt>
                <c:pt idx="174">
                  <c:v>20.496540945512795</c:v>
                </c:pt>
                <c:pt idx="175">
                  <c:v>20.496540945512795</c:v>
                </c:pt>
                <c:pt idx="176">
                  <c:v>20.496540945512795</c:v>
                </c:pt>
                <c:pt idx="177">
                  <c:v>20.496540945512795</c:v>
                </c:pt>
                <c:pt idx="178">
                  <c:v>20.496540945512795</c:v>
                </c:pt>
                <c:pt idx="179">
                  <c:v>20.496540945512795</c:v>
                </c:pt>
                <c:pt idx="180">
                  <c:v>20.496540945512795</c:v>
                </c:pt>
                <c:pt idx="181">
                  <c:v>20.496540945512795</c:v>
                </c:pt>
                <c:pt idx="182">
                  <c:v>20.496540945512795</c:v>
                </c:pt>
                <c:pt idx="183">
                  <c:v>20.496540945512795</c:v>
                </c:pt>
                <c:pt idx="184">
                  <c:v>20.496540945512795</c:v>
                </c:pt>
                <c:pt idx="185">
                  <c:v>20.496540945512795</c:v>
                </c:pt>
                <c:pt idx="186">
                  <c:v>20.496540945512795</c:v>
                </c:pt>
                <c:pt idx="187">
                  <c:v>20.496540945512795</c:v>
                </c:pt>
                <c:pt idx="188">
                  <c:v>20.496540945512795</c:v>
                </c:pt>
                <c:pt idx="189">
                  <c:v>20.496540945512795</c:v>
                </c:pt>
                <c:pt idx="190">
                  <c:v>20.496540945512795</c:v>
                </c:pt>
                <c:pt idx="191">
                  <c:v>20.496540945512795</c:v>
                </c:pt>
                <c:pt idx="192">
                  <c:v>20.496540945512795</c:v>
                </c:pt>
                <c:pt idx="193">
                  <c:v>20.496540945512795</c:v>
                </c:pt>
                <c:pt idx="194">
                  <c:v>20.496540945512795</c:v>
                </c:pt>
                <c:pt idx="195">
                  <c:v>20.496540945512795</c:v>
                </c:pt>
                <c:pt idx="196">
                  <c:v>20.496540945512795</c:v>
                </c:pt>
                <c:pt idx="197">
                  <c:v>20.496540945512795</c:v>
                </c:pt>
                <c:pt idx="198">
                  <c:v>20.496540945512795</c:v>
                </c:pt>
                <c:pt idx="199">
                  <c:v>20.496540945512795</c:v>
                </c:pt>
                <c:pt idx="200">
                  <c:v>20.496540945512795</c:v>
                </c:pt>
                <c:pt idx="201">
                  <c:v>20.496540945512795</c:v>
                </c:pt>
                <c:pt idx="202">
                  <c:v>20.496540945512795</c:v>
                </c:pt>
                <c:pt idx="203">
                  <c:v>20.496540945512795</c:v>
                </c:pt>
                <c:pt idx="204">
                  <c:v>20.496540945512795</c:v>
                </c:pt>
                <c:pt idx="205">
                  <c:v>20.496540945512795</c:v>
                </c:pt>
                <c:pt idx="206">
                  <c:v>20.496540945512795</c:v>
                </c:pt>
                <c:pt idx="207">
                  <c:v>20.496540945512795</c:v>
                </c:pt>
                <c:pt idx="208">
                  <c:v>20.496540945512795</c:v>
                </c:pt>
                <c:pt idx="209">
                  <c:v>20.496540945512795</c:v>
                </c:pt>
                <c:pt idx="210">
                  <c:v>20.496540945512795</c:v>
                </c:pt>
                <c:pt idx="211">
                  <c:v>20.496540945512795</c:v>
                </c:pt>
                <c:pt idx="212">
                  <c:v>20.496540945512795</c:v>
                </c:pt>
                <c:pt idx="213">
                  <c:v>20.496540945512795</c:v>
                </c:pt>
                <c:pt idx="214">
                  <c:v>20.496540945512795</c:v>
                </c:pt>
                <c:pt idx="215">
                  <c:v>20.496540945512795</c:v>
                </c:pt>
                <c:pt idx="216">
                  <c:v>20.496540945512795</c:v>
                </c:pt>
                <c:pt idx="217">
                  <c:v>20.496540945512795</c:v>
                </c:pt>
                <c:pt idx="218">
                  <c:v>20.496540945512795</c:v>
                </c:pt>
                <c:pt idx="219">
                  <c:v>20.496540945512795</c:v>
                </c:pt>
                <c:pt idx="220">
                  <c:v>20.496540945512795</c:v>
                </c:pt>
                <c:pt idx="221">
                  <c:v>20.496540945512795</c:v>
                </c:pt>
                <c:pt idx="222">
                  <c:v>20.496540945512795</c:v>
                </c:pt>
                <c:pt idx="223">
                  <c:v>20.496540945512795</c:v>
                </c:pt>
                <c:pt idx="224">
                  <c:v>20.496540945512795</c:v>
                </c:pt>
                <c:pt idx="225">
                  <c:v>20.496540945512795</c:v>
                </c:pt>
                <c:pt idx="226">
                  <c:v>20.496540945512795</c:v>
                </c:pt>
                <c:pt idx="227">
                  <c:v>20.496540945512795</c:v>
                </c:pt>
                <c:pt idx="228">
                  <c:v>20.496540945512795</c:v>
                </c:pt>
                <c:pt idx="229">
                  <c:v>20.496540945512795</c:v>
                </c:pt>
                <c:pt idx="230">
                  <c:v>20.496540945512795</c:v>
                </c:pt>
                <c:pt idx="231">
                  <c:v>20.496540945512795</c:v>
                </c:pt>
                <c:pt idx="232">
                  <c:v>20.496540945512795</c:v>
                </c:pt>
                <c:pt idx="233">
                  <c:v>20.496540945512795</c:v>
                </c:pt>
                <c:pt idx="234">
                  <c:v>20.496540945512795</c:v>
                </c:pt>
                <c:pt idx="235">
                  <c:v>20.496540945512795</c:v>
                </c:pt>
                <c:pt idx="236">
                  <c:v>20.496540945512795</c:v>
                </c:pt>
                <c:pt idx="237">
                  <c:v>20.496540945512795</c:v>
                </c:pt>
                <c:pt idx="238">
                  <c:v>20.496540945512795</c:v>
                </c:pt>
                <c:pt idx="239">
                  <c:v>20.496540945512795</c:v>
                </c:pt>
                <c:pt idx="240">
                  <c:v>20.496540945512795</c:v>
                </c:pt>
                <c:pt idx="241">
                  <c:v>20.496540945512795</c:v>
                </c:pt>
                <c:pt idx="242">
                  <c:v>20.496540945512795</c:v>
                </c:pt>
                <c:pt idx="243">
                  <c:v>20.496540945512795</c:v>
                </c:pt>
                <c:pt idx="244">
                  <c:v>20.496540945512795</c:v>
                </c:pt>
                <c:pt idx="245">
                  <c:v>20.496540945512795</c:v>
                </c:pt>
                <c:pt idx="246">
                  <c:v>20.496540945512795</c:v>
                </c:pt>
                <c:pt idx="247">
                  <c:v>20.496540945512795</c:v>
                </c:pt>
                <c:pt idx="248">
                  <c:v>20.496540945512795</c:v>
                </c:pt>
                <c:pt idx="249">
                  <c:v>20.496540945512795</c:v>
                </c:pt>
                <c:pt idx="250">
                  <c:v>20.496540945512795</c:v>
                </c:pt>
                <c:pt idx="251">
                  <c:v>20.496540945512795</c:v>
                </c:pt>
                <c:pt idx="252">
                  <c:v>20.496540945512795</c:v>
                </c:pt>
                <c:pt idx="253">
                  <c:v>20.496540945512795</c:v>
                </c:pt>
                <c:pt idx="254">
                  <c:v>20.496540945512795</c:v>
                </c:pt>
                <c:pt idx="255">
                  <c:v>20.496540945512795</c:v>
                </c:pt>
                <c:pt idx="256">
                  <c:v>20.496540945512795</c:v>
                </c:pt>
                <c:pt idx="257">
                  <c:v>20.496540945512795</c:v>
                </c:pt>
                <c:pt idx="258">
                  <c:v>20.496540945512795</c:v>
                </c:pt>
                <c:pt idx="259">
                  <c:v>20.496540945512795</c:v>
                </c:pt>
                <c:pt idx="260">
                  <c:v>20.496540945512795</c:v>
                </c:pt>
                <c:pt idx="261">
                  <c:v>20.496540945512795</c:v>
                </c:pt>
                <c:pt idx="262">
                  <c:v>20.496540945512795</c:v>
                </c:pt>
                <c:pt idx="263">
                  <c:v>20.496540945512795</c:v>
                </c:pt>
                <c:pt idx="264">
                  <c:v>20.496540945512795</c:v>
                </c:pt>
                <c:pt idx="265">
                  <c:v>20.496540945512795</c:v>
                </c:pt>
                <c:pt idx="266">
                  <c:v>20.496540945512795</c:v>
                </c:pt>
                <c:pt idx="267">
                  <c:v>20.496540945512795</c:v>
                </c:pt>
                <c:pt idx="268">
                  <c:v>20.496540945512795</c:v>
                </c:pt>
                <c:pt idx="269">
                  <c:v>20.496540945512795</c:v>
                </c:pt>
                <c:pt idx="270">
                  <c:v>20.496540945512795</c:v>
                </c:pt>
                <c:pt idx="271">
                  <c:v>20.496540945512795</c:v>
                </c:pt>
                <c:pt idx="272">
                  <c:v>20.496540945512795</c:v>
                </c:pt>
                <c:pt idx="273">
                  <c:v>20.496540945512795</c:v>
                </c:pt>
                <c:pt idx="274">
                  <c:v>20.496540945512795</c:v>
                </c:pt>
                <c:pt idx="275">
                  <c:v>20.496540945512795</c:v>
                </c:pt>
                <c:pt idx="276">
                  <c:v>20.496540945512795</c:v>
                </c:pt>
                <c:pt idx="277">
                  <c:v>20.496540945512795</c:v>
                </c:pt>
                <c:pt idx="278">
                  <c:v>20.496540945512795</c:v>
                </c:pt>
                <c:pt idx="279">
                  <c:v>20.496540945512795</c:v>
                </c:pt>
                <c:pt idx="280">
                  <c:v>20.496540945512795</c:v>
                </c:pt>
                <c:pt idx="281">
                  <c:v>20.496540945512795</c:v>
                </c:pt>
                <c:pt idx="282">
                  <c:v>20.496540945512795</c:v>
                </c:pt>
                <c:pt idx="283">
                  <c:v>20.496540945512795</c:v>
                </c:pt>
                <c:pt idx="284">
                  <c:v>20.496540945512795</c:v>
                </c:pt>
                <c:pt idx="285">
                  <c:v>20.496540945512795</c:v>
                </c:pt>
                <c:pt idx="286">
                  <c:v>20.496540945512795</c:v>
                </c:pt>
                <c:pt idx="287">
                  <c:v>20.496540945512795</c:v>
                </c:pt>
                <c:pt idx="288">
                  <c:v>20.496540945512795</c:v>
                </c:pt>
                <c:pt idx="289">
                  <c:v>20.496540945512795</c:v>
                </c:pt>
                <c:pt idx="290">
                  <c:v>20.496540945512795</c:v>
                </c:pt>
                <c:pt idx="291">
                  <c:v>20.496540945512795</c:v>
                </c:pt>
                <c:pt idx="292">
                  <c:v>20.496540945512795</c:v>
                </c:pt>
                <c:pt idx="293">
                  <c:v>20.496540945512795</c:v>
                </c:pt>
                <c:pt idx="294">
                  <c:v>20.496540945512795</c:v>
                </c:pt>
                <c:pt idx="295">
                  <c:v>20.496540945512795</c:v>
                </c:pt>
                <c:pt idx="296">
                  <c:v>20.496540945512795</c:v>
                </c:pt>
                <c:pt idx="297">
                  <c:v>20.496540945512795</c:v>
                </c:pt>
                <c:pt idx="298">
                  <c:v>20.496540945512795</c:v>
                </c:pt>
                <c:pt idx="299">
                  <c:v>20.496540945512795</c:v>
                </c:pt>
                <c:pt idx="300">
                  <c:v>20.496540945512795</c:v>
                </c:pt>
                <c:pt idx="301">
                  <c:v>20.496540945512795</c:v>
                </c:pt>
                <c:pt idx="302">
                  <c:v>20.496540945512795</c:v>
                </c:pt>
                <c:pt idx="303">
                  <c:v>20.496540945512795</c:v>
                </c:pt>
                <c:pt idx="304">
                  <c:v>20.496540945512795</c:v>
                </c:pt>
                <c:pt idx="305">
                  <c:v>20.496540945512795</c:v>
                </c:pt>
                <c:pt idx="306">
                  <c:v>20.496540945512795</c:v>
                </c:pt>
                <c:pt idx="307">
                  <c:v>20.496540945512795</c:v>
                </c:pt>
                <c:pt idx="308">
                  <c:v>20.496540945512795</c:v>
                </c:pt>
                <c:pt idx="309">
                  <c:v>20.496540945512795</c:v>
                </c:pt>
                <c:pt idx="310">
                  <c:v>20.496540945512795</c:v>
                </c:pt>
                <c:pt idx="311">
                  <c:v>20.496540945512795</c:v>
                </c:pt>
                <c:pt idx="312">
                  <c:v>20.496540945512795</c:v>
                </c:pt>
                <c:pt idx="313">
                  <c:v>20.496540945512795</c:v>
                </c:pt>
                <c:pt idx="314">
                  <c:v>20.496540945512795</c:v>
                </c:pt>
                <c:pt idx="315">
                  <c:v>20.496540945512795</c:v>
                </c:pt>
                <c:pt idx="316">
                  <c:v>20.496540945512795</c:v>
                </c:pt>
                <c:pt idx="317">
                  <c:v>20.496540945512795</c:v>
                </c:pt>
                <c:pt idx="318">
                  <c:v>20.496540945512795</c:v>
                </c:pt>
                <c:pt idx="319">
                  <c:v>20.496540945512795</c:v>
                </c:pt>
                <c:pt idx="320">
                  <c:v>20.496540945512795</c:v>
                </c:pt>
                <c:pt idx="321">
                  <c:v>20.496540945512795</c:v>
                </c:pt>
                <c:pt idx="322">
                  <c:v>20.496540945512795</c:v>
                </c:pt>
                <c:pt idx="323">
                  <c:v>20.496540945512795</c:v>
                </c:pt>
                <c:pt idx="324">
                  <c:v>20.496540945512795</c:v>
                </c:pt>
                <c:pt idx="325">
                  <c:v>20.496540945512795</c:v>
                </c:pt>
                <c:pt idx="326">
                  <c:v>20.496540945512795</c:v>
                </c:pt>
                <c:pt idx="327">
                  <c:v>20.496540945512795</c:v>
                </c:pt>
                <c:pt idx="328">
                  <c:v>20.496540945512795</c:v>
                </c:pt>
                <c:pt idx="329">
                  <c:v>20.496540945512795</c:v>
                </c:pt>
                <c:pt idx="330">
                  <c:v>20.496540945512795</c:v>
                </c:pt>
                <c:pt idx="331">
                  <c:v>20.496540945512795</c:v>
                </c:pt>
                <c:pt idx="332">
                  <c:v>20.496540945512795</c:v>
                </c:pt>
                <c:pt idx="333">
                  <c:v>20.496540945512795</c:v>
                </c:pt>
                <c:pt idx="334">
                  <c:v>20.496540945512795</c:v>
                </c:pt>
                <c:pt idx="335">
                  <c:v>20.496540945512795</c:v>
                </c:pt>
                <c:pt idx="336">
                  <c:v>20.496540945512795</c:v>
                </c:pt>
                <c:pt idx="337">
                  <c:v>20.496540945512795</c:v>
                </c:pt>
                <c:pt idx="338">
                  <c:v>20.496540945512795</c:v>
                </c:pt>
                <c:pt idx="339">
                  <c:v>20.496540945512795</c:v>
                </c:pt>
                <c:pt idx="340">
                  <c:v>20.496540945512795</c:v>
                </c:pt>
                <c:pt idx="341">
                  <c:v>20.496540945512795</c:v>
                </c:pt>
                <c:pt idx="342">
                  <c:v>20.496540945512795</c:v>
                </c:pt>
                <c:pt idx="343">
                  <c:v>20.496540945512795</c:v>
                </c:pt>
                <c:pt idx="344">
                  <c:v>20.496540945512795</c:v>
                </c:pt>
                <c:pt idx="345">
                  <c:v>20.496540945512795</c:v>
                </c:pt>
                <c:pt idx="346">
                  <c:v>20.496540945512795</c:v>
                </c:pt>
                <c:pt idx="347">
                  <c:v>20.496540945512795</c:v>
                </c:pt>
                <c:pt idx="348">
                  <c:v>20.496540945512795</c:v>
                </c:pt>
                <c:pt idx="349">
                  <c:v>20.496540945512795</c:v>
                </c:pt>
                <c:pt idx="350">
                  <c:v>20.496540945512795</c:v>
                </c:pt>
                <c:pt idx="351">
                  <c:v>20.496540945512795</c:v>
                </c:pt>
                <c:pt idx="352">
                  <c:v>20.496540945512795</c:v>
                </c:pt>
                <c:pt idx="353">
                  <c:v>20.496540945512795</c:v>
                </c:pt>
                <c:pt idx="354">
                  <c:v>20.496540945512795</c:v>
                </c:pt>
                <c:pt idx="355">
                  <c:v>20.496540945512795</c:v>
                </c:pt>
                <c:pt idx="356">
                  <c:v>20.496540945512795</c:v>
                </c:pt>
                <c:pt idx="357">
                  <c:v>20.496540945512795</c:v>
                </c:pt>
                <c:pt idx="358">
                  <c:v>20.496540945512795</c:v>
                </c:pt>
                <c:pt idx="359">
                  <c:v>20.496540945512795</c:v>
                </c:pt>
                <c:pt idx="360">
                  <c:v>20.496540945512795</c:v>
                </c:pt>
                <c:pt idx="361">
                  <c:v>20.496540945512795</c:v>
                </c:pt>
                <c:pt idx="362">
                  <c:v>20.496540945512795</c:v>
                </c:pt>
                <c:pt idx="363">
                  <c:v>20.496540945512795</c:v>
                </c:pt>
                <c:pt idx="364">
                  <c:v>20.496540945512795</c:v>
                </c:pt>
                <c:pt idx="365">
                  <c:v>20.496540945512795</c:v>
                </c:pt>
                <c:pt idx="366">
                  <c:v>20.496540945512795</c:v>
                </c:pt>
                <c:pt idx="367">
                  <c:v>20.496540945512795</c:v>
                </c:pt>
                <c:pt idx="368">
                  <c:v>20.496540945512795</c:v>
                </c:pt>
                <c:pt idx="369">
                  <c:v>20.496540945512795</c:v>
                </c:pt>
                <c:pt idx="370">
                  <c:v>20.496540945512795</c:v>
                </c:pt>
                <c:pt idx="371">
                  <c:v>20.496540945512795</c:v>
                </c:pt>
                <c:pt idx="372">
                  <c:v>20.496540945512795</c:v>
                </c:pt>
                <c:pt idx="373">
                  <c:v>20.496540945512795</c:v>
                </c:pt>
                <c:pt idx="374">
                  <c:v>20.496540945512795</c:v>
                </c:pt>
                <c:pt idx="375">
                  <c:v>20.496540945512795</c:v>
                </c:pt>
                <c:pt idx="376">
                  <c:v>20.496540945512795</c:v>
                </c:pt>
                <c:pt idx="377">
                  <c:v>20.496540945512795</c:v>
                </c:pt>
                <c:pt idx="378">
                  <c:v>20.496540945512795</c:v>
                </c:pt>
                <c:pt idx="379">
                  <c:v>20.496540945512795</c:v>
                </c:pt>
                <c:pt idx="380">
                  <c:v>20.496540945512795</c:v>
                </c:pt>
                <c:pt idx="381">
                  <c:v>20.496540945512795</c:v>
                </c:pt>
                <c:pt idx="382">
                  <c:v>20.496540945512795</c:v>
                </c:pt>
                <c:pt idx="383">
                  <c:v>20.496540945512795</c:v>
                </c:pt>
                <c:pt idx="384">
                  <c:v>20.496540945512795</c:v>
                </c:pt>
                <c:pt idx="385">
                  <c:v>20.496540945512795</c:v>
                </c:pt>
                <c:pt idx="386">
                  <c:v>20.496540945512795</c:v>
                </c:pt>
                <c:pt idx="387">
                  <c:v>20.496540945512795</c:v>
                </c:pt>
                <c:pt idx="388">
                  <c:v>20.496540945512795</c:v>
                </c:pt>
                <c:pt idx="389">
                  <c:v>20.496540945512795</c:v>
                </c:pt>
                <c:pt idx="390">
                  <c:v>20.496540945512795</c:v>
                </c:pt>
                <c:pt idx="391">
                  <c:v>20.496540945512795</c:v>
                </c:pt>
                <c:pt idx="392">
                  <c:v>20.496540945512795</c:v>
                </c:pt>
                <c:pt idx="393">
                  <c:v>20.496540945512795</c:v>
                </c:pt>
                <c:pt idx="394">
                  <c:v>20.496540945512795</c:v>
                </c:pt>
                <c:pt idx="395">
                  <c:v>20.496540945512795</c:v>
                </c:pt>
                <c:pt idx="396">
                  <c:v>20.496540945512795</c:v>
                </c:pt>
                <c:pt idx="397">
                  <c:v>20.496540945512795</c:v>
                </c:pt>
                <c:pt idx="398">
                  <c:v>20.496540945512795</c:v>
                </c:pt>
                <c:pt idx="399">
                  <c:v>20.496540945512795</c:v>
                </c:pt>
                <c:pt idx="400">
                  <c:v>20.496540945512795</c:v>
                </c:pt>
                <c:pt idx="401">
                  <c:v>20.496540945512795</c:v>
                </c:pt>
                <c:pt idx="402">
                  <c:v>20.496540945512795</c:v>
                </c:pt>
                <c:pt idx="403">
                  <c:v>20.496540945512795</c:v>
                </c:pt>
                <c:pt idx="404">
                  <c:v>20.496540945512795</c:v>
                </c:pt>
                <c:pt idx="405">
                  <c:v>20.496540945512795</c:v>
                </c:pt>
                <c:pt idx="406">
                  <c:v>20.496540945512795</c:v>
                </c:pt>
                <c:pt idx="407">
                  <c:v>20.496540945512795</c:v>
                </c:pt>
                <c:pt idx="408">
                  <c:v>20.496540945512795</c:v>
                </c:pt>
                <c:pt idx="409">
                  <c:v>20.496540945512795</c:v>
                </c:pt>
                <c:pt idx="410">
                  <c:v>20.496540945512795</c:v>
                </c:pt>
                <c:pt idx="411">
                  <c:v>20.496540945512795</c:v>
                </c:pt>
                <c:pt idx="412">
                  <c:v>20.496540945512795</c:v>
                </c:pt>
                <c:pt idx="413">
                  <c:v>20.496540945512795</c:v>
                </c:pt>
                <c:pt idx="414">
                  <c:v>20.496540945512795</c:v>
                </c:pt>
                <c:pt idx="415">
                  <c:v>20.496540945512795</c:v>
                </c:pt>
                <c:pt idx="416">
                  <c:v>20.496540945512795</c:v>
                </c:pt>
                <c:pt idx="417">
                  <c:v>20.496540945512795</c:v>
                </c:pt>
                <c:pt idx="418">
                  <c:v>20.496540945512795</c:v>
                </c:pt>
                <c:pt idx="419">
                  <c:v>20.496540945512795</c:v>
                </c:pt>
                <c:pt idx="420">
                  <c:v>20.496540945512795</c:v>
                </c:pt>
                <c:pt idx="421">
                  <c:v>20.496540945512795</c:v>
                </c:pt>
                <c:pt idx="422">
                  <c:v>20.496540945512795</c:v>
                </c:pt>
                <c:pt idx="423">
                  <c:v>20.496540945512795</c:v>
                </c:pt>
                <c:pt idx="424">
                  <c:v>20.496540945512795</c:v>
                </c:pt>
                <c:pt idx="425">
                  <c:v>20.496540945512795</c:v>
                </c:pt>
                <c:pt idx="426">
                  <c:v>20.496540945512795</c:v>
                </c:pt>
                <c:pt idx="427">
                  <c:v>20.496540945512795</c:v>
                </c:pt>
                <c:pt idx="428">
                  <c:v>20.496540945512795</c:v>
                </c:pt>
                <c:pt idx="429">
                  <c:v>20.496540945512795</c:v>
                </c:pt>
                <c:pt idx="430">
                  <c:v>20.496540945512795</c:v>
                </c:pt>
                <c:pt idx="431">
                  <c:v>20.496540945512795</c:v>
                </c:pt>
                <c:pt idx="432">
                  <c:v>20.496540945512795</c:v>
                </c:pt>
                <c:pt idx="433">
                  <c:v>20.496540945512795</c:v>
                </c:pt>
                <c:pt idx="434">
                  <c:v>20.496540945512795</c:v>
                </c:pt>
                <c:pt idx="435">
                  <c:v>20.496540945512795</c:v>
                </c:pt>
                <c:pt idx="436">
                  <c:v>20.496540945512795</c:v>
                </c:pt>
                <c:pt idx="437">
                  <c:v>20.496540945512795</c:v>
                </c:pt>
                <c:pt idx="438">
                  <c:v>20.496540945512795</c:v>
                </c:pt>
                <c:pt idx="439">
                  <c:v>20.496540945512795</c:v>
                </c:pt>
                <c:pt idx="440">
                  <c:v>20.496540945512795</c:v>
                </c:pt>
                <c:pt idx="441">
                  <c:v>20.496540945512795</c:v>
                </c:pt>
                <c:pt idx="442">
                  <c:v>20.496540945512795</c:v>
                </c:pt>
                <c:pt idx="443">
                  <c:v>20.496540945512795</c:v>
                </c:pt>
                <c:pt idx="444">
                  <c:v>20.496540945512795</c:v>
                </c:pt>
                <c:pt idx="445">
                  <c:v>20.496540945512795</c:v>
                </c:pt>
                <c:pt idx="446">
                  <c:v>20.496540945512795</c:v>
                </c:pt>
                <c:pt idx="447">
                  <c:v>20.496540945512795</c:v>
                </c:pt>
                <c:pt idx="448">
                  <c:v>20.496540945512795</c:v>
                </c:pt>
                <c:pt idx="449">
                  <c:v>20.496540945512795</c:v>
                </c:pt>
                <c:pt idx="450">
                  <c:v>20.496540945512795</c:v>
                </c:pt>
                <c:pt idx="451">
                  <c:v>20.496540945512795</c:v>
                </c:pt>
                <c:pt idx="452">
                  <c:v>20.496540945512795</c:v>
                </c:pt>
                <c:pt idx="453">
                  <c:v>20.496540945512795</c:v>
                </c:pt>
                <c:pt idx="454">
                  <c:v>20.496540945512795</c:v>
                </c:pt>
                <c:pt idx="455">
                  <c:v>20.496540945512795</c:v>
                </c:pt>
                <c:pt idx="456">
                  <c:v>20.496540945512795</c:v>
                </c:pt>
                <c:pt idx="457">
                  <c:v>20.496540945512795</c:v>
                </c:pt>
                <c:pt idx="458">
                  <c:v>20.496540945512795</c:v>
                </c:pt>
                <c:pt idx="459">
                  <c:v>20.496540945512795</c:v>
                </c:pt>
                <c:pt idx="460">
                  <c:v>20.496540945512795</c:v>
                </c:pt>
                <c:pt idx="461">
                  <c:v>20.496540945512795</c:v>
                </c:pt>
                <c:pt idx="462">
                  <c:v>20.496540945512795</c:v>
                </c:pt>
                <c:pt idx="463">
                  <c:v>20.496540945512795</c:v>
                </c:pt>
                <c:pt idx="464">
                  <c:v>20.496540945512795</c:v>
                </c:pt>
                <c:pt idx="465">
                  <c:v>20.496540945512795</c:v>
                </c:pt>
                <c:pt idx="466">
                  <c:v>20.496540945512795</c:v>
                </c:pt>
                <c:pt idx="467">
                  <c:v>20.496540945512795</c:v>
                </c:pt>
                <c:pt idx="468">
                  <c:v>20.496540945512795</c:v>
                </c:pt>
                <c:pt idx="469">
                  <c:v>20.496540945512795</c:v>
                </c:pt>
                <c:pt idx="470">
                  <c:v>20.496540945512795</c:v>
                </c:pt>
                <c:pt idx="471">
                  <c:v>20.496540945512795</c:v>
                </c:pt>
                <c:pt idx="472">
                  <c:v>20.496540945512795</c:v>
                </c:pt>
                <c:pt idx="473">
                  <c:v>20.496540945512795</c:v>
                </c:pt>
                <c:pt idx="474">
                  <c:v>20.496540945512795</c:v>
                </c:pt>
                <c:pt idx="475">
                  <c:v>20.496540945512795</c:v>
                </c:pt>
                <c:pt idx="476">
                  <c:v>20.496540945512795</c:v>
                </c:pt>
                <c:pt idx="477">
                  <c:v>20.496540945512795</c:v>
                </c:pt>
                <c:pt idx="478">
                  <c:v>20.496540945512795</c:v>
                </c:pt>
                <c:pt idx="479">
                  <c:v>20.496540945512795</c:v>
                </c:pt>
                <c:pt idx="480">
                  <c:v>20.496540945512795</c:v>
                </c:pt>
                <c:pt idx="481">
                  <c:v>20.496540945512795</c:v>
                </c:pt>
                <c:pt idx="482">
                  <c:v>20.496540945512795</c:v>
                </c:pt>
                <c:pt idx="483">
                  <c:v>20.496540945512795</c:v>
                </c:pt>
                <c:pt idx="484">
                  <c:v>20.496540945512795</c:v>
                </c:pt>
                <c:pt idx="485">
                  <c:v>20.496540945512795</c:v>
                </c:pt>
                <c:pt idx="486">
                  <c:v>20.496540945512795</c:v>
                </c:pt>
                <c:pt idx="487">
                  <c:v>20.496540945512795</c:v>
                </c:pt>
                <c:pt idx="488">
                  <c:v>20.496540945512795</c:v>
                </c:pt>
                <c:pt idx="489">
                  <c:v>20.496540945512795</c:v>
                </c:pt>
                <c:pt idx="490">
                  <c:v>20.496540945512795</c:v>
                </c:pt>
                <c:pt idx="491">
                  <c:v>20.496540945512795</c:v>
                </c:pt>
                <c:pt idx="492">
                  <c:v>20.496540945512795</c:v>
                </c:pt>
                <c:pt idx="493">
                  <c:v>20.496540945512795</c:v>
                </c:pt>
                <c:pt idx="494">
                  <c:v>20.496540945512795</c:v>
                </c:pt>
                <c:pt idx="495">
                  <c:v>20.496540945512795</c:v>
                </c:pt>
                <c:pt idx="496">
                  <c:v>20.496540945512795</c:v>
                </c:pt>
                <c:pt idx="497">
                  <c:v>20.496540945512795</c:v>
                </c:pt>
                <c:pt idx="498">
                  <c:v>20.496540945512795</c:v>
                </c:pt>
                <c:pt idx="499">
                  <c:v>20.496540945512795</c:v>
                </c:pt>
                <c:pt idx="500">
                  <c:v>20.496540945512795</c:v>
                </c:pt>
                <c:pt idx="501">
                  <c:v>20.496540945512795</c:v>
                </c:pt>
                <c:pt idx="502">
                  <c:v>20.496540945512795</c:v>
                </c:pt>
                <c:pt idx="503">
                  <c:v>20.496540945512795</c:v>
                </c:pt>
                <c:pt idx="504">
                  <c:v>20.496540945512795</c:v>
                </c:pt>
                <c:pt idx="505">
                  <c:v>20.496540945512795</c:v>
                </c:pt>
                <c:pt idx="506">
                  <c:v>20.496540945512795</c:v>
                </c:pt>
                <c:pt idx="507">
                  <c:v>20.496540945512795</c:v>
                </c:pt>
                <c:pt idx="508">
                  <c:v>20.496540945512795</c:v>
                </c:pt>
                <c:pt idx="509">
                  <c:v>20.496540945512795</c:v>
                </c:pt>
                <c:pt idx="510">
                  <c:v>20.496540945512795</c:v>
                </c:pt>
                <c:pt idx="511">
                  <c:v>20.496540945512795</c:v>
                </c:pt>
                <c:pt idx="512">
                  <c:v>20.496540945512795</c:v>
                </c:pt>
                <c:pt idx="513">
                  <c:v>20.496540945512795</c:v>
                </c:pt>
                <c:pt idx="514">
                  <c:v>20.496540945512795</c:v>
                </c:pt>
                <c:pt idx="515">
                  <c:v>20.496540945512795</c:v>
                </c:pt>
                <c:pt idx="516">
                  <c:v>20.496540945512795</c:v>
                </c:pt>
                <c:pt idx="517">
                  <c:v>20.496540945512795</c:v>
                </c:pt>
                <c:pt idx="518">
                  <c:v>20.496540945512795</c:v>
                </c:pt>
                <c:pt idx="519">
                  <c:v>20.496540945512795</c:v>
                </c:pt>
                <c:pt idx="520">
                  <c:v>20.496540945512795</c:v>
                </c:pt>
                <c:pt idx="521">
                  <c:v>20.496540945512795</c:v>
                </c:pt>
                <c:pt idx="522">
                  <c:v>20.496540945512795</c:v>
                </c:pt>
                <c:pt idx="523">
                  <c:v>20.496540945512795</c:v>
                </c:pt>
                <c:pt idx="524">
                  <c:v>20.496540945512795</c:v>
                </c:pt>
                <c:pt idx="525">
                  <c:v>20.496540945512795</c:v>
                </c:pt>
                <c:pt idx="526">
                  <c:v>20.496540945512795</c:v>
                </c:pt>
                <c:pt idx="527">
                  <c:v>20.496540945512795</c:v>
                </c:pt>
                <c:pt idx="528">
                  <c:v>20.496540945512795</c:v>
                </c:pt>
                <c:pt idx="529">
                  <c:v>20.496540945512795</c:v>
                </c:pt>
                <c:pt idx="530">
                  <c:v>20.496540945512795</c:v>
                </c:pt>
                <c:pt idx="531">
                  <c:v>20.496540945512795</c:v>
                </c:pt>
                <c:pt idx="532">
                  <c:v>20.496540945512795</c:v>
                </c:pt>
                <c:pt idx="533">
                  <c:v>20.496540945512795</c:v>
                </c:pt>
                <c:pt idx="534">
                  <c:v>20.496540945512795</c:v>
                </c:pt>
                <c:pt idx="535">
                  <c:v>20.496540945512795</c:v>
                </c:pt>
                <c:pt idx="536">
                  <c:v>20.496540945512795</c:v>
                </c:pt>
                <c:pt idx="537">
                  <c:v>20.496540945512795</c:v>
                </c:pt>
                <c:pt idx="538">
                  <c:v>20.496540945512795</c:v>
                </c:pt>
                <c:pt idx="539">
                  <c:v>20.496540945512795</c:v>
                </c:pt>
                <c:pt idx="540">
                  <c:v>20.496540945512795</c:v>
                </c:pt>
                <c:pt idx="541">
                  <c:v>20.496540945512795</c:v>
                </c:pt>
                <c:pt idx="542">
                  <c:v>20.496540945512795</c:v>
                </c:pt>
                <c:pt idx="543">
                  <c:v>20.496540945512795</c:v>
                </c:pt>
                <c:pt idx="544">
                  <c:v>20.496540945512795</c:v>
                </c:pt>
                <c:pt idx="545">
                  <c:v>20.496540945512795</c:v>
                </c:pt>
                <c:pt idx="546">
                  <c:v>20.496540945512795</c:v>
                </c:pt>
                <c:pt idx="547">
                  <c:v>20.496540945512795</c:v>
                </c:pt>
                <c:pt idx="548">
                  <c:v>20.496540945512795</c:v>
                </c:pt>
                <c:pt idx="549">
                  <c:v>20.496540945512795</c:v>
                </c:pt>
                <c:pt idx="550">
                  <c:v>20.496540945512795</c:v>
                </c:pt>
                <c:pt idx="551">
                  <c:v>20.496540945512795</c:v>
                </c:pt>
                <c:pt idx="552">
                  <c:v>20.496540945512795</c:v>
                </c:pt>
                <c:pt idx="553">
                  <c:v>20.496540945512795</c:v>
                </c:pt>
                <c:pt idx="554">
                  <c:v>20.496540945512795</c:v>
                </c:pt>
                <c:pt idx="555">
                  <c:v>20.496540945512795</c:v>
                </c:pt>
                <c:pt idx="556">
                  <c:v>20.496540945512795</c:v>
                </c:pt>
                <c:pt idx="557">
                  <c:v>20.496540945512795</c:v>
                </c:pt>
                <c:pt idx="558">
                  <c:v>20.496540945512795</c:v>
                </c:pt>
                <c:pt idx="559">
                  <c:v>20.496540945512795</c:v>
                </c:pt>
                <c:pt idx="560">
                  <c:v>20.496540945512795</c:v>
                </c:pt>
                <c:pt idx="561">
                  <c:v>20.496540945512795</c:v>
                </c:pt>
                <c:pt idx="562">
                  <c:v>20.496540945512795</c:v>
                </c:pt>
                <c:pt idx="563">
                  <c:v>20.496540945512795</c:v>
                </c:pt>
                <c:pt idx="564">
                  <c:v>20.496540945512795</c:v>
                </c:pt>
                <c:pt idx="565">
                  <c:v>20.496540945512795</c:v>
                </c:pt>
                <c:pt idx="566">
                  <c:v>20.496540945512795</c:v>
                </c:pt>
                <c:pt idx="567">
                  <c:v>20.496540945512795</c:v>
                </c:pt>
                <c:pt idx="568">
                  <c:v>20.496540945512795</c:v>
                </c:pt>
                <c:pt idx="569">
                  <c:v>20.496540945512795</c:v>
                </c:pt>
                <c:pt idx="570">
                  <c:v>20.496540945512795</c:v>
                </c:pt>
                <c:pt idx="571">
                  <c:v>20.496540945512795</c:v>
                </c:pt>
                <c:pt idx="572">
                  <c:v>20.496540945512795</c:v>
                </c:pt>
                <c:pt idx="573">
                  <c:v>20.496540945512795</c:v>
                </c:pt>
                <c:pt idx="574">
                  <c:v>20.496540945512795</c:v>
                </c:pt>
                <c:pt idx="575">
                  <c:v>20.496540945512795</c:v>
                </c:pt>
                <c:pt idx="576">
                  <c:v>20.496540945512795</c:v>
                </c:pt>
                <c:pt idx="577">
                  <c:v>20.496540945512795</c:v>
                </c:pt>
                <c:pt idx="578">
                  <c:v>20.496540945512795</c:v>
                </c:pt>
                <c:pt idx="579">
                  <c:v>20.496540945512795</c:v>
                </c:pt>
                <c:pt idx="580">
                  <c:v>20.496540945512795</c:v>
                </c:pt>
                <c:pt idx="581">
                  <c:v>20.496540945512795</c:v>
                </c:pt>
                <c:pt idx="582">
                  <c:v>20.496540945512795</c:v>
                </c:pt>
                <c:pt idx="583">
                  <c:v>20.496540945512795</c:v>
                </c:pt>
                <c:pt idx="584">
                  <c:v>20.496540945512795</c:v>
                </c:pt>
                <c:pt idx="585">
                  <c:v>20.496540945512795</c:v>
                </c:pt>
                <c:pt idx="586">
                  <c:v>20.496540945512795</c:v>
                </c:pt>
                <c:pt idx="587">
                  <c:v>20.496540945512795</c:v>
                </c:pt>
                <c:pt idx="588">
                  <c:v>20.496540945512795</c:v>
                </c:pt>
                <c:pt idx="589">
                  <c:v>20.496540945512795</c:v>
                </c:pt>
                <c:pt idx="590">
                  <c:v>20.496540945512795</c:v>
                </c:pt>
                <c:pt idx="591">
                  <c:v>20.496540945512795</c:v>
                </c:pt>
                <c:pt idx="592">
                  <c:v>20.496540945512795</c:v>
                </c:pt>
                <c:pt idx="593">
                  <c:v>20.496540945512795</c:v>
                </c:pt>
                <c:pt idx="594">
                  <c:v>20.496540945512795</c:v>
                </c:pt>
                <c:pt idx="595">
                  <c:v>20.496540945512795</c:v>
                </c:pt>
                <c:pt idx="596">
                  <c:v>20.496540945512795</c:v>
                </c:pt>
                <c:pt idx="597">
                  <c:v>20.496540945512795</c:v>
                </c:pt>
                <c:pt idx="598">
                  <c:v>20.496540945512795</c:v>
                </c:pt>
                <c:pt idx="599">
                  <c:v>20.496540945512795</c:v>
                </c:pt>
                <c:pt idx="600">
                  <c:v>20.496540945512795</c:v>
                </c:pt>
                <c:pt idx="601">
                  <c:v>20.496540945512795</c:v>
                </c:pt>
                <c:pt idx="602">
                  <c:v>20.496540945512795</c:v>
                </c:pt>
                <c:pt idx="603">
                  <c:v>20.496540945512795</c:v>
                </c:pt>
                <c:pt idx="604">
                  <c:v>20.496540945512795</c:v>
                </c:pt>
                <c:pt idx="605">
                  <c:v>20.496540945512795</c:v>
                </c:pt>
                <c:pt idx="606">
                  <c:v>20.496540945512795</c:v>
                </c:pt>
                <c:pt idx="607">
                  <c:v>20.496540945512795</c:v>
                </c:pt>
                <c:pt idx="608">
                  <c:v>20.496540945512795</c:v>
                </c:pt>
                <c:pt idx="609">
                  <c:v>20.496540945512795</c:v>
                </c:pt>
                <c:pt idx="610">
                  <c:v>20.496540945512795</c:v>
                </c:pt>
                <c:pt idx="611">
                  <c:v>20.496540945512795</c:v>
                </c:pt>
                <c:pt idx="612">
                  <c:v>20.496540945512795</c:v>
                </c:pt>
                <c:pt idx="613">
                  <c:v>20.496540945512795</c:v>
                </c:pt>
                <c:pt idx="614">
                  <c:v>20.496540945512795</c:v>
                </c:pt>
                <c:pt idx="615">
                  <c:v>20.496540945512795</c:v>
                </c:pt>
                <c:pt idx="616">
                  <c:v>20.496540945512795</c:v>
                </c:pt>
                <c:pt idx="617">
                  <c:v>20.496540945512795</c:v>
                </c:pt>
                <c:pt idx="618">
                  <c:v>20.496540945512795</c:v>
                </c:pt>
                <c:pt idx="619">
                  <c:v>20.496540945512795</c:v>
                </c:pt>
                <c:pt idx="620">
                  <c:v>20.496540945512795</c:v>
                </c:pt>
                <c:pt idx="621">
                  <c:v>20.496540945512795</c:v>
                </c:pt>
                <c:pt idx="622">
                  <c:v>20.496540945512795</c:v>
                </c:pt>
                <c:pt idx="623">
                  <c:v>20.496540945512795</c:v>
                </c:pt>
                <c:pt idx="624">
                  <c:v>20.496540945512795</c:v>
                </c:pt>
                <c:pt idx="625">
                  <c:v>20.496540945512795</c:v>
                </c:pt>
                <c:pt idx="626">
                  <c:v>20.496540945512795</c:v>
                </c:pt>
                <c:pt idx="627">
                  <c:v>20.496540945512795</c:v>
                </c:pt>
                <c:pt idx="628">
                  <c:v>20.496540945512795</c:v>
                </c:pt>
                <c:pt idx="629">
                  <c:v>20.496540945512795</c:v>
                </c:pt>
                <c:pt idx="630">
                  <c:v>20.496540945512795</c:v>
                </c:pt>
                <c:pt idx="631">
                  <c:v>20.496540945512795</c:v>
                </c:pt>
                <c:pt idx="632">
                  <c:v>20.496540945512795</c:v>
                </c:pt>
                <c:pt idx="633">
                  <c:v>20.496540945512795</c:v>
                </c:pt>
                <c:pt idx="634">
                  <c:v>20.496540945512795</c:v>
                </c:pt>
                <c:pt idx="635">
                  <c:v>20.496540945512795</c:v>
                </c:pt>
                <c:pt idx="636">
                  <c:v>20.496540945512795</c:v>
                </c:pt>
                <c:pt idx="637">
                  <c:v>20.496540945512795</c:v>
                </c:pt>
                <c:pt idx="638">
                  <c:v>20.496540945512795</c:v>
                </c:pt>
                <c:pt idx="639">
                  <c:v>20.496540945512795</c:v>
                </c:pt>
                <c:pt idx="640">
                  <c:v>20.496540945512795</c:v>
                </c:pt>
                <c:pt idx="641">
                  <c:v>20.496540945512795</c:v>
                </c:pt>
                <c:pt idx="642">
                  <c:v>20.496540945512795</c:v>
                </c:pt>
                <c:pt idx="643">
                  <c:v>20.496540945512795</c:v>
                </c:pt>
                <c:pt idx="644">
                  <c:v>20.496540945512795</c:v>
                </c:pt>
                <c:pt idx="645">
                  <c:v>20.496540945512795</c:v>
                </c:pt>
                <c:pt idx="646">
                  <c:v>20.496540945512795</c:v>
                </c:pt>
                <c:pt idx="647">
                  <c:v>20.496540945512795</c:v>
                </c:pt>
                <c:pt idx="648">
                  <c:v>20.496540945512795</c:v>
                </c:pt>
                <c:pt idx="649">
                  <c:v>20.496540945512795</c:v>
                </c:pt>
                <c:pt idx="650">
                  <c:v>20.496540945512795</c:v>
                </c:pt>
                <c:pt idx="651">
                  <c:v>20.496540945512795</c:v>
                </c:pt>
                <c:pt idx="652">
                  <c:v>20.496540945512795</c:v>
                </c:pt>
                <c:pt idx="653">
                  <c:v>20.496540945512795</c:v>
                </c:pt>
                <c:pt idx="654">
                  <c:v>20.496540945512795</c:v>
                </c:pt>
                <c:pt idx="655">
                  <c:v>20.496540945512795</c:v>
                </c:pt>
                <c:pt idx="656">
                  <c:v>20.496540945512795</c:v>
                </c:pt>
                <c:pt idx="657">
                  <c:v>20.496540945512795</c:v>
                </c:pt>
                <c:pt idx="658">
                  <c:v>20.496540945512795</c:v>
                </c:pt>
                <c:pt idx="659">
                  <c:v>20.496540945512795</c:v>
                </c:pt>
                <c:pt idx="660">
                  <c:v>20.496540945512795</c:v>
                </c:pt>
                <c:pt idx="661">
                  <c:v>20.496540945512795</c:v>
                </c:pt>
                <c:pt idx="662">
                  <c:v>20.496540945512795</c:v>
                </c:pt>
                <c:pt idx="663">
                  <c:v>20.496540945512795</c:v>
                </c:pt>
                <c:pt idx="664">
                  <c:v>20.496540945512795</c:v>
                </c:pt>
                <c:pt idx="665">
                  <c:v>20.496540945512795</c:v>
                </c:pt>
                <c:pt idx="666">
                  <c:v>20.496540945512795</c:v>
                </c:pt>
                <c:pt idx="667">
                  <c:v>20.496540945512795</c:v>
                </c:pt>
                <c:pt idx="668">
                  <c:v>20.496540945512795</c:v>
                </c:pt>
                <c:pt idx="669">
                  <c:v>20.496540945512795</c:v>
                </c:pt>
                <c:pt idx="670">
                  <c:v>20.496540945512795</c:v>
                </c:pt>
                <c:pt idx="671">
                  <c:v>20.496540945512795</c:v>
                </c:pt>
                <c:pt idx="672">
                  <c:v>20.496540945512795</c:v>
                </c:pt>
                <c:pt idx="673">
                  <c:v>20.496540945512795</c:v>
                </c:pt>
                <c:pt idx="674">
                  <c:v>20.496540945512795</c:v>
                </c:pt>
                <c:pt idx="675">
                  <c:v>20.496540945512795</c:v>
                </c:pt>
                <c:pt idx="676">
                  <c:v>20.496540945512795</c:v>
                </c:pt>
                <c:pt idx="677">
                  <c:v>20.496540945512795</c:v>
                </c:pt>
                <c:pt idx="678">
                  <c:v>20.496540945512795</c:v>
                </c:pt>
                <c:pt idx="679">
                  <c:v>20.496540945512795</c:v>
                </c:pt>
                <c:pt idx="680">
                  <c:v>20.496540945512795</c:v>
                </c:pt>
                <c:pt idx="681">
                  <c:v>20.496540945512795</c:v>
                </c:pt>
                <c:pt idx="682">
                  <c:v>20.496540945512795</c:v>
                </c:pt>
                <c:pt idx="683">
                  <c:v>20.496540945512795</c:v>
                </c:pt>
                <c:pt idx="684">
                  <c:v>20.496540945512795</c:v>
                </c:pt>
                <c:pt idx="685">
                  <c:v>20.496540945512795</c:v>
                </c:pt>
                <c:pt idx="686">
                  <c:v>20.496540945512795</c:v>
                </c:pt>
                <c:pt idx="687">
                  <c:v>20.496540945512795</c:v>
                </c:pt>
                <c:pt idx="688">
                  <c:v>20.496540945512795</c:v>
                </c:pt>
                <c:pt idx="689">
                  <c:v>20.496540945512795</c:v>
                </c:pt>
                <c:pt idx="690">
                  <c:v>20.496540945512795</c:v>
                </c:pt>
                <c:pt idx="691">
                  <c:v>20.496540945512795</c:v>
                </c:pt>
                <c:pt idx="692">
                  <c:v>20.496540945512795</c:v>
                </c:pt>
                <c:pt idx="693">
                  <c:v>20.496540945512795</c:v>
                </c:pt>
                <c:pt idx="694">
                  <c:v>20.496540945512795</c:v>
                </c:pt>
                <c:pt idx="695">
                  <c:v>20.496540945512795</c:v>
                </c:pt>
                <c:pt idx="696">
                  <c:v>20.496540945512795</c:v>
                </c:pt>
                <c:pt idx="697">
                  <c:v>20.496540945512795</c:v>
                </c:pt>
                <c:pt idx="698">
                  <c:v>20.496540945512795</c:v>
                </c:pt>
                <c:pt idx="699">
                  <c:v>20.496540945512795</c:v>
                </c:pt>
                <c:pt idx="700">
                  <c:v>20.496540945512795</c:v>
                </c:pt>
                <c:pt idx="701">
                  <c:v>20.496540945512795</c:v>
                </c:pt>
                <c:pt idx="702">
                  <c:v>20.496540945512795</c:v>
                </c:pt>
                <c:pt idx="703">
                  <c:v>20.496540945512795</c:v>
                </c:pt>
                <c:pt idx="704">
                  <c:v>20.496540945512795</c:v>
                </c:pt>
                <c:pt idx="705">
                  <c:v>20.496540945512795</c:v>
                </c:pt>
                <c:pt idx="706">
                  <c:v>20.496540945512795</c:v>
                </c:pt>
                <c:pt idx="707">
                  <c:v>20.496540945512795</c:v>
                </c:pt>
                <c:pt idx="708">
                  <c:v>20.496540945512795</c:v>
                </c:pt>
                <c:pt idx="709">
                  <c:v>20.496540945512795</c:v>
                </c:pt>
                <c:pt idx="710">
                  <c:v>20.496540945512795</c:v>
                </c:pt>
                <c:pt idx="711">
                  <c:v>20.496540945512795</c:v>
                </c:pt>
                <c:pt idx="712">
                  <c:v>20.496540945512795</c:v>
                </c:pt>
                <c:pt idx="713">
                  <c:v>20.496540945512795</c:v>
                </c:pt>
                <c:pt idx="714">
                  <c:v>20.496540945512795</c:v>
                </c:pt>
                <c:pt idx="715">
                  <c:v>20.496540945512795</c:v>
                </c:pt>
                <c:pt idx="716">
                  <c:v>20.496540945512795</c:v>
                </c:pt>
                <c:pt idx="717">
                  <c:v>20.496540945512795</c:v>
                </c:pt>
                <c:pt idx="718">
                  <c:v>20.496540945512795</c:v>
                </c:pt>
                <c:pt idx="719">
                  <c:v>20.496540945512795</c:v>
                </c:pt>
                <c:pt idx="720">
                  <c:v>20.496540945512795</c:v>
                </c:pt>
                <c:pt idx="721">
                  <c:v>20.496540945512795</c:v>
                </c:pt>
                <c:pt idx="722">
                  <c:v>20.496540945512795</c:v>
                </c:pt>
                <c:pt idx="723">
                  <c:v>20.496540945512795</c:v>
                </c:pt>
                <c:pt idx="724">
                  <c:v>20.496540945512795</c:v>
                </c:pt>
                <c:pt idx="725">
                  <c:v>20.496540945512795</c:v>
                </c:pt>
                <c:pt idx="726">
                  <c:v>20.496540945512795</c:v>
                </c:pt>
                <c:pt idx="727">
                  <c:v>20.496540945512795</c:v>
                </c:pt>
                <c:pt idx="728">
                  <c:v>20.496540945512795</c:v>
                </c:pt>
                <c:pt idx="729">
                  <c:v>20.496540945512795</c:v>
                </c:pt>
                <c:pt idx="730">
                  <c:v>20.496540945512795</c:v>
                </c:pt>
                <c:pt idx="731">
                  <c:v>20.496540945512795</c:v>
                </c:pt>
                <c:pt idx="732">
                  <c:v>20.496540945512795</c:v>
                </c:pt>
                <c:pt idx="733">
                  <c:v>20.496540945512795</c:v>
                </c:pt>
                <c:pt idx="734">
                  <c:v>20.496540945512795</c:v>
                </c:pt>
                <c:pt idx="735">
                  <c:v>20.496540945512795</c:v>
                </c:pt>
                <c:pt idx="736">
                  <c:v>20.496540945512795</c:v>
                </c:pt>
                <c:pt idx="737">
                  <c:v>20.496540945512795</c:v>
                </c:pt>
                <c:pt idx="738">
                  <c:v>20.496540945512795</c:v>
                </c:pt>
                <c:pt idx="739">
                  <c:v>20.496540945512795</c:v>
                </c:pt>
                <c:pt idx="740">
                  <c:v>20.496540945512795</c:v>
                </c:pt>
                <c:pt idx="741">
                  <c:v>20.496540945512795</c:v>
                </c:pt>
                <c:pt idx="742">
                  <c:v>20.496540945512795</c:v>
                </c:pt>
                <c:pt idx="743">
                  <c:v>20.496540945512795</c:v>
                </c:pt>
                <c:pt idx="744">
                  <c:v>20.496540945512795</c:v>
                </c:pt>
                <c:pt idx="745">
                  <c:v>20.496540945512795</c:v>
                </c:pt>
                <c:pt idx="746">
                  <c:v>20.496540945512795</c:v>
                </c:pt>
                <c:pt idx="747">
                  <c:v>20.496540945512795</c:v>
                </c:pt>
                <c:pt idx="748">
                  <c:v>20.496540945512795</c:v>
                </c:pt>
                <c:pt idx="749">
                  <c:v>20.496540945512795</c:v>
                </c:pt>
                <c:pt idx="750">
                  <c:v>20.496540945512795</c:v>
                </c:pt>
                <c:pt idx="751">
                  <c:v>20.496540945512795</c:v>
                </c:pt>
                <c:pt idx="752">
                  <c:v>20.496540945512795</c:v>
                </c:pt>
                <c:pt idx="753">
                  <c:v>20.496540945512795</c:v>
                </c:pt>
                <c:pt idx="754">
                  <c:v>20.496540945512795</c:v>
                </c:pt>
                <c:pt idx="755">
                  <c:v>20.496540945512795</c:v>
                </c:pt>
                <c:pt idx="756">
                  <c:v>20.496540945512795</c:v>
                </c:pt>
                <c:pt idx="757">
                  <c:v>20.496540945512795</c:v>
                </c:pt>
                <c:pt idx="758">
                  <c:v>20.496540945512795</c:v>
                </c:pt>
                <c:pt idx="759">
                  <c:v>20.496540945512795</c:v>
                </c:pt>
                <c:pt idx="760">
                  <c:v>20.496540945512795</c:v>
                </c:pt>
                <c:pt idx="761">
                  <c:v>20.496540945512795</c:v>
                </c:pt>
                <c:pt idx="762">
                  <c:v>20.496540945512795</c:v>
                </c:pt>
                <c:pt idx="763">
                  <c:v>20.496540945512795</c:v>
                </c:pt>
                <c:pt idx="764">
                  <c:v>20.496540945512795</c:v>
                </c:pt>
                <c:pt idx="765">
                  <c:v>20.496540945512795</c:v>
                </c:pt>
                <c:pt idx="766">
                  <c:v>20.496540945512795</c:v>
                </c:pt>
                <c:pt idx="767">
                  <c:v>20.496540945512795</c:v>
                </c:pt>
                <c:pt idx="768">
                  <c:v>20.496540945512795</c:v>
                </c:pt>
                <c:pt idx="769">
                  <c:v>20.496540945512795</c:v>
                </c:pt>
                <c:pt idx="770">
                  <c:v>20.496540945512795</c:v>
                </c:pt>
                <c:pt idx="771">
                  <c:v>20.496540945512795</c:v>
                </c:pt>
                <c:pt idx="772">
                  <c:v>20.496540945512795</c:v>
                </c:pt>
                <c:pt idx="773">
                  <c:v>20.496540945512795</c:v>
                </c:pt>
                <c:pt idx="774">
                  <c:v>20.496540945512795</c:v>
                </c:pt>
                <c:pt idx="775">
                  <c:v>20.496540945512795</c:v>
                </c:pt>
                <c:pt idx="776">
                  <c:v>20.496540945512795</c:v>
                </c:pt>
                <c:pt idx="777">
                  <c:v>20.496540945512795</c:v>
                </c:pt>
                <c:pt idx="778">
                  <c:v>20.496540945512795</c:v>
                </c:pt>
                <c:pt idx="779">
                  <c:v>20.496540945512795</c:v>
                </c:pt>
                <c:pt idx="780">
                  <c:v>20.496540945512795</c:v>
                </c:pt>
                <c:pt idx="781">
                  <c:v>20.496540945512795</c:v>
                </c:pt>
                <c:pt idx="782">
                  <c:v>20.496540945512795</c:v>
                </c:pt>
                <c:pt idx="783">
                  <c:v>20.496540945512795</c:v>
                </c:pt>
                <c:pt idx="784">
                  <c:v>20.496540945512795</c:v>
                </c:pt>
                <c:pt idx="785">
                  <c:v>20.496540945512795</c:v>
                </c:pt>
                <c:pt idx="786">
                  <c:v>20.496540945512795</c:v>
                </c:pt>
                <c:pt idx="787">
                  <c:v>20.496540945512795</c:v>
                </c:pt>
                <c:pt idx="788">
                  <c:v>20.496540945512795</c:v>
                </c:pt>
                <c:pt idx="789">
                  <c:v>20.496540945512795</c:v>
                </c:pt>
                <c:pt idx="790">
                  <c:v>20.496540945512795</c:v>
                </c:pt>
                <c:pt idx="791">
                  <c:v>20.496540945512795</c:v>
                </c:pt>
                <c:pt idx="792">
                  <c:v>20.496540945512795</c:v>
                </c:pt>
                <c:pt idx="793">
                  <c:v>20.496540945512795</c:v>
                </c:pt>
                <c:pt idx="794">
                  <c:v>20.496540945512795</c:v>
                </c:pt>
                <c:pt idx="795">
                  <c:v>20.496540945512795</c:v>
                </c:pt>
                <c:pt idx="796">
                  <c:v>20.496540945512795</c:v>
                </c:pt>
                <c:pt idx="797">
                  <c:v>20.496540945512795</c:v>
                </c:pt>
                <c:pt idx="798">
                  <c:v>20.496540945512795</c:v>
                </c:pt>
                <c:pt idx="799">
                  <c:v>20.496540945512795</c:v>
                </c:pt>
                <c:pt idx="800">
                  <c:v>20.496540945512795</c:v>
                </c:pt>
                <c:pt idx="801">
                  <c:v>20.496540945512795</c:v>
                </c:pt>
                <c:pt idx="802">
                  <c:v>20.496540945512795</c:v>
                </c:pt>
                <c:pt idx="803">
                  <c:v>20.496540945512795</c:v>
                </c:pt>
                <c:pt idx="804">
                  <c:v>20.496540945512795</c:v>
                </c:pt>
                <c:pt idx="805">
                  <c:v>20.496540945512795</c:v>
                </c:pt>
                <c:pt idx="806">
                  <c:v>20.496540945512795</c:v>
                </c:pt>
                <c:pt idx="807">
                  <c:v>20.496540945512795</c:v>
                </c:pt>
                <c:pt idx="808">
                  <c:v>20.496540945512795</c:v>
                </c:pt>
                <c:pt idx="809">
                  <c:v>20.496540945512795</c:v>
                </c:pt>
                <c:pt idx="810">
                  <c:v>20.496540945512795</c:v>
                </c:pt>
                <c:pt idx="811">
                  <c:v>20.496540945512795</c:v>
                </c:pt>
                <c:pt idx="812">
                  <c:v>20.496540945512795</c:v>
                </c:pt>
                <c:pt idx="813">
                  <c:v>20.496540945512795</c:v>
                </c:pt>
                <c:pt idx="814">
                  <c:v>20.496540945512795</c:v>
                </c:pt>
                <c:pt idx="815">
                  <c:v>20.496540945512795</c:v>
                </c:pt>
                <c:pt idx="816">
                  <c:v>20.496540945512795</c:v>
                </c:pt>
                <c:pt idx="817">
                  <c:v>20.496540945512795</c:v>
                </c:pt>
                <c:pt idx="818">
                  <c:v>20.496540945512795</c:v>
                </c:pt>
                <c:pt idx="819">
                  <c:v>20.496540945512795</c:v>
                </c:pt>
                <c:pt idx="820">
                  <c:v>20.496540945512795</c:v>
                </c:pt>
                <c:pt idx="821">
                  <c:v>20.496540945512795</c:v>
                </c:pt>
                <c:pt idx="822">
                  <c:v>20.496540945512795</c:v>
                </c:pt>
                <c:pt idx="823">
                  <c:v>20.496540945512795</c:v>
                </c:pt>
                <c:pt idx="824">
                  <c:v>20.496540945512795</c:v>
                </c:pt>
                <c:pt idx="825">
                  <c:v>20.496540945512795</c:v>
                </c:pt>
                <c:pt idx="826">
                  <c:v>20.496540945512795</c:v>
                </c:pt>
                <c:pt idx="827">
                  <c:v>20.496540945512795</c:v>
                </c:pt>
                <c:pt idx="828">
                  <c:v>20.496540945512795</c:v>
                </c:pt>
                <c:pt idx="829">
                  <c:v>20.496540945512795</c:v>
                </c:pt>
                <c:pt idx="830">
                  <c:v>20.496540945512795</c:v>
                </c:pt>
                <c:pt idx="831">
                  <c:v>20.496540945512795</c:v>
                </c:pt>
                <c:pt idx="832">
                  <c:v>20.496540945512795</c:v>
                </c:pt>
                <c:pt idx="833">
                  <c:v>20.496540945512795</c:v>
                </c:pt>
                <c:pt idx="834">
                  <c:v>20.496540945512795</c:v>
                </c:pt>
                <c:pt idx="835">
                  <c:v>20.496540945512795</c:v>
                </c:pt>
                <c:pt idx="836">
                  <c:v>20.496540945512795</c:v>
                </c:pt>
                <c:pt idx="837">
                  <c:v>20.496540945512795</c:v>
                </c:pt>
                <c:pt idx="838">
                  <c:v>20.496540945512795</c:v>
                </c:pt>
                <c:pt idx="839">
                  <c:v>20.496540945512795</c:v>
                </c:pt>
                <c:pt idx="840">
                  <c:v>20.496540945512795</c:v>
                </c:pt>
                <c:pt idx="841">
                  <c:v>20.496540945512795</c:v>
                </c:pt>
                <c:pt idx="842">
                  <c:v>20.496540945512795</c:v>
                </c:pt>
                <c:pt idx="843">
                  <c:v>20.496540945512795</c:v>
                </c:pt>
                <c:pt idx="844">
                  <c:v>20.496540945512795</c:v>
                </c:pt>
                <c:pt idx="845">
                  <c:v>20.496540945512795</c:v>
                </c:pt>
                <c:pt idx="846">
                  <c:v>20.496540945512795</c:v>
                </c:pt>
                <c:pt idx="847">
                  <c:v>20.496540945512795</c:v>
                </c:pt>
                <c:pt idx="848">
                  <c:v>20.496540945512795</c:v>
                </c:pt>
                <c:pt idx="849">
                  <c:v>20.496540945512795</c:v>
                </c:pt>
                <c:pt idx="850">
                  <c:v>20.496540945512795</c:v>
                </c:pt>
                <c:pt idx="851">
                  <c:v>20.496540945512795</c:v>
                </c:pt>
                <c:pt idx="852">
                  <c:v>20.496540945512795</c:v>
                </c:pt>
                <c:pt idx="853">
                  <c:v>20.496540945512795</c:v>
                </c:pt>
                <c:pt idx="854">
                  <c:v>20.496540945512795</c:v>
                </c:pt>
                <c:pt idx="855">
                  <c:v>20.496540945512795</c:v>
                </c:pt>
                <c:pt idx="856">
                  <c:v>20.496540945512795</c:v>
                </c:pt>
                <c:pt idx="857">
                  <c:v>20.496540945512795</c:v>
                </c:pt>
                <c:pt idx="858">
                  <c:v>20.496540945512795</c:v>
                </c:pt>
                <c:pt idx="859">
                  <c:v>20.496540945512795</c:v>
                </c:pt>
                <c:pt idx="860">
                  <c:v>20.496540945512795</c:v>
                </c:pt>
                <c:pt idx="861">
                  <c:v>20.496540945512795</c:v>
                </c:pt>
                <c:pt idx="862">
                  <c:v>20.496540945512795</c:v>
                </c:pt>
                <c:pt idx="863">
                  <c:v>20.496540945512795</c:v>
                </c:pt>
                <c:pt idx="864">
                  <c:v>20.496540945512795</c:v>
                </c:pt>
                <c:pt idx="865">
                  <c:v>20.496540945512795</c:v>
                </c:pt>
                <c:pt idx="866">
                  <c:v>20.496540945512795</c:v>
                </c:pt>
                <c:pt idx="867">
                  <c:v>20.496540945512795</c:v>
                </c:pt>
                <c:pt idx="868">
                  <c:v>20.496540945512795</c:v>
                </c:pt>
                <c:pt idx="869">
                  <c:v>20.496540945512795</c:v>
                </c:pt>
                <c:pt idx="870">
                  <c:v>20.496540945512795</c:v>
                </c:pt>
                <c:pt idx="871">
                  <c:v>20.496540945512795</c:v>
                </c:pt>
                <c:pt idx="872">
                  <c:v>20.496540945512795</c:v>
                </c:pt>
                <c:pt idx="873">
                  <c:v>20.496540945512795</c:v>
                </c:pt>
                <c:pt idx="874">
                  <c:v>20.496540945512795</c:v>
                </c:pt>
                <c:pt idx="875">
                  <c:v>20.496540945512795</c:v>
                </c:pt>
                <c:pt idx="876">
                  <c:v>20.496540945512795</c:v>
                </c:pt>
                <c:pt idx="877">
                  <c:v>20.496540945512795</c:v>
                </c:pt>
                <c:pt idx="878">
                  <c:v>20.496540945512795</c:v>
                </c:pt>
                <c:pt idx="879">
                  <c:v>20.496540945512795</c:v>
                </c:pt>
                <c:pt idx="880">
                  <c:v>20.496540945512795</c:v>
                </c:pt>
                <c:pt idx="881">
                  <c:v>20.496540945512795</c:v>
                </c:pt>
                <c:pt idx="882">
                  <c:v>20.496540945512795</c:v>
                </c:pt>
                <c:pt idx="883">
                  <c:v>20.496540945512795</c:v>
                </c:pt>
                <c:pt idx="884">
                  <c:v>20.496540945512795</c:v>
                </c:pt>
                <c:pt idx="885">
                  <c:v>20.496540945512795</c:v>
                </c:pt>
                <c:pt idx="886">
                  <c:v>20.496540945512795</c:v>
                </c:pt>
                <c:pt idx="887">
                  <c:v>20.496540945512795</c:v>
                </c:pt>
                <c:pt idx="888">
                  <c:v>20.496540945512795</c:v>
                </c:pt>
                <c:pt idx="889">
                  <c:v>20.496540945512795</c:v>
                </c:pt>
                <c:pt idx="890">
                  <c:v>20.496540945512795</c:v>
                </c:pt>
                <c:pt idx="891">
                  <c:v>20.496540945512795</c:v>
                </c:pt>
                <c:pt idx="892">
                  <c:v>20.496540945512795</c:v>
                </c:pt>
                <c:pt idx="893">
                  <c:v>20.496540945512795</c:v>
                </c:pt>
                <c:pt idx="894">
                  <c:v>20.496540945512795</c:v>
                </c:pt>
                <c:pt idx="895">
                  <c:v>20.496540945512795</c:v>
                </c:pt>
                <c:pt idx="896">
                  <c:v>20.496540945512795</c:v>
                </c:pt>
                <c:pt idx="897">
                  <c:v>20.496540945512795</c:v>
                </c:pt>
                <c:pt idx="898">
                  <c:v>20.496540945512795</c:v>
                </c:pt>
                <c:pt idx="899">
                  <c:v>20.496540945512795</c:v>
                </c:pt>
                <c:pt idx="900">
                  <c:v>20.496540945512795</c:v>
                </c:pt>
                <c:pt idx="901">
                  <c:v>20.496540945512795</c:v>
                </c:pt>
                <c:pt idx="902">
                  <c:v>20.496540945512795</c:v>
                </c:pt>
                <c:pt idx="903">
                  <c:v>20.496540945512795</c:v>
                </c:pt>
                <c:pt idx="904">
                  <c:v>20.496540945512795</c:v>
                </c:pt>
                <c:pt idx="905">
                  <c:v>20.496540945512795</c:v>
                </c:pt>
                <c:pt idx="906">
                  <c:v>20.496540945512795</c:v>
                </c:pt>
                <c:pt idx="907">
                  <c:v>20.496540945512795</c:v>
                </c:pt>
                <c:pt idx="908">
                  <c:v>20.496540945512795</c:v>
                </c:pt>
                <c:pt idx="909">
                  <c:v>20.496540945512795</c:v>
                </c:pt>
                <c:pt idx="910">
                  <c:v>20.496540945512795</c:v>
                </c:pt>
                <c:pt idx="911">
                  <c:v>20.496540945512795</c:v>
                </c:pt>
                <c:pt idx="912">
                  <c:v>20.496540945512795</c:v>
                </c:pt>
                <c:pt idx="913">
                  <c:v>20.496540945512795</c:v>
                </c:pt>
                <c:pt idx="914">
                  <c:v>20.496540945512795</c:v>
                </c:pt>
                <c:pt idx="915">
                  <c:v>20.496540945512795</c:v>
                </c:pt>
                <c:pt idx="916">
                  <c:v>20.496540945512795</c:v>
                </c:pt>
                <c:pt idx="917">
                  <c:v>20.496540945512795</c:v>
                </c:pt>
                <c:pt idx="918">
                  <c:v>20.496540945512795</c:v>
                </c:pt>
                <c:pt idx="919">
                  <c:v>20.496540945512795</c:v>
                </c:pt>
                <c:pt idx="920">
                  <c:v>20.496540945512795</c:v>
                </c:pt>
                <c:pt idx="921">
                  <c:v>20.496540945512795</c:v>
                </c:pt>
                <c:pt idx="922">
                  <c:v>20.496540945512795</c:v>
                </c:pt>
                <c:pt idx="923">
                  <c:v>20.496540945512795</c:v>
                </c:pt>
                <c:pt idx="924">
                  <c:v>20.496540945512795</c:v>
                </c:pt>
                <c:pt idx="925">
                  <c:v>20.496540945512795</c:v>
                </c:pt>
                <c:pt idx="926">
                  <c:v>20.496540945512795</c:v>
                </c:pt>
                <c:pt idx="927">
                  <c:v>20.496540945512795</c:v>
                </c:pt>
                <c:pt idx="928">
                  <c:v>20.496540945512795</c:v>
                </c:pt>
                <c:pt idx="929">
                  <c:v>20.496540945512795</c:v>
                </c:pt>
                <c:pt idx="930">
                  <c:v>20.496540945512795</c:v>
                </c:pt>
                <c:pt idx="931">
                  <c:v>20.496540945512795</c:v>
                </c:pt>
                <c:pt idx="932">
                  <c:v>20.496540945512795</c:v>
                </c:pt>
                <c:pt idx="933">
                  <c:v>20.496540945512795</c:v>
                </c:pt>
                <c:pt idx="934">
                  <c:v>20.496540945512795</c:v>
                </c:pt>
                <c:pt idx="935">
                  <c:v>20.496540945512795</c:v>
                </c:pt>
                <c:pt idx="936">
                  <c:v>20.496540945512795</c:v>
                </c:pt>
                <c:pt idx="937">
                  <c:v>20.496540945512795</c:v>
                </c:pt>
                <c:pt idx="938">
                  <c:v>20.496540945512795</c:v>
                </c:pt>
                <c:pt idx="939">
                  <c:v>20.496540945512795</c:v>
                </c:pt>
                <c:pt idx="940">
                  <c:v>20.496540945512795</c:v>
                </c:pt>
                <c:pt idx="941">
                  <c:v>20.496540945512795</c:v>
                </c:pt>
                <c:pt idx="942">
                  <c:v>20.496540945512795</c:v>
                </c:pt>
                <c:pt idx="943">
                  <c:v>20.496540945512795</c:v>
                </c:pt>
                <c:pt idx="944">
                  <c:v>20.496540945512795</c:v>
                </c:pt>
                <c:pt idx="945">
                  <c:v>20.496540945512795</c:v>
                </c:pt>
                <c:pt idx="946">
                  <c:v>20.496540945512795</c:v>
                </c:pt>
                <c:pt idx="947">
                  <c:v>20.496540945512795</c:v>
                </c:pt>
                <c:pt idx="948">
                  <c:v>20.496540945512795</c:v>
                </c:pt>
                <c:pt idx="949">
                  <c:v>20.496540945512795</c:v>
                </c:pt>
                <c:pt idx="950">
                  <c:v>20.496540945512795</c:v>
                </c:pt>
                <c:pt idx="951">
                  <c:v>20.496540945512795</c:v>
                </c:pt>
                <c:pt idx="952">
                  <c:v>20.496540945512795</c:v>
                </c:pt>
                <c:pt idx="953">
                  <c:v>20.496540945512795</c:v>
                </c:pt>
                <c:pt idx="954">
                  <c:v>20.496540945512795</c:v>
                </c:pt>
                <c:pt idx="955">
                  <c:v>20.496540945512795</c:v>
                </c:pt>
                <c:pt idx="956">
                  <c:v>20.496540945512795</c:v>
                </c:pt>
                <c:pt idx="957">
                  <c:v>20.496540945512795</c:v>
                </c:pt>
                <c:pt idx="958">
                  <c:v>20.496540945512795</c:v>
                </c:pt>
                <c:pt idx="959">
                  <c:v>20.496540945512795</c:v>
                </c:pt>
                <c:pt idx="960">
                  <c:v>20.496540945512795</c:v>
                </c:pt>
                <c:pt idx="961">
                  <c:v>20.496540945512795</c:v>
                </c:pt>
                <c:pt idx="962">
                  <c:v>20.496540945512795</c:v>
                </c:pt>
                <c:pt idx="963">
                  <c:v>20.496540945512795</c:v>
                </c:pt>
                <c:pt idx="964">
                  <c:v>20.496540945512795</c:v>
                </c:pt>
                <c:pt idx="965">
                  <c:v>20.496540945512795</c:v>
                </c:pt>
                <c:pt idx="966">
                  <c:v>20.496540945512795</c:v>
                </c:pt>
                <c:pt idx="967">
                  <c:v>20.496540945512795</c:v>
                </c:pt>
                <c:pt idx="968">
                  <c:v>20.496540945512795</c:v>
                </c:pt>
                <c:pt idx="969">
                  <c:v>20.496540945512795</c:v>
                </c:pt>
                <c:pt idx="970">
                  <c:v>20.496540945512795</c:v>
                </c:pt>
                <c:pt idx="971">
                  <c:v>20.496540945512795</c:v>
                </c:pt>
                <c:pt idx="972">
                  <c:v>20.496540945512795</c:v>
                </c:pt>
                <c:pt idx="973">
                  <c:v>20.496540945512795</c:v>
                </c:pt>
                <c:pt idx="974">
                  <c:v>20.496540945512795</c:v>
                </c:pt>
                <c:pt idx="975">
                  <c:v>20.496540945512795</c:v>
                </c:pt>
                <c:pt idx="976">
                  <c:v>20.496540945512795</c:v>
                </c:pt>
                <c:pt idx="977">
                  <c:v>20.496540945512795</c:v>
                </c:pt>
                <c:pt idx="978">
                  <c:v>20.496540945512795</c:v>
                </c:pt>
                <c:pt idx="979">
                  <c:v>20.496540945512795</c:v>
                </c:pt>
                <c:pt idx="980">
                  <c:v>20.496540945512795</c:v>
                </c:pt>
                <c:pt idx="981">
                  <c:v>20.496540945512795</c:v>
                </c:pt>
                <c:pt idx="982">
                  <c:v>20.496540945512795</c:v>
                </c:pt>
                <c:pt idx="983">
                  <c:v>20.496540945512795</c:v>
                </c:pt>
                <c:pt idx="984">
                  <c:v>20.496540945512795</c:v>
                </c:pt>
                <c:pt idx="985">
                  <c:v>20.496540945512795</c:v>
                </c:pt>
                <c:pt idx="986">
                  <c:v>20.496540945512795</c:v>
                </c:pt>
                <c:pt idx="987">
                  <c:v>20.496540945512795</c:v>
                </c:pt>
                <c:pt idx="988">
                  <c:v>20.496540945512795</c:v>
                </c:pt>
                <c:pt idx="989">
                  <c:v>20.496540945512795</c:v>
                </c:pt>
                <c:pt idx="990">
                  <c:v>20.496540945512795</c:v>
                </c:pt>
                <c:pt idx="991">
                  <c:v>20.496540945512795</c:v>
                </c:pt>
                <c:pt idx="992">
                  <c:v>20.496540945512795</c:v>
                </c:pt>
                <c:pt idx="993">
                  <c:v>20.496540945512795</c:v>
                </c:pt>
                <c:pt idx="994">
                  <c:v>20.496540945512795</c:v>
                </c:pt>
                <c:pt idx="995">
                  <c:v>20.496540945512795</c:v>
                </c:pt>
                <c:pt idx="996">
                  <c:v>20.496540945512795</c:v>
                </c:pt>
                <c:pt idx="997">
                  <c:v>20.496540945512795</c:v>
                </c:pt>
                <c:pt idx="998">
                  <c:v>20.496540945512795</c:v>
                </c:pt>
                <c:pt idx="999">
                  <c:v>20.496540945512795</c:v>
                </c:pt>
                <c:pt idx="1000">
                  <c:v>20.496540945512795</c:v>
                </c:pt>
                <c:pt idx="1001">
                  <c:v>20.496540945512795</c:v>
                </c:pt>
                <c:pt idx="1002">
                  <c:v>20.496540945512795</c:v>
                </c:pt>
                <c:pt idx="1003">
                  <c:v>20.496540945512795</c:v>
                </c:pt>
                <c:pt idx="1004">
                  <c:v>20.496540945512795</c:v>
                </c:pt>
                <c:pt idx="1005">
                  <c:v>20.496540945512795</c:v>
                </c:pt>
                <c:pt idx="1006">
                  <c:v>20.496540945512795</c:v>
                </c:pt>
                <c:pt idx="1007">
                  <c:v>20.496540945512795</c:v>
                </c:pt>
                <c:pt idx="1008">
                  <c:v>20.496540945512795</c:v>
                </c:pt>
                <c:pt idx="1009">
                  <c:v>20.496540945512795</c:v>
                </c:pt>
                <c:pt idx="1010">
                  <c:v>20.496540945512795</c:v>
                </c:pt>
                <c:pt idx="1011">
                  <c:v>20.496540945512795</c:v>
                </c:pt>
                <c:pt idx="1012">
                  <c:v>20.496540945512795</c:v>
                </c:pt>
                <c:pt idx="1013">
                  <c:v>20.496540945512795</c:v>
                </c:pt>
                <c:pt idx="1014">
                  <c:v>20.496540945512795</c:v>
                </c:pt>
                <c:pt idx="1015">
                  <c:v>20.496540945512795</c:v>
                </c:pt>
                <c:pt idx="1016">
                  <c:v>20.496540945512795</c:v>
                </c:pt>
                <c:pt idx="1017">
                  <c:v>20.496540945512795</c:v>
                </c:pt>
                <c:pt idx="1018">
                  <c:v>20.496540945512795</c:v>
                </c:pt>
                <c:pt idx="1019">
                  <c:v>20.496540945512795</c:v>
                </c:pt>
                <c:pt idx="1020">
                  <c:v>20.496540945512795</c:v>
                </c:pt>
                <c:pt idx="1021">
                  <c:v>20.496540945512795</c:v>
                </c:pt>
                <c:pt idx="1022">
                  <c:v>20.496540945512795</c:v>
                </c:pt>
                <c:pt idx="1023">
                  <c:v>20.496540945512795</c:v>
                </c:pt>
                <c:pt idx="1024">
                  <c:v>20.496540945512795</c:v>
                </c:pt>
                <c:pt idx="1025">
                  <c:v>20.496540945512795</c:v>
                </c:pt>
                <c:pt idx="1026">
                  <c:v>20.496540945512795</c:v>
                </c:pt>
                <c:pt idx="1027">
                  <c:v>20.496540945512795</c:v>
                </c:pt>
                <c:pt idx="1028">
                  <c:v>20.496540945512795</c:v>
                </c:pt>
                <c:pt idx="1029">
                  <c:v>20.496540945512795</c:v>
                </c:pt>
                <c:pt idx="1030">
                  <c:v>20.496540945512795</c:v>
                </c:pt>
                <c:pt idx="1031">
                  <c:v>20.496540945512795</c:v>
                </c:pt>
                <c:pt idx="1032">
                  <c:v>20.496540945512795</c:v>
                </c:pt>
                <c:pt idx="1033">
                  <c:v>20.496540945512795</c:v>
                </c:pt>
                <c:pt idx="1034">
                  <c:v>20.496540945512795</c:v>
                </c:pt>
                <c:pt idx="1035">
                  <c:v>20.496540945512795</c:v>
                </c:pt>
                <c:pt idx="1036">
                  <c:v>20.496540945512795</c:v>
                </c:pt>
                <c:pt idx="1037">
                  <c:v>20.496540945512795</c:v>
                </c:pt>
                <c:pt idx="1038">
                  <c:v>20.496540945512795</c:v>
                </c:pt>
                <c:pt idx="1039">
                  <c:v>20.496540945512795</c:v>
                </c:pt>
                <c:pt idx="1040">
                  <c:v>20.496540945512795</c:v>
                </c:pt>
                <c:pt idx="1041">
                  <c:v>20.496540945512795</c:v>
                </c:pt>
                <c:pt idx="1042">
                  <c:v>20.496540945512795</c:v>
                </c:pt>
                <c:pt idx="1043">
                  <c:v>20.496540945512795</c:v>
                </c:pt>
                <c:pt idx="1044">
                  <c:v>20.496540945512795</c:v>
                </c:pt>
                <c:pt idx="1045">
                  <c:v>20.496540945512795</c:v>
                </c:pt>
                <c:pt idx="1046">
                  <c:v>20.496540945512795</c:v>
                </c:pt>
                <c:pt idx="1047">
                  <c:v>20.496540945512795</c:v>
                </c:pt>
                <c:pt idx="1048">
                  <c:v>20.496540945512795</c:v>
                </c:pt>
                <c:pt idx="1049">
                  <c:v>20.496540945512795</c:v>
                </c:pt>
                <c:pt idx="1050">
                  <c:v>20.496540945512795</c:v>
                </c:pt>
                <c:pt idx="1051">
                  <c:v>20.496540945512795</c:v>
                </c:pt>
                <c:pt idx="1052">
                  <c:v>20.496540945512795</c:v>
                </c:pt>
                <c:pt idx="1053">
                  <c:v>20.496540945512795</c:v>
                </c:pt>
                <c:pt idx="1054">
                  <c:v>20.496540945512795</c:v>
                </c:pt>
                <c:pt idx="1055">
                  <c:v>20.496540945512795</c:v>
                </c:pt>
                <c:pt idx="1056">
                  <c:v>20.496540945512795</c:v>
                </c:pt>
                <c:pt idx="1057">
                  <c:v>20.496540945512795</c:v>
                </c:pt>
                <c:pt idx="1058">
                  <c:v>20.496540945512795</c:v>
                </c:pt>
                <c:pt idx="1059">
                  <c:v>20.496540945512795</c:v>
                </c:pt>
                <c:pt idx="1060">
                  <c:v>20.496540945512795</c:v>
                </c:pt>
                <c:pt idx="1061">
                  <c:v>20.496540945512795</c:v>
                </c:pt>
                <c:pt idx="1062">
                  <c:v>20.496540945512795</c:v>
                </c:pt>
                <c:pt idx="1063">
                  <c:v>20.496540945512795</c:v>
                </c:pt>
                <c:pt idx="1064">
                  <c:v>20.496540945512795</c:v>
                </c:pt>
                <c:pt idx="1065">
                  <c:v>20.496540945512795</c:v>
                </c:pt>
                <c:pt idx="1066">
                  <c:v>20.496540945512795</c:v>
                </c:pt>
                <c:pt idx="1067">
                  <c:v>20.496540945512795</c:v>
                </c:pt>
                <c:pt idx="1068">
                  <c:v>20.496540945512795</c:v>
                </c:pt>
                <c:pt idx="1069">
                  <c:v>20.496540945512795</c:v>
                </c:pt>
                <c:pt idx="1070">
                  <c:v>20.496540945512795</c:v>
                </c:pt>
                <c:pt idx="1071">
                  <c:v>20.496540945512795</c:v>
                </c:pt>
                <c:pt idx="1072">
                  <c:v>20.496540945512795</c:v>
                </c:pt>
                <c:pt idx="1073">
                  <c:v>20.496540945512795</c:v>
                </c:pt>
                <c:pt idx="1074">
                  <c:v>20.496540945512795</c:v>
                </c:pt>
                <c:pt idx="1075">
                  <c:v>20.496540945512795</c:v>
                </c:pt>
                <c:pt idx="1076">
                  <c:v>20.496540945512795</c:v>
                </c:pt>
                <c:pt idx="1077">
                  <c:v>20.496540945512795</c:v>
                </c:pt>
                <c:pt idx="1078">
                  <c:v>20.496540945512795</c:v>
                </c:pt>
                <c:pt idx="1079">
                  <c:v>20.496540945512795</c:v>
                </c:pt>
                <c:pt idx="1080">
                  <c:v>20.496540945512795</c:v>
                </c:pt>
                <c:pt idx="1081">
                  <c:v>20.496540945512795</c:v>
                </c:pt>
                <c:pt idx="1082">
                  <c:v>20.496540945512795</c:v>
                </c:pt>
                <c:pt idx="1083">
                  <c:v>20.496540945512795</c:v>
                </c:pt>
                <c:pt idx="1084">
                  <c:v>20.496540945512795</c:v>
                </c:pt>
                <c:pt idx="1085">
                  <c:v>20.496540945512795</c:v>
                </c:pt>
                <c:pt idx="1086">
                  <c:v>20.496540945512795</c:v>
                </c:pt>
                <c:pt idx="1087">
                  <c:v>20.496540945512795</c:v>
                </c:pt>
                <c:pt idx="1088">
                  <c:v>20.496540945512795</c:v>
                </c:pt>
                <c:pt idx="1089">
                  <c:v>20.496540945512795</c:v>
                </c:pt>
                <c:pt idx="1090">
                  <c:v>20.496540945512795</c:v>
                </c:pt>
                <c:pt idx="1091">
                  <c:v>20.496540945512795</c:v>
                </c:pt>
                <c:pt idx="1092">
                  <c:v>20.496540945512795</c:v>
                </c:pt>
                <c:pt idx="1093">
                  <c:v>20.496540945512795</c:v>
                </c:pt>
                <c:pt idx="1094">
                  <c:v>20.496540945512795</c:v>
                </c:pt>
                <c:pt idx="1095">
                  <c:v>20.496540945512795</c:v>
                </c:pt>
                <c:pt idx="1096">
                  <c:v>20.496540945512795</c:v>
                </c:pt>
                <c:pt idx="1097">
                  <c:v>20.496540945512795</c:v>
                </c:pt>
                <c:pt idx="1098">
                  <c:v>20.496540945512795</c:v>
                </c:pt>
                <c:pt idx="1099">
                  <c:v>20.496540945512795</c:v>
                </c:pt>
                <c:pt idx="1100">
                  <c:v>20.496540945512795</c:v>
                </c:pt>
                <c:pt idx="1101">
                  <c:v>20.496540945512795</c:v>
                </c:pt>
                <c:pt idx="1102">
                  <c:v>20.496540945512795</c:v>
                </c:pt>
                <c:pt idx="1103">
                  <c:v>20.496540945512795</c:v>
                </c:pt>
                <c:pt idx="1104">
                  <c:v>20.496540945512795</c:v>
                </c:pt>
                <c:pt idx="1105">
                  <c:v>20.496540945512795</c:v>
                </c:pt>
                <c:pt idx="1106">
                  <c:v>20.496540945512795</c:v>
                </c:pt>
                <c:pt idx="1107">
                  <c:v>20.496540945512795</c:v>
                </c:pt>
                <c:pt idx="1108">
                  <c:v>20.496540945512795</c:v>
                </c:pt>
                <c:pt idx="1109">
                  <c:v>20.496540945512795</c:v>
                </c:pt>
                <c:pt idx="1110">
                  <c:v>20.496540945512795</c:v>
                </c:pt>
                <c:pt idx="1111">
                  <c:v>20.496540945512795</c:v>
                </c:pt>
                <c:pt idx="1112">
                  <c:v>20.496540945512795</c:v>
                </c:pt>
                <c:pt idx="1113">
                  <c:v>20.496540945512795</c:v>
                </c:pt>
                <c:pt idx="1114">
                  <c:v>20.496540945512795</c:v>
                </c:pt>
                <c:pt idx="1115">
                  <c:v>20.496540945512795</c:v>
                </c:pt>
                <c:pt idx="1116">
                  <c:v>20.496540945512795</c:v>
                </c:pt>
                <c:pt idx="1117">
                  <c:v>20.496540945512795</c:v>
                </c:pt>
                <c:pt idx="1118">
                  <c:v>20.496540945512795</c:v>
                </c:pt>
                <c:pt idx="1119">
                  <c:v>20.496540945512795</c:v>
                </c:pt>
                <c:pt idx="1120">
                  <c:v>20.496540945512795</c:v>
                </c:pt>
                <c:pt idx="1121">
                  <c:v>20.496540945512795</c:v>
                </c:pt>
                <c:pt idx="1122">
                  <c:v>20.496540945512795</c:v>
                </c:pt>
                <c:pt idx="1123">
                  <c:v>20.496540945512795</c:v>
                </c:pt>
                <c:pt idx="1124">
                  <c:v>20.496540945512795</c:v>
                </c:pt>
                <c:pt idx="1125">
                  <c:v>20.496540945512795</c:v>
                </c:pt>
                <c:pt idx="1126">
                  <c:v>20.496540945512795</c:v>
                </c:pt>
                <c:pt idx="1127">
                  <c:v>20.496540945512795</c:v>
                </c:pt>
                <c:pt idx="1128">
                  <c:v>20.496540945512795</c:v>
                </c:pt>
                <c:pt idx="1129">
                  <c:v>20.496540945512795</c:v>
                </c:pt>
                <c:pt idx="1130">
                  <c:v>20.496540945512795</c:v>
                </c:pt>
                <c:pt idx="1131">
                  <c:v>20.496540945512795</c:v>
                </c:pt>
                <c:pt idx="1132">
                  <c:v>20.496540945512795</c:v>
                </c:pt>
                <c:pt idx="1133">
                  <c:v>20.496540945512795</c:v>
                </c:pt>
                <c:pt idx="1134">
                  <c:v>20.496540945512795</c:v>
                </c:pt>
                <c:pt idx="1135">
                  <c:v>20.496540945512795</c:v>
                </c:pt>
                <c:pt idx="1136">
                  <c:v>20.496540945512795</c:v>
                </c:pt>
                <c:pt idx="1137">
                  <c:v>20.496540945512795</c:v>
                </c:pt>
                <c:pt idx="1138">
                  <c:v>20.496540945512795</c:v>
                </c:pt>
                <c:pt idx="1139">
                  <c:v>20.496540945512795</c:v>
                </c:pt>
                <c:pt idx="1140">
                  <c:v>20.496540945512795</c:v>
                </c:pt>
                <c:pt idx="1141">
                  <c:v>20.496540945512795</c:v>
                </c:pt>
                <c:pt idx="1142">
                  <c:v>20.496540945512795</c:v>
                </c:pt>
                <c:pt idx="1143">
                  <c:v>20.496540945512795</c:v>
                </c:pt>
                <c:pt idx="1144">
                  <c:v>20.496540945512795</c:v>
                </c:pt>
                <c:pt idx="1145">
                  <c:v>20.496540945512795</c:v>
                </c:pt>
                <c:pt idx="1146">
                  <c:v>20.496540945512795</c:v>
                </c:pt>
                <c:pt idx="1147">
                  <c:v>20.496540945512795</c:v>
                </c:pt>
                <c:pt idx="1148">
                  <c:v>20.496540945512795</c:v>
                </c:pt>
                <c:pt idx="1149">
                  <c:v>20.496540945512795</c:v>
                </c:pt>
                <c:pt idx="1150">
                  <c:v>20.496540945512795</c:v>
                </c:pt>
                <c:pt idx="1151">
                  <c:v>20.496540945512795</c:v>
                </c:pt>
                <c:pt idx="1152">
                  <c:v>20.496540945512795</c:v>
                </c:pt>
                <c:pt idx="1153">
                  <c:v>20.496540945512795</c:v>
                </c:pt>
                <c:pt idx="1154">
                  <c:v>20.496540945512795</c:v>
                </c:pt>
                <c:pt idx="1155">
                  <c:v>20.496540945512795</c:v>
                </c:pt>
                <c:pt idx="1156">
                  <c:v>20.496540945512795</c:v>
                </c:pt>
                <c:pt idx="1157">
                  <c:v>20.496540945512795</c:v>
                </c:pt>
                <c:pt idx="1158">
                  <c:v>20.496540945512795</c:v>
                </c:pt>
                <c:pt idx="1159">
                  <c:v>20.496540945512795</c:v>
                </c:pt>
                <c:pt idx="1160">
                  <c:v>20.496540945512795</c:v>
                </c:pt>
                <c:pt idx="1161">
                  <c:v>20.496540945512795</c:v>
                </c:pt>
                <c:pt idx="1162">
                  <c:v>20.496540945512795</c:v>
                </c:pt>
                <c:pt idx="1163">
                  <c:v>20.496540945512795</c:v>
                </c:pt>
                <c:pt idx="1164">
                  <c:v>20.496540945512795</c:v>
                </c:pt>
                <c:pt idx="1165">
                  <c:v>20.496540945512795</c:v>
                </c:pt>
                <c:pt idx="1166">
                  <c:v>20.496540945512795</c:v>
                </c:pt>
                <c:pt idx="1167">
                  <c:v>20.496540945512795</c:v>
                </c:pt>
                <c:pt idx="1168">
                  <c:v>20.496540945512795</c:v>
                </c:pt>
                <c:pt idx="1169">
                  <c:v>20.496540945512795</c:v>
                </c:pt>
                <c:pt idx="1170">
                  <c:v>20.496540945512795</c:v>
                </c:pt>
                <c:pt idx="1171">
                  <c:v>20.496540945512795</c:v>
                </c:pt>
                <c:pt idx="1172">
                  <c:v>20.496540945512795</c:v>
                </c:pt>
                <c:pt idx="1173">
                  <c:v>20.496540945512795</c:v>
                </c:pt>
                <c:pt idx="1174">
                  <c:v>20.496540945512795</c:v>
                </c:pt>
                <c:pt idx="1175">
                  <c:v>20.496540945512795</c:v>
                </c:pt>
                <c:pt idx="1176">
                  <c:v>20.496540945512795</c:v>
                </c:pt>
                <c:pt idx="1177">
                  <c:v>20.496540945512795</c:v>
                </c:pt>
                <c:pt idx="1178">
                  <c:v>20.496540945512795</c:v>
                </c:pt>
                <c:pt idx="1179">
                  <c:v>20.496540945512795</c:v>
                </c:pt>
                <c:pt idx="1180">
                  <c:v>20.496540945512795</c:v>
                </c:pt>
                <c:pt idx="1181">
                  <c:v>20.496540945512795</c:v>
                </c:pt>
                <c:pt idx="1182">
                  <c:v>20.496540945512795</c:v>
                </c:pt>
                <c:pt idx="1183">
                  <c:v>20.496540945512795</c:v>
                </c:pt>
                <c:pt idx="1184">
                  <c:v>20.496540945512795</c:v>
                </c:pt>
                <c:pt idx="1185">
                  <c:v>20.496540945512795</c:v>
                </c:pt>
                <c:pt idx="1186">
                  <c:v>20.496540945512795</c:v>
                </c:pt>
                <c:pt idx="1187">
                  <c:v>20.496540945512795</c:v>
                </c:pt>
                <c:pt idx="1188">
                  <c:v>20.496540945512795</c:v>
                </c:pt>
                <c:pt idx="1189">
                  <c:v>20.496540945512795</c:v>
                </c:pt>
                <c:pt idx="1190">
                  <c:v>20.496540945512795</c:v>
                </c:pt>
                <c:pt idx="1191">
                  <c:v>20.496540945512795</c:v>
                </c:pt>
                <c:pt idx="1192">
                  <c:v>20.496540945512795</c:v>
                </c:pt>
                <c:pt idx="1193">
                  <c:v>20.496540945512795</c:v>
                </c:pt>
                <c:pt idx="1194">
                  <c:v>20.496540945512795</c:v>
                </c:pt>
                <c:pt idx="1195">
                  <c:v>20.496540945512795</c:v>
                </c:pt>
                <c:pt idx="1196">
                  <c:v>20.496540945512795</c:v>
                </c:pt>
                <c:pt idx="1197">
                  <c:v>20.496540945512795</c:v>
                </c:pt>
                <c:pt idx="1198">
                  <c:v>20.496540945512795</c:v>
                </c:pt>
                <c:pt idx="1199">
                  <c:v>20.496540945512795</c:v>
                </c:pt>
                <c:pt idx="1200">
                  <c:v>20.496540945512795</c:v>
                </c:pt>
                <c:pt idx="1201">
                  <c:v>20.496540945512795</c:v>
                </c:pt>
                <c:pt idx="1202">
                  <c:v>20.496540945512795</c:v>
                </c:pt>
                <c:pt idx="1203">
                  <c:v>20.496540945512795</c:v>
                </c:pt>
                <c:pt idx="1204">
                  <c:v>20.496540945512795</c:v>
                </c:pt>
                <c:pt idx="1205">
                  <c:v>20.496540945512795</c:v>
                </c:pt>
                <c:pt idx="1206">
                  <c:v>20.496540945512795</c:v>
                </c:pt>
                <c:pt idx="1207">
                  <c:v>20.496540945512795</c:v>
                </c:pt>
                <c:pt idx="1208">
                  <c:v>20.496540945512795</c:v>
                </c:pt>
                <c:pt idx="1209">
                  <c:v>20.496540945512795</c:v>
                </c:pt>
                <c:pt idx="1210">
                  <c:v>20.496540945512795</c:v>
                </c:pt>
                <c:pt idx="1211">
                  <c:v>20.496540945512795</c:v>
                </c:pt>
                <c:pt idx="1212">
                  <c:v>20.496540945512795</c:v>
                </c:pt>
                <c:pt idx="1213">
                  <c:v>20.496540945512795</c:v>
                </c:pt>
                <c:pt idx="1214">
                  <c:v>20.496540945512795</c:v>
                </c:pt>
                <c:pt idx="1215">
                  <c:v>20.496540945512795</c:v>
                </c:pt>
                <c:pt idx="1216">
                  <c:v>20.496540945512795</c:v>
                </c:pt>
                <c:pt idx="1217">
                  <c:v>20.496540945512795</c:v>
                </c:pt>
                <c:pt idx="1218">
                  <c:v>20.496540945512795</c:v>
                </c:pt>
                <c:pt idx="1219">
                  <c:v>20.496540945512795</c:v>
                </c:pt>
                <c:pt idx="1220">
                  <c:v>20.496540945512795</c:v>
                </c:pt>
                <c:pt idx="1221">
                  <c:v>20.496540945512795</c:v>
                </c:pt>
                <c:pt idx="1222">
                  <c:v>20.496540945512795</c:v>
                </c:pt>
                <c:pt idx="1223">
                  <c:v>20.496540945512795</c:v>
                </c:pt>
                <c:pt idx="1224">
                  <c:v>20.496540945512795</c:v>
                </c:pt>
                <c:pt idx="1225">
                  <c:v>20.496540945512795</c:v>
                </c:pt>
                <c:pt idx="1226">
                  <c:v>20.496540945512795</c:v>
                </c:pt>
                <c:pt idx="1227">
                  <c:v>20.496540945512795</c:v>
                </c:pt>
                <c:pt idx="1228">
                  <c:v>20.496540945512795</c:v>
                </c:pt>
                <c:pt idx="1229">
                  <c:v>20.496540945512795</c:v>
                </c:pt>
                <c:pt idx="1230">
                  <c:v>20.496540945512795</c:v>
                </c:pt>
                <c:pt idx="1231">
                  <c:v>20.496540945512795</c:v>
                </c:pt>
                <c:pt idx="1232">
                  <c:v>20.496540945512795</c:v>
                </c:pt>
                <c:pt idx="1233">
                  <c:v>20.496540945512795</c:v>
                </c:pt>
                <c:pt idx="1234">
                  <c:v>20.496540945512795</c:v>
                </c:pt>
                <c:pt idx="1235">
                  <c:v>20.496540945512795</c:v>
                </c:pt>
                <c:pt idx="1236">
                  <c:v>20.496540945512795</c:v>
                </c:pt>
                <c:pt idx="1237">
                  <c:v>20.496540945512795</c:v>
                </c:pt>
                <c:pt idx="1238">
                  <c:v>20.496540945512795</c:v>
                </c:pt>
                <c:pt idx="1239">
                  <c:v>20.496540945512795</c:v>
                </c:pt>
                <c:pt idx="1240">
                  <c:v>20.496540945512795</c:v>
                </c:pt>
                <c:pt idx="1241">
                  <c:v>20.496540945512795</c:v>
                </c:pt>
                <c:pt idx="1242">
                  <c:v>20.496540945512795</c:v>
                </c:pt>
                <c:pt idx="1243">
                  <c:v>20.496540945512795</c:v>
                </c:pt>
                <c:pt idx="1244">
                  <c:v>20.496540945512795</c:v>
                </c:pt>
                <c:pt idx="1245">
                  <c:v>20.496540945512795</c:v>
                </c:pt>
                <c:pt idx="1246">
                  <c:v>20.496540945512795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0B0-454F-ADA1-96CBF634E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4353871"/>
        <c:axId val="1384354351"/>
      </c:lineChart>
      <c:dateAx>
        <c:axId val="1384353871"/>
        <c:scaling>
          <c:orientation val="minMax"/>
          <c:max val="46089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354351"/>
        <c:crosses val="autoZero"/>
        <c:auto val="1"/>
        <c:lblOffset val="100"/>
        <c:baseTimeUnit val="days"/>
      </c:dateAx>
      <c:valAx>
        <c:axId val="1384354351"/>
        <c:scaling>
          <c:orientation val="minMax"/>
          <c:max val="30"/>
          <c:min val="10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353871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583075887644254"/>
          <c:y val="4.5160782722301701E-2"/>
          <c:w val="0.72218799606074369"/>
          <c:h val="0.75475184324021027"/>
        </c:manualLayout>
      </c:layout>
      <c:lineChart>
        <c:grouping val="standard"/>
        <c:varyColors val="0"/>
        <c:ser>
          <c:idx val="1"/>
          <c:order val="0"/>
          <c:tx>
            <c:strRef>
              <c:f>'FX Data'!$N$956</c:f>
              <c:strCache>
                <c:ptCount val="1"/>
                <c:pt idx="0">
                  <c:v>=-2sd</c:v>
                </c:pt>
              </c:strCache>
            </c:strRef>
          </c:tx>
          <c:spPr>
            <a:ln w="19050" cap="rnd">
              <a:solidFill>
                <a:sysClr val="window" lastClr="FFFFFF">
                  <a:lumMod val="75000"/>
                </a:sysClr>
              </a:solidFill>
              <a:round/>
            </a:ln>
            <a:effectLst/>
          </c:spPr>
          <c:marker>
            <c:symbol val="none"/>
          </c:marker>
          <c:cat>
            <c:numRef>
              <c:f>'FX Data'!$B$957:$B$1448</c:f>
              <c:numCache>
                <c:formatCode>m/d/yyyy</c:formatCode>
                <c:ptCount val="492"/>
                <c:pt idx="0">
                  <c:v>44263</c:v>
                </c:pt>
                <c:pt idx="1">
                  <c:v>44264</c:v>
                </c:pt>
                <c:pt idx="2">
                  <c:v>44265</c:v>
                </c:pt>
                <c:pt idx="3">
                  <c:v>44266</c:v>
                </c:pt>
                <c:pt idx="4">
                  <c:v>44267</c:v>
                </c:pt>
                <c:pt idx="5">
                  <c:v>44270</c:v>
                </c:pt>
                <c:pt idx="6">
                  <c:v>44271</c:v>
                </c:pt>
                <c:pt idx="7">
                  <c:v>44272</c:v>
                </c:pt>
                <c:pt idx="8">
                  <c:v>44273</c:v>
                </c:pt>
                <c:pt idx="9">
                  <c:v>44274</c:v>
                </c:pt>
                <c:pt idx="10">
                  <c:v>44277</c:v>
                </c:pt>
                <c:pt idx="11">
                  <c:v>44278</c:v>
                </c:pt>
                <c:pt idx="12">
                  <c:v>44279</c:v>
                </c:pt>
                <c:pt idx="13">
                  <c:v>44280</c:v>
                </c:pt>
                <c:pt idx="14">
                  <c:v>44281</c:v>
                </c:pt>
                <c:pt idx="15">
                  <c:v>44284</c:v>
                </c:pt>
                <c:pt idx="16">
                  <c:v>44285</c:v>
                </c:pt>
                <c:pt idx="17">
                  <c:v>44286</c:v>
                </c:pt>
                <c:pt idx="18">
                  <c:v>44287</c:v>
                </c:pt>
                <c:pt idx="19">
                  <c:v>44288</c:v>
                </c:pt>
                <c:pt idx="20">
                  <c:v>44291</c:v>
                </c:pt>
                <c:pt idx="21">
                  <c:v>44292</c:v>
                </c:pt>
                <c:pt idx="22">
                  <c:v>44293</c:v>
                </c:pt>
                <c:pt idx="23">
                  <c:v>44294</c:v>
                </c:pt>
                <c:pt idx="24">
                  <c:v>44295</c:v>
                </c:pt>
                <c:pt idx="25">
                  <c:v>44298</c:v>
                </c:pt>
                <c:pt idx="26">
                  <c:v>44299</c:v>
                </c:pt>
                <c:pt idx="27">
                  <c:v>44300</c:v>
                </c:pt>
                <c:pt idx="28">
                  <c:v>44301</c:v>
                </c:pt>
                <c:pt idx="29">
                  <c:v>44302</c:v>
                </c:pt>
                <c:pt idx="30">
                  <c:v>44305</c:v>
                </c:pt>
                <c:pt idx="31">
                  <c:v>44306</c:v>
                </c:pt>
                <c:pt idx="32">
                  <c:v>44308</c:v>
                </c:pt>
                <c:pt idx="33">
                  <c:v>44309</c:v>
                </c:pt>
                <c:pt idx="34">
                  <c:v>44312</c:v>
                </c:pt>
                <c:pt idx="35">
                  <c:v>44313</c:v>
                </c:pt>
                <c:pt idx="36">
                  <c:v>44314</c:v>
                </c:pt>
                <c:pt idx="37">
                  <c:v>44315</c:v>
                </c:pt>
                <c:pt idx="38">
                  <c:v>44320</c:v>
                </c:pt>
                <c:pt idx="39">
                  <c:v>44321</c:v>
                </c:pt>
                <c:pt idx="40">
                  <c:v>44322</c:v>
                </c:pt>
                <c:pt idx="41">
                  <c:v>44323</c:v>
                </c:pt>
                <c:pt idx="42">
                  <c:v>44326</c:v>
                </c:pt>
                <c:pt idx="43">
                  <c:v>44327</c:v>
                </c:pt>
                <c:pt idx="44">
                  <c:v>44328</c:v>
                </c:pt>
                <c:pt idx="45">
                  <c:v>44329</c:v>
                </c:pt>
                <c:pt idx="46">
                  <c:v>44330</c:v>
                </c:pt>
                <c:pt idx="47">
                  <c:v>44333</c:v>
                </c:pt>
                <c:pt idx="48">
                  <c:v>44334</c:v>
                </c:pt>
                <c:pt idx="49">
                  <c:v>44335</c:v>
                </c:pt>
                <c:pt idx="50">
                  <c:v>44336</c:v>
                </c:pt>
                <c:pt idx="51">
                  <c:v>44337</c:v>
                </c:pt>
                <c:pt idx="52">
                  <c:v>44340</c:v>
                </c:pt>
                <c:pt idx="53">
                  <c:v>44341</c:v>
                </c:pt>
                <c:pt idx="54">
                  <c:v>44342</c:v>
                </c:pt>
                <c:pt idx="55">
                  <c:v>44343</c:v>
                </c:pt>
                <c:pt idx="56">
                  <c:v>44344</c:v>
                </c:pt>
                <c:pt idx="57">
                  <c:v>44347</c:v>
                </c:pt>
                <c:pt idx="58">
                  <c:v>44348</c:v>
                </c:pt>
                <c:pt idx="59">
                  <c:v>44349</c:v>
                </c:pt>
                <c:pt idx="60">
                  <c:v>44350</c:v>
                </c:pt>
                <c:pt idx="61">
                  <c:v>44351</c:v>
                </c:pt>
                <c:pt idx="62">
                  <c:v>44354</c:v>
                </c:pt>
                <c:pt idx="63">
                  <c:v>44355</c:v>
                </c:pt>
                <c:pt idx="64">
                  <c:v>44356</c:v>
                </c:pt>
                <c:pt idx="65">
                  <c:v>44357</c:v>
                </c:pt>
                <c:pt idx="66">
                  <c:v>44358</c:v>
                </c:pt>
                <c:pt idx="67">
                  <c:v>44361</c:v>
                </c:pt>
                <c:pt idx="68">
                  <c:v>44362</c:v>
                </c:pt>
                <c:pt idx="69">
                  <c:v>44363</c:v>
                </c:pt>
                <c:pt idx="70">
                  <c:v>44364</c:v>
                </c:pt>
                <c:pt idx="71">
                  <c:v>44365</c:v>
                </c:pt>
                <c:pt idx="72">
                  <c:v>44368</c:v>
                </c:pt>
                <c:pt idx="73">
                  <c:v>44369</c:v>
                </c:pt>
                <c:pt idx="74">
                  <c:v>44370</c:v>
                </c:pt>
                <c:pt idx="75">
                  <c:v>44371</c:v>
                </c:pt>
                <c:pt idx="76">
                  <c:v>44372</c:v>
                </c:pt>
                <c:pt idx="77">
                  <c:v>44375</c:v>
                </c:pt>
                <c:pt idx="78">
                  <c:v>44376</c:v>
                </c:pt>
                <c:pt idx="79">
                  <c:v>44377</c:v>
                </c:pt>
                <c:pt idx="80">
                  <c:v>44378</c:v>
                </c:pt>
                <c:pt idx="81">
                  <c:v>44379</c:v>
                </c:pt>
                <c:pt idx="82">
                  <c:v>44382</c:v>
                </c:pt>
                <c:pt idx="83">
                  <c:v>44383</c:v>
                </c:pt>
                <c:pt idx="84">
                  <c:v>44384</c:v>
                </c:pt>
                <c:pt idx="85">
                  <c:v>44385</c:v>
                </c:pt>
                <c:pt idx="86">
                  <c:v>44386</c:v>
                </c:pt>
                <c:pt idx="87">
                  <c:v>44389</c:v>
                </c:pt>
                <c:pt idx="88">
                  <c:v>44390</c:v>
                </c:pt>
                <c:pt idx="89">
                  <c:v>44391</c:v>
                </c:pt>
                <c:pt idx="90">
                  <c:v>44392</c:v>
                </c:pt>
                <c:pt idx="91">
                  <c:v>44393</c:v>
                </c:pt>
                <c:pt idx="92">
                  <c:v>44396</c:v>
                </c:pt>
                <c:pt idx="93">
                  <c:v>44397</c:v>
                </c:pt>
                <c:pt idx="94">
                  <c:v>44398</c:v>
                </c:pt>
                <c:pt idx="95">
                  <c:v>44399</c:v>
                </c:pt>
                <c:pt idx="96">
                  <c:v>44400</c:v>
                </c:pt>
                <c:pt idx="97">
                  <c:v>44403</c:v>
                </c:pt>
                <c:pt idx="98">
                  <c:v>44404</c:v>
                </c:pt>
                <c:pt idx="99">
                  <c:v>44405</c:v>
                </c:pt>
                <c:pt idx="100">
                  <c:v>44406</c:v>
                </c:pt>
                <c:pt idx="101">
                  <c:v>44407</c:v>
                </c:pt>
                <c:pt idx="102">
                  <c:v>44410</c:v>
                </c:pt>
                <c:pt idx="103">
                  <c:v>44411</c:v>
                </c:pt>
                <c:pt idx="104">
                  <c:v>44412</c:v>
                </c:pt>
                <c:pt idx="105">
                  <c:v>44413</c:v>
                </c:pt>
                <c:pt idx="106">
                  <c:v>44414</c:v>
                </c:pt>
                <c:pt idx="107">
                  <c:v>44417</c:v>
                </c:pt>
                <c:pt idx="108">
                  <c:v>44418</c:v>
                </c:pt>
                <c:pt idx="109">
                  <c:v>44419</c:v>
                </c:pt>
                <c:pt idx="110">
                  <c:v>44420</c:v>
                </c:pt>
                <c:pt idx="111">
                  <c:v>44421</c:v>
                </c:pt>
                <c:pt idx="112">
                  <c:v>44424</c:v>
                </c:pt>
                <c:pt idx="113">
                  <c:v>44425</c:v>
                </c:pt>
                <c:pt idx="114">
                  <c:v>44426</c:v>
                </c:pt>
                <c:pt idx="115">
                  <c:v>44427</c:v>
                </c:pt>
                <c:pt idx="116">
                  <c:v>44428</c:v>
                </c:pt>
                <c:pt idx="117">
                  <c:v>44431</c:v>
                </c:pt>
                <c:pt idx="118">
                  <c:v>44432</c:v>
                </c:pt>
                <c:pt idx="119">
                  <c:v>44433</c:v>
                </c:pt>
                <c:pt idx="120">
                  <c:v>44434</c:v>
                </c:pt>
                <c:pt idx="121">
                  <c:v>44435</c:v>
                </c:pt>
                <c:pt idx="122">
                  <c:v>44438</c:v>
                </c:pt>
                <c:pt idx="123">
                  <c:v>44439</c:v>
                </c:pt>
                <c:pt idx="124">
                  <c:v>44440</c:v>
                </c:pt>
                <c:pt idx="125">
                  <c:v>44445</c:v>
                </c:pt>
                <c:pt idx="126">
                  <c:v>44446</c:v>
                </c:pt>
                <c:pt idx="127">
                  <c:v>44447</c:v>
                </c:pt>
                <c:pt idx="128">
                  <c:v>44448</c:v>
                </c:pt>
                <c:pt idx="129">
                  <c:v>44449</c:v>
                </c:pt>
                <c:pt idx="130">
                  <c:v>44452</c:v>
                </c:pt>
                <c:pt idx="131">
                  <c:v>44453</c:v>
                </c:pt>
                <c:pt idx="132">
                  <c:v>44454</c:v>
                </c:pt>
                <c:pt idx="133">
                  <c:v>44455</c:v>
                </c:pt>
                <c:pt idx="134">
                  <c:v>44456</c:v>
                </c:pt>
                <c:pt idx="135">
                  <c:v>44459</c:v>
                </c:pt>
                <c:pt idx="136">
                  <c:v>44460</c:v>
                </c:pt>
                <c:pt idx="137">
                  <c:v>44461</c:v>
                </c:pt>
                <c:pt idx="138">
                  <c:v>44462</c:v>
                </c:pt>
                <c:pt idx="139">
                  <c:v>44463</c:v>
                </c:pt>
                <c:pt idx="140">
                  <c:v>44466</c:v>
                </c:pt>
                <c:pt idx="141">
                  <c:v>44467</c:v>
                </c:pt>
                <c:pt idx="142">
                  <c:v>44468</c:v>
                </c:pt>
                <c:pt idx="143">
                  <c:v>44469</c:v>
                </c:pt>
                <c:pt idx="144">
                  <c:v>44470</c:v>
                </c:pt>
                <c:pt idx="145">
                  <c:v>44473</c:v>
                </c:pt>
                <c:pt idx="146">
                  <c:v>44474</c:v>
                </c:pt>
                <c:pt idx="147">
                  <c:v>44475</c:v>
                </c:pt>
                <c:pt idx="148">
                  <c:v>44476</c:v>
                </c:pt>
                <c:pt idx="149">
                  <c:v>44477</c:v>
                </c:pt>
                <c:pt idx="150">
                  <c:v>44480</c:v>
                </c:pt>
                <c:pt idx="151">
                  <c:v>44481</c:v>
                </c:pt>
                <c:pt idx="152">
                  <c:v>44482</c:v>
                </c:pt>
                <c:pt idx="153">
                  <c:v>44483</c:v>
                </c:pt>
                <c:pt idx="154">
                  <c:v>44484</c:v>
                </c:pt>
                <c:pt idx="155">
                  <c:v>44487</c:v>
                </c:pt>
                <c:pt idx="156">
                  <c:v>44488</c:v>
                </c:pt>
                <c:pt idx="157">
                  <c:v>44489</c:v>
                </c:pt>
                <c:pt idx="158">
                  <c:v>44490</c:v>
                </c:pt>
                <c:pt idx="159">
                  <c:v>44491</c:v>
                </c:pt>
                <c:pt idx="160">
                  <c:v>44494</c:v>
                </c:pt>
                <c:pt idx="161">
                  <c:v>44495</c:v>
                </c:pt>
                <c:pt idx="162">
                  <c:v>44496</c:v>
                </c:pt>
                <c:pt idx="163">
                  <c:v>44497</c:v>
                </c:pt>
                <c:pt idx="164">
                  <c:v>44498</c:v>
                </c:pt>
                <c:pt idx="165">
                  <c:v>44501</c:v>
                </c:pt>
                <c:pt idx="166">
                  <c:v>44502</c:v>
                </c:pt>
                <c:pt idx="167">
                  <c:v>44503</c:v>
                </c:pt>
                <c:pt idx="168">
                  <c:v>44504</c:v>
                </c:pt>
                <c:pt idx="169">
                  <c:v>44505</c:v>
                </c:pt>
                <c:pt idx="170">
                  <c:v>44508</c:v>
                </c:pt>
                <c:pt idx="171">
                  <c:v>44509</c:v>
                </c:pt>
                <c:pt idx="172">
                  <c:v>44510</c:v>
                </c:pt>
                <c:pt idx="173">
                  <c:v>44511</c:v>
                </c:pt>
                <c:pt idx="174">
                  <c:v>44512</c:v>
                </c:pt>
                <c:pt idx="175">
                  <c:v>44515</c:v>
                </c:pt>
                <c:pt idx="176">
                  <c:v>44516</c:v>
                </c:pt>
                <c:pt idx="177">
                  <c:v>44517</c:v>
                </c:pt>
                <c:pt idx="178">
                  <c:v>44518</c:v>
                </c:pt>
                <c:pt idx="179">
                  <c:v>44519</c:v>
                </c:pt>
                <c:pt idx="180">
                  <c:v>44522</c:v>
                </c:pt>
                <c:pt idx="181">
                  <c:v>44523</c:v>
                </c:pt>
                <c:pt idx="182">
                  <c:v>44524</c:v>
                </c:pt>
                <c:pt idx="183">
                  <c:v>44525</c:v>
                </c:pt>
                <c:pt idx="184">
                  <c:v>44526</c:v>
                </c:pt>
                <c:pt idx="185">
                  <c:v>44529</c:v>
                </c:pt>
                <c:pt idx="186">
                  <c:v>44530</c:v>
                </c:pt>
                <c:pt idx="187">
                  <c:v>44531</c:v>
                </c:pt>
                <c:pt idx="188">
                  <c:v>44532</c:v>
                </c:pt>
                <c:pt idx="189">
                  <c:v>44533</c:v>
                </c:pt>
                <c:pt idx="190">
                  <c:v>44536</c:v>
                </c:pt>
                <c:pt idx="191">
                  <c:v>44537</c:v>
                </c:pt>
                <c:pt idx="192">
                  <c:v>44538</c:v>
                </c:pt>
                <c:pt idx="193">
                  <c:v>44539</c:v>
                </c:pt>
                <c:pt idx="194">
                  <c:v>44540</c:v>
                </c:pt>
                <c:pt idx="195">
                  <c:v>44543</c:v>
                </c:pt>
                <c:pt idx="196">
                  <c:v>44544</c:v>
                </c:pt>
                <c:pt idx="197">
                  <c:v>44545</c:v>
                </c:pt>
                <c:pt idx="198">
                  <c:v>44546</c:v>
                </c:pt>
                <c:pt idx="199">
                  <c:v>44547</c:v>
                </c:pt>
                <c:pt idx="200">
                  <c:v>44550</c:v>
                </c:pt>
                <c:pt idx="201">
                  <c:v>44551</c:v>
                </c:pt>
                <c:pt idx="202">
                  <c:v>44552</c:v>
                </c:pt>
                <c:pt idx="203">
                  <c:v>44553</c:v>
                </c:pt>
                <c:pt idx="204">
                  <c:v>44554</c:v>
                </c:pt>
                <c:pt idx="205">
                  <c:v>44557</c:v>
                </c:pt>
                <c:pt idx="206">
                  <c:v>44558</c:v>
                </c:pt>
                <c:pt idx="207">
                  <c:v>44559</c:v>
                </c:pt>
                <c:pt idx="208">
                  <c:v>44560</c:v>
                </c:pt>
                <c:pt idx="209">
                  <c:v>44561</c:v>
                </c:pt>
                <c:pt idx="210">
                  <c:v>44565</c:v>
                </c:pt>
                <c:pt idx="211">
                  <c:v>44566</c:v>
                </c:pt>
                <c:pt idx="212">
                  <c:v>44567</c:v>
                </c:pt>
                <c:pt idx="213">
                  <c:v>44568</c:v>
                </c:pt>
                <c:pt idx="214">
                  <c:v>44571</c:v>
                </c:pt>
                <c:pt idx="215">
                  <c:v>44572</c:v>
                </c:pt>
                <c:pt idx="216">
                  <c:v>44573</c:v>
                </c:pt>
                <c:pt idx="217">
                  <c:v>44574</c:v>
                </c:pt>
                <c:pt idx="218">
                  <c:v>44575</c:v>
                </c:pt>
                <c:pt idx="219">
                  <c:v>44578</c:v>
                </c:pt>
                <c:pt idx="220">
                  <c:v>44579</c:v>
                </c:pt>
                <c:pt idx="221">
                  <c:v>44580</c:v>
                </c:pt>
                <c:pt idx="222">
                  <c:v>44581</c:v>
                </c:pt>
                <c:pt idx="223">
                  <c:v>44582</c:v>
                </c:pt>
                <c:pt idx="224">
                  <c:v>44585</c:v>
                </c:pt>
                <c:pt idx="225">
                  <c:v>44586</c:v>
                </c:pt>
                <c:pt idx="226">
                  <c:v>44587</c:v>
                </c:pt>
                <c:pt idx="227">
                  <c:v>44588</c:v>
                </c:pt>
                <c:pt idx="228">
                  <c:v>44589</c:v>
                </c:pt>
                <c:pt idx="229">
                  <c:v>44599</c:v>
                </c:pt>
                <c:pt idx="230">
                  <c:v>44600</c:v>
                </c:pt>
                <c:pt idx="231">
                  <c:v>44601</c:v>
                </c:pt>
                <c:pt idx="232">
                  <c:v>44602</c:v>
                </c:pt>
                <c:pt idx="233">
                  <c:v>44603</c:v>
                </c:pt>
                <c:pt idx="234">
                  <c:v>44606</c:v>
                </c:pt>
                <c:pt idx="235">
                  <c:v>44607</c:v>
                </c:pt>
                <c:pt idx="236">
                  <c:v>44608</c:v>
                </c:pt>
                <c:pt idx="237">
                  <c:v>44609</c:v>
                </c:pt>
                <c:pt idx="238">
                  <c:v>44610</c:v>
                </c:pt>
                <c:pt idx="239">
                  <c:v>44613</c:v>
                </c:pt>
                <c:pt idx="240">
                  <c:v>44614</c:v>
                </c:pt>
                <c:pt idx="241">
                  <c:v>44615</c:v>
                </c:pt>
                <c:pt idx="242">
                  <c:v>44616</c:v>
                </c:pt>
                <c:pt idx="243">
                  <c:v>44617</c:v>
                </c:pt>
                <c:pt idx="244">
                  <c:v>44620</c:v>
                </c:pt>
                <c:pt idx="245">
                  <c:v>44621</c:v>
                </c:pt>
                <c:pt idx="246">
                  <c:v>44622</c:v>
                </c:pt>
                <c:pt idx="247">
                  <c:v>44623</c:v>
                </c:pt>
                <c:pt idx="248">
                  <c:v>44624</c:v>
                </c:pt>
                <c:pt idx="249">
                  <c:v>44627</c:v>
                </c:pt>
                <c:pt idx="250">
                  <c:v>44628</c:v>
                </c:pt>
                <c:pt idx="251">
                  <c:v>44629</c:v>
                </c:pt>
                <c:pt idx="252">
                  <c:v>44630</c:v>
                </c:pt>
                <c:pt idx="253">
                  <c:v>44631</c:v>
                </c:pt>
                <c:pt idx="254">
                  <c:v>44634</c:v>
                </c:pt>
                <c:pt idx="255">
                  <c:v>44635</c:v>
                </c:pt>
                <c:pt idx="256">
                  <c:v>44636</c:v>
                </c:pt>
                <c:pt idx="257">
                  <c:v>44637</c:v>
                </c:pt>
                <c:pt idx="258">
                  <c:v>44638</c:v>
                </c:pt>
                <c:pt idx="259">
                  <c:v>44641</c:v>
                </c:pt>
                <c:pt idx="260">
                  <c:v>44642</c:v>
                </c:pt>
                <c:pt idx="261">
                  <c:v>44643</c:v>
                </c:pt>
                <c:pt idx="262">
                  <c:v>44644</c:v>
                </c:pt>
                <c:pt idx="263">
                  <c:v>44645</c:v>
                </c:pt>
                <c:pt idx="264">
                  <c:v>44648</c:v>
                </c:pt>
                <c:pt idx="265">
                  <c:v>44649</c:v>
                </c:pt>
                <c:pt idx="266">
                  <c:v>44650</c:v>
                </c:pt>
                <c:pt idx="267">
                  <c:v>44651</c:v>
                </c:pt>
                <c:pt idx="268">
                  <c:v>44652</c:v>
                </c:pt>
                <c:pt idx="269">
                  <c:v>44655</c:v>
                </c:pt>
                <c:pt idx="270">
                  <c:v>44656</c:v>
                </c:pt>
                <c:pt idx="271">
                  <c:v>44657</c:v>
                </c:pt>
                <c:pt idx="272">
                  <c:v>44658</c:v>
                </c:pt>
                <c:pt idx="273">
                  <c:v>44659</c:v>
                </c:pt>
                <c:pt idx="274">
                  <c:v>44663</c:v>
                </c:pt>
                <c:pt idx="275">
                  <c:v>44664</c:v>
                </c:pt>
                <c:pt idx="276">
                  <c:v>44665</c:v>
                </c:pt>
                <c:pt idx="277">
                  <c:v>44666</c:v>
                </c:pt>
                <c:pt idx="278">
                  <c:v>44669</c:v>
                </c:pt>
                <c:pt idx="279">
                  <c:v>44670</c:v>
                </c:pt>
                <c:pt idx="280">
                  <c:v>44671</c:v>
                </c:pt>
                <c:pt idx="281">
                  <c:v>44672</c:v>
                </c:pt>
                <c:pt idx="282">
                  <c:v>44673</c:v>
                </c:pt>
                <c:pt idx="283">
                  <c:v>44676</c:v>
                </c:pt>
                <c:pt idx="284">
                  <c:v>44677</c:v>
                </c:pt>
                <c:pt idx="285">
                  <c:v>44678</c:v>
                </c:pt>
                <c:pt idx="286">
                  <c:v>44679</c:v>
                </c:pt>
                <c:pt idx="287">
                  <c:v>44680</c:v>
                </c:pt>
                <c:pt idx="288">
                  <c:v>44685</c:v>
                </c:pt>
                <c:pt idx="289">
                  <c:v>44686</c:v>
                </c:pt>
                <c:pt idx="290">
                  <c:v>44687</c:v>
                </c:pt>
                <c:pt idx="291">
                  <c:v>44690</c:v>
                </c:pt>
                <c:pt idx="292">
                  <c:v>44691</c:v>
                </c:pt>
                <c:pt idx="293">
                  <c:v>44692</c:v>
                </c:pt>
                <c:pt idx="294">
                  <c:v>44693</c:v>
                </c:pt>
                <c:pt idx="295">
                  <c:v>44694</c:v>
                </c:pt>
                <c:pt idx="296">
                  <c:v>44697</c:v>
                </c:pt>
                <c:pt idx="297">
                  <c:v>44698</c:v>
                </c:pt>
                <c:pt idx="298">
                  <c:v>44699</c:v>
                </c:pt>
                <c:pt idx="299">
                  <c:v>44700</c:v>
                </c:pt>
                <c:pt idx="300">
                  <c:v>44701</c:v>
                </c:pt>
                <c:pt idx="301">
                  <c:v>44704</c:v>
                </c:pt>
                <c:pt idx="302">
                  <c:v>44705</c:v>
                </c:pt>
                <c:pt idx="303">
                  <c:v>44706</c:v>
                </c:pt>
                <c:pt idx="304">
                  <c:v>44707</c:v>
                </c:pt>
                <c:pt idx="305">
                  <c:v>44708</c:v>
                </c:pt>
                <c:pt idx="306">
                  <c:v>44711</c:v>
                </c:pt>
                <c:pt idx="307">
                  <c:v>44712</c:v>
                </c:pt>
                <c:pt idx="308">
                  <c:v>44713</c:v>
                </c:pt>
                <c:pt idx="309">
                  <c:v>44714</c:v>
                </c:pt>
                <c:pt idx="310">
                  <c:v>44715</c:v>
                </c:pt>
                <c:pt idx="311">
                  <c:v>44718</c:v>
                </c:pt>
                <c:pt idx="312">
                  <c:v>44719</c:v>
                </c:pt>
                <c:pt idx="313">
                  <c:v>44720</c:v>
                </c:pt>
                <c:pt idx="314">
                  <c:v>44721</c:v>
                </c:pt>
                <c:pt idx="315">
                  <c:v>44722</c:v>
                </c:pt>
                <c:pt idx="316">
                  <c:v>44725</c:v>
                </c:pt>
                <c:pt idx="317">
                  <c:v>44726</c:v>
                </c:pt>
                <c:pt idx="318">
                  <c:v>44727</c:v>
                </c:pt>
                <c:pt idx="319">
                  <c:v>44728</c:v>
                </c:pt>
                <c:pt idx="320">
                  <c:v>44729</c:v>
                </c:pt>
                <c:pt idx="321">
                  <c:v>44732</c:v>
                </c:pt>
                <c:pt idx="322">
                  <c:v>44733</c:v>
                </c:pt>
                <c:pt idx="323">
                  <c:v>44734</c:v>
                </c:pt>
                <c:pt idx="324">
                  <c:v>44735</c:v>
                </c:pt>
                <c:pt idx="325">
                  <c:v>44736</c:v>
                </c:pt>
                <c:pt idx="326">
                  <c:v>44739</c:v>
                </c:pt>
                <c:pt idx="327">
                  <c:v>44740</c:v>
                </c:pt>
                <c:pt idx="328">
                  <c:v>44741</c:v>
                </c:pt>
                <c:pt idx="329">
                  <c:v>44742</c:v>
                </c:pt>
                <c:pt idx="330">
                  <c:v>44743</c:v>
                </c:pt>
                <c:pt idx="331">
                  <c:v>44746</c:v>
                </c:pt>
                <c:pt idx="332">
                  <c:v>44747</c:v>
                </c:pt>
                <c:pt idx="333">
                  <c:v>44748</c:v>
                </c:pt>
                <c:pt idx="334">
                  <c:v>44749</c:v>
                </c:pt>
                <c:pt idx="335">
                  <c:v>44750</c:v>
                </c:pt>
                <c:pt idx="336">
                  <c:v>44753</c:v>
                </c:pt>
                <c:pt idx="337">
                  <c:v>44754</c:v>
                </c:pt>
                <c:pt idx="338">
                  <c:v>44755</c:v>
                </c:pt>
                <c:pt idx="339">
                  <c:v>44756</c:v>
                </c:pt>
                <c:pt idx="340">
                  <c:v>44757</c:v>
                </c:pt>
                <c:pt idx="341">
                  <c:v>44760</c:v>
                </c:pt>
                <c:pt idx="342">
                  <c:v>44761</c:v>
                </c:pt>
                <c:pt idx="343">
                  <c:v>44762</c:v>
                </c:pt>
                <c:pt idx="344">
                  <c:v>44763</c:v>
                </c:pt>
                <c:pt idx="345">
                  <c:v>44764</c:v>
                </c:pt>
                <c:pt idx="346">
                  <c:v>44767</c:v>
                </c:pt>
                <c:pt idx="347">
                  <c:v>44768</c:v>
                </c:pt>
                <c:pt idx="348">
                  <c:v>44769</c:v>
                </c:pt>
                <c:pt idx="349">
                  <c:v>44770</c:v>
                </c:pt>
                <c:pt idx="350">
                  <c:v>44771</c:v>
                </c:pt>
                <c:pt idx="351">
                  <c:v>44774</c:v>
                </c:pt>
                <c:pt idx="352">
                  <c:v>44775</c:v>
                </c:pt>
                <c:pt idx="353">
                  <c:v>44776</c:v>
                </c:pt>
                <c:pt idx="354">
                  <c:v>44777</c:v>
                </c:pt>
                <c:pt idx="355">
                  <c:v>44778</c:v>
                </c:pt>
                <c:pt idx="356">
                  <c:v>44781</c:v>
                </c:pt>
                <c:pt idx="357">
                  <c:v>44782</c:v>
                </c:pt>
                <c:pt idx="358">
                  <c:v>44783</c:v>
                </c:pt>
                <c:pt idx="359">
                  <c:v>44784</c:v>
                </c:pt>
                <c:pt idx="360">
                  <c:v>44785</c:v>
                </c:pt>
                <c:pt idx="361">
                  <c:v>44788</c:v>
                </c:pt>
                <c:pt idx="362">
                  <c:v>44789</c:v>
                </c:pt>
                <c:pt idx="363">
                  <c:v>44790</c:v>
                </c:pt>
                <c:pt idx="364">
                  <c:v>44791</c:v>
                </c:pt>
                <c:pt idx="365">
                  <c:v>44792</c:v>
                </c:pt>
                <c:pt idx="366">
                  <c:v>44795</c:v>
                </c:pt>
                <c:pt idx="367">
                  <c:v>44796</c:v>
                </c:pt>
                <c:pt idx="368">
                  <c:v>44797</c:v>
                </c:pt>
                <c:pt idx="369">
                  <c:v>44798</c:v>
                </c:pt>
                <c:pt idx="370">
                  <c:v>44799</c:v>
                </c:pt>
                <c:pt idx="371">
                  <c:v>44802</c:v>
                </c:pt>
                <c:pt idx="372">
                  <c:v>44803</c:v>
                </c:pt>
                <c:pt idx="373">
                  <c:v>44804</c:v>
                </c:pt>
                <c:pt idx="374">
                  <c:v>44809</c:v>
                </c:pt>
                <c:pt idx="375">
                  <c:v>44810</c:v>
                </c:pt>
                <c:pt idx="376">
                  <c:v>44811</c:v>
                </c:pt>
                <c:pt idx="377">
                  <c:v>44812</c:v>
                </c:pt>
                <c:pt idx="378">
                  <c:v>44813</c:v>
                </c:pt>
                <c:pt idx="379">
                  <c:v>44816</c:v>
                </c:pt>
                <c:pt idx="380">
                  <c:v>44817</c:v>
                </c:pt>
                <c:pt idx="381">
                  <c:v>44818</c:v>
                </c:pt>
                <c:pt idx="382">
                  <c:v>44819</c:v>
                </c:pt>
                <c:pt idx="383">
                  <c:v>44820</c:v>
                </c:pt>
                <c:pt idx="384">
                  <c:v>44823</c:v>
                </c:pt>
                <c:pt idx="385">
                  <c:v>44824</c:v>
                </c:pt>
                <c:pt idx="386">
                  <c:v>44825</c:v>
                </c:pt>
                <c:pt idx="387">
                  <c:v>44826</c:v>
                </c:pt>
                <c:pt idx="388">
                  <c:v>44827</c:v>
                </c:pt>
                <c:pt idx="389">
                  <c:v>44830</c:v>
                </c:pt>
                <c:pt idx="390">
                  <c:v>44831</c:v>
                </c:pt>
                <c:pt idx="391">
                  <c:v>44832</c:v>
                </c:pt>
                <c:pt idx="392">
                  <c:v>44833</c:v>
                </c:pt>
                <c:pt idx="393">
                  <c:v>44834</c:v>
                </c:pt>
                <c:pt idx="394">
                  <c:v>44837</c:v>
                </c:pt>
                <c:pt idx="395">
                  <c:v>44838</c:v>
                </c:pt>
                <c:pt idx="396">
                  <c:v>44839</c:v>
                </c:pt>
                <c:pt idx="397">
                  <c:v>44840</c:v>
                </c:pt>
                <c:pt idx="398">
                  <c:v>44841</c:v>
                </c:pt>
                <c:pt idx="399">
                  <c:v>44844</c:v>
                </c:pt>
                <c:pt idx="400">
                  <c:v>44845</c:v>
                </c:pt>
                <c:pt idx="401">
                  <c:v>44846</c:v>
                </c:pt>
                <c:pt idx="402">
                  <c:v>44847</c:v>
                </c:pt>
                <c:pt idx="403">
                  <c:v>44848</c:v>
                </c:pt>
                <c:pt idx="404">
                  <c:v>44851</c:v>
                </c:pt>
                <c:pt idx="405">
                  <c:v>44852</c:v>
                </c:pt>
                <c:pt idx="406">
                  <c:v>44853</c:v>
                </c:pt>
                <c:pt idx="407">
                  <c:v>44854</c:v>
                </c:pt>
                <c:pt idx="408">
                  <c:v>44855</c:v>
                </c:pt>
                <c:pt idx="409">
                  <c:v>44858</c:v>
                </c:pt>
                <c:pt idx="410">
                  <c:v>44859</c:v>
                </c:pt>
                <c:pt idx="411">
                  <c:v>44860</c:v>
                </c:pt>
                <c:pt idx="412">
                  <c:v>44861</c:v>
                </c:pt>
                <c:pt idx="413">
                  <c:v>44862</c:v>
                </c:pt>
                <c:pt idx="414">
                  <c:v>44865</c:v>
                </c:pt>
                <c:pt idx="415">
                  <c:v>44866</c:v>
                </c:pt>
                <c:pt idx="416">
                  <c:v>44867</c:v>
                </c:pt>
                <c:pt idx="417">
                  <c:v>44868</c:v>
                </c:pt>
                <c:pt idx="418">
                  <c:v>44869</c:v>
                </c:pt>
                <c:pt idx="419">
                  <c:v>44872</c:v>
                </c:pt>
                <c:pt idx="420">
                  <c:v>44873</c:v>
                </c:pt>
                <c:pt idx="421">
                  <c:v>44874</c:v>
                </c:pt>
                <c:pt idx="422">
                  <c:v>44875</c:v>
                </c:pt>
                <c:pt idx="423">
                  <c:v>44876</c:v>
                </c:pt>
                <c:pt idx="424">
                  <c:v>44879</c:v>
                </c:pt>
                <c:pt idx="425">
                  <c:v>44880</c:v>
                </c:pt>
                <c:pt idx="426">
                  <c:v>44881</c:v>
                </c:pt>
                <c:pt idx="427">
                  <c:v>44882</c:v>
                </c:pt>
                <c:pt idx="428">
                  <c:v>44883</c:v>
                </c:pt>
                <c:pt idx="429">
                  <c:v>44886</c:v>
                </c:pt>
                <c:pt idx="430">
                  <c:v>44887</c:v>
                </c:pt>
                <c:pt idx="431">
                  <c:v>44888</c:v>
                </c:pt>
                <c:pt idx="432">
                  <c:v>44889</c:v>
                </c:pt>
                <c:pt idx="433">
                  <c:v>44890</c:v>
                </c:pt>
                <c:pt idx="434">
                  <c:v>44893</c:v>
                </c:pt>
                <c:pt idx="435">
                  <c:v>44894</c:v>
                </c:pt>
                <c:pt idx="436">
                  <c:v>44895</c:v>
                </c:pt>
                <c:pt idx="437">
                  <c:v>44896</c:v>
                </c:pt>
                <c:pt idx="438">
                  <c:v>44897</c:v>
                </c:pt>
                <c:pt idx="439">
                  <c:v>44900</c:v>
                </c:pt>
                <c:pt idx="440">
                  <c:v>44901</c:v>
                </c:pt>
                <c:pt idx="441">
                  <c:v>44902</c:v>
                </c:pt>
                <c:pt idx="442">
                  <c:v>44903</c:v>
                </c:pt>
                <c:pt idx="443">
                  <c:v>44904</c:v>
                </c:pt>
                <c:pt idx="444">
                  <c:v>44907</c:v>
                </c:pt>
                <c:pt idx="445">
                  <c:v>44908</c:v>
                </c:pt>
                <c:pt idx="446">
                  <c:v>44909</c:v>
                </c:pt>
                <c:pt idx="447">
                  <c:v>44910</c:v>
                </c:pt>
                <c:pt idx="448">
                  <c:v>44911</c:v>
                </c:pt>
                <c:pt idx="449">
                  <c:v>44914</c:v>
                </c:pt>
                <c:pt idx="450">
                  <c:v>44915</c:v>
                </c:pt>
                <c:pt idx="451">
                  <c:v>44916</c:v>
                </c:pt>
                <c:pt idx="452">
                  <c:v>44917</c:v>
                </c:pt>
                <c:pt idx="453">
                  <c:v>44918</c:v>
                </c:pt>
                <c:pt idx="454">
                  <c:v>44921</c:v>
                </c:pt>
                <c:pt idx="455">
                  <c:v>44922</c:v>
                </c:pt>
                <c:pt idx="456">
                  <c:v>44923</c:v>
                </c:pt>
                <c:pt idx="457">
                  <c:v>44924</c:v>
                </c:pt>
                <c:pt idx="458">
                  <c:v>44925</c:v>
                </c:pt>
                <c:pt idx="459">
                  <c:v>44929</c:v>
                </c:pt>
                <c:pt idx="460">
                  <c:v>44930</c:v>
                </c:pt>
                <c:pt idx="461">
                  <c:v>44931</c:v>
                </c:pt>
                <c:pt idx="462">
                  <c:v>44932</c:v>
                </c:pt>
                <c:pt idx="463">
                  <c:v>44935</c:v>
                </c:pt>
                <c:pt idx="464">
                  <c:v>44936</c:v>
                </c:pt>
                <c:pt idx="465">
                  <c:v>44937</c:v>
                </c:pt>
                <c:pt idx="466">
                  <c:v>44938</c:v>
                </c:pt>
                <c:pt idx="467">
                  <c:v>44939</c:v>
                </c:pt>
                <c:pt idx="468">
                  <c:v>44942</c:v>
                </c:pt>
                <c:pt idx="469">
                  <c:v>44943</c:v>
                </c:pt>
                <c:pt idx="470">
                  <c:v>44944</c:v>
                </c:pt>
                <c:pt idx="471">
                  <c:v>44945</c:v>
                </c:pt>
                <c:pt idx="472">
                  <c:v>44953</c:v>
                </c:pt>
                <c:pt idx="473">
                  <c:v>44956</c:v>
                </c:pt>
                <c:pt idx="474">
                  <c:v>44957</c:v>
                </c:pt>
                <c:pt idx="475">
                  <c:v>44958</c:v>
                </c:pt>
                <c:pt idx="476">
                  <c:v>44959</c:v>
                </c:pt>
                <c:pt idx="477">
                  <c:v>44960</c:v>
                </c:pt>
                <c:pt idx="478">
                  <c:v>44963</c:v>
                </c:pt>
                <c:pt idx="479">
                  <c:v>44964</c:v>
                </c:pt>
                <c:pt idx="480">
                  <c:v>44965</c:v>
                </c:pt>
                <c:pt idx="481">
                  <c:v>44966</c:v>
                </c:pt>
                <c:pt idx="482">
                  <c:v>44967</c:v>
                </c:pt>
                <c:pt idx="483">
                  <c:v>44970</c:v>
                </c:pt>
                <c:pt idx="484">
                  <c:v>44971</c:v>
                </c:pt>
                <c:pt idx="485">
                  <c:v>44972</c:v>
                </c:pt>
                <c:pt idx="486">
                  <c:v>44973</c:v>
                </c:pt>
                <c:pt idx="487">
                  <c:v>44974</c:v>
                </c:pt>
                <c:pt idx="488">
                  <c:v>44977</c:v>
                </c:pt>
                <c:pt idx="489">
                  <c:v>44978</c:v>
                </c:pt>
                <c:pt idx="490">
                  <c:v>44979</c:v>
                </c:pt>
                <c:pt idx="491">
                  <c:v>44980</c:v>
                </c:pt>
              </c:numCache>
            </c:numRef>
          </c:cat>
          <c:val>
            <c:numRef>
              <c:f>'FX Data'!$N$957:$N$1453</c:f>
              <c:numCache>
                <c:formatCode>0.0</c:formatCode>
                <c:ptCount val="497"/>
                <c:pt idx="0">
                  <c:v>2.9877571379859713</c:v>
                </c:pt>
                <c:pt idx="1">
                  <c:v>2.9877571379859713</c:v>
                </c:pt>
                <c:pt idx="2">
                  <c:v>2.9877571379859713</c:v>
                </c:pt>
                <c:pt idx="3">
                  <c:v>2.9877571379859713</c:v>
                </c:pt>
                <c:pt idx="4">
                  <c:v>2.9877571379859713</c:v>
                </c:pt>
                <c:pt idx="5">
                  <c:v>2.9877571379859713</c:v>
                </c:pt>
                <c:pt idx="6">
                  <c:v>2.9877571379859713</c:v>
                </c:pt>
                <c:pt idx="7">
                  <c:v>2.9877571379859713</c:v>
                </c:pt>
                <c:pt idx="8">
                  <c:v>2.9877571379859713</c:v>
                </c:pt>
                <c:pt idx="9">
                  <c:v>2.9877571379859713</c:v>
                </c:pt>
                <c:pt idx="10">
                  <c:v>2.9877571379859713</c:v>
                </c:pt>
                <c:pt idx="11">
                  <c:v>2.9877571379859713</c:v>
                </c:pt>
                <c:pt idx="12">
                  <c:v>2.9877571379859713</c:v>
                </c:pt>
                <c:pt idx="13">
                  <c:v>2.9877571379859713</c:v>
                </c:pt>
                <c:pt idx="14">
                  <c:v>2.9877571379859713</c:v>
                </c:pt>
                <c:pt idx="15">
                  <c:v>2.9877571379859713</c:v>
                </c:pt>
                <c:pt idx="16">
                  <c:v>2.9877571379859713</c:v>
                </c:pt>
                <c:pt idx="17">
                  <c:v>2.9877571379859713</c:v>
                </c:pt>
                <c:pt idx="18">
                  <c:v>2.9877571379859713</c:v>
                </c:pt>
                <c:pt idx="19">
                  <c:v>2.9877571379859713</c:v>
                </c:pt>
                <c:pt idx="20">
                  <c:v>2.9877571379859713</c:v>
                </c:pt>
                <c:pt idx="21">
                  <c:v>2.9877571379859713</c:v>
                </c:pt>
                <c:pt idx="22">
                  <c:v>2.9877571379859713</c:v>
                </c:pt>
                <c:pt idx="23">
                  <c:v>2.9877571379859713</c:v>
                </c:pt>
                <c:pt idx="24">
                  <c:v>2.9877571379859713</c:v>
                </c:pt>
                <c:pt idx="25">
                  <c:v>2.9877571379859713</c:v>
                </c:pt>
                <c:pt idx="26">
                  <c:v>2.9877571379859713</c:v>
                </c:pt>
                <c:pt idx="27">
                  <c:v>2.9877571379859713</c:v>
                </c:pt>
                <c:pt idx="28">
                  <c:v>2.9877571379859713</c:v>
                </c:pt>
                <c:pt idx="29">
                  <c:v>2.9877571379859713</c:v>
                </c:pt>
                <c:pt idx="30">
                  <c:v>2.9877571379859713</c:v>
                </c:pt>
                <c:pt idx="31">
                  <c:v>2.9877571379859713</c:v>
                </c:pt>
                <c:pt idx="32">
                  <c:v>2.9877571379859713</c:v>
                </c:pt>
                <c:pt idx="33">
                  <c:v>2.9877571379859713</c:v>
                </c:pt>
                <c:pt idx="34">
                  <c:v>2.9877571379859713</c:v>
                </c:pt>
                <c:pt idx="35">
                  <c:v>2.9877571379859713</c:v>
                </c:pt>
                <c:pt idx="36">
                  <c:v>2.9877571379859713</c:v>
                </c:pt>
                <c:pt idx="37">
                  <c:v>2.9877571379859713</c:v>
                </c:pt>
                <c:pt idx="38">
                  <c:v>2.9877571379859713</c:v>
                </c:pt>
                <c:pt idx="39">
                  <c:v>2.9877571379859713</c:v>
                </c:pt>
                <c:pt idx="40">
                  <c:v>2.9877571379859713</c:v>
                </c:pt>
                <c:pt idx="41">
                  <c:v>2.9877571379859713</c:v>
                </c:pt>
                <c:pt idx="42">
                  <c:v>2.9877571379859713</c:v>
                </c:pt>
                <c:pt idx="43">
                  <c:v>2.9877571379859713</c:v>
                </c:pt>
                <c:pt idx="44">
                  <c:v>2.9877571379859713</c:v>
                </c:pt>
                <c:pt idx="45">
                  <c:v>2.9877571379859713</c:v>
                </c:pt>
                <c:pt idx="46">
                  <c:v>2.9877571379859713</c:v>
                </c:pt>
                <c:pt idx="47">
                  <c:v>2.9877571379859713</c:v>
                </c:pt>
                <c:pt idx="48">
                  <c:v>2.9877571379859713</c:v>
                </c:pt>
                <c:pt idx="49">
                  <c:v>2.9877571379859713</c:v>
                </c:pt>
                <c:pt idx="50">
                  <c:v>2.9877571379859713</c:v>
                </c:pt>
                <c:pt idx="51">
                  <c:v>2.9877571379859713</c:v>
                </c:pt>
                <c:pt idx="52">
                  <c:v>2.9877571379859713</c:v>
                </c:pt>
                <c:pt idx="53">
                  <c:v>2.9877571379859713</c:v>
                </c:pt>
                <c:pt idx="54">
                  <c:v>2.9877571379859713</c:v>
                </c:pt>
                <c:pt idx="55">
                  <c:v>2.9877571379859713</c:v>
                </c:pt>
                <c:pt idx="56">
                  <c:v>2.9877571379859713</c:v>
                </c:pt>
                <c:pt idx="57">
                  <c:v>2.9877571379859713</c:v>
                </c:pt>
                <c:pt idx="58">
                  <c:v>2.9877571379859713</c:v>
                </c:pt>
                <c:pt idx="59">
                  <c:v>2.9877571379859713</c:v>
                </c:pt>
                <c:pt idx="60">
                  <c:v>2.9877571379859713</c:v>
                </c:pt>
                <c:pt idx="61">
                  <c:v>2.9877571379859713</c:v>
                </c:pt>
                <c:pt idx="62">
                  <c:v>2.9877571379859713</c:v>
                </c:pt>
                <c:pt idx="63">
                  <c:v>2.9877571379859713</c:v>
                </c:pt>
                <c:pt idx="64">
                  <c:v>2.9877571379859713</c:v>
                </c:pt>
                <c:pt idx="65">
                  <c:v>2.9877571379859713</c:v>
                </c:pt>
                <c:pt idx="66">
                  <c:v>2.9877571379859713</c:v>
                </c:pt>
                <c:pt idx="67">
                  <c:v>2.9877571379859713</c:v>
                </c:pt>
                <c:pt idx="68">
                  <c:v>2.9877571379859713</c:v>
                </c:pt>
                <c:pt idx="69">
                  <c:v>2.9877571379859713</c:v>
                </c:pt>
                <c:pt idx="70">
                  <c:v>2.9877571379859713</c:v>
                </c:pt>
                <c:pt idx="71">
                  <c:v>2.9877571379859713</c:v>
                </c:pt>
                <c:pt idx="72">
                  <c:v>2.9877571379859713</c:v>
                </c:pt>
                <c:pt idx="73">
                  <c:v>2.9877571379859713</c:v>
                </c:pt>
                <c:pt idx="74">
                  <c:v>2.9877571379859713</c:v>
                </c:pt>
                <c:pt idx="75">
                  <c:v>2.9877571379859713</c:v>
                </c:pt>
                <c:pt idx="76">
                  <c:v>2.9877571379859713</c:v>
                </c:pt>
                <c:pt idx="77">
                  <c:v>2.9877571379859713</c:v>
                </c:pt>
                <c:pt idx="78">
                  <c:v>2.9877571379859713</c:v>
                </c:pt>
                <c:pt idx="79">
                  <c:v>2.9877571379859713</c:v>
                </c:pt>
                <c:pt idx="80">
                  <c:v>2.9877571379859713</c:v>
                </c:pt>
                <c:pt idx="81">
                  <c:v>2.9877571379859713</c:v>
                </c:pt>
                <c:pt idx="82">
                  <c:v>2.9877571379859713</c:v>
                </c:pt>
                <c:pt idx="83">
                  <c:v>2.9877571379859713</c:v>
                </c:pt>
                <c:pt idx="84">
                  <c:v>2.9877571379859713</c:v>
                </c:pt>
                <c:pt idx="85">
                  <c:v>2.9877571379859713</c:v>
                </c:pt>
                <c:pt idx="86">
                  <c:v>2.9877571379859713</c:v>
                </c:pt>
                <c:pt idx="87">
                  <c:v>2.9877571379859713</c:v>
                </c:pt>
                <c:pt idx="88">
                  <c:v>2.9877571379859713</c:v>
                </c:pt>
                <c:pt idx="89">
                  <c:v>2.9877571379859713</c:v>
                </c:pt>
                <c:pt idx="90">
                  <c:v>2.9877571379859713</c:v>
                </c:pt>
                <c:pt idx="91">
                  <c:v>2.9877571379859713</c:v>
                </c:pt>
                <c:pt idx="92">
                  <c:v>2.9877571379859713</c:v>
                </c:pt>
                <c:pt idx="93">
                  <c:v>2.9877571379859713</c:v>
                </c:pt>
                <c:pt idx="94">
                  <c:v>2.9877571379859713</c:v>
                </c:pt>
                <c:pt idx="95">
                  <c:v>2.9877571379859713</c:v>
                </c:pt>
                <c:pt idx="96">
                  <c:v>2.9877571379859713</c:v>
                </c:pt>
                <c:pt idx="97">
                  <c:v>2.9877571379859713</c:v>
                </c:pt>
                <c:pt idx="98">
                  <c:v>2.9877571379859713</c:v>
                </c:pt>
                <c:pt idx="99">
                  <c:v>2.9877571379859713</c:v>
                </c:pt>
                <c:pt idx="100">
                  <c:v>2.9877571379859713</c:v>
                </c:pt>
                <c:pt idx="101">
                  <c:v>2.9877571379859713</c:v>
                </c:pt>
                <c:pt idx="102">
                  <c:v>2.9877571379859713</c:v>
                </c:pt>
                <c:pt idx="103">
                  <c:v>2.9877571379859713</c:v>
                </c:pt>
                <c:pt idx="104">
                  <c:v>2.9877571379859713</c:v>
                </c:pt>
                <c:pt idx="105">
                  <c:v>2.9877571379859713</c:v>
                </c:pt>
                <c:pt idx="106">
                  <c:v>2.9877571379859713</c:v>
                </c:pt>
                <c:pt idx="107">
                  <c:v>2.9877571379859713</c:v>
                </c:pt>
                <c:pt idx="108">
                  <c:v>2.9877571379859713</c:v>
                </c:pt>
                <c:pt idx="109">
                  <c:v>2.9877571379859713</c:v>
                </c:pt>
                <c:pt idx="110">
                  <c:v>2.9877571379859713</c:v>
                </c:pt>
                <c:pt idx="111">
                  <c:v>2.9877571379859713</c:v>
                </c:pt>
                <c:pt idx="112">
                  <c:v>2.9877571379859713</c:v>
                </c:pt>
                <c:pt idx="113">
                  <c:v>2.9877571379859713</c:v>
                </c:pt>
                <c:pt idx="114">
                  <c:v>2.9877571379859713</c:v>
                </c:pt>
                <c:pt idx="115">
                  <c:v>2.9877571379859713</c:v>
                </c:pt>
                <c:pt idx="116">
                  <c:v>2.9877571379859713</c:v>
                </c:pt>
                <c:pt idx="117">
                  <c:v>2.9877571379859713</c:v>
                </c:pt>
                <c:pt idx="118">
                  <c:v>2.9877571379859713</c:v>
                </c:pt>
                <c:pt idx="119">
                  <c:v>2.9877571379859713</c:v>
                </c:pt>
                <c:pt idx="120">
                  <c:v>2.9877571379859713</c:v>
                </c:pt>
                <c:pt idx="121">
                  <c:v>2.9877571379859713</c:v>
                </c:pt>
                <c:pt idx="122">
                  <c:v>2.9877571379859713</c:v>
                </c:pt>
                <c:pt idx="123">
                  <c:v>2.9877571379859713</c:v>
                </c:pt>
                <c:pt idx="124">
                  <c:v>2.9877571379859713</c:v>
                </c:pt>
                <c:pt idx="125">
                  <c:v>2.9877571379859713</c:v>
                </c:pt>
                <c:pt idx="126">
                  <c:v>2.9877571379859713</c:v>
                </c:pt>
                <c:pt idx="127">
                  <c:v>2.9877571379859713</c:v>
                </c:pt>
                <c:pt idx="128">
                  <c:v>2.9877571379859713</c:v>
                </c:pt>
                <c:pt idx="129">
                  <c:v>2.9877571379859713</c:v>
                </c:pt>
                <c:pt idx="130">
                  <c:v>2.9877571379859713</c:v>
                </c:pt>
                <c:pt idx="131">
                  <c:v>2.9877571379859713</c:v>
                </c:pt>
                <c:pt idx="132">
                  <c:v>2.9877571379859713</c:v>
                </c:pt>
                <c:pt idx="133">
                  <c:v>2.9877571379859713</c:v>
                </c:pt>
                <c:pt idx="134">
                  <c:v>2.9877571379859713</c:v>
                </c:pt>
                <c:pt idx="135">
                  <c:v>2.9877571379859713</c:v>
                </c:pt>
                <c:pt idx="136">
                  <c:v>2.9877571379859713</c:v>
                </c:pt>
                <c:pt idx="137">
                  <c:v>2.9877571379859713</c:v>
                </c:pt>
                <c:pt idx="138">
                  <c:v>2.9877571379859713</c:v>
                </c:pt>
                <c:pt idx="139">
                  <c:v>2.9877571379859713</c:v>
                </c:pt>
                <c:pt idx="140">
                  <c:v>2.9877571379859713</c:v>
                </c:pt>
                <c:pt idx="141">
                  <c:v>2.9877571379859713</c:v>
                </c:pt>
                <c:pt idx="142">
                  <c:v>2.9877571379859713</c:v>
                </c:pt>
                <c:pt idx="143">
                  <c:v>2.9877571379859713</c:v>
                </c:pt>
                <c:pt idx="144">
                  <c:v>2.9877571379859713</c:v>
                </c:pt>
                <c:pt idx="145">
                  <c:v>2.9877571379859713</c:v>
                </c:pt>
                <c:pt idx="146">
                  <c:v>2.9877571379859713</c:v>
                </c:pt>
                <c:pt idx="147">
                  <c:v>2.9877571379859713</c:v>
                </c:pt>
                <c:pt idx="148">
                  <c:v>2.9877571379859713</c:v>
                </c:pt>
                <c:pt idx="149">
                  <c:v>2.9877571379859713</c:v>
                </c:pt>
                <c:pt idx="150">
                  <c:v>2.9877571379859713</c:v>
                </c:pt>
                <c:pt idx="151">
                  <c:v>2.9877571379859713</c:v>
                </c:pt>
                <c:pt idx="152">
                  <c:v>2.9877571379859713</c:v>
                </c:pt>
                <c:pt idx="153">
                  <c:v>2.9877571379859713</c:v>
                </c:pt>
                <c:pt idx="154">
                  <c:v>2.9877571379859713</c:v>
                </c:pt>
                <c:pt idx="155">
                  <c:v>2.9877571379859713</c:v>
                </c:pt>
                <c:pt idx="156">
                  <c:v>2.9877571379859713</c:v>
                </c:pt>
                <c:pt idx="157">
                  <c:v>2.9877571379859713</c:v>
                </c:pt>
                <c:pt idx="158">
                  <c:v>2.9877571379859713</c:v>
                </c:pt>
                <c:pt idx="159">
                  <c:v>2.9877571379859713</c:v>
                </c:pt>
                <c:pt idx="160">
                  <c:v>2.9877571379859713</c:v>
                </c:pt>
                <c:pt idx="161">
                  <c:v>2.9877571379859713</c:v>
                </c:pt>
                <c:pt idx="162">
                  <c:v>2.9877571379859713</c:v>
                </c:pt>
                <c:pt idx="163">
                  <c:v>2.9877571379859713</c:v>
                </c:pt>
                <c:pt idx="164">
                  <c:v>2.9877571379859713</c:v>
                </c:pt>
                <c:pt idx="165">
                  <c:v>2.9877571379859713</c:v>
                </c:pt>
                <c:pt idx="166">
                  <c:v>2.9877571379859713</c:v>
                </c:pt>
                <c:pt idx="167">
                  <c:v>2.9877571379859713</c:v>
                </c:pt>
                <c:pt idx="168">
                  <c:v>2.9877571379859713</c:v>
                </c:pt>
                <c:pt idx="169">
                  <c:v>2.9877571379859713</c:v>
                </c:pt>
                <c:pt idx="170">
                  <c:v>2.9877571379859713</c:v>
                </c:pt>
                <c:pt idx="171">
                  <c:v>2.9877571379859713</c:v>
                </c:pt>
                <c:pt idx="172">
                  <c:v>2.9877571379859713</c:v>
                </c:pt>
                <c:pt idx="173">
                  <c:v>2.9877571379859713</c:v>
                </c:pt>
                <c:pt idx="174">
                  <c:v>2.9877571379859713</c:v>
                </c:pt>
                <c:pt idx="175">
                  <c:v>2.9877571379859713</c:v>
                </c:pt>
                <c:pt idx="176">
                  <c:v>2.9877571379859713</c:v>
                </c:pt>
                <c:pt idx="177">
                  <c:v>2.9877571379859713</c:v>
                </c:pt>
                <c:pt idx="178">
                  <c:v>2.9877571379859713</c:v>
                </c:pt>
                <c:pt idx="179">
                  <c:v>2.9877571379859713</c:v>
                </c:pt>
                <c:pt idx="180">
                  <c:v>2.9877571379859713</c:v>
                </c:pt>
                <c:pt idx="181">
                  <c:v>2.9877571379859713</c:v>
                </c:pt>
                <c:pt idx="182">
                  <c:v>2.9877571379859713</c:v>
                </c:pt>
                <c:pt idx="183">
                  <c:v>2.9877571379859713</c:v>
                </c:pt>
                <c:pt idx="184">
                  <c:v>2.9877571379859713</c:v>
                </c:pt>
                <c:pt idx="185">
                  <c:v>2.9877571379859713</c:v>
                </c:pt>
                <c:pt idx="186">
                  <c:v>2.9877571379859713</c:v>
                </c:pt>
                <c:pt idx="187">
                  <c:v>2.9877571379859713</c:v>
                </c:pt>
                <c:pt idx="188">
                  <c:v>2.9877571379859713</c:v>
                </c:pt>
                <c:pt idx="189">
                  <c:v>2.9877571379859713</c:v>
                </c:pt>
                <c:pt idx="190">
                  <c:v>2.9877571379859713</c:v>
                </c:pt>
                <c:pt idx="191">
                  <c:v>2.9877571379859713</c:v>
                </c:pt>
                <c:pt idx="192">
                  <c:v>2.9877571379859713</c:v>
                </c:pt>
                <c:pt idx="193">
                  <c:v>2.9877571379859713</c:v>
                </c:pt>
                <c:pt idx="194">
                  <c:v>2.9877571379859713</c:v>
                </c:pt>
                <c:pt idx="195">
                  <c:v>2.9877571379859713</c:v>
                </c:pt>
                <c:pt idx="196">
                  <c:v>2.9877571379859713</c:v>
                </c:pt>
                <c:pt idx="197">
                  <c:v>2.9877571379859713</c:v>
                </c:pt>
                <c:pt idx="198">
                  <c:v>2.9877571379859713</c:v>
                </c:pt>
                <c:pt idx="199">
                  <c:v>2.9877571379859713</c:v>
                </c:pt>
                <c:pt idx="200">
                  <c:v>2.9877571379859713</c:v>
                </c:pt>
                <c:pt idx="201">
                  <c:v>2.9877571379859713</c:v>
                </c:pt>
                <c:pt idx="202">
                  <c:v>2.9877571379859713</c:v>
                </c:pt>
                <c:pt idx="203">
                  <c:v>2.9877571379859713</c:v>
                </c:pt>
                <c:pt idx="204">
                  <c:v>2.9877571379859713</c:v>
                </c:pt>
                <c:pt idx="205">
                  <c:v>2.9877571379859713</c:v>
                </c:pt>
                <c:pt idx="206">
                  <c:v>2.9877571379859713</c:v>
                </c:pt>
                <c:pt idx="207">
                  <c:v>2.9877571379859713</c:v>
                </c:pt>
                <c:pt idx="208">
                  <c:v>2.9877571379859713</c:v>
                </c:pt>
                <c:pt idx="209">
                  <c:v>2.9877571379859713</c:v>
                </c:pt>
                <c:pt idx="210">
                  <c:v>2.9877571379859713</c:v>
                </c:pt>
                <c:pt idx="211">
                  <c:v>2.9877571379859713</c:v>
                </c:pt>
                <c:pt idx="212">
                  <c:v>2.9877571379859713</c:v>
                </c:pt>
                <c:pt idx="213">
                  <c:v>2.9877571379859713</c:v>
                </c:pt>
                <c:pt idx="214">
                  <c:v>2.9877571379859713</c:v>
                </c:pt>
                <c:pt idx="215">
                  <c:v>2.9877571379859713</c:v>
                </c:pt>
                <c:pt idx="216">
                  <c:v>2.9877571379859713</c:v>
                </c:pt>
                <c:pt idx="217">
                  <c:v>2.9877571379859713</c:v>
                </c:pt>
                <c:pt idx="218">
                  <c:v>2.9877571379859713</c:v>
                </c:pt>
                <c:pt idx="219">
                  <c:v>2.9877571379859713</c:v>
                </c:pt>
                <c:pt idx="220">
                  <c:v>2.9877571379859713</c:v>
                </c:pt>
                <c:pt idx="221">
                  <c:v>2.9877571379859713</c:v>
                </c:pt>
                <c:pt idx="222">
                  <c:v>2.9877571379859713</c:v>
                </c:pt>
                <c:pt idx="223">
                  <c:v>2.9877571379859713</c:v>
                </c:pt>
                <c:pt idx="224">
                  <c:v>2.9877571379859713</c:v>
                </c:pt>
                <c:pt idx="225">
                  <c:v>2.9877571379859713</c:v>
                </c:pt>
                <c:pt idx="226">
                  <c:v>2.9877571379859713</c:v>
                </c:pt>
                <c:pt idx="227">
                  <c:v>2.9877571379859713</c:v>
                </c:pt>
                <c:pt idx="228">
                  <c:v>2.9877571379859713</c:v>
                </c:pt>
                <c:pt idx="229">
                  <c:v>2.9877571379859713</c:v>
                </c:pt>
                <c:pt idx="230">
                  <c:v>2.9877571379859713</c:v>
                </c:pt>
                <c:pt idx="231">
                  <c:v>2.9877571379859713</c:v>
                </c:pt>
                <c:pt idx="232">
                  <c:v>2.9877571379859713</c:v>
                </c:pt>
                <c:pt idx="233">
                  <c:v>2.9877571379859713</c:v>
                </c:pt>
                <c:pt idx="234">
                  <c:v>2.9877571379859713</c:v>
                </c:pt>
                <c:pt idx="235">
                  <c:v>2.9877571379859713</c:v>
                </c:pt>
                <c:pt idx="236">
                  <c:v>2.9877571379859713</c:v>
                </c:pt>
                <c:pt idx="237">
                  <c:v>2.9877571379859713</c:v>
                </c:pt>
                <c:pt idx="238">
                  <c:v>2.9877571379859713</c:v>
                </c:pt>
                <c:pt idx="239">
                  <c:v>2.9877571379859713</c:v>
                </c:pt>
                <c:pt idx="240">
                  <c:v>2.9877571379859713</c:v>
                </c:pt>
                <c:pt idx="241">
                  <c:v>2.9877571379859713</c:v>
                </c:pt>
                <c:pt idx="242">
                  <c:v>2.9877571379859713</c:v>
                </c:pt>
                <c:pt idx="243">
                  <c:v>2.9877571379859713</c:v>
                </c:pt>
                <c:pt idx="244">
                  <c:v>2.9877571379859713</c:v>
                </c:pt>
                <c:pt idx="245">
                  <c:v>2.9877571379859713</c:v>
                </c:pt>
                <c:pt idx="246">
                  <c:v>2.9877571379859713</c:v>
                </c:pt>
                <c:pt idx="247">
                  <c:v>2.9877571379859713</c:v>
                </c:pt>
                <c:pt idx="248">
                  <c:v>2.9877571379859713</c:v>
                </c:pt>
                <c:pt idx="249">
                  <c:v>2.9877571379859713</c:v>
                </c:pt>
                <c:pt idx="250">
                  <c:v>2.9877571379859713</c:v>
                </c:pt>
                <c:pt idx="251">
                  <c:v>2.9877571379859713</c:v>
                </c:pt>
                <c:pt idx="252">
                  <c:v>2.9877571379859713</c:v>
                </c:pt>
                <c:pt idx="253">
                  <c:v>2.9877571379859713</c:v>
                </c:pt>
                <c:pt idx="254">
                  <c:v>2.9877571379859713</c:v>
                </c:pt>
                <c:pt idx="255">
                  <c:v>2.9877571379859713</c:v>
                </c:pt>
                <c:pt idx="256">
                  <c:v>2.9877571379859713</c:v>
                </c:pt>
                <c:pt idx="257">
                  <c:v>2.9877571379859713</c:v>
                </c:pt>
                <c:pt idx="258">
                  <c:v>2.9877571379859713</c:v>
                </c:pt>
                <c:pt idx="259">
                  <c:v>2.9877571379859713</c:v>
                </c:pt>
                <c:pt idx="260">
                  <c:v>2.9877571379859713</c:v>
                </c:pt>
                <c:pt idx="261">
                  <c:v>2.9877571379859713</c:v>
                </c:pt>
                <c:pt idx="262">
                  <c:v>2.9877571379859713</c:v>
                </c:pt>
                <c:pt idx="263">
                  <c:v>2.9877571379859713</c:v>
                </c:pt>
                <c:pt idx="264">
                  <c:v>2.9877571379859713</c:v>
                </c:pt>
                <c:pt idx="265">
                  <c:v>2.9877571379859713</c:v>
                </c:pt>
                <c:pt idx="266">
                  <c:v>2.9877571379859713</c:v>
                </c:pt>
                <c:pt idx="267">
                  <c:v>2.9877571379859713</c:v>
                </c:pt>
                <c:pt idx="268">
                  <c:v>2.9877571379859713</c:v>
                </c:pt>
                <c:pt idx="269">
                  <c:v>2.9877571379859713</c:v>
                </c:pt>
                <c:pt idx="270">
                  <c:v>2.9877571379859713</c:v>
                </c:pt>
                <c:pt idx="271">
                  <c:v>2.9877571379859713</c:v>
                </c:pt>
                <c:pt idx="272">
                  <c:v>2.9877571379859713</c:v>
                </c:pt>
                <c:pt idx="273">
                  <c:v>2.9877571379859713</c:v>
                </c:pt>
                <c:pt idx="274">
                  <c:v>2.9877571379859713</c:v>
                </c:pt>
                <c:pt idx="275">
                  <c:v>2.9877571379859713</c:v>
                </c:pt>
                <c:pt idx="276">
                  <c:v>2.9877571379859713</c:v>
                </c:pt>
                <c:pt idx="277">
                  <c:v>2.9877571379859713</c:v>
                </c:pt>
                <c:pt idx="278">
                  <c:v>2.9877571379859713</c:v>
                </c:pt>
                <c:pt idx="279">
                  <c:v>2.9877571379859713</c:v>
                </c:pt>
                <c:pt idx="280">
                  <c:v>2.9877571379859713</c:v>
                </c:pt>
                <c:pt idx="281">
                  <c:v>2.9877571379859713</c:v>
                </c:pt>
                <c:pt idx="282">
                  <c:v>2.9877571379859713</c:v>
                </c:pt>
                <c:pt idx="283">
                  <c:v>2.9877571379859713</c:v>
                </c:pt>
                <c:pt idx="284">
                  <c:v>2.9877571379859713</c:v>
                </c:pt>
                <c:pt idx="285">
                  <c:v>2.9877571379859713</c:v>
                </c:pt>
                <c:pt idx="286">
                  <c:v>2.9877571379859713</c:v>
                </c:pt>
                <c:pt idx="287">
                  <c:v>2.9877571379859713</c:v>
                </c:pt>
                <c:pt idx="288">
                  <c:v>2.9877571379859713</c:v>
                </c:pt>
                <c:pt idx="289">
                  <c:v>2.9877571379859713</c:v>
                </c:pt>
                <c:pt idx="290">
                  <c:v>2.9877571379859713</c:v>
                </c:pt>
                <c:pt idx="291">
                  <c:v>2.9877571379859713</c:v>
                </c:pt>
                <c:pt idx="292">
                  <c:v>2.9877571379859713</c:v>
                </c:pt>
                <c:pt idx="293">
                  <c:v>2.9877571379859713</c:v>
                </c:pt>
                <c:pt idx="294">
                  <c:v>2.9877571379859713</c:v>
                </c:pt>
                <c:pt idx="295">
                  <c:v>2.9877571379859713</c:v>
                </c:pt>
                <c:pt idx="296">
                  <c:v>2.9877571379859713</c:v>
                </c:pt>
                <c:pt idx="297">
                  <c:v>2.9877571379859713</c:v>
                </c:pt>
                <c:pt idx="298">
                  <c:v>2.9877571379859713</c:v>
                </c:pt>
                <c:pt idx="299">
                  <c:v>2.9877571379859713</c:v>
                </c:pt>
                <c:pt idx="300">
                  <c:v>2.9877571379859713</c:v>
                </c:pt>
                <c:pt idx="301">
                  <c:v>2.9877571379859713</c:v>
                </c:pt>
                <c:pt idx="302">
                  <c:v>2.9877571379859713</c:v>
                </c:pt>
                <c:pt idx="303">
                  <c:v>2.9877571379859713</c:v>
                </c:pt>
                <c:pt idx="304">
                  <c:v>2.9877571379859713</c:v>
                </c:pt>
                <c:pt idx="305">
                  <c:v>2.9877571379859713</c:v>
                </c:pt>
                <c:pt idx="306">
                  <c:v>2.9877571379859713</c:v>
                </c:pt>
                <c:pt idx="307">
                  <c:v>2.9877571379859713</c:v>
                </c:pt>
                <c:pt idx="308">
                  <c:v>2.9877571379859713</c:v>
                </c:pt>
                <c:pt idx="309">
                  <c:v>2.9877571379859713</c:v>
                </c:pt>
                <c:pt idx="310">
                  <c:v>2.9877571379859713</c:v>
                </c:pt>
                <c:pt idx="311">
                  <c:v>2.9877571379859713</c:v>
                </c:pt>
                <c:pt idx="312">
                  <c:v>2.9877571379859713</c:v>
                </c:pt>
                <c:pt idx="313">
                  <c:v>2.9877571379859713</c:v>
                </c:pt>
                <c:pt idx="314">
                  <c:v>2.9877571379859713</c:v>
                </c:pt>
                <c:pt idx="315">
                  <c:v>2.9877571379859713</c:v>
                </c:pt>
                <c:pt idx="316">
                  <c:v>2.9877571379859713</c:v>
                </c:pt>
                <c:pt idx="317">
                  <c:v>2.9877571379859713</c:v>
                </c:pt>
                <c:pt idx="318">
                  <c:v>2.9877571379859713</c:v>
                </c:pt>
                <c:pt idx="319">
                  <c:v>2.9877571379859713</c:v>
                </c:pt>
                <c:pt idx="320">
                  <c:v>2.9877571379859713</c:v>
                </c:pt>
                <c:pt idx="321">
                  <c:v>2.9877571379859713</c:v>
                </c:pt>
                <c:pt idx="322">
                  <c:v>2.9877571379859713</c:v>
                </c:pt>
                <c:pt idx="323">
                  <c:v>2.9877571379859713</c:v>
                </c:pt>
                <c:pt idx="324">
                  <c:v>2.9877571379859713</c:v>
                </c:pt>
                <c:pt idx="325">
                  <c:v>2.9877571379859713</c:v>
                </c:pt>
                <c:pt idx="326">
                  <c:v>2.9877571379859713</c:v>
                </c:pt>
                <c:pt idx="327">
                  <c:v>2.9877571379859713</c:v>
                </c:pt>
                <c:pt idx="328">
                  <c:v>2.9877571379859713</c:v>
                </c:pt>
                <c:pt idx="329">
                  <c:v>2.9877571379859713</c:v>
                </c:pt>
                <c:pt idx="330">
                  <c:v>2.9877571379859713</c:v>
                </c:pt>
                <c:pt idx="331">
                  <c:v>2.9877571379859713</c:v>
                </c:pt>
                <c:pt idx="332">
                  <c:v>2.9877571379859713</c:v>
                </c:pt>
                <c:pt idx="333">
                  <c:v>2.9877571379859713</c:v>
                </c:pt>
                <c:pt idx="334">
                  <c:v>2.9877571379859713</c:v>
                </c:pt>
                <c:pt idx="335">
                  <c:v>2.9877571379859713</c:v>
                </c:pt>
                <c:pt idx="336">
                  <c:v>2.9877571379859713</c:v>
                </c:pt>
                <c:pt idx="337">
                  <c:v>2.9877571379859713</c:v>
                </c:pt>
                <c:pt idx="338">
                  <c:v>2.9877571379859713</c:v>
                </c:pt>
                <c:pt idx="339">
                  <c:v>2.9877571379859713</c:v>
                </c:pt>
                <c:pt idx="340">
                  <c:v>2.9877571379859713</c:v>
                </c:pt>
                <c:pt idx="341">
                  <c:v>2.9877571379859713</c:v>
                </c:pt>
                <c:pt idx="342">
                  <c:v>2.9877571379859713</c:v>
                </c:pt>
                <c:pt idx="343">
                  <c:v>2.9877571379859713</c:v>
                </c:pt>
                <c:pt idx="344">
                  <c:v>2.9877571379859713</c:v>
                </c:pt>
                <c:pt idx="345">
                  <c:v>2.9877571379859713</c:v>
                </c:pt>
                <c:pt idx="346">
                  <c:v>2.9877571379859713</c:v>
                </c:pt>
                <c:pt idx="347">
                  <c:v>2.9877571379859713</c:v>
                </c:pt>
                <c:pt idx="348">
                  <c:v>2.9877571379859713</c:v>
                </c:pt>
                <c:pt idx="349">
                  <c:v>2.9877571379859713</c:v>
                </c:pt>
                <c:pt idx="350">
                  <c:v>2.9877571379859713</c:v>
                </c:pt>
                <c:pt idx="351">
                  <c:v>2.9877571379859713</c:v>
                </c:pt>
                <c:pt idx="352">
                  <c:v>2.9877571379859713</c:v>
                </c:pt>
                <c:pt idx="353">
                  <c:v>2.9877571379859713</c:v>
                </c:pt>
                <c:pt idx="354">
                  <c:v>2.9877571379859713</c:v>
                </c:pt>
                <c:pt idx="355">
                  <c:v>2.9877571379859713</c:v>
                </c:pt>
                <c:pt idx="356">
                  <c:v>2.9877571379859713</c:v>
                </c:pt>
                <c:pt idx="357">
                  <c:v>2.9877571379859713</c:v>
                </c:pt>
                <c:pt idx="358">
                  <c:v>2.9877571379859713</c:v>
                </c:pt>
                <c:pt idx="359">
                  <c:v>2.9877571379859713</c:v>
                </c:pt>
                <c:pt idx="360">
                  <c:v>2.9877571379859713</c:v>
                </c:pt>
                <c:pt idx="361">
                  <c:v>2.9877571379859713</c:v>
                </c:pt>
                <c:pt idx="362">
                  <c:v>2.9877571379859713</c:v>
                </c:pt>
                <c:pt idx="363">
                  <c:v>2.9877571379859713</c:v>
                </c:pt>
                <c:pt idx="364">
                  <c:v>2.9877571379859713</c:v>
                </c:pt>
                <c:pt idx="365">
                  <c:v>2.9877571379859713</c:v>
                </c:pt>
                <c:pt idx="366">
                  <c:v>2.9877571379859713</c:v>
                </c:pt>
                <c:pt idx="367">
                  <c:v>2.9877571379859713</c:v>
                </c:pt>
                <c:pt idx="368">
                  <c:v>2.9877571379859713</c:v>
                </c:pt>
                <c:pt idx="369">
                  <c:v>2.9877571379859713</c:v>
                </c:pt>
                <c:pt idx="370">
                  <c:v>2.9877571379859713</c:v>
                </c:pt>
                <c:pt idx="371">
                  <c:v>2.9877571379859713</c:v>
                </c:pt>
                <c:pt idx="372">
                  <c:v>2.9877571379859713</c:v>
                </c:pt>
                <c:pt idx="373">
                  <c:v>2.9877571379859713</c:v>
                </c:pt>
                <c:pt idx="374">
                  <c:v>2.9877571379859713</c:v>
                </c:pt>
                <c:pt idx="375">
                  <c:v>2.9877571379859713</c:v>
                </c:pt>
                <c:pt idx="376">
                  <c:v>2.9877571379859713</c:v>
                </c:pt>
                <c:pt idx="377">
                  <c:v>2.9877571379859713</c:v>
                </c:pt>
                <c:pt idx="378">
                  <c:v>2.9877571379859713</c:v>
                </c:pt>
                <c:pt idx="379">
                  <c:v>2.9877571379859713</c:v>
                </c:pt>
                <c:pt idx="380">
                  <c:v>2.9877571379859713</c:v>
                </c:pt>
                <c:pt idx="381">
                  <c:v>2.9877571379859713</c:v>
                </c:pt>
                <c:pt idx="382">
                  <c:v>2.9877571379859713</c:v>
                </c:pt>
                <c:pt idx="383">
                  <c:v>2.9877571379859713</c:v>
                </c:pt>
                <c:pt idx="384">
                  <c:v>2.9877571379859713</c:v>
                </c:pt>
                <c:pt idx="385">
                  <c:v>2.9877571379859713</c:v>
                </c:pt>
                <c:pt idx="386">
                  <c:v>2.9877571379859713</c:v>
                </c:pt>
                <c:pt idx="387">
                  <c:v>2.9877571379859713</c:v>
                </c:pt>
                <c:pt idx="388">
                  <c:v>2.9877571379859713</c:v>
                </c:pt>
                <c:pt idx="389">
                  <c:v>2.9877571379859713</c:v>
                </c:pt>
                <c:pt idx="390">
                  <c:v>2.9877571379859713</c:v>
                </c:pt>
                <c:pt idx="391">
                  <c:v>2.9877571379859713</c:v>
                </c:pt>
                <c:pt idx="392">
                  <c:v>2.9877571379859713</c:v>
                </c:pt>
                <c:pt idx="393">
                  <c:v>2.9877571379859713</c:v>
                </c:pt>
                <c:pt idx="394">
                  <c:v>2.9877571379859713</c:v>
                </c:pt>
                <c:pt idx="395">
                  <c:v>2.9877571379859713</c:v>
                </c:pt>
                <c:pt idx="396">
                  <c:v>2.9877571379859713</c:v>
                </c:pt>
                <c:pt idx="397">
                  <c:v>2.9877571379859713</c:v>
                </c:pt>
                <c:pt idx="398">
                  <c:v>2.9877571379859713</c:v>
                </c:pt>
                <c:pt idx="399">
                  <c:v>2.9877571379859713</c:v>
                </c:pt>
                <c:pt idx="400">
                  <c:v>2.9877571379859713</c:v>
                </c:pt>
                <c:pt idx="401">
                  <c:v>2.9877571379859713</c:v>
                </c:pt>
                <c:pt idx="402">
                  <c:v>2.9877571379859713</c:v>
                </c:pt>
                <c:pt idx="403">
                  <c:v>2.9877571379859713</c:v>
                </c:pt>
                <c:pt idx="404">
                  <c:v>2.9877571379859713</c:v>
                </c:pt>
                <c:pt idx="405">
                  <c:v>2.9877571379859713</c:v>
                </c:pt>
                <c:pt idx="406">
                  <c:v>2.9877571379859713</c:v>
                </c:pt>
                <c:pt idx="407">
                  <c:v>2.9877571379859713</c:v>
                </c:pt>
                <c:pt idx="408">
                  <c:v>2.9877571379859713</c:v>
                </c:pt>
                <c:pt idx="409">
                  <c:v>2.9877571379859713</c:v>
                </c:pt>
                <c:pt idx="410">
                  <c:v>2.9877571379859713</c:v>
                </c:pt>
                <c:pt idx="411">
                  <c:v>2.9877571379859713</c:v>
                </c:pt>
                <c:pt idx="412">
                  <c:v>2.9877571379859713</c:v>
                </c:pt>
                <c:pt idx="413">
                  <c:v>2.9877571379859713</c:v>
                </c:pt>
                <c:pt idx="414">
                  <c:v>2.9877571379859713</c:v>
                </c:pt>
                <c:pt idx="415">
                  <c:v>2.9877571379859713</c:v>
                </c:pt>
                <c:pt idx="416">
                  <c:v>2.9877571379859713</c:v>
                </c:pt>
                <c:pt idx="417">
                  <c:v>2.9877571379859713</c:v>
                </c:pt>
                <c:pt idx="418">
                  <c:v>2.9877571379859713</c:v>
                </c:pt>
                <c:pt idx="419">
                  <c:v>2.9877571379859713</c:v>
                </c:pt>
                <c:pt idx="420">
                  <c:v>2.9877571379859713</c:v>
                </c:pt>
                <c:pt idx="421">
                  <c:v>2.9877571379859713</c:v>
                </c:pt>
                <c:pt idx="422">
                  <c:v>2.9877571379859713</c:v>
                </c:pt>
                <c:pt idx="423">
                  <c:v>2.9877571379859713</c:v>
                </c:pt>
                <c:pt idx="424">
                  <c:v>2.9877571379859713</c:v>
                </c:pt>
                <c:pt idx="425">
                  <c:v>2.9877571379859713</c:v>
                </c:pt>
                <c:pt idx="426">
                  <c:v>2.9877571379859713</c:v>
                </c:pt>
                <c:pt idx="427">
                  <c:v>2.9877571379859713</c:v>
                </c:pt>
                <c:pt idx="428">
                  <c:v>2.9877571379859713</c:v>
                </c:pt>
                <c:pt idx="429">
                  <c:v>2.9877571379859713</c:v>
                </c:pt>
                <c:pt idx="430">
                  <c:v>2.9877571379859713</c:v>
                </c:pt>
                <c:pt idx="431">
                  <c:v>2.9877571379859713</c:v>
                </c:pt>
                <c:pt idx="432">
                  <c:v>2.9877571379859713</c:v>
                </c:pt>
                <c:pt idx="433">
                  <c:v>2.9877571379859713</c:v>
                </c:pt>
                <c:pt idx="434">
                  <c:v>2.9877571379859713</c:v>
                </c:pt>
                <c:pt idx="435">
                  <c:v>2.9877571379859713</c:v>
                </c:pt>
                <c:pt idx="436">
                  <c:v>2.9877571379859713</c:v>
                </c:pt>
                <c:pt idx="437">
                  <c:v>2.9877571379859713</c:v>
                </c:pt>
                <c:pt idx="438">
                  <c:v>2.9877571379859713</c:v>
                </c:pt>
                <c:pt idx="439">
                  <c:v>2.9877571379859713</c:v>
                </c:pt>
                <c:pt idx="440">
                  <c:v>2.9877571379859713</c:v>
                </c:pt>
                <c:pt idx="441">
                  <c:v>2.9877571379859713</c:v>
                </c:pt>
                <c:pt idx="442">
                  <c:v>2.9877571379859713</c:v>
                </c:pt>
                <c:pt idx="443">
                  <c:v>2.9877571379859713</c:v>
                </c:pt>
                <c:pt idx="444">
                  <c:v>2.9877571379859713</c:v>
                </c:pt>
                <c:pt idx="445">
                  <c:v>2.9877571379859713</c:v>
                </c:pt>
                <c:pt idx="446">
                  <c:v>2.9877571379859713</c:v>
                </c:pt>
                <c:pt idx="447">
                  <c:v>2.9877571379859713</c:v>
                </c:pt>
                <c:pt idx="448">
                  <c:v>2.9877571379859713</c:v>
                </c:pt>
                <c:pt idx="449">
                  <c:v>2.9877571379859713</c:v>
                </c:pt>
                <c:pt idx="450">
                  <c:v>2.9877571379859713</c:v>
                </c:pt>
                <c:pt idx="451">
                  <c:v>2.9877571379859713</c:v>
                </c:pt>
                <c:pt idx="452">
                  <c:v>2.9877571379859713</c:v>
                </c:pt>
                <c:pt idx="453">
                  <c:v>2.9877571379859713</c:v>
                </c:pt>
                <c:pt idx="454">
                  <c:v>2.9877571379859713</c:v>
                </c:pt>
                <c:pt idx="455">
                  <c:v>2.9877571379859713</c:v>
                </c:pt>
                <c:pt idx="456">
                  <c:v>2.9877571379859713</c:v>
                </c:pt>
                <c:pt idx="457">
                  <c:v>2.9877571379859713</c:v>
                </c:pt>
                <c:pt idx="458">
                  <c:v>2.9877571379859713</c:v>
                </c:pt>
                <c:pt idx="459">
                  <c:v>2.9877571379859713</c:v>
                </c:pt>
                <c:pt idx="460">
                  <c:v>2.9877571379859713</c:v>
                </c:pt>
                <c:pt idx="461">
                  <c:v>2.9877571379859713</c:v>
                </c:pt>
                <c:pt idx="462">
                  <c:v>2.9877571379859713</c:v>
                </c:pt>
                <c:pt idx="463">
                  <c:v>2.9877571379859713</c:v>
                </c:pt>
                <c:pt idx="464">
                  <c:v>2.9877571379859713</c:v>
                </c:pt>
                <c:pt idx="465">
                  <c:v>2.9877571379859713</c:v>
                </c:pt>
                <c:pt idx="466">
                  <c:v>2.9877571379859713</c:v>
                </c:pt>
                <c:pt idx="467">
                  <c:v>2.9877571379859713</c:v>
                </c:pt>
                <c:pt idx="468">
                  <c:v>2.9877571379859713</c:v>
                </c:pt>
                <c:pt idx="469">
                  <c:v>2.9877571379859713</c:v>
                </c:pt>
                <c:pt idx="470">
                  <c:v>2.9877571379859713</c:v>
                </c:pt>
                <c:pt idx="471">
                  <c:v>2.9877571379859713</c:v>
                </c:pt>
                <c:pt idx="472">
                  <c:v>2.9877571379859713</c:v>
                </c:pt>
                <c:pt idx="473">
                  <c:v>2.9877571379859713</c:v>
                </c:pt>
                <c:pt idx="474">
                  <c:v>2.9877571379859713</c:v>
                </c:pt>
                <c:pt idx="475">
                  <c:v>2.9877571379859713</c:v>
                </c:pt>
                <c:pt idx="476">
                  <c:v>2.9877571379859713</c:v>
                </c:pt>
                <c:pt idx="477">
                  <c:v>2.9877571379859713</c:v>
                </c:pt>
                <c:pt idx="478">
                  <c:v>2.9877571379859713</c:v>
                </c:pt>
                <c:pt idx="479">
                  <c:v>2.9877571379859713</c:v>
                </c:pt>
                <c:pt idx="480">
                  <c:v>2.9877571379859713</c:v>
                </c:pt>
                <c:pt idx="481">
                  <c:v>2.9877571379859713</c:v>
                </c:pt>
                <c:pt idx="482">
                  <c:v>2.9877571379859713</c:v>
                </c:pt>
                <c:pt idx="483">
                  <c:v>2.9877571379859713</c:v>
                </c:pt>
                <c:pt idx="484">
                  <c:v>2.9877571379859713</c:v>
                </c:pt>
                <c:pt idx="485">
                  <c:v>2.9877571379859713</c:v>
                </c:pt>
                <c:pt idx="486">
                  <c:v>2.9877571379859713</c:v>
                </c:pt>
                <c:pt idx="487">
                  <c:v>2.9877571379859713</c:v>
                </c:pt>
                <c:pt idx="488">
                  <c:v>2.9877571379859713</c:v>
                </c:pt>
                <c:pt idx="489">
                  <c:v>2.9877571379859713</c:v>
                </c:pt>
                <c:pt idx="490">
                  <c:v>2.9877571379859713</c:v>
                </c:pt>
                <c:pt idx="491">
                  <c:v>2.9877571379859713</c:v>
                </c:pt>
                <c:pt idx="492">
                  <c:v>2.9877571379859713</c:v>
                </c:pt>
                <c:pt idx="493">
                  <c:v>2.9877571379859713</c:v>
                </c:pt>
                <c:pt idx="494">
                  <c:v>2.9877571379859713</c:v>
                </c:pt>
                <c:pt idx="495">
                  <c:v>2.9877571379859713</c:v>
                </c:pt>
                <c:pt idx="496">
                  <c:v>2.9877571379859713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04-4920-A7E1-4D8EBD195630}"/>
            </c:ext>
          </c:extLst>
        </c:ser>
        <c:ser>
          <c:idx val="2"/>
          <c:order val="1"/>
          <c:tx>
            <c:strRef>
              <c:f>'FX Data'!$M$956</c:f>
              <c:strCache>
                <c:ptCount val="1"/>
                <c:pt idx="0">
                  <c:v>=-1sd</c:v>
                </c:pt>
              </c:strCache>
            </c:strRef>
          </c:tx>
          <c:spPr>
            <a:ln w="12700" cap="rnd">
              <a:solidFill>
                <a:srgbClr val="F79646">
                  <a:lumMod val="60000"/>
                  <a:lumOff val="40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'FX Data'!$B$957:$B$1448</c:f>
              <c:numCache>
                <c:formatCode>m/d/yyyy</c:formatCode>
                <c:ptCount val="492"/>
                <c:pt idx="0">
                  <c:v>44263</c:v>
                </c:pt>
                <c:pt idx="1">
                  <c:v>44264</c:v>
                </c:pt>
                <c:pt idx="2">
                  <c:v>44265</c:v>
                </c:pt>
                <c:pt idx="3">
                  <c:v>44266</c:v>
                </c:pt>
                <c:pt idx="4">
                  <c:v>44267</c:v>
                </c:pt>
                <c:pt idx="5">
                  <c:v>44270</c:v>
                </c:pt>
                <c:pt idx="6">
                  <c:v>44271</c:v>
                </c:pt>
                <c:pt idx="7">
                  <c:v>44272</c:v>
                </c:pt>
                <c:pt idx="8">
                  <c:v>44273</c:v>
                </c:pt>
                <c:pt idx="9">
                  <c:v>44274</c:v>
                </c:pt>
                <c:pt idx="10">
                  <c:v>44277</c:v>
                </c:pt>
                <c:pt idx="11">
                  <c:v>44278</c:v>
                </c:pt>
                <c:pt idx="12">
                  <c:v>44279</c:v>
                </c:pt>
                <c:pt idx="13">
                  <c:v>44280</c:v>
                </c:pt>
                <c:pt idx="14">
                  <c:v>44281</c:v>
                </c:pt>
                <c:pt idx="15">
                  <c:v>44284</c:v>
                </c:pt>
                <c:pt idx="16">
                  <c:v>44285</c:v>
                </c:pt>
                <c:pt idx="17">
                  <c:v>44286</c:v>
                </c:pt>
                <c:pt idx="18">
                  <c:v>44287</c:v>
                </c:pt>
                <c:pt idx="19">
                  <c:v>44288</c:v>
                </c:pt>
                <c:pt idx="20">
                  <c:v>44291</c:v>
                </c:pt>
                <c:pt idx="21">
                  <c:v>44292</c:v>
                </c:pt>
                <c:pt idx="22">
                  <c:v>44293</c:v>
                </c:pt>
                <c:pt idx="23">
                  <c:v>44294</c:v>
                </c:pt>
                <c:pt idx="24">
                  <c:v>44295</c:v>
                </c:pt>
                <c:pt idx="25">
                  <c:v>44298</c:v>
                </c:pt>
                <c:pt idx="26">
                  <c:v>44299</c:v>
                </c:pt>
                <c:pt idx="27">
                  <c:v>44300</c:v>
                </c:pt>
                <c:pt idx="28">
                  <c:v>44301</c:v>
                </c:pt>
                <c:pt idx="29">
                  <c:v>44302</c:v>
                </c:pt>
                <c:pt idx="30">
                  <c:v>44305</c:v>
                </c:pt>
                <c:pt idx="31">
                  <c:v>44306</c:v>
                </c:pt>
                <c:pt idx="32">
                  <c:v>44308</c:v>
                </c:pt>
                <c:pt idx="33">
                  <c:v>44309</c:v>
                </c:pt>
                <c:pt idx="34">
                  <c:v>44312</c:v>
                </c:pt>
                <c:pt idx="35">
                  <c:v>44313</c:v>
                </c:pt>
                <c:pt idx="36">
                  <c:v>44314</c:v>
                </c:pt>
                <c:pt idx="37">
                  <c:v>44315</c:v>
                </c:pt>
                <c:pt idx="38">
                  <c:v>44320</c:v>
                </c:pt>
                <c:pt idx="39">
                  <c:v>44321</c:v>
                </c:pt>
                <c:pt idx="40">
                  <c:v>44322</c:v>
                </c:pt>
                <c:pt idx="41">
                  <c:v>44323</c:v>
                </c:pt>
                <c:pt idx="42">
                  <c:v>44326</c:v>
                </c:pt>
                <c:pt idx="43">
                  <c:v>44327</c:v>
                </c:pt>
                <c:pt idx="44">
                  <c:v>44328</c:v>
                </c:pt>
                <c:pt idx="45">
                  <c:v>44329</c:v>
                </c:pt>
                <c:pt idx="46">
                  <c:v>44330</c:v>
                </c:pt>
                <c:pt idx="47">
                  <c:v>44333</c:v>
                </c:pt>
                <c:pt idx="48">
                  <c:v>44334</c:v>
                </c:pt>
                <c:pt idx="49">
                  <c:v>44335</c:v>
                </c:pt>
                <c:pt idx="50">
                  <c:v>44336</c:v>
                </c:pt>
                <c:pt idx="51">
                  <c:v>44337</c:v>
                </c:pt>
                <c:pt idx="52">
                  <c:v>44340</c:v>
                </c:pt>
                <c:pt idx="53">
                  <c:v>44341</c:v>
                </c:pt>
                <c:pt idx="54">
                  <c:v>44342</c:v>
                </c:pt>
                <c:pt idx="55">
                  <c:v>44343</c:v>
                </c:pt>
                <c:pt idx="56">
                  <c:v>44344</c:v>
                </c:pt>
                <c:pt idx="57">
                  <c:v>44347</c:v>
                </c:pt>
                <c:pt idx="58">
                  <c:v>44348</c:v>
                </c:pt>
                <c:pt idx="59">
                  <c:v>44349</c:v>
                </c:pt>
                <c:pt idx="60">
                  <c:v>44350</c:v>
                </c:pt>
                <c:pt idx="61">
                  <c:v>44351</c:v>
                </c:pt>
                <c:pt idx="62">
                  <c:v>44354</c:v>
                </c:pt>
                <c:pt idx="63">
                  <c:v>44355</c:v>
                </c:pt>
                <c:pt idx="64">
                  <c:v>44356</c:v>
                </c:pt>
                <c:pt idx="65">
                  <c:v>44357</c:v>
                </c:pt>
                <c:pt idx="66">
                  <c:v>44358</c:v>
                </c:pt>
                <c:pt idx="67">
                  <c:v>44361</c:v>
                </c:pt>
                <c:pt idx="68">
                  <c:v>44362</c:v>
                </c:pt>
                <c:pt idx="69">
                  <c:v>44363</c:v>
                </c:pt>
                <c:pt idx="70">
                  <c:v>44364</c:v>
                </c:pt>
                <c:pt idx="71">
                  <c:v>44365</c:v>
                </c:pt>
                <c:pt idx="72">
                  <c:v>44368</c:v>
                </c:pt>
                <c:pt idx="73">
                  <c:v>44369</c:v>
                </c:pt>
                <c:pt idx="74">
                  <c:v>44370</c:v>
                </c:pt>
                <c:pt idx="75">
                  <c:v>44371</c:v>
                </c:pt>
                <c:pt idx="76">
                  <c:v>44372</c:v>
                </c:pt>
                <c:pt idx="77">
                  <c:v>44375</c:v>
                </c:pt>
                <c:pt idx="78">
                  <c:v>44376</c:v>
                </c:pt>
                <c:pt idx="79">
                  <c:v>44377</c:v>
                </c:pt>
                <c:pt idx="80">
                  <c:v>44378</c:v>
                </c:pt>
                <c:pt idx="81">
                  <c:v>44379</c:v>
                </c:pt>
                <c:pt idx="82">
                  <c:v>44382</c:v>
                </c:pt>
                <c:pt idx="83">
                  <c:v>44383</c:v>
                </c:pt>
                <c:pt idx="84">
                  <c:v>44384</c:v>
                </c:pt>
                <c:pt idx="85">
                  <c:v>44385</c:v>
                </c:pt>
                <c:pt idx="86">
                  <c:v>44386</c:v>
                </c:pt>
                <c:pt idx="87">
                  <c:v>44389</c:v>
                </c:pt>
                <c:pt idx="88">
                  <c:v>44390</c:v>
                </c:pt>
                <c:pt idx="89">
                  <c:v>44391</c:v>
                </c:pt>
                <c:pt idx="90">
                  <c:v>44392</c:v>
                </c:pt>
                <c:pt idx="91">
                  <c:v>44393</c:v>
                </c:pt>
                <c:pt idx="92">
                  <c:v>44396</c:v>
                </c:pt>
                <c:pt idx="93">
                  <c:v>44397</c:v>
                </c:pt>
                <c:pt idx="94">
                  <c:v>44398</c:v>
                </c:pt>
                <c:pt idx="95">
                  <c:v>44399</c:v>
                </c:pt>
                <c:pt idx="96">
                  <c:v>44400</c:v>
                </c:pt>
                <c:pt idx="97">
                  <c:v>44403</c:v>
                </c:pt>
                <c:pt idx="98">
                  <c:v>44404</c:v>
                </c:pt>
                <c:pt idx="99">
                  <c:v>44405</c:v>
                </c:pt>
                <c:pt idx="100">
                  <c:v>44406</c:v>
                </c:pt>
                <c:pt idx="101">
                  <c:v>44407</c:v>
                </c:pt>
                <c:pt idx="102">
                  <c:v>44410</c:v>
                </c:pt>
                <c:pt idx="103">
                  <c:v>44411</c:v>
                </c:pt>
                <c:pt idx="104">
                  <c:v>44412</c:v>
                </c:pt>
                <c:pt idx="105">
                  <c:v>44413</c:v>
                </c:pt>
                <c:pt idx="106">
                  <c:v>44414</c:v>
                </c:pt>
                <c:pt idx="107">
                  <c:v>44417</c:v>
                </c:pt>
                <c:pt idx="108">
                  <c:v>44418</c:v>
                </c:pt>
                <c:pt idx="109">
                  <c:v>44419</c:v>
                </c:pt>
                <c:pt idx="110">
                  <c:v>44420</c:v>
                </c:pt>
                <c:pt idx="111">
                  <c:v>44421</c:v>
                </c:pt>
                <c:pt idx="112">
                  <c:v>44424</c:v>
                </c:pt>
                <c:pt idx="113">
                  <c:v>44425</c:v>
                </c:pt>
                <c:pt idx="114">
                  <c:v>44426</c:v>
                </c:pt>
                <c:pt idx="115">
                  <c:v>44427</c:v>
                </c:pt>
                <c:pt idx="116">
                  <c:v>44428</c:v>
                </c:pt>
                <c:pt idx="117">
                  <c:v>44431</c:v>
                </c:pt>
                <c:pt idx="118">
                  <c:v>44432</c:v>
                </c:pt>
                <c:pt idx="119">
                  <c:v>44433</c:v>
                </c:pt>
                <c:pt idx="120">
                  <c:v>44434</c:v>
                </c:pt>
                <c:pt idx="121">
                  <c:v>44435</c:v>
                </c:pt>
                <c:pt idx="122">
                  <c:v>44438</c:v>
                </c:pt>
                <c:pt idx="123">
                  <c:v>44439</c:v>
                </c:pt>
                <c:pt idx="124">
                  <c:v>44440</c:v>
                </c:pt>
                <c:pt idx="125">
                  <c:v>44445</c:v>
                </c:pt>
                <c:pt idx="126">
                  <c:v>44446</c:v>
                </c:pt>
                <c:pt idx="127">
                  <c:v>44447</c:v>
                </c:pt>
                <c:pt idx="128">
                  <c:v>44448</c:v>
                </c:pt>
                <c:pt idx="129">
                  <c:v>44449</c:v>
                </c:pt>
                <c:pt idx="130">
                  <c:v>44452</c:v>
                </c:pt>
                <c:pt idx="131">
                  <c:v>44453</c:v>
                </c:pt>
                <c:pt idx="132">
                  <c:v>44454</c:v>
                </c:pt>
                <c:pt idx="133">
                  <c:v>44455</c:v>
                </c:pt>
                <c:pt idx="134">
                  <c:v>44456</c:v>
                </c:pt>
                <c:pt idx="135">
                  <c:v>44459</c:v>
                </c:pt>
                <c:pt idx="136">
                  <c:v>44460</c:v>
                </c:pt>
                <c:pt idx="137">
                  <c:v>44461</c:v>
                </c:pt>
                <c:pt idx="138">
                  <c:v>44462</c:v>
                </c:pt>
                <c:pt idx="139">
                  <c:v>44463</c:v>
                </c:pt>
                <c:pt idx="140">
                  <c:v>44466</c:v>
                </c:pt>
                <c:pt idx="141">
                  <c:v>44467</c:v>
                </c:pt>
                <c:pt idx="142">
                  <c:v>44468</c:v>
                </c:pt>
                <c:pt idx="143">
                  <c:v>44469</c:v>
                </c:pt>
                <c:pt idx="144">
                  <c:v>44470</c:v>
                </c:pt>
                <c:pt idx="145">
                  <c:v>44473</c:v>
                </c:pt>
                <c:pt idx="146">
                  <c:v>44474</c:v>
                </c:pt>
                <c:pt idx="147">
                  <c:v>44475</c:v>
                </c:pt>
                <c:pt idx="148">
                  <c:v>44476</c:v>
                </c:pt>
                <c:pt idx="149">
                  <c:v>44477</c:v>
                </c:pt>
                <c:pt idx="150">
                  <c:v>44480</c:v>
                </c:pt>
                <c:pt idx="151">
                  <c:v>44481</c:v>
                </c:pt>
                <c:pt idx="152">
                  <c:v>44482</c:v>
                </c:pt>
                <c:pt idx="153">
                  <c:v>44483</c:v>
                </c:pt>
                <c:pt idx="154">
                  <c:v>44484</c:v>
                </c:pt>
                <c:pt idx="155">
                  <c:v>44487</c:v>
                </c:pt>
                <c:pt idx="156">
                  <c:v>44488</c:v>
                </c:pt>
                <c:pt idx="157">
                  <c:v>44489</c:v>
                </c:pt>
                <c:pt idx="158">
                  <c:v>44490</c:v>
                </c:pt>
                <c:pt idx="159">
                  <c:v>44491</c:v>
                </c:pt>
                <c:pt idx="160">
                  <c:v>44494</c:v>
                </c:pt>
                <c:pt idx="161">
                  <c:v>44495</c:v>
                </c:pt>
                <c:pt idx="162">
                  <c:v>44496</c:v>
                </c:pt>
                <c:pt idx="163">
                  <c:v>44497</c:v>
                </c:pt>
                <c:pt idx="164">
                  <c:v>44498</c:v>
                </c:pt>
                <c:pt idx="165">
                  <c:v>44501</c:v>
                </c:pt>
                <c:pt idx="166">
                  <c:v>44502</c:v>
                </c:pt>
                <c:pt idx="167">
                  <c:v>44503</c:v>
                </c:pt>
                <c:pt idx="168">
                  <c:v>44504</c:v>
                </c:pt>
                <c:pt idx="169">
                  <c:v>44505</c:v>
                </c:pt>
                <c:pt idx="170">
                  <c:v>44508</c:v>
                </c:pt>
                <c:pt idx="171">
                  <c:v>44509</c:v>
                </c:pt>
                <c:pt idx="172">
                  <c:v>44510</c:v>
                </c:pt>
                <c:pt idx="173">
                  <c:v>44511</c:v>
                </c:pt>
                <c:pt idx="174">
                  <c:v>44512</c:v>
                </c:pt>
                <c:pt idx="175">
                  <c:v>44515</c:v>
                </c:pt>
                <c:pt idx="176">
                  <c:v>44516</c:v>
                </c:pt>
                <c:pt idx="177">
                  <c:v>44517</c:v>
                </c:pt>
                <c:pt idx="178">
                  <c:v>44518</c:v>
                </c:pt>
                <c:pt idx="179">
                  <c:v>44519</c:v>
                </c:pt>
                <c:pt idx="180">
                  <c:v>44522</c:v>
                </c:pt>
                <c:pt idx="181">
                  <c:v>44523</c:v>
                </c:pt>
                <c:pt idx="182">
                  <c:v>44524</c:v>
                </c:pt>
                <c:pt idx="183">
                  <c:v>44525</c:v>
                </c:pt>
                <c:pt idx="184">
                  <c:v>44526</c:v>
                </c:pt>
                <c:pt idx="185">
                  <c:v>44529</c:v>
                </c:pt>
                <c:pt idx="186">
                  <c:v>44530</c:v>
                </c:pt>
                <c:pt idx="187">
                  <c:v>44531</c:v>
                </c:pt>
                <c:pt idx="188">
                  <c:v>44532</c:v>
                </c:pt>
                <c:pt idx="189">
                  <c:v>44533</c:v>
                </c:pt>
                <c:pt idx="190">
                  <c:v>44536</c:v>
                </c:pt>
                <c:pt idx="191">
                  <c:v>44537</c:v>
                </c:pt>
                <c:pt idx="192">
                  <c:v>44538</c:v>
                </c:pt>
                <c:pt idx="193">
                  <c:v>44539</c:v>
                </c:pt>
                <c:pt idx="194">
                  <c:v>44540</c:v>
                </c:pt>
                <c:pt idx="195">
                  <c:v>44543</c:v>
                </c:pt>
                <c:pt idx="196">
                  <c:v>44544</c:v>
                </c:pt>
                <c:pt idx="197">
                  <c:v>44545</c:v>
                </c:pt>
                <c:pt idx="198">
                  <c:v>44546</c:v>
                </c:pt>
                <c:pt idx="199">
                  <c:v>44547</c:v>
                </c:pt>
                <c:pt idx="200">
                  <c:v>44550</c:v>
                </c:pt>
                <c:pt idx="201">
                  <c:v>44551</c:v>
                </c:pt>
                <c:pt idx="202">
                  <c:v>44552</c:v>
                </c:pt>
                <c:pt idx="203">
                  <c:v>44553</c:v>
                </c:pt>
                <c:pt idx="204">
                  <c:v>44554</c:v>
                </c:pt>
                <c:pt idx="205">
                  <c:v>44557</c:v>
                </c:pt>
                <c:pt idx="206">
                  <c:v>44558</c:v>
                </c:pt>
                <c:pt idx="207">
                  <c:v>44559</c:v>
                </c:pt>
                <c:pt idx="208">
                  <c:v>44560</c:v>
                </c:pt>
                <c:pt idx="209">
                  <c:v>44561</c:v>
                </c:pt>
                <c:pt idx="210">
                  <c:v>44565</c:v>
                </c:pt>
                <c:pt idx="211">
                  <c:v>44566</c:v>
                </c:pt>
                <c:pt idx="212">
                  <c:v>44567</c:v>
                </c:pt>
                <c:pt idx="213">
                  <c:v>44568</c:v>
                </c:pt>
                <c:pt idx="214">
                  <c:v>44571</c:v>
                </c:pt>
                <c:pt idx="215">
                  <c:v>44572</c:v>
                </c:pt>
                <c:pt idx="216">
                  <c:v>44573</c:v>
                </c:pt>
                <c:pt idx="217">
                  <c:v>44574</c:v>
                </c:pt>
                <c:pt idx="218">
                  <c:v>44575</c:v>
                </c:pt>
                <c:pt idx="219">
                  <c:v>44578</c:v>
                </c:pt>
                <c:pt idx="220">
                  <c:v>44579</c:v>
                </c:pt>
                <c:pt idx="221">
                  <c:v>44580</c:v>
                </c:pt>
                <c:pt idx="222">
                  <c:v>44581</c:v>
                </c:pt>
                <c:pt idx="223">
                  <c:v>44582</c:v>
                </c:pt>
                <c:pt idx="224">
                  <c:v>44585</c:v>
                </c:pt>
                <c:pt idx="225">
                  <c:v>44586</c:v>
                </c:pt>
                <c:pt idx="226">
                  <c:v>44587</c:v>
                </c:pt>
                <c:pt idx="227">
                  <c:v>44588</c:v>
                </c:pt>
                <c:pt idx="228">
                  <c:v>44589</c:v>
                </c:pt>
                <c:pt idx="229">
                  <c:v>44599</c:v>
                </c:pt>
                <c:pt idx="230">
                  <c:v>44600</c:v>
                </c:pt>
                <c:pt idx="231">
                  <c:v>44601</c:v>
                </c:pt>
                <c:pt idx="232">
                  <c:v>44602</c:v>
                </c:pt>
                <c:pt idx="233">
                  <c:v>44603</c:v>
                </c:pt>
                <c:pt idx="234">
                  <c:v>44606</c:v>
                </c:pt>
                <c:pt idx="235">
                  <c:v>44607</c:v>
                </c:pt>
                <c:pt idx="236">
                  <c:v>44608</c:v>
                </c:pt>
                <c:pt idx="237">
                  <c:v>44609</c:v>
                </c:pt>
                <c:pt idx="238">
                  <c:v>44610</c:v>
                </c:pt>
                <c:pt idx="239">
                  <c:v>44613</c:v>
                </c:pt>
                <c:pt idx="240">
                  <c:v>44614</c:v>
                </c:pt>
                <c:pt idx="241">
                  <c:v>44615</c:v>
                </c:pt>
                <c:pt idx="242">
                  <c:v>44616</c:v>
                </c:pt>
                <c:pt idx="243">
                  <c:v>44617</c:v>
                </c:pt>
                <c:pt idx="244">
                  <c:v>44620</c:v>
                </c:pt>
                <c:pt idx="245">
                  <c:v>44621</c:v>
                </c:pt>
                <c:pt idx="246">
                  <c:v>44622</c:v>
                </c:pt>
                <c:pt idx="247">
                  <c:v>44623</c:v>
                </c:pt>
                <c:pt idx="248">
                  <c:v>44624</c:v>
                </c:pt>
                <c:pt idx="249">
                  <c:v>44627</c:v>
                </c:pt>
                <c:pt idx="250">
                  <c:v>44628</c:v>
                </c:pt>
                <c:pt idx="251">
                  <c:v>44629</c:v>
                </c:pt>
                <c:pt idx="252">
                  <c:v>44630</c:v>
                </c:pt>
                <c:pt idx="253">
                  <c:v>44631</c:v>
                </c:pt>
                <c:pt idx="254">
                  <c:v>44634</c:v>
                </c:pt>
                <c:pt idx="255">
                  <c:v>44635</c:v>
                </c:pt>
                <c:pt idx="256">
                  <c:v>44636</c:v>
                </c:pt>
                <c:pt idx="257">
                  <c:v>44637</c:v>
                </c:pt>
                <c:pt idx="258">
                  <c:v>44638</c:v>
                </c:pt>
                <c:pt idx="259">
                  <c:v>44641</c:v>
                </c:pt>
                <c:pt idx="260">
                  <c:v>44642</c:v>
                </c:pt>
                <c:pt idx="261">
                  <c:v>44643</c:v>
                </c:pt>
                <c:pt idx="262">
                  <c:v>44644</c:v>
                </c:pt>
                <c:pt idx="263">
                  <c:v>44645</c:v>
                </c:pt>
                <c:pt idx="264">
                  <c:v>44648</c:v>
                </c:pt>
                <c:pt idx="265">
                  <c:v>44649</c:v>
                </c:pt>
                <c:pt idx="266">
                  <c:v>44650</c:v>
                </c:pt>
                <c:pt idx="267">
                  <c:v>44651</c:v>
                </c:pt>
                <c:pt idx="268">
                  <c:v>44652</c:v>
                </c:pt>
                <c:pt idx="269">
                  <c:v>44655</c:v>
                </c:pt>
                <c:pt idx="270">
                  <c:v>44656</c:v>
                </c:pt>
                <c:pt idx="271">
                  <c:v>44657</c:v>
                </c:pt>
                <c:pt idx="272">
                  <c:v>44658</c:v>
                </c:pt>
                <c:pt idx="273">
                  <c:v>44659</c:v>
                </c:pt>
                <c:pt idx="274">
                  <c:v>44663</c:v>
                </c:pt>
                <c:pt idx="275">
                  <c:v>44664</c:v>
                </c:pt>
                <c:pt idx="276">
                  <c:v>44665</c:v>
                </c:pt>
                <c:pt idx="277">
                  <c:v>44666</c:v>
                </c:pt>
                <c:pt idx="278">
                  <c:v>44669</c:v>
                </c:pt>
                <c:pt idx="279">
                  <c:v>44670</c:v>
                </c:pt>
                <c:pt idx="280">
                  <c:v>44671</c:v>
                </c:pt>
                <c:pt idx="281">
                  <c:v>44672</c:v>
                </c:pt>
                <c:pt idx="282">
                  <c:v>44673</c:v>
                </c:pt>
                <c:pt idx="283">
                  <c:v>44676</c:v>
                </c:pt>
                <c:pt idx="284">
                  <c:v>44677</c:v>
                </c:pt>
                <c:pt idx="285">
                  <c:v>44678</c:v>
                </c:pt>
                <c:pt idx="286">
                  <c:v>44679</c:v>
                </c:pt>
                <c:pt idx="287">
                  <c:v>44680</c:v>
                </c:pt>
                <c:pt idx="288">
                  <c:v>44685</c:v>
                </c:pt>
                <c:pt idx="289">
                  <c:v>44686</c:v>
                </c:pt>
                <c:pt idx="290">
                  <c:v>44687</c:v>
                </c:pt>
                <c:pt idx="291">
                  <c:v>44690</c:v>
                </c:pt>
                <c:pt idx="292">
                  <c:v>44691</c:v>
                </c:pt>
                <c:pt idx="293">
                  <c:v>44692</c:v>
                </c:pt>
                <c:pt idx="294">
                  <c:v>44693</c:v>
                </c:pt>
                <c:pt idx="295">
                  <c:v>44694</c:v>
                </c:pt>
                <c:pt idx="296">
                  <c:v>44697</c:v>
                </c:pt>
                <c:pt idx="297">
                  <c:v>44698</c:v>
                </c:pt>
                <c:pt idx="298">
                  <c:v>44699</c:v>
                </c:pt>
                <c:pt idx="299">
                  <c:v>44700</c:v>
                </c:pt>
                <c:pt idx="300">
                  <c:v>44701</c:v>
                </c:pt>
                <c:pt idx="301">
                  <c:v>44704</c:v>
                </c:pt>
                <c:pt idx="302">
                  <c:v>44705</c:v>
                </c:pt>
                <c:pt idx="303">
                  <c:v>44706</c:v>
                </c:pt>
                <c:pt idx="304">
                  <c:v>44707</c:v>
                </c:pt>
                <c:pt idx="305">
                  <c:v>44708</c:v>
                </c:pt>
                <c:pt idx="306">
                  <c:v>44711</c:v>
                </c:pt>
                <c:pt idx="307">
                  <c:v>44712</c:v>
                </c:pt>
                <c:pt idx="308">
                  <c:v>44713</c:v>
                </c:pt>
                <c:pt idx="309">
                  <c:v>44714</c:v>
                </c:pt>
                <c:pt idx="310">
                  <c:v>44715</c:v>
                </c:pt>
                <c:pt idx="311">
                  <c:v>44718</c:v>
                </c:pt>
                <c:pt idx="312">
                  <c:v>44719</c:v>
                </c:pt>
                <c:pt idx="313">
                  <c:v>44720</c:v>
                </c:pt>
                <c:pt idx="314">
                  <c:v>44721</c:v>
                </c:pt>
                <c:pt idx="315">
                  <c:v>44722</c:v>
                </c:pt>
                <c:pt idx="316">
                  <c:v>44725</c:v>
                </c:pt>
                <c:pt idx="317">
                  <c:v>44726</c:v>
                </c:pt>
                <c:pt idx="318">
                  <c:v>44727</c:v>
                </c:pt>
                <c:pt idx="319">
                  <c:v>44728</c:v>
                </c:pt>
                <c:pt idx="320">
                  <c:v>44729</c:v>
                </c:pt>
                <c:pt idx="321">
                  <c:v>44732</c:v>
                </c:pt>
                <c:pt idx="322">
                  <c:v>44733</c:v>
                </c:pt>
                <c:pt idx="323">
                  <c:v>44734</c:v>
                </c:pt>
                <c:pt idx="324">
                  <c:v>44735</c:v>
                </c:pt>
                <c:pt idx="325">
                  <c:v>44736</c:v>
                </c:pt>
                <c:pt idx="326">
                  <c:v>44739</c:v>
                </c:pt>
                <c:pt idx="327">
                  <c:v>44740</c:v>
                </c:pt>
                <c:pt idx="328">
                  <c:v>44741</c:v>
                </c:pt>
                <c:pt idx="329">
                  <c:v>44742</c:v>
                </c:pt>
                <c:pt idx="330">
                  <c:v>44743</c:v>
                </c:pt>
                <c:pt idx="331">
                  <c:v>44746</c:v>
                </c:pt>
                <c:pt idx="332">
                  <c:v>44747</c:v>
                </c:pt>
                <c:pt idx="333">
                  <c:v>44748</c:v>
                </c:pt>
                <c:pt idx="334">
                  <c:v>44749</c:v>
                </c:pt>
                <c:pt idx="335">
                  <c:v>44750</c:v>
                </c:pt>
                <c:pt idx="336">
                  <c:v>44753</c:v>
                </c:pt>
                <c:pt idx="337">
                  <c:v>44754</c:v>
                </c:pt>
                <c:pt idx="338">
                  <c:v>44755</c:v>
                </c:pt>
                <c:pt idx="339">
                  <c:v>44756</c:v>
                </c:pt>
                <c:pt idx="340">
                  <c:v>44757</c:v>
                </c:pt>
                <c:pt idx="341">
                  <c:v>44760</c:v>
                </c:pt>
                <c:pt idx="342">
                  <c:v>44761</c:v>
                </c:pt>
                <c:pt idx="343">
                  <c:v>44762</c:v>
                </c:pt>
                <c:pt idx="344">
                  <c:v>44763</c:v>
                </c:pt>
                <c:pt idx="345">
                  <c:v>44764</c:v>
                </c:pt>
                <c:pt idx="346">
                  <c:v>44767</c:v>
                </c:pt>
                <c:pt idx="347">
                  <c:v>44768</c:v>
                </c:pt>
                <c:pt idx="348">
                  <c:v>44769</c:v>
                </c:pt>
                <c:pt idx="349">
                  <c:v>44770</c:v>
                </c:pt>
                <c:pt idx="350">
                  <c:v>44771</c:v>
                </c:pt>
                <c:pt idx="351">
                  <c:v>44774</c:v>
                </c:pt>
                <c:pt idx="352">
                  <c:v>44775</c:v>
                </c:pt>
                <c:pt idx="353">
                  <c:v>44776</c:v>
                </c:pt>
                <c:pt idx="354">
                  <c:v>44777</c:v>
                </c:pt>
                <c:pt idx="355">
                  <c:v>44778</c:v>
                </c:pt>
                <c:pt idx="356">
                  <c:v>44781</c:v>
                </c:pt>
                <c:pt idx="357">
                  <c:v>44782</c:v>
                </c:pt>
                <c:pt idx="358">
                  <c:v>44783</c:v>
                </c:pt>
                <c:pt idx="359">
                  <c:v>44784</c:v>
                </c:pt>
                <c:pt idx="360">
                  <c:v>44785</c:v>
                </c:pt>
                <c:pt idx="361">
                  <c:v>44788</c:v>
                </c:pt>
                <c:pt idx="362">
                  <c:v>44789</c:v>
                </c:pt>
                <c:pt idx="363">
                  <c:v>44790</c:v>
                </c:pt>
                <c:pt idx="364">
                  <c:v>44791</c:v>
                </c:pt>
                <c:pt idx="365">
                  <c:v>44792</c:v>
                </c:pt>
                <c:pt idx="366">
                  <c:v>44795</c:v>
                </c:pt>
                <c:pt idx="367">
                  <c:v>44796</c:v>
                </c:pt>
                <c:pt idx="368">
                  <c:v>44797</c:v>
                </c:pt>
                <c:pt idx="369">
                  <c:v>44798</c:v>
                </c:pt>
                <c:pt idx="370">
                  <c:v>44799</c:v>
                </c:pt>
                <c:pt idx="371">
                  <c:v>44802</c:v>
                </c:pt>
                <c:pt idx="372">
                  <c:v>44803</c:v>
                </c:pt>
                <c:pt idx="373">
                  <c:v>44804</c:v>
                </c:pt>
                <c:pt idx="374">
                  <c:v>44809</c:v>
                </c:pt>
                <c:pt idx="375">
                  <c:v>44810</c:v>
                </c:pt>
                <c:pt idx="376">
                  <c:v>44811</c:v>
                </c:pt>
                <c:pt idx="377">
                  <c:v>44812</c:v>
                </c:pt>
                <c:pt idx="378">
                  <c:v>44813</c:v>
                </c:pt>
                <c:pt idx="379">
                  <c:v>44816</c:v>
                </c:pt>
                <c:pt idx="380">
                  <c:v>44817</c:v>
                </c:pt>
                <c:pt idx="381">
                  <c:v>44818</c:v>
                </c:pt>
                <c:pt idx="382">
                  <c:v>44819</c:v>
                </c:pt>
                <c:pt idx="383">
                  <c:v>44820</c:v>
                </c:pt>
                <c:pt idx="384">
                  <c:v>44823</c:v>
                </c:pt>
                <c:pt idx="385">
                  <c:v>44824</c:v>
                </c:pt>
                <c:pt idx="386">
                  <c:v>44825</c:v>
                </c:pt>
                <c:pt idx="387">
                  <c:v>44826</c:v>
                </c:pt>
                <c:pt idx="388">
                  <c:v>44827</c:v>
                </c:pt>
                <c:pt idx="389">
                  <c:v>44830</c:v>
                </c:pt>
                <c:pt idx="390">
                  <c:v>44831</c:v>
                </c:pt>
                <c:pt idx="391">
                  <c:v>44832</c:v>
                </c:pt>
                <c:pt idx="392">
                  <c:v>44833</c:v>
                </c:pt>
                <c:pt idx="393">
                  <c:v>44834</c:v>
                </c:pt>
                <c:pt idx="394">
                  <c:v>44837</c:v>
                </c:pt>
                <c:pt idx="395">
                  <c:v>44838</c:v>
                </c:pt>
                <c:pt idx="396">
                  <c:v>44839</c:v>
                </c:pt>
                <c:pt idx="397">
                  <c:v>44840</c:v>
                </c:pt>
                <c:pt idx="398">
                  <c:v>44841</c:v>
                </c:pt>
                <c:pt idx="399">
                  <c:v>44844</c:v>
                </c:pt>
                <c:pt idx="400">
                  <c:v>44845</c:v>
                </c:pt>
                <c:pt idx="401">
                  <c:v>44846</c:v>
                </c:pt>
                <c:pt idx="402">
                  <c:v>44847</c:v>
                </c:pt>
                <c:pt idx="403">
                  <c:v>44848</c:v>
                </c:pt>
                <c:pt idx="404">
                  <c:v>44851</c:v>
                </c:pt>
                <c:pt idx="405">
                  <c:v>44852</c:v>
                </c:pt>
                <c:pt idx="406">
                  <c:v>44853</c:v>
                </c:pt>
                <c:pt idx="407">
                  <c:v>44854</c:v>
                </c:pt>
                <c:pt idx="408">
                  <c:v>44855</c:v>
                </c:pt>
                <c:pt idx="409">
                  <c:v>44858</c:v>
                </c:pt>
                <c:pt idx="410">
                  <c:v>44859</c:v>
                </c:pt>
                <c:pt idx="411">
                  <c:v>44860</c:v>
                </c:pt>
                <c:pt idx="412">
                  <c:v>44861</c:v>
                </c:pt>
                <c:pt idx="413">
                  <c:v>44862</c:v>
                </c:pt>
                <c:pt idx="414">
                  <c:v>44865</c:v>
                </c:pt>
                <c:pt idx="415">
                  <c:v>44866</c:v>
                </c:pt>
                <c:pt idx="416">
                  <c:v>44867</c:v>
                </c:pt>
                <c:pt idx="417">
                  <c:v>44868</c:v>
                </c:pt>
                <c:pt idx="418">
                  <c:v>44869</c:v>
                </c:pt>
                <c:pt idx="419">
                  <c:v>44872</c:v>
                </c:pt>
                <c:pt idx="420">
                  <c:v>44873</c:v>
                </c:pt>
                <c:pt idx="421">
                  <c:v>44874</c:v>
                </c:pt>
                <c:pt idx="422">
                  <c:v>44875</c:v>
                </c:pt>
                <c:pt idx="423">
                  <c:v>44876</c:v>
                </c:pt>
                <c:pt idx="424">
                  <c:v>44879</c:v>
                </c:pt>
                <c:pt idx="425">
                  <c:v>44880</c:v>
                </c:pt>
                <c:pt idx="426">
                  <c:v>44881</c:v>
                </c:pt>
                <c:pt idx="427">
                  <c:v>44882</c:v>
                </c:pt>
                <c:pt idx="428">
                  <c:v>44883</c:v>
                </c:pt>
                <c:pt idx="429">
                  <c:v>44886</c:v>
                </c:pt>
                <c:pt idx="430">
                  <c:v>44887</c:v>
                </c:pt>
                <c:pt idx="431">
                  <c:v>44888</c:v>
                </c:pt>
                <c:pt idx="432">
                  <c:v>44889</c:v>
                </c:pt>
                <c:pt idx="433">
                  <c:v>44890</c:v>
                </c:pt>
                <c:pt idx="434">
                  <c:v>44893</c:v>
                </c:pt>
                <c:pt idx="435">
                  <c:v>44894</c:v>
                </c:pt>
                <c:pt idx="436">
                  <c:v>44895</c:v>
                </c:pt>
                <c:pt idx="437">
                  <c:v>44896</c:v>
                </c:pt>
                <c:pt idx="438">
                  <c:v>44897</c:v>
                </c:pt>
                <c:pt idx="439">
                  <c:v>44900</c:v>
                </c:pt>
                <c:pt idx="440">
                  <c:v>44901</c:v>
                </c:pt>
                <c:pt idx="441">
                  <c:v>44902</c:v>
                </c:pt>
                <c:pt idx="442">
                  <c:v>44903</c:v>
                </c:pt>
                <c:pt idx="443">
                  <c:v>44904</c:v>
                </c:pt>
                <c:pt idx="444">
                  <c:v>44907</c:v>
                </c:pt>
                <c:pt idx="445">
                  <c:v>44908</c:v>
                </c:pt>
                <c:pt idx="446">
                  <c:v>44909</c:v>
                </c:pt>
                <c:pt idx="447">
                  <c:v>44910</c:v>
                </c:pt>
                <c:pt idx="448">
                  <c:v>44911</c:v>
                </c:pt>
                <c:pt idx="449">
                  <c:v>44914</c:v>
                </c:pt>
                <c:pt idx="450">
                  <c:v>44915</c:v>
                </c:pt>
                <c:pt idx="451">
                  <c:v>44916</c:v>
                </c:pt>
                <c:pt idx="452">
                  <c:v>44917</c:v>
                </c:pt>
                <c:pt idx="453">
                  <c:v>44918</c:v>
                </c:pt>
                <c:pt idx="454">
                  <c:v>44921</c:v>
                </c:pt>
                <c:pt idx="455">
                  <c:v>44922</c:v>
                </c:pt>
                <c:pt idx="456">
                  <c:v>44923</c:v>
                </c:pt>
                <c:pt idx="457">
                  <c:v>44924</c:v>
                </c:pt>
                <c:pt idx="458">
                  <c:v>44925</c:v>
                </c:pt>
                <c:pt idx="459">
                  <c:v>44929</c:v>
                </c:pt>
                <c:pt idx="460">
                  <c:v>44930</c:v>
                </c:pt>
                <c:pt idx="461">
                  <c:v>44931</c:v>
                </c:pt>
                <c:pt idx="462">
                  <c:v>44932</c:v>
                </c:pt>
                <c:pt idx="463">
                  <c:v>44935</c:v>
                </c:pt>
                <c:pt idx="464">
                  <c:v>44936</c:v>
                </c:pt>
                <c:pt idx="465">
                  <c:v>44937</c:v>
                </c:pt>
                <c:pt idx="466">
                  <c:v>44938</c:v>
                </c:pt>
                <c:pt idx="467">
                  <c:v>44939</c:v>
                </c:pt>
                <c:pt idx="468">
                  <c:v>44942</c:v>
                </c:pt>
                <c:pt idx="469">
                  <c:v>44943</c:v>
                </c:pt>
                <c:pt idx="470">
                  <c:v>44944</c:v>
                </c:pt>
                <c:pt idx="471">
                  <c:v>44945</c:v>
                </c:pt>
                <c:pt idx="472">
                  <c:v>44953</c:v>
                </c:pt>
                <c:pt idx="473">
                  <c:v>44956</c:v>
                </c:pt>
                <c:pt idx="474">
                  <c:v>44957</c:v>
                </c:pt>
                <c:pt idx="475">
                  <c:v>44958</c:v>
                </c:pt>
                <c:pt idx="476">
                  <c:v>44959</c:v>
                </c:pt>
                <c:pt idx="477">
                  <c:v>44960</c:v>
                </c:pt>
                <c:pt idx="478">
                  <c:v>44963</c:v>
                </c:pt>
                <c:pt idx="479">
                  <c:v>44964</c:v>
                </c:pt>
                <c:pt idx="480">
                  <c:v>44965</c:v>
                </c:pt>
                <c:pt idx="481">
                  <c:v>44966</c:v>
                </c:pt>
                <c:pt idx="482">
                  <c:v>44967</c:v>
                </c:pt>
                <c:pt idx="483">
                  <c:v>44970</c:v>
                </c:pt>
                <c:pt idx="484">
                  <c:v>44971</c:v>
                </c:pt>
                <c:pt idx="485">
                  <c:v>44972</c:v>
                </c:pt>
                <c:pt idx="486">
                  <c:v>44973</c:v>
                </c:pt>
                <c:pt idx="487">
                  <c:v>44974</c:v>
                </c:pt>
                <c:pt idx="488">
                  <c:v>44977</c:v>
                </c:pt>
                <c:pt idx="489">
                  <c:v>44978</c:v>
                </c:pt>
                <c:pt idx="490">
                  <c:v>44979</c:v>
                </c:pt>
                <c:pt idx="491">
                  <c:v>44980</c:v>
                </c:pt>
              </c:numCache>
            </c:numRef>
          </c:cat>
          <c:val>
            <c:numRef>
              <c:f>'FX Data'!$M$957:$M$1453</c:f>
              <c:numCache>
                <c:formatCode>0.0</c:formatCode>
                <c:ptCount val="497"/>
                <c:pt idx="0">
                  <c:v>3.9650394341841317</c:v>
                </c:pt>
                <c:pt idx="1">
                  <c:v>3.9650394341841317</c:v>
                </c:pt>
                <c:pt idx="2">
                  <c:v>3.9650394341841317</c:v>
                </c:pt>
                <c:pt idx="3">
                  <c:v>3.9650394341841317</c:v>
                </c:pt>
                <c:pt idx="4">
                  <c:v>3.9650394341841317</c:v>
                </c:pt>
                <c:pt idx="5">
                  <c:v>3.9650394341841317</c:v>
                </c:pt>
                <c:pt idx="6">
                  <c:v>3.9650394341841317</c:v>
                </c:pt>
                <c:pt idx="7">
                  <c:v>3.9650394341841317</c:v>
                </c:pt>
                <c:pt idx="8">
                  <c:v>3.9650394341841317</c:v>
                </c:pt>
                <c:pt idx="9">
                  <c:v>3.9650394341841317</c:v>
                </c:pt>
                <c:pt idx="10">
                  <c:v>3.9650394341841317</c:v>
                </c:pt>
                <c:pt idx="11">
                  <c:v>3.9650394341841317</c:v>
                </c:pt>
                <c:pt idx="12">
                  <c:v>3.9650394341841317</c:v>
                </c:pt>
                <c:pt idx="13">
                  <c:v>3.9650394341841317</c:v>
                </c:pt>
                <c:pt idx="14">
                  <c:v>3.9650394341841317</c:v>
                </c:pt>
                <c:pt idx="15">
                  <c:v>3.9650394341841317</c:v>
                </c:pt>
                <c:pt idx="16">
                  <c:v>3.9650394341841317</c:v>
                </c:pt>
                <c:pt idx="17">
                  <c:v>3.9650394341841317</c:v>
                </c:pt>
                <c:pt idx="18">
                  <c:v>3.9650394341841317</c:v>
                </c:pt>
                <c:pt idx="19">
                  <c:v>3.9650394341841317</c:v>
                </c:pt>
                <c:pt idx="20">
                  <c:v>3.9650394341841317</c:v>
                </c:pt>
                <c:pt idx="21">
                  <c:v>3.9650394341841317</c:v>
                </c:pt>
                <c:pt idx="22">
                  <c:v>3.9650394341841317</c:v>
                </c:pt>
                <c:pt idx="23">
                  <c:v>3.9650394341841317</c:v>
                </c:pt>
                <c:pt idx="24">
                  <c:v>3.9650394341841317</c:v>
                </c:pt>
                <c:pt idx="25">
                  <c:v>3.9650394341841317</c:v>
                </c:pt>
                <c:pt idx="26">
                  <c:v>3.9650394341841317</c:v>
                </c:pt>
                <c:pt idx="27">
                  <c:v>3.9650394341841317</c:v>
                </c:pt>
                <c:pt idx="28">
                  <c:v>3.9650394341841317</c:v>
                </c:pt>
                <c:pt idx="29">
                  <c:v>3.9650394341841317</c:v>
                </c:pt>
                <c:pt idx="30">
                  <c:v>3.9650394341841317</c:v>
                </c:pt>
                <c:pt idx="31">
                  <c:v>3.9650394341841317</c:v>
                </c:pt>
                <c:pt idx="32">
                  <c:v>3.9650394341841317</c:v>
                </c:pt>
                <c:pt idx="33">
                  <c:v>3.9650394341841317</c:v>
                </c:pt>
                <c:pt idx="34">
                  <c:v>3.9650394341841317</c:v>
                </c:pt>
                <c:pt idx="35">
                  <c:v>3.9650394341841317</c:v>
                </c:pt>
                <c:pt idx="36">
                  <c:v>3.9650394341841317</c:v>
                </c:pt>
                <c:pt idx="37">
                  <c:v>3.9650394341841317</c:v>
                </c:pt>
                <c:pt idx="38">
                  <c:v>3.9650394341841317</c:v>
                </c:pt>
                <c:pt idx="39">
                  <c:v>3.9650394341841317</c:v>
                </c:pt>
                <c:pt idx="40">
                  <c:v>3.9650394341841317</c:v>
                </c:pt>
                <c:pt idx="41">
                  <c:v>3.9650394341841317</c:v>
                </c:pt>
                <c:pt idx="42">
                  <c:v>3.9650394341841317</c:v>
                </c:pt>
                <c:pt idx="43">
                  <c:v>3.9650394341841317</c:v>
                </c:pt>
                <c:pt idx="44">
                  <c:v>3.9650394341841317</c:v>
                </c:pt>
                <c:pt idx="45">
                  <c:v>3.9650394341841317</c:v>
                </c:pt>
                <c:pt idx="46">
                  <c:v>3.9650394341841317</c:v>
                </c:pt>
                <c:pt idx="47">
                  <c:v>3.9650394341841317</c:v>
                </c:pt>
                <c:pt idx="48">
                  <c:v>3.9650394341841317</c:v>
                </c:pt>
                <c:pt idx="49">
                  <c:v>3.9650394341841317</c:v>
                </c:pt>
                <c:pt idx="50">
                  <c:v>3.9650394341841317</c:v>
                </c:pt>
                <c:pt idx="51">
                  <c:v>3.9650394341841317</c:v>
                </c:pt>
                <c:pt idx="52">
                  <c:v>3.9650394341841317</c:v>
                </c:pt>
                <c:pt idx="53">
                  <c:v>3.9650394341841317</c:v>
                </c:pt>
                <c:pt idx="54">
                  <c:v>3.9650394341841317</c:v>
                </c:pt>
                <c:pt idx="55">
                  <c:v>3.9650394341841317</c:v>
                </c:pt>
                <c:pt idx="56">
                  <c:v>3.9650394341841317</c:v>
                </c:pt>
                <c:pt idx="57">
                  <c:v>3.9650394341841317</c:v>
                </c:pt>
                <c:pt idx="58">
                  <c:v>3.9650394341841317</c:v>
                </c:pt>
                <c:pt idx="59">
                  <c:v>3.9650394341841317</c:v>
                </c:pt>
                <c:pt idx="60">
                  <c:v>3.9650394341841317</c:v>
                </c:pt>
                <c:pt idx="61">
                  <c:v>3.9650394341841317</c:v>
                </c:pt>
                <c:pt idx="62">
                  <c:v>3.9650394341841317</c:v>
                </c:pt>
                <c:pt idx="63">
                  <c:v>3.9650394341841317</c:v>
                </c:pt>
                <c:pt idx="64">
                  <c:v>3.9650394341841317</c:v>
                </c:pt>
                <c:pt idx="65">
                  <c:v>3.9650394341841317</c:v>
                </c:pt>
                <c:pt idx="66">
                  <c:v>3.9650394341841317</c:v>
                </c:pt>
                <c:pt idx="67">
                  <c:v>3.9650394341841317</c:v>
                </c:pt>
                <c:pt idx="68">
                  <c:v>3.9650394341841317</c:v>
                </c:pt>
                <c:pt idx="69">
                  <c:v>3.9650394341841317</c:v>
                </c:pt>
                <c:pt idx="70">
                  <c:v>3.9650394341841317</c:v>
                </c:pt>
                <c:pt idx="71">
                  <c:v>3.9650394341841317</c:v>
                </c:pt>
                <c:pt idx="72">
                  <c:v>3.9650394341841317</c:v>
                </c:pt>
                <c:pt idx="73">
                  <c:v>3.9650394341841317</c:v>
                </c:pt>
                <c:pt idx="74">
                  <c:v>3.9650394341841317</c:v>
                </c:pt>
                <c:pt idx="75">
                  <c:v>3.9650394341841317</c:v>
                </c:pt>
                <c:pt idx="76">
                  <c:v>3.9650394341841317</c:v>
                </c:pt>
                <c:pt idx="77">
                  <c:v>3.9650394341841317</c:v>
                </c:pt>
                <c:pt idx="78">
                  <c:v>3.9650394341841317</c:v>
                </c:pt>
                <c:pt idx="79">
                  <c:v>3.9650394341841317</c:v>
                </c:pt>
                <c:pt idx="80">
                  <c:v>3.9650394341841317</c:v>
                </c:pt>
                <c:pt idx="81">
                  <c:v>3.9650394341841317</c:v>
                </c:pt>
                <c:pt idx="82">
                  <c:v>3.9650394341841317</c:v>
                </c:pt>
                <c:pt idx="83">
                  <c:v>3.9650394341841317</c:v>
                </c:pt>
                <c:pt idx="84">
                  <c:v>3.9650394341841317</c:v>
                </c:pt>
                <c:pt idx="85">
                  <c:v>3.9650394341841317</c:v>
                </c:pt>
                <c:pt idx="86">
                  <c:v>3.9650394341841317</c:v>
                </c:pt>
                <c:pt idx="87">
                  <c:v>3.9650394341841317</c:v>
                </c:pt>
                <c:pt idx="88">
                  <c:v>3.9650394341841317</c:v>
                </c:pt>
                <c:pt idx="89">
                  <c:v>3.9650394341841317</c:v>
                </c:pt>
                <c:pt idx="90">
                  <c:v>3.9650394341841317</c:v>
                </c:pt>
                <c:pt idx="91">
                  <c:v>3.9650394341841317</c:v>
                </c:pt>
                <c:pt idx="92">
                  <c:v>3.9650394341841317</c:v>
                </c:pt>
                <c:pt idx="93">
                  <c:v>3.9650394341841317</c:v>
                </c:pt>
                <c:pt idx="94">
                  <c:v>3.9650394341841317</c:v>
                </c:pt>
                <c:pt idx="95">
                  <c:v>3.9650394341841317</c:v>
                </c:pt>
                <c:pt idx="96">
                  <c:v>3.9650394341841317</c:v>
                </c:pt>
                <c:pt idx="97">
                  <c:v>3.9650394341841317</c:v>
                </c:pt>
                <c:pt idx="98">
                  <c:v>3.9650394341841317</c:v>
                </c:pt>
                <c:pt idx="99">
                  <c:v>3.9650394341841317</c:v>
                </c:pt>
                <c:pt idx="100">
                  <c:v>3.9650394341841317</c:v>
                </c:pt>
                <c:pt idx="101">
                  <c:v>3.9650394341841317</c:v>
                </c:pt>
                <c:pt idx="102">
                  <c:v>3.9650394341841317</c:v>
                </c:pt>
                <c:pt idx="103">
                  <c:v>3.9650394341841317</c:v>
                </c:pt>
                <c:pt idx="104">
                  <c:v>3.9650394341841317</c:v>
                </c:pt>
                <c:pt idx="105">
                  <c:v>3.9650394341841317</c:v>
                </c:pt>
                <c:pt idx="106">
                  <c:v>3.9650394341841317</c:v>
                </c:pt>
                <c:pt idx="107">
                  <c:v>3.9650394341841317</c:v>
                </c:pt>
                <c:pt idx="108">
                  <c:v>3.9650394341841317</c:v>
                </c:pt>
                <c:pt idx="109">
                  <c:v>3.9650394341841317</c:v>
                </c:pt>
                <c:pt idx="110">
                  <c:v>3.9650394341841317</c:v>
                </c:pt>
                <c:pt idx="111">
                  <c:v>3.9650394341841317</c:v>
                </c:pt>
                <c:pt idx="112">
                  <c:v>3.9650394341841317</c:v>
                </c:pt>
                <c:pt idx="113">
                  <c:v>3.9650394341841317</c:v>
                </c:pt>
                <c:pt idx="114">
                  <c:v>3.9650394341841317</c:v>
                </c:pt>
                <c:pt idx="115">
                  <c:v>3.9650394341841317</c:v>
                </c:pt>
                <c:pt idx="116">
                  <c:v>3.9650394341841317</c:v>
                </c:pt>
                <c:pt idx="117">
                  <c:v>3.9650394341841317</c:v>
                </c:pt>
                <c:pt idx="118">
                  <c:v>3.9650394341841317</c:v>
                </c:pt>
                <c:pt idx="119">
                  <c:v>3.9650394341841317</c:v>
                </c:pt>
                <c:pt idx="120">
                  <c:v>3.9650394341841317</c:v>
                </c:pt>
                <c:pt idx="121">
                  <c:v>3.9650394341841317</c:v>
                </c:pt>
                <c:pt idx="122">
                  <c:v>3.9650394341841317</c:v>
                </c:pt>
                <c:pt idx="123">
                  <c:v>3.9650394341841317</c:v>
                </c:pt>
                <c:pt idx="124">
                  <c:v>3.9650394341841317</c:v>
                </c:pt>
                <c:pt idx="125">
                  <c:v>3.9650394341841317</c:v>
                </c:pt>
                <c:pt idx="126">
                  <c:v>3.9650394341841317</c:v>
                </c:pt>
                <c:pt idx="127">
                  <c:v>3.9650394341841317</c:v>
                </c:pt>
                <c:pt idx="128">
                  <c:v>3.9650394341841317</c:v>
                </c:pt>
                <c:pt idx="129">
                  <c:v>3.9650394341841317</c:v>
                </c:pt>
                <c:pt idx="130">
                  <c:v>3.9650394341841317</c:v>
                </c:pt>
                <c:pt idx="131">
                  <c:v>3.9650394341841317</c:v>
                </c:pt>
                <c:pt idx="132">
                  <c:v>3.9650394341841317</c:v>
                </c:pt>
                <c:pt idx="133">
                  <c:v>3.9650394341841317</c:v>
                </c:pt>
                <c:pt idx="134">
                  <c:v>3.9650394341841317</c:v>
                </c:pt>
                <c:pt idx="135">
                  <c:v>3.9650394341841317</c:v>
                </c:pt>
                <c:pt idx="136">
                  <c:v>3.9650394341841317</c:v>
                </c:pt>
                <c:pt idx="137">
                  <c:v>3.9650394341841317</c:v>
                </c:pt>
                <c:pt idx="138">
                  <c:v>3.9650394341841317</c:v>
                </c:pt>
                <c:pt idx="139">
                  <c:v>3.9650394341841317</c:v>
                </c:pt>
                <c:pt idx="140">
                  <c:v>3.9650394341841317</c:v>
                </c:pt>
                <c:pt idx="141">
                  <c:v>3.9650394341841317</c:v>
                </c:pt>
                <c:pt idx="142">
                  <c:v>3.9650394341841317</c:v>
                </c:pt>
                <c:pt idx="143">
                  <c:v>3.9650394341841317</c:v>
                </c:pt>
                <c:pt idx="144">
                  <c:v>3.9650394341841317</c:v>
                </c:pt>
                <c:pt idx="145">
                  <c:v>3.9650394341841317</c:v>
                </c:pt>
                <c:pt idx="146">
                  <c:v>3.9650394341841317</c:v>
                </c:pt>
                <c:pt idx="147">
                  <c:v>3.9650394341841317</c:v>
                </c:pt>
                <c:pt idx="148">
                  <c:v>3.9650394341841317</c:v>
                </c:pt>
                <c:pt idx="149">
                  <c:v>3.9650394341841317</c:v>
                </c:pt>
                <c:pt idx="150">
                  <c:v>3.9650394341841317</c:v>
                </c:pt>
                <c:pt idx="151">
                  <c:v>3.9650394341841317</c:v>
                </c:pt>
                <c:pt idx="152">
                  <c:v>3.9650394341841317</c:v>
                </c:pt>
                <c:pt idx="153">
                  <c:v>3.9650394341841317</c:v>
                </c:pt>
                <c:pt idx="154">
                  <c:v>3.9650394341841317</c:v>
                </c:pt>
                <c:pt idx="155">
                  <c:v>3.9650394341841317</c:v>
                </c:pt>
                <c:pt idx="156">
                  <c:v>3.9650394341841317</c:v>
                </c:pt>
                <c:pt idx="157">
                  <c:v>3.9650394341841317</c:v>
                </c:pt>
                <c:pt idx="158">
                  <c:v>3.9650394341841317</c:v>
                </c:pt>
                <c:pt idx="159">
                  <c:v>3.9650394341841317</c:v>
                </c:pt>
                <c:pt idx="160">
                  <c:v>3.9650394341841317</c:v>
                </c:pt>
                <c:pt idx="161">
                  <c:v>3.9650394341841317</c:v>
                </c:pt>
                <c:pt idx="162">
                  <c:v>3.9650394341841317</c:v>
                </c:pt>
                <c:pt idx="163">
                  <c:v>3.9650394341841317</c:v>
                </c:pt>
                <c:pt idx="164">
                  <c:v>3.9650394341841317</c:v>
                </c:pt>
                <c:pt idx="165">
                  <c:v>3.9650394341841317</c:v>
                </c:pt>
                <c:pt idx="166">
                  <c:v>3.9650394341841317</c:v>
                </c:pt>
                <c:pt idx="167">
                  <c:v>3.9650394341841317</c:v>
                </c:pt>
                <c:pt idx="168">
                  <c:v>3.9650394341841317</c:v>
                </c:pt>
                <c:pt idx="169">
                  <c:v>3.9650394341841317</c:v>
                </c:pt>
                <c:pt idx="170">
                  <c:v>3.9650394341841317</c:v>
                </c:pt>
                <c:pt idx="171">
                  <c:v>3.9650394341841317</c:v>
                </c:pt>
                <c:pt idx="172">
                  <c:v>3.9650394341841317</c:v>
                </c:pt>
                <c:pt idx="173">
                  <c:v>3.9650394341841317</c:v>
                </c:pt>
                <c:pt idx="174">
                  <c:v>3.9650394341841317</c:v>
                </c:pt>
                <c:pt idx="175">
                  <c:v>3.9650394341841317</c:v>
                </c:pt>
                <c:pt idx="176">
                  <c:v>3.9650394341841317</c:v>
                </c:pt>
                <c:pt idx="177">
                  <c:v>3.9650394341841317</c:v>
                </c:pt>
                <c:pt idx="178">
                  <c:v>3.9650394341841317</c:v>
                </c:pt>
                <c:pt idx="179">
                  <c:v>3.9650394341841317</c:v>
                </c:pt>
                <c:pt idx="180">
                  <c:v>3.9650394341841317</c:v>
                </c:pt>
                <c:pt idx="181">
                  <c:v>3.9650394341841317</c:v>
                </c:pt>
                <c:pt idx="182">
                  <c:v>3.9650394341841317</c:v>
                </c:pt>
                <c:pt idx="183">
                  <c:v>3.9650394341841317</c:v>
                </c:pt>
                <c:pt idx="184">
                  <c:v>3.9650394341841317</c:v>
                </c:pt>
                <c:pt idx="185">
                  <c:v>3.9650394341841317</c:v>
                </c:pt>
                <c:pt idx="186">
                  <c:v>3.9650394341841317</c:v>
                </c:pt>
                <c:pt idx="187">
                  <c:v>3.9650394341841317</c:v>
                </c:pt>
                <c:pt idx="188">
                  <c:v>3.9650394341841317</c:v>
                </c:pt>
                <c:pt idx="189">
                  <c:v>3.9650394341841317</c:v>
                </c:pt>
                <c:pt idx="190">
                  <c:v>3.9650394341841317</c:v>
                </c:pt>
                <c:pt idx="191">
                  <c:v>3.9650394341841317</c:v>
                </c:pt>
                <c:pt idx="192">
                  <c:v>3.9650394341841317</c:v>
                </c:pt>
                <c:pt idx="193">
                  <c:v>3.9650394341841317</c:v>
                </c:pt>
                <c:pt idx="194">
                  <c:v>3.9650394341841317</c:v>
                </c:pt>
                <c:pt idx="195">
                  <c:v>3.9650394341841317</c:v>
                </c:pt>
                <c:pt idx="196">
                  <c:v>3.9650394341841317</c:v>
                </c:pt>
                <c:pt idx="197">
                  <c:v>3.9650394341841317</c:v>
                </c:pt>
                <c:pt idx="198">
                  <c:v>3.9650394341841317</c:v>
                </c:pt>
                <c:pt idx="199">
                  <c:v>3.9650394341841317</c:v>
                </c:pt>
                <c:pt idx="200">
                  <c:v>3.9650394341841317</c:v>
                </c:pt>
                <c:pt idx="201">
                  <c:v>3.9650394341841317</c:v>
                </c:pt>
                <c:pt idx="202">
                  <c:v>3.9650394341841317</c:v>
                </c:pt>
                <c:pt idx="203">
                  <c:v>3.9650394341841317</c:v>
                </c:pt>
                <c:pt idx="204">
                  <c:v>3.9650394341841317</c:v>
                </c:pt>
                <c:pt idx="205">
                  <c:v>3.9650394341841317</c:v>
                </c:pt>
                <c:pt idx="206">
                  <c:v>3.9650394341841317</c:v>
                </c:pt>
                <c:pt idx="207">
                  <c:v>3.9650394341841317</c:v>
                </c:pt>
                <c:pt idx="208">
                  <c:v>3.9650394341841317</c:v>
                </c:pt>
                <c:pt idx="209">
                  <c:v>3.9650394341841317</c:v>
                </c:pt>
                <c:pt idx="210">
                  <c:v>3.9650394341841317</c:v>
                </c:pt>
                <c:pt idx="211">
                  <c:v>3.9650394341841317</c:v>
                </c:pt>
                <c:pt idx="212">
                  <c:v>3.9650394341841317</c:v>
                </c:pt>
                <c:pt idx="213">
                  <c:v>3.9650394341841317</c:v>
                </c:pt>
                <c:pt idx="214">
                  <c:v>3.9650394341841317</c:v>
                </c:pt>
                <c:pt idx="215">
                  <c:v>3.9650394341841317</c:v>
                </c:pt>
                <c:pt idx="216">
                  <c:v>3.9650394341841317</c:v>
                </c:pt>
                <c:pt idx="217">
                  <c:v>3.9650394341841317</c:v>
                </c:pt>
                <c:pt idx="218">
                  <c:v>3.9650394341841317</c:v>
                </c:pt>
                <c:pt idx="219">
                  <c:v>3.9650394341841317</c:v>
                </c:pt>
                <c:pt idx="220">
                  <c:v>3.9650394341841317</c:v>
                </c:pt>
                <c:pt idx="221">
                  <c:v>3.9650394341841317</c:v>
                </c:pt>
                <c:pt idx="222">
                  <c:v>3.9650394341841317</c:v>
                </c:pt>
                <c:pt idx="223">
                  <c:v>3.9650394341841317</c:v>
                </c:pt>
                <c:pt idx="224">
                  <c:v>3.9650394341841317</c:v>
                </c:pt>
                <c:pt idx="225">
                  <c:v>3.9650394341841317</c:v>
                </c:pt>
                <c:pt idx="226">
                  <c:v>3.9650394341841317</c:v>
                </c:pt>
                <c:pt idx="227">
                  <c:v>3.9650394341841317</c:v>
                </c:pt>
                <c:pt idx="228">
                  <c:v>3.9650394341841317</c:v>
                </c:pt>
                <c:pt idx="229">
                  <c:v>3.9650394341841317</c:v>
                </c:pt>
                <c:pt idx="230">
                  <c:v>3.9650394341841317</c:v>
                </c:pt>
                <c:pt idx="231">
                  <c:v>3.9650394341841317</c:v>
                </c:pt>
                <c:pt idx="232">
                  <c:v>3.9650394341841317</c:v>
                </c:pt>
                <c:pt idx="233">
                  <c:v>3.9650394341841317</c:v>
                </c:pt>
                <c:pt idx="234">
                  <c:v>3.9650394341841317</c:v>
                </c:pt>
                <c:pt idx="235">
                  <c:v>3.9650394341841317</c:v>
                </c:pt>
                <c:pt idx="236">
                  <c:v>3.9650394341841317</c:v>
                </c:pt>
                <c:pt idx="237">
                  <c:v>3.9650394341841317</c:v>
                </c:pt>
                <c:pt idx="238">
                  <c:v>3.9650394341841317</c:v>
                </c:pt>
                <c:pt idx="239">
                  <c:v>3.9650394341841317</c:v>
                </c:pt>
                <c:pt idx="240">
                  <c:v>3.9650394341841317</c:v>
                </c:pt>
                <c:pt idx="241">
                  <c:v>3.9650394341841317</c:v>
                </c:pt>
                <c:pt idx="242">
                  <c:v>3.9650394341841317</c:v>
                </c:pt>
                <c:pt idx="243">
                  <c:v>3.9650394341841317</c:v>
                </c:pt>
                <c:pt idx="244">
                  <c:v>3.9650394341841317</c:v>
                </c:pt>
                <c:pt idx="245">
                  <c:v>3.9650394341841317</c:v>
                </c:pt>
                <c:pt idx="246">
                  <c:v>3.9650394341841317</c:v>
                </c:pt>
                <c:pt idx="247">
                  <c:v>3.9650394341841317</c:v>
                </c:pt>
                <c:pt idx="248">
                  <c:v>3.9650394341841317</c:v>
                </c:pt>
                <c:pt idx="249">
                  <c:v>3.9650394341841317</c:v>
                </c:pt>
                <c:pt idx="250">
                  <c:v>3.9650394341841317</c:v>
                </c:pt>
                <c:pt idx="251">
                  <c:v>3.9650394341841317</c:v>
                </c:pt>
                <c:pt idx="252">
                  <c:v>3.9650394341841317</c:v>
                </c:pt>
                <c:pt idx="253">
                  <c:v>3.9650394341841317</c:v>
                </c:pt>
                <c:pt idx="254">
                  <c:v>3.9650394341841317</c:v>
                </c:pt>
                <c:pt idx="255">
                  <c:v>3.9650394341841317</c:v>
                </c:pt>
                <c:pt idx="256">
                  <c:v>3.9650394341841317</c:v>
                </c:pt>
                <c:pt idx="257">
                  <c:v>3.9650394341841317</c:v>
                </c:pt>
                <c:pt idx="258">
                  <c:v>3.9650394341841317</c:v>
                </c:pt>
                <c:pt idx="259">
                  <c:v>3.9650394341841317</c:v>
                </c:pt>
                <c:pt idx="260">
                  <c:v>3.9650394341841317</c:v>
                </c:pt>
                <c:pt idx="261">
                  <c:v>3.9650394341841317</c:v>
                </c:pt>
                <c:pt idx="262">
                  <c:v>3.9650394341841317</c:v>
                </c:pt>
                <c:pt idx="263">
                  <c:v>3.9650394341841317</c:v>
                </c:pt>
                <c:pt idx="264">
                  <c:v>3.9650394341841317</c:v>
                </c:pt>
                <c:pt idx="265">
                  <c:v>3.9650394341841317</c:v>
                </c:pt>
                <c:pt idx="266">
                  <c:v>3.9650394341841317</c:v>
                </c:pt>
                <c:pt idx="267">
                  <c:v>3.9650394341841317</c:v>
                </c:pt>
                <c:pt idx="268">
                  <c:v>3.9650394341841317</c:v>
                </c:pt>
                <c:pt idx="269">
                  <c:v>3.9650394341841317</c:v>
                </c:pt>
                <c:pt idx="270">
                  <c:v>3.9650394341841317</c:v>
                </c:pt>
                <c:pt idx="271">
                  <c:v>3.9650394341841317</c:v>
                </c:pt>
                <c:pt idx="272">
                  <c:v>3.9650394341841317</c:v>
                </c:pt>
                <c:pt idx="273">
                  <c:v>3.9650394341841317</c:v>
                </c:pt>
                <c:pt idx="274">
                  <c:v>3.9650394341841317</c:v>
                </c:pt>
                <c:pt idx="275">
                  <c:v>3.9650394341841317</c:v>
                </c:pt>
                <c:pt idx="276">
                  <c:v>3.9650394341841317</c:v>
                </c:pt>
                <c:pt idx="277">
                  <c:v>3.9650394341841317</c:v>
                </c:pt>
                <c:pt idx="278">
                  <c:v>3.9650394341841317</c:v>
                </c:pt>
                <c:pt idx="279">
                  <c:v>3.9650394341841317</c:v>
                </c:pt>
                <c:pt idx="280">
                  <c:v>3.9650394341841317</c:v>
                </c:pt>
                <c:pt idx="281">
                  <c:v>3.9650394341841317</c:v>
                </c:pt>
                <c:pt idx="282">
                  <c:v>3.9650394341841317</c:v>
                </c:pt>
                <c:pt idx="283">
                  <c:v>3.9650394341841317</c:v>
                </c:pt>
                <c:pt idx="284">
                  <c:v>3.9650394341841317</c:v>
                </c:pt>
                <c:pt idx="285">
                  <c:v>3.9650394341841317</c:v>
                </c:pt>
                <c:pt idx="286">
                  <c:v>3.9650394341841317</c:v>
                </c:pt>
                <c:pt idx="287">
                  <c:v>3.9650394341841317</c:v>
                </c:pt>
                <c:pt idx="288">
                  <c:v>3.9650394341841317</c:v>
                </c:pt>
                <c:pt idx="289">
                  <c:v>3.9650394341841317</c:v>
                </c:pt>
                <c:pt idx="290">
                  <c:v>3.9650394341841317</c:v>
                </c:pt>
                <c:pt idx="291">
                  <c:v>3.9650394341841317</c:v>
                </c:pt>
                <c:pt idx="292">
                  <c:v>3.9650394341841317</c:v>
                </c:pt>
                <c:pt idx="293">
                  <c:v>3.9650394341841317</c:v>
                </c:pt>
                <c:pt idx="294">
                  <c:v>3.9650394341841317</c:v>
                </c:pt>
                <c:pt idx="295">
                  <c:v>3.9650394341841317</c:v>
                </c:pt>
                <c:pt idx="296">
                  <c:v>3.9650394341841317</c:v>
                </c:pt>
                <c:pt idx="297">
                  <c:v>3.9650394341841317</c:v>
                </c:pt>
                <c:pt idx="298">
                  <c:v>3.9650394341841317</c:v>
                </c:pt>
                <c:pt idx="299">
                  <c:v>3.9650394341841317</c:v>
                </c:pt>
                <c:pt idx="300">
                  <c:v>3.9650394341841317</c:v>
                </c:pt>
                <c:pt idx="301">
                  <c:v>3.9650394341841317</c:v>
                </c:pt>
                <c:pt idx="302">
                  <c:v>3.9650394341841317</c:v>
                </c:pt>
                <c:pt idx="303">
                  <c:v>3.9650394341841317</c:v>
                </c:pt>
                <c:pt idx="304">
                  <c:v>3.9650394341841317</c:v>
                </c:pt>
                <c:pt idx="305">
                  <c:v>3.9650394341841317</c:v>
                </c:pt>
                <c:pt idx="306">
                  <c:v>3.9650394341841317</c:v>
                </c:pt>
                <c:pt idx="307">
                  <c:v>3.9650394341841317</c:v>
                </c:pt>
                <c:pt idx="308">
                  <c:v>3.9650394341841317</c:v>
                </c:pt>
                <c:pt idx="309">
                  <c:v>3.9650394341841317</c:v>
                </c:pt>
                <c:pt idx="310">
                  <c:v>3.9650394341841317</c:v>
                </c:pt>
                <c:pt idx="311">
                  <c:v>3.9650394341841317</c:v>
                </c:pt>
                <c:pt idx="312">
                  <c:v>3.9650394341841317</c:v>
                </c:pt>
                <c:pt idx="313">
                  <c:v>3.9650394341841317</c:v>
                </c:pt>
                <c:pt idx="314">
                  <c:v>3.9650394341841317</c:v>
                </c:pt>
                <c:pt idx="315">
                  <c:v>3.9650394341841317</c:v>
                </c:pt>
                <c:pt idx="316">
                  <c:v>3.9650394341841317</c:v>
                </c:pt>
                <c:pt idx="317">
                  <c:v>3.9650394341841317</c:v>
                </c:pt>
                <c:pt idx="318">
                  <c:v>3.9650394341841317</c:v>
                </c:pt>
                <c:pt idx="319">
                  <c:v>3.9650394341841317</c:v>
                </c:pt>
                <c:pt idx="320">
                  <c:v>3.9650394341841317</c:v>
                </c:pt>
                <c:pt idx="321">
                  <c:v>3.9650394341841317</c:v>
                </c:pt>
                <c:pt idx="322">
                  <c:v>3.9650394341841317</c:v>
                </c:pt>
                <c:pt idx="323">
                  <c:v>3.9650394341841317</c:v>
                </c:pt>
                <c:pt idx="324">
                  <c:v>3.9650394341841317</c:v>
                </c:pt>
                <c:pt idx="325">
                  <c:v>3.9650394341841317</c:v>
                </c:pt>
                <c:pt idx="326">
                  <c:v>3.9650394341841317</c:v>
                </c:pt>
                <c:pt idx="327">
                  <c:v>3.9650394341841317</c:v>
                </c:pt>
                <c:pt idx="328">
                  <c:v>3.9650394341841317</c:v>
                </c:pt>
                <c:pt idx="329">
                  <c:v>3.9650394341841317</c:v>
                </c:pt>
                <c:pt idx="330">
                  <c:v>3.9650394341841317</c:v>
                </c:pt>
                <c:pt idx="331">
                  <c:v>3.9650394341841317</c:v>
                </c:pt>
                <c:pt idx="332">
                  <c:v>3.9650394341841317</c:v>
                </c:pt>
                <c:pt idx="333">
                  <c:v>3.9650394341841317</c:v>
                </c:pt>
                <c:pt idx="334">
                  <c:v>3.9650394341841317</c:v>
                </c:pt>
                <c:pt idx="335">
                  <c:v>3.9650394341841317</c:v>
                </c:pt>
                <c:pt idx="336">
                  <c:v>3.9650394341841317</c:v>
                </c:pt>
                <c:pt idx="337">
                  <c:v>3.9650394341841317</c:v>
                </c:pt>
                <c:pt idx="338">
                  <c:v>3.9650394341841317</c:v>
                </c:pt>
                <c:pt idx="339">
                  <c:v>3.9650394341841317</c:v>
                </c:pt>
                <c:pt idx="340">
                  <c:v>3.9650394341841317</c:v>
                </c:pt>
                <c:pt idx="341">
                  <c:v>3.9650394341841317</c:v>
                </c:pt>
                <c:pt idx="342">
                  <c:v>3.9650394341841317</c:v>
                </c:pt>
                <c:pt idx="343">
                  <c:v>3.9650394341841317</c:v>
                </c:pt>
                <c:pt idx="344">
                  <c:v>3.9650394341841317</c:v>
                </c:pt>
                <c:pt idx="345">
                  <c:v>3.9650394341841317</c:v>
                </c:pt>
                <c:pt idx="346">
                  <c:v>3.9650394341841317</c:v>
                </c:pt>
                <c:pt idx="347">
                  <c:v>3.9650394341841317</c:v>
                </c:pt>
                <c:pt idx="348">
                  <c:v>3.9650394341841317</c:v>
                </c:pt>
                <c:pt idx="349">
                  <c:v>3.9650394341841317</c:v>
                </c:pt>
                <c:pt idx="350">
                  <c:v>3.9650394341841317</c:v>
                </c:pt>
                <c:pt idx="351">
                  <c:v>3.9650394341841317</c:v>
                </c:pt>
                <c:pt idx="352">
                  <c:v>3.9650394341841317</c:v>
                </c:pt>
                <c:pt idx="353">
                  <c:v>3.9650394341841317</c:v>
                </c:pt>
                <c:pt idx="354">
                  <c:v>3.9650394341841317</c:v>
                </c:pt>
                <c:pt idx="355">
                  <c:v>3.9650394341841317</c:v>
                </c:pt>
                <c:pt idx="356">
                  <c:v>3.9650394341841317</c:v>
                </c:pt>
                <c:pt idx="357">
                  <c:v>3.9650394341841317</c:v>
                </c:pt>
                <c:pt idx="358">
                  <c:v>3.9650394341841317</c:v>
                </c:pt>
                <c:pt idx="359">
                  <c:v>3.9650394341841317</c:v>
                </c:pt>
                <c:pt idx="360">
                  <c:v>3.9650394341841317</c:v>
                </c:pt>
                <c:pt idx="361">
                  <c:v>3.9650394341841317</c:v>
                </c:pt>
                <c:pt idx="362">
                  <c:v>3.9650394341841317</c:v>
                </c:pt>
                <c:pt idx="363">
                  <c:v>3.9650394341841317</c:v>
                </c:pt>
                <c:pt idx="364">
                  <c:v>3.9650394341841317</c:v>
                </c:pt>
                <c:pt idx="365">
                  <c:v>3.9650394341841317</c:v>
                </c:pt>
                <c:pt idx="366">
                  <c:v>3.9650394341841317</c:v>
                </c:pt>
                <c:pt idx="367">
                  <c:v>3.9650394341841317</c:v>
                </c:pt>
                <c:pt idx="368">
                  <c:v>3.9650394341841317</c:v>
                </c:pt>
                <c:pt idx="369">
                  <c:v>3.9650394341841317</c:v>
                </c:pt>
                <c:pt idx="370">
                  <c:v>3.9650394341841317</c:v>
                </c:pt>
                <c:pt idx="371">
                  <c:v>3.9650394341841317</c:v>
                </c:pt>
                <c:pt idx="372">
                  <c:v>3.9650394341841317</c:v>
                </c:pt>
                <c:pt idx="373">
                  <c:v>3.9650394341841317</c:v>
                </c:pt>
                <c:pt idx="374">
                  <c:v>3.9650394341841317</c:v>
                </c:pt>
                <c:pt idx="375">
                  <c:v>3.9650394341841317</c:v>
                </c:pt>
                <c:pt idx="376">
                  <c:v>3.9650394341841317</c:v>
                </c:pt>
                <c:pt idx="377">
                  <c:v>3.9650394341841317</c:v>
                </c:pt>
                <c:pt idx="378">
                  <c:v>3.9650394341841317</c:v>
                </c:pt>
                <c:pt idx="379">
                  <c:v>3.9650394341841317</c:v>
                </c:pt>
                <c:pt idx="380">
                  <c:v>3.9650394341841317</c:v>
                </c:pt>
                <c:pt idx="381">
                  <c:v>3.9650394341841317</c:v>
                </c:pt>
                <c:pt idx="382">
                  <c:v>3.9650394341841317</c:v>
                </c:pt>
                <c:pt idx="383">
                  <c:v>3.9650394341841317</c:v>
                </c:pt>
                <c:pt idx="384">
                  <c:v>3.9650394341841317</c:v>
                </c:pt>
                <c:pt idx="385">
                  <c:v>3.9650394341841317</c:v>
                </c:pt>
                <c:pt idx="386">
                  <c:v>3.9650394341841317</c:v>
                </c:pt>
                <c:pt idx="387">
                  <c:v>3.9650394341841317</c:v>
                </c:pt>
                <c:pt idx="388">
                  <c:v>3.9650394341841317</c:v>
                </c:pt>
                <c:pt idx="389">
                  <c:v>3.9650394341841317</c:v>
                </c:pt>
                <c:pt idx="390">
                  <c:v>3.9650394341841317</c:v>
                </c:pt>
                <c:pt idx="391">
                  <c:v>3.9650394341841317</c:v>
                </c:pt>
                <c:pt idx="392">
                  <c:v>3.9650394341841317</c:v>
                </c:pt>
                <c:pt idx="393">
                  <c:v>3.9650394341841317</c:v>
                </c:pt>
                <c:pt idx="394">
                  <c:v>3.9650394341841317</c:v>
                </c:pt>
                <c:pt idx="395">
                  <c:v>3.9650394341841317</c:v>
                </c:pt>
                <c:pt idx="396">
                  <c:v>3.9650394341841317</c:v>
                </c:pt>
                <c:pt idx="397">
                  <c:v>3.9650394341841317</c:v>
                </c:pt>
                <c:pt idx="398">
                  <c:v>3.9650394341841317</c:v>
                </c:pt>
                <c:pt idx="399">
                  <c:v>3.9650394341841317</c:v>
                </c:pt>
                <c:pt idx="400">
                  <c:v>3.9650394341841317</c:v>
                </c:pt>
                <c:pt idx="401">
                  <c:v>3.9650394341841317</c:v>
                </c:pt>
                <c:pt idx="402">
                  <c:v>3.9650394341841317</c:v>
                </c:pt>
                <c:pt idx="403">
                  <c:v>3.9650394341841317</c:v>
                </c:pt>
                <c:pt idx="404">
                  <c:v>3.9650394341841317</c:v>
                </c:pt>
                <c:pt idx="405">
                  <c:v>3.9650394341841317</c:v>
                </c:pt>
                <c:pt idx="406">
                  <c:v>3.9650394341841317</c:v>
                </c:pt>
                <c:pt idx="407">
                  <c:v>3.9650394341841317</c:v>
                </c:pt>
                <c:pt idx="408">
                  <c:v>3.9650394341841317</c:v>
                </c:pt>
                <c:pt idx="409">
                  <c:v>3.9650394341841317</c:v>
                </c:pt>
                <c:pt idx="410">
                  <c:v>3.9650394341841317</c:v>
                </c:pt>
                <c:pt idx="411">
                  <c:v>3.9650394341841317</c:v>
                </c:pt>
                <c:pt idx="412">
                  <c:v>3.9650394341841317</c:v>
                </c:pt>
                <c:pt idx="413">
                  <c:v>3.9650394341841317</c:v>
                </c:pt>
                <c:pt idx="414">
                  <c:v>3.9650394341841317</c:v>
                </c:pt>
                <c:pt idx="415">
                  <c:v>3.9650394341841317</c:v>
                </c:pt>
                <c:pt idx="416">
                  <c:v>3.9650394341841317</c:v>
                </c:pt>
                <c:pt idx="417">
                  <c:v>3.9650394341841317</c:v>
                </c:pt>
                <c:pt idx="418">
                  <c:v>3.9650394341841317</c:v>
                </c:pt>
                <c:pt idx="419">
                  <c:v>3.9650394341841317</c:v>
                </c:pt>
                <c:pt idx="420">
                  <c:v>3.9650394341841317</c:v>
                </c:pt>
                <c:pt idx="421">
                  <c:v>3.9650394341841317</c:v>
                </c:pt>
                <c:pt idx="422">
                  <c:v>3.9650394341841317</c:v>
                </c:pt>
                <c:pt idx="423">
                  <c:v>3.9650394341841317</c:v>
                </c:pt>
                <c:pt idx="424">
                  <c:v>3.9650394341841317</c:v>
                </c:pt>
                <c:pt idx="425">
                  <c:v>3.9650394341841317</c:v>
                </c:pt>
                <c:pt idx="426">
                  <c:v>3.9650394341841317</c:v>
                </c:pt>
                <c:pt idx="427">
                  <c:v>3.9650394341841317</c:v>
                </c:pt>
                <c:pt idx="428">
                  <c:v>3.9650394341841317</c:v>
                </c:pt>
                <c:pt idx="429">
                  <c:v>3.9650394341841317</c:v>
                </c:pt>
                <c:pt idx="430">
                  <c:v>3.9650394341841317</c:v>
                </c:pt>
                <c:pt idx="431">
                  <c:v>3.9650394341841317</c:v>
                </c:pt>
                <c:pt idx="432">
                  <c:v>3.9650394341841317</c:v>
                </c:pt>
                <c:pt idx="433">
                  <c:v>3.9650394341841317</c:v>
                </c:pt>
                <c:pt idx="434">
                  <c:v>3.9650394341841317</c:v>
                </c:pt>
                <c:pt idx="435">
                  <c:v>3.9650394341841317</c:v>
                </c:pt>
                <c:pt idx="436">
                  <c:v>3.9650394341841317</c:v>
                </c:pt>
                <c:pt idx="437">
                  <c:v>3.9650394341841317</c:v>
                </c:pt>
                <c:pt idx="438">
                  <c:v>3.9650394341841317</c:v>
                </c:pt>
                <c:pt idx="439">
                  <c:v>3.9650394341841317</c:v>
                </c:pt>
                <c:pt idx="440">
                  <c:v>3.9650394341841317</c:v>
                </c:pt>
                <c:pt idx="441">
                  <c:v>3.9650394341841317</c:v>
                </c:pt>
                <c:pt idx="442">
                  <c:v>3.9650394341841317</c:v>
                </c:pt>
                <c:pt idx="443">
                  <c:v>3.9650394341841317</c:v>
                </c:pt>
                <c:pt idx="444">
                  <c:v>3.9650394341841317</c:v>
                </c:pt>
                <c:pt idx="445">
                  <c:v>3.9650394341841317</c:v>
                </c:pt>
                <c:pt idx="446">
                  <c:v>3.9650394341841317</c:v>
                </c:pt>
                <c:pt idx="447">
                  <c:v>3.9650394341841317</c:v>
                </c:pt>
                <c:pt idx="448">
                  <c:v>3.9650394341841317</c:v>
                </c:pt>
                <c:pt idx="449">
                  <c:v>3.9650394341841317</c:v>
                </c:pt>
                <c:pt idx="450">
                  <c:v>3.9650394341841317</c:v>
                </c:pt>
                <c:pt idx="451">
                  <c:v>3.9650394341841317</c:v>
                </c:pt>
                <c:pt idx="452">
                  <c:v>3.9650394341841317</c:v>
                </c:pt>
                <c:pt idx="453">
                  <c:v>3.9650394341841317</c:v>
                </c:pt>
                <c:pt idx="454">
                  <c:v>3.9650394341841317</c:v>
                </c:pt>
                <c:pt idx="455">
                  <c:v>3.9650394341841317</c:v>
                </c:pt>
                <c:pt idx="456">
                  <c:v>3.9650394341841317</c:v>
                </c:pt>
                <c:pt idx="457">
                  <c:v>3.9650394341841317</c:v>
                </c:pt>
                <c:pt idx="458">
                  <c:v>3.9650394341841317</c:v>
                </c:pt>
                <c:pt idx="459">
                  <c:v>3.9650394341841317</c:v>
                </c:pt>
                <c:pt idx="460">
                  <c:v>3.9650394341841317</c:v>
                </c:pt>
                <c:pt idx="461">
                  <c:v>3.9650394341841317</c:v>
                </c:pt>
                <c:pt idx="462">
                  <c:v>3.9650394341841317</c:v>
                </c:pt>
                <c:pt idx="463">
                  <c:v>3.9650394341841317</c:v>
                </c:pt>
                <c:pt idx="464">
                  <c:v>3.9650394341841317</c:v>
                </c:pt>
                <c:pt idx="465">
                  <c:v>3.9650394341841317</c:v>
                </c:pt>
                <c:pt idx="466">
                  <c:v>3.9650394341841317</c:v>
                </c:pt>
                <c:pt idx="467">
                  <c:v>3.9650394341841317</c:v>
                </c:pt>
                <c:pt idx="468">
                  <c:v>3.9650394341841317</c:v>
                </c:pt>
                <c:pt idx="469">
                  <c:v>3.9650394341841317</c:v>
                </c:pt>
                <c:pt idx="470">
                  <c:v>3.9650394341841317</c:v>
                </c:pt>
                <c:pt idx="471">
                  <c:v>3.9650394341841317</c:v>
                </c:pt>
                <c:pt idx="472">
                  <c:v>3.9650394341841317</c:v>
                </c:pt>
                <c:pt idx="473">
                  <c:v>3.9650394341841317</c:v>
                </c:pt>
                <c:pt idx="474">
                  <c:v>3.9650394341841317</c:v>
                </c:pt>
                <c:pt idx="475">
                  <c:v>3.9650394341841317</c:v>
                </c:pt>
                <c:pt idx="476">
                  <c:v>3.9650394341841317</c:v>
                </c:pt>
                <c:pt idx="477">
                  <c:v>3.9650394341841317</c:v>
                </c:pt>
                <c:pt idx="478">
                  <c:v>3.9650394341841317</c:v>
                </c:pt>
                <c:pt idx="479">
                  <c:v>3.9650394341841317</c:v>
                </c:pt>
                <c:pt idx="480">
                  <c:v>3.9650394341841317</c:v>
                </c:pt>
                <c:pt idx="481">
                  <c:v>3.9650394341841317</c:v>
                </c:pt>
                <c:pt idx="482">
                  <c:v>3.9650394341841317</c:v>
                </c:pt>
                <c:pt idx="483">
                  <c:v>3.9650394341841317</c:v>
                </c:pt>
                <c:pt idx="484">
                  <c:v>3.9650394341841317</c:v>
                </c:pt>
                <c:pt idx="485">
                  <c:v>3.9650394341841317</c:v>
                </c:pt>
                <c:pt idx="486">
                  <c:v>3.9650394341841317</c:v>
                </c:pt>
                <c:pt idx="487">
                  <c:v>3.9650394341841317</c:v>
                </c:pt>
                <c:pt idx="488">
                  <c:v>3.9650394341841317</c:v>
                </c:pt>
                <c:pt idx="489">
                  <c:v>3.9650394341841317</c:v>
                </c:pt>
                <c:pt idx="490">
                  <c:v>3.9650394341841317</c:v>
                </c:pt>
                <c:pt idx="491">
                  <c:v>3.9650394341841317</c:v>
                </c:pt>
                <c:pt idx="492">
                  <c:v>3.9650394341841317</c:v>
                </c:pt>
                <c:pt idx="493">
                  <c:v>3.9650394341841317</c:v>
                </c:pt>
                <c:pt idx="494">
                  <c:v>3.9650394341841317</c:v>
                </c:pt>
                <c:pt idx="495">
                  <c:v>3.9650394341841317</c:v>
                </c:pt>
                <c:pt idx="496">
                  <c:v>3.9650394341841317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04-4920-A7E1-4D8EBD195630}"/>
            </c:ext>
          </c:extLst>
        </c:ser>
        <c:ser>
          <c:idx val="3"/>
          <c:order val="2"/>
          <c:tx>
            <c:strRef>
              <c:f>'FX Data'!$D$956</c:f>
              <c:strCache>
                <c:ptCount val="1"/>
                <c:pt idx="0">
                  <c:v>PX_TO_BOOK_RATIO</c:v>
                </c:pt>
              </c:strCache>
            </c:strRef>
          </c:tx>
          <c:spPr>
            <a:ln w="19050" cap="rnd">
              <a:solidFill>
                <a:srgbClr val="1F497D">
                  <a:lumMod val="75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'FX Data'!$B$957:$B$1448</c:f>
              <c:numCache>
                <c:formatCode>m/d/yyyy</c:formatCode>
                <c:ptCount val="492"/>
                <c:pt idx="0">
                  <c:v>44263</c:v>
                </c:pt>
                <c:pt idx="1">
                  <c:v>44264</c:v>
                </c:pt>
                <c:pt idx="2">
                  <c:v>44265</c:v>
                </c:pt>
                <c:pt idx="3">
                  <c:v>44266</c:v>
                </c:pt>
                <c:pt idx="4">
                  <c:v>44267</c:v>
                </c:pt>
                <c:pt idx="5">
                  <c:v>44270</c:v>
                </c:pt>
                <c:pt idx="6">
                  <c:v>44271</c:v>
                </c:pt>
                <c:pt idx="7">
                  <c:v>44272</c:v>
                </c:pt>
                <c:pt idx="8">
                  <c:v>44273</c:v>
                </c:pt>
                <c:pt idx="9">
                  <c:v>44274</c:v>
                </c:pt>
                <c:pt idx="10">
                  <c:v>44277</c:v>
                </c:pt>
                <c:pt idx="11">
                  <c:v>44278</c:v>
                </c:pt>
                <c:pt idx="12">
                  <c:v>44279</c:v>
                </c:pt>
                <c:pt idx="13">
                  <c:v>44280</c:v>
                </c:pt>
                <c:pt idx="14">
                  <c:v>44281</c:v>
                </c:pt>
                <c:pt idx="15">
                  <c:v>44284</c:v>
                </c:pt>
                <c:pt idx="16">
                  <c:v>44285</c:v>
                </c:pt>
                <c:pt idx="17">
                  <c:v>44286</c:v>
                </c:pt>
                <c:pt idx="18">
                  <c:v>44287</c:v>
                </c:pt>
                <c:pt idx="19">
                  <c:v>44288</c:v>
                </c:pt>
                <c:pt idx="20">
                  <c:v>44291</c:v>
                </c:pt>
                <c:pt idx="21">
                  <c:v>44292</c:v>
                </c:pt>
                <c:pt idx="22">
                  <c:v>44293</c:v>
                </c:pt>
                <c:pt idx="23">
                  <c:v>44294</c:v>
                </c:pt>
                <c:pt idx="24">
                  <c:v>44295</c:v>
                </c:pt>
                <c:pt idx="25">
                  <c:v>44298</c:v>
                </c:pt>
                <c:pt idx="26">
                  <c:v>44299</c:v>
                </c:pt>
                <c:pt idx="27">
                  <c:v>44300</c:v>
                </c:pt>
                <c:pt idx="28">
                  <c:v>44301</c:v>
                </c:pt>
                <c:pt idx="29">
                  <c:v>44302</c:v>
                </c:pt>
                <c:pt idx="30">
                  <c:v>44305</c:v>
                </c:pt>
                <c:pt idx="31">
                  <c:v>44306</c:v>
                </c:pt>
                <c:pt idx="32">
                  <c:v>44308</c:v>
                </c:pt>
                <c:pt idx="33">
                  <c:v>44309</c:v>
                </c:pt>
                <c:pt idx="34">
                  <c:v>44312</c:v>
                </c:pt>
                <c:pt idx="35">
                  <c:v>44313</c:v>
                </c:pt>
                <c:pt idx="36">
                  <c:v>44314</c:v>
                </c:pt>
                <c:pt idx="37">
                  <c:v>44315</c:v>
                </c:pt>
                <c:pt idx="38">
                  <c:v>44320</c:v>
                </c:pt>
                <c:pt idx="39">
                  <c:v>44321</c:v>
                </c:pt>
                <c:pt idx="40">
                  <c:v>44322</c:v>
                </c:pt>
                <c:pt idx="41">
                  <c:v>44323</c:v>
                </c:pt>
                <c:pt idx="42">
                  <c:v>44326</c:v>
                </c:pt>
                <c:pt idx="43">
                  <c:v>44327</c:v>
                </c:pt>
                <c:pt idx="44">
                  <c:v>44328</c:v>
                </c:pt>
                <c:pt idx="45">
                  <c:v>44329</c:v>
                </c:pt>
                <c:pt idx="46">
                  <c:v>44330</c:v>
                </c:pt>
                <c:pt idx="47">
                  <c:v>44333</c:v>
                </c:pt>
                <c:pt idx="48">
                  <c:v>44334</c:v>
                </c:pt>
                <c:pt idx="49">
                  <c:v>44335</c:v>
                </c:pt>
                <c:pt idx="50">
                  <c:v>44336</c:v>
                </c:pt>
                <c:pt idx="51">
                  <c:v>44337</c:v>
                </c:pt>
                <c:pt idx="52">
                  <c:v>44340</c:v>
                </c:pt>
                <c:pt idx="53">
                  <c:v>44341</c:v>
                </c:pt>
                <c:pt idx="54">
                  <c:v>44342</c:v>
                </c:pt>
                <c:pt idx="55">
                  <c:v>44343</c:v>
                </c:pt>
                <c:pt idx="56">
                  <c:v>44344</c:v>
                </c:pt>
                <c:pt idx="57">
                  <c:v>44347</c:v>
                </c:pt>
                <c:pt idx="58">
                  <c:v>44348</c:v>
                </c:pt>
                <c:pt idx="59">
                  <c:v>44349</c:v>
                </c:pt>
                <c:pt idx="60">
                  <c:v>44350</c:v>
                </c:pt>
                <c:pt idx="61">
                  <c:v>44351</c:v>
                </c:pt>
                <c:pt idx="62">
                  <c:v>44354</c:v>
                </c:pt>
                <c:pt idx="63">
                  <c:v>44355</c:v>
                </c:pt>
                <c:pt idx="64">
                  <c:v>44356</c:v>
                </c:pt>
                <c:pt idx="65">
                  <c:v>44357</c:v>
                </c:pt>
                <c:pt idx="66">
                  <c:v>44358</c:v>
                </c:pt>
                <c:pt idx="67">
                  <c:v>44361</c:v>
                </c:pt>
                <c:pt idx="68">
                  <c:v>44362</c:v>
                </c:pt>
                <c:pt idx="69">
                  <c:v>44363</c:v>
                </c:pt>
                <c:pt idx="70">
                  <c:v>44364</c:v>
                </c:pt>
                <c:pt idx="71">
                  <c:v>44365</c:v>
                </c:pt>
                <c:pt idx="72">
                  <c:v>44368</c:v>
                </c:pt>
                <c:pt idx="73">
                  <c:v>44369</c:v>
                </c:pt>
                <c:pt idx="74">
                  <c:v>44370</c:v>
                </c:pt>
                <c:pt idx="75">
                  <c:v>44371</c:v>
                </c:pt>
                <c:pt idx="76">
                  <c:v>44372</c:v>
                </c:pt>
                <c:pt idx="77">
                  <c:v>44375</c:v>
                </c:pt>
                <c:pt idx="78">
                  <c:v>44376</c:v>
                </c:pt>
                <c:pt idx="79">
                  <c:v>44377</c:v>
                </c:pt>
                <c:pt idx="80">
                  <c:v>44378</c:v>
                </c:pt>
                <c:pt idx="81">
                  <c:v>44379</c:v>
                </c:pt>
                <c:pt idx="82">
                  <c:v>44382</c:v>
                </c:pt>
                <c:pt idx="83">
                  <c:v>44383</c:v>
                </c:pt>
                <c:pt idx="84">
                  <c:v>44384</c:v>
                </c:pt>
                <c:pt idx="85">
                  <c:v>44385</c:v>
                </c:pt>
                <c:pt idx="86">
                  <c:v>44386</c:v>
                </c:pt>
                <c:pt idx="87">
                  <c:v>44389</c:v>
                </c:pt>
                <c:pt idx="88">
                  <c:v>44390</c:v>
                </c:pt>
                <c:pt idx="89">
                  <c:v>44391</c:v>
                </c:pt>
                <c:pt idx="90">
                  <c:v>44392</c:v>
                </c:pt>
                <c:pt idx="91">
                  <c:v>44393</c:v>
                </c:pt>
                <c:pt idx="92">
                  <c:v>44396</c:v>
                </c:pt>
                <c:pt idx="93">
                  <c:v>44397</c:v>
                </c:pt>
                <c:pt idx="94">
                  <c:v>44398</c:v>
                </c:pt>
                <c:pt idx="95">
                  <c:v>44399</c:v>
                </c:pt>
                <c:pt idx="96">
                  <c:v>44400</c:v>
                </c:pt>
                <c:pt idx="97">
                  <c:v>44403</c:v>
                </c:pt>
                <c:pt idx="98">
                  <c:v>44404</c:v>
                </c:pt>
                <c:pt idx="99">
                  <c:v>44405</c:v>
                </c:pt>
                <c:pt idx="100">
                  <c:v>44406</c:v>
                </c:pt>
                <c:pt idx="101">
                  <c:v>44407</c:v>
                </c:pt>
                <c:pt idx="102">
                  <c:v>44410</c:v>
                </c:pt>
                <c:pt idx="103">
                  <c:v>44411</c:v>
                </c:pt>
                <c:pt idx="104">
                  <c:v>44412</c:v>
                </c:pt>
                <c:pt idx="105">
                  <c:v>44413</c:v>
                </c:pt>
                <c:pt idx="106">
                  <c:v>44414</c:v>
                </c:pt>
                <c:pt idx="107">
                  <c:v>44417</c:v>
                </c:pt>
                <c:pt idx="108">
                  <c:v>44418</c:v>
                </c:pt>
                <c:pt idx="109">
                  <c:v>44419</c:v>
                </c:pt>
                <c:pt idx="110">
                  <c:v>44420</c:v>
                </c:pt>
                <c:pt idx="111">
                  <c:v>44421</c:v>
                </c:pt>
                <c:pt idx="112">
                  <c:v>44424</c:v>
                </c:pt>
                <c:pt idx="113">
                  <c:v>44425</c:v>
                </c:pt>
                <c:pt idx="114">
                  <c:v>44426</c:v>
                </c:pt>
                <c:pt idx="115">
                  <c:v>44427</c:v>
                </c:pt>
                <c:pt idx="116">
                  <c:v>44428</c:v>
                </c:pt>
                <c:pt idx="117">
                  <c:v>44431</c:v>
                </c:pt>
                <c:pt idx="118">
                  <c:v>44432</c:v>
                </c:pt>
                <c:pt idx="119">
                  <c:v>44433</c:v>
                </c:pt>
                <c:pt idx="120">
                  <c:v>44434</c:v>
                </c:pt>
                <c:pt idx="121">
                  <c:v>44435</c:v>
                </c:pt>
                <c:pt idx="122">
                  <c:v>44438</c:v>
                </c:pt>
                <c:pt idx="123">
                  <c:v>44439</c:v>
                </c:pt>
                <c:pt idx="124">
                  <c:v>44440</c:v>
                </c:pt>
                <c:pt idx="125">
                  <c:v>44445</c:v>
                </c:pt>
                <c:pt idx="126">
                  <c:v>44446</c:v>
                </c:pt>
                <c:pt idx="127">
                  <c:v>44447</c:v>
                </c:pt>
                <c:pt idx="128">
                  <c:v>44448</c:v>
                </c:pt>
                <c:pt idx="129">
                  <c:v>44449</c:v>
                </c:pt>
                <c:pt idx="130">
                  <c:v>44452</c:v>
                </c:pt>
                <c:pt idx="131">
                  <c:v>44453</c:v>
                </c:pt>
                <c:pt idx="132">
                  <c:v>44454</c:v>
                </c:pt>
                <c:pt idx="133">
                  <c:v>44455</c:v>
                </c:pt>
                <c:pt idx="134">
                  <c:v>44456</c:v>
                </c:pt>
                <c:pt idx="135">
                  <c:v>44459</c:v>
                </c:pt>
                <c:pt idx="136">
                  <c:v>44460</c:v>
                </c:pt>
                <c:pt idx="137">
                  <c:v>44461</c:v>
                </c:pt>
                <c:pt idx="138">
                  <c:v>44462</c:v>
                </c:pt>
                <c:pt idx="139">
                  <c:v>44463</c:v>
                </c:pt>
                <c:pt idx="140">
                  <c:v>44466</c:v>
                </c:pt>
                <c:pt idx="141">
                  <c:v>44467</c:v>
                </c:pt>
                <c:pt idx="142">
                  <c:v>44468</c:v>
                </c:pt>
                <c:pt idx="143">
                  <c:v>44469</c:v>
                </c:pt>
                <c:pt idx="144">
                  <c:v>44470</c:v>
                </c:pt>
                <c:pt idx="145">
                  <c:v>44473</c:v>
                </c:pt>
                <c:pt idx="146">
                  <c:v>44474</c:v>
                </c:pt>
                <c:pt idx="147">
                  <c:v>44475</c:v>
                </c:pt>
                <c:pt idx="148">
                  <c:v>44476</c:v>
                </c:pt>
                <c:pt idx="149">
                  <c:v>44477</c:v>
                </c:pt>
                <c:pt idx="150">
                  <c:v>44480</c:v>
                </c:pt>
                <c:pt idx="151">
                  <c:v>44481</c:v>
                </c:pt>
                <c:pt idx="152">
                  <c:v>44482</c:v>
                </c:pt>
                <c:pt idx="153">
                  <c:v>44483</c:v>
                </c:pt>
                <c:pt idx="154">
                  <c:v>44484</c:v>
                </c:pt>
                <c:pt idx="155">
                  <c:v>44487</c:v>
                </c:pt>
                <c:pt idx="156">
                  <c:v>44488</c:v>
                </c:pt>
                <c:pt idx="157">
                  <c:v>44489</c:v>
                </c:pt>
                <c:pt idx="158">
                  <c:v>44490</c:v>
                </c:pt>
                <c:pt idx="159">
                  <c:v>44491</c:v>
                </c:pt>
                <c:pt idx="160">
                  <c:v>44494</c:v>
                </c:pt>
                <c:pt idx="161">
                  <c:v>44495</c:v>
                </c:pt>
                <c:pt idx="162">
                  <c:v>44496</c:v>
                </c:pt>
                <c:pt idx="163">
                  <c:v>44497</c:v>
                </c:pt>
                <c:pt idx="164">
                  <c:v>44498</c:v>
                </c:pt>
                <c:pt idx="165">
                  <c:v>44501</c:v>
                </c:pt>
                <c:pt idx="166">
                  <c:v>44502</c:v>
                </c:pt>
                <c:pt idx="167">
                  <c:v>44503</c:v>
                </c:pt>
                <c:pt idx="168">
                  <c:v>44504</c:v>
                </c:pt>
                <c:pt idx="169">
                  <c:v>44505</c:v>
                </c:pt>
                <c:pt idx="170">
                  <c:v>44508</c:v>
                </c:pt>
                <c:pt idx="171">
                  <c:v>44509</c:v>
                </c:pt>
                <c:pt idx="172">
                  <c:v>44510</c:v>
                </c:pt>
                <c:pt idx="173">
                  <c:v>44511</c:v>
                </c:pt>
                <c:pt idx="174">
                  <c:v>44512</c:v>
                </c:pt>
                <c:pt idx="175">
                  <c:v>44515</c:v>
                </c:pt>
                <c:pt idx="176">
                  <c:v>44516</c:v>
                </c:pt>
                <c:pt idx="177">
                  <c:v>44517</c:v>
                </c:pt>
                <c:pt idx="178">
                  <c:v>44518</c:v>
                </c:pt>
                <c:pt idx="179">
                  <c:v>44519</c:v>
                </c:pt>
                <c:pt idx="180">
                  <c:v>44522</c:v>
                </c:pt>
                <c:pt idx="181">
                  <c:v>44523</c:v>
                </c:pt>
                <c:pt idx="182">
                  <c:v>44524</c:v>
                </c:pt>
                <c:pt idx="183">
                  <c:v>44525</c:v>
                </c:pt>
                <c:pt idx="184">
                  <c:v>44526</c:v>
                </c:pt>
                <c:pt idx="185">
                  <c:v>44529</c:v>
                </c:pt>
                <c:pt idx="186">
                  <c:v>44530</c:v>
                </c:pt>
                <c:pt idx="187">
                  <c:v>44531</c:v>
                </c:pt>
                <c:pt idx="188">
                  <c:v>44532</c:v>
                </c:pt>
                <c:pt idx="189">
                  <c:v>44533</c:v>
                </c:pt>
                <c:pt idx="190">
                  <c:v>44536</c:v>
                </c:pt>
                <c:pt idx="191">
                  <c:v>44537</c:v>
                </c:pt>
                <c:pt idx="192">
                  <c:v>44538</c:v>
                </c:pt>
                <c:pt idx="193">
                  <c:v>44539</c:v>
                </c:pt>
                <c:pt idx="194">
                  <c:v>44540</c:v>
                </c:pt>
                <c:pt idx="195">
                  <c:v>44543</c:v>
                </c:pt>
                <c:pt idx="196">
                  <c:v>44544</c:v>
                </c:pt>
                <c:pt idx="197">
                  <c:v>44545</c:v>
                </c:pt>
                <c:pt idx="198">
                  <c:v>44546</c:v>
                </c:pt>
                <c:pt idx="199">
                  <c:v>44547</c:v>
                </c:pt>
                <c:pt idx="200">
                  <c:v>44550</c:v>
                </c:pt>
                <c:pt idx="201">
                  <c:v>44551</c:v>
                </c:pt>
                <c:pt idx="202">
                  <c:v>44552</c:v>
                </c:pt>
                <c:pt idx="203">
                  <c:v>44553</c:v>
                </c:pt>
                <c:pt idx="204">
                  <c:v>44554</c:v>
                </c:pt>
                <c:pt idx="205">
                  <c:v>44557</c:v>
                </c:pt>
                <c:pt idx="206">
                  <c:v>44558</c:v>
                </c:pt>
                <c:pt idx="207">
                  <c:v>44559</c:v>
                </c:pt>
                <c:pt idx="208">
                  <c:v>44560</c:v>
                </c:pt>
                <c:pt idx="209">
                  <c:v>44561</c:v>
                </c:pt>
                <c:pt idx="210">
                  <c:v>44565</c:v>
                </c:pt>
                <c:pt idx="211">
                  <c:v>44566</c:v>
                </c:pt>
                <c:pt idx="212">
                  <c:v>44567</c:v>
                </c:pt>
                <c:pt idx="213">
                  <c:v>44568</c:v>
                </c:pt>
                <c:pt idx="214">
                  <c:v>44571</c:v>
                </c:pt>
                <c:pt idx="215">
                  <c:v>44572</c:v>
                </c:pt>
                <c:pt idx="216">
                  <c:v>44573</c:v>
                </c:pt>
                <c:pt idx="217">
                  <c:v>44574</c:v>
                </c:pt>
                <c:pt idx="218">
                  <c:v>44575</c:v>
                </c:pt>
                <c:pt idx="219">
                  <c:v>44578</c:v>
                </c:pt>
                <c:pt idx="220">
                  <c:v>44579</c:v>
                </c:pt>
                <c:pt idx="221">
                  <c:v>44580</c:v>
                </c:pt>
                <c:pt idx="222">
                  <c:v>44581</c:v>
                </c:pt>
                <c:pt idx="223">
                  <c:v>44582</c:v>
                </c:pt>
                <c:pt idx="224">
                  <c:v>44585</c:v>
                </c:pt>
                <c:pt idx="225">
                  <c:v>44586</c:v>
                </c:pt>
                <c:pt idx="226">
                  <c:v>44587</c:v>
                </c:pt>
                <c:pt idx="227">
                  <c:v>44588</c:v>
                </c:pt>
                <c:pt idx="228">
                  <c:v>44589</c:v>
                </c:pt>
                <c:pt idx="229">
                  <c:v>44599</c:v>
                </c:pt>
                <c:pt idx="230">
                  <c:v>44600</c:v>
                </c:pt>
                <c:pt idx="231">
                  <c:v>44601</c:v>
                </c:pt>
                <c:pt idx="232">
                  <c:v>44602</c:v>
                </c:pt>
                <c:pt idx="233">
                  <c:v>44603</c:v>
                </c:pt>
                <c:pt idx="234">
                  <c:v>44606</c:v>
                </c:pt>
                <c:pt idx="235">
                  <c:v>44607</c:v>
                </c:pt>
                <c:pt idx="236">
                  <c:v>44608</c:v>
                </c:pt>
                <c:pt idx="237">
                  <c:v>44609</c:v>
                </c:pt>
                <c:pt idx="238">
                  <c:v>44610</c:v>
                </c:pt>
                <c:pt idx="239">
                  <c:v>44613</c:v>
                </c:pt>
                <c:pt idx="240">
                  <c:v>44614</c:v>
                </c:pt>
                <c:pt idx="241">
                  <c:v>44615</c:v>
                </c:pt>
                <c:pt idx="242">
                  <c:v>44616</c:v>
                </c:pt>
                <c:pt idx="243">
                  <c:v>44617</c:v>
                </c:pt>
                <c:pt idx="244">
                  <c:v>44620</c:v>
                </c:pt>
                <c:pt idx="245">
                  <c:v>44621</c:v>
                </c:pt>
                <c:pt idx="246">
                  <c:v>44622</c:v>
                </c:pt>
                <c:pt idx="247">
                  <c:v>44623</c:v>
                </c:pt>
                <c:pt idx="248">
                  <c:v>44624</c:v>
                </c:pt>
                <c:pt idx="249">
                  <c:v>44627</c:v>
                </c:pt>
                <c:pt idx="250">
                  <c:v>44628</c:v>
                </c:pt>
                <c:pt idx="251">
                  <c:v>44629</c:v>
                </c:pt>
                <c:pt idx="252">
                  <c:v>44630</c:v>
                </c:pt>
                <c:pt idx="253">
                  <c:v>44631</c:v>
                </c:pt>
                <c:pt idx="254">
                  <c:v>44634</c:v>
                </c:pt>
                <c:pt idx="255">
                  <c:v>44635</c:v>
                </c:pt>
                <c:pt idx="256">
                  <c:v>44636</c:v>
                </c:pt>
                <c:pt idx="257">
                  <c:v>44637</c:v>
                </c:pt>
                <c:pt idx="258">
                  <c:v>44638</c:v>
                </c:pt>
                <c:pt idx="259">
                  <c:v>44641</c:v>
                </c:pt>
                <c:pt idx="260">
                  <c:v>44642</c:v>
                </c:pt>
                <c:pt idx="261">
                  <c:v>44643</c:v>
                </c:pt>
                <c:pt idx="262">
                  <c:v>44644</c:v>
                </c:pt>
                <c:pt idx="263">
                  <c:v>44645</c:v>
                </c:pt>
                <c:pt idx="264">
                  <c:v>44648</c:v>
                </c:pt>
                <c:pt idx="265">
                  <c:v>44649</c:v>
                </c:pt>
                <c:pt idx="266">
                  <c:v>44650</c:v>
                </c:pt>
                <c:pt idx="267">
                  <c:v>44651</c:v>
                </c:pt>
                <c:pt idx="268">
                  <c:v>44652</c:v>
                </c:pt>
                <c:pt idx="269">
                  <c:v>44655</c:v>
                </c:pt>
                <c:pt idx="270">
                  <c:v>44656</c:v>
                </c:pt>
                <c:pt idx="271">
                  <c:v>44657</c:v>
                </c:pt>
                <c:pt idx="272">
                  <c:v>44658</c:v>
                </c:pt>
                <c:pt idx="273">
                  <c:v>44659</c:v>
                </c:pt>
                <c:pt idx="274">
                  <c:v>44663</c:v>
                </c:pt>
                <c:pt idx="275">
                  <c:v>44664</c:v>
                </c:pt>
                <c:pt idx="276">
                  <c:v>44665</c:v>
                </c:pt>
                <c:pt idx="277">
                  <c:v>44666</c:v>
                </c:pt>
                <c:pt idx="278">
                  <c:v>44669</c:v>
                </c:pt>
                <c:pt idx="279">
                  <c:v>44670</c:v>
                </c:pt>
                <c:pt idx="280">
                  <c:v>44671</c:v>
                </c:pt>
                <c:pt idx="281">
                  <c:v>44672</c:v>
                </c:pt>
                <c:pt idx="282">
                  <c:v>44673</c:v>
                </c:pt>
                <c:pt idx="283">
                  <c:v>44676</c:v>
                </c:pt>
                <c:pt idx="284">
                  <c:v>44677</c:v>
                </c:pt>
                <c:pt idx="285">
                  <c:v>44678</c:v>
                </c:pt>
                <c:pt idx="286">
                  <c:v>44679</c:v>
                </c:pt>
                <c:pt idx="287">
                  <c:v>44680</c:v>
                </c:pt>
                <c:pt idx="288">
                  <c:v>44685</c:v>
                </c:pt>
                <c:pt idx="289">
                  <c:v>44686</c:v>
                </c:pt>
                <c:pt idx="290">
                  <c:v>44687</c:v>
                </c:pt>
                <c:pt idx="291">
                  <c:v>44690</c:v>
                </c:pt>
                <c:pt idx="292">
                  <c:v>44691</c:v>
                </c:pt>
                <c:pt idx="293">
                  <c:v>44692</c:v>
                </c:pt>
                <c:pt idx="294">
                  <c:v>44693</c:v>
                </c:pt>
                <c:pt idx="295">
                  <c:v>44694</c:v>
                </c:pt>
                <c:pt idx="296">
                  <c:v>44697</c:v>
                </c:pt>
                <c:pt idx="297">
                  <c:v>44698</c:v>
                </c:pt>
                <c:pt idx="298">
                  <c:v>44699</c:v>
                </c:pt>
                <c:pt idx="299">
                  <c:v>44700</c:v>
                </c:pt>
                <c:pt idx="300">
                  <c:v>44701</c:v>
                </c:pt>
                <c:pt idx="301">
                  <c:v>44704</c:v>
                </c:pt>
                <c:pt idx="302">
                  <c:v>44705</c:v>
                </c:pt>
                <c:pt idx="303">
                  <c:v>44706</c:v>
                </c:pt>
                <c:pt idx="304">
                  <c:v>44707</c:v>
                </c:pt>
                <c:pt idx="305">
                  <c:v>44708</c:v>
                </c:pt>
                <c:pt idx="306">
                  <c:v>44711</c:v>
                </c:pt>
                <c:pt idx="307">
                  <c:v>44712</c:v>
                </c:pt>
                <c:pt idx="308">
                  <c:v>44713</c:v>
                </c:pt>
                <c:pt idx="309">
                  <c:v>44714</c:v>
                </c:pt>
                <c:pt idx="310">
                  <c:v>44715</c:v>
                </c:pt>
                <c:pt idx="311">
                  <c:v>44718</c:v>
                </c:pt>
                <c:pt idx="312">
                  <c:v>44719</c:v>
                </c:pt>
                <c:pt idx="313">
                  <c:v>44720</c:v>
                </c:pt>
                <c:pt idx="314">
                  <c:v>44721</c:v>
                </c:pt>
                <c:pt idx="315">
                  <c:v>44722</c:v>
                </c:pt>
                <c:pt idx="316">
                  <c:v>44725</c:v>
                </c:pt>
                <c:pt idx="317">
                  <c:v>44726</c:v>
                </c:pt>
                <c:pt idx="318">
                  <c:v>44727</c:v>
                </c:pt>
                <c:pt idx="319">
                  <c:v>44728</c:v>
                </c:pt>
                <c:pt idx="320">
                  <c:v>44729</c:v>
                </c:pt>
                <c:pt idx="321">
                  <c:v>44732</c:v>
                </c:pt>
                <c:pt idx="322">
                  <c:v>44733</c:v>
                </c:pt>
                <c:pt idx="323">
                  <c:v>44734</c:v>
                </c:pt>
                <c:pt idx="324">
                  <c:v>44735</c:v>
                </c:pt>
                <c:pt idx="325">
                  <c:v>44736</c:v>
                </c:pt>
                <c:pt idx="326">
                  <c:v>44739</c:v>
                </c:pt>
                <c:pt idx="327">
                  <c:v>44740</c:v>
                </c:pt>
                <c:pt idx="328">
                  <c:v>44741</c:v>
                </c:pt>
                <c:pt idx="329">
                  <c:v>44742</c:v>
                </c:pt>
                <c:pt idx="330">
                  <c:v>44743</c:v>
                </c:pt>
                <c:pt idx="331">
                  <c:v>44746</c:v>
                </c:pt>
                <c:pt idx="332">
                  <c:v>44747</c:v>
                </c:pt>
                <c:pt idx="333">
                  <c:v>44748</c:v>
                </c:pt>
                <c:pt idx="334">
                  <c:v>44749</c:v>
                </c:pt>
                <c:pt idx="335">
                  <c:v>44750</c:v>
                </c:pt>
                <c:pt idx="336">
                  <c:v>44753</c:v>
                </c:pt>
                <c:pt idx="337">
                  <c:v>44754</c:v>
                </c:pt>
                <c:pt idx="338">
                  <c:v>44755</c:v>
                </c:pt>
                <c:pt idx="339">
                  <c:v>44756</c:v>
                </c:pt>
                <c:pt idx="340">
                  <c:v>44757</c:v>
                </c:pt>
                <c:pt idx="341">
                  <c:v>44760</c:v>
                </c:pt>
                <c:pt idx="342">
                  <c:v>44761</c:v>
                </c:pt>
                <c:pt idx="343">
                  <c:v>44762</c:v>
                </c:pt>
                <c:pt idx="344">
                  <c:v>44763</c:v>
                </c:pt>
                <c:pt idx="345">
                  <c:v>44764</c:v>
                </c:pt>
                <c:pt idx="346">
                  <c:v>44767</c:v>
                </c:pt>
                <c:pt idx="347">
                  <c:v>44768</c:v>
                </c:pt>
                <c:pt idx="348">
                  <c:v>44769</c:v>
                </c:pt>
                <c:pt idx="349">
                  <c:v>44770</c:v>
                </c:pt>
                <c:pt idx="350">
                  <c:v>44771</c:v>
                </c:pt>
                <c:pt idx="351">
                  <c:v>44774</c:v>
                </c:pt>
                <c:pt idx="352">
                  <c:v>44775</c:v>
                </c:pt>
                <c:pt idx="353">
                  <c:v>44776</c:v>
                </c:pt>
                <c:pt idx="354">
                  <c:v>44777</c:v>
                </c:pt>
                <c:pt idx="355">
                  <c:v>44778</c:v>
                </c:pt>
                <c:pt idx="356">
                  <c:v>44781</c:v>
                </c:pt>
                <c:pt idx="357">
                  <c:v>44782</c:v>
                </c:pt>
                <c:pt idx="358">
                  <c:v>44783</c:v>
                </c:pt>
                <c:pt idx="359">
                  <c:v>44784</c:v>
                </c:pt>
                <c:pt idx="360">
                  <c:v>44785</c:v>
                </c:pt>
                <c:pt idx="361">
                  <c:v>44788</c:v>
                </c:pt>
                <c:pt idx="362">
                  <c:v>44789</c:v>
                </c:pt>
                <c:pt idx="363">
                  <c:v>44790</c:v>
                </c:pt>
                <c:pt idx="364">
                  <c:v>44791</c:v>
                </c:pt>
                <c:pt idx="365">
                  <c:v>44792</c:v>
                </c:pt>
                <c:pt idx="366">
                  <c:v>44795</c:v>
                </c:pt>
                <c:pt idx="367">
                  <c:v>44796</c:v>
                </c:pt>
                <c:pt idx="368">
                  <c:v>44797</c:v>
                </c:pt>
                <c:pt idx="369">
                  <c:v>44798</c:v>
                </c:pt>
                <c:pt idx="370">
                  <c:v>44799</c:v>
                </c:pt>
                <c:pt idx="371">
                  <c:v>44802</c:v>
                </c:pt>
                <c:pt idx="372">
                  <c:v>44803</c:v>
                </c:pt>
                <c:pt idx="373">
                  <c:v>44804</c:v>
                </c:pt>
                <c:pt idx="374">
                  <c:v>44809</c:v>
                </c:pt>
                <c:pt idx="375">
                  <c:v>44810</c:v>
                </c:pt>
                <c:pt idx="376">
                  <c:v>44811</c:v>
                </c:pt>
                <c:pt idx="377">
                  <c:v>44812</c:v>
                </c:pt>
                <c:pt idx="378">
                  <c:v>44813</c:v>
                </c:pt>
                <c:pt idx="379">
                  <c:v>44816</c:v>
                </c:pt>
                <c:pt idx="380">
                  <c:v>44817</c:v>
                </c:pt>
                <c:pt idx="381">
                  <c:v>44818</c:v>
                </c:pt>
                <c:pt idx="382">
                  <c:v>44819</c:v>
                </c:pt>
                <c:pt idx="383">
                  <c:v>44820</c:v>
                </c:pt>
                <c:pt idx="384">
                  <c:v>44823</c:v>
                </c:pt>
                <c:pt idx="385">
                  <c:v>44824</c:v>
                </c:pt>
                <c:pt idx="386">
                  <c:v>44825</c:v>
                </c:pt>
                <c:pt idx="387">
                  <c:v>44826</c:v>
                </c:pt>
                <c:pt idx="388">
                  <c:v>44827</c:v>
                </c:pt>
                <c:pt idx="389">
                  <c:v>44830</c:v>
                </c:pt>
                <c:pt idx="390">
                  <c:v>44831</c:v>
                </c:pt>
                <c:pt idx="391">
                  <c:v>44832</c:v>
                </c:pt>
                <c:pt idx="392">
                  <c:v>44833</c:v>
                </c:pt>
                <c:pt idx="393">
                  <c:v>44834</c:v>
                </c:pt>
                <c:pt idx="394">
                  <c:v>44837</c:v>
                </c:pt>
                <c:pt idx="395">
                  <c:v>44838</c:v>
                </c:pt>
                <c:pt idx="396">
                  <c:v>44839</c:v>
                </c:pt>
                <c:pt idx="397">
                  <c:v>44840</c:v>
                </c:pt>
                <c:pt idx="398">
                  <c:v>44841</c:v>
                </c:pt>
                <c:pt idx="399">
                  <c:v>44844</c:v>
                </c:pt>
                <c:pt idx="400">
                  <c:v>44845</c:v>
                </c:pt>
                <c:pt idx="401">
                  <c:v>44846</c:v>
                </c:pt>
                <c:pt idx="402">
                  <c:v>44847</c:v>
                </c:pt>
                <c:pt idx="403">
                  <c:v>44848</c:v>
                </c:pt>
                <c:pt idx="404">
                  <c:v>44851</c:v>
                </c:pt>
                <c:pt idx="405">
                  <c:v>44852</c:v>
                </c:pt>
                <c:pt idx="406">
                  <c:v>44853</c:v>
                </c:pt>
                <c:pt idx="407">
                  <c:v>44854</c:v>
                </c:pt>
                <c:pt idx="408">
                  <c:v>44855</c:v>
                </c:pt>
                <c:pt idx="409">
                  <c:v>44858</c:v>
                </c:pt>
                <c:pt idx="410">
                  <c:v>44859</c:v>
                </c:pt>
                <c:pt idx="411">
                  <c:v>44860</c:v>
                </c:pt>
                <c:pt idx="412">
                  <c:v>44861</c:v>
                </c:pt>
                <c:pt idx="413">
                  <c:v>44862</c:v>
                </c:pt>
                <c:pt idx="414">
                  <c:v>44865</c:v>
                </c:pt>
                <c:pt idx="415">
                  <c:v>44866</c:v>
                </c:pt>
                <c:pt idx="416">
                  <c:v>44867</c:v>
                </c:pt>
                <c:pt idx="417">
                  <c:v>44868</c:v>
                </c:pt>
                <c:pt idx="418">
                  <c:v>44869</c:v>
                </c:pt>
                <c:pt idx="419">
                  <c:v>44872</c:v>
                </c:pt>
                <c:pt idx="420">
                  <c:v>44873</c:v>
                </c:pt>
                <c:pt idx="421">
                  <c:v>44874</c:v>
                </c:pt>
                <c:pt idx="422">
                  <c:v>44875</c:v>
                </c:pt>
                <c:pt idx="423">
                  <c:v>44876</c:v>
                </c:pt>
                <c:pt idx="424">
                  <c:v>44879</c:v>
                </c:pt>
                <c:pt idx="425">
                  <c:v>44880</c:v>
                </c:pt>
                <c:pt idx="426">
                  <c:v>44881</c:v>
                </c:pt>
                <c:pt idx="427">
                  <c:v>44882</c:v>
                </c:pt>
                <c:pt idx="428">
                  <c:v>44883</c:v>
                </c:pt>
                <c:pt idx="429">
                  <c:v>44886</c:v>
                </c:pt>
                <c:pt idx="430">
                  <c:v>44887</c:v>
                </c:pt>
                <c:pt idx="431">
                  <c:v>44888</c:v>
                </c:pt>
                <c:pt idx="432">
                  <c:v>44889</c:v>
                </c:pt>
                <c:pt idx="433">
                  <c:v>44890</c:v>
                </c:pt>
                <c:pt idx="434">
                  <c:v>44893</c:v>
                </c:pt>
                <c:pt idx="435">
                  <c:v>44894</c:v>
                </c:pt>
                <c:pt idx="436">
                  <c:v>44895</c:v>
                </c:pt>
                <c:pt idx="437">
                  <c:v>44896</c:v>
                </c:pt>
                <c:pt idx="438">
                  <c:v>44897</c:v>
                </c:pt>
                <c:pt idx="439">
                  <c:v>44900</c:v>
                </c:pt>
                <c:pt idx="440">
                  <c:v>44901</c:v>
                </c:pt>
                <c:pt idx="441">
                  <c:v>44902</c:v>
                </c:pt>
                <c:pt idx="442">
                  <c:v>44903</c:v>
                </c:pt>
                <c:pt idx="443">
                  <c:v>44904</c:v>
                </c:pt>
                <c:pt idx="444">
                  <c:v>44907</c:v>
                </c:pt>
                <c:pt idx="445">
                  <c:v>44908</c:v>
                </c:pt>
                <c:pt idx="446">
                  <c:v>44909</c:v>
                </c:pt>
                <c:pt idx="447">
                  <c:v>44910</c:v>
                </c:pt>
                <c:pt idx="448">
                  <c:v>44911</c:v>
                </c:pt>
                <c:pt idx="449">
                  <c:v>44914</c:v>
                </c:pt>
                <c:pt idx="450">
                  <c:v>44915</c:v>
                </c:pt>
                <c:pt idx="451">
                  <c:v>44916</c:v>
                </c:pt>
                <c:pt idx="452">
                  <c:v>44917</c:v>
                </c:pt>
                <c:pt idx="453">
                  <c:v>44918</c:v>
                </c:pt>
                <c:pt idx="454">
                  <c:v>44921</c:v>
                </c:pt>
                <c:pt idx="455">
                  <c:v>44922</c:v>
                </c:pt>
                <c:pt idx="456">
                  <c:v>44923</c:v>
                </c:pt>
                <c:pt idx="457">
                  <c:v>44924</c:v>
                </c:pt>
                <c:pt idx="458">
                  <c:v>44925</c:v>
                </c:pt>
                <c:pt idx="459">
                  <c:v>44929</c:v>
                </c:pt>
                <c:pt idx="460">
                  <c:v>44930</c:v>
                </c:pt>
                <c:pt idx="461">
                  <c:v>44931</c:v>
                </c:pt>
                <c:pt idx="462">
                  <c:v>44932</c:v>
                </c:pt>
                <c:pt idx="463">
                  <c:v>44935</c:v>
                </c:pt>
                <c:pt idx="464">
                  <c:v>44936</c:v>
                </c:pt>
                <c:pt idx="465">
                  <c:v>44937</c:v>
                </c:pt>
                <c:pt idx="466">
                  <c:v>44938</c:v>
                </c:pt>
                <c:pt idx="467">
                  <c:v>44939</c:v>
                </c:pt>
                <c:pt idx="468">
                  <c:v>44942</c:v>
                </c:pt>
                <c:pt idx="469">
                  <c:v>44943</c:v>
                </c:pt>
                <c:pt idx="470">
                  <c:v>44944</c:v>
                </c:pt>
                <c:pt idx="471">
                  <c:v>44945</c:v>
                </c:pt>
                <c:pt idx="472">
                  <c:v>44953</c:v>
                </c:pt>
                <c:pt idx="473">
                  <c:v>44956</c:v>
                </c:pt>
                <c:pt idx="474">
                  <c:v>44957</c:v>
                </c:pt>
                <c:pt idx="475">
                  <c:v>44958</c:v>
                </c:pt>
                <c:pt idx="476">
                  <c:v>44959</c:v>
                </c:pt>
                <c:pt idx="477">
                  <c:v>44960</c:v>
                </c:pt>
                <c:pt idx="478">
                  <c:v>44963</c:v>
                </c:pt>
                <c:pt idx="479">
                  <c:v>44964</c:v>
                </c:pt>
                <c:pt idx="480">
                  <c:v>44965</c:v>
                </c:pt>
                <c:pt idx="481">
                  <c:v>44966</c:v>
                </c:pt>
                <c:pt idx="482">
                  <c:v>44967</c:v>
                </c:pt>
                <c:pt idx="483">
                  <c:v>44970</c:v>
                </c:pt>
                <c:pt idx="484">
                  <c:v>44971</c:v>
                </c:pt>
                <c:pt idx="485">
                  <c:v>44972</c:v>
                </c:pt>
                <c:pt idx="486">
                  <c:v>44973</c:v>
                </c:pt>
                <c:pt idx="487">
                  <c:v>44974</c:v>
                </c:pt>
                <c:pt idx="488">
                  <c:v>44977</c:v>
                </c:pt>
                <c:pt idx="489">
                  <c:v>44978</c:v>
                </c:pt>
                <c:pt idx="490">
                  <c:v>44979</c:v>
                </c:pt>
                <c:pt idx="491">
                  <c:v>44980</c:v>
                </c:pt>
              </c:numCache>
            </c:numRef>
          </c:cat>
          <c:val>
            <c:numRef>
              <c:f>'FX Data'!$D$957:$D$1453</c:f>
              <c:numCache>
                <c:formatCode>0.0</c:formatCode>
                <c:ptCount val="497"/>
                <c:pt idx="0">
                  <c:v>4.8346999999999998</c:v>
                </c:pt>
                <c:pt idx="1">
                  <c:v>4.8122999999999996</c:v>
                </c:pt>
                <c:pt idx="2">
                  <c:v>4.7112999999999996</c:v>
                </c:pt>
                <c:pt idx="3">
                  <c:v>4.7281000000000004</c:v>
                </c:pt>
                <c:pt idx="4">
                  <c:v>4.7281000000000004</c:v>
                </c:pt>
                <c:pt idx="5">
                  <c:v>4.7449000000000003</c:v>
                </c:pt>
                <c:pt idx="6">
                  <c:v>4.7449000000000003</c:v>
                </c:pt>
                <c:pt idx="7">
                  <c:v>4.7112999999999996</c:v>
                </c:pt>
                <c:pt idx="8">
                  <c:v>4.6944999999999997</c:v>
                </c:pt>
                <c:pt idx="9">
                  <c:v>4.6272000000000002</c:v>
                </c:pt>
                <c:pt idx="10">
                  <c:v>4.6608000000000001</c:v>
                </c:pt>
                <c:pt idx="11">
                  <c:v>4.6776</c:v>
                </c:pt>
                <c:pt idx="12">
                  <c:v>4.6158999999999999</c:v>
                </c:pt>
                <c:pt idx="13">
                  <c:v>4.6496000000000004</c:v>
                </c:pt>
                <c:pt idx="14">
                  <c:v>4.6215999999999999</c:v>
                </c:pt>
                <c:pt idx="15">
                  <c:v>4.5711000000000004</c:v>
                </c:pt>
                <c:pt idx="16">
                  <c:v>4.5149999999999997</c:v>
                </c:pt>
                <c:pt idx="17">
                  <c:v>4.3747999999999996</c:v>
                </c:pt>
                <c:pt idx="18">
                  <c:v>4.3186999999999998</c:v>
                </c:pt>
                <c:pt idx="19">
                  <c:v>4.4387999999999996</c:v>
                </c:pt>
                <c:pt idx="20">
                  <c:v>4.2458</c:v>
                </c:pt>
                <c:pt idx="21">
                  <c:v>4.2733999999999996</c:v>
                </c:pt>
                <c:pt idx="22">
                  <c:v>4.3230000000000004</c:v>
                </c:pt>
                <c:pt idx="23">
                  <c:v>4.2182000000000004</c:v>
                </c:pt>
                <c:pt idx="24">
                  <c:v>4.0804</c:v>
                </c:pt>
                <c:pt idx="25">
                  <c:v>4.0804</c:v>
                </c:pt>
                <c:pt idx="26">
                  <c:v>3.9148999999999998</c:v>
                </c:pt>
                <c:pt idx="27">
                  <c:v>3.9921000000000002</c:v>
                </c:pt>
                <c:pt idx="28">
                  <c:v>4.0251999999999999</c:v>
                </c:pt>
                <c:pt idx="29">
                  <c:v>4.0804</c:v>
                </c:pt>
                <c:pt idx="30">
                  <c:v>4.0693000000000001</c:v>
                </c:pt>
                <c:pt idx="31">
                  <c:v>4.13</c:v>
                </c:pt>
                <c:pt idx="32">
                  <c:v>4.1631</c:v>
                </c:pt>
                <c:pt idx="33">
                  <c:v>4.2899000000000003</c:v>
                </c:pt>
                <c:pt idx="34">
                  <c:v>4.0747999999999998</c:v>
                </c:pt>
                <c:pt idx="35">
                  <c:v>3.9205000000000001</c:v>
                </c:pt>
                <c:pt idx="36">
                  <c:v>4.0362</c:v>
                </c:pt>
                <c:pt idx="37">
                  <c:v>4.0693000000000001</c:v>
                </c:pt>
                <c:pt idx="38">
                  <c:v>4.1795999999999998</c:v>
                </c:pt>
                <c:pt idx="39">
                  <c:v>4.1355000000000004</c:v>
                </c:pt>
                <c:pt idx="40">
                  <c:v>4.1685999999999996</c:v>
                </c:pt>
                <c:pt idx="41">
                  <c:v>4.1631</c:v>
                </c:pt>
                <c:pt idx="42">
                  <c:v>4.0804</c:v>
                </c:pt>
                <c:pt idx="43">
                  <c:v>4.0858999999999996</c:v>
                </c:pt>
                <c:pt idx="44">
                  <c:v>4.0197000000000003</c:v>
                </c:pt>
                <c:pt idx="45">
                  <c:v>4.0031999999999996</c:v>
                </c:pt>
                <c:pt idx="46">
                  <c:v>4.0418000000000003</c:v>
                </c:pt>
                <c:pt idx="47">
                  <c:v>4.0804</c:v>
                </c:pt>
                <c:pt idx="48">
                  <c:v>4.0251999999999999</c:v>
                </c:pt>
                <c:pt idx="49">
                  <c:v>4.0141999999999998</c:v>
                </c:pt>
                <c:pt idx="50">
                  <c:v>3.9039000000000001</c:v>
                </c:pt>
                <c:pt idx="51">
                  <c:v>3.6337000000000002</c:v>
                </c:pt>
                <c:pt idx="52">
                  <c:v>3.8212000000000002</c:v>
                </c:pt>
                <c:pt idx="53">
                  <c:v>3.9148999999999998</c:v>
                </c:pt>
                <c:pt idx="54">
                  <c:v>3.9424999999999999</c:v>
                </c:pt>
                <c:pt idx="55">
                  <c:v>3.8653</c:v>
                </c:pt>
                <c:pt idx="56">
                  <c:v>3.8874</c:v>
                </c:pt>
                <c:pt idx="57">
                  <c:v>3.8874</c:v>
                </c:pt>
                <c:pt idx="58">
                  <c:v>3.8874</c:v>
                </c:pt>
                <c:pt idx="59">
                  <c:v>3.9701</c:v>
                </c:pt>
                <c:pt idx="60">
                  <c:v>4.0968999999999998</c:v>
                </c:pt>
                <c:pt idx="61">
                  <c:v>4.0968999999999998</c:v>
                </c:pt>
                <c:pt idx="62">
                  <c:v>4.1134000000000004</c:v>
                </c:pt>
                <c:pt idx="63">
                  <c:v>4.1189999999999998</c:v>
                </c:pt>
                <c:pt idx="64">
                  <c:v>4.2678000000000003</c:v>
                </c:pt>
                <c:pt idx="65">
                  <c:v>4.3174999999999999</c:v>
                </c:pt>
                <c:pt idx="66">
                  <c:v>4.1905999999999999</c:v>
                </c:pt>
                <c:pt idx="67">
                  <c:v>4.2182000000000004</c:v>
                </c:pt>
                <c:pt idx="68">
                  <c:v>4.2458</c:v>
                </c:pt>
                <c:pt idx="69">
                  <c:v>4.3009000000000004</c:v>
                </c:pt>
                <c:pt idx="70">
                  <c:v>4.2458</c:v>
                </c:pt>
                <c:pt idx="71">
                  <c:v>4.2568000000000001</c:v>
                </c:pt>
                <c:pt idx="72">
                  <c:v>4.2072000000000003</c:v>
                </c:pt>
                <c:pt idx="73">
                  <c:v>4.2843999999999998</c:v>
                </c:pt>
                <c:pt idx="74">
                  <c:v>4.2953999999999999</c:v>
                </c:pt>
                <c:pt idx="75">
                  <c:v>4.2237</c:v>
                </c:pt>
                <c:pt idx="76">
                  <c:v>4.2237</c:v>
                </c:pt>
                <c:pt idx="77">
                  <c:v>4.2568000000000001</c:v>
                </c:pt>
                <c:pt idx="78">
                  <c:v>4.2568000000000001</c:v>
                </c:pt>
                <c:pt idx="79">
                  <c:v>4.3009000000000004</c:v>
                </c:pt>
                <c:pt idx="80">
                  <c:v>4.2126999999999999</c:v>
                </c:pt>
                <c:pt idx="81">
                  <c:v>4.2182000000000004</c:v>
                </c:pt>
                <c:pt idx="82">
                  <c:v>4.2291999999999996</c:v>
                </c:pt>
                <c:pt idx="83">
                  <c:v>4.2016999999999998</c:v>
                </c:pt>
                <c:pt idx="84">
                  <c:v>4.0083000000000002</c:v>
                </c:pt>
                <c:pt idx="85">
                  <c:v>4.1699000000000002</c:v>
                </c:pt>
                <c:pt idx="86">
                  <c:v>4.1699000000000002</c:v>
                </c:pt>
                <c:pt idx="87">
                  <c:v>4.2012</c:v>
                </c:pt>
                <c:pt idx="88">
                  <c:v>4.1856</c:v>
                </c:pt>
                <c:pt idx="89">
                  <c:v>4.1856</c:v>
                </c:pt>
                <c:pt idx="90">
                  <c:v>4.1908000000000003</c:v>
                </c:pt>
                <c:pt idx="91">
                  <c:v>4.2168000000000001</c:v>
                </c:pt>
                <c:pt idx="92">
                  <c:v>4.2064000000000004</c:v>
                </c:pt>
                <c:pt idx="93">
                  <c:v>4.1699000000000002</c:v>
                </c:pt>
                <c:pt idx="94">
                  <c:v>4.2115999999999998</c:v>
                </c:pt>
                <c:pt idx="95">
                  <c:v>4.2742000000000004</c:v>
                </c:pt>
                <c:pt idx="96">
                  <c:v>4.3471000000000002</c:v>
                </c:pt>
                <c:pt idx="97">
                  <c:v>4.3731999999999998</c:v>
                </c:pt>
                <c:pt idx="98">
                  <c:v>4.3784000000000001</c:v>
                </c:pt>
                <c:pt idx="99">
                  <c:v>4.3628</c:v>
                </c:pt>
                <c:pt idx="100">
                  <c:v>4.3524000000000003</c:v>
                </c:pt>
                <c:pt idx="101">
                  <c:v>4.2742000000000004</c:v>
                </c:pt>
                <c:pt idx="102">
                  <c:v>4.2690000000000001</c:v>
                </c:pt>
                <c:pt idx="103">
                  <c:v>4.1750999999999996</c:v>
                </c:pt>
                <c:pt idx="104">
                  <c:v>4.1959999999999997</c:v>
                </c:pt>
                <c:pt idx="105">
                  <c:v>4.2064000000000004</c:v>
                </c:pt>
                <c:pt idx="106">
                  <c:v>4.2324999999999999</c:v>
                </c:pt>
                <c:pt idx="107">
                  <c:v>4.2064000000000004</c:v>
                </c:pt>
                <c:pt idx="108">
                  <c:v>4.2064000000000004</c:v>
                </c:pt>
                <c:pt idx="109">
                  <c:v>4.2064000000000004</c:v>
                </c:pt>
                <c:pt idx="110">
                  <c:v>4.2115999999999998</c:v>
                </c:pt>
                <c:pt idx="111">
                  <c:v>4.2533000000000003</c:v>
                </c:pt>
                <c:pt idx="112">
                  <c:v>4.2533000000000003</c:v>
                </c:pt>
                <c:pt idx="113">
                  <c:v>4.2533000000000003</c:v>
                </c:pt>
                <c:pt idx="114">
                  <c:v>4.3159000000000001</c:v>
                </c:pt>
                <c:pt idx="115">
                  <c:v>4.3159000000000001</c:v>
                </c:pt>
                <c:pt idx="116">
                  <c:v>4.2637</c:v>
                </c:pt>
                <c:pt idx="117">
                  <c:v>4.2428999999999997</c:v>
                </c:pt>
                <c:pt idx="118">
                  <c:v>4.2115999999999998</c:v>
                </c:pt>
                <c:pt idx="119">
                  <c:v>4.1856</c:v>
                </c:pt>
                <c:pt idx="120">
                  <c:v>4.1959999999999997</c:v>
                </c:pt>
                <c:pt idx="121">
                  <c:v>4.1959999999999997</c:v>
                </c:pt>
                <c:pt idx="122">
                  <c:v>4.1699000000000002</c:v>
                </c:pt>
                <c:pt idx="123">
                  <c:v>4.0917000000000003</c:v>
                </c:pt>
                <c:pt idx="124">
                  <c:v>4.0761000000000003</c:v>
                </c:pt>
                <c:pt idx="125">
                  <c:v>4.1074000000000002</c:v>
                </c:pt>
                <c:pt idx="126">
                  <c:v>4.1439000000000004</c:v>
                </c:pt>
                <c:pt idx="127">
                  <c:v>4.2012</c:v>
                </c:pt>
                <c:pt idx="128">
                  <c:v>4.1439000000000004</c:v>
                </c:pt>
                <c:pt idx="129">
                  <c:v>4.1125999999999996</c:v>
                </c:pt>
                <c:pt idx="130">
                  <c:v>4.1021999999999998</c:v>
                </c:pt>
                <c:pt idx="131">
                  <c:v>4.1959999999999997</c:v>
                </c:pt>
                <c:pt idx="132">
                  <c:v>4.1281999999999996</c:v>
                </c:pt>
                <c:pt idx="133">
                  <c:v>4.1177999999999999</c:v>
                </c:pt>
                <c:pt idx="134">
                  <c:v>4.0448000000000004</c:v>
                </c:pt>
                <c:pt idx="135">
                  <c:v>4.0709</c:v>
                </c:pt>
                <c:pt idx="136">
                  <c:v>4.0917000000000003</c:v>
                </c:pt>
                <c:pt idx="137">
                  <c:v>4.0656999999999996</c:v>
                </c:pt>
                <c:pt idx="138">
                  <c:v>4.0968999999999998</c:v>
                </c:pt>
                <c:pt idx="139">
                  <c:v>4.1230000000000002</c:v>
                </c:pt>
                <c:pt idx="140">
                  <c:v>4.1281999999999996</c:v>
                </c:pt>
                <c:pt idx="141">
                  <c:v>4.1177999999999999</c:v>
                </c:pt>
                <c:pt idx="142">
                  <c:v>4.1230000000000002</c:v>
                </c:pt>
                <c:pt idx="143">
                  <c:v>3.8414999999999999</c:v>
                </c:pt>
                <c:pt idx="144">
                  <c:v>3.9289000000000001</c:v>
                </c:pt>
                <c:pt idx="145">
                  <c:v>3.9095</c:v>
                </c:pt>
                <c:pt idx="146">
                  <c:v>3.9142999999999999</c:v>
                </c:pt>
                <c:pt idx="147">
                  <c:v>3.8997999999999999</c:v>
                </c:pt>
                <c:pt idx="148">
                  <c:v>3.9095</c:v>
                </c:pt>
                <c:pt idx="149">
                  <c:v>3.8997999999999999</c:v>
                </c:pt>
                <c:pt idx="150">
                  <c:v>3.8997999999999999</c:v>
                </c:pt>
                <c:pt idx="151">
                  <c:v>3.8997999999999999</c:v>
                </c:pt>
                <c:pt idx="152">
                  <c:v>3.8658000000000001</c:v>
                </c:pt>
                <c:pt idx="153">
                  <c:v>3.8658000000000001</c:v>
                </c:pt>
                <c:pt idx="154">
                  <c:v>3.8658000000000001</c:v>
                </c:pt>
                <c:pt idx="155">
                  <c:v>3.8561000000000001</c:v>
                </c:pt>
                <c:pt idx="156">
                  <c:v>3.8512</c:v>
                </c:pt>
                <c:pt idx="157">
                  <c:v>3.8561000000000001</c:v>
                </c:pt>
                <c:pt idx="158">
                  <c:v>3.8512</c:v>
                </c:pt>
                <c:pt idx="159">
                  <c:v>3.8414999999999999</c:v>
                </c:pt>
                <c:pt idx="160">
                  <c:v>3.8075000000000001</c:v>
                </c:pt>
                <c:pt idx="161">
                  <c:v>3.8026</c:v>
                </c:pt>
                <c:pt idx="162">
                  <c:v>3.8026</c:v>
                </c:pt>
                <c:pt idx="163">
                  <c:v>3.7637999999999998</c:v>
                </c:pt>
                <c:pt idx="164">
                  <c:v>3.8123999999999998</c:v>
                </c:pt>
                <c:pt idx="165">
                  <c:v>3.8075000000000001</c:v>
                </c:pt>
                <c:pt idx="166">
                  <c:v>3.8123999999999998</c:v>
                </c:pt>
                <c:pt idx="167">
                  <c:v>3.8317999999999999</c:v>
                </c:pt>
                <c:pt idx="168">
                  <c:v>3.8365999999999998</c:v>
                </c:pt>
                <c:pt idx="169">
                  <c:v>3.8414999999999999</c:v>
                </c:pt>
                <c:pt idx="170">
                  <c:v>3.9095</c:v>
                </c:pt>
                <c:pt idx="171">
                  <c:v>3.9338000000000002</c:v>
                </c:pt>
                <c:pt idx="172">
                  <c:v>3.9580000000000002</c:v>
                </c:pt>
                <c:pt idx="173">
                  <c:v>3.9580000000000002</c:v>
                </c:pt>
                <c:pt idx="174">
                  <c:v>4.0259999999999998</c:v>
                </c:pt>
                <c:pt idx="175">
                  <c:v>4.0212000000000003</c:v>
                </c:pt>
                <c:pt idx="176">
                  <c:v>4.0065999999999997</c:v>
                </c:pt>
                <c:pt idx="177">
                  <c:v>3.9823</c:v>
                </c:pt>
                <c:pt idx="178">
                  <c:v>3.9483000000000001</c:v>
                </c:pt>
                <c:pt idx="179">
                  <c:v>4.0406000000000004</c:v>
                </c:pt>
                <c:pt idx="180">
                  <c:v>4.0358000000000001</c:v>
                </c:pt>
                <c:pt idx="181">
                  <c:v>4.0358000000000001</c:v>
                </c:pt>
                <c:pt idx="182">
                  <c:v>4.0795000000000003</c:v>
                </c:pt>
                <c:pt idx="183">
                  <c:v>4.0842999999999998</c:v>
                </c:pt>
                <c:pt idx="184">
                  <c:v>4.0552000000000001</c:v>
                </c:pt>
                <c:pt idx="185">
                  <c:v>4.0697000000000001</c:v>
                </c:pt>
                <c:pt idx="186">
                  <c:v>4.1280000000000001</c:v>
                </c:pt>
                <c:pt idx="187">
                  <c:v>4.1425999999999998</c:v>
                </c:pt>
                <c:pt idx="188">
                  <c:v>4.1280000000000001</c:v>
                </c:pt>
                <c:pt idx="189">
                  <c:v>4.0599999999999996</c:v>
                </c:pt>
                <c:pt idx="190">
                  <c:v>4.1086</c:v>
                </c:pt>
                <c:pt idx="191">
                  <c:v>4.1231999999999998</c:v>
                </c:pt>
                <c:pt idx="192">
                  <c:v>4.0989000000000004</c:v>
                </c:pt>
                <c:pt idx="193">
                  <c:v>4.0891999999999999</c:v>
                </c:pt>
                <c:pt idx="194">
                  <c:v>4.0842999999999998</c:v>
                </c:pt>
                <c:pt idx="195">
                  <c:v>4.1036999999999999</c:v>
                </c:pt>
                <c:pt idx="196">
                  <c:v>4.1135000000000002</c:v>
                </c:pt>
                <c:pt idx="197">
                  <c:v>4.1523000000000003</c:v>
                </c:pt>
                <c:pt idx="198">
                  <c:v>4.1669</c:v>
                </c:pt>
                <c:pt idx="199">
                  <c:v>4.1523000000000003</c:v>
                </c:pt>
                <c:pt idx="200">
                  <c:v>4.1329000000000002</c:v>
                </c:pt>
                <c:pt idx="201">
                  <c:v>4.1669</c:v>
                </c:pt>
                <c:pt idx="202">
                  <c:v>4.2397</c:v>
                </c:pt>
                <c:pt idx="203">
                  <c:v>4.2252000000000001</c:v>
                </c:pt>
                <c:pt idx="204">
                  <c:v>4.2008999999999999</c:v>
                </c:pt>
                <c:pt idx="205">
                  <c:v>3.9325000000000001</c:v>
                </c:pt>
                <c:pt idx="206">
                  <c:v>3.9508000000000001</c:v>
                </c:pt>
                <c:pt idx="207">
                  <c:v>3.9782000000000002</c:v>
                </c:pt>
                <c:pt idx="208">
                  <c:v>3.9333999999999998</c:v>
                </c:pt>
                <c:pt idx="209">
                  <c:v>3.9228999999999998</c:v>
                </c:pt>
                <c:pt idx="210">
                  <c:v>3.9597000000000002</c:v>
                </c:pt>
                <c:pt idx="211">
                  <c:v>3.9597000000000002</c:v>
                </c:pt>
                <c:pt idx="212">
                  <c:v>3.9439000000000002</c:v>
                </c:pt>
                <c:pt idx="213">
                  <c:v>3.9597000000000002</c:v>
                </c:pt>
                <c:pt idx="214">
                  <c:v>3.9860000000000002</c:v>
                </c:pt>
                <c:pt idx="215">
                  <c:v>4.1174999999999997</c:v>
                </c:pt>
                <c:pt idx="216">
                  <c:v>4.1543000000000001</c:v>
                </c:pt>
                <c:pt idx="217">
                  <c:v>4.1384999999999996</c:v>
                </c:pt>
                <c:pt idx="218">
                  <c:v>4.1280000000000001</c:v>
                </c:pt>
                <c:pt idx="219">
                  <c:v>4.2225999999999999</c:v>
                </c:pt>
                <c:pt idx="220">
                  <c:v>4.2594000000000003</c:v>
                </c:pt>
                <c:pt idx="221">
                  <c:v>4.2594000000000003</c:v>
                </c:pt>
                <c:pt idx="222">
                  <c:v>4.2751999999999999</c:v>
                </c:pt>
                <c:pt idx="223">
                  <c:v>4.3487999999999998</c:v>
                </c:pt>
                <c:pt idx="224">
                  <c:v>4.4013999999999998</c:v>
                </c:pt>
                <c:pt idx="225">
                  <c:v>4.4382000000000001</c:v>
                </c:pt>
                <c:pt idx="226">
                  <c:v>4.5012999999999996</c:v>
                </c:pt>
                <c:pt idx="227">
                  <c:v>4.4435000000000002</c:v>
                </c:pt>
                <c:pt idx="228">
                  <c:v>4.3909000000000002</c:v>
                </c:pt>
                <c:pt idx="229">
                  <c:v>4.4013999999999998</c:v>
                </c:pt>
                <c:pt idx="230">
                  <c:v>4.3803999999999998</c:v>
                </c:pt>
                <c:pt idx="231">
                  <c:v>4.4435000000000002</c:v>
                </c:pt>
                <c:pt idx="232">
                  <c:v>4.4276999999999997</c:v>
                </c:pt>
                <c:pt idx="233">
                  <c:v>4.3699000000000003</c:v>
                </c:pt>
                <c:pt idx="234">
                  <c:v>4.3226000000000004</c:v>
                </c:pt>
                <c:pt idx="235">
                  <c:v>4.3120000000000003</c:v>
                </c:pt>
                <c:pt idx="236">
                  <c:v>4.3436000000000003</c:v>
                </c:pt>
                <c:pt idx="237">
                  <c:v>4.4172000000000002</c:v>
                </c:pt>
                <c:pt idx="238">
                  <c:v>4.4751000000000003</c:v>
                </c:pt>
                <c:pt idx="239">
                  <c:v>4.5224000000000002</c:v>
                </c:pt>
                <c:pt idx="240">
                  <c:v>4.4961000000000002</c:v>
                </c:pt>
                <c:pt idx="241">
                  <c:v>4.5171000000000001</c:v>
                </c:pt>
                <c:pt idx="242">
                  <c:v>4.5487000000000002</c:v>
                </c:pt>
                <c:pt idx="243">
                  <c:v>4.5487000000000002</c:v>
                </c:pt>
                <c:pt idx="244">
                  <c:v>4.7327000000000004</c:v>
                </c:pt>
                <c:pt idx="245">
                  <c:v>4.7643000000000004</c:v>
                </c:pt>
                <c:pt idx="246">
                  <c:v>4.9431000000000003</c:v>
                </c:pt>
                <c:pt idx="247">
                  <c:v>4.9219999999999997</c:v>
                </c:pt>
                <c:pt idx="248">
                  <c:v>5.0797999999999996</c:v>
                </c:pt>
                <c:pt idx="249">
                  <c:v>5.085</c:v>
                </c:pt>
                <c:pt idx="250">
                  <c:v>5.0903</c:v>
                </c:pt>
                <c:pt idx="251">
                  <c:v>5.2060000000000004</c:v>
                </c:pt>
                <c:pt idx="252">
                  <c:v>5.1481000000000003</c:v>
                </c:pt>
                <c:pt idx="253">
                  <c:v>5.1323999999999996</c:v>
                </c:pt>
                <c:pt idx="254">
                  <c:v>5.1219000000000001</c:v>
                </c:pt>
                <c:pt idx="255">
                  <c:v>5.2007000000000003</c:v>
                </c:pt>
                <c:pt idx="256">
                  <c:v>5.1534000000000004</c:v>
                </c:pt>
                <c:pt idx="257">
                  <c:v>5.0430000000000001</c:v>
                </c:pt>
                <c:pt idx="258">
                  <c:v>5.1271000000000004</c:v>
                </c:pt>
                <c:pt idx="259">
                  <c:v>5.0956000000000001</c:v>
                </c:pt>
                <c:pt idx="260">
                  <c:v>5.1744000000000003</c:v>
                </c:pt>
                <c:pt idx="261">
                  <c:v>5.1797000000000004</c:v>
                </c:pt>
                <c:pt idx="262">
                  <c:v>5.0903</c:v>
                </c:pt>
                <c:pt idx="263">
                  <c:v>5.085</c:v>
                </c:pt>
                <c:pt idx="264">
                  <c:v>4.9588000000000001</c:v>
                </c:pt>
                <c:pt idx="265">
                  <c:v>4.9168000000000003</c:v>
                </c:pt>
                <c:pt idx="266">
                  <c:v>4.9588000000000001</c:v>
                </c:pt>
                <c:pt idx="267">
                  <c:v>4.9431000000000003</c:v>
                </c:pt>
                <c:pt idx="268">
                  <c:v>4.9866000000000001</c:v>
                </c:pt>
                <c:pt idx="269">
                  <c:v>5.0080999999999998</c:v>
                </c:pt>
                <c:pt idx="270">
                  <c:v>4.9542999999999999</c:v>
                </c:pt>
                <c:pt idx="271">
                  <c:v>4.9705000000000004</c:v>
                </c:pt>
                <c:pt idx="272">
                  <c:v>4.9221000000000004</c:v>
                </c:pt>
                <c:pt idx="273">
                  <c:v>4.9812000000000003</c:v>
                </c:pt>
                <c:pt idx="274">
                  <c:v>5.1369999999999996</c:v>
                </c:pt>
                <c:pt idx="275">
                  <c:v>5.1745999999999999</c:v>
                </c:pt>
                <c:pt idx="276">
                  <c:v>5.2122999999999999</c:v>
                </c:pt>
                <c:pt idx="277">
                  <c:v>5.18</c:v>
                </c:pt>
                <c:pt idx="278">
                  <c:v>5.1638999999999999</c:v>
                </c:pt>
                <c:pt idx="279">
                  <c:v>5.2015000000000002</c:v>
                </c:pt>
                <c:pt idx="280">
                  <c:v>5.0026999999999999</c:v>
                </c:pt>
                <c:pt idx="281">
                  <c:v>4.9973000000000001</c:v>
                </c:pt>
                <c:pt idx="282">
                  <c:v>4.9436</c:v>
                </c:pt>
                <c:pt idx="283">
                  <c:v>4.9919000000000002</c:v>
                </c:pt>
                <c:pt idx="284">
                  <c:v>4.8898999999999999</c:v>
                </c:pt>
                <c:pt idx="285">
                  <c:v>4.9436</c:v>
                </c:pt>
                <c:pt idx="286">
                  <c:v>4.8845000000000001</c:v>
                </c:pt>
                <c:pt idx="287">
                  <c:v>4.6642000000000001</c:v>
                </c:pt>
                <c:pt idx="288">
                  <c:v>4.6749000000000001</c:v>
                </c:pt>
                <c:pt idx="289">
                  <c:v>4.5674000000000001</c:v>
                </c:pt>
                <c:pt idx="290">
                  <c:v>4.46</c:v>
                </c:pt>
                <c:pt idx="291">
                  <c:v>4.5888999999999998</c:v>
                </c:pt>
                <c:pt idx="292">
                  <c:v>4.7824</c:v>
                </c:pt>
                <c:pt idx="293">
                  <c:v>4.6749000000000001</c:v>
                </c:pt>
                <c:pt idx="294">
                  <c:v>4.7554999999999996</c:v>
                </c:pt>
                <c:pt idx="295">
                  <c:v>4.7447999999999997</c:v>
                </c:pt>
                <c:pt idx="296">
                  <c:v>4.9757999999999996</c:v>
                </c:pt>
                <c:pt idx="297">
                  <c:v>4.9705000000000004</c:v>
                </c:pt>
                <c:pt idx="298">
                  <c:v>4.9166999999999996</c:v>
                </c:pt>
                <c:pt idx="299">
                  <c:v>4.9112999999999998</c:v>
                </c:pt>
                <c:pt idx="300">
                  <c:v>4.9757999999999996</c:v>
                </c:pt>
                <c:pt idx="301">
                  <c:v>4.9650999999999996</c:v>
                </c:pt>
                <c:pt idx="302">
                  <c:v>4.9973000000000001</c:v>
                </c:pt>
                <c:pt idx="303">
                  <c:v>4.8898999999999999</c:v>
                </c:pt>
                <c:pt idx="304">
                  <c:v>4.8737000000000004</c:v>
                </c:pt>
                <c:pt idx="305">
                  <c:v>4.9382000000000001</c:v>
                </c:pt>
                <c:pt idx="306">
                  <c:v>4.9973000000000001</c:v>
                </c:pt>
                <c:pt idx="307">
                  <c:v>4.8791000000000002</c:v>
                </c:pt>
                <c:pt idx="308">
                  <c:v>4.9005999999999998</c:v>
                </c:pt>
                <c:pt idx="309">
                  <c:v>4.8737000000000004</c:v>
                </c:pt>
                <c:pt idx="310">
                  <c:v>4.8952</c:v>
                </c:pt>
                <c:pt idx="311">
                  <c:v>4.9275000000000002</c:v>
                </c:pt>
                <c:pt idx="312">
                  <c:v>4.9382000000000001</c:v>
                </c:pt>
                <c:pt idx="313">
                  <c:v>4.9650999999999996</c:v>
                </c:pt>
                <c:pt idx="314">
                  <c:v>5.0296000000000003</c:v>
                </c:pt>
                <c:pt idx="315">
                  <c:v>5.0940000000000003</c:v>
                </c:pt>
                <c:pt idx="316">
                  <c:v>5.1048</c:v>
                </c:pt>
                <c:pt idx="317">
                  <c:v>5.0671999999999997</c:v>
                </c:pt>
                <c:pt idx="318">
                  <c:v>5.0617999999999999</c:v>
                </c:pt>
                <c:pt idx="319">
                  <c:v>5.1048</c:v>
                </c:pt>
                <c:pt idx="320">
                  <c:v>5.2015000000000002</c:v>
                </c:pt>
                <c:pt idx="321">
                  <c:v>5.1154999999999999</c:v>
                </c:pt>
                <c:pt idx="322">
                  <c:v>5.1692999999999998</c:v>
                </c:pt>
                <c:pt idx="323">
                  <c:v>5.1692999999999998</c:v>
                </c:pt>
                <c:pt idx="324">
                  <c:v>5.0510999999999999</c:v>
                </c:pt>
                <c:pt idx="325">
                  <c:v>5.0833000000000004</c:v>
                </c:pt>
                <c:pt idx="326">
                  <c:v>5.0887000000000002</c:v>
                </c:pt>
                <c:pt idx="327">
                  <c:v>5.1101999999999999</c:v>
                </c:pt>
                <c:pt idx="328">
                  <c:v>5.0833000000000004</c:v>
                </c:pt>
                <c:pt idx="329">
                  <c:v>5.1585000000000001</c:v>
                </c:pt>
                <c:pt idx="330">
                  <c:v>5.2229999999999999</c:v>
                </c:pt>
                <c:pt idx="331">
                  <c:v>5.2069000000000001</c:v>
                </c:pt>
                <c:pt idx="332">
                  <c:v>5.1908000000000003</c:v>
                </c:pt>
                <c:pt idx="333">
                  <c:v>4.8868</c:v>
                </c:pt>
                <c:pt idx="334">
                  <c:v>4.8765999999999998</c:v>
                </c:pt>
                <c:pt idx="335">
                  <c:v>4.8970000000000002</c:v>
                </c:pt>
                <c:pt idx="336">
                  <c:v>4.9427000000000003</c:v>
                </c:pt>
                <c:pt idx="337">
                  <c:v>4.9528999999999996</c:v>
                </c:pt>
                <c:pt idx="338">
                  <c:v>4.9478</c:v>
                </c:pt>
                <c:pt idx="339">
                  <c:v>4.9122000000000003</c:v>
                </c:pt>
                <c:pt idx="340">
                  <c:v>4.8155999999999999</c:v>
                </c:pt>
                <c:pt idx="341">
                  <c:v>4.8308999999999997</c:v>
                </c:pt>
                <c:pt idx="342">
                  <c:v>4.8155999999999999</c:v>
                </c:pt>
                <c:pt idx="343">
                  <c:v>4.8512000000000004</c:v>
                </c:pt>
                <c:pt idx="344">
                  <c:v>4.8665000000000003</c:v>
                </c:pt>
                <c:pt idx="345">
                  <c:v>4.8665000000000003</c:v>
                </c:pt>
                <c:pt idx="346">
                  <c:v>4.8613999999999997</c:v>
                </c:pt>
                <c:pt idx="347">
                  <c:v>4.8970000000000002</c:v>
                </c:pt>
                <c:pt idx="348">
                  <c:v>4.9020999999999999</c:v>
                </c:pt>
                <c:pt idx="349">
                  <c:v>4.8613999999999997</c:v>
                </c:pt>
                <c:pt idx="350">
                  <c:v>4.8308999999999997</c:v>
                </c:pt>
                <c:pt idx="351">
                  <c:v>4.8360000000000003</c:v>
                </c:pt>
                <c:pt idx="352">
                  <c:v>4.8765999999999998</c:v>
                </c:pt>
                <c:pt idx="353">
                  <c:v>4.8765999999999998</c:v>
                </c:pt>
                <c:pt idx="354">
                  <c:v>4.8613999999999997</c:v>
                </c:pt>
                <c:pt idx="355">
                  <c:v>4.8665000000000003</c:v>
                </c:pt>
                <c:pt idx="356">
                  <c:v>5.08</c:v>
                </c:pt>
                <c:pt idx="357">
                  <c:v>5.1867999999999999</c:v>
                </c:pt>
                <c:pt idx="358">
                  <c:v>5.2630999999999997</c:v>
                </c:pt>
                <c:pt idx="359">
                  <c:v>5.2935999999999996</c:v>
                </c:pt>
                <c:pt idx="360">
                  <c:v>5.3342999999999998</c:v>
                </c:pt>
                <c:pt idx="361">
                  <c:v>5.2885</c:v>
                </c:pt>
                <c:pt idx="362">
                  <c:v>5.3445</c:v>
                </c:pt>
                <c:pt idx="363">
                  <c:v>5.3394000000000004</c:v>
                </c:pt>
                <c:pt idx="364">
                  <c:v>5.3037999999999998</c:v>
                </c:pt>
                <c:pt idx="365">
                  <c:v>5.3852000000000002</c:v>
                </c:pt>
                <c:pt idx="366">
                  <c:v>5.319</c:v>
                </c:pt>
                <c:pt idx="367">
                  <c:v>5.2835000000000001</c:v>
                </c:pt>
                <c:pt idx="368">
                  <c:v>5.4919000000000002</c:v>
                </c:pt>
                <c:pt idx="369">
                  <c:v>5.4869000000000003</c:v>
                </c:pt>
                <c:pt idx="370">
                  <c:v>5.5174000000000003</c:v>
                </c:pt>
                <c:pt idx="371">
                  <c:v>5.5427999999999997</c:v>
                </c:pt>
                <c:pt idx="372">
                  <c:v>5.6342999999999996</c:v>
                </c:pt>
                <c:pt idx="373">
                  <c:v>5.6647999999999996</c:v>
                </c:pt>
                <c:pt idx="374">
                  <c:v>5.6292</c:v>
                </c:pt>
                <c:pt idx="375">
                  <c:v>5.5479000000000003</c:v>
                </c:pt>
                <c:pt idx="376">
                  <c:v>5.6597999999999997</c:v>
                </c:pt>
                <c:pt idx="377">
                  <c:v>5.5936000000000003</c:v>
                </c:pt>
                <c:pt idx="378">
                  <c:v>5.5936000000000003</c:v>
                </c:pt>
                <c:pt idx="379">
                  <c:v>5.6902999999999997</c:v>
                </c:pt>
                <c:pt idx="380">
                  <c:v>5.9496000000000002</c:v>
                </c:pt>
                <c:pt idx="381">
                  <c:v>5.9496000000000002</c:v>
                </c:pt>
                <c:pt idx="382">
                  <c:v>5.8987999999999996</c:v>
                </c:pt>
                <c:pt idx="383">
                  <c:v>5.7462</c:v>
                </c:pt>
                <c:pt idx="384">
                  <c:v>5.6952999999999996</c:v>
                </c:pt>
                <c:pt idx="385">
                  <c:v>5.8224999999999998</c:v>
                </c:pt>
                <c:pt idx="386">
                  <c:v>5.9089</c:v>
                </c:pt>
                <c:pt idx="387">
                  <c:v>5.8428000000000004</c:v>
                </c:pt>
                <c:pt idx="388">
                  <c:v>5.7971000000000004</c:v>
                </c:pt>
                <c:pt idx="389">
                  <c:v>5.8479000000000001</c:v>
                </c:pt>
                <c:pt idx="390">
                  <c:v>5.8581000000000003</c:v>
                </c:pt>
                <c:pt idx="391">
                  <c:v>5.9546999999999999</c:v>
                </c:pt>
                <c:pt idx="392">
                  <c:v>5.5134999999999996</c:v>
                </c:pt>
                <c:pt idx="393">
                  <c:v>5.5277000000000003</c:v>
                </c:pt>
                <c:pt idx="394">
                  <c:v>5.5372000000000003</c:v>
                </c:pt>
                <c:pt idx="395">
                  <c:v>5.4471999999999996</c:v>
                </c:pt>
                <c:pt idx="396">
                  <c:v>5.3952</c:v>
                </c:pt>
                <c:pt idx="397">
                  <c:v>5.3810000000000002</c:v>
                </c:pt>
                <c:pt idx="398">
                  <c:v>5.3289</c:v>
                </c:pt>
                <c:pt idx="399">
                  <c:v>5.3479000000000001</c:v>
                </c:pt>
                <c:pt idx="400">
                  <c:v>5.3856999999999999</c:v>
                </c:pt>
                <c:pt idx="401">
                  <c:v>5.4378000000000002</c:v>
                </c:pt>
                <c:pt idx="402">
                  <c:v>5.4661999999999997</c:v>
                </c:pt>
                <c:pt idx="403">
                  <c:v>5.2816000000000001</c:v>
                </c:pt>
                <c:pt idx="404">
                  <c:v>5.3479000000000001</c:v>
                </c:pt>
                <c:pt idx="405">
                  <c:v>5.2911000000000001</c:v>
                </c:pt>
                <c:pt idx="406">
                  <c:v>5.1585999999999999</c:v>
                </c:pt>
                <c:pt idx="407">
                  <c:v>5.2201000000000004</c:v>
                </c:pt>
                <c:pt idx="408">
                  <c:v>5.3147000000000002</c:v>
                </c:pt>
                <c:pt idx="409">
                  <c:v>5.6839000000000004</c:v>
                </c:pt>
                <c:pt idx="410">
                  <c:v>5.8305999999999996</c:v>
                </c:pt>
                <c:pt idx="411">
                  <c:v>5.8305999999999996</c:v>
                </c:pt>
                <c:pt idx="412">
                  <c:v>6.0246000000000004</c:v>
                </c:pt>
                <c:pt idx="413">
                  <c:v>5.9584000000000001</c:v>
                </c:pt>
                <c:pt idx="414">
                  <c:v>6.0388000000000002</c:v>
                </c:pt>
                <c:pt idx="415">
                  <c:v>6.2138999999999998</c:v>
                </c:pt>
                <c:pt idx="416">
                  <c:v>6.1997</c:v>
                </c:pt>
                <c:pt idx="417">
                  <c:v>6.1665999999999999</c:v>
                </c:pt>
                <c:pt idx="418">
                  <c:v>6.2138999999999998</c:v>
                </c:pt>
                <c:pt idx="419">
                  <c:v>6.1382000000000003</c:v>
                </c:pt>
                <c:pt idx="420">
                  <c:v>6.1760999999999999</c:v>
                </c:pt>
                <c:pt idx="421">
                  <c:v>6.3464</c:v>
                </c:pt>
                <c:pt idx="422">
                  <c:v>6.4080000000000004</c:v>
                </c:pt>
                <c:pt idx="423">
                  <c:v>6.3654000000000002</c:v>
                </c:pt>
                <c:pt idx="424">
                  <c:v>6.2944000000000004</c:v>
                </c:pt>
                <c:pt idx="425">
                  <c:v>6.4363999999999999</c:v>
                </c:pt>
                <c:pt idx="426">
                  <c:v>6.5309999999999997</c:v>
                </c:pt>
                <c:pt idx="427">
                  <c:v>6.5073999999999996</c:v>
                </c:pt>
                <c:pt idx="428">
                  <c:v>6.2423000000000002</c:v>
                </c:pt>
                <c:pt idx="429">
                  <c:v>6.2849000000000004</c:v>
                </c:pt>
                <c:pt idx="430">
                  <c:v>6.4836999999999998</c:v>
                </c:pt>
                <c:pt idx="431">
                  <c:v>6.4222000000000001</c:v>
                </c:pt>
                <c:pt idx="432">
                  <c:v>6.3890000000000002</c:v>
                </c:pt>
                <c:pt idx="433">
                  <c:v>6.3700999999999999</c:v>
                </c:pt>
                <c:pt idx="434">
                  <c:v>6.4790000000000001</c:v>
                </c:pt>
                <c:pt idx="435">
                  <c:v>6.5831</c:v>
                </c:pt>
                <c:pt idx="436">
                  <c:v>6.6303999999999998</c:v>
                </c:pt>
                <c:pt idx="437">
                  <c:v>6.6067</c:v>
                </c:pt>
                <c:pt idx="438">
                  <c:v>6.7202999999999999</c:v>
                </c:pt>
                <c:pt idx="439">
                  <c:v>6.8150000000000004</c:v>
                </c:pt>
                <c:pt idx="440">
                  <c:v>6.9333</c:v>
                </c:pt>
                <c:pt idx="441">
                  <c:v>7.1840999999999999</c:v>
                </c:pt>
                <c:pt idx="442">
                  <c:v>7.0753000000000004</c:v>
                </c:pt>
                <c:pt idx="443">
                  <c:v>7.1296999999999997</c:v>
                </c:pt>
                <c:pt idx="444">
                  <c:v>7.01</c:v>
                </c:pt>
                <c:pt idx="445">
                  <c:v>6.9664000000000001</c:v>
                </c:pt>
                <c:pt idx="446">
                  <c:v>7.1569000000000003</c:v>
                </c:pt>
                <c:pt idx="447">
                  <c:v>7.2549000000000001</c:v>
                </c:pt>
                <c:pt idx="448">
                  <c:v>7.4073000000000002</c:v>
                </c:pt>
                <c:pt idx="449">
                  <c:v>7.1896000000000004</c:v>
                </c:pt>
                <c:pt idx="450">
                  <c:v>7.0753000000000004</c:v>
                </c:pt>
                <c:pt idx="451">
                  <c:v>7.1731999999999996</c:v>
                </c:pt>
                <c:pt idx="452">
                  <c:v>7.2276999999999996</c:v>
                </c:pt>
                <c:pt idx="453">
                  <c:v>6.9339000000000004</c:v>
                </c:pt>
                <c:pt idx="454">
                  <c:v>6.8330000000000002</c:v>
                </c:pt>
                <c:pt idx="455">
                  <c:v>6.8010999999999999</c:v>
                </c:pt>
                <c:pt idx="456">
                  <c:v>6.9604999999999997</c:v>
                </c:pt>
                <c:pt idx="457">
                  <c:v>7.2154999999999996</c:v>
                </c:pt>
                <c:pt idx="458">
                  <c:v>7.3696000000000002</c:v>
                </c:pt>
                <c:pt idx="459">
                  <c:v>7.4175000000000004</c:v>
                </c:pt>
                <c:pt idx="460">
                  <c:v>7.3059000000000003</c:v>
                </c:pt>
                <c:pt idx="461">
                  <c:v>7.1199000000000003</c:v>
                </c:pt>
                <c:pt idx="462">
                  <c:v>7.0667999999999997</c:v>
                </c:pt>
                <c:pt idx="463">
                  <c:v>7.1093000000000002</c:v>
                </c:pt>
                <c:pt idx="464">
                  <c:v>7.0507999999999997</c:v>
                </c:pt>
                <c:pt idx="465">
                  <c:v>7.1199000000000003</c:v>
                </c:pt>
                <c:pt idx="466">
                  <c:v>7.0083000000000002</c:v>
                </c:pt>
                <c:pt idx="467">
                  <c:v>6.7957999999999998</c:v>
                </c:pt>
                <c:pt idx="468">
                  <c:v>6.6947999999999999</c:v>
                </c:pt>
                <c:pt idx="469">
                  <c:v>6.5938999999999997</c:v>
                </c:pt>
                <c:pt idx="470">
                  <c:v>6.6683000000000003</c:v>
                </c:pt>
                <c:pt idx="471">
                  <c:v>6.6947999999999999</c:v>
                </c:pt>
                <c:pt idx="472">
                  <c:v>6.6417000000000002</c:v>
                </c:pt>
                <c:pt idx="473">
                  <c:v>6.8010999999999999</c:v>
                </c:pt>
                <c:pt idx="474">
                  <c:v>6.8541999999999996</c:v>
                </c:pt>
                <c:pt idx="475">
                  <c:v>6.8010999999999999</c:v>
                </c:pt>
                <c:pt idx="476">
                  <c:v>6.8330000000000002</c:v>
                </c:pt>
                <c:pt idx="477">
                  <c:v>6.6311</c:v>
                </c:pt>
                <c:pt idx="478">
                  <c:v>6.5461</c:v>
                </c:pt>
                <c:pt idx="479">
                  <c:v>6.3015999999999996</c:v>
                </c:pt>
                <c:pt idx="480">
                  <c:v>6.4184999999999999</c:v>
                </c:pt>
                <c:pt idx="481">
                  <c:v>6.4823000000000004</c:v>
                </c:pt>
                <c:pt idx="482">
                  <c:v>6.4504000000000001</c:v>
                </c:pt>
                <c:pt idx="483">
                  <c:v>6.7427000000000001</c:v>
                </c:pt>
                <c:pt idx="484">
                  <c:v>6.9074</c:v>
                </c:pt>
                <c:pt idx="485">
                  <c:v>6.8914</c:v>
                </c:pt>
                <c:pt idx="486">
                  <c:v>6.8807999999999998</c:v>
                </c:pt>
                <c:pt idx="487">
                  <c:v>6.8383000000000003</c:v>
                </c:pt>
                <c:pt idx="488">
                  <c:v>6.9391999999999996</c:v>
                </c:pt>
                <c:pt idx="489">
                  <c:v>6.9339000000000004</c:v>
                </c:pt>
                <c:pt idx="490">
                  <c:v>6.9870999999999999</c:v>
                </c:pt>
                <c:pt idx="491">
                  <c:v>7.0933000000000002</c:v>
                </c:pt>
                <c:pt idx="492">
                  <c:v>7.1093000000000002</c:v>
                </c:pt>
                <c:pt idx="493">
                  <c:v>7.0720999999999998</c:v>
                </c:pt>
                <c:pt idx="494">
                  <c:v>6.9870999999999999</c:v>
                </c:pt>
                <c:pt idx="495">
                  <c:v>7.0401999999999996</c:v>
                </c:pt>
                <c:pt idx="496">
                  <c:v>7.0827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04-4920-A7E1-4D8EBD195630}"/>
            </c:ext>
          </c:extLst>
        </c:ser>
        <c:ser>
          <c:idx val="4"/>
          <c:order val="3"/>
          <c:tx>
            <c:strRef>
              <c:f>'FX Data'!$K$956</c:f>
              <c:strCache>
                <c:ptCount val="1"/>
                <c:pt idx="0">
                  <c:v>=+1sd</c:v>
                </c:pt>
              </c:strCache>
            </c:strRef>
          </c:tx>
          <c:spPr>
            <a:ln w="12700" cap="rnd">
              <a:solidFill>
                <a:srgbClr val="F79646">
                  <a:lumMod val="60000"/>
                  <a:lumOff val="40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'FX Data'!$B$957:$B$1448</c:f>
              <c:numCache>
                <c:formatCode>m/d/yyyy</c:formatCode>
                <c:ptCount val="492"/>
                <c:pt idx="0">
                  <c:v>44263</c:v>
                </c:pt>
                <c:pt idx="1">
                  <c:v>44264</c:v>
                </c:pt>
                <c:pt idx="2">
                  <c:v>44265</c:v>
                </c:pt>
                <c:pt idx="3">
                  <c:v>44266</c:v>
                </c:pt>
                <c:pt idx="4">
                  <c:v>44267</c:v>
                </c:pt>
                <c:pt idx="5">
                  <c:v>44270</c:v>
                </c:pt>
                <c:pt idx="6">
                  <c:v>44271</c:v>
                </c:pt>
                <c:pt idx="7">
                  <c:v>44272</c:v>
                </c:pt>
                <c:pt idx="8">
                  <c:v>44273</c:v>
                </c:pt>
                <c:pt idx="9">
                  <c:v>44274</c:v>
                </c:pt>
                <c:pt idx="10">
                  <c:v>44277</c:v>
                </c:pt>
                <c:pt idx="11">
                  <c:v>44278</c:v>
                </c:pt>
                <c:pt idx="12">
                  <c:v>44279</c:v>
                </c:pt>
                <c:pt idx="13">
                  <c:v>44280</c:v>
                </c:pt>
                <c:pt idx="14">
                  <c:v>44281</c:v>
                </c:pt>
                <c:pt idx="15">
                  <c:v>44284</c:v>
                </c:pt>
                <c:pt idx="16">
                  <c:v>44285</c:v>
                </c:pt>
                <c:pt idx="17">
                  <c:v>44286</c:v>
                </c:pt>
                <c:pt idx="18">
                  <c:v>44287</c:v>
                </c:pt>
                <c:pt idx="19">
                  <c:v>44288</c:v>
                </c:pt>
                <c:pt idx="20">
                  <c:v>44291</c:v>
                </c:pt>
                <c:pt idx="21">
                  <c:v>44292</c:v>
                </c:pt>
                <c:pt idx="22">
                  <c:v>44293</c:v>
                </c:pt>
                <c:pt idx="23">
                  <c:v>44294</c:v>
                </c:pt>
                <c:pt idx="24">
                  <c:v>44295</c:v>
                </c:pt>
                <c:pt idx="25">
                  <c:v>44298</c:v>
                </c:pt>
                <c:pt idx="26">
                  <c:v>44299</c:v>
                </c:pt>
                <c:pt idx="27">
                  <c:v>44300</c:v>
                </c:pt>
                <c:pt idx="28">
                  <c:v>44301</c:v>
                </c:pt>
                <c:pt idx="29">
                  <c:v>44302</c:v>
                </c:pt>
                <c:pt idx="30">
                  <c:v>44305</c:v>
                </c:pt>
                <c:pt idx="31">
                  <c:v>44306</c:v>
                </c:pt>
                <c:pt idx="32">
                  <c:v>44308</c:v>
                </c:pt>
                <c:pt idx="33">
                  <c:v>44309</c:v>
                </c:pt>
                <c:pt idx="34">
                  <c:v>44312</c:v>
                </c:pt>
                <c:pt idx="35">
                  <c:v>44313</c:v>
                </c:pt>
                <c:pt idx="36">
                  <c:v>44314</c:v>
                </c:pt>
                <c:pt idx="37">
                  <c:v>44315</c:v>
                </c:pt>
                <c:pt idx="38">
                  <c:v>44320</c:v>
                </c:pt>
                <c:pt idx="39">
                  <c:v>44321</c:v>
                </c:pt>
                <c:pt idx="40">
                  <c:v>44322</c:v>
                </c:pt>
                <c:pt idx="41">
                  <c:v>44323</c:v>
                </c:pt>
                <c:pt idx="42">
                  <c:v>44326</c:v>
                </c:pt>
                <c:pt idx="43">
                  <c:v>44327</c:v>
                </c:pt>
                <c:pt idx="44">
                  <c:v>44328</c:v>
                </c:pt>
                <c:pt idx="45">
                  <c:v>44329</c:v>
                </c:pt>
                <c:pt idx="46">
                  <c:v>44330</c:v>
                </c:pt>
                <c:pt idx="47">
                  <c:v>44333</c:v>
                </c:pt>
                <c:pt idx="48">
                  <c:v>44334</c:v>
                </c:pt>
                <c:pt idx="49">
                  <c:v>44335</c:v>
                </c:pt>
                <c:pt idx="50">
                  <c:v>44336</c:v>
                </c:pt>
                <c:pt idx="51">
                  <c:v>44337</c:v>
                </c:pt>
                <c:pt idx="52">
                  <c:v>44340</c:v>
                </c:pt>
                <c:pt idx="53">
                  <c:v>44341</c:v>
                </c:pt>
                <c:pt idx="54">
                  <c:v>44342</c:v>
                </c:pt>
                <c:pt idx="55">
                  <c:v>44343</c:v>
                </c:pt>
                <c:pt idx="56">
                  <c:v>44344</c:v>
                </c:pt>
                <c:pt idx="57">
                  <c:v>44347</c:v>
                </c:pt>
                <c:pt idx="58">
                  <c:v>44348</c:v>
                </c:pt>
                <c:pt idx="59">
                  <c:v>44349</c:v>
                </c:pt>
                <c:pt idx="60">
                  <c:v>44350</c:v>
                </c:pt>
                <c:pt idx="61">
                  <c:v>44351</c:v>
                </c:pt>
                <c:pt idx="62">
                  <c:v>44354</c:v>
                </c:pt>
                <c:pt idx="63">
                  <c:v>44355</c:v>
                </c:pt>
                <c:pt idx="64">
                  <c:v>44356</c:v>
                </c:pt>
                <c:pt idx="65">
                  <c:v>44357</c:v>
                </c:pt>
                <c:pt idx="66">
                  <c:v>44358</c:v>
                </c:pt>
                <c:pt idx="67">
                  <c:v>44361</c:v>
                </c:pt>
                <c:pt idx="68">
                  <c:v>44362</c:v>
                </c:pt>
                <c:pt idx="69">
                  <c:v>44363</c:v>
                </c:pt>
                <c:pt idx="70">
                  <c:v>44364</c:v>
                </c:pt>
                <c:pt idx="71">
                  <c:v>44365</c:v>
                </c:pt>
                <c:pt idx="72">
                  <c:v>44368</c:v>
                </c:pt>
                <c:pt idx="73">
                  <c:v>44369</c:v>
                </c:pt>
                <c:pt idx="74">
                  <c:v>44370</c:v>
                </c:pt>
                <c:pt idx="75">
                  <c:v>44371</c:v>
                </c:pt>
                <c:pt idx="76">
                  <c:v>44372</c:v>
                </c:pt>
                <c:pt idx="77">
                  <c:v>44375</c:v>
                </c:pt>
                <c:pt idx="78">
                  <c:v>44376</c:v>
                </c:pt>
                <c:pt idx="79">
                  <c:v>44377</c:v>
                </c:pt>
                <c:pt idx="80">
                  <c:v>44378</c:v>
                </c:pt>
                <c:pt idx="81">
                  <c:v>44379</c:v>
                </c:pt>
                <c:pt idx="82">
                  <c:v>44382</c:v>
                </c:pt>
                <c:pt idx="83">
                  <c:v>44383</c:v>
                </c:pt>
                <c:pt idx="84">
                  <c:v>44384</c:v>
                </c:pt>
                <c:pt idx="85">
                  <c:v>44385</c:v>
                </c:pt>
                <c:pt idx="86">
                  <c:v>44386</c:v>
                </c:pt>
                <c:pt idx="87">
                  <c:v>44389</c:v>
                </c:pt>
                <c:pt idx="88">
                  <c:v>44390</c:v>
                </c:pt>
                <c:pt idx="89">
                  <c:v>44391</c:v>
                </c:pt>
                <c:pt idx="90">
                  <c:v>44392</c:v>
                </c:pt>
                <c:pt idx="91">
                  <c:v>44393</c:v>
                </c:pt>
                <c:pt idx="92">
                  <c:v>44396</c:v>
                </c:pt>
                <c:pt idx="93">
                  <c:v>44397</c:v>
                </c:pt>
                <c:pt idx="94">
                  <c:v>44398</c:v>
                </c:pt>
                <c:pt idx="95">
                  <c:v>44399</c:v>
                </c:pt>
                <c:pt idx="96">
                  <c:v>44400</c:v>
                </c:pt>
                <c:pt idx="97">
                  <c:v>44403</c:v>
                </c:pt>
                <c:pt idx="98">
                  <c:v>44404</c:v>
                </c:pt>
                <c:pt idx="99">
                  <c:v>44405</c:v>
                </c:pt>
                <c:pt idx="100">
                  <c:v>44406</c:v>
                </c:pt>
                <c:pt idx="101">
                  <c:v>44407</c:v>
                </c:pt>
                <c:pt idx="102">
                  <c:v>44410</c:v>
                </c:pt>
                <c:pt idx="103">
                  <c:v>44411</c:v>
                </c:pt>
                <c:pt idx="104">
                  <c:v>44412</c:v>
                </c:pt>
                <c:pt idx="105">
                  <c:v>44413</c:v>
                </c:pt>
                <c:pt idx="106">
                  <c:v>44414</c:v>
                </c:pt>
                <c:pt idx="107">
                  <c:v>44417</c:v>
                </c:pt>
                <c:pt idx="108">
                  <c:v>44418</c:v>
                </c:pt>
                <c:pt idx="109">
                  <c:v>44419</c:v>
                </c:pt>
                <c:pt idx="110">
                  <c:v>44420</c:v>
                </c:pt>
                <c:pt idx="111">
                  <c:v>44421</c:v>
                </c:pt>
                <c:pt idx="112">
                  <c:v>44424</c:v>
                </c:pt>
                <c:pt idx="113">
                  <c:v>44425</c:v>
                </c:pt>
                <c:pt idx="114">
                  <c:v>44426</c:v>
                </c:pt>
                <c:pt idx="115">
                  <c:v>44427</c:v>
                </c:pt>
                <c:pt idx="116">
                  <c:v>44428</c:v>
                </c:pt>
                <c:pt idx="117">
                  <c:v>44431</c:v>
                </c:pt>
                <c:pt idx="118">
                  <c:v>44432</c:v>
                </c:pt>
                <c:pt idx="119">
                  <c:v>44433</c:v>
                </c:pt>
                <c:pt idx="120">
                  <c:v>44434</c:v>
                </c:pt>
                <c:pt idx="121">
                  <c:v>44435</c:v>
                </c:pt>
                <c:pt idx="122">
                  <c:v>44438</c:v>
                </c:pt>
                <c:pt idx="123">
                  <c:v>44439</c:v>
                </c:pt>
                <c:pt idx="124">
                  <c:v>44440</c:v>
                </c:pt>
                <c:pt idx="125">
                  <c:v>44445</c:v>
                </c:pt>
                <c:pt idx="126">
                  <c:v>44446</c:v>
                </c:pt>
                <c:pt idx="127">
                  <c:v>44447</c:v>
                </c:pt>
                <c:pt idx="128">
                  <c:v>44448</c:v>
                </c:pt>
                <c:pt idx="129">
                  <c:v>44449</c:v>
                </c:pt>
                <c:pt idx="130">
                  <c:v>44452</c:v>
                </c:pt>
                <c:pt idx="131">
                  <c:v>44453</c:v>
                </c:pt>
                <c:pt idx="132">
                  <c:v>44454</c:v>
                </c:pt>
                <c:pt idx="133">
                  <c:v>44455</c:v>
                </c:pt>
                <c:pt idx="134">
                  <c:v>44456</c:v>
                </c:pt>
                <c:pt idx="135">
                  <c:v>44459</c:v>
                </c:pt>
                <c:pt idx="136">
                  <c:v>44460</c:v>
                </c:pt>
                <c:pt idx="137">
                  <c:v>44461</c:v>
                </c:pt>
                <c:pt idx="138">
                  <c:v>44462</c:v>
                </c:pt>
                <c:pt idx="139">
                  <c:v>44463</c:v>
                </c:pt>
                <c:pt idx="140">
                  <c:v>44466</c:v>
                </c:pt>
                <c:pt idx="141">
                  <c:v>44467</c:v>
                </c:pt>
                <c:pt idx="142">
                  <c:v>44468</c:v>
                </c:pt>
                <c:pt idx="143">
                  <c:v>44469</c:v>
                </c:pt>
                <c:pt idx="144">
                  <c:v>44470</c:v>
                </c:pt>
                <c:pt idx="145">
                  <c:v>44473</c:v>
                </c:pt>
                <c:pt idx="146">
                  <c:v>44474</c:v>
                </c:pt>
                <c:pt idx="147">
                  <c:v>44475</c:v>
                </c:pt>
                <c:pt idx="148">
                  <c:v>44476</c:v>
                </c:pt>
                <c:pt idx="149">
                  <c:v>44477</c:v>
                </c:pt>
                <c:pt idx="150">
                  <c:v>44480</c:v>
                </c:pt>
                <c:pt idx="151">
                  <c:v>44481</c:v>
                </c:pt>
                <c:pt idx="152">
                  <c:v>44482</c:v>
                </c:pt>
                <c:pt idx="153">
                  <c:v>44483</c:v>
                </c:pt>
                <c:pt idx="154">
                  <c:v>44484</c:v>
                </c:pt>
                <c:pt idx="155">
                  <c:v>44487</c:v>
                </c:pt>
                <c:pt idx="156">
                  <c:v>44488</c:v>
                </c:pt>
                <c:pt idx="157">
                  <c:v>44489</c:v>
                </c:pt>
                <c:pt idx="158">
                  <c:v>44490</c:v>
                </c:pt>
                <c:pt idx="159">
                  <c:v>44491</c:v>
                </c:pt>
                <c:pt idx="160">
                  <c:v>44494</c:v>
                </c:pt>
                <c:pt idx="161">
                  <c:v>44495</c:v>
                </c:pt>
                <c:pt idx="162">
                  <c:v>44496</c:v>
                </c:pt>
                <c:pt idx="163">
                  <c:v>44497</c:v>
                </c:pt>
                <c:pt idx="164">
                  <c:v>44498</c:v>
                </c:pt>
                <c:pt idx="165">
                  <c:v>44501</c:v>
                </c:pt>
                <c:pt idx="166">
                  <c:v>44502</c:v>
                </c:pt>
                <c:pt idx="167">
                  <c:v>44503</c:v>
                </c:pt>
                <c:pt idx="168">
                  <c:v>44504</c:v>
                </c:pt>
                <c:pt idx="169">
                  <c:v>44505</c:v>
                </c:pt>
                <c:pt idx="170">
                  <c:v>44508</c:v>
                </c:pt>
                <c:pt idx="171">
                  <c:v>44509</c:v>
                </c:pt>
                <c:pt idx="172">
                  <c:v>44510</c:v>
                </c:pt>
                <c:pt idx="173">
                  <c:v>44511</c:v>
                </c:pt>
                <c:pt idx="174">
                  <c:v>44512</c:v>
                </c:pt>
                <c:pt idx="175">
                  <c:v>44515</c:v>
                </c:pt>
                <c:pt idx="176">
                  <c:v>44516</c:v>
                </c:pt>
                <c:pt idx="177">
                  <c:v>44517</c:v>
                </c:pt>
                <c:pt idx="178">
                  <c:v>44518</c:v>
                </c:pt>
                <c:pt idx="179">
                  <c:v>44519</c:v>
                </c:pt>
                <c:pt idx="180">
                  <c:v>44522</c:v>
                </c:pt>
                <c:pt idx="181">
                  <c:v>44523</c:v>
                </c:pt>
                <c:pt idx="182">
                  <c:v>44524</c:v>
                </c:pt>
                <c:pt idx="183">
                  <c:v>44525</c:v>
                </c:pt>
                <c:pt idx="184">
                  <c:v>44526</c:v>
                </c:pt>
                <c:pt idx="185">
                  <c:v>44529</c:v>
                </c:pt>
                <c:pt idx="186">
                  <c:v>44530</c:v>
                </c:pt>
                <c:pt idx="187">
                  <c:v>44531</c:v>
                </c:pt>
                <c:pt idx="188">
                  <c:v>44532</c:v>
                </c:pt>
                <c:pt idx="189">
                  <c:v>44533</c:v>
                </c:pt>
                <c:pt idx="190">
                  <c:v>44536</c:v>
                </c:pt>
                <c:pt idx="191">
                  <c:v>44537</c:v>
                </c:pt>
                <c:pt idx="192">
                  <c:v>44538</c:v>
                </c:pt>
                <c:pt idx="193">
                  <c:v>44539</c:v>
                </c:pt>
                <c:pt idx="194">
                  <c:v>44540</c:v>
                </c:pt>
                <c:pt idx="195">
                  <c:v>44543</c:v>
                </c:pt>
                <c:pt idx="196">
                  <c:v>44544</c:v>
                </c:pt>
                <c:pt idx="197">
                  <c:v>44545</c:v>
                </c:pt>
                <c:pt idx="198">
                  <c:v>44546</c:v>
                </c:pt>
                <c:pt idx="199">
                  <c:v>44547</c:v>
                </c:pt>
                <c:pt idx="200">
                  <c:v>44550</c:v>
                </c:pt>
                <c:pt idx="201">
                  <c:v>44551</c:v>
                </c:pt>
                <c:pt idx="202">
                  <c:v>44552</c:v>
                </c:pt>
                <c:pt idx="203">
                  <c:v>44553</c:v>
                </c:pt>
                <c:pt idx="204">
                  <c:v>44554</c:v>
                </c:pt>
                <c:pt idx="205">
                  <c:v>44557</c:v>
                </c:pt>
                <c:pt idx="206">
                  <c:v>44558</c:v>
                </c:pt>
                <c:pt idx="207">
                  <c:v>44559</c:v>
                </c:pt>
                <c:pt idx="208">
                  <c:v>44560</c:v>
                </c:pt>
                <c:pt idx="209">
                  <c:v>44561</c:v>
                </c:pt>
                <c:pt idx="210">
                  <c:v>44565</c:v>
                </c:pt>
                <c:pt idx="211">
                  <c:v>44566</c:v>
                </c:pt>
                <c:pt idx="212">
                  <c:v>44567</c:v>
                </c:pt>
                <c:pt idx="213">
                  <c:v>44568</c:v>
                </c:pt>
                <c:pt idx="214">
                  <c:v>44571</c:v>
                </c:pt>
                <c:pt idx="215">
                  <c:v>44572</c:v>
                </c:pt>
                <c:pt idx="216">
                  <c:v>44573</c:v>
                </c:pt>
                <c:pt idx="217">
                  <c:v>44574</c:v>
                </c:pt>
                <c:pt idx="218">
                  <c:v>44575</c:v>
                </c:pt>
                <c:pt idx="219">
                  <c:v>44578</c:v>
                </c:pt>
                <c:pt idx="220">
                  <c:v>44579</c:v>
                </c:pt>
                <c:pt idx="221">
                  <c:v>44580</c:v>
                </c:pt>
                <c:pt idx="222">
                  <c:v>44581</c:v>
                </c:pt>
                <c:pt idx="223">
                  <c:v>44582</c:v>
                </c:pt>
                <c:pt idx="224">
                  <c:v>44585</c:v>
                </c:pt>
                <c:pt idx="225">
                  <c:v>44586</c:v>
                </c:pt>
                <c:pt idx="226">
                  <c:v>44587</c:v>
                </c:pt>
                <c:pt idx="227">
                  <c:v>44588</c:v>
                </c:pt>
                <c:pt idx="228">
                  <c:v>44589</c:v>
                </c:pt>
                <c:pt idx="229">
                  <c:v>44599</c:v>
                </c:pt>
                <c:pt idx="230">
                  <c:v>44600</c:v>
                </c:pt>
                <c:pt idx="231">
                  <c:v>44601</c:v>
                </c:pt>
                <c:pt idx="232">
                  <c:v>44602</c:v>
                </c:pt>
                <c:pt idx="233">
                  <c:v>44603</c:v>
                </c:pt>
                <c:pt idx="234">
                  <c:v>44606</c:v>
                </c:pt>
                <c:pt idx="235">
                  <c:v>44607</c:v>
                </c:pt>
                <c:pt idx="236">
                  <c:v>44608</c:v>
                </c:pt>
                <c:pt idx="237">
                  <c:v>44609</c:v>
                </c:pt>
                <c:pt idx="238">
                  <c:v>44610</c:v>
                </c:pt>
                <c:pt idx="239">
                  <c:v>44613</c:v>
                </c:pt>
                <c:pt idx="240">
                  <c:v>44614</c:v>
                </c:pt>
                <c:pt idx="241">
                  <c:v>44615</c:v>
                </c:pt>
                <c:pt idx="242">
                  <c:v>44616</c:v>
                </c:pt>
                <c:pt idx="243">
                  <c:v>44617</c:v>
                </c:pt>
                <c:pt idx="244">
                  <c:v>44620</c:v>
                </c:pt>
                <c:pt idx="245">
                  <c:v>44621</c:v>
                </c:pt>
                <c:pt idx="246">
                  <c:v>44622</c:v>
                </c:pt>
                <c:pt idx="247">
                  <c:v>44623</c:v>
                </c:pt>
                <c:pt idx="248">
                  <c:v>44624</c:v>
                </c:pt>
                <c:pt idx="249">
                  <c:v>44627</c:v>
                </c:pt>
                <c:pt idx="250">
                  <c:v>44628</c:v>
                </c:pt>
                <c:pt idx="251">
                  <c:v>44629</c:v>
                </c:pt>
                <c:pt idx="252">
                  <c:v>44630</c:v>
                </c:pt>
                <c:pt idx="253">
                  <c:v>44631</c:v>
                </c:pt>
                <c:pt idx="254">
                  <c:v>44634</c:v>
                </c:pt>
                <c:pt idx="255">
                  <c:v>44635</c:v>
                </c:pt>
                <c:pt idx="256">
                  <c:v>44636</c:v>
                </c:pt>
                <c:pt idx="257">
                  <c:v>44637</c:v>
                </c:pt>
                <c:pt idx="258">
                  <c:v>44638</c:v>
                </c:pt>
                <c:pt idx="259">
                  <c:v>44641</c:v>
                </c:pt>
                <c:pt idx="260">
                  <c:v>44642</c:v>
                </c:pt>
                <c:pt idx="261">
                  <c:v>44643</c:v>
                </c:pt>
                <c:pt idx="262">
                  <c:v>44644</c:v>
                </c:pt>
                <c:pt idx="263">
                  <c:v>44645</c:v>
                </c:pt>
                <c:pt idx="264">
                  <c:v>44648</c:v>
                </c:pt>
                <c:pt idx="265">
                  <c:v>44649</c:v>
                </c:pt>
                <c:pt idx="266">
                  <c:v>44650</c:v>
                </c:pt>
                <c:pt idx="267">
                  <c:v>44651</c:v>
                </c:pt>
                <c:pt idx="268">
                  <c:v>44652</c:v>
                </c:pt>
                <c:pt idx="269">
                  <c:v>44655</c:v>
                </c:pt>
                <c:pt idx="270">
                  <c:v>44656</c:v>
                </c:pt>
                <c:pt idx="271">
                  <c:v>44657</c:v>
                </c:pt>
                <c:pt idx="272">
                  <c:v>44658</c:v>
                </c:pt>
                <c:pt idx="273">
                  <c:v>44659</c:v>
                </c:pt>
                <c:pt idx="274">
                  <c:v>44663</c:v>
                </c:pt>
                <c:pt idx="275">
                  <c:v>44664</c:v>
                </c:pt>
                <c:pt idx="276">
                  <c:v>44665</c:v>
                </c:pt>
                <c:pt idx="277">
                  <c:v>44666</c:v>
                </c:pt>
                <c:pt idx="278">
                  <c:v>44669</c:v>
                </c:pt>
                <c:pt idx="279">
                  <c:v>44670</c:v>
                </c:pt>
                <c:pt idx="280">
                  <c:v>44671</c:v>
                </c:pt>
                <c:pt idx="281">
                  <c:v>44672</c:v>
                </c:pt>
                <c:pt idx="282">
                  <c:v>44673</c:v>
                </c:pt>
                <c:pt idx="283">
                  <c:v>44676</c:v>
                </c:pt>
                <c:pt idx="284">
                  <c:v>44677</c:v>
                </c:pt>
                <c:pt idx="285">
                  <c:v>44678</c:v>
                </c:pt>
                <c:pt idx="286">
                  <c:v>44679</c:v>
                </c:pt>
                <c:pt idx="287">
                  <c:v>44680</c:v>
                </c:pt>
                <c:pt idx="288">
                  <c:v>44685</c:v>
                </c:pt>
                <c:pt idx="289">
                  <c:v>44686</c:v>
                </c:pt>
                <c:pt idx="290">
                  <c:v>44687</c:v>
                </c:pt>
                <c:pt idx="291">
                  <c:v>44690</c:v>
                </c:pt>
                <c:pt idx="292">
                  <c:v>44691</c:v>
                </c:pt>
                <c:pt idx="293">
                  <c:v>44692</c:v>
                </c:pt>
                <c:pt idx="294">
                  <c:v>44693</c:v>
                </c:pt>
                <c:pt idx="295">
                  <c:v>44694</c:v>
                </c:pt>
                <c:pt idx="296">
                  <c:v>44697</c:v>
                </c:pt>
                <c:pt idx="297">
                  <c:v>44698</c:v>
                </c:pt>
                <c:pt idx="298">
                  <c:v>44699</c:v>
                </c:pt>
                <c:pt idx="299">
                  <c:v>44700</c:v>
                </c:pt>
                <c:pt idx="300">
                  <c:v>44701</c:v>
                </c:pt>
                <c:pt idx="301">
                  <c:v>44704</c:v>
                </c:pt>
                <c:pt idx="302">
                  <c:v>44705</c:v>
                </c:pt>
                <c:pt idx="303">
                  <c:v>44706</c:v>
                </c:pt>
                <c:pt idx="304">
                  <c:v>44707</c:v>
                </c:pt>
                <c:pt idx="305">
                  <c:v>44708</c:v>
                </c:pt>
                <c:pt idx="306">
                  <c:v>44711</c:v>
                </c:pt>
                <c:pt idx="307">
                  <c:v>44712</c:v>
                </c:pt>
                <c:pt idx="308">
                  <c:v>44713</c:v>
                </c:pt>
                <c:pt idx="309">
                  <c:v>44714</c:v>
                </c:pt>
                <c:pt idx="310">
                  <c:v>44715</c:v>
                </c:pt>
                <c:pt idx="311">
                  <c:v>44718</c:v>
                </c:pt>
                <c:pt idx="312">
                  <c:v>44719</c:v>
                </c:pt>
                <c:pt idx="313">
                  <c:v>44720</c:v>
                </c:pt>
                <c:pt idx="314">
                  <c:v>44721</c:v>
                </c:pt>
                <c:pt idx="315">
                  <c:v>44722</c:v>
                </c:pt>
                <c:pt idx="316">
                  <c:v>44725</c:v>
                </c:pt>
                <c:pt idx="317">
                  <c:v>44726</c:v>
                </c:pt>
                <c:pt idx="318">
                  <c:v>44727</c:v>
                </c:pt>
                <c:pt idx="319">
                  <c:v>44728</c:v>
                </c:pt>
                <c:pt idx="320">
                  <c:v>44729</c:v>
                </c:pt>
                <c:pt idx="321">
                  <c:v>44732</c:v>
                </c:pt>
                <c:pt idx="322">
                  <c:v>44733</c:v>
                </c:pt>
                <c:pt idx="323">
                  <c:v>44734</c:v>
                </c:pt>
                <c:pt idx="324">
                  <c:v>44735</c:v>
                </c:pt>
                <c:pt idx="325">
                  <c:v>44736</c:v>
                </c:pt>
                <c:pt idx="326">
                  <c:v>44739</c:v>
                </c:pt>
                <c:pt idx="327">
                  <c:v>44740</c:v>
                </c:pt>
                <c:pt idx="328">
                  <c:v>44741</c:v>
                </c:pt>
                <c:pt idx="329">
                  <c:v>44742</c:v>
                </c:pt>
                <c:pt idx="330">
                  <c:v>44743</c:v>
                </c:pt>
                <c:pt idx="331">
                  <c:v>44746</c:v>
                </c:pt>
                <c:pt idx="332">
                  <c:v>44747</c:v>
                </c:pt>
                <c:pt idx="333">
                  <c:v>44748</c:v>
                </c:pt>
                <c:pt idx="334">
                  <c:v>44749</c:v>
                </c:pt>
                <c:pt idx="335">
                  <c:v>44750</c:v>
                </c:pt>
                <c:pt idx="336">
                  <c:v>44753</c:v>
                </c:pt>
                <c:pt idx="337">
                  <c:v>44754</c:v>
                </c:pt>
                <c:pt idx="338">
                  <c:v>44755</c:v>
                </c:pt>
                <c:pt idx="339">
                  <c:v>44756</c:v>
                </c:pt>
                <c:pt idx="340">
                  <c:v>44757</c:v>
                </c:pt>
                <c:pt idx="341">
                  <c:v>44760</c:v>
                </c:pt>
                <c:pt idx="342">
                  <c:v>44761</c:v>
                </c:pt>
                <c:pt idx="343">
                  <c:v>44762</c:v>
                </c:pt>
                <c:pt idx="344">
                  <c:v>44763</c:v>
                </c:pt>
                <c:pt idx="345">
                  <c:v>44764</c:v>
                </c:pt>
                <c:pt idx="346">
                  <c:v>44767</c:v>
                </c:pt>
                <c:pt idx="347">
                  <c:v>44768</c:v>
                </c:pt>
                <c:pt idx="348">
                  <c:v>44769</c:v>
                </c:pt>
                <c:pt idx="349">
                  <c:v>44770</c:v>
                </c:pt>
                <c:pt idx="350">
                  <c:v>44771</c:v>
                </c:pt>
                <c:pt idx="351">
                  <c:v>44774</c:v>
                </c:pt>
                <c:pt idx="352">
                  <c:v>44775</c:v>
                </c:pt>
                <c:pt idx="353">
                  <c:v>44776</c:v>
                </c:pt>
                <c:pt idx="354">
                  <c:v>44777</c:v>
                </c:pt>
                <c:pt idx="355">
                  <c:v>44778</c:v>
                </c:pt>
                <c:pt idx="356">
                  <c:v>44781</c:v>
                </c:pt>
                <c:pt idx="357">
                  <c:v>44782</c:v>
                </c:pt>
                <c:pt idx="358">
                  <c:v>44783</c:v>
                </c:pt>
                <c:pt idx="359">
                  <c:v>44784</c:v>
                </c:pt>
                <c:pt idx="360">
                  <c:v>44785</c:v>
                </c:pt>
                <c:pt idx="361">
                  <c:v>44788</c:v>
                </c:pt>
                <c:pt idx="362">
                  <c:v>44789</c:v>
                </c:pt>
                <c:pt idx="363">
                  <c:v>44790</c:v>
                </c:pt>
                <c:pt idx="364">
                  <c:v>44791</c:v>
                </c:pt>
                <c:pt idx="365">
                  <c:v>44792</c:v>
                </c:pt>
                <c:pt idx="366">
                  <c:v>44795</c:v>
                </c:pt>
                <c:pt idx="367">
                  <c:v>44796</c:v>
                </c:pt>
                <c:pt idx="368">
                  <c:v>44797</c:v>
                </c:pt>
                <c:pt idx="369">
                  <c:v>44798</c:v>
                </c:pt>
                <c:pt idx="370">
                  <c:v>44799</c:v>
                </c:pt>
                <c:pt idx="371">
                  <c:v>44802</c:v>
                </c:pt>
                <c:pt idx="372">
                  <c:v>44803</c:v>
                </c:pt>
                <c:pt idx="373">
                  <c:v>44804</c:v>
                </c:pt>
                <c:pt idx="374">
                  <c:v>44809</c:v>
                </c:pt>
                <c:pt idx="375">
                  <c:v>44810</c:v>
                </c:pt>
                <c:pt idx="376">
                  <c:v>44811</c:v>
                </c:pt>
                <c:pt idx="377">
                  <c:v>44812</c:v>
                </c:pt>
                <c:pt idx="378">
                  <c:v>44813</c:v>
                </c:pt>
                <c:pt idx="379">
                  <c:v>44816</c:v>
                </c:pt>
                <c:pt idx="380">
                  <c:v>44817</c:v>
                </c:pt>
                <c:pt idx="381">
                  <c:v>44818</c:v>
                </c:pt>
                <c:pt idx="382">
                  <c:v>44819</c:v>
                </c:pt>
                <c:pt idx="383">
                  <c:v>44820</c:v>
                </c:pt>
                <c:pt idx="384">
                  <c:v>44823</c:v>
                </c:pt>
                <c:pt idx="385">
                  <c:v>44824</c:v>
                </c:pt>
                <c:pt idx="386">
                  <c:v>44825</c:v>
                </c:pt>
                <c:pt idx="387">
                  <c:v>44826</c:v>
                </c:pt>
                <c:pt idx="388">
                  <c:v>44827</c:v>
                </c:pt>
                <c:pt idx="389">
                  <c:v>44830</c:v>
                </c:pt>
                <c:pt idx="390">
                  <c:v>44831</c:v>
                </c:pt>
                <c:pt idx="391">
                  <c:v>44832</c:v>
                </c:pt>
                <c:pt idx="392">
                  <c:v>44833</c:v>
                </c:pt>
                <c:pt idx="393">
                  <c:v>44834</c:v>
                </c:pt>
                <c:pt idx="394">
                  <c:v>44837</c:v>
                </c:pt>
                <c:pt idx="395">
                  <c:v>44838</c:v>
                </c:pt>
                <c:pt idx="396">
                  <c:v>44839</c:v>
                </c:pt>
                <c:pt idx="397">
                  <c:v>44840</c:v>
                </c:pt>
                <c:pt idx="398">
                  <c:v>44841</c:v>
                </c:pt>
                <c:pt idx="399">
                  <c:v>44844</c:v>
                </c:pt>
                <c:pt idx="400">
                  <c:v>44845</c:v>
                </c:pt>
                <c:pt idx="401">
                  <c:v>44846</c:v>
                </c:pt>
                <c:pt idx="402">
                  <c:v>44847</c:v>
                </c:pt>
                <c:pt idx="403">
                  <c:v>44848</c:v>
                </c:pt>
                <c:pt idx="404">
                  <c:v>44851</c:v>
                </c:pt>
                <c:pt idx="405">
                  <c:v>44852</c:v>
                </c:pt>
                <c:pt idx="406">
                  <c:v>44853</c:v>
                </c:pt>
                <c:pt idx="407">
                  <c:v>44854</c:v>
                </c:pt>
                <c:pt idx="408">
                  <c:v>44855</c:v>
                </c:pt>
                <c:pt idx="409">
                  <c:v>44858</c:v>
                </c:pt>
                <c:pt idx="410">
                  <c:v>44859</c:v>
                </c:pt>
                <c:pt idx="411">
                  <c:v>44860</c:v>
                </c:pt>
                <c:pt idx="412">
                  <c:v>44861</c:v>
                </c:pt>
                <c:pt idx="413">
                  <c:v>44862</c:v>
                </c:pt>
                <c:pt idx="414">
                  <c:v>44865</c:v>
                </c:pt>
                <c:pt idx="415">
                  <c:v>44866</c:v>
                </c:pt>
                <c:pt idx="416">
                  <c:v>44867</c:v>
                </c:pt>
                <c:pt idx="417">
                  <c:v>44868</c:v>
                </c:pt>
                <c:pt idx="418">
                  <c:v>44869</c:v>
                </c:pt>
                <c:pt idx="419">
                  <c:v>44872</c:v>
                </c:pt>
                <c:pt idx="420">
                  <c:v>44873</c:v>
                </c:pt>
                <c:pt idx="421">
                  <c:v>44874</c:v>
                </c:pt>
                <c:pt idx="422">
                  <c:v>44875</c:v>
                </c:pt>
                <c:pt idx="423">
                  <c:v>44876</c:v>
                </c:pt>
                <c:pt idx="424">
                  <c:v>44879</c:v>
                </c:pt>
                <c:pt idx="425">
                  <c:v>44880</c:v>
                </c:pt>
                <c:pt idx="426">
                  <c:v>44881</c:v>
                </c:pt>
                <c:pt idx="427">
                  <c:v>44882</c:v>
                </c:pt>
                <c:pt idx="428">
                  <c:v>44883</c:v>
                </c:pt>
                <c:pt idx="429">
                  <c:v>44886</c:v>
                </c:pt>
                <c:pt idx="430">
                  <c:v>44887</c:v>
                </c:pt>
                <c:pt idx="431">
                  <c:v>44888</c:v>
                </c:pt>
                <c:pt idx="432">
                  <c:v>44889</c:v>
                </c:pt>
                <c:pt idx="433">
                  <c:v>44890</c:v>
                </c:pt>
                <c:pt idx="434">
                  <c:v>44893</c:v>
                </c:pt>
                <c:pt idx="435">
                  <c:v>44894</c:v>
                </c:pt>
                <c:pt idx="436">
                  <c:v>44895</c:v>
                </c:pt>
                <c:pt idx="437">
                  <c:v>44896</c:v>
                </c:pt>
                <c:pt idx="438">
                  <c:v>44897</c:v>
                </c:pt>
                <c:pt idx="439">
                  <c:v>44900</c:v>
                </c:pt>
                <c:pt idx="440">
                  <c:v>44901</c:v>
                </c:pt>
                <c:pt idx="441">
                  <c:v>44902</c:v>
                </c:pt>
                <c:pt idx="442">
                  <c:v>44903</c:v>
                </c:pt>
                <c:pt idx="443">
                  <c:v>44904</c:v>
                </c:pt>
                <c:pt idx="444">
                  <c:v>44907</c:v>
                </c:pt>
                <c:pt idx="445">
                  <c:v>44908</c:v>
                </c:pt>
                <c:pt idx="446">
                  <c:v>44909</c:v>
                </c:pt>
                <c:pt idx="447">
                  <c:v>44910</c:v>
                </c:pt>
                <c:pt idx="448">
                  <c:v>44911</c:v>
                </c:pt>
                <c:pt idx="449">
                  <c:v>44914</c:v>
                </c:pt>
                <c:pt idx="450">
                  <c:v>44915</c:v>
                </c:pt>
                <c:pt idx="451">
                  <c:v>44916</c:v>
                </c:pt>
                <c:pt idx="452">
                  <c:v>44917</c:v>
                </c:pt>
                <c:pt idx="453">
                  <c:v>44918</c:v>
                </c:pt>
                <c:pt idx="454">
                  <c:v>44921</c:v>
                </c:pt>
                <c:pt idx="455">
                  <c:v>44922</c:v>
                </c:pt>
                <c:pt idx="456">
                  <c:v>44923</c:v>
                </c:pt>
                <c:pt idx="457">
                  <c:v>44924</c:v>
                </c:pt>
                <c:pt idx="458">
                  <c:v>44925</c:v>
                </c:pt>
                <c:pt idx="459">
                  <c:v>44929</c:v>
                </c:pt>
                <c:pt idx="460">
                  <c:v>44930</c:v>
                </c:pt>
                <c:pt idx="461">
                  <c:v>44931</c:v>
                </c:pt>
                <c:pt idx="462">
                  <c:v>44932</c:v>
                </c:pt>
                <c:pt idx="463">
                  <c:v>44935</c:v>
                </c:pt>
                <c:pt idx="464">
                  <c:v>44936</c:v>
                </c:pt>
                <c:pt idx="465">
                  <c:v>44937</c:v>
                </c:pt>
                <c:pt idx="466">
                  <c:v>44938</c:v>
                </c:pt>
                <c:pt idx="467">
                  <c:v>44939</c:v>
                </c:pt>
                <c:pt idx="468">
                  <c:v>44942</c:v>
                </c:pt>
                <c:pt idx="469">
                  <c:v>44943</c:v>
                </c:pt>
                <c:pt idx="470">
                  <c:v>44944</c:v>
                </c:pt>
                <c:pt idx="471">
                  <c:v>44945</c:v>
                </c:pt>
                <c:pt idx="472">
                  <c:v>44953</c:v>
                </c:pt>
                <c:pt idx="473">
                  <c:v>44956</c:v>
                </c:pt>
                <c:pt idx="474">
                  <c:v>44957</c:v>
                </c:pt>
                <c:pt idx="475">
                  <c:v>44958</c:v>
                </c:pt>
                <c:pt idx="476">
                  <c:v>44959</c:v>
                </c:pt>
                <c:pt idx="477">
                  <c:v>44960</c:v>
                </c:pt>
                <c:pt idx="478">
                  <c:v>44963</c:v>
                </c:pt>
                <c:pt idx="479">
                  <c:v>44964</c:v>
                </c:pt>
                <c:pt idx="480">
                  <c:v>44965</c:v>
                </c:pt>
                <c:pt idx="481">
                  <c:v>44966</c:v>
                </c:pt>
                <c:pt idx="482">
                  <c:v>44967</c:v>
                </c:pt>
                <c:pt idx="483">
                  <c:v>44970</c:v>
                </c:pt>
                <c:pt idx="484">
                  <c:v>44971</c:v>
                </c:pt>
                <c:pt idx="485">
                  <c:v>44972</c:v>
                </c:pt>
                <c:pt idx="486">
                  <c:v>44973</c:v>
                </c:pt>
                <c:pt idx="487">
                  <c:v>44974</c:v>
                </c:pt>
                <c:pt idx="488">
                  <c:v>44977</c:v>
                </c:pt>
                <c:pt idx="489">
                  <c:v>44978</c:v>
                </c:pt>
                <c:pt idx="490">
                  <c:v>44979</c:v>
                </c:pt>
                <c:pt idx="491">
                  <c:v>44980</c:v>
                </c:pt>
              </c:numCache>
            </c:numRef>
          </c:cat>
          <c:val>
            <c:numRef>
              <c:f>'FX Data'!$K$957:$K$1453</c:f>
              <c:numCache>
                <c:formatCode>0.0</c:formatCode>
                <c:ptCount val="497"/>
                <c:pt idx="0">
                  <c:v>5.919604026580453</c:v>
                </c:pt>
                <c:pt idx="1">
                  <c:v>5.919604026580453</c:v>
                </c:pt>
                <c:pt idx="2">
                  <c:v>5.919604026580453</c:v>
                </c:pt>
                <c:pt idx="3">
                  <c:v>5.919604026580453</c:v>
                </c:pt>
                <c:pt idx="4">
                  <c:v>5.919604026580453</c:v>
                </c:pt>
                <c:pt idx="5">
                  <c:v>5.919604026580453</c:v>
                </c:pt>
                <c:pt idx="6">
                  <c:v>5.919604026580453</c:v>
                </c:pt>
                <c:pt idx="7">
                  <c:v>5.919604026580453</c:v>
                </c:pt>
                <c:pt idx="8">
                  <c:v>5.919604026580453</c:v>
                </c:pt>
                <c:pt idx="9">
                  <c:v>5.919604026580453</c:v>
                </c:pt>
                <c:pt idx="10">
                  <c:v>5.919604026580453</c:v>
                </c:pt>
                <c:pt idx="11">
                  <c:v>5.919604026580453</c:v>
                </c:pt>
                <c:pt idx="12">
                  <c:v>5.919604026580453</c:v>
                </c:pt>
                <c:pt idx="13">
                  <c:v>5.919604026580453</c:v>
                </c:pt>
                <c:pt idx="14">
                  <c:v>5.919604026580453</c:v>
                </c:pt>
                <c:pt idx="15">
                  <c:v>5.919604026580453</c:v>
                </c:pt>
                <c:pt idx="16">
                  <c:v>5.919604026580453</c:v>
                </c:pt>
                <c:pt idx="17">
                  <c:v>5.919604026580453</c:v>
                </c:pt>
                <c:pt idx="18">
                  <c:v>5.919604026580453</c:v>
                </c:pt>
                <c:pt idx="19">
                  <c:v>5.919604026580453</c:v>
                </c:pt>
                <c:pt idx="20">
                  <c:v>5.919604026580453</c:v>
                </c:pt>
                <c:pt idx="21">
                  <c:v>5.919604026580453</c:v>
                </c:pt>
                <c:pt idx="22">
                  <c:v>5.919604026580453</c:v>
                </c:pt>
                <c:pt idx="23">
                  <c:v>5.919604026580453</c:v>
                </c:pt>
                <c:pt idx="24">
                  <c:v>5.919604026580453</c:v>
                </c:pt>
                <c:pt idx="25">
                  <c:v>5.919604026580453</c:v>
                </c:pt>
                <c:pt idx="26">
                  <c:v>5.919604026580453</c:v>
                </c:pt>
                <c:pt idx="27">
                  <c:v>5.919604026580453</c:v>
                </c:pt>
                <c:pt idx="28">
                  <c:v>5.919604026580453</c:v>
                </c:pt>
                <c:pt idx="29">
                  <c:v>5.919604026580453</c:v>
                </c:pt>
                <c:pt idx="30">
                  <c:v>5.919604026580453</c:v>
                </c:pt>
                <c:pt idx="31">
                  <c:v>5.919604026580453</c:v>
                </c:pt>
                <c:pt idx="32">
                  <c:v>5.919604026580453</c:v>
                </c:pt>
                <c:pt idx="33">
                  <c:v>5.919604026580453</c:v>
                </c:pt>
                <c:pt idx="34">
                  <c:v>5.919604026580453</c:v>
                </c:pt>
                <c:pt idx="35">
                  <c:v>5.919604026580453</c:v>
                </c:pt>
                <c:pt idx="36">
                  <c:v>5.919604026580453</c:v>
                </c:pt>
                <c:pt idx="37">
                  <c:v>5.919604026580453</c:v>
                </c:pt>
                <c:pt idx="38">
                  <c:v>5.919604026580453</c:v>
                </c:pt>
                <c:pt idx="39">
                  <c:v>5.919604026580453</c:v>
                </c:pt>
                <c:pt idx="40">
                  <c:v>5.919604026580453</c:v>
                </c:pt>
                <c:pt idx="41">
                  <c:v>5.919604026580453</c:v>
                </c:pt>
                <c:pt idx="42">
                  <c:v>5.919604026580453</c:v>
                </c:pt>
                <c:pt idx="43">
                  <c:v>5.919604026580453</c:v>
                </c:pt>
                <c:pt idx="44">
                  <c:v>5.919604026580453</c:v>
                </c:pt>
                <c:pt idx="45">
                  <c:v>5.919604026580453</c:v>
                </c:pt>
                <c:pt idx="46">
                  <c:v>5.919604026580453</c:v>
                </c:pt>
                <c:pt idx="47">
                  <c:v>5.919604026580453</c:v>
                </c:pt>
                <c:pt idx="48">
                  <c:v>5.919604026580453</c:v>
                </c:pt>
                <c:pt idx="49">
                  <c:v>5.919604026580453</c:v>
                </c:pt>
                <c:pt idx="50">
                  <c:v>5.919604026580453</c:v>
                </c:pt>
                <c:pt idx="51">
                  <c:v>5.919604026580453</c:v>
                </c:pt>
                <c:pt idx="52">
                  <c:v>5.919604026580453</c:v>
                </c:pt>
                <c:pt idx="53">
                  <c:v>5.919604026580453</c:v>
                </c:pt>
                <c:pt idx="54">
                  <c:v>5.919604026580453</c:v>
                </c:pt>
                <c:pt idx="55">
                  <c:v>5.919604026580453</c:v>
                </c:pt>
                <c:pt idx="56">
                  <c:v>5.919604026580453</c:v>
                </c:pt>
                <c:pt idx="57">
                  <c:v>5.919604026580453</c:v>
                </c:pt>
                <c:pt idx="58">
                  <c:v>5.919604026580453</c:v>
                </c:pt>
                <c:pt idx="59">
                  <c:v>5.919604026580453</c:v>
                </c:pt>
                <c:pt idx="60">
                  <c:v>5.919604026580453</c:v>
                </c:pt>
                <c:pt idx="61">
                  <c:v>5.919604026580453</c:v>
                </c:pt>
                <c:pt idx="62">
                  <c:v>5.919604026580453</c:v>
                </c:pt>
                <c:pt idx="63">
                  <c:v>5.919604026580453</c:v>
                </c:pt>
                <c:pt idx="64">
                  <c:v>5.919604026580453</c:v>
                </c:pt>
                <c:pt idx="65">
                  <c:v>5.919604026580453</c:v>
                </c:pt>
                <c:pt idx="66">
                  <c:v>5.919604026580453</c:v>
                </c:pt>
                <c:pt idx="67">
                  <c:v>5.919604026580453</c:v>
                </c:pt>
                <c:pt idx="68">
                  <c:v>5.919604026580453</c:v>
                </c:pt>
                <c:pt idx="69">
                  <c:v>5.919604026580453</c:v>
                </c:pt>
                <c:pt idx="70">
                  <c:v>5.919604026580453</c:v>
                </c:pt>
                <c:pt idx="71">
                  <c:v>5.919604026580453</c:v>
                </c:pt>
                <c:pt idx="72">
                  <c:v>5.919604026580453</c:v>
                </c:pt>
                <c:pt idx="73">
                  <c:v>5.919604026580453</c:v>
                </c:pt>
                <c:pt idx="74">
                  <c:v>5.919604026580453</c:v>
                </c:pt>
                <c:pt idx="75">
                  <c:v>5.919604026580453</c:v>
                </c:pt>
                <c:pt idx="76">
                  <c:v>5.919604026580453</c:v>
                </c:pt>
                <c:pt idx="77">
                  <c:v>5.919604026580453</c:v>
                </c:pt>
                <c:pt idx="78">
                  <c:v>5.919604026580453</c:v>
                </c:pt>
                <c:pt idx="79">
                  <c:v>5.919604026580453</c:v>
                </c:pt>
                <c:pt idx="80">
                  <c:v>5.919604026580453</c:v>
                </c:pt>
                <c:pt idx="81">
                  <c:v>5.919604026580453</c:v>
                </c:pt>
                <c:pt idx="82">
                  <c:v>5.919604026580453</c:v>
                </c:pt>
                <c:pt idx="83">
                  <c:v>5.919604026580453</c:v>
                </c:pt>
                <c:pt idx="84">
                  <c:v>5.919604026580453</c:v>
                </c:pt>
                <c:pt idx="85">
                  <c:v>5.919604026580453</c:v>
                </c:pt>
                <c:pt idx="86">
                  <c:v>5.919604026580453</c:v>
                </c:pt>
                <c:pt idx="87">
                  <c:v>5.919604026580453</c:v>
                </c:pt>
                <c:pt idx="88">
                  <c:v>5.919604026580453</c:v>
                </c:pt>
                <c:pt idx="89">
                  <c:v>5.919604026580453</c:v>
                </c:pt>
                <c:pt idx="90">
                  <c:v>5.919604026580453</c:v>
                </c:pt>
                <c:pt idx="91">
                  <c:v>5.919604026580453</c:v>
                </c:pt>
                <c:pt idx="92">
                  <c:v>5.919604026580453</c:v>
                </c:pt>
                <c:pt idx="93">
                  <c:v>5.919604026580453</c:v>
                </c:pt>
                <c:pt idx="94">
                  <c:v>5.919604026580453</c:v>
                </c:pt>
                <c:pt idx="95">
                  <c:v>5.919604026580453</c:v>
                </c:pt>
                <c:pt idx="96">
                  <c:v>5.919604026580453</c:v>
                </c:pt>
                <c:pt idx="97">
                  <c:v>5.919604026580453</c:v>
                </c:pt>
                <c:pt idx="98">
                  <c:v>5.919604026580453</c:v>
                </c:pt>
                <c:pt idx="99">
                  <c:v>5.919604026580453</c:v>
                </c:pt>
                <c:pt idx="100">
                  <c:v>5.919604026580453</c:v>
                </c:pt>
                <c:pt idx="101">
                  <c:v>5.919604026580453</c:v>
                </c:pt>
                <c:pt idx="102">
                  <c:v>5.919604026580453</c:v>
                </c:pt>
                <c:pt idx="103">
                  <c:v>5.919604026580453</c:v>
                </c:pt>
                <c:pt idx="104">
                  <c:v>5.919604026580453</c:v>
                </c:pt>
                <c:pt idx="105">
                  <c:v>5.919604026580453</c:v>
                </c:pt>
                <c:pt idx="106">
                  <c:v>5.919604026580453</c:v>
                </c:pt>
                <c:pt idx="107">
                  <c:v>5.919604026580453</c:v>
                </c:pt>
                <c:pt idx="108">
                  <c:v>5.919604026580453</c:v>
                </c:pt>
                <c:pt idx="109">
                  <c:v>5.919604026580453</c:v>
                </c:pt>
                <c:pt idx="110">
                  <c:v>5.919604026580453</c:v>
                </c:pt>
                <c:pt idx="111">
                  <c:v>5.919604026580453</c:v>
                </c:pt>
                <c:pt idx="112">
                  <c:v>5.919604026580453</c:v>
                </c:pt>
                <c:pt idx="113">
                  <c:v>5.919604026580453</c:v>
                </c:pt>
                <c:pt idx="114">
                  <c:v>5.919604026580453</c:v>
                </c:pt>
                <c:pt idx="115">
                  <c:v>5.919604026580453</c:v>
                </c:pt>
                <c:pt idx="116">
                  <c:v>5.919604026580453</c:v>
                </c:pt>
                <c:pt idx="117">
                  <c:v>5.919604026580453</c:v>
                </c:pt>
                <c:pt idx="118">
                  <c:v>5.919604026580453</c:v>
                </c:pt>
                <c:pt idx="119">
                  <c:v>5.919604026580453</c:v>
                </c:pt>
                <c:pt idx="120">
                  <c:v>5.919604026580453</c:v>
                </c:pt>
                <c:pt idx="121">
                  <c:v>5.919604026580453</c:v>
                </c:pt>
                <c:pt idx="122">
                  <c:v>5.919604026580453</c:v>
                </c:pt>
                <c:pt idx="123">
                  <c:v>5.919604026580453</c:v>
                </c:pt>
                <c:pt idx="124">
                  <c:v>5.919604026580453</c:v>
                </c:pt>
                <c:pt idx="125">
                  <c:v>5.919604026580453</c:v>
                </c:pt>
                <c:pt idx="126">
                  <c:v>5.919604026580453</c:v>
                </c:pt>
                <c:pt idx="127">
                  <c:v>5.919604026580453</c:v>
                </c:pt>
                <c:pt idx="128">
                  <c:v>5.919604026580453</c:v>
                </c:pt>
                <c:pt idx="129">
                  <c:v>5.919604026580453</c:v>
                </c:pt>
                <c:pt idx="130">
                  <c:v>5.919604026580453</c:v>
                </c:pt>
                <c:pt idx="131">
                  <c:v>5.919604026580453</c:v>
                </c:pt>
                <c:pt idx="132">
                  <c:v>5.919604026580453</c:v>
                </c:pt>
                <c:pt idx="133">
                  <c:v>5.919604026580453</c:v>
                </c:pt>
                <c:pt idx="134">
                  <c:v>5.919604026580453</c:v>
                </c:pt>
                <c:pt idx="135">
                  <c:v>5.919604026580453</c:v>
                </c:pt>
                <c:pt idx="136">
                  <c:v>5.919604026580453</c:v>
                </c:pt>
                <c:pt idx="137">
                  <c:v>5.919604026580453</c:v>
                </c:pt>
                <c:pt idx="138">
                  <c:v>5.919604026580453</c:v>
                </c:pt>
                <c:pt idx="139">
                  <c:v>5.919604026580453</c:v>
                </c:pt>
                <c:pt idx="140">
                  <c:v>5.919604026580453</c:v>
                </c:pt>
                <c:pt idx="141">
                  <c:v>5.919604026580453</c:v>
                </c:pt>
                <c:pt idx="142">
                  <c:v>5.919604026580453</c:v>
                </c:pt>
                <c:pt idx="143">
                  <c:v>5.919604026580453</c:v>
                </c:pt>
                <c:pt idx="144">
                  <c:v>5.919604026580453</c:v>
                </c:pt>
                <c:pt idx="145">
                  <c:v>5.919604026580453</c:v>
                </c:pt>
                <c:pt idx="146">
                  <c:v>5.919604026580453</c:v>
                </c:pt>
                <c:pt idx="147">
                  <c:v>5.919604026580453</c:v>
                </c:pt>
                <c:pt idx="148">
                  <c:v>5.919604026580453</c:v>
                </c:pt>
                <c:pt idx="149">
                  <c:v>5.919604026580453</c:v>
                </c:pt>
                <c:pt idx="150">
                  <c:v>5.919604026580453</c:v>
                </c:pt>
                <c:pt idx="151">
                  <c:v>5.919604026580453</c:v>
                </c:pt>
                <c:pt idx="152">
                  <c:v>5.919604026580453</c:v>
                </c:pt>
                <c:pt idx="153">
                  <c:v>5.919604026580453</c:v>
                </c:pt>
                <c:pt idx="154">
                  <c:v>5.919604026580453</c:v>
                </c:pt>
                <c:pt idx="155">
                  <c:v>5.919604026580453</c:v>
                </c:pt>
                <c:pt idx="156">
                  <c:v>5.919604026580453</c:v>
                </c:pt>
                <c:pt idx="157">
                  <c:v>5.919604026580453</c:v>
                </c:pt>
                <c:pt idx="158">
                  <c:v>5.919604026580453</c:v>
                </c:pt>
                <c:pt idx="159">
                  <c:v>5.919604026580453</c:v>
                </c:pt>
                <c:pt idx="160">
                  <c:v>5.919604026580453</c:v>
                </c:pt>
                <c:pt idx="161">
                  <c:v>5.919604026580453</c:v>
                </c:pt>
                <c:pt idx="162">
                  <c:v>5.919604026580453</c:v>
                </c:pt>
                <c:pt idx="163">
                  <c:v>5.919604026580453</c:v>
                </c:pt>
                <c:pt idx="164">
                  <c:v>5.919604026580453</c:v>
                </c:pt>
                <c:pt idx="165">
                  <c:v>5.919604026580453</c:v>
                </c:pt>
                <c:pt idx="166">
                  <c:v>5.919604026580453</c:v>
                </c:pt>
                <c:pt idx="167">
                  <c:v>5.919604026580453</c:v>
                </c:pt>
                <c:pt idx="168">
                  <c:v>5.919604026580453</c:v>
                </c:pt>
                <c:pt idx="169">
                  <c:v>5.919604026580453</c:v>
                </c:pt>
                <c:pt idx="170">
                  <c:v>5.919604026580453</c:v>
                </c:pt>
                <c:pt idx="171">
                  <c:v>5.919604026580453</c:v>
                </c:pt>
                <c:pt idx="172">
                  <c:v>5.919604026580453</c:v>
                </c:pt>
                <c:pt idx="173">
                  <c:v>5.919604026580453</c:v>
                </c:pt>
                <c:pt idx="174">
                  <c:v>5.919604026580453</c:v>
                </c:pt>
                <c:pt idx="175">
                  <c:v>5.919604026580453</c:v>
                </c:pt>
                <c:pt idx="176">
                  <c:v>5.919604026580453</c:v>
                </c:pt>
                <c:pt idx="177">
                  <c:v>5.919604026580453</c:v>
                </c:pt>
                <c:pt idx="178">
                  <c:v>5.919604026580453</c:v>
                </c:pt>
                <c:pt idx="179">
                  <c:v>5.919604026580453</c:v>
                </c:pt>
                <c:pt idx="180">
                  <c:v>5.919604026580453</c:v>
                </c:pt>
                <c:pt idx="181">
                  <c:v>5.919604026580453</c:v>
                </c:pt>
                <c:pt idx="182">
                  <c:v>5.919604026580453</c:v>
                </c:pt>
                <c:pt idx="183">
                  <c:v>5.919604026580453</c:v>
                </c:pt>
                <c:pt idx="184">
                  <c:v>5.919604026580453</c:v>
                </c:pt>
                <c:pt idx="185">
                  <c:v>5.919604026580453</c:v>
                </c:pt>
                <c:pt idx="186">
                  <c:v>5.919604026580453</c:v>
                </c:pt>
                <c:pt idx="187">
                  <c:v>5.919604026580453</c:v>
                </c:pt>
                <c:pt idx="188">
                  <c:v>5.919604026580453</c:v>
                </c:pt>
                <c:pt idx="189">
                  <c:v>5.919604026580453</c:v>
                </c:pt>
                <c:pt idx="190">
                  <c:v>5.919604026580453</c:v>
                </c:pt>
                <c:pt idx="191">
                  <c:v>5.919604026580453</c:v>
                </c:pt>
                <c:pt idx="192">
                  <c:v>5.919604026580453</c:v>
                </c:pt>
                <c:pt idx="193">
                  <c:v>5.919604026580453</c:v>
                </c:pt>
                <c:pt idx="194">
                  <c:v>5.919604026580453</c:v>
                </c:pt>
                <c:pt idx="195">
                  <c:v>5.919604026580453</c:v>
                </c:pt>
                <c:pt idx="196">
                  <c:v>5.919604026580453</c:v>
                </c:pt>
                <c:pt idx="197">
                  <c:v>5.919604026580453</c:v>
                </c:pt>
                <c:pt idx="198">
                  <c:v>5.919604026580453</c:v>
                </c:pt>
                <c:pt idx="199">
                  <c:v>5.919604026580453</c:v>
                </c:pt>
                <c:pt idx="200">
                  <c:v>5.919604026580453</c:v>
                </c:pt>
                <c:pt idx="201">
                  <c:v>5.919604026580453</c:v>
                </c:pt>
                <c:pt idx="202">
                  <c:v>5.919604026580453</c:v>
                </c:pt>
                <c:pt idx="203">
                  <c:v>5.919604026580453</c:v>
                </c:pt>
                <c:pt idx="204">
                  <c:v>5.919604026580453</c:v>
                </c:pt>
                <c:pt idx="205">
                  <c:v>5.919604026580453</c:v>
                </c:pt>
                <c:pt idx="206">
                  <c:v>5.919604026580453</c:v>
                </c:pt>
                <c:pt idx="207">
                  <c:v>5.919604026580453</c:v>
                </c:pt>
                <c:pt idx="208">
                  <c:v>5.919604026580453</c:v>
                </c:pt>
                <c:pt idx="209">
                  <c:v>5.919604026580453</c:v>
                </c:pt>
                <c:pt idx="210">
                  <c:v>5.919604026580453</c:v>
                </c:pt>
                <c:pt idx="211">
                  <c:v>5.919604026580453</c:v>
                </c:pt>
                <c:pt idx="212">
                  <c:v>5.919604026580453</c:v>
                </c:pt>
                <c:pt idx="213">
                  <c:v>5.919604026580453</c:v>
                </c:pt>
                <c:pt idx="214">
                  <c:v>5.919604026580453</c:v>
                </c:pt>
                <c:pt idx="215">
                  <c:v>5.919604026580453</c:v>
                </c:pt>
                <c:pt idx="216">
                  <c:v>5.919604026580453</c:v>
                </c:pt>
                <c:pt idx="217">
                  <c:v>5.919604026580453</c:v>
                </c:pt>
                <c:pt idx="218">
                  <c:v>5.919604026580453</c:v>
                </c:pt>
                <c:pt idx="219">
                  <c:v>5.919604026580453</c:v>
                </c:pt>
                <c:pt idx="220">
                  <c:v>5.919604026580453</c:v>
                </c:pt>
                <c:pt idx="221">
                  <c:v>5.919604026580453</c:v>
                </c:pt>
                <c:pt idx="222">
                  <c:v>5.919604026580453</c:v>
                </c:pt>
                <c:pt idx="223">
                  <c:v>5.919604026580453</c:v>
                </c:pt>
                <c:pt idx="224">
                  <c:v>5.919604026580453</c:v>
                </c:pt>
                <c:pt idx="225">
                  <c:v>5.919604026580453</c:v>
                </c:pt>
                <c:pt idx="226">
                  <c:v>5.919604026580453</c:v>
                </c:pt>
                <c:pt idx="227">
                  <c:v>5.919604026580453</c:v>
                </c:pt>
                <c:pt idx="228">
                  <c:v>5.919604026580453</c:v>
                </c:pt>
                <c:pt idx="229">
                  <c:v>5.919604026580453</c:v>
                </c:pt>
                <c:pt idx="230">
                  <c:v>5.919604026580453</c:v>
                </c:pt>
                <c:pt idx="231">
                  <c:v>5.919604026580453</c:v>
                </c:pt>
                <c:pt idx="232">
                  <c:v>5.919604026580453</c:v>
                </c:pt>
                <c:pt idx="233">
                  <c:v>5.919604026580453</c:v>
                </c:pt>
                <c:pt idx="234">
                  <c:v>5.919604026580453</c:v>
                </c:pt>
                <c:pt idx="235">
                  <c:v>5.919604026580453</c:v>
                </c:pt>
                <c:pt idx="236">
                  <c:v>5.919604026580453</c:v>
                </c:pt>
                <c:pt idx="237">
                  <c:v>5.919604026580453</c:v>
                </c:pt>
                <c:pt idx="238">
                  <c:v>5.919604026580453</c:v>
                </c:pt>
                <c:pt idx="239">
                  <c:v>5.919604026580453</c:v>
                </c:pt>
                <c:pt idx="240">
                  <c:v>5.919604026580453</c:v>
                </c:pt>
                <c:pt idx="241">
                  <c:v>5.919604026580453</c:v>
                </c:pt>
                <c:pt idx="242">
                  <c:v>5.919604026580453</c:v>
                </c:pt>
                <c:pt idx="243">
                  <c:v>5.919604026580453</c:v>
                </c:pt>
                <c:pt idx="244">
                  <c:v>5.919604026580453</c:v>
                </c:pt>
                <c:pt idx="245">
                  <c:v>5.919604026580453</c:v>
                </c:pt>
                <c:pt idx="246">
                  <c:v>5.919604026580453</c:v>
                </c:pt>
                <c:pt idx="247">
                  <c:v>5.919604026580453</c:v>
                </c:pt>
                <c:pt idx="248">
                  <c:v>5.919604026580453</c:v>
                </c:pt>
                <c:pt idx="249">
                  <c:v>5.919604026580453</c:v>
                </c:pt>
                <c:pt idx="250">
                  <c:v>5.919604026580453</c:v>
                </c:pt>
                <c:pt idx="251">
                  <c:v>5.919604026580453</c:v>
                </c:pt>
                <c:pt idx="252">
                  <c:v>5.919604026580453</c:v>
                </c:pt>
                <c:pt idx="253">
                  <c:v>5.919604026580453</c:v>
                </c:pt>
                <c:pt idx="254">
                  <c:v>5.919604026580453</c:v>
                </c:pt>
                <c:pt idx="255">
                  <c:v>5.919604026580453</c:v>
                </c:pt>
                <c:pt idx="256">
                  <c:v>5.919604026580453</c:v>
                </c:pt>
                <c:pt idx="257">
                  <c:v>5.919604026580453</c:v>
                </c:pt>
                <c:pt idx="258">
                  <c:v>5.919604026580453</c:v>
                </c:pt>
                <c:pt idx="259">
                  <c:v>5.919604026580453</c:v>
                </c:pt>
                <c:pt idx="260">
                  <c:v>5.919604026580453</c:v>
                </c:pt>
                <c:pt idx="261">
                  <c:v>5.919604026580453</c:v>
                </c:pt>
                <c:pt idx="262">
                  <c:v>5.919604026580453</c:v>
                </c:pt>
                <c:pt idx="263">
                  <c:v>5.919604026580453</c:v>
                </c:pt>
                <c:pt idx="264">
                  <c:v>5.919604026580453</c:v>
                </c:pt>
                <c:pt idx="265">
                  <c:v>5.919604026580453</c:v>
                </c:pt>
                <c:pt idx="266">
                  <c:v>5.919604026580453</c:v>
                </c:pt>
                <c:pt idx="267">
                  <c:v>5.919604026580453</c:v>
                </c:pt>
                <c:pt idx="268">
                  <c:v>5.919604026580453</c:v>
                </c:pt>
                <c:pt idx="269">
                  <c:v>5.919604026580453</c:v>
                </c:pt>
                <c:pt idx="270">
                  <c:v>5.919604026580453</c:v>
                </c:pt>
                <c:pt idx="271">
                  <c:v>5.919604026580453</c:v>
                </c:pt>
                <c:pt idx="272">
                  <c:v>5.919604026580453</c:v>
                </c:pt>
                <c:pt idx="273">
                  <c:v>5.919604026580453</c:v>
                </c:pt>
                <c:pt idx="274">
                  <c:v>5.919604026580453</c:v>
                </c:pt>
                <c:pt idx="275">
                  <c:v>5.919604026580453</c:v>
                </c:pt>
                <c:pt idx="276">
                  <c:v>5.919604026580453</c:v>
                </c:pt>
                <c:pt idx="277">
                  <c:v>5.919604026580453</c:v>
                </c:pt>
                <c:pt idx="278">
                  <c:v>5.919604026580453</c:v>
                </c:pt>
                <c:pt idx="279">
                  <c:v>5.919604026580453</c:v>
                </c:pt>
                <c:pt idx="280">
                  <c:v>5.919604026580453</c:v>
                </c:pt>
                <c:pt idx="281">
                  <c:v>5.919604026580453</c:v>
                </c:pt>
                <c:pt idx="282">
                  <c:v>5.919604026580453</c:v>
                </c:pt>
                <c:pt idx="283">
                  <c:v>5.919604026580453</c:v>
                </c:pt>
                <c:pt idx="284">
                  <c:v>5.919604026580453</c:v>
                </c:pt>
                <c:pt idx="285">
                  <c:v>5.919604026580453</c:v>
                </c:pt>
                <c:pt idx="286">
                  <c:v>5.919604026580453</c:v>
                </c:pt>
                <c:pt idx="287">
                  <c:v>5.919604026580453</c:v>
                </c:pt>
                <c:pt idx="288">
                  <c:v>5.919604026580453</c:v>
                </c:pt>
                <c:pt idx="289">
                  <c:v>5.919604026580453</c:v>
                </c:pt>
                <c:pt idx="290">
                  <c:v>5.919604026580453</c:v>
                </c:pt>
                <c:pt idx="291">
                  <c:v>5.919604026580453</c:v>
                </c:pt>
                <c:pt idx="292">
                  <c:v>5.919604026580453</c:v>
                </c:pt>
                <c:pt idx="293">
                  <c:v>5.919604026580453</c:v>
                </c:pt>
                <c:pt idx="294">
                  <c:v>5.919604026580453</c:v>
                </c:pt>
                <c:pt idx="295">
                  <c:v>5.919604026580453</c:v>
                </c:pt>
                <c:pt idx="296">
                  <c:v>5.919604026580453</c:v>
                </c:pt>
                <c:pt idx="297">
                  <c:v>5.919604026580453</c:v>
                </c:pt>
                <c:pt idx="298">
                  <c:v>5.919604026580453</c:v>
                </c:pt>
                <c:pt idx="299">
                  <c:v>5.919604026580453</c:v>
                </c:pt>
                <c:pt idx="300">
                  <c:v>5.919604026580453</c:v>
                </c:pt>
                <c:pt idx="301">
                  <c:v>5.919604026580453</c:v>
                </c:pt>
                <c:pt idx="302">
                  <c:v>5.919604026580453</c:v>
                </c:pt>
                <c:pt idx="303">
                  <c:v>5.919604026580453</c:v>
                </c:pt>
                <c:pt idx="304">
                  <c:v>5.919604026580453</c:v>
                </c:pt>
                <c:pt idx="305">
                  <c:v>5.919604026580453</c:v>
                </c:pt>
                <c:pt idx="306">
                  <c:v>5.919604026580453</c:v>
                </c:pt>
                <c:pt idx="307">
                  <c:v>5.919604026580453</c:v>
                </c:pt>
                <c:pt idx="308">
                  <c:v>5.919604026580453</c:v>
                </c:pt>
                <c:pt idx="309">
                  <c:v>5.919604026580453</c:v>
                </c:pt>
                <c:pt idx="310">
                  <c:v>5.919604026580453</c:v>
                </c:pt>
                <c:pt idx="311">
                  <c:v>5.919604026580453</c:v>
                </c:pt>
                <c:pt idx="312">
                  <c:v>5.919604026580453</c:v>
                </c:pt>
                <c:pt idx="313">
                  <c:v>5.919604026580453</c:v>
                </c:pt>
                <c:pt idx="314">
                  <c:v>5.919604026580453</c:v>
                </c:pt>
                <c:pt idx="315">
                  <c:v>5.919604026580453</c:v>
                </c:pt>
                <c:pt idx="316">
                  <c:v>5.919604026580453</c:v>
                </c:pt>
                <c:pt idx="317">
                  <c:v>5.919604026580453</c:v>
                </c:pt>
                <c:pt idx="318">
                  <c:v>5.919604026580453</c:v>
                </c:pt>
                <c:pt idx="319">
                  <c:v>5.919604026580453</c:v>
                </c:pt>
                <c:pt idx="320">
                  <c:v>5.919604026580453</c:v>
                </c:pt>
                <c:pt idx="321">
                  <c:v>5.919604026580453</c:v>
                </c:pt>
                <c:pt idx="322">
                  <c:v>5.919604026580453</c:v>
                </c:pt>
                <c:pt idx="323">
                  <c:v>5.919604026580453</c:v>
                </c:pt>
                <c:pt idx="324">
                  <c:v>5.919604026580453</c:v>
                </c:pt>
                <c:pt idx="325">
                  <c:v>5.919604026580453</c:v>
                </c:pt>
                <c:pt idx="326">
                  <c:v>5.919604026580453</c:v>
                </c:pt>
                <c:pt idx="327">
                  <c:v>5.919604026580453</c:v>
                </c:pt>
                <c:pt idx="328">
                  <c:v>5.919604026580453</c:v>
                </c:pt>
                <c:pt idx="329">
                  <c:v>5.919604026580453</c:v>
                </c:pt>
                <c:pt idx="330">
                  <c:v>5.919604026580453</c:v>
                </c:pt>
                <c:pt idx="331">
                  <c:v>5.919604026580453</c:v>
                </c:pt>
                <c:pt idx="332">
                  <c:v>5.919604026580453</c:v>
                </c:pt>
                <c:pt idx="333">
                  <c:v>5.919604026580453</c:v>
                </c:pt>
                <c:pt idx="334">
                  <c:v>5.919604026580453</c:v>
                </c:pt>
                <c:pt idx="335">
                  <c:v>5.919604026580453</c:v>
                </c:pt>
                <c:pt idx="336">
                  <c:v>5.919604026580453</c:v>
                </c:pt>
                <c:pt idx="337">
                  <c:v>5.919604026580453</c:v>
                </c:pt>
                <c:pt idx="338">
                  <c:v>5.919604026580453</c:v>
                </c:pt>
                <c:pt idx="339">
                  <c:v>5.919604026580453</c:v>
                </c:pt>
                <c:pt idx="340">
                  <c:v>5.919604026580453</c:v>
                </c:pt>
                <c:pt idx="341">
                  <c:v>5.919604026580453</c:v>
                </c:pt>
                <c:pt idx="342">
                  <c:v>5.919604026580453</c:v>
                </c:pt>
                <c:pt idx="343">
                  <c:v>5.919604026580453</c:v>
                </c:pt>
                <c:pt idx="344">
                  <c:v>5.919604026580453</c:v>
                </c:pt>
                <c:pt idx="345">
                  <c:v>5.919604026580453</c:v>
                </c:pt>
                <c:pt idx="346">
                  <c:v>5.919604026580453</c:v>
                </c:pt>
                <c:pt idx="347">
                  <c:v>5.919604026580453</c:v>
                </c:pt>
                <c:pt idx="348">
                  <c:v>5.919604026580453</c:v>
                </c:pt>
                <c:pt idx="349">
                  <c:v>5.919604026580453</c:v>
                </c:pt>
                <c:pt idx="350">
                  <c:v>5.919604026580453</c:v>
                </c:pt>
                <c:pt idx="351">
                  <c:v>5.919604026580453</c:v>
                </c:pt>
                <c:pt idx="352">
                  <c:v>5.919604026580453</c:v>
                </c:pt>
                <c:pt idx="353">
                  <c:v>5.919604026580453</c:v>
                </c:pt>
                <c:pt idx="354">
                  <c:v>5.919604026580453</c:v>
                </c:pt>
                <c:pt idx="355">
                  <c:v>5.919604026580453</c:v>
                </c:pt>
                <c:pt idx="356">
                  <c:v>5.919604026580453</c:v>
                </c:pt>
                <c:pt idx="357">
                  <c:v>5.919604026580453</c:v>
                </c:pt>
                <c:pt idx="358">
                  <c:v>5.919604026580453</c:v>
                </c:pt>
                <c:pt idx="359">
                  <c:v>5.919604026580453</c:v>
                </c:pt>
                <c:pt idx="360">
                  <c:v>5.919604026580453</c:v>
                </c:pt>
                <c:pt idx="361">
                  <c:v>5.919604026580453</c:v>
                </c:pt>
                <c:pt idx="362">
                  <c:v>5.919604026580453</c:v>
                </c:pt>
                <c:pt idx="363">
                  <c:v>5.919604026580453</c:v>
                </c:pt>
                <c:pt idx="364">
                  <c:v>5.919604026580453</c:v>
                </c:pt>
                <c:pt idx="365">
                  <c:v>5.919604026580453</c:v>
                </c:pt>
                <c:pt idx="366">
                  <c:v>5.919604026580453</c:v>
                </c:pt>
                <c:pt idx="367">
                  <c:v>5.919604026580453</c:v>
                </c:pt>
                <c:pt idx="368">
                  <c:v>5.919604026580453</c:v>
                </c:pt>
                <c:pt idx="369">
                  <c:v>5.919604026580453</c:v>
                </c:pt>
                <c:pt idx="370">
                  <c:v>5.919604026580453</c:v>
                </c:pt>
                <c:pt idx="371">
                  <c:v>5.919604026580453</c:v>
                </c:pt>
                <c:pt idx="372">
                  <c:v>5.919604026580453</c:v>
                </c:pt>
                <c:pt idx="373">
                  <c:v>5.919604026580453</c:v>
                </c:pt>
                <c:pt idx="374">
                  <c:v>5.919604026580453</c:v>
                </c:pt>
                <c:pt idx="375">
                  <c:v>5.919604026580453</c:v>
                </c:pt>
                <c:pt idx="376">
                  <c:v>5.919604026580453</c:v>
                </c:pt>
                <c:pt idx="377">
                  <c:v>5.919604026580453</c:v>
                </c:pt>
                <c:pt idx="378">
                  <c:v>5.919604026580453</c:v>
                </c:pt>
                <c:pt idx="379">
                  <c:v>5.919604026580453</c:v>
                </c:pt>
                <c:pt idx="380">
                  <c:v>5.919604026580453</c:v>
                </c:pt>
                <c:pt idx="381">
                  <c:v>5.919604026580453</c:v>
                </c:pt>
                <c:pt idx="382">
                  <c:v>5.919604026580453</c:v>
                </c:pt>
                <c:pt idx="383">
                  <c:v>5.919604026580453</c:v>
                </c:pt>
                <c:pt idx="384">
                  <c:v>5.919604026580453</c:v>
                </c:pt>
                <c:pt idx="385">
                  <c:v>5.919604026580453</c:v>
                </c:pt>
                <c:pt idx="386">
                  <c:v>5.919604026580453</c:v>
                </c:pt>
                <c:pt idx="387">
                  <c:v>5.919604026580453</c:v>
                </c:pt>
                <c:pt idx="388">
                  <c:v>5.919604026580453</c:v>
                </c:pt>
                <c:pt idx="389">
                  <c:v>5.919604026580453</c:v>
                </c:pt>
                <c:pt idx="390">
                  <c:v>5.919604026580453</c:v>
                </c:pt>
                <c:pt idx="391">
                  <c:v>5.919604026580453</c:v>
                </c:pt>
                <c:pt idx="392">
                  <c:v>5.919604026580453</c:v>
                </c:pt>
                <c:pt idx="393">
                  <c:v>5.919604026580453</c:v>
                </c:pt>
                <c:pt idx="394">
                  <c:v>5.919604026580453</c:v>
                </c:pt>
                <c:pt idx="395">
                  <c:v>5.919604026580453</c:v>
                </c:pt>
                <c:pt idx="396">
                  <c:v>5.919604026580453</c:v>
                </c:pt>
                <c:pt idx="397">
                  <c:v>5.919604026580453</c:v>
                </c:pt>
                <c:pt idx="398">
                  <c:v>5.919604026580453</c:v>
                </c:pt>
                <c:pt idx="399">
                  <c:v>5.919604026580453</c:v>
                </c:pt>
                <c:pt idx="400">
                  <c:v>5.919604026580453</c:v>
                </c:pt>
                <c:pt idx="401">
                  <c:v>5.919604026580453</c:v>
                </c:pt>
                <c:pt idx="402">
                  <c:v>5.919604026580453</c:v>
                </c:pt>
                <c:pt idx="403">
                  <c:v>5.919604026580453</c:v>
                </c:pt>
                <c:pt idx="404">
                  <c:v>5.919604026580453</c:v>
                </c:pt>
                <c:pt idx="405">
                  <c:v>5.919604026580453</c:v>
                </c:pt>
                <c:pt idx="406">
                  <c:v>5.919604026580453</c:v>
                </c:pt>
                <c:pt idx="407">
                  <c:v>5.919604026580453</c:v>
                </c:pt>
                <c:pt idx="408">
                  <c:v>5.919604026580453</c:v>
                </c:pt>
                <c:pt idx="409">
                  <c:v>5.919604026580453</c:v>
                </c:pt>
                <c:pt idx="410">
                  <c:v>5.919604026580453</c:v>
                </c:pt>
                <c:pt idx="411">
                  <c:v>5.919604026580453</c:v>
                </c:pt>
                <c:pt idx="412">
                  <c:v>5.919604026580453</c:v>
                </c:pt>
                <c:pt idx="413">
                  <c:v>5.919604026580453</c:v>
                </c:pt>
                <c:pt idx="414">
                  <c:v>5.919604026580453</c:v>
                </c:pt>
                <c:pt idx="415">
                  <c:v>5.919604026580453</c:v>
                </c:pt>
                <c:pt idx="416">
                  <c:v>5.919604026580453</c:v>
                </c:pt>
                <c:pt idx="417">
                  <c:v>5.919604026580453</c:v>
                </c:pt>
                <c:pt idx="418">
                  <c:v>5.919604026580453</c:v>
                </c:pt>
                <c:pt idx="419">
                  <c:v>5.919604026580453</c:v>
                </c:pt>
                <c:pt idx="420">
                  <c:v>5.919604026580453</c:v>
                </c:pt>
                <c:pt idx="421">
                  <c:v>5.919604026580453</c:v>
                </c:pt>
                <c:pt idx="422">
                  <c:v>5.919604026580453</c:v>
                </c:pt>
                <c:pt idx="423">
                  <c:v>5.919604026580453</c:v>
                </c:pt>
                <c:pt idx="424">
                  <c:v>5.919604026580453</c:v>
                </c:pt>
                <c:pt idx="425">
                  <c:v>5.919604026580453</c:v>
                </c:pt>
                <c:pt idx="426">
                  <c:v>5.919604026580453</c:v>
                </c:pt>
                <c:pt idx="427">
                  <c:v>5.919604026580453</c:v>
                </c:pt>
                <c:pt idx="428">
                  <c:v>5.919604026580453</c:v>
                </c:pt>
                <c:pt idx="429">
                  <c:v>5.919604026580453</c:v>
                </c:pt>
                <c:pt idx="430">
                  <c:v>5.919604026580453</c:v>
                </c:pt>
                <c:pt idx="431">
                  <c:v>5.919604026580453</c:v>
                </c:pt>
                <c:pt idx="432">
                  <c:v>5.919604026580453</c:v>
                </c:pt>
                <c:pt idx="433">
                  <c:v>5.919604026580453</c:v>
                </c:pt>
                <c:pt idx="434">
                  <c:v>5.919604026580453</c:v>
                </c:pt>
                <c:pt idx="435">
                  <c:v>5.919604026580453</c:v>
                </c:pt>
                <c:pt idx="436">
                  <c:v>5.919604026580453</c:v>
                </c:pt>
                <c:pt idx="437">
                  <c:v>5.919604026580453</c:v>
                </c:pt>
                <c:pt idx="438">
                  <c:v>5.919604026580453</c:v>
                </c:pt>
                <c:pt idx="439">
                  <c:v>5.919604026580453</c:v>
                </c:pt>
                <c:pt idx="440">
                  <c:v>5.919604026580453</c:v>
                </c:pt>
                <c:pt idx="441">
                  <c:v>5.919604026580453</c:v>
                </c:pt>
                <c:pt idx="442">
                  <c:v>5.919604026580453</c:v>
                </c:pt>
                <c:pt idx="443">
                  <c:v>5.919604026580453</c:v>
                </c:pt>
                <c:pt idx="444">
                  <c:v>5.919604026580453</c:v>
                </c:pt>
                <c:pt idx="445">
                  <c:v>5.919604026580453</c:v>
                </c:pt>
                <c:pt idx="446">
                  <c:v>5.919604026580453</c:v>
                </c:pt>
                <c:pt idx="447">
                  <c:v>5.919604026580453</c:v>
                </c:pt>
                <c:pt idx="448">
                  <c:v>5.919604026580453</c:v>
                </c:pt>
                <c:pt idx="449">
                  <c:v>5.919604026580453</c:v>
                </c:pt>
                <c:pt idx="450">
                  <c:v>5.919604026580453</c:v>
                </c:pt>
                <c:pt idx="451">
                  <c:v>5.919604026580453</c:v>
                </c:pt>
                <c:pt idx="452">
                  <c:v>5.919604026580453</c:v>
                </c:pt>
                <c:pt idx="453">
                  <c:v>5.919604026580453</c:v>
                </c:pt>
                <c:pt idx="454">
                  <c:v>5.919604026580453</c:v>
                </c:pt>
                <c:pt idx="455">
                  <c:v>5.919604026580453</c:v>
                </c:pt>
                <c:pt idx="456">
                  <c:v>5.919604026580453</c:v>
                </c:pt>
                <c:pt idx="457">
                  <c:v>5.919604026580453</c:v>
                </c:pt>
                <c:pt idx="458">
                  <c:v>5.919604026580453</c:v>
                </c:pt>
                <c:pt idx="459">
                  <c:v>5.919604026580453</c:v>
                </c:pt>
                <c:pt idx="460">
                  <c:v>5.919604026580453</c:v>
                </c:pt>
                <c:pt idx="461">
                  <c:v>5.919604026580453</c:v>
                </c:pt>
                <c:pt idx="462">
                  <c:v>5.919604026580453</c:v>
                </c:pt>
                <c:pt idx="463">
                  <c:v>5.919604026580453</c:v>
                </c:pt>
                <c:pt idx="464">
                  <c:v>5.919604026580453</c:v>
                </c:pt>
                <c:pt idx="465">
                  <c:v>5.919604026580453</c:v>
                </c:pt>
                <c:pt idx="466">
                  <c:v>5.919604026580453</c:v>
                </c:pt>
                <c:pt idx="467">
                  <c:v>5.919604026580453</c:v>
                </c:pt>
                <c:pt idx="468">
                  <c:v>5.919604026580453</c:v>
                </c:pt>
                <c:pt idx="469">
                  <c:v>5.919604026580453</c:v>
                </c:pt>
                <c:pt idx="470">
                  <c:v>5.919604026580453</c:v>
                </c:pt>
                <c:pt idx="471">
                  <c:v>5.919604026580453</c:v>
                </c:pt>
                <c:pt idx="472">
                  <c:v>5.919604026580453</c:v>
                </c:pt>
                <c:pt idx="473">
                  <c:v>5.919604026580453</c:v>
                </c:pt>
                <c:pt idx="474">
                  <c:v>5.919604026580453</c:v>
                </c:pt>
                <c:pt idx="475">
                  <c:v>5.919604026580453</c:v>
                </c:pt>
                <c:pt idx="476">
                  <c:v>5.919604026580453</c:v>
                </c:pt>
                <c:pt idx="477">
                  <c:v>5.919604026580453</c:v>
                </c:pt>
                <c:pt idx="478">
                  <c:v>5.919604026580453</c:v>
                </c:pt>
                <c:pt idx="479">
                  <c:v>5.919604026580453</c:v>
                </c:pt>
                <c:pt idx="480">
                  <c:v>5.919604026580453</c:v>
                </c:pt>
                <c:pt idx="481">
                  <c:v>5.919604026580453</c:v>
                </c:pt>
                <c:pt idx="482">
                  <c:v>5.919604026580453</c:v>
                </c:pt>
                <c:pt idx="483">
                  <c:v>5.919604026580453</c:v>
                </c:pt>
                <c:pt idx="484">
                  <c:v>5.919604026580453</c:v>
                </c:pt>
                <c:pt idx="485">
                  <c:v>5.919604026580453</c:v>
                </c:pt>
                <c:pt idx="486">
                  <c:v>5.919604026580453</c:v>
                </c:pt>
                <c:pt idx="487">
                  <c:v>5.919604026580453</c:v>
                </c:pt>
                <c:pt idx="488">
                  <c:v>5.919604026580453</c:v>
                </c:pt>
                <c:pt idx="489">
                  <c:v>5.919604026580453</c:v>
                </c:pt>
                <c:pt idx="490">
                  <c:v>5.919604026580453</c:v>
                </c:pt>
                <c:pt idx="491">
                  <c:v>5.919604026580453</c:v>
                </c:pt>
                <c:pt idx="492">
                  <c:v>5.919604026580453</c:v>
                </c:pt>
                <c:pt idx="493">
                  <c:v>5.919604026580453</c:v>
                </c:pt>
                <c:pt idx="494">
                  <c:v>5.919604026580453</c:v>
                </c:pt>
                <c:pt idx="495">
                  <c:v>5.919604026580453</c:v>
                </c:pt>
                <c:pt idx="496">
                  <c:v>5.919604026580453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504-4920-A7E1-4D8EBD195630}"/>
            </c:ext>
          </c:extLst>
        </c:ser>
        <c:ser>
          <c:idx val="5"/>
          <c:order val="4"/>
          <c:tx>
            <c:strRef>
              <c:f>'FX Data'!$L$956</c:f>
              <c:strCache>
                <c:ptCount val="1"/>
                <c:pt idx="0">
                  <c:v>=+2sd</c:v>
                </c:pt>
              </c:strCache>
            </c:strRef>
          </c:tx>
          <c:spPr>
            <a:ln w="19050" cap="rnd">
              <a:solidFill>
                <a:sysClr val="window" lastClr="FFFFFF">
                  <a:lumMod val="75000"/>
                </a:sysClr>
              </a:solidFill>
              <a:round/>
            </a:ln>
            <a:effectLst/>
          </c:spPr>
          <c:marker>
            <c:symbol val="none"/>
          </c:marker>
          <c:cat>
            <c:numRef>
              <c:f>'FX Data'!$B$957:$B$1448</c:f>
              <c:numCache>
                <c:formatCode>m/d/yyyy</c:formatCode>
                <c:ptCount val="492"/>
                <c:pt idx="0">
                  <c:v>44263</c:v>
                </c:pt>
                <c:pt idx="1">
                  <c:v>44264</c:v>
                </c:pt>
                <c:pt idx="2">
                  <c:v>44265</c:v>
                </c:pt>
                <c:pt idx="3">
                  <c:v>44266</c:v>
                </c:pt>
                <c:pt idx="4">
                  <c:v>44267</c:v>
                </c:pt>
                <c:pt idx="5">
                  <c:v>44270</c:v>
                </c:pt>
                <c:pt idx="6">
                  <c:v>44271</c:v>
                </c:pt>
                <c:pt idx="7">
                  <c:v>44272</c:v>
                </c:pt>
                <c:pt idx="8">
                  <c:v>44273</c:v>
                </c:pt>
                <c:pt idx="9">
                  <c:v>44274</c:v>
                </c:pt>
                <c:pt idx="10">
                  <c:v>44277</c:v>
                </c:pt>
                <c:pt idx="11">
                  <c:v>44278</c:v>
                </c:pt>
                <c:pt idx="12">
                  <c:v>44279</c:v>
                </c:pt>
                <c:pt idx="13">
                  <c:v>44280</c:v>
                </c:pt>
                <c:pt idx="14">
                  <c:v>44281</c:v>
                </c:pt>
                <c:pt idx="15">
                  <c:v>44284</c:v>
                </c:pt>
                <c:pt idx="16">
                  <c:v>44285</c:v>
                </c:pt>
                <c:pt idx="17">
                  <c:v>44286</c:v>
                </c:pt>
                <c:pt idx="18">
                  <c:v>44287</c:v>
                </c:pt>
                <c:pt idx="19">
                  <c:v>44288</c:v>
                </c:pt>
                <c:pt idx="20">
                  <c:v>44291</c:v>
                </c:pt>
                <c:pt idx="21">
                  <c:v>44292</c:v>
                </c:pt>
                <c:pt idx="22">
                  <c:v>44293</c:v>
                </c:pt>
                <c:pt idx="23">
                  <c:v>44294</c:v>
                </c:pt>
                <c:pt idx="24">
                  <c:v>44295</c:v>
                </c:pt>
                <c:pt idx="25">
                  <c:v>44298</c:v>
                </c:pt>
                <c:pt idx="26">
                  <c:v>44299</c:v>
                </c:pt>
                <c:pt idx="27">
                  <c:v>44300</c:v>
                </c:pt>
                <c:pt idx="28">
                  <c:v>44301</c:v>
                </c:pt>
                <c:pt idx="29">
                  <c:v>44302</c:v>
                </c:pt>
                <c:pt idx="30">
                  <c:v>44305</c:v>
                </c:pt>
                <c:pt idx="31">
                  <c:v>44306</c:v>
                </c:pt>
                <c:pt idx="32">
                  <c:v>44308</c:v>
                </c:pt>
                <c:pt idx="33">
                  <c:v>44309</c:v>
                </c:pt>
                <c:pt idx="34">
                  <c:v>44312</c:v>
                </c:pt>
                <c:pt idx="35">
                  <c:v>44313</c:v>
                </c:pt>
                <c:pt idx="36">
                  <c:v>44314</c:v>
                </c:pt>
                <c:pt idx="37">
                  <c:v>44315</c:v>
                </c:pt>
                <c:pt idx="38">
                  <c:v>44320</c:v>
                </c:pt>
                <c:pt idx="39">
                  <c:v>44321</c:v>
                </c:pt>
                <c:pt idx="40">
                  <c:v>44322</c:v>
                </c:pt>
                <c:pt idx="41">
                  <c:v>44323</c:v>
                </c:pt>
                <c:pt idx="42">
                  <c:v>44326</c:v>
                </c:pt>
                <c:pt idx="43">
                  <c:v>44327</c:v>
                </c:pt>
                <c:pt idx="44">
                  <c:v>44328</c:v>
                </c:pt>
                <c:pt idx="45">
                  <c:v>44329</c:v>
                </c:pt>
                <c:pt idx="46">
                  <c:v>44330</c:v>
                </c:pt>
                <c:pt idx="47">
                  <c:v>44333</c:v>
                </c:pt>
                <c:pt idx="48">
                  <c:v>44334</c:v>
                </c:pt>
                <c:pt idx="49">
                  <c:v>44335</c:v>
                </c:pt>
                <c:pt idx="50">
                  <c:v>44336</c:v>
                </c:pt>
                <c:pt idx="51">
                  <c:v>44337</c:v>
                </c:pt>
                <c:pt idx="52">
                  <c:v>44340</c:v>
                </c:pt>
                <c:pt idx="53">
                  <c:v>44341</c:v>
                </c:pt>
                <c:pt idx="54">
                  <c:v>44342</c:v>
                </c:pt>
                <c:pt idx="55">
                  <c:v>44343</c:v>
                </c:pt>
                <c:pt idx="56">
                  <c:v>44344</c:v>
                </c:pt>
                <c:pt idx="57">
                  <c:v>44347</c:v>
                </c:pt>
                <c:pt idx="58">
                  <c:v>44348</c:v>
                </c:pt>
                <c:pt idx="59">
                  <c:v>44349</c:v>
                </c:pt>
                <c:pt idx="60">
                  <c:v>44350</c:v>
                </c:pt>
                <c:pt idx="61">
                  <c:v>44351</c:v>
                </c:pt>
                <c:pt idx="62">
                  <c:v>44354</c:v>
                </c:pt>
                <c:pt idx="63">
                  <c:v>44355</c:v>
                </c:pt>
                <c:pt idx="64">
                  <c:v>44356</c:v>
                </c:pt>
                <c:pt idx="65">
                  <c:v>44357</c:v>
                </c:pt>
                <c:pt idx="66">
                  <c:v>44358</c:v>
                </c:pt>
                <c:pt idx="67">
                  <c:v>44361</c:v>
                </c:pt>
                <c:pt idx="68">
                  <c:v>44362</c:v>
                </c:pt>
                <c:pt idx="69">
                  <c:v>44363</c:v>
                </c:pt>
                <c:pt idx="70">
                  <c:v>44364</c:v>
                </c:pt>
                <c:pt idx="71">
                  <c:v>44365</c:v>
                </c:pt>
                <c:pt idx="72">
                  <c:v>44368</c:v>
                </c:pt>
                <c:pt idx="73">
                  <c:v>44369</c:v>
                </c:pt>
                <c:pt idx="74">
                  <c:v>44370</c:v>
                </c:pt>
                <c:pt idx="75">
                  <c:v>44371</c:v>
                </c:pt>
                <c:pt idx="76">
                  <c:v>44372</c:v>
                </c:pt>
                <c:pt idx="77">
                  <c:v>44375</c:v>
                </c:pt>
                <c:pt idx="78">
                  <c:v>44376</c:v>
                </c:pt>
                <c:pt idx="79">
                  <c:v>44377</c:v>
                </c:pt>
                <c:pt idx="80">
                  <c:v>44378</c:v>
                </c:pt>
                <c:pt idx="81">
                  <c:v>44379</c:v>
                </c:pt>
                <c:pt idx="82">
                  <c:v>44382</c:v>
                </c:pt>
                <c:pt idx="83">
                  <c:v>44383</c:v>
                </c:pt>
                <c:pt idx="84">
                  <c:v>44384</c:v>
                </c:pt>
                <c:pt idx="85">
                  <c:v>44385</c:v>
                </c:pt>
                <c:pt idx="86">
                  <c:v>44386</c:v>
                </c:pt>
                <c:pt idx="87">
                  <c:v>44389</c:v>
                </c:pt>
                <c:pt idx="88">
                  <c:v>44390</c:v>
                </c:pt>
                <c:pt idx="89">
                  <c:v>44391</c:v>
                </c:pt>
                <c:pt idx="90">
                  <c:v>44392</c:v>
                </c:pt>
                <c:pt idx="91">
                  <c:v>44393</c:v>
                </c:pt>
                <c:pt idx="92">
                  <c:v>44396</c:v>
                </c:pt>
                <c:pt idx="93">
                  <c:v>44397</c:v>
                </c:pt>
                <c:pt idx="94">
                  <c:v>44398</c:v>
                </c:pt>
                <c:pt idx="95">
                  <c:v>44399</c:v>
                </c:pt>
                <c:pt idx="96">
                  <c:v>44400</c:v>
                </c:pt>
                <c:pt idx="97">
                  <c:v>44403</c:v>
                </c:pt>
                <c:pt idx="98">
                  <c:v>44404</c:v>
                </c:pt>
                <c:pt idx="99">
                  <c:v>44405</c:v>
                </c:pt>
                <c:pt idx="100">
                  <c:v>44406</c:v>
                </c:pt>
                <c:pt idx="101">
                  <c:v>44407</c:v>
                </c:pt>
                <c:pt idx="102">
                  <c:v>44410</c:v>
                </c:pt>
                <c:pt idx="103">
                  <c:v>44411</c:v>
                </c:pt>
                <c:pt idx="104">
                  <c:v>44412</c:v>
                </c:pt>
                <c:pt idx="105">
                  <c:v>44413</c:v>
                </c:pt>
                <c:pt idx="106">
                  <c:v>44414</c:v>
                </c:pt>
                <c:pt idx="107">
                  <c:v>44417</c:v>
                </c:pt>
                <c:pt idx="108">
                  <c:v>44418</c:v>
                </c:pt>
                <c:pt idx="109">
                  <c:v>44419</c:v>
                </c:pt>
                <c:pt idx="110">
                  <c:v>44420</c:v>
                </c:pt>
                <c:pt idx="111">
                  <c:v>44421</c:v>
                </c:pt>
                <c:pt idx="112">
                  <c:v>44424</c:v>
                </c:pt>
                <c:pt idx="113">
                  <c:v>44425</c:v>
                </c:pt>
                <c:pt idx="114">
                  <c:v>44426</c:v>
                </c:pt>
                <c:pt idx="115">
                  <c:v>44427</c:v>
                </c:pt>
                <c:pt idx="116">
                  <c:v>44428</c:v>
                </c:pt>
                <c:pt idx="117">
                  <c:v>44431</c:v>
                </c:pt>
                <c:pt idx="118">
                  <c:v>44432</c:v>
                </c:pt>
                <c:pt idx="119">
                  <c:v>44433</c:v>
                </c:pt>
                <c:pt idx="120">
                  <c:v>44434</c:v>
                </c:pt>
                <c:pt idx="121">
                  <c:v>44435</c:v>
                </c:pt>
                <c:pt idx="122">
                  <c:v>44438</c:v>
                </c:pt>
                <c:pt idx="123">
                  <c:v>44439</c:v>
                </c:pt>
                <c:pt idx="124">
                  <c:v>44440</c:v>
                </c:pt>
                <c:pt idx="125">
                  <c:v>44445</c:v>
                </c:pt>
                <c:pt idx="126">
                  <c:v>44446</c:v>
                </c:pt>
                <c:pt idx="127">
                  <c:v>44447</c:v>
                </c:pt>
                <c:pt idx="128">
                  <c:v>44448</c:v>
                </c:pt>
                <c:pt idx="129">
                  <c:v>44449</c:v>
                </c:pt>
                <c:pt idx="130">
                  <c:v>44452</c:v>
                </c:pt>
                <c:pt idx="131">
                  <c:v>44453</c:v>
                </c:pt>
                <c:pt idx="132">
                  <c:v>44454</c:v>
                </c:pt>
                <c:pt idx="133">
                  <c:v>44455</c:v>
                </c:pt>
                <c:pt idx="134">
                  <c:v>44456</c:v>
                </c:pt>
                <c:pt idx="135">
                  <c:v>44459</c:v>
                </c:pt>
                <c:pt idx="136">
                  <c:v>44460</c:v>
                </c:pt>
                <c:pt idx="137">
                  <c:v>44461</c:v>
                </c:pt>
                <c:pt idx="138">
                  <c:v>44462</c:v>
                </c:pt>
                <c:pt idx="139">
                  <c:v>44463</c:v>
                </c:pt>
                <c:pt idx="140">
                  <c:v>44466</c:v>
                </c:pt>
                <c:pt idx="141">
                  <c:v>44467</c:v>
                </c:pt>
                <c:pt idx="142">
                  <c:v>44468</c:v>
                </c:pt>
                <c:pt idx="143">
                  <c:v>44469</c:v>
                </c:pt>
                <c:pt idx="144">
                  <c:v>44470</c:v>
                </c:pt>
                <c:pt idx="145">
                  <c:v>44473</c:v>
                </c:pt>
                <c:pt idx="146">
                  <c:v>44474</c:v>
                </c:pt>
                <c:pt idx="147">
                  <c:v>44475</c:v>
                </c:pt>
                <c:pt idx="148">
                  <c:v>44476</c:v>
                </c:pt>
                <c:pt idx="149">
                  <c:v>44477</c:v>
                </c:pt>
                <c:pt idx="150">
                  <c:v>44480</c:v>
                </c:pt>
                <c:pt idx="151">
                  <c:v>44481</c:v>
                </c:pt>
                <c:pt idx="152">
                  <c:v>44482</c:v>
                </c:pt>
                <c:pt idx="153">
                  <c:v>44483</c:v>
                </c:pt>
                <c:pt idx="154">
                  <c:v>44484</c:v>
                </c:pt>
                <c:pt idx="155">
                  <c:v>44487</c:v>
                </c:pt>
                <c:pt idx="156">
                  <c:v>44488</c:v>
                </c:pt>
                <c:pt idx="157">
                  <c:v>44489</c:v>
                </c:pt>
                <c:pt idx="158">
                  <c:v>44490</c:v>
                </c:pt>
                <c:pt idx="159">
                  <c:v>44491</c:v>
                </c:pt>
                <c:pt idx="160">
                  <c:v>44494</c:v>
                </c:pt>
                <c:pt idx="161">
                  <c:v>44495</c:v>
                </c:pt>
                <c:pt idx="162">
                  <c:v>44496</c:v>
                </c:pt>
                <c:pt idx="163">
                  <c:v>44497</c:v>
                </c:pt>
                <c:pt idx="164">
                  <c:v>44498</c:v>
                </c:pt>
                <c:pt idx="165">
                  <c:v>44501</c:v>
                </c:pt>
                <c:pt idx="166">
                  <c:v>44502</c:v>
                </c:pt>
                <c:pt idx="167">
                  <c:v>44503</c:v>
                </c:pt>
                <c:pt idx="168">
                  <c:v>44504</c:v>
                </c:pt>
                <c:pt idx="169">
                  <c:v>44505</c:v>
                </c:pt>
                <c:pt idx="170">
                  <c:v>44508</c:v>
                </c:pt>
                <c:pt idx="171">
                  <c:v>44509</c:v>
                </c:pt>
                <c:pt idx="172">
                  <c:v>44510</c:v>
                </c:pt>
                <c:pt idx="173">
                  <c:v>44511</c:v>
                </c:pt>
                <c:pt idx="174">
                  <c:v>44512</c:v>
                </c:pt>
                <c:pt idx="175">
                  <c:v>44515</c:v>
                </c:pt>
                <c:pt idx="176">
                  <c:v>44516</c:v>
                </c:pt>
                <c:pt idx="177">
                  <c:v>44517</c:v>
                </c:pt>
                <c:pt idx="178">
                  <c:v>44518</c:v>
                </c:pt>
                <c:pt idx="179">
                  <c:v>44519</c:v>
                </c:pt>
                <c:pt idx="180">
                  <c:v>44522</c:v>
                </c:pt>
                <c:pt idx="181">
                  <c:v>44523</c:v>
                </c:pt>
                <c:pt idx="182">
                  <c:v>44524</c:v>
                </c:pt>
                <c:pt idx="183">
                  <c:v>44525</c:v>
                </c:pt>
                <c:pt idx="184">
                  <c:v>44526</c:v>
                </c:pt>
                <c:pt idx="185">
                  <c:v>44529</c:v>
                </c:pt>
                <c:pt idx="186">
                  <c:v>44530</c:v>
                </c:pt>
                <c:pt idx="187">
                  <c:v>44531</c:v>
                </c:pt>
                <c:pt idx="188">
                  <c:v>44532</c:v>
                </c:pt>
                <c:pt idx="189">
                  <c:v>44533</c:v>
                </c:pt>
                <c:pt idx="190">
                  <c:v>44536</c:v>
                </c:pt>
                <c:pt idx="191">
                  <c:v>44537</c:v>
                </c:pt>
                <c:pt idx="192">
                  <c:v>44538</c:v>
                </c:pt>
                <c:pt idx="193">
                  <c:v>44539</c:v>
                </c:pt>
                <c:pt idx="194">
                  <c:v>44540</c:v>
                </c:pt>
                <c:pt idx="195">
                  <c:v>44543</c:v>
                </c:pt>
                <c:pt idx="196">
                  <c:v>44544</c:v>
                </c:pt>
                <c:pt idx="197">
                  <c:v>44545</c:v>
                </c:pt>
                <c:pt idx="198">
                  <c:v>44546</c:v>
                </c:pt>
                <c:pt idx="199">
                  <c:v>44547</c:v>
                </c:pt>
                <c:pt idx="200">
                  <c:v>44550</c:v>
                </c:pt>
                <c:pt idx="201">
                  <c:v>44551</c:v>
                </c:pt>
                <c:pt idx="202">
                  <c:v>44552</c:v>
                </c:pt>
                <c:pt idx="203">
                  <c:v>44553</c:v>
                </c:pt>
                <c:pt idx="204">
                  <c:v>44554</c:v>
                </c:pt>
                <c:pt idx="205">
                  <c:v>44557</c:v>
                </c:pt>
                <c:pt idx="206">
                  <c:v>44558</c:v>
                </c:pt>
                <c:pt idx="207">
                  <c:v>44559</c:v>
                </c:pt>
                <c:pt idx="208">
                  <c:v>44560</c:v>
                </c:pt>
                <c:pt idx="209">
                  <c:v>44561</c:v>
                </c:pt>
                <c:pt idx="210">
                  <c:v>44565</c:v>
                </c:pt>
                <c:pt idx="211">
                  <c:v>44566</c:v>
                </c:pt>
                <c:pt idx="212">
                  <c:v>44567</c:v>
                </c:pt>
                <c:pt idx="213">
                  <c:v>44568</c:v>
                </c:pt>
                <c:pt idx="214">
                  <c:v>44571</c:v>
                </c:pt>
                <c:pt idx="215">
                  <c:v>44572</c:v>
                </c:pt>
                <c:pt idx="216">
                  <c:v>44573</c:v>
                </c:pt>
                <c:pt idx="217">
                  <c:v>44574</c:v>
                </c:pt>
                <c:pt idx="218">
                  <c:v>44575</c:v>
                </c:pt>
                <c:pt idx="219">
                  <c:v>44578</c:v>
                </c:pt>
                <c:pt idx="220">
                  <c:v>44579</c:v>
                </c:pt>
                <c:pt idx="221">
                  <c:v>44580</c:v>
                </c:pt>
                <c:pt idx="222">
                  <c:v>44581</c:v>
                </c:pt>
                <c:pt idx="223">
                  <c:v>44582</c:v>
                </c:pt>
                <c:pt idx="224">
                  <c:v>44585</c:v>
                </c:pt>
                <c:pt idx="225">
                  <c:v>44586</c:v>
                </c:pt>
                <c:pt idx="226">
                  <c:v>44587</c:v>
                </c:pt>
                <c:pt idx="227">
                  <c:v>44588</c:v>
                </c:pt>
                <c:pt idx="228">
                  <c:v>44589</c:v>
                </c:pt>
                <c:pt idx="229">
                  <c:v>44599</c:v>
                </c:pt>
                <c:pt idx="230">
                  <c:v>44600</c:v>
                </c:pt>
                <c:pt idx="231">
                  <c:v>44601</c:v>
                </c:pt>
                <c:pt idx="232">
                  <c:v>44602</c:v>
                </c:pt>
                <c:pt idx="233">
                  <c:v>44603</c:v>
                </c:pt>
                <c:pt idx="234">
                  <c:v>44606</c:v>
                </c:pt>
                <c:pt idx="235">
                  <c:v>44607</c:v>
                </c:pt>
                <c:pt idx="236">
                  <c:v>44608</c:v>
                </c:pt>
                <c:pt idx="237">
                  <c:v>44609</c:v>
                </c:pt>
                <c:pt idx="238">
                  <c:v>44610</c:v>
                </c:pt>
                <c:pt idx="239">
                  <c:v>44613</c:v>
                </c:pt>
                <c:pt idx="240">
                  <c:v>44614</c:v>
                </c:pt>
                <c:pt idx="241">
                  <c:v>44615</c:v>
                </c:pt>
                <c:pt idx="242">
                  <c:v>44616</c:v>
                </c:pt>
                <c:pt idx="243">
                  <c:v>44617</c:v>
                </c:pt>
                <c:pt idx="244">
                  <c:v>44620</c:v>
                </c:pt>
                <c:pt idx="245">
                  <c:v>44621</c:v>
                </c:pt>
                <c:pt idx="246">
                  <c:v>44622</c:v>
                </c:pt>
                <c:pt idx="247">
                  <c:v>44623</c:v>
                </c:pt>
                <c:pt idx="248">
                  <c:v>44624</c:v>
                </c:pt>
                <c:pt idx="249">
                  <c:v>44627</c:v>
                </c:pt>
                <c:pt idx="250">
                  <c:v>44628</c:v>
                </c:pt>
                <c:pt idx="251">
                  <c:v>44629</c:v>
                </c:pt>
                <c:pt idx="252">
                  <c:v>44630</c:v>
                </c:pt>
                <c:pt idx="253">
                  <c:v>44631</c:v>
                </c:pt>
                <c:pt idx="254">
                  <c:v>44634</c:v>
                </c:pt>
                <c:pt idx="255">
                  <c:v>44635</c:v>
                </c:pt>
                <c:pt idx="256">
                  <c:v>44636</c:v>
                </c:pt>
                <c:pt idx="257">
                  <c:v>44637</c:v>
                </c:pt>
                <c:pt idx="258">
                  <c:v>44638</c:v>
                </c:pt>
                <c:pt idx="259">
                  <c:v>44641</c:v>
                </c:pt>
                <c:pt idx="260">
                  <c:v>44642</c:v>
                </c:pt>
                <c:pt idx="261">
                  <c:v>44643</c:v>
                </c:pt>
                <c:pt idx="262">
                  <c:v>44644</c:v>
                </c:pt>
                <c:pt idx="263">
                  <c:v>44645</c:v>
                </c:pt>
                <c:pt idx="264">
                  <c:v>44648</c:v>
                </c:pt>
                <c:pt idx="265">
                  <c:v>44649</c:v>
                </c:pt>
                <c:pt idx="266">
                  <c:v>44650</c:v>
                </c:pt>
                <c:pt idx="267">
                  <c:v>44651</c:v>
                </c:pt>
                <c:pt idx="268">
                  <c:v>44652</c:v>
                </c:pt>
                <c:pt idx="269">
                  <c:v>44655</c:v>
                </c:pt>
                <c:pt idx="270">
                  <c:v>44656</c:v>
                </c:pt>
                <c:pt idx="271">
                  <c:v>44657</c:v>
                </c:pt>
                <c:pt idx="272">
                  <c:v>44658</c:v>
                </c:pt>
                <c:pt idx="273">
                  <c:v>44659</c:v>
                </c:pt>
                <c:pt idx="274">
                  <c:v>44663</c:v>
                </c:pt>
                <c:pt idx="275">
                  <c:v>44664</c:v>
                </c:pt>
                <c:pt idx="276">
                  <c:v>44665</c:v>
                </c:pt>
                <c:pt idx="277">
                  <c:v>44666</c:v>
                </c:pt>
                <c:pt idx="278">
                  <c:v>44669</c:v>
                </c:pt>
                <c:pt idx="279">
                  <c:v>44670</c:v>
                </c:pt>
                <c:pt idx="280">
                  <c:v>44671</c:v>
                </c:pt>
                <c:pt idx="281">
                  <c:v>44672</c:v>
                </c:pt>
                <c:pt idx="282">
                  <c:v>44673</c:v>
                </c:pt>
                <c:pt idx="283">
                  <c:v>44676</c:v>
                </c:pt>
                <c:pt idx="284">
                  <c:v>44677</c:v>
                </c:pt>
                <c:pt idx="285">
                  <c:v>44678</c:v>
                </c:pt>
                <c:pt idx="286">
                  <c:v>44679</c:v>
                </c:pt>
                <c:pt idx="287">
                  <c:v>44680</c:v>
                </c:pt>
                <c:pt idx="288">
                  <c:v>44685</c:v>
                </c:pt>
                <c:pt idx="289">
                  <c:v>44686</c:v>
                </c:pt>
                <c:pt idx="290">
                  <c:v>44687</c:v>
                </c:pt>
                <c:pt idx="291">
                  <c:v>44690</c:v>
                </c:pt>
                <c:pt idx="292">
                  <c:v>44691</c:v>
                </c:pt>
                <c:pt idx="293">
                  <c:v>44692</c:v>
                </c:pt>
                <c:pt idx="294">
                  <c:v>44693</c:v>
                </c:pt>
                <c:pt idx="295">
                  <c:v>44694</c:v>
                </c:pt>
                <c:pt idx="296">
                  <c:v>44697</c:v>
                </c:pt>
                <c:pt idx="297">
                  <c:v>44698</c:v>
                </c:pt>
                <c:pt idx="298">
                  <c:v>44699</c:v>
                </c:pt>
                <c:pt idx="299">
                  <c:v>44700</c:v>
                </c:pt>
                <c:pt idx="300">
                  <c:v>44701</c:v>
                </c:pt>
                <c:pt idx="301">
                  <c:v>44704</c:v>
                </c:pt>
                <c:pt idx="302">
                  <c:v>44705</c:v>
                </c:pt>
                <c:pt idx="303">
                  <c:v>44706</c:v>
                </c:pt>
                <c:pt idx="304">
                  <c:v>44707</c:v>
                </c:pt>
                <c:pt idx="305">
                  <c:v>44708</c:v>
                </c:pt>
                <c:pt idx="306">
                  <c:v>44711</c:v>
                </c:pt>
                <c:pt idx="307">
                  <c:v>44712</c:v>
                </c:pt>
                <c:pt idx="308">
                  <c:v>44713</c:v>
                </c:pt>
                <c:pt idx="309">
                  <c:v>44714</c:v>
                </c:pt>
                <c:pt idx="310">
                  <c:v>44715</c:v>
                </c:pt>
                <c:pt idx="311">
                  <c:v>44718</c:v>
                </c:pt>
                <c:pt idx="312">
                  <c:v>44719</c:v>
                </c:pt>
                <c:pt idx="313">
                  <c:v>44720</c:v>
                </c:pt>
                <c:pt idx="314">
                  <c:v>44721</c:v>
                </c:pt>
                <c:pt idx="315">
                  <c:v>44722</c:v>
                </c:pt>
                <c:pt idx="316">
                  <c:v>44725</c:v>
                </c:pt>
                <c:pt idx="317">
                  <c:v>44726</c:v>
                </c:pt>
                <c:pt idx="318">
                  <c:v>44727</c:v>
                </c:pt>
                <c:pt idx="319">
                  <c:v>44728</c:v>
                </c:pt>
                <c:pt idx="320">
                  <c:v>44729</c:v>
                </c:pt>
                <c:pt idx="321">
                  <c:v>44732</c:v>
                </c:pt>
                <c:pt idx="322">
                  <c:v>44733</c:v>
                </c:pt>
                <c:pt idx="323">
                  <c:v>44734</c:v>
                </c:pt>
                <c:pt idx="324">
                  <c:v>44735</c:v>
                </c:pt>
                <c:pt idx="325">
                  <c:v>44736</c:v>
                </c:pt>
                <c:pt idx="326">
                  <c:v>44739</c:v>
                </c:pt>
                <c:pt idx="327">
                  <c:v>44740</c:v>
                </c:pt>
                <c:pt idx="328">
                  <c:v>44741</c:v>
                </c:pt>
                <c:pt idx="329">
                  <c:v>44742</c:v>
                </c:pt>
                <c:pt idx="330">
                  <c:v>44743</c:v>
                </c:pt>
                <c:pt idx="331">
                  <c:v>44746</c:v>
                </c:pt>
                <c:pt idx="332">
                  <c:v>44747</c:v>
                </c:pt>
                <c:pt idx="333">
                  <c:v>44748</c:v>
                </c:pt>
                <c:pt idx="334">
                  <c:v>44749</c:v>
                </c:pt>
                <c:pt idx="335">
                  <c:v>44750</c:v>
                </c:pt>
                <c:pt idx="336">
                  <c:v>44753</c:v>
                </c:pt>
                <c:pt idx="337">
                  <c:v>44754</c:v>
                </c:pt>
                <c:pt idx="338">
                  <c:v>44755</c:v>
                </c:pt>
                <c:pt idx="339">
                  <c:v>44756</c:v>
                </c:pt>
                <c:pt idx="340">
                  <c:v>44757</c:v>
                </c:pt>
                <c:pt idx="341">
                  <c:v>44760</c:v>
                </c:pt>
                <c:pt idx="342">
                  <c:v>44761</c:v>
                </c:pt>
                <c:pt idx="343">
                  <c:v>44762</c:v>
                </c:pt>
                <c:pt idx="344">
                  <c:v>44763</c:v>
                </c:pt>
                <c:pt idx="345">
                  <c:v>44764</c:v>
                </c:pt>
                <c:pt idx="346">
                  <c:v>44767</c:v>
                </c:pt>
                <c:pt idx="347">
                  <c:v>44768</c:v>
                </c:pt>
                <c:pt idx="348">
                  <c:v>44769</c:v>
                </c:pt>
                <c:pt idx="349">
                  <c:v>44770</c:v>
                </c:pt>
                <c:pt idx="350">
                  <c:v>44771</c:v>
                </c:pt>
                <c:pt idx="351">
                  <c:v>44774</c:v>
                </c:pt>
                <c:pt idx="352">
                  <c:v>44775</c:v>
                </c:pt>
                <c:pt idx="353">
                  <c:v>44776</c:v>
                </c:pt>
                <c:pt idx="354">
                  <c:v>44777</c:v>
                </c:pt>
                <c:pt idx="355">
                  <c:v>44778</c:v>
                </c:pt>
                <c:pt idx="356">
                  <c:v>44781</c:v>
                </c:pt>
                <c:pt idx="357">
                  <c:v>44782</c:v>
                </c:pt>
                <c:pt idx="358">
                  <c:v>44783</c:v>
                </c:pt>
                <c:pt idx="359">
                  <c:v>44784</c:v>
                </c:pt>
                <c:pt idx="360">
                  <c:v>44785</c:v>
                </c:pt>
                <c:pt idx="361">
                  <c:v>44788</c:v>
                </c:pt>
                <c:pt idx="362">
                  <c:v>44789</c:v>
                </c:pt>
                <c:pt idx="363">
                  <c:v>44790</c:v>
                </c:pt>
                <c:pt idx="364">
                  <c:v>44791</c:v>
                </c:pt>
                <c:pt idx="365">
                  <c:v>44792</c:v>
                </c:pt>
                <c:pt idx="366">
                  <c:v>44795</c:v>
                </c:pt>
                <c:pt idx="367">
                  <c:v>44796</c:v>
                </c:pt>
                <c:pt idx="368">
                  <c:v>44797</c:v>
                </c:pt>
                <c:pt idx="369">
                  <c:v>44798</c:v>
                </c:pt>
                <c:pt idx="370">
                  <c:v>44799</c:v>
                </c:pt>
                <c:pt idx="371">
                  <c:v>44802</c:v>
                </c:pt>
                <c:pt idx="372">
                  <c:v>44803</c:v>
                </c:pt>
                <c:pt idx="373">
                  <c:v>44804</c:v>
                </c:pt>
                <c:pt idx="374">
                  <c:v>44809</c:v>
                </c:pt>
                <c:pt idx="375">
                  <c:v>44810</c:v>
                </c:pt>
                <c:pt idx="376">
                  <c:v>44811</c:v>
                </c:pt>
                <c:pt idx="377">
                  <c:v>44812</c:v>
                </c:pt>
                <c:pt idx="378">
                  <c:v>44813</c:v>
                </c:pt>
                <c:pt idx="379">
                  <c:v>44816</c:v>
                </c:pt>
                <c:pt idx="380">
                  <c:v>44817</c:v>
                </c:pt>
                <c:pt idx="381">
                  <c:v>44818</c:v>
                </c:pt>
                <c:pt idx="382">
                  <c:v>44819</c:v>
                </c:pt>
                <c:pt idx="383">
                  <c:v>44820</c:v>
                </c:pt>
                <c:pt idx="384">
                  <c:v>44823</c:v>
                </c:pt>
                <c:pt idx="385">
                  <c:v>44824</c:v>
                </c:pt>
                <c:pt idx="386">
                  <c:v>44825</c:v>
                </c:pt>
                <c:pt idx="387">
                  <c:v>44826</c:v>
                </c:pt>
                <c:pt idx="388">
                  <c:v>44827</c:v>
                </c:pt>
                <c:pt idx="389">
                  <c:v>44830</c:v>
                </c:pt>
                <c:pt idx="390">
                  <c:v>44831</c:v>
                </c:pt>
                <c:pt idx="391">
                  <c:v>44832</c:v>
                </c:pt>
                <c:pt idx="392">
                  <c:v>44833</c:v>
                </c:pt>
                <c:pt idx="393">
                  <c:v>44834</c:v>
                </c:pt>
                <c:pt idx="394">
                  <c:v>44837</c:v>
                </c:pt>
                <c:pt idx="395">
                  <c:v>44838</c:v>
                </c:pt>
                <c:pt idx="396">
                  <c:v>44839</c:v>
                </c:pt>
                <c:pt idx="397">
                  <c:v>44840</c:v>
                </c:pt>
                <c:pt idx="398">
                  <c:v>44841</c:v>
                </c:pt>
                <c:pt idx="399">
                  <c:v>44844</c:v>
                </c:pt>
                <c:pt idx="400">
                  <c:v>44845</c:v>
                </c:pt>
                <c:pt idx="401">
                  <c:v>44846</c:v>
                </c:pt>
                <c:pt idx="402">
                  <c:v>44847</c:v>
                </c:pt>
                <c:pt idx="403">
                  <c:v>44848</c:v>
                </c:pt>
                <c:pt idx="404">
                  <c:v>44851</c:v>
                </c:pt>
                <c:pt idx="405">
                  <c:v>44852</c:v>
                </c:pt>
                <c:pt idx="406">
                  <c:v>44853</c:v>
                </c:pt>
                <c:pt idx="407">
                  <c:v>44854</c:v>
                </c:pt>
                <c:pt idx="408">
                  <c:v>44855</c:v>
                </c:pt>
                <c:pt idx="409">
                  <c:v>44858</c:v>
                </c:pt>
                <c:pt idx="410">
                  <c:v>44859</c:v>
                </c:pt>
                <c:pt idx="411">
                  <c:v>44860</c:v>
                </c:pt>
                <c:pt idx="412">
                  <c:v>44861</c:v>
                </c:pt>
                <c:pt idx="413">
                  <c:v>44862</c:v>
                </c:pt>
                <c:pt idx="414">
                  <c:v>44865</c:v>
                </c:pt>
                <c:pt idx="415">
                  <c:v>44866</c:v>
                </c:pt>
                <c:pt idx="416">
                  <c:v>44867</c:v>
                </c:pt>
                <c:pt idx="417">
                  <c:v>44868</c:v>
                </c:pt>
                <c:pt idx="418">
                  <c:v>44869</c:v>
                </c:pt>
                <c:pt idx="419">
                  <c:v>44872</c:v>
                </c:pt>
                <c:pt idx="420">
                  <c:v>44873</c:v>
                </c:pt>
                <c:pt idx="421">
                  <c:v>44874</c:v>
                </c:pt>
                <c:pt idx="422">
                  <c:v>44875</c:v>
                </c:pt>
                <c:pt idx="423">
                  <c:v>44876</c:v>
                </c:pt>
                <c:pt idx="424">
                  <c:v>44879</c:v>
                </c:pt>
                <c:pt idx="425">
                  <c:v>44880</c:v>
                </c:pt>
                <c:pt idx="426">
                  <c:v>44881</c:v>
                </c:pt>
                <c:pt idx="427">
                  <c:v>44882</c:v>
                </c:pt>
                <c:pt idx="428">
                  <c:v>44883</c:v>
                </c:pt>
                <c:pt idx="429">
                  <c:v>44886</c:v>
                </c:pt>
                <c:pt idx="430">
                  <c:v>44887</c:v>
                </c:pt>
                <c:pt idx="431">
                  <c:v>44888</c:v>
                </c:pt>
                <c:pt idx="432">
                  <c:v>44889</c:v>
                </c:pt>
                <c:pt idx="433">
                  <c:v>44890</c:v>
                </c:pt>
                <c:pt idx="434">
                  <c:v>44893</c:v>
                </c:pt>
                <c:pt idx="435">
                  <c:v>44894</c:v>
                </c:pt>
                <c:pt idx="436">
                  <c:v>44895</c:v>
                </c:pt>
                <c:pt idx="437">
                  <c:v>44896</c:v>
                </c:pt>
                <c:pt idx="438">
                  <c:v>44897</c:v>
                </c:pt>
                <c:pt idx="439">
                  <c:v>44900</c:v>
                </c:pt>
                <c:pt idx="440">
                  <c:v>44901</c:v>
                </c:pt>
                <c:pt idx="441">
                  <c:v>44902</c:v>
                </c:pt>
                <c:pt idx="442">
                  <c:v>44903</c:v>
                </c:pt>
                <c:pt idx="443">
                  <c:v>44904</c:v>
                </c:pt>
                <c:pt idx="444">
                  <c:v>44907</c:v>
                </c:pt>
                <c:pt idx="445">
                  <c:v>44908</c:v>
                </c:pt>
                <c:pt idx="446">
                  <c:v>44909</c:v>
                </c:pt>
                <c:pt idx="447">
                  <c:v>44910</c:v>
                </c:pt>
                <c:pt idx="448">
                  <c:v>44911</c:v>
                </c:pt>
                <c:pt idx="449">
                  <c:v>44914</c:v>
                </c:pt>
                <c:pt idx="450">
                  <c:v>44915</c:v>
                </c:pt>
                <c:pt idx="451">
                  <c:v>44916</c:v>
                </c:pt>
                <c:pt idx="452">
                  <c:v>44917</c:v>
                </c:pt>
                <c:pt idx="453">
                  <c:v>44918</c:v>
                </c:pt>
                <c:pt idx="454">
                  <c:v>44921</c:v>
                </c:pt>
                <c:pt idx="455">
                  <c:v>44922</c:v>
                </c:pt>
                <c:pt idx="456">
                  <c:v>44923</c:v>
                </c:pt>
                <c:pt idx="457">
                  <c:v>44924</c:v>
                </c:pt>
                <c:pt idx="458">
                  <c:v>44925</c:v>
                </c:pt>
                <c:pt idx="459">
                  <c:v>44929</c:v>
                </c:pt>
                <c:pt idx="460">
                  <c:v>44930</c:v>
                </c:pt>
                <c:pt idx="461">
                  <c:v>44931</c:v>
                </c:pt>
                <c:pt idx="462">
                  <c:v>44932</c:v>
                </c:pt>
                <c:pt idx="463">
                  <c:v>44935</c:v>
                </c:pt>
                <c:pt idx="464">
                  <c:v>44936</c:v>
                </c:pt>
                <c:pt idx="465">
                  <c:v>44937</c:v>
                </c:pt>
                <c:pt idx="466">
                  <c:v>44938</c:v>
                </c:pt>
                <c:pt idx="467">
                  <c:v>44939</c:v>
                </c:pt>
                <c:pt idx="468">
                  <c:v>44942</c:v>
                </c:pt>
                <c:pt idx="469">
                  <c:v>44943</c:v>
                </c:pt>
                <c:pt idx="470">
                  <c:v>44944</c:v>
                </c:pt>
                <c:pt idx="471">
                  <c:v>44945</c:v>
                </c:pt>
                <c:pt idx="472">
                  <c:v>44953</c:v>
                </c:pt>
                <c:pt idx="473">
                  <c:v>44956</c:v>
                </c:pt>
                <c:pt idx="474">
                  <c:v>44957</c:v>
                </c:pt>
                <c:pt idx="475">
                  <c:v>44958</c:v>
                </c:pt>
                <c:pt idx="476">
                  <c:v>44959</c:v>
                </c:pt>
                <c:pt idx="477">
                  <c:v>44960</c:v>
                </c:pt>
                <c:pt idx="478">
                  <c:v>44963</c:v>
                </c:pt>
                <c:pt idx="479">
                  <c:v>44964</c:v>
                </c:pt>
                <c:pt idx="480">
                  <c:v>44965</c:v>
                </c:pt>
                <c:pt idx="481">
                  <c:v>44966</c:v>
                </c:pt>
                <c:pt idx="482">
                  <c:v>44967</c:v>
                </c:pt>
                <c:pt idx="483">
                  <c:v>44970</c:v>
                </c:pt>
                <c:pt idx="484">
                  <c:v>44971</c:v>
                </c:pt>
                <c:pt idx="485">
                  <c:v>44972</c:v>
                </c:pt>
                <c:pt idx="486">
                  <c:v>44973</c:v>
                </c:pt>
                <c:pt idx="487">
                  <c:v>44974</c:v>
                </c:pt>
                <c:pt idx="488">
                  <c:v>44977</c:v>
                </c:pt>
                <c:pt idx="489">
                  <c:v>44978</c:v>
                </c:pt>
                <c:pt idx="490">
                  <c:v>44979</c:v>
                </c:pt>
                <c:pt idx="491">
                  <c:v>44980</c:v>
                </c:pt>
              </c:numCache>
            </c:numRef>
          </c:cat>
          <c:val>
            <c:numRef>
              <c:f>'FX Data'!$L$957:$L$1453</c:f>
              <c:numCache>
                <c:formatCode>0.0</c:formatCode>
                <c:ptCount val="497"/>
                <c:pt idx="0">
                  <c:v>6.8968863227786139</c:v>
                </c:pt>
                <c:pt idx="1">
                  <c:v>6.8968863227786139</c:v>
                </c:pt>
                <c:pt idx="2">
                  <c:v>6.8968863227786139</c:v>
                </c:pt>
                <c:pt idx="3">
                  <c:v>6.8968863227786139</c:v>
                </c:pt>
                <c:pt idx="4">
                  <c:v>6.8968863227786139</c:v>
                </c:pt>
                <c:pt idx="5">
                  <c:v>6.8968863227786139</c:v>
                </c:pt>
                <c:pt idx="6">
                  <c:v>6.8968863227786139</c:v>
                </c:pt>
                <c:pt idx="7">
                  <c:v>6.8968863227786139</c:v>
                </c:pt>
                <c:pt idx="8">
                  <c:v>6.8968863227786139</c:v>
                </c:pt>
                <c:pt idx="9">
                  <c:v>6.8968863227786139</c:v>
                </c:pt>
                <c:pt idx="10">
                  <c:v>6.8968863227786139</c:v>
                </c:pt>
                <c:pt idx="11">
                  <c:v>6.8968863227786139</c:v>
                </c:pt>
                <c:pt idx="12">
                  <c:v>6.8968863227786139</c:v>
                </c:pt>
                <c:pt idx="13">
                  <c:v>6.8968863227786139</c:v>
                </c:pt>
                <c:pt idx="14">
                  <c:v>6.8968863227786139</c:v>
                </c:pt>
                <c:pt idx="15">
                  <c:v>6.8968863227786139</c:v>
                </c:pt>
                <c:pt idx="16">
                  <c:v>6.8968863227786139</c:v>
                </c:pt>
                <c:pt idx="17">
                  <c:v>6.8968863227786139</c:v>
                </c:pt>
                <c:pt idx="18">
                  <c:v>6.8968863227786139</c:v>
                </c:pt>
                <c:pt idx="19">
                  <c:v>6.8968863227786139</c:v>
                </c:pt>
                <c:pt idx="20">
                  <c:v>6.8968863227786139</c:v>
                </c:pt>
                <c:pt idx="21">
                  <c:v>6.8968863227786139</c:v>
                </c:pt>
                <c:pt idx="22">
                  <c:v>6.8968863227786139</c:v>
                </c:pt>
                <c:pt idx="23">
                  <c:v>6.8968863227786139</c:v>
                </c:pt>
                <c:pt idx="24">
                  <c:v>6.8968863227786139</c:v>
                </c:pt>
                <c:pt idx="25">
                  <c:v>6.8968863227786139</c:v>
                </c:pt>
                <c:pt idx="26">
                  <c:v>6.8968863227786139</c:v>
                </c:pt>
                <c:pt idx="27">
                  <c:v>6.8968863227786139</c:v>
                </c:pt>
                <c:pt idx="28">
                  <c:v>6.8968863227786139</c:v>
                </c:pt>
                <c:pt idx="29">
                  <c:v>6.8968863227786139</c:v>
                </c:pt>
                <c:pt idx="30">
                  <c:v>6.8968863227786139</c:v>
                </c:pt>
                <c:pt idx="31">
                  <c:v>6.8968863227786139</c:v>
                </c:pt>
                <c:pt idx="32">
                  <c:v>6.8968863227786139</c:v>
                </c:pt>
                <c:pt idx="33">
                  <c:v>6.8968863227786139</c:v>
                </c:pt>
                <c:pt idx="34">
                  <c:v>6.8968863227786139</c:v>
                </c:pt>
                <c:pt idx="35">
                  <c:v>6.8968863227786139</c:v>
                </c:pt>
                <c:pt idx="36">
                  <c:v>6.8968863227786139</c:v>
                </c:pt>
                <c:pt idx="37">
                  <c:v>6.8968863227786139</c:v>
                </c:pt>
                <c:pt idx="38">
                  <c:v>6.8968863227786139</c:v>
                </c:pt>
                <c:pt idx="39">
                  <c:v>6.8968863227786139</c:v>
                </c:pt>
                <c:pt idx="40">
                  <c:v>6.8968863227786139</c:v>
                </c:pt>
                <c:pt idx="41">
                  <c:v>6.8968863227786139</c:v>
                </c:pt>
                <c:pt idx="42">
                  <c:v>6.8968863227786139</c:v>
                </c:pt>
                <c:pt idx="43">
                  <c:v>6.8968863227786139</c:v>
                </c:pt>
                <c:pt idx="44">
                  <c:v>6.8968863227786139</c:v>
                </c:pt>
                <c:pt idx="45">
                  <c:v>6.8968863227786139</c:v>
                </c:pt>
                <c:pt idx="46">
                  <c:v>6.8968863227786139</c:v>
                </c:pt>
                <c:pt idx="47">
                  <c:v>6.8968863227786139</c:v>
                </c:pt>
                <c:pt idx="48">
                  <c:v>6.8968863227786139</c:v>
                </c:pt>
                <c:pt idx="49">
                  <c:v>6.8968863227786139</c:v>
                </c:pt>
                <c:pt idx="50">
                  <c:v>6.8968863227786139</c:v>
                </c:pt>
                <c:pt idx="51">
                  <c:v>6.8968863227786139</c:v>
                </c:pt>
                <c:pt idx="52">
                  <c:v>6.8968863227786139</c:v>
                </c:pt>
                <c:pt idx="53">
                  <c:v>6.8968863227786139</c:v>
                </c:pt>
                <c:pt idx="54">
                  <c:v>6.8968863227786139</c:v>
                </c:pt>
                <c:pt idx="55">
                  <c:v>6.8968863227786139</c:v>
                </c:pt>
                <c:pt idx="56">
                  <c:v>6.8968863227786139</c:v>
                </c:pt>
                <c:pt idx="57">
                  <c:v>6.8968863227786139</c:v>
                </c:pt>
                <c:pt idx="58">
                  <c:v>6.8968863227786139</c:v>
                </c:pt>
                <c:pt idx="59">
                  <c:v>6.8968863227786139</c:v>
                </c:pt>
                <c:pt idx="60">
                  <c:v>6.8968863227786139</c:v>
                </c:pt>
                <c:pt idx="61">
                  <c:v>6.8968863227786139</c:v>
                </c:pt>
                <c:pt idx="62">
                  <c:v>6.8968863227786139</c:v>
                </c:pt>
                <c:pt idx="63">
                  <c:v>6.8968863227786139</c:v>
                </c:pt>
                <c:pt idx="64">
                  <c:v>6.8968863227786139</c:v>
                </c:pt>
                <c:pt idx="65">
                  <c:v>6.8968863227786139</c:v>
                </c:pt>
                <c:pt idx="66">
                  <c:v>6.8968863227786139</c:v>
                </c:pt>
                <c:pt idx="67">
                  <c:v>6.8968863227786139</c:v>
                </c:pt>
                <c:pt idx="68">
                  <c:v>6.8968863227786139</c:v>
                </c:pt>
                <c:pt idx="69">
                  <c:v>6.8968863227786139</c:v>
                </c:pt>
                <c:pt idx="70">
                  <c:v>6.8968863227786139</c:v>
                </c:pt>
                <c:pt idx="71">
                  <c:v>6.8968863227786139</c:v>
                </c:pt>
                <c:pt idx="72">
                  <c:v>6.8968863227786139</c:v>
                </c:pt>
                <c:pt idx="73">
                  <c:v>6.8968863227786139</c:v>
                </c:pt>
                <c:pt idx="74">
                  <c:v>6.8968863227786139</c:v>
                </c:pt>
                <c:pt idx="75">
                  <c:v>6.8968863227786139</c:v>
                </c:pt>
                <c:pt idx="76">
                  <c:v>6.8968863227786139</c:v>
                </c:pt>
                <c:pt idx="77">
                  <c:v>6.8968863227786139</c:v>
                </c:pt>
                <c:pt idx="78">
                  <c:v>6.8968863227786139</c:v>
                </c:pt>
                <c:pt idx="79">
                  <c:v>6.8968863227786139</c:v>
                </c:pt>
                <c:pt idx="80">
                  <c:v>6.8968863227786139</c:v>
                </c:pt>
                <c:pt idx="81">
                  <c:v>6.8968863227786139</c:v>
                </c:pt>
                <c:pt idx="82">
                  <c:v>6.8968863227786139</c:v>
                </c:pt>
                <c:pt idx="83">
                  <c:v>6.8968863227786139</c:v>
                </c:pt>
                <c:pt idx="84">
                  <c:v>6.8968863227786139</c:v>
                </c:pt>
                <c:pt idx="85">
                  <c:v>6.8968863227786139</c:v>
                </c:pt>
                <c:pt idx="86">
                  <c:v>6.8968863227786139</c:v>
                </c:pt>
                <c:pt idx="87">
                  <c:v>6.8968863227786139</c:v>
                </c:pt>
                <c:pt idx="88">
                  <c:v>6.8968863227786139</c:v>
                </c:pt>
                <c:pt idx="89">
                  <c:v>6.8968863227786139</c:v>
                </c:pt>
                <c:pt idx="90">
                  <c:v>6.8968863227786139</c:v>
                </c:pt>
                <c:pt idx="91">
                  <c:v>6.8968863227786139</c:v>
                </c:pt>
                <c:pt idx="92">
                  <c:v>6.8968863227786139</c:v>
                </c:pt>
                <c:pt idx="93">
                  <c:v>6.8968863227786139</c:v>
                </c:pt>
                <c:pt idx="94">
                  <c:v>6.8968863227786139</c:v>
                </c:pt>
                <c:pt idx="95">
                  <c:v>6.8968863227786139</c:v>
                </c:pt>
                <c:pt idx="96">
                  <c:v>6.8968863227786139</c:v>
                </c:pt>
                <c:pt idx="97">
                  <c:v>6.8968863227786139</c:v>
                </c:pt>
                <c:pt idx="98">
                  <c:v>6.8968863227786139</c:v>
                </c:pt>
                <c:pt idx="99">
                  <c:v>6.8968863227786139</c:v>
                </c:pt>
                <c:pt idx="100">
                  <c:v>6.8968863227786139</c:v>
                </c:pt>
                <c:pt idx="101">
                  <c:v>6.8968863227786139</c:v>
                </c:pt>
                <c:pt idx="102">
                  <c:v>6.8968863227786139</c:v>
                </c:pt>
                <c:pt idx="103">
                  <c:v>6.8968863227786139</c:v>
                </c:pt>
                <c:pt idx="104">
                  <c:v>6.8968863227786139</c:v>
                </c:pt>
                <c:pt idx="105">
                  <c:v>6.8968863227786139</c:v>
                </c:pt>
                <c:pt idx="106">
                  <c:v>6.8968863227786139</c:v>
                </c:pt>
                <c:pt idx="107">
                  <c:v>6.8968863227786139</c:v>
                </c:pt>
                <c:pt idx="108">
                  <c:v>6.8968863227786139</c:v>
                </c:pt>
                <c:pt idx="109">
                  <c:v>6.8968863227786139</c:v>
                </c:pt>
                <c:pt idx="110">
                  <c:v>6.8968863227786139</c:v>
                </c:pt>
                <c:pt idx="111">
                  <c:v>6.8968863227786139</c:v>
                </c:pt>
                <c:pt idx="112">
                  <c:v>6.8968863227786139</c:v>
                </c:pt>
                <c:pt idx="113">
                  <c:v>6.8968863227786139</c:v>
                </c:pt>
                <c:pt idx="114">
                  <c:v>6.8968863227786139</c:v>
                </c:pt>
                <c:pt idx="115">
                  <c:v>6.8968863227786139</c:v>
                </c:pt>
                <c:pt idx="116">
                  <c:v>6.8968863227786139</c:v>
                </c:pt>
                <c:pt idx="117">
                  <c:v>6.8968863227786139</c:v>
                </c:pt>
                <c:pt idx="118">
                  <c:v>6.8968863227786139</c:v>
                </c:pt>
                <c:pt idx="119">
                  <c:v>6.8968863227786139</c:v>
                </c:pt>
                <c:pt idx="120">
                  <c:v>6.8968863227786139</c:v>
                </c:pt>
                <c:pt idx="121">
                  <c:v>6.8968863227786139</c:v>
                </c:pt>
                <c:pt idx="122">
                  <c:v>6.8968863227786139</c:v>
                </c:pt>
                <c:pt idx="123">
                  <c:v>6.8968863227786139</c:v>
                </c:pt>
                <c:pt idx="124">
                  <c:v>6.8968863227786139</c:v>
                </c:pt>
                <c:pt idx="125">
                  <c:v>6.8968863227786139</c:v>
                </c:pt>
                <c:pt idx="126">
                  <c:v>6.8968863227786139</c:v>
                </c:pt>
                <c:pt idx="127">
                  <c:v>6.8968863227786139</c:v>
                </c:pt>
                <c:pt idx="128">
                  <c:v>6.8968863227786139</c:v>
                </c:pt>
                <c:pt idx="129">
                  <c:v>6.8968863227786139</c:v>
                </c:pt>
                <c:pt idx="130">
                  <c:v>6.8968863227786139</c:v>
                </c:pt>
                <c:pt idx="131">
                  <c:v>6.8968863227786139</c:v>
                </c:pt>
                <c:pt idx="132">
                  <c:v>6.8968863227786139</c:v>
                </c:pt>
                <c:pt idx="133">
                  <c:v>6.8968863227786139</c:v>
                </c:pt>
                <c:pt idx="134">
                  <c:v>6.8968863227786139</c:v>
                </c:pt>
                <c:pt idx="135">
                  <c:v>6.8968863227786139</c:v>
                </c:pt>
                <c:pt idx="136">
                  <c:v>6.8968863227786139</c:v>
                </c:pt>
                <c:pt idx="137">
                  <c:v>6.8968863227786139</c:v>
                </c:pt>
                <c:pt idx="138">
                  <c:v>6.8968863227786139</c:v>
                </c:pt>
                <c:pt idx="139">
                  <c:v>6.8968863227786139</c:v>
                </c:pt>
                <c:pt idx="140">
                  <c:v>6.8968863227786139</c:v>
                </c:pt>
                <c:pt idx="141">
                  <c:v>6.8968863227786139</c:v>
                </c:pt>
                <c:pt idx="142">
                  <c:v>6.8968863227786139</c:v>
                </c:pt>
                <c:pt idx="143">
                  <c:v>6.8968863227786139</c:v>
                </c:pt>
                <c:pt idx="144">
                  <c:v>6.8968863227786139</c:v>
                </c:pt>
                <c:pt idx="145">
                  <c:v>6.8968863227786139</c:v>
                </c:pt>
                <c:pt idx="146">
                  <c:v>6.8968863227786139</c:v>
                </c:pt>
                <c:pt idx="147">
                  <c:v>6.8968863227786139</c:v>
                </c:pt>
                <c:pt idx="148">
                  <c:v>6.8968863227786139</c:v>
                </c:pt>
                <c:pt idx="149">
                  <c:v>6.8968863227786139</c:v>
                </c:pt>
                <c:pt idx="150">
                  <c:v>6.8968863227786139</c:v>
                </c:pt>
                <c:pt idx="151">
                  <c:v>6.8968863227786139</c:v>
                </c:pt>
                <c:pt idx="152">
                  <c:v>6.8968863227786139</c:v>
                </c:pt>
                <c:pt idx="153">
                  <c:v>6.8968863227786139</c:v>
                </c:pt>
                <c:pt idx="154">
                  <c:v>6.8968863227786139</c:v>
                </c:pt>
                <c:pt idx="155">
                  <c:v>6.8968863227786139</c:v>
                </c:pt>
                <c:pt idx="156">
                  <c:v>6.8968863227786139</c:v>
                </c:pt>
                <c:pt idx="157">
                  <c:v>6.8968863227786139</c:v>
                </c:pt>
                <c:pt idx="158">
                  <c:v>6.8968863227786139</c:v>
                </c:pt>
                <c:pt idx="159">
                  <c:v>6.8968863227786139</c:v>
                </c:pt>
                <c:pt idx="160">
                  <c:v>6.8968863227786139</c:v>
                </c:pt>
                <c:pt idx="161">
                  <c:v>6.8968863227786139</c:v>
                </c:pt>
                <c:pt idx="162">
                  <c:v>6.8968863227786139</c:v>
                </c:pt>
                <c:pt idx="163">
                  <c:v>6.8968863227786139</c:v>
                </c:pt>
                <c:pt idx="164">
                  <c:v>6.8968863227786139</c:v>
                </c:pt>
                <c:pt idx="165">
                  <c:v>6.8968863227786139</c:v>
                </c:pt>
                <c:pt idx="166">
                  <c:v>6.8968863227786139</c:v>
                </c:pt>
                <c:pt idx="167">
                  <c:v>6.8968863227786139</c:v>
                </c:pt>
                <c:pt idx="168">
                  <c:v>6.8968863227786139</c:v>
                </c:pt>
                <c:pt idx="169">
                  <c:v>6.8968863227786139</c:v>
                </c:pt>
                <c:pt idx="170">
                  <c:v>6.8968863227786139</c:v>
                </c:pt>
                <c:pt idx="171">
                  <c:v>6.8968863227786139</c:v>
                </c:pt>
                <c:pt idx="172">
                  <c:v>6.8968863227786139</c:v>
                </c:pt>
                <c:pt idx="173">
                  <c:v>6.8968863227786139</c:v>
                </c:pt>
                <c:pt idx="174">
                  <c:v>6.8968863227786139</c:v>
                </c:pt>
                <c:pt idx="175">
                  <c:v>6.8968863227786139</c:v>
                </c:pt>
                <c:pt idx="176">
                  <c:v>6.8968863227786139</c:v>
                </c:pt>
                <c:pt idx="177">
                  <c:v>6.8968863227786139</c:v>
                </c:pt>
                <c:pt idx="178">
                  <c:v>6.8968863227786139</c:v>
                </c:pt>
                <c:pt idx="179">
                  <c:v>6.8968863227786139</c:v>
                </c:pt>
                <c:pt idx="180">
                  <c:v>6.8968863227786139</c:v>
                </c:pt>
                <c:pt idx="181">
                  <c:v>6.8968863227786139</c:v>
                </c:pt>
                <c:pt idx="182">
                  <c:v>6.8968863227786139</c:v>
                </c:pt>
                <c:pt idx="183">
                  <c:v>6.8968863227786139</c:v>
                </c:pt>
                <c:pt idx="184">
                  <c:v>6.8968863227786139</c:v>
                </c:pt>
                <c:pt idx="185">
                  <c:v>6.8968863227786139</c:v>
                </c:pt>
                <c:pt idx="186">
                  <c:v>6.8968863227786139</c:v>
                </c:pt>
                <c:pt idx="187">
                  <c:v>6.8968863227786139</c:v>
                </c:pt>
                <c:pt idx="188">
                  <c:v>6.8968863227786139</c:v>
                </c:pt>
                <c:pt idx="189">
                  <c:v>6.8968863227786139</c:v>
                </c:pt>
                <c:pt idx="190">
                  <c:v>6.8968863227786139</c:v>
                </c:pt>
                <c:pt idx="191">
                  <c:v>6.8968863227786139</c:v>
                </c:pt>
                <c:pt idx="192">
                  <c:v>6.8968863227786139</c:v>
                </c:pt>
                <c:pt idx="193">
                  <c:v>6.8968863227786139</c:v>
                </c:pt>
                <c:pt idx="194">
                  <c:v>6.8968863227786139</c:v>
                </c:pt>
                <c:pt idx="195">
                  <c:v>6.8968863227786139</c:v>
                </c:pt>
                <c:pt idx="196">
                  <c:v>6.8968863227786139</c:v>
                </c:pt>
                <c:pt idx="197">
                  <c:v>6.8968863227786139</c:v>
                </c:pt>
                <c:pt idx="198">
                  <c:v>6.8968863227786139</c:v>
                </c:pt>
                <c:pt idx="199">
                  <c:v>6.8968863227786139</c:v>
                </c:pt>
                <c:pt idx="200">
                  <c:v>6.8968863227786139</c:v>
                </c:pt>
                <c:pt idx="201">
                  <c:v>6.8968863227786139</c:v>
                </c:pt>
                <c:pt idx="202">
                  <c:v>6.8968863227786139</c:v>
                </c:pt>
                <c:pt idx="203">
                  <c:v>6.8968863227786139</c:v>
                </c:pt>
                <c:pt idx="204">
                  <c:v>6.8968863227786139</c:v>
                </c:pt>
                <c:pt idx="205">
                  <c:v>6.8968863227786139</c:v>
                </c:pt>
                <c:pt idx="206">
                  <c:v>6.8968863227786139</c:v>
                </c:pt>
                <c:pt idx="207">
                  <c:v>6.8968863227786139</c:v>
                </c:pt>
                <c:pt idx="208">
                  <c:v>6.8968863227786139</c:v>
                </c:pt>
                <c:pt idx="209">
                  <c:v>6.8968863227786139</c:v>
                </c:pt>
                <c:pt idx="210">
                  <c:v>6.8968863227786139</c:v>
                </c:pt>
                <c:pt idx="211">
                  <c:v>6.8968863227786139</c:v>
                </c:pt>
                <c:pt idx="212">
                  <c:v>6.8968863227786139</c:v>
                </c:pt>
                <c:pt idx="213">
                  <c:v>6.8968863227786139</c:v>
                </c:pt>
                <c:pt idx="214">
                  <c:v>6.8968863227786139</c:v>
                </c:pt>
                <c:pt idx="215">
                  <c:v>6.8968863227786139</c:v>
                </c:pt>
                <c:pt idx="216">
                  <c:v>6.8968863227786139</c:v>
                </c:pt>
                <c:pt idx="217">
                  <c:v>6.8968863227786139</c:v>
                </c:pt>
                <c:pt idx="218">
                  <c:v>6.8968863227786139</c:v>
                </c:pt>
                <c:pt idx="219">
                  <c:v>6.8968863227786139</c:v>
                </c:pt>
                <c:pt idx="220">
                  <c:v>6.8968863227786139</c:v>
                </c:pt>
                <c:pt idx="221">
                  <c:v>6.8968863227786139</c:v>
                </c:pt>
                <c:pt idx="222">
                  <c:v>6.8968863227786139</c:v>
                </c:pt>
                <c:pt idx="223">
                  <c:v>6.8968863227786139</c:v>
                </c:pt>
                <c:pt idx="224">
                  <c:v>6.8968863227786139</c:v>
                </c:pt>
                <c:pt idx="225">
                  <c:v>6.8968863227786139</c:v>
                </c:pt>
                <c:pt idx="226">
                  <c:v>6.8968863227786139</c:v>
                </c:pt>
                <c:pt idx="227">
                  <c:v>6.8968863227786139</c:v>
                </c:pt>
                <c:pt idx="228">
                  <c:v>6.8968863227786139</c:v>
                </c:pt>
                <c:pt idx="229">
                  <c:v>6.8968863227786139</c:v>
                </c:pt>
                <c:pt idx="230">
                  <c:v>6.8968863227786139</c:v>
                </c:pt>
                <c:pt idx="231">
                  <c:v>6.8968863227786139</c:v>
                </c:pt>
                <c:pt idx="232">
                  <c:v>6.8968863227786139</c:v>
                </c:pt>
                <c:pt idx="233">
                  <c:v>6.8968863227786139</c:v>
                </c:pt>
                <c:pt idx="234">
                  <c:v>6.8968863227786139</c:v>
                </c:pt>
                <c:pt idx="235">
                  <c:v>6.8968863227786139</c:v>
                </c:pt>
                <c:pt idx="236">
                  <c:v>6.8968863227786139</c:v>
                </c:pt>
                <c:pt idx="237">
                  <c:v>6.8968863227786139</c:v>
                </c:pt>
                <c:pt idx="238">
                  <c:v>6.8968863227786139</c:v>
                </c:pt>
                <c:pt idx="239">
                  <c:v>6.8968863227786139</c:v>
                </c:pt>
                <c:pt idx="240">
                  <c:v>6.8968863227786139</c:v>
                </c:pt>
                <c:pt idx="241">
                  <c:v>6.8968863227786139</c:v>
                </c:pt>
                <c:pt idx="242">
                  <c:v>6.8968863227786139</c:v>
                </c:pt>
                <c:pt idx="243">
                  <c:v>6.8968863227786139</c:v>
                </c:pt>
                <c:pt idx="244">
                  <c:v>6.8968863227786139</c:v>
                </c:pt>
                <c:pt idx="245">
                  <c:v>6.8968863227786139</c:v>
                </c:pt>
                <c:pt idx="246">
                  <c:v>6.8968863227786139</c:v>
                </c:pt>
                <c:pt idx="247">
                  <c:v>6.8968863227786139</c:v>
                </c:pt>
                <c:pt idx="248">
                  <c:v>6.8968863227786139</c:v>
                </c:pt>
                <c:pt idx="249">
                  <c:v>6.8968863227786139</c:v>
                </c:pt>
                <c:pt idx="250">
                  <c:v>6.8968863227786139</c:v>
                </c:pt>
                <c:pt idx="251">
                  <c:v>6.8968863227786139</c:v>
                </c:pt>
                <c:pt idx="252">
                  <c:v>6.8968863227786139</c:v>
                </c:pt>
                <c:pt idx="253">
                  <c:v>6.8968863227786139</c:v>
                </c:pt>
                <c:pt idx="254">
                  <c:v>6.8968863227786139</c:v>
                </c:pt>
                <c:pt idx="255">
                  <c:v>6.8968863227786139</c:v>
                </c:pt>
                <c:pt idx="256">
                  <c:v>6.8968863227786139</c:v>
                </c:pt>
                <c:pt idx="257">
                  <c:v>6.8968863227786139</c:v>
                </c:pt>
                <c:pt idx="258">
                  <c:v>6.8968863227786139</c:v>
                </c:pt>
                <c:pt idx="259">
                  <c:v>6.8968863227786139</c:v>
                </c:pt>
                <c:pt idx="260">
                  <c:v>6.8968863227786139</c:v>
                </c:pt>
                <c:pt idx="261">
                  <c:v>6.8968863227786139</c:v>
                </c:pt>
                <c:pt idx="262">
                  <c:v>6.8968863227786139</c:v>
                </c:pt>
                <c:pt idx="263">
                  <c:v>6.8968863227786139</c:v>
                </c:pt>
                <c:pt idx="264">
                  <c:v>6.8968863227786139</c:v>
                </c:pt>
                <c:pt idx="265">
                  <c:v>6.8968863227786139</c:v>
                </c:pt>
                <c:pt idx="266">
                  <c:v>6.8968863227786139</c:v>
                </c:pt>
                <c:pt idx="267">
                  <c:v>6.8968863227786139</c:v>
                </c:pt>
                <c:pt idx="268">
                  <c:v>6.8968863227786139</c:v>
                </c:pt>
                <c:pt idx="269">
                  <c:v>6.8968863227786139</c:v>
                </c:pt>
                <c:pt idx="270">
                  <c:v>6.8968863227786139</c:v>
                </c:pt>
                <c:pt idx="271">
                  <c:v>6.8968863227786139</c:v>
                </c:pt>
                <c:pt idx="272">
                  <c:v>6.8968863227786139</c:v>
                </c:pt>
                <c:pt idx="273">
                  <c:v>6.8968863227786139</c:v>
                </c:pt>
                <c:pt idx="274">
                  <c:v>6.8968863227786139</c:v>
                </c:pt>
                <c:pt idx="275">
                  <c:v>6.8968863227786139</c:v>
                </c:pt>
                <c:pt idx="276">
                  <c:v>6.8968863227786139</c:v>
                </c:pt>
                <c:pt idx="277">
                  <c:v>6.8968863227786139</c:v>
                </c:pt>
                <c:pt idx="278">
                  <c:v>6.8968863227786139</c:v>
                </c:pt>
                <c:pt idx="279">
                  <c:v>6.8968863227786139</c:v>
                </c:pt>
                <c:pt idx="280">
                  <c:v>6.8968863227786139</c:v>
                </c:pt>
                <c:pt idx="281">
                  <c:v>6.8968863227786139</c:v>
                </c:pt>
                <c:pt idx="282">
                  <c:v>6.8968863227786139</c:v>
                </c:pt>
                <c:pt idx="283">
                  <c:v>6.8968863227786139</c:v>
                </c:pt>
                <c:pt idx="284">
                  <c:v>6.8968863227786139</c:v>
                </c:pt>
                <c:pt idx="285">
                  <c:v>6.8968863227786139</c:v>
                </c:pt>
                <c:pt idx="286">
                  <c:v>6.8968863227786139</c:v>
                </c:pt>
                <c:pt idx="287">
                  <c:v>6.8968863227786139</c:v>
                </c:pt>
                <c:pt idx="288">
                  <c:v>6.8968863227786139</c:v>
                </c:pt>
                <c:pt idx="289">
                  <c:v>6.8968863227786139</c:v>
                </c:pt>
                <c:pt idx="290">
                  <c:v>6.8968863227786139</c:v>
                </c:pt>
                <c:pt idx="291">
                  <c:v>6.8968863227786139</c:v>
                </c:pt>
                <c:pt idx="292">
                  <c:v>6.8968863227786139</c:v>
                </c:pt>
                <c:pt idx="293">
                  <c:v>6.8968863227786139</c:v>
                </c:pt>
                <c:pt idx="294">
                  <c:v>6.8968863227786139</c:v>
                </c:pt>
                <c:pt idx="295">
                  <c:v>6.8968863227786139</c:v>
                </c:pt>
                <c:pt idx="296">
                  <c:v>6.8968863227786139</c:v>
                </c:pt>
                <c:pt idx="297">
                  <c:v>6.8968863227786139</c:v>
                </c:pt>
                <c:pt idx="298">
                  <c:v>6.8968863227786139</c:v>
                </c:pt>
                <c:pt idx="299">
                  <c:v>6.8968863227786139</c:v>
                </c:pt>
                <c:pt idx="300">
                  <c:v>6.8968863227786139</c:v>
                </c:pt>
                <c:pt idx="301">
                  <c:v>6.8968863227786139</c:v>
                </c:pt>
                <c:pt idx="302">
                  <c:v>6.8968863227786139</c:v>
                </c:pt>
                <c:pt idx="303">
                  <c:v>6.8968863227786139</c:v>
                </c:pt>
                <c:pt idx="304">
                  <c:v>6.8968863227786139</c:v>
                </c:pt>
                <c:pt idx="305">
                  <c:v>6.8968863227786139</c:v>
                </c:pt>
                <c:pt idx="306">
                  <c:v>6.8968863227786139</c:v>
                </c:pt>
                <c:pt idx="307">
                  <c:v>6.8968863227786139</c:v>
                </c:pt>
                <c:pt idx="308">
                  <c:v>6.8968863227786139</c:v>
                </c:pt>
                <c:pt idx="309">
                  <c:v>6.8968863227786139</c:v>
                </c:pt>
                <c:pt idx="310">
                  <c:v>6.8968863227786139</c:v>
                </c:pt>
                <c:pt idx="311">
                  <c:v>6.8968863227786139</c:v>
                </c:pt>
                <c:pt idx="312">
                  <c:v>6.8968863227786139</c:v>
                </c:pt>
                <c:pt idx="313">
                  <c:v>6.8968863227786139</c:v>
                </c:pt>
                <c:pt idx="314">
                  <c:v>6.8968863227786139</c:v>
                </c:pt>
                <c:pt idx="315">
                  <c:v>6.8968863227786139</c:v>
                </c:pt>
                <c:pt idx="316">
                  <c:v>6.8968863227786139</c:v>
                </c:pt>
                <c:pt idx="317">
                  <c:v>6.8968863227786139</c:v>
                </c:pt>
                <c:pt idx="318">
                  <c:v>6.8968863227786139</c:v>
                </c:pt>
                <c:pt idx="319">
                  <c:v>6.8968863227786139</c:v>
                </c:pt>
                <c:pt idx="320">
                  <c:v>6.8968863227786139</c:v>
                </c:pt>
                <c:pt idx="321">
                  <c:v>6.8968863227786139</c:v>
                </c:pt>
                <c:pt idx="322">
                  <c:v>6.8968863227786139</c:v>
                </c:pt>
                <c:pt idx="323">
                  <c:v>6.8968863227786139</c:v>
                </c:pt>
                <c:pt idx="324">
                  <c:v>6.8968863227786139</c:v>
                </c:pt>
                <c:pt idx="325">
                  <c:v>6.8968863227786139</c:v>
                </c:pt>
                <c:pt idx="326">
                  <c:v>6.8968863227786139</c:v>
                </c:pt>
                <c:pt idx="327">
                  <c:v>6.8968863227786139</c:v>
                </c:pt>
                <c:pt idx="328">
                  <c:v>6.8968863227786139</c:v>
                </c:pt>
                <c:pt idx="329">
                  <c:v>6.8968863227786139</c:v>
                </c:pt>
                <c:pt idx="330">
                  <c:v>6.8968863227786139</c:v>
                </c:pt>
                <c:pt idx="331">
                  <c:v>6.8968863227786139</c:v>
                </c:pt>
                <c:pt idx="332">
                  <c:v>6.8968863227786139</c:v>
                </c:pt>
                <c:pt idx="333">
                  <c:v>6.8968863227786139</c:v>
                </c:pt>
                <c:pt idx="334">
                  <c:v>6.8968863227786139</c:v>
                </c:pt>
                <c:pt idx="335">
                  <c:v>6.8968863227786139</c:v>
                </c:pt>
                <c:pt idx="336">
                  <c:v>6.8968863227786139</c:v>
                </c:pt>
                <c:pt idx="337">
                  <c:v>6.8968863227786139</c:v>
                </c:pt>
                <c:pt idx="338">
                  <c:v>6.8968863227786139</c:v>
                </c:pt>
                <c:pt idx="339">
                  <c:v>6.8968863227786139</c:v>
                </c:pt>
                <c:pt idx="340">
                  <c:v>6.8968863227786139</c:v>
                </c:pt>
                <c:pt idx="341">
                  <c:v>6.8968863227786139</c:v>
                </c:pt>
                <c:pt idx="342">
                  <c:v>6.8968863227786139</c:v>
                </c:pt>
                <c:pt idx="343">
                  <c:v>6.8968863227786139</c:v>
                </c:pt>
                <c:pt idx="344">
                  <c:v>6.8968863227786139</c:v>
                </c:pt>
                <c:pt idx="345">
                  <c:v>6.8968863227786139</c:v>
                </c:pt>
                <c:pt idx="346">
                  <c:v>6.8968863227786139</c:v>
                </c:pt>
                <c:pt idx="347">
                  <c:v>6.8968863227786139</c:v>
                </c:pt>
                <c:pt idx="348">
                  <c:v>6.8968863227786139</c:v>
                </c:pt>
                <c:pt idx="349">
                  <c:v>6.8968863227786139</c:v>
                </c:pt>
                <c:pt idx="350">
                  <c:v>6.8968863227786139</c:v>
                </c:pt>
                <c:pt idx="351">
                  <c:v>6.8968863227786139</c:v>
                </c:pt>
                <c:pt idx="352">
                  <c:v>6.8968863227786139</c:v>
                </c:pt>
                <c:pt idx="353">
                  <c:v>6.8968863227786139</c:v>
                </c:pt>
                <c:pt idx="354">
                  <c:v>6.8968863227786139</c:v>
                </c:pt>
                <c:pt idx="355">
                  <c:v>6.8968863227786139</c:v>
                </c:pt>
                <c:pt idx="356">
                  <c:v>6.8968863227786139</c:v>
                </c:pt>
                <c:pt idx="357">
                  <c:v>6.8968863227786139</c:v>
                </c:pt>
                <c:pt idx="358">
                  <c:v>6.8968863227786139</c:v>
                </c:pt>
                <c:pt idx="359">
                  <c:v>6.8968863227786139</c:v>
                </c:pt>
                <c:pt idx="360">
                  <c:v>6.8968863227786139</c:v>
                </c:pt>
                <c:pt idx="361">
                  <c:v>6.8968863227786139</c:v>
                </c:pt>
                <c:pt idx="362">
                  <c:v>6.8968863227786139</c:v>
                </c:pt>
                <c:pt idx="363">
                  <c:v>6.8968863227786139</c:v>
                </c:pt>
                <c:pt idx="364">
                  <c:v>6.8968863227786139</c:v>
                </c:pt>
                <c:pt idx="365">
                  <c:v>6.8968863227786139</c:v>
                </c:pt>
                <c:pt idx="366">
                  <c:v>6.8968863227786139</c:v>
                </c:pt>
                <c:pt idx="367">
                  <c:v>6.8968863227786139</c:v>
                </c:pt>
                <c:pt idx="368">
                  <c:v>6.8968863227786139</c:v>
                </c:pt>
                <c:pt idx="369">
                  <c:v>6.8968863227786139</c:v>
                </c:pt>
                <c:pt idx="370">
                  <c:v>6.8968863227786139</c:v>
                </c:pt>
                <c:pt idx="371">
                  <c:v>6.8968863227786139</c:v>
                </c:pt>
                <c:pt idx="372">
                  <c:v>6.8968863227786139</c:v>
                </c:pt>
                <c:pt idx="373">
                  <c:v>6.8968863227786139</c:v>
                </c:pt>
                <c:pt idx="374">
                  <c:v>6.8968863227786139</c:v>
                </c:pt>
                <c:pt idx="375">
                  <c:v>6.8968863227786139</c:v>
                </c:pt>
                <c:pt idx="376">
                  <c:v>6.8968863227786139</c:v>
                </c:pt>
                <c:pt idx="377">
                  <c:v>6.8968863227786139</c:v>
                </c:pt>
                <c:pt idx="378">
                  <c:v>6.8968863227786139</c:v>
                </c:pt>
                <c:pt idx="379">
                  <c:v>6.8968863227786139</c:v>
                </c:pt>
                <c:pt idx="380">
                  <c:v>6.8968863227786139</c:v>
                </c:pt>
                <c:pt idx="381">
                  <c:v>6.8968863227786139</c:v>
                </c:pt>
                <c:pt idx="382">
                  <c:v>6.8968863227786139</c:v>
                </c:pt>
                <c:pt idx="383">
                  <c:v>6.8968863227786139</c:v>
                </c:pt>
                <c:pt idx="384">
                  <c:v>6.8968863227786139</c:v>
                </c:pt>
                <c:pt idx="385">
                  <c:v>6.8968863227786139</c:v>
                </c:pt>
                <c:pt idx="386">
                  <c:v>6.8968863227786139</c:v>
                </c:pt>
                <c:pt idx="387">
                  <c:v>6.8968863227786139</c:v>
                </c:pt>
                <c:pt idx="388">
                  <c:v>6.8968863227786139</c:v>
                </c:pt>
                <c:pt idx="389">
                  <c:v>6.8968863227786139</c:v>
                </c:pt>
                <c:pt idx="390">
                  <c:v>6.8968863227786139</c:v>
                </c:pt>
                <c:pt idx="391">
                  <c:v>6.8968863227786139</c:v>
                </c:pt>
                <c:pt idx="392">
                  <c:v>6.8968863227786139</c:v>
                </c:pt>
                <c:pt idx="393">
                  <c:v>6.8968863227786139</c:v>
                </c:pt>
                <c:pt idx="394">
                  <c:v>6.8968863227786139</c:v>
                </c:pt>
                <c:pt idx="395">
                  <c:v>6.8968863227786139</c:v>
                </c:pt>
                <c:pt idx="396">
                  <c:v>6.8968863227786139</c:v>
                </c:pt>
                <c:pt idx="397">
                  <c:v>6.8968863227786139</c:v>
                </c:pt>
                <c:pt idx="398">
                  <c:v>6.8968863227786139</c:v>
                </c:pt>
                <c:pt idx="399">
                  <c:v>6.8968863227786139</c:v>
                </c:pt>
                <c:pt idx="400">
                  <c:v>6.8968863227786139</c:v>
                </c:pt>
                <c:pt idx="401">
                  <c:v>6.8968863227786139</c:v>
                </c:pt>
                <c:pt idx="402">
                  <c:v>6.8968863227786139</c:v>
                </c:pt>
                <c:pt idx="403">
                  <c:v>6.8968863227786139</c:v>
                </c:pt>
                <c:pt idx="404">
                  <c:v>6.8968863227786139</c:v>
                </c:pt>
                <c:pt idx="405">
                  <c:v>6.8968863227786139</c:v>
                </c:pt>
                <c:pt idx="406">
                  <c:v>6.8968863227786139</c:v>
                </c:pt>
                <c:pt idx="407">
                  <c:v>6.8968863227786139</c:v>
                </c:pt>
                <c:pt idx="408">
                  <c:v>6.8968863227786139</c:v>
                </c:pt>
                <c:pt idx="409">
                  <c:v>6.8968863227786139</c:v>
                </c:pt>
                <c:pt idx="410">
                  <c:v>6.8968863227786139</c:v>
                </c:pt>
                <c:pt idx="411">
                  <c:v>6.8968863227786139</c:v>
                </c:pt>
                <c:pt idx="412">
                  <c:v>6.8968863227786139</c:v>
                </c:pt>
                <c:pt idx="413">
                  <c:v>6.8968863227786139</c:v>
                </c:pt>
                <c:pt idx="414">
                  <c:v>6.8968863227786139</c:v>
                </c:pt>
                <c:pt idx="415">
                  <c:v>6.8968863227786139</c:v>
                </c:pt>
                <c:pt idx="416">
                  <c:v>6.8968863227786139</c:v>
                </c:pt>
                <c:pt idx="417">
                  <c:v>6.8968863227786139</c:v>
                </c:pt>
                <c:pt idx="418">
                  <c:v>6.8968863227786139</c:v>
                </c:pt>
                <c:pt idx="419">
                  <c:v>6.8968863227786139</c:v>
                </c:pt>
                <c:pt idx="420">
                  <c:v>6.8968863227786139</c:v>
                </c:pt>
                <c:pt idx="421">
                  <c:v>6.8968863227786139</c:v>
                </c:pt>
                <c:pt idx="422">
                  <c:v>6.8968863227786139</c:v>
                </c:pt>
                <c:pt idx="423">
                  <c:v>6.8968863227786139</c:v>
                </c:pt>
                <c:pt idx="424">
                  <c:v>6.8968863227786139</c:v>
                </c:pt>
                <c:pt idx="425">
                  <c:v>6.8968863227786139</c:v>
                </c:pt>
                <c:pt idx="426">
                  <c:v>6.8968863227786139</c:v>
                </c:pt>
                <c:pt idx="427">
                  <c:v>6.8968863227786139</c:v>
                </c:pt>
                <c:pt idx="428">
                  <c:v>6.8968863227786139</c:v>
                </c:pt>
                <c:pt idx="429">
                  <c:v>6.8968863227786139</c:v>
                </c:pt>
                <c:pt idx="430">
                  <c:v>6.8968863227786139</c:v>
                </c:pt>
                <c:pt idx="431">
                  <c:v>6.8968863227786139</c:v>
                </c:pt>
                <c:pt idx="432">
                  <c:v>6.8968863227786139</c:v>
                </c:pt>
                <c:pt idx="433">
                  <c:v>6.8968863227786139</c:v>
                </c:pt>
                <c:pt idx="434">
                  <c:v>6.8968863227786139</c:v>
                </c:pt>
                <c:pt idx="435">
                  <c:v>6.8968863227786139</c:v>
                </c:pt>
                <c:pt idx="436">
                  <c:v>6.8968863227786139</c:v>
                </c:pt>
                <c:pt idx="437">
                  <c:v>6.8968863227786139</c:v>
                </c:pt>
                <c:pt idx="438">
                  <c:v>6.8968863227786139</c:v>
                </c:pt>
                <c:pt idx="439">
                  <c:v>6.8968863227786139</c:v>
                </c:pt>
                <c:pt idx="440">
                  <c:v>6.8968863227786139</c:v>
                </c:pt>
                <c:pt idx="441">
                  <c:v>6.8968863227786139</c:v>
                </c:pt>
                <c:pt idx="442">
                  <c:v>6.8968863227786139</c:v>
                </c:pt>
                <c:pt idx="443">
                  <c:v>6.8968863227786139</c:v>
                </c:pt>
                <c:pt idx="444">
                  <c:v>6.8968863227786139</c:v>
                </c:pt>
                <c:pt idx="445">
                  <c:v>6.8968863227786139</c:v>
                </c:pt>
                <c:pt idx="446">
                  <c:v>6.8968863227786139</c:v>
                </c:pt>
                <c:pt idx="447">
                  <c:v>6.8968863227786139</c:v>
                </c:pt>
                <c:pt idx="448">
                  <c:v>6.8968863227786139</c:v>
                </c:pt>
                <c:pt idx="449">
                  <c:v>6.8968863227786139</c:v>
                </c:pt>
                <c:pt idx="450">
                  <c:v>6.8968863227786139</c:v>
                </c:pt>
                <c:pt idx="451">
                  <c:v>6.8968863227786139</c:v>
                </c:pt>
                <c:pt idx="452">
                  <c:v>6.8968863227786139</c:v>
                </c:pt>
                <c:pt idx="453">
                  <c:v>6.8968863227786139</c:v>
                </c:pt>
                <c:pt idx="454">
                  <c:v>6.8968863227786139</c:v>
                </c:pt>
                <c:pt idx="455">
                  <c:v>6.8968863227786139</c:v>
                </c:pt>
                <c:pt idx="456">
                  <c:v>6.8968863227786139</c:v>
                </c:pt>
                <c:pt idx="457">
                  <c:v>6.8968863227786139</c:v>
                </c:pt>
                <c:pt idx="458">
                  <c:v>6.8968863227786139</c:v>
                </c:pt>
                <c:pt idx="459">
                  <c:v>6.8968863227786139</c:v>
                </c:pt>
                <c:pt idx="460">
                  <c:v>6.8968863227786139</c:v>
                </c:pt>
                <c:pt idx="461">
                  <c:v>6.8968863227786139</c:v>
                </c:pt>
                <c:pt idx="462">
                  <c:v>6.8968863227786139</c:v>
                </c:pt>
                <c:pt idx="463">
                  <c:v>6.8968863227786139</c:v>
                </c:pt>
                <c:pt idx="464">
                  <c:v>6.8968863227786139</c:v>
                </c:pt>
                <c:pt idx="465">
                  <c:v>6.8968863227786139</c:v>
                </c:pt>
                <c:pt idx="466">
                  <c:v>6.8968863227786139</c:v>
                </c:pt>
                <c:pt idx="467">
                  <c:v>6.8968863227786139</c:v>
                </c:pt>
                <c:pt idx="468">
                  <c:v>6.8968863227786139</c:v>
                </c:pt>
                <c:pt idx="469">
                  <c:v>6.8968863227786139</c:v>
                </c:pt>
                <c:pt idx="470">
                  <c:v>6.8968863227786139</c:v>
                </c:pt>
                <c:pt idx="471">
                  <c:v>6.8968863227786139</c:v>
                </c:pt>
                <c:pt idx="472">
                  <c:v>6.8968863227786139</c:v>
                </c:pt>
                <c:pt idx="473">
                  <c:v>6.8968863227786139</c:v>
                </c:pt>
                <c:pt idx="474">
                  <c:v>6.8968863227786139</c:v>
                </c:pt>
                <c:pt idx="475">
                  <c:v>6.8968863227786139</c:v>
                </c:pt>
                <c:pt idx="476">
                  <c:v>6.8968863227786139</c:v>
                </c:pt>
                <c:pt idx="477">
                  <c:v>6.8968863227786139</c:v>
                </c:pt>
                <c:pt idx="478">
                  <c:v>6.8968863227786139</c:v>
                </c:pt>
                <c:pt idx="479">
                  <c:v>6.8968863227786139</c:v>
                </c:pt>
                <c:pt idx="480">
                  <c:v>6.8968863227786139</c:v>
                </c:pt>
                <c:pt idx="481">
                  <c:v>6.8968863227786139</c:v>
                </c:pt>
                <c:pt idx="482">
                  <c:v>6.8968863227786139</c:v>
                </c:pt>
                <c:pt idx="483">
                  <c:v>6.8968863227786139</c:v>
                </c:pt>
                <c:pt idx="484">
                  <c:v>6.8968863227786139</c:v>
                </c:pt>
                <c:pt idx="485">
                  <c:v>6.8968863227786139</c:v>
                </c:pt>
                <c:pt idx="486">
                  <c:v>6.8968863227786139</c:v>
                </c:pt>
                <c:pt idx="487">
                  <c:v>6.8968863227786139</c:v>
                </c:pt>
                <c:pt idx="488">
                  <c:v>6.8968863227786139</c:v>
                </c:pt>
                <c:pt idx="489">
                  <c:v>6.8968863227786139</c:v>
                </c:pt>
                <c:pt idx="490">
                  <c:v>6.8968863227786139</c:v>
                </c:pt>
                <c:pt idx="491">
                  <c:v>6.8968863227786139</c:v>
                </c:pt>
                <c:pt idx="492">
                  <c:v>6.8968863227786139</c:v>
                </c:pt>
                <c:pt idx="493">
                  <c:v>6.8968863227786139</c:v>
                </c:pt>
                <c:pt idx="494">
                  <c:v>6.8968863227786139</c:v>
                </c:pt>
                <c:pt idx="495">
                  <c:v>6.8968863227786139</c:v>
                </c:pt>
                <c:pt idx="496">
                  <c:v>6.8968863227786139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504-4920-A7E1-4D8EBD195630}"/>
            </c:ext>
          </c:extLst>
        </c:ser>
        <c:ser>
          <c:idx val="0"/>
          <c:order val="5"/>
          <c:tx>
            <c:strRef>
              <c:f>'FX Data'!$J$956</c:f>
              <c:strCache>
                <c:ptCount val="1"/>
                <c:pt idx="0">
                  <c:v>Average P/B</c:v>
                </c:pt>
              </c:strCache>
            </c:strRef>
          </c:tx>
          <c:spPr>
            <a:ln w="28575" cap="rnd">
              <a:solidFill>
                <a:sysClr val="windowText" lastClr="000000">
                  <a:lumMod val="50000"/>
                  <a:lumOff val="50000"/>
                </a:sysClr>
              </a:solidFill>
              <a:round/>
            </a:ln>
            <a:effectLst/>
          </c:spPr>
          <c:marker>
            <c:symbol val="none"/>
          </c:marker>
          <c:cat>
            <c:numRef>
              <c:f>'FX Data'!$B$957:$B$1448</c:f>
              <c:numCache>
                <c:formatCode>m/d/yyyy</c:formatCode>
                <c:ptCount val="492"/>
                <c:pt idx="0">
                  <c:v>44263</c:v>
                </c:pt>
                <c:pt idx="1">
                  <c:v>44264</c:v>
                </c:pt>
                <c:pt idx="2">
                  <c:v>44265</c:v>
                </c:pt>
                <c:pt idx="3">
                  <c:v>44266</c:v>
                </c:pt>
                <c:pt idx="4">
                  <c:v>44267</c:v>
                </c:pt>
                <c:pt idx="5">
                  <c:v>44270</c:v>
                </c:pt>
                <c:pt idx="6">
                  <c:v>44271</c:v>
                </c:pt>
                <c:pt idx="7">
                  <c:v>44272</c:v>
                </c:pt>
                <c:pt idx="8">
                  <c:v>44273</c:v>
                </c:pt>
                <c:pt idx="9">
                  <c:v>44274</c:v>
                </c:pt>
                <c:pt idx="10">
                  <c:v>44277</c:v>
                </c:pt>
                <c:pt idx="11">
                  <c:v>44278</c:v>
                </c:pt>
                <c:pt idx="12">
                  <c:v>44279</c:v>
                </c:pt>
                <c:pt idx="13">
                  <c:v>44280</c:v>
                </c:pt>
                <c:pt idx="14">
                  <c:v>44281</c:v>
                </c:pt>
                <c:pt idx="15">
                  <c:v>44284</c:v>
                </c:pt>
                <c:pt idx="16">
                  <c:v>44285</c:v>
                </c:pt>
                <c:pt idx="17">
                  <c:v>44286</c:v>
                </c:pt>
                <c:pt idx="18">
                  <c:v>44287</c:v>
                </c:pt>
                <c:pt idx="19">
                  <c:v>44288</c:v>
                </c:pt>
                <c:pt idx="20">
                  <c:v>44291</c:v>
                </c:pt>
                <c:pt idx="21">
                  <c:v>44292</c:v>
                </c:pt>
                <c:pt idx="22">
                  <c:v>44293</c:v>
                </c:pt>
                <c:pt idx="23">
                  <c:v>44294</c:v>
                </c:pt>
                <c:pt idx="24">
                  <c:v>44295</c:v>
                </c:pt>
                <c:pt idx="25">
                  <c:v>44298</c:v>
                </c:pt>
                <c:pt idx="26">
                  <c:v>44299</c:v>
                </c:pt>
                <c:pt idx="27">
                  <c:v>44300</c:v>
                </c:pt>
                <c:pt idx="28">
                  <c:v>44301</c:v>
                </c:pt>
                <c:pt idx="29">
                  <c:v>44302</c:v>
                </c:pt>
                <c:pt idx="30">
                  <c:v>44305</c:v>
                </c:pt>
                <c:pt idx="31">
                  <c:v>44306</c:v>
                </c:pt>
                <c:pt idx="32">
                  <c:v>44308</c:v>
                </c:pt>
                <c:pt idx="33">
                  <c:v>44309</c:v>
                </c:pt>
                <c:pt idx="34">
                  <c:v>44312</c:v>
                </c:pt>
                <c:pt idx="35">
                  <c:v>44313</c:v>
                </c:pt>
                <c:pt idx="36">
                  <c:v>44314</c:v>
                </c:pt>
                <c:pt idx="37">
                  <c:v>44315</c:v>
                </c:pt>
                <c:pt idx="38">
                  <c:v>44320</c:v>
                </c:pt>
                <c:pt idx="39">
                  <c:v>44321</c:v>
                </c:pt>
                <c:pt idx="40">
                  <c:v>44322</c:v>
                </c:pt>
                <c:pt idx="41">
                  <c:v>44323</c:v>
                </c:pt>
                <c:pt idx="42">
                  <c:v>44326</c:v>
                </c:pt>
                <c:pt idx="43">
                  <c:v>44327</c:v>
                </c:pt>
                <c:pt idx="44">
                  <c:v>44328</c:v>
                </c:pt>
                <c:pt idx="45">
                  <c:v>44329</c:v>
                </c:pt>
                <c:pt idx="46">
                  <c:v>44330</c:v>
                </c:pt>
                <c:pt idx="47">
                  <c:v>44333</c:v>
                </c:pt>
                <c:pt idx="48">
                  <c:v>44334</c:v>
                </c:pt>
                <c:pt idx="49">
                  <c:v>44335</c:v>
                </c:pt>
                <c:pt idx="50">
                  <c:v>44336</c:v>
                </c:pt>
                <c:pt idx="51">
                  <c:v>44337</c:v>
                </c:pt>
                <c:pt idx="52">
                  <c:v>44340</c:v>
                </c:pt>
                <c:pt idx="53">
                  <c:v>44341</c:v>
                </c:pt>
                <c:pt idx="54">
                  <c:v>44342</c:v>
                </c:pt>
                <c:pt idx="55">
                  <c:v>44343</c:v>
                </c:pt>
                <c:pt idx="56">
                  <c:v>44344</c:v>
                </c:pt>
                <c:pt idx="57">
                  <c:v>44347</c:v>
                </c:pt>
                <c:pt idx="58">
                  <c:v>44348</c:v>
                </c:pt>
                <c:pt idx="59">
                  <c:v>44349</c:v>
                </c:pt>
                <c:pt idx="60">
                  <c:v>44350</c:v>
                </c:pt>
                <c:pt idx="61">
                  <c:v>44351</c:v>
                </c:pt>
                <c:pt idx="62">
                  <c:v>44354</c:v>
                </c:pt>
                <c:pt idx="63">
                  <c:v>44355</c:v>
                </c:pt>
                <c:pt idx="64">
                  <c:v>44356</c:v>
                </c:pt>
                <c:pt idx="65">
                  <c:v>44357</c:v>
                </c:pt>
                <c:pt idx="66">
                  <c:v>44358</c:v>
                </c:pt>
                <c:pt idx="67">
                  <c:v>44361</c:v>
                </c:pt>
                <c:pt idx="68">
                  <c:v>44362</c:v>
                </c:pt>
                <c:pt idx="69">
                  <c:v>44363</c:v>
                </c:pt>
                <c:pt idx="70">
                  <c:v>44364</c:v>
                </c:pt>
                <c:pt idx="71">
                  <c:v>44365</c:v>
                </c:pt>
                <c:pt idx="72">
                  <c:v>44368</c:v>
                </c:pt>
                <c:pt idx="73">
                  <c:v>44369</c:v>
                </c:pt>
                <c:pt idx="74">
                  <c:v>44370</c:v>
                </c:pt>
                <c:pt idx="75">
                  <c:v>44371</c:v>
                </c:pt>
                <c:pt idx="76">
                  <c:v>44372</c:v>
                </c:pt>
                <c:pt idx="77">
                  <c:v>44375</c:v>
                </c:pt>
                <c:pt idx="78">
                  <c:v>44376</c:v>
                </c:pt>
                <c:pt idx="79">
                  <c:v>44377</c:v>
                </c:pt>
                <c:pt idx="80">
                  <c:v>44378</c:v>
                </c:pt>
                <c:pt idx="81">
                  <c:v>44379</c:v>
                </c:pt>
                <c:pt idx="82">
                  <c:v>44382</c:v>
                </c:pt>
                <c:pt idx="83">
                  <c:v>44383</c:v>
                </c:pt>
                <c:pt idx="84">
                  <c:v>44384</c:v>
                </c:pt>
                <c:pt idx="85">
                  <c:v>44385</c:v>
                </c:pt>
                <c:pt idx="86">
                  <c:v>44386</c:v>
                </c:pt>
                <c:pt idx="87">
                  <c:v>44389</c:v>
                </c:pt>
                <c:pt idx="88">
                  <c:v>44390</c:v>
                </c:pt>
                <c:pt idx="89">
                  <c:v>44391</c:v>
                </c:pt>
                <c:pt idx="90">
                  <c:v>44392</c:v>
                </c:pt>
                <c:pt idx="91">
                  <c:v>44393</c:v>
                </c:pt>
                <c:pt idx="92">
                  <c:v>44396</c:v>
                </c:pt>
                <c:pt idx="93">
                  <c:v>44397</c:v>
                </c:pt>
                <c:pt idx="94">
                  <c:v>44398</c:v>
                </c:pt>
                <c:pt idx="95">
                  <c:v>44399</c:v>
                </c:pt>
                <c:pt idx="96">
                  <c:v>44400</c:v>
                </c:pt>
                <c:pt idx="97">
                  <c:v>44403</c:v>
                </c:pt>
                <c:pt idx="98">
                  <c:v>44404</c:v>
                </c:pt>
                <c:pt idx="99">
                  <c:v>44405</c:v>
                </c:pt>
                <c:pt idx="100">
                  <c:v>44406</c:v>
                </c:pt>
                <c:pt idx="101">
                  <c:v>44407</c:v>
                </c:pt>
                <c:pt idx="102">
                  <c:v>44410</c:v>
                </c:pt>
                <c:pt idx="103">
                  <c:v>44411</c:v>
                </c:pt>
                <c:pt idx="104">
                  <c:v>44412</c:v>
                </c:pt>
                <c:pt idx="105">
                  <c:v>44413</c:v>
                </c:pt>
                <c:pt idx="106">
                  <c:v>44414</c:v>
                </c:pt>
                <c:pt idx="107">
                  <c:v>44417</c:v>
                </c:pt>
                <c:pt idx="108">
                  <c:v>44418</c:v>
                </c:pt>
                <c:pt idx="109">
                  <c:v>44419</c:v>
                </c:pt>
                <c:pt idx="110">
                  <c:v>44420</c:v>
                </c:pt>
                <c:pt idx="111">
                  <c:v>44421</c:v>
                </c:pt>
                <c:pt idx="112">
                  <c:v>44424</c:v>
                </c:pt>
                <c:pt idx="113">
                  <c:v>44425</c:v>
                </c:pt>
                <c:pt idx="114">
                  <c:v>44426</c:v>
                </c:pt>
                <c:pt idx="115">
                  <c:v>44427</c:v>
                </c:pt>
                <c:pt idx="116">
                  <c:v>44428</c:v>
                </c:pt>
                <c:pt idx="117">
                  <c:v>44431</c:v>
                </c:pt>
                <c:pt idx="118">
                  <c:v>44432</c:v>
                </c:pt>
                <c:pt idx="119">
                  <c:v>44433</c:v>
                </c:pt>
                <c:pt idx="120">
                  <c:v>44434</c:v>
                </c:pt>
                <c:pt idx="121">
                  <c:v>44435</c:v>
                </c:pt>
                <c:pt idx="122">
                  <c:v>44438</c:v>
                </c:pt>
                <c:pt idx="123">
                  <c:v>44439</c:v>
                </c:pt>
                <c:pt idx="124">
                  <c:v>44440</c:v>
                </c:pt>
                <c:pt idx="125">
                  <c:v>44445</c:v>
                </c:pt>
                <c:pt idx="126">
                  <c:v>44446</c:v>
                </c:pt>
                <c:pt idx="127">
                  <c:v>44447</c:v>
                </c:pt>
                <c:pt idx="128">
                  <c:v>44448</c:v>
                </c:pt>
                <c:pt idx="129">
                  <c:v>44449</c:v>
                </c:pt>
                <c:pt idx="130">
                  <c:v>44452</c:v>
                </c:pt>
                <c:pt idx="131">
                  <c:v>44453</c:v>
                </c:pt>
                <c:pt idx="132">
                  <c:v>44454</c:v>
                </c:pt>
                <c:pt idx="133">
                  <c:v>44455</c:v>
                </c:pt>
                <c:pt idx="134">
                  <c:v>44456</c:v>
                </c:pt>
                <c:pt idx="135">
                  <c:v>44459</c:v>
                </c:pt>
                <c:pt idx="136">
                  <c:v>44460</c:v>
                </c:pt>
                <c:pt idx="137">
                  <c:v>44461</c:v>
                </c:pt>
                <c:pt idx="138">
                  <c:v>44462</c:v>
                </c:pt>
                <c:pt idx="139">
                  <c:v>44463</c:v>
                </c:pt>
                <c:pt idx="140">
                  <c:v>44466</c:v>
                </c:pt>
                <c:pt idx="141">
                  <c:v>44467</c:v>
                </c:pt>
                <c:pt idx="142">
                  <c:v>44468</c:v>
                </c:pt>
                <c:pt idx="143">
                  <c:v>44469</c:v>
                </c:pt>
                <c:pt idx="144">
                  <c:v>44470</c:v>
                </c:pt>
                <c:pt idx="145">
                  <c:v>44473</c:v>
                </c:pt>
                <c:pt idx="146">
                  <c:v>44474</c:v>
                </c:pt>
                <c:pt idx="147">
                  <c:v>44475</c:v>
                </c:pt>
                <c:pt idx="148">
                  <c:v>44476</c:v>
                </c:pt>
                <c:pt idx="149">
                  <c:v>44477</c:v>
                </c:pt>
                <c:pt idx="150">
                  <c:v>44480</c:v>
                </c:pt>
                <c:pt idx="151">
                  <c:v>44481</c:v>
                </c:pt>
                <c:pt idx="152">
                  <c:v>44482</c:v>
                </c:pt>
                <c:pt idx="153">
                  <c:v>44483</c:v>
                </c:pt>
                <c:pt idx="154">
                  <c:v>44484</c:v>
                </c:pt>
                <c:pt idx="155">
                  <c:v>44487</c:v>
                </c:pt>
                <c:pt idx="156">
                  <c:v>44488</c:v>
                </c:pt>
                <c:pt idx="157">
                  <c:v>44489</c:v>
                </c:pt>
                <c:pt idx="158">
                  <c:v>44490</c:v>
                </c:pt>
                <c:pt idx="159">
                  <c:v>44491</c:v>
                </c:pt>
                <c:pt idx="160">
                  <c:v>44494</c:v>
                </c:pt>
                <c:pt idx="161">
                  <c:v>44495</c:v>
                </c:pt>
                <c:pt idx="162">
                  <c:v>44496</c:v>
                </c:pt>
                <c:pt idx="163">
                  <c:v>44497</c:v>
                </c:pt>
                <c:pt idx="164">
                  <c:v>44498</c:v>
                </c:pt>
                <c:pt idx="165">
                  <c:v>44501</c:v>
                </c:pt>
                <c:pt idx="166">
                  <c:v>44502</c:v>
                </c:pt>
                <c:pt idx="167">
                  <c:v>44503</c:v>
                </c:pt>
                <c:pt idx="168">
                  <c:v>44504</c:v>
                </c:pt>
                <c:pt idx="169">
                  <c:v>44505</c:v>
                </c:pt>
                <c:pt idx="170">
                  <c:v>44508</c:v>
                </c:pt>
                <c:pt idx="171">
                  <c:v>44509</c:v>
                </c:pt>
                <c:pt idx="172">
                  <c:v>44510</c:v>
                </c:pt>
                <c:pt idx="173">
                  <c:v>44511</c:v>
                </c:pt>
                <c:pt idx="174">
                  <c:v>44512</c:v>
                </c:pt>
                <c:pt idx="175">
                  <c:v>44515</c:v>
                </c:pt>
                <c:pt idx="176">
                  <c:v>44516</c:v>
                </c:pt>
                <c:pt idx="177">
                  <c:v>44517</c:v>
                </c:pt>
                <c:pt idx="178">
                  <c:v>44518</c:v>
                </c:pt>
                <c:pt idx="179">
                  <c:v>44519</c:v>
                </c:pt>
                <c:pt idx="180">
                  <c:v>44522</c:v>
                </c:pt>
                <c:pt idx="181">
                  <c:v>44523</c:v>
                </c:pt>
                <c:pt idx="182">
                  <c:v>44524</c:v>
                </c:pt>
                <c:pt idx="183">
                  <c:v>44525</c:v>
                </c:pt>
                <c:pt idx="184">
                  <c:v>44526</c:v>
                </c:pt>
                <c:pt idx="185">
                  <c:v>44529</c:v>
                </c:pt>
                <c:pt idx="186">
                  <c:v>44530</c:v>
                </c:pt>
                <c:pt idx="187">
                  <c:v>44531</c:v>
                </c:pt>
                <c:pt idx="188">
                  <c:v>44532</c:v>
                </c:pt>
                <c:pt idx="189">
                  <c:v>44533</c:v>
                </c:pt>
                <c:pt idx="190">
                  <c:v>44536</c:v>
                </c:pt>
                <c:pt idx="191">
                  <c:v>44537</c:v>
                </c:pt>
                <c:pt idx="192">
                  <c:v>44538</c:v>
                </c:pt>
                <c:pt idx="193">
                  <c:v>44539</c:v>
                </c:pt>
                <c:pt idx="194">
                  <c:v>44540</c:v>
                </c:pt>
                <c:pt idx="195">
                  <c:v>44543</c:v>
                </c:pt>
                <c:pt idx="196">
                  <c:v>44544</c:v>
                </c:pt>
                <c:pt idx="197">
                  <c:v>44545</c:v>
                </c:pt>
                <c:pt idx="198">
                  <c:v>44546</c:v>
                </c:pt>
                <c:pt idx="199">
                  <c:v>44547</c:v>
                </c:pt>
                <c:pt idx="200">
                  <c:v>44550</c:v>
                </c:pt>
                <c:pt idx="201">
                  <c:v>44551</c:v>
                </c:pt>
                <c:pt idx="202">
                  <c:v>44552</c:v>
                </c:pt>
                <c:pt idx="203">
                  <c:v>44553</c:v>
                </c:pt>
                <c:pt idx="204">
                  <c:v>44554</c:v>
                </c:pt>
                <c:pt idx="205">
                  <c:v>44557</c:v>
                </c:pt>
                <c:pt idx="206">
                  <c:v>44558</c:v>
                </c:pt>
                <c:pt idx="207">
                  <c:v>44559</c:v>
                </c:pt>
                <c:pt idx="208">
                  <c:v>44560</c:v>
                </c:pt>
                <c:pt idx="209">
                  <c:v>44561</c:v>
                </c:pt>
                <c:pt idx="210">
                  <c:v>44565</c:v>
                </c:pt>
                <c:pt idx="211">
                  <c:v>44566</c:v>
                </c:pt>
                <c:pt idx="212">
                  <c:v>44567</c:v>
                </c:pt>
                <c:pt idx="213">
                  <c:v>44568</c:v>
                </c:pt>
                <c:pt idx="214">
                  <c:v>44571</c:v>
                </c:pt>
                <c:pt idx="215">
                  <c:v>44572</c:v>
                </c:pt>
                <c:pt idx="216">
                  <c:v>44573</c:v>
                </c:pt>
                <c:pt idx="217">
                  <c:v>44574</c:v>
                </c:pt>
                <c:pt idx="218">
                  <c:v>44575</c:v>
                </c:pt>
                <c:pt idx="219">
                  <c:v>44578</c:v>
                </c:pt>
                <c:pt idx="220">
                  <c:v>44579</c:v>
                </c:pt>
                <c:pt idx="221">
                  <c:v>44580</c:v>
                </c:pt>
                <c:pt idx="222">
                  <c:v>44581</c:v>
                </c:pt>
                <c:pt idx="223">
                  <c:v>44582</c:v>
                </c:pt>
                <c:pt idx="224">
                  <c:v>44585</c:v>
                </c:pt>
                <c:pt idx="225">
                  <c:v>44586</c:v>
                </c:pt>
                <c:pt idx="226">
                  <c:v>44587</c:v>
                </c:pt>
                <c:pt idx="227">
                  <c:v>44588</c:v>
                </c:pt>
                <c:pt idx="228">
                  <c:v>44589</c:v>
                </c:pt>
                <c:pt idx="229">
                  <c:v>44599</c:v>
                </c:pt>
                <c:pt idx="230">
                  <c:v>44600</c:v>
                </c:pt>
                <c:pt idx="231">
                  <c:v>44601</c:v>
                </c:pt>
                <c:pt idx="232">
                  <c:v>44602</c:v>
                </c:pt>
                <c:pt idx="233">
                  <c:v>44603</c:v>
                </c:pt>
                <c:pt idx="234">
                  <c:v>44606</c:v>
                </c:pt>
                <c:pt idx="235">
                  <c:v>44607</c:v>
                </c:pt>
                <c:pt idx="236">
                  <c:v>44608</c:v>
                </c:pt>
                <c:pt idx="237">
                  <c:v>44609</c:v>
                </c:pt>
                <c:pt idx="238">
                  <c:v>44610</c:v>
                </c:pt>
                <c:pt idx="239">
                  <c:v>44613</c:v>
                </c:pt>
                <c:pt idx="240">
                  <c:v>44614</c:v>
                </c:pt>
                <c:pt idx="241">
                  <c:v>44615</c:v>
                </c:pt>
                <c:pt idx="242">
                  <c:v>44616</c:v>
                </c:pt>
                <c:pt idx="243">
                  <c:v>44617</c:v>
                </c:pt>
                <c:pt idx="244">
                  <c:v>44620</c:v>
                </c:pt>
                <c:pt idx="245">
                  <c:v>44621</c:v>
                </c:pt>
                <c:pt idx="246">
                  <c:v>44622</c:v>
                </c:pt>
                <c:pt idx="247">
                  <c:v>44623</c:v>
                </c:pt>
                <c:pt idx="248">
                  <c:v>44624</c:v>
                </c:pt>
                <c:pt idx="249">
                  <c:v>44627</c:v>
                </c:pt>
                <c:pt idx="250">
                  <c:v>44628</c:v>
                </c:pt>
                <c:pt idx="251">
                  <c:v>44629</c:v>
                </c:pt>
                <c:pt idx="252">
                  <c:v>44630</c:v>
                </c:pt>
                <c:pt idx="253">
                  <c:v>44631</c:v>
                </c:pt>
                <c:pt idx="254">
                  <c:v>44634</c:v>
                </c:pt>
                <c:pt idx="255">
                  <c:v>44635</c:v>
                </c:pt>
                <c:pt idx="256">
                  <c:v>44636</c:v>
                </c:pt>
                <c:pt idx="257">
                  <c:v>44637</c:v>
                </c:pt>
                <c:pt idx="258">
                  <c:v>44638</c:v>
                </c:pt>
                <c:pt idx="259">
                  <c:v>44641</c:v>
                </c:pt>
                <c:pt idx="260">
                  <c:v>44642</c:v>
                </c:pt>
                <c:pt idx="261">
                  <c:v>44643</c:v>
                </c:pt>
                <c:pt idx="262">
                  <c:v>44644</c:v>
                </c:pt>
                <c:pt idx="263">
                  <c:v>44645</c:v>
                </c:pt>
                <c:pt idx="264">
                  <c:v>44648</c:v>
                </c:pt>
                <c:pt idx="265">
                  <c:v>44649</c:v>
                </c:pt>
                <c:pt idx="266">
                  <c:v>44650</c:v>
                </c:pt>
                <c:pt idx="267">
                  <c:v>44651</c:v>
                </c:pt>
                <c:pt idx="268">
                  <c:v>44652</c:v>
                </c:pt>
                <c:pt idx="269">
                  <c:v>44655</c:v>
                </c:pt>
                <c:pt idx="270">
                  <c:v>44656</c:v>
                </c:pt>
                <c:pt idx="271">
                  <c:v>44657</c:v>
                </c:pt>
                <c:pt idx="272">
                  <c:v>44658</c:v>
                </c:pt>
                <c:pt idx="273">
                  <c:v>44659</c:v>
                </c:pt>
                <c:pt idx="274">
                  <c:v>44663</c:v>
                </c:pt>
                <c:pt idx="275">
                  <c:v>44664</c:v>
                </c:pt>
                <c:pt idx="276">
                  <c:v>44665</c:v>
                </c:pt>
                <c:pt idx="277">
                  <c:v>44666</c:v>
                </c:pt>
                <c:pt idx="278">
                  <c:v>44669</c:v>
                </c:pt>
                <c:pt idx="279">
                  <c:v>44670</c:v>
                </c:pt>
                <c:pt idx="280">
                  <c:v>44671</c:v>
                </c:pt>
                <c:pt idx="281">
                  <c:v>44672</c:v>
                </c:pt>
                <c:pt idx="282">
                  <c:v>44673</c:v>
                </c:pt>
                <c:pt idx="283">
                  <c:v>44676</c:v>
                </c:pt>
                <c:pt idx="284">
                  <c:v>44677</c:v>
                </c:pt>
                <c:pt idx="285">
                  <c:v>44678</c:v>
                </c:pt>
                <c:pt idx="286">
                  <c:v>44679</c:v>
                </c:pt>
                <c:pt idx="287">
                  <c:v>44680</c:v>
                </c:pt>
                <c:pt idx="288">
                  <c:v>44685</c:v>
                </c:pt>
                <c:pt idx="289">
                  <c:v>44686</c:v>
                </c:pt>
                <c:pt idx="290">
                  <c:v>44687</c:v>
                </c:pt>
                <c:pt idx="291">
                  <c:v>44690</c:v>
                </c:pt>
                <c:pt idx="292">
                  <c:v>44691</c:v>
                </c:pt>
                <c:pt idx="293">
                  <c:v>44692</c:v>
                </c:pt>
                <c:pt idx="294">
                  <c:v>44693</c:v>
                </c:pt>
                <c:pt idx="295">
                  <c:v>44694</c:v>
                </c:pt>
                <c:pt idx="296">
                  <c:v>44697</c:v>
                </c:pt>
                <c:pt idx="297">
                  <c:v>44698</c:v>
                </c:pt>
                <c:pt idx="298">
                  <c:v>44699</c:v>
                </c:pt>
                <c:pt idx="299">
                  <c:v>44700</c:v>
                </c:pt>
                <c:pt idx="300">
                  <c:v>44701</c:v>
                </c:pt>
                <c:pt idx="301">
                  <c:v>44704</c:v>
                </c:pt>
                <c:pt idx="302">
                  <c:v>44705</c:v>
                </c:pt>
                <c:pt idx="303">
                  <c:v>44706</c:v>
                </c:pt>
                <c:pt idx="304">
                  <c:v>44707</c:v>
                </c:pt>
                <c:pt idx="305">
                  <c:v>44708</c:v>
                </c:pt>
                <c:pt idx="306">
                  <c:v>44711</c:v>
                </c:pt>
                <c:pt idx="307">
                  <c:v>44712</c:v>
                </c:pt>
                <c:pt idx="308">
                  <c:v>44713</c:v>
                </c:pt>
                <c:pt idx="309">
                  <c:v>44714</c:v>
                </c:pt>
                <c:pt idx="310">
                  <c:v>44715</c:v>
                </c:pt>
                <c:pt idx="311">
                  <c:v>44718</c:v>
                </c:pt>
                <c:pt idx="312">
                  <c:v>44719</c:v>
                </c:pt>
                <c:pt idx="313">
                  <c:v>44720</c:v>
                </c:pt>
                <c:pt idx="314">
                  <c:v>44721</c:v>
                </c:pt>
                <c:pt idx="315">
                  <c:v>44722</c:v>
                </c:pt>
                <c:pt idx="316">
                  <c:v>44725</c:v>
                </c:pt>
                <c:pt idx="317">
                  <c:v>44726</c:v>
                </c:pt>
                <c:pt idx="318">
                  <c:v>44727</c:v>
                </c:pt>
                <c:pt idx="319">
                  <c:v>44728</c:v>
                </c:pt>
                <c:pt idx="320">
                  <c:v>44729</c:v>
                </c:pt>
                <c:pt idx="321">
                  <c:v>44732</c:v>
                </c:pt>
                <c:pt idx="322">
                  <c:v>44733</c:v>
                </c:pt>
                <c:pt idx="323">
                  <c:v>44734</c:v>
                </c:pt>
                <c:pt idx="324">
                  <c:v>44735</c:v>
                </c:pt>
                <c:pt idx="325">
                  <c:v>44736</c:v>
                </c:pt>
                <c:pt idx="326">
                  <c:v>44739</c:v>
                </c:pt>
                <c:pt idx="327">
                  <c:v>44740</c:v>
                </c:pt>
                <c:pt idx="328">
                  <c:v>44741</c:v>
                </c:pt>
                <c:pt idx="329">
                  <c:v>44742</c:v>
                </c:pt>
                <c:pt idx="330">
                  <c:v>44743</c:v>
                </c:pt>
                <c:pt idx="331">
                  <c:v>44746</c:v>
                </c:pt>
                <c:pt idx="332">
                  <c:v>44747</c:v>
                </c:pt>
                <c:pt idx="333">
                  <c:v>44748</c:v>
                </c:pt>
                <c:pt idx="334">
                  <c:v>44749</c:v>
                </c:pt>
                <c:pt idx="335">
                  <c:v>44750</c:v>
                </c:pt>
                <c:pt idx="336">
                  <c:v>44753</c:v>
                </c:pt>
                <c:pt idx="337">
                  <c:v>44754</c:v>
                </c:pt>
                <c:pt idx="338">
                  <c:v>44755</c:v>
                </c:pt>
                <c:pt idx="339">
                  <c:v>44756</c:v>
                </c:pt>
                <c:pt idx="340">
                  <c:v>44757</c:v>
                </c:pt>
                <c:pt idx="341">
                  <c:v>44760</c:v>
                </c:pt>
                <c:pt idx="342">
                  <c:v>44761</c:v>
                </c:pt>
                <c:pt idx="343">
                  <c:v>44762</c:v>
                </c:pt>
                <c:pt idx="344">
                  <c:v>44763</c:v>
                </c:pt>
                <c:pt idx="345">
                  <c:v>44764</c:v>
                </c:pt>
                <c:pt idx="346">
                  <c:v>44767</c:v>
                </c:pt>
                <c:pt idx="347">
                  <c:v>44768</c:v>
                </c:pt>
                <c:pt idx="348">
                  <c:v>44769</c:v>
                </c:pt>
                <c:pt idx="349">
                  <c:v>44770</c:v>
                </c:pt>
                <c:pt idx="350">
                  <c:v>44771</c:v>
                </c:pt>
                <c:pt idx="351">
                  <c:v>44774</c:v>
                </c:pt>
                <c:pt idx="352">
                  <c:v>44775</c:v>
                </c:pt>
                <c:pt idx="353">
                  <c:v>44776</c:v>
                </c:pt>
                <c:pt idx="354">
                  <c:v>44777</c:v>
                </c:pt>
                <c:pt idx="355">
                  <c:v>44778</c:v>
                </c:pt>
                <c:pt idx="356">
                  <c:v>44781</c:v>
                </c:pt>
                <c:pt idx="357">
                  <c:v>44782</c:v>
                </c:pt>
                <c:pt idx="358">
                  <c:v>44783</c:v>
                </c:pt>
                <c:pt idx="359">
                  <c:v>44784</c:v>
                </c:pt>
                <c:pt idx="360">
                  <c:v>44785</c:v>
                </c:pt>
                <c:pt idx="361">
                  <c:v>44788</c:v>
                </c:pt>
                <c:pt idx="362">
                  <c:v>44789</c:v>
                </c:pt>
                <c:pt idx="363">
                  <c:v>44790</c:v>
                </c:pt>
                <c:pt idx="364">
                  <c:v>44791</c:v>
                </c:pt>
                <c:pt idx="365">
                  <c:v>44792</c:v>
                </c:pt>
                <c:pt idx="366">
                  <c:v>44795</c:v>
                </c:pt>
                <c:pt idx="367">
                  <c:v>44796</c:v>
                </c:pt>
                <c:pt idx="368">
                  <c:v>44797</c:v>
                </c:pt>
                <c:pt idx="369">
                  <c:v>44798</c:v>
                </c:pt>
                <c:pt idx="370">
                  <c:v>44799</c:v>
                </c:pt>
                <c:pt idx="371">
                  <c:v>44802</c:v>
                </c:pt>
                <c:pt idx="372">
                  <c:v>44803</c:v>
                </c:pt>
                <c:pt idx="373">
                  <c:v>44804</c:v>
                </c:pt>
                <c:pt idx="374">
                  <c:v>44809</c:v>
                </c:pt>
                <c:pt idx="375">
                  <c:v>44810</c:v>
                </c:pt>
                <c:pt idx="376">
                  <c:v>44811</c:v>
                </c:pt>
                <c:pt idx="377">
                  <c:v>44812</c:v>
                </c:pt>
                <c:pt idx="378">
                  <c:v>44813</c:v>
                </c:pt>
                <c:pt idx="379">
                  <c:v>44816</c:v>
                </c:pt>
                <c:pt idx="380">
                  <c:v>44817</c:v>
                </c:pt>
                <c:pt idx="381">
                  <c:v>44818</c:v>
                </c:pt>
                <c:pt idx="382">
                  <c:v>44819</c:v>
                </c:pt>
                <c:pt idx="383">
                  <c:v>44820</c:v>
                </c:pt>
                <c:pt idx="384">
                  <c:v>44823</c:v>
                </c:pt>
                <c:pt idx="385">
                  <c:v>44824</c:v>
                </c:pt>
                <c:pt idx="386">
                  <c:v>44825</c:v>
                </c:pt>
                <c:pt idx="387">
                  <c:v>44826</c:v>
                </c:pt>
                <c:pt idx="388">
                  <c:v>44827</c:v>
                </c:pt>
                <c:pt idx="389">
                  <c:v>44830</c:v>
                </c:pt>
                <c:pt idx="390">
                  <c:v>44831</c:v>
                </c:pt>
                <c:pt idx="391">
                  <c:v>44832</c:v>
                </c:pt>
                <c:pt idx="392">
                  <c:v>44833</c:v>
                </c:pt>
                <c:pt idx="393">
                  <c:v>44834</c:v>
                </c:pt>
                <c:pt idx="394">
                  <c:v>44837</c:v>
                </c:pt>
                <c:pt idx="395">
                  <c:v>44838</c:v>
                </c:pt>
                <c:pt idx="396">
                  <c:v>44839</c:v>
                </c:pt>
                <c:pt idx="397">
                  <c:v>44840</c:v>
                </c:pt>
                <c:pt idx="398">
                  <c:v>44841</c:v>
                </c:pt>
                <c:pt idx="399">
                  <c:v>44844</c:v>
                </c:pt>
                <c:pt idx="400">
                  <c:v>44845</c:v>
                </c:pt>
                <c:pt idx="401">
                  <c:v>44846</c:v>
                </c:pt>
                <c:pt idx="402">
                  <c:v>44847</c:v>
                </c:pt>
                <c:pt idx="403">
                  <c:v>44848</c:v>
                </c:pt>
                <c:pt idx="404">
                  <c:v>44851</c:v>
                </c:pt>
                <c:pt idx="405">
                  <c:v>44852</c:v>
                </c:pt>
                <c:pt idx="406">
                  <c:v>44853</c:v>
                </c:pt>
                <c:pt idx="407">
                  <c:v>44854</c:v>
                </c:pt>
                <c:pt idx="408">
                  <c:v>44855</c:v>
                </c:pt>
                <c:pt idx="409">
                  <c:v>44858</c:v>
                </c:pt>
                <c:pt idx="410">
                  <c:v>44859</c:v>
                </c:pt>
                <c:pt idx="411">
                  <c:v>44860</c:v>
                </c:pt>
                <c:pt idx="412">
                  <c:v>44861</c:v>
                </c:pt>
                <c:pt idx="413">
                  <c:v>44862</c:v>
                </c:pt>
                <c:pt idx="414">
                  <c:v>44865</c:v>
                </c:pt>
                <c:pt idx="415">
                  <c:v>44866</c:v>
                </c:pt>
                <c:pt idx="416">
                  <c:v>44867</c:v>
                </c:pt>
                <c:pt idx="417">
                  <c:v>44868</c:v>
                </c:pt>
                <c:pt idx="418">
                  <c:v>44869</c:v>
                </c:pt>
                <c:pt idx="419">
                  <c:v>44872</c:v>
                </c:pt>
                <c:pt idx="420">
                  <c:v>44873</c:v>
                </c:pt>
                <c:pt idx="421">
                  <c:v>44874</c:v>
                </c:pt>
                <c:pt idx="422">
                  <c:v>44875</c:v>
                </c:pt>
                <c:pt idx="423">
                  <c:v>44876</c:v>
                </c:pt>
                <c:pt idx="424">
                  <c:v>44879</c:v>
                </c:pt>
                <c:pt idx="425">
                  <c:v>44880</c:v>
                </c:pt>
                <c:pt idx="426">
                  <c:v>44881</c:v>
                </c:pt>
                <c:pt idx="427">
                  <c:v>44882</c:v>
                </c:pt>
                <c:pt idx="428">
                  <c:v>44883</c:v>
                </c:pt>
                <c:pt idx="429">
                  <c:v>44886</c:v>
                </c:pt>
                <c:pt idx="430">
                  <c:v>44887</c:v>
                </c:pt>
                <c:pt idx="431">
                  <c:v>44888</c:v>
                </c:pt>
                <c:pt idx="432">
                  <c:v>44889</c:v>
                </c:pt>
                <c:pt idx="433">
                  <c:v>44890</c:v>
                </c:pt>
                <c:pt idx="434">
                  <c:v>44893</c:v>
                </c:pt>
                <c:pt idx="435">
                  <c:v>44894</c:v>
                </c:pt>
                <c:pt idx="436">
                  <c:v>44895</c:v>
                </c:pt>
                <c:pt idx="437">
                  <c:v>44896</c:v>
                </c:pt>
                <c:pt idx="438">
                  <c:v>44897</c:v>
                </c:pt>
                <c:pt idx="439">
                  <c:v>44900</c:v>
                </c:pt>
                <c:pt idx="440">
                  <c:v>44901</c:v>
                </c:pt>
                <c:pt idx="441">
                  <c:v>44902</c:v>
                </c:pt>
                <c:pt idx="442">
                  <c:v>44903</c:v>
                </c:pt>
                <c:pt idx="443">
                  <c:v>44904</c:v>
                </c:pt>
                <c:pt idx="444">
                  <c:v>44907</c:v>
                </c:pt>
                <c:pt idx="445">
                  <c:v>44908</c:v>
                </c:pt>
                <c:pt idx="446">
                  <c:v>44909</c:v>
                </c:pt>
                <c:pt idx="447">
                  <c:v>44910</c:v>
                </c:pt>
                <c:pt idx="448">
                  <c:v>44911</c:v>
                </c:pt>
                <c:pt idx="449">
                  <c:v>44914</c:v>
                </c:pt>
                <c:pt idx="450">
                  <c:v>44915</c:v>
                </c:pt>
                <c:pt idx="451">
                  <c:v>44916</c:v>
                </c:pt>
                <c:pt idx="452">
                  <c:v>44917</c:v>
                </c:pt>
                <c:pt idx="453">
                  <c:v>44918</c:v>
                </c:pt>
                <c:pt idx="454">
                  <c:v>44921</c:v>
                </c:pt>
                <c:pt idx="455">
                  <c:v>44922</c:v>
                </c:pt>
                <c:pt idx="456">
                  <c:v>44923</c:v>
                </c:pt>
                <c:pt idx="457">
                  <c:v>44924</c:v>
                </c:pt>
                <c:pt idx="458">
                  <c:v>44925</c:v>
                </c:pt>
                <c:pt idx="459">
                  <c:v>44929</c:v>
                </c:pt>
                <c:pt idx="460">
                  <c:v>44930</c:v>
                </c:pt>
                <c:pt idx="461">
                  <c:v>44931</c:v>
                </c:pt>
                <c:pt idx="462">
                  <c:v>44932</c:v>
                </c:pt>
                <c:pt idx="463">
                  <c:v>44935</c:v>
                </c:pt>
                <c:pt idx="464">
                  <c:v>44936</c:v>
                </c:pt>
                <c:pt idx="465">
                  <c:v>44937</c:v>
                </c:pt>
                <c:pt idx="466">
                  <c:v>44938</c:v>
                </c:pt>
                <c:pt idx="467">
                  <c:v>44939</c:v>
                </c:pt>
                <c:pt idx="468">
                  <c:v>44942</c:v>
                </c:pt>
                <c:pt idx="469">
                  <c:v>44943</c:v>
                </c:pt>
                <c:pt idx="470">
                  <c:v>44944</c:v>
                </c:pt>
                <c:pt idx="471">
                  <c:v>44945</c:v>
                </c:pt>
                <c:pt idx="472">
                  <c:v>44953</c:v>
                </c:pt>
                <c:pt idx="473">
                  <c:v>44956</c:v>
                </c:pt>
                <c:pt idx="474">
                  <c:v>44957</c:v>
                </c:pt>
                <c:pt idx="475">
                  <c:v>44958</c:v>
                </c:pt>
                <c:pt idx="476">
                  <c:v>44959</c:v>
                </c:pt>
                <c:pt idx="477">
                  <c:v>44960</c:v>
                </c:pt>
                <c:pt idx="478">
                  <c:v>44963</c:v>
                </c:pt>
                <c:pt idx="479">
                  <c:v>44964</c:v>
                </c:pt>
                <c:pt idx="480">
                  <c:v>44965</c:v>
                </c:pt>
                <c:pt idx="481">
                  <c:v>44966</c:v>
                </c:pt>
                <c:pt idx="482">
                  <c:v>44967</c:v>
                </c:pt>
                <c:pt idx="483">
                  <c:v>44970</c:v>
                </c:pt>
                <c:pt idx="484">
                  <c:v>44971</c:v>
                </c:pt>
                <c:pt idx="485">
                  <c:v>44972</c:v>
                </c:pt>
                <c:pt idx="486">
                  <c:v>44973</c:v>
                </c:pt>
                <c:pt idx="487">
                  <c:v>44974</c:v>
                </c:pt>
                <c:pt idx="488">
                  <c:v>44977</c:v>
                </c:pt>
                <c:pt idx="489">
                  <c:v>44978</c:v>
                </c:pt>
                <c:pt idx="490">
                  <c:v>44979</c:v>
                </c:pt>
                <c:pt idx="491">
                  <c:v>44980</c:v>
                </c:pt>
              </c:numCache>
            </c:numRef>
          </c:cat>
          <c:val>
            <c:numRef>
              <c:f>'FX Data'!$J$957:$J$1453</c:f>
              <c:numCache>
                <c:formatCode>0.0</c:formatCode>
                <c:ptCount val="497"/>
                <c:pt idx="0">
                  <c:v>4.9423217303822922</c:v>
                </c:pt>
                <c:pt idx="1">
                  <c:v>4.9423217303822922</c:v>
                </c:pt>
                <c:pt idx="2">
                  <c:v>4.9423217303822922</c:v>
                </c:pt>
                <c:pt idx="3">
                  <c:v>4.9423217303822922</c:v>
                </c:pt>
                <c:pt idx="4">
                  <c:v>4.9423217303822922</c:v>
                </c:pt>
                <c:pt idx="5">
                  <c:v>4.9423217303822922</c:v>
                </c:pt>
                <c:pt idx="6">
                  <c:v>4.9423217303822922</c:v>
                </c:pt>
                <c:pt idx="7">
                  <c:v>4.9423217303822922</c:v>
                </c:pt>
                <c:pt idx="8">
                  <c:v>4.9423217303822922</c:v>
                </c:pt>
                <c:pt idx="9">
                  <c:v>4.9423217303822922</c:v>
                </c:pt>
                <c:pt idx="10">
                  <c:v>4.9423217303822922</c:v>
                </c:pt>
                <c:pt idx="11">
                  <c:v>4.9423217303822922</c:v>
                </c:pt>
                <c:pt idx="12">
                  <c:v>4.9423217303822922</c:v>
                </c:pt>
                <c:pt idx="13">
                  <c:v>4.9423217303822922</c:v>
                </c:pt>
                <c:pt idx="14">
                  <c:v>4.9423217303822922</c:v>
                </c:pt>
                <c:pt idx="15">
                  <c:v>4.9423217303822922</c:v>
                </c:pt>
                <c:pt idx="16">
                  <c:v>4.9423217303822922</c:v>
                </c:pt>
                <c:pt idx="17">
                  <c:v>4.9423217303822922</c:v>
                </c:pt>
                <c:pt idx="18">
                  <c:v>4.9423217303822922</c:v>
                </c:pt>
                <c:pt idx="19">
                  <c:v>4.9423217303822922</c:v>
                </c:pt>
                <c:pt idx="20">
                  <c:v>4.9423217303822922</c:v>
                </c:pt>
                <c:pt idx="21">
                  <c:v>4.9423217303822922</c:v>
                </c:pt>
                <c:pt idx="22">
                  <c:v>4.9423217303822922</c:v>
                </c:pt>
                <c:pt idx="23">
                  <c:v>4.9423217303822922</c:v>
                </c:pt>
                <c:pt idx="24">
                  <c:v>4.9423217303822922</c:v>
                </c:pt>
                <c:pt idx="25">
                  <c:v>4.9423217303822922</c:v>
                </c:pt>
                <c:pt idx="26">
                  <c:v>4.9423217303822922</c:v>
                </c:pt>
                <c:pt idx="27">
                  <c:v>4.9423217303822922</c:v>
                </c:pt>
                <c:pt idx="28">
                  <c:v>4.9423217303822922</c:v>
                </c:pt>
                <c:pt idx="29">
                  <c:v>4.9423217303822922</c:v>
                </c:pt>
                <c:pt idx="30">
                  <c:v>4.9423217303822922</c:v>
                </c:pt>
                <c:pt idx="31">
                  <c:v>4.9423217303822922</c:v>
                </c:pt>
                <c:pt idx="32">
                  <c:v>4.9423217303822922</c:v>
                </c:pt>
                <c:pt idx="33">
                  <c:v>4.9423217303822922</c:v>
                </c:pt>
                <c:pt idx="34">
                  <c:v>4.9423217303822922</c:v>
                </c:pt>
                <c:pt idx="35">
                  <c:v>4.9423217303822922</c:v>
                </c:pt>
                <c:pt idx="36">
                  <c:v>4.9423217303822922</c:v>
                </c:pt>
                <c:pt idx="37">
                  <c:v>4.9423217303822922</c:v>
                </c:pt>
                <c:pt idx="38">
                  <c:v>4.9423217303822922</c:v>
                </c:pt>
                <c:pt idx="39">
                  <c:v>4.9423217303822922</c:v>
                </c:pt>
                <c:pt idx="40">
                  <c:v>4.9423217303822922</c:v>
                </c:pt>
                <c:pt idx="41">
                  <c:v>4.9423217303822922</c:v>
                </c:pt>
                <c:pt idx="42">
                  <c:v>4.9423217303822922</c:v>
                </c:pt>
                <c:pt idx="43">
                  <c:v>4.9423217303822922</c:v>
                </c:pt>
                <c:pt idx="44">
                  <c:v>4.9423217303822922</c:v>
                </c:pt>
                <c:pt idx="45">
                  <c:v>4.9423217303822922</c:v>
                </c:pt>
                <c:pt idx="46">
                  <c:v>4.9423217303822922</c:v>
                </c:pt>
                <c:pt idx="47">
                  <c:v>4.9423217303822922</c:v>
                </c:pt>
                <c:pt idx="48">
                  <c:v>4.9423217303822922</c:v>
                </c:pt>
                <c:pt idx="49">
                  <c:v>4.9423217303822922</c:v>
                </c:pt>
                <c:pt idx="50">
                  <c:v>4.9423217303822922</c:v>
                </c:pt>
                <c:pt idx="51">
                  <c:v>4.9423217303822922</c:v>
                </c:pt>
                <c:pt idx="52">
                  <c:v>4.9423217303822922</c:v>
                </c:pt>
                <c:pt idx="53">
                  <c:v>4.9423217303822922</c:v>
                </c:pt>
                <c:pt idx="54">
                  <c:v>4.9423217303822922</c:v>
                </c:pt>
                <c:pt idx="55">
                  <c:v>4.9423217303822922</c:v>
                </c:pt>
                <c:pt idx="56">
                  <c:v>4.9423217303822922</c:v>
                </c:pt>
                <c:pt idx="57">
                  <c:v>4.9423217303822922</c:v>
                </c:pt>
                <c:pt idx="58">
                  <c:v>4.9423217303822922</c:v>
                </c:pt>
                <c:pt idx="59">
                  <c:v>4.9423217303822922</c:v>
                </c:pt>
                <c:pt idx="60">
                  <c:v>4.9423217303822922</c:v>
                </c:pt>
                <c:pt idx="61">
                  <c:v>4.9423217303822922</c:v>
                </c:pt>
                <c:pt idx="62">
                  <c:v>4.9423217303822922</c:v>
                </c:pt>
                <c:pt idx="63">
                  <c:v>4.9423217303822922</c:v>
                </c:pt>
                <c:pt idx="64">
                  <c:v>4.9423217303822922</c:v>
                </c:pt>
                <c:pt idx="65">
                  <c:v>4.9423217303822922</c:v>
                </c:pt>
                <c:pt idx="66">
                  <c:v>4.9423217303822922</c:v>
                </c:pt>
                <c:pt idx="67">
                  <c:v>4.9423217303822922</c:v>
                </c:pt>
                <c:pt idx="68">
                  <c:v>4.9423217303822922</c:v>
                </c:pt>
                <c:pt idx="69">
                  <c:v>4.9423217303822922</c:v>
                </c:pt>
                <c:pt idx="70">
                  <c:v>4.9423217303822922</c:v>
                </c:pt>
                <c:pt idx="71">
                  <c:v>4.9423217303822922</c:v>
                </c:pt>
                <c:pt idx="72">
                  <c:v>4.9423217303822922</c:v>
                </c:pt>
                <c:pt idx="73">
                  <c:v>4.9423217303822922</c:v>
                </c:pt>
                <c:pt idx="74">
                  <c:v>4.9423217303822922</c:v>
                </c:pt>
                <c:pt idx="75">
                  <c:v>4.9423217303822922</c:v>
                </c:pt>
                <c:pt idx="76">
                  <c:v>4.9423217303822922</c:v>
                </c:pt>
                <c:pt idx="77">
                  <c:v>4.9423217303822922</c:v>
                </c:pt>
                <c:pt idx="78">
                  <c:v>4.9423217303822922</c:v>
                </c:pt>
                <c:pt idx="79">
                  <c:v>4.9423217303822922</c:v>
                </c:pt>
                <c:pt idx="80">
                  <c:v>4.9423217303822922</c:v>
                </c:pt>
                <c:pt idx="81">
                  <c:v>4.9423217303822922</c:v>
                </c:pt>
                <c:pt idx="82">
                  <c:v>4.9423217303822922</c:v>
                </c:pt>
                <c:pt idx="83">
                  <c:v>4.9423217303822922</c:v>
                </c:pt>
                <c:pt idx="84">
                  <c:v>4.9423217303822922</c:v>
                </c:pt>
                <c:pt idx="85">
                  <c:v>4.9423217303822922</c:v>
                </c:pt>
                <c:pt idx="86">
                  <c:v>4.9423217303822922</c:v>
                </c:pt>
                <c:pt idx="87">
                  <c:v>4.9423217303822922</c:v>
                </c:pt>
                <c:pt idx="88">
                  <c:v>4.9423217303822922</c:v>
                </c:pt>
                <c:pt idx="89">
                  <c:v>4.9423217303822922</c:v>
                </c:pt>
                <c:pt idx="90">
                  <c:v>4.9423217303822922</c:v>
                </c:pt>
                <c:pt idx="91">
                  <c:v>4.9423217303822922</c:v>
                </c:pt>
                <c:pt idx="92">
                  <c:v>4.9423217303822922</c:v>
                </c:pt>
                <c:pt idx="93">
                  <c:v>4.9423217303822922</c:v>
                </c:pt>
                <c:pt idx="94">
                  <c:v>4.9423217303822922</c:v>
                </c:pt>
                <c:pt idx="95">
                  <c:v>4.9423217303822922</c:v>
                </c:pt>
                <c:pt idx="96">
                  <c:v>4.9423217303822922</c:v>
                </c:pt>
                <c:pt idx="97">
                  <c:v>4.9423217303822922</c:v>
                </c:pt>
                <c:pt idx="98">
                  <c:v>4.9423217303822922</c:v>
                </c:pt>
                <c:pt idx="99">
                  <c:v>4.9423217303822922</c:v>
                </c:pt>
                <c:pt idx="100">
                  <c:v>4.9423217303822922</c:v>
                </c:pt>
                <c:pt idx="101">
                  <c:v>4.9423217303822922</c:v>
                </c:pt>
                <c:pt idx="102">
                  <c:v>4.9423217303822922</c:v>
                </c:pt>
                <c:pt idx="103">
                  <c:v>4.9423217303822922</c:v>
                </c:pt>
                <c:pt idx="104">
                  <c:v>4.9423217303822922</c:v>
                </c:pt>
                <c:pt idx="105">
                  <c:v>4.9423217303822922</c:v>
                </c:pt>
                <c:pt idx="106">
                  <c:v>4.9423217303822922</c:v>
                </c:pt>
                <c:pt idx="107">
                  <c:v>4.9423217303822922</c:v>
                </c:pt>
                <c:pt idx="108">
                  <c:v>4.9423217303822922</c:v>
                </c:pt>
                <c:pt idx="109">
                  <c:v>4.9423217303822922</c:v>
                </c:pt>
                <c:pt idx="110">
                  <c:v>4.9423217303822922</c:v>
                </c:pt>
                <c:pt idx="111">
                  <c:v>4.9423217303822922</c:v>
                </c:pt>
                <c:pt idx="112">
                  <c:v>4.9423217303822922</c:v>
                </c:pt>
                <c:pt idx="113">
                  <c:v>4.9423217303822922</c:v>
                </c:pt>
                <c:pt idx="114">
                  <c:v>4.9423217303822922</c:v>
                </c:pt>
                <c:pt idx="115">
                  <c:v>4.9423217303822922</c:v>
                </c:pt>
                <c:pt idx="116">
                  <c:v>4.9423217303822922</c:v>
                </c:pt>
                <c:pt idx="117">
                  <c:v>4.9423217303822922</c:v>
                </c:pt>
                <c:pt idx="118">
                  <c:v>4.9423217303822922</c:v>
                </c:pt>
                <c:pt idx="119">
                  <c:v>4.9423217303822922</c:v>
                </c:pt>
                <c:pt idx="120">
                  <c:v>4.9423217303822922</c:v>
                </c:pt>
                <c:pt idx="121">
                  <c:v>4.9423217303822922</c:v>
                </c:pt>
                <c:pt idx="122">
                  <c:v>4.9423217303822922</c:v>
                </c:pt>
                <c:pt idx="123">
                  <c:v>4.9423217303822922</c:v>
                </c:pt>
                <c:pt idx="124">
                  <c:v>4.9423217303822922</c:v>
                </c:pt>
                <c:pt idx="125">
                  <c:v>4.9423217303822922</c:v>
                </c:pt>
                <c:pt idx="126">
                  <c:v>4.9423217303822922</c:v>
                </c:pt>
                <c:pt idx="127">
                  <c:v>4.9423217303822922</c:v>
                </c:pt>
                <c:pt idx="128">
                  <c:v>4.9423217303822922</c:v>
                </c:pt>
                <c:pt idx="129">
                  <c:v>4.9423217303822922</c:v>
                </c:pt>
                <c:pt idx="130">
                  <c:v>4.9423217303822922</c:v>
                </c:pt>
                <c:pt idx="131">
                  <c:v>4.9423217303822922</c:v>
                </c:pt>
                <c:pt idx="132">
                  <c:v>4.9423217303822922</c:v>
                </c:pt>
                <c:pt idx="133">
                  <c:v>4.9423217303822922</c:v>
                </c:pt>
                <c:pt idx="134">
                  <c:v>4.9423217303822922</c:v>
                </c:pt>
                <c:pt idx="135">
                  <c:v>4.9423217303822922</c:v>
                </c:pt>
                <c:pt idx="136">
                  <c:v>4.9423217303822922</c:v>
                </c:pt>
                <c:pt idx="137">
                  <c:v>4.9423217303822922</c:v>
                </c:pt>
                <c:pt idx="138">
                  <c:v>4.9423217303822922</c:v>
                </c:pt>
                <c:pt idx="139">
                  <c:v>4.9423217303822922</c:v>
                </c:pt>
                <c:pt idx="140">
                  <c:v>4.9423217303822922</c:v>
                </c:pt>
                <c:pt idx="141">
                  <c:v>4.9423217303822922</c:v>
                </c:pt>
                <c:pt idx="142">
                  <c:v>4.9423217303822922</c:v>
                </c:pt>
                <c:pt idx="143">
                  <c:v>4.9423217303822922</c:v>
                </c:pt>
                <c:pt idx="144">
                  <c:v>4.9423217303822922</c:v>
                </c:pt>
                <c:pt idx="145">
                  <c:v>4.9423217303822922</c:v>
                </c:pt>
                <c:pt idx="146">
                  <c:v>4.9423217303822922</c:v>
                </c:pt>
                <c:pt idx="147">
                  <c:v>4.9423217303822922</c:v>
                </c:pt>
                <c:pt idx="148">
                  <c:v>4.9423217303822922</c:v>
                </c:pt>
                <c:pt idx="149">
                  <c:v>4.9423217303822922</c:v>
                </c:pt>
                <c:pt idx="150">
                  <c:v>4.9423217303822922</c:v>
                </c:pt>
                <c:pt idx="151">
                  <c:v>4.9423217303822922</c:v>
                </c:pt>
                <c:pt idx="152">
                  <c:v>4.9423217303822922</c:v>
                </c:pt>
                <c:pt idx="153">
                  <c:v>4.9423217303822922</c:v>
                </c:pt>
                <c:pt idx="154">
                  <c:v>4.9423217303822922</c:v>
                </c:pt>
                <c:pt idx="155">
                  <c:v>4.9423217303822922</c:v>
                </c:pt>
                <c:pt idx="156">
                  <c:v>4.9423217303822922</c:v>
                </c:pt>
                <c:pt idx="157">
                  <c:v>4.9423217303822922</c:v>
                </c:pt>
                <c:pt idx="158">
                  <c:v>4.9423217303822922</c:v>
                </c:pt>
                <c:pt idx="159">
                  <c:v>4.9423217303822922</c:v>
                </c:pt>
                <c:pt idx="160">
                  <c:v>4.9423217303822922</c:v>
                </c:pt>
                <c:pt idx="161">
                  <c:v>4.9423217303822922</c:v>
                </c:pt>
                <c:pt idx="162">
                  <c:v>4.9423217303822922</c:v>
                </c:pt>
                <c:pt idx="163">
                  <c:v>4.9423217303822922</c:v>
                </c:pt>
                <c:pt idx="164">
                  <c:v>4.9423217303822922</c:v>
                </c:pt>
                <c:pt idx="165">
                  <c:v>4.9423217303822922</c:v>
                </c:pt>
                <c:pt idx="166">
                  <c:v>4.9423217303822922</c:v>
                </c:pt>
                <c:pt idx="167">
                  <c:v>4.9423217303822922</c:v>
                </c:pt>
                <c:pt idx="168">
                  <c:v>4.9423217303822922</c:v>
                </c:pt>
                <c:pt idx="169">
                  <c:v>4.9423217303822922</c:v>
                </c:pt>
                <c:pt idx="170">
                  <c:v>4.9423217303822922</c:v>
                </c:pt>
                <c:pt idx="171">
                  <c:v>4.9423217303822922</c:v>
                </c:pt>
                <c:pt idx="172">
                  <c:v>4.9423217303822922</c:v>
                </c:pt>
                <c:pt idx="173">
                  <c:v>4.9423217303822922</c:v>
                </c:pt>
                <c:pt idx="174">
                  <c:v>4.9423217303822922</c:v>
                </c:pt>
                <c:pt idx="175">
                  <c:v>4.9423217303822922</c:v>
                </c:pt>
                <c:pt idx="176">
                  <c:v>4.9423217303822922</c:v>
                </c:pt>
                <c:pt idx="177">
                  <c:v>4.9423217303822922</c:v>
                </c:pt>
                <c:pt idx="178">
                  <c:v>4.9423217303822922</c:v>
                </c:pt>
                <c:pt idx="179">
                  <c:v>4.9423217303822922</c:v>
                </c:pt>
                <c:pt idx="180">
                  <c:v>4.9423217303822922</c:v>
                </c:pt>
                <c:pt idx="181">
                  <c:v>4.9423217303822922</c:v>
                </c:pt>
                <c:pt idx="182">
                  <c:v>4.9423217303822922</c:v>
                </c:pt>
                <c:pt idx="183">
                  <c:v>4.9423217303822922</c:v>
                </c:pt>
                <c:pt idx="184">
                  <c:v>4.9423217303822922</c:v>
                </c:pt>
                <c:pt idx="185">
                  <c:v>4.9423217303822922</c:v>
                </c:pt>
                <c:pt idx="186">
                  <c:v>4.9423217303822922</c:v>
                </c:pt>
                <c:pt idx="187">
                  <c:v>4.9423217303822922</c:v>
                </c:pt>
                <c:pt idx="188">
                  <c:v>4.9423217303822922</c:v>
                </c:pt>
                <c:pt idx="189">
                  <c:v>4.9423217303822922</c:v>
                </c:pt>
                <c:pt idx="190">
                  <c:v>4.9423217303822922</c:v>
                </c:pt>
                <c:pt idx="191">
                  <c:v>4.9423217303822922</c:v>
                </c:pt>
                <c:pt idx="192">
                  <c:v>4.9423217303822922</c:v>
                </c:pt>
                <c:pt idx="193">
                  <c:v>4.9423217303822922</c:v>
                </c:pt>
                <c:pt idx="194">
                  <c:v>4.9423217303822922</c:v>
                </c:pt>
                <c:pt idx="195">
                  <c:v>4.9423217303822922</c:v>
                </c:pt>
                <c:pt idx="196">
                  <c:v>4.9423217303822922</c:v>
                </c:pt>
                <c:pt idx="197">
                  <c:v>4.9423217303822922</c:v>
                </c:pt>
                <c:pt idx="198">
                  <c:v>4.9423217303822922</c:v>
                </c:pt>
                <c:pt idx="199">
                  <c:v>4.9423217303822922</c:v>
                </c:pt>
                <c:pt idx="200">
                  <c:v>4.9423217303822922</c:v>
                </c:pt>
                <c:pt idx="201">
                  <c:v>4.9423217303822922</c:v>
                </c:pt>
                <c:pt idx="202">
                  <c:v>4.9423217303822922</c:v>
                </c:pt>
                <c:pt idx="203">
                  <c:v>4.9423217303822922</c:v>
                </c:pt>
                <c:pt idx="204">
                  <c:v>4.9423217303822922</c:v>
                </c:pt>
                <c:pt idx="205">
                  <c:v>4.9423217303822922</c:v>
                </c:pt>
                <c:pt idx="206">
                  <c:v>4.9423217303822922</c:v>
                </c:pt>
                <c:pt idx="207">
                  <c:v>4.9423217303822922</c:v>
                </c:pt>
                <c:pt idx="208">
                  <c:v>4.9423217303822922</c:v>
                </c:pt>
                <c:pt idx="209">
                  <c:v>4.9423217303822922</c:v>
                </c:pt>
                <c:pt idx="210">
                  <c:v>4.9423217303822922</c:v>
                </c:pt>
                <c:pt idx="211">
                  <c:v>4.9423217303822922</c:v>
                </c:pt>
                <c:pt idx="212">
                  <c:v>4.9423217303822922</c:v>
                </c:pt>
                <c:pt idx="213">
                  <c:v>4.9423217303822922</c:v>
                </c:pt>
                <c:pt idx="214">
                  <c:v>4.9423217303822922</c:v>
                </c:pt>
                <c:pt idx="215">
                  <c:v>4.9423217303822922</c:v>
                </c:pt>
                <c:pt idx="216">
                  <c:v>4.9423217303822922</c:v>
                </c:pt>
                <c:pt idx="217">
                  <c:v>4.9423217303822922</c:v>
                </c:pt>
                <c:pt idx="218">
                  <c:v>4.9423217303822922</c:v>
                </c:pt>
                <c:pt idx="219">
                  <c:v>4.9423217303822922</c:v>
                </c:pt>
                <c:pt idx="220">
                  <c:v>4.9423217303822922</c:v>
                </c:pt>
                <c:pt idx="221">
                  <c:v>4.9423217303822922</c:v>
                </c:pt>
                <c:pt idx="222">
                  <c:v>4.9423217303822922</c:v>
                </c:pt>
                <c:pt idx="223">
                  <c:v>4.9423217303822922</c:v>
                </c:pt>
                <c:pt idx="224">
                  <c:v>4.9423217303822922</c:v>
                </c:pt>
                <c:pt idx="225">
                  <c:v>4.9423217303822922</c:v>
                </c:pt>
                <c:pt idx="226">
                  <c:v>4.9423217303822922</c:v>
                </c:pt>
                <c:pt idx="227">
                  <c:v>4.9423217303822922</c:v>
                </c:pt>
                <c:pt idx="228">
                  <c:v>4.9423217303822922</c:v>
                </c:pt>
                <c:pt idx="229">
                  <c:v>4.9423217303822922</c:v>
                </c:pt>
                <c:pt idx="230">
                  <c:v>4.9423217303822922</c:v>
                </c:pt>
                <c:pt idx="231">
                  <c:v>4.9423217303822922</c:v>
                </c:pt>
                <c:pt idx="232">
                  <c:v>4.9423217303822922</c:v>
                </c:pt>
                <c:pt idx="233">
                  <c:v>4.9423217303822922</c:v>
                </c:pt>
                <c:pt idx="234">
                  <c:v>4.9423217303822922</c:v>
                </c:pt>
                <c:pt idx="235">
                  <c:v>4.9423217303822922</c:v>
                </c:pt>
                <c:pt idx="236">
                  <c:v>4.9423217303822922</c:v>
                </c:pt>
                <c:pt idx="237">
                  <c:v>4.9423217303822922</c:v>
                </c:pt>
                <c:pt idx="238">
                  <c:v>4.9423217303822922</c:v>
                </c:pt>
                <c:pt idx="239">
                  <c:v>4.9423217303822922</c:v>
                </c:pt>
                <c:pt idx="240">
                  <c:v>4.9423217303822922</c:v>
                </c:pt>
                <c:pt idx="241">
                  <c:v>4.9423217303822922</c:v>
                </c:pt>
                <c:pt idx="242">
                  <c:v>4.9423217303822922</c:v>
                </c:pt>
                <c:pt idx="243">
                  <c:v>4.9423217303822922</c:v>
                </c:pt>
                <c:pt idx="244">
                  <c:v>4.9423217303822922</c:v>
                </c:pt>
                <c:pt idx="245">
                  <c:v>4.9423217303822922</c:v>
                </c:pt>
                <c:pt idx="246">
                  <c:v>4.9423217303822922</c:v>
                </c:pt>
                <c:pt idx="247">
                  <c:v>4.9423217303822922</c:v>
                </c:pt>
                <c:pt idx="248">
                  <c:v>4.9423217303822922</c:v>
                </c:pt>
                <c:pt idx="249">
                  <c:v>4.9423217303822922</c:v>
                </c:pt>
                <c:pt idx="250">
                  <c:v>4.9423217303822922</c:v>
                </c:pt>
                <c:pt idx="251">
                  <c:v>4.9423217303822922</c:v>
                </c:pt>
                <c:pt idx="252">
                  <c:v>4.9423217303822922</c:v>
                </c:pt>
                <c:pt idx="253">
                  <c:v>4.9423217303822922</c:v>
                </c:pt>
                <c:pt idx="254">
                  <c:v>4.9423217303822922</c:v>
                </c:pt>
                <c:pt idx="255">
                  <c:v>4.9423217303822922</c:v>
                </c:pt>
                <c:pt idx="256">
                  <c:v>4.9423217303822922</c:v>
                </c:pt>
                <c:pt idx="257">
                  <c:v>4.9423217303822922</c:v>
                </c:pt>
                <c:pt idx="258">
                  <c:v>4.9423217303822922</c:v>
                </c:pt>
                <c:pt idx="259">
                  <c:v>4.9423217303822922</c:v>
                </c:pt>
                <c:pt idx="260">
                  <c:v>4.9423217303822922</c:v>
                </c:pt>
                <c:pt idx="261">
                  <c:v>4.9423217303822922</c:v>
                </c:pt>
                <c:pt idx="262">
                  <c:v>4.9423217303822922</c:v>
                </c:pt>
                <c:pt idx="263">
                  <c:v>4.9423217303822922</c:v>
                </c:pt>
                <c:pt idx="264">
                  <c:v>4.9423217303822922</c:v>
                </c:pt>
                <c:pt idx="265">
                  <c:v>4.9423217303822922</c:v>
                </c:pt>
                <c:pt idx="266">
                  <c:v>4.9423217303822922</c:v>
                </c:pt>
                <c:pt idx="267">
                  <c:v>4.9423217303822922</c:v>
                </c:pt>
                <c:pt idx="268">
                  <c:v>4.9423217303822922</c:v>
                </c:pt>
                <c:pt idx="269">
                  <c:v>4.9423217303822922</c:v>
                </c:pt>
                <c:pt idx="270">
                  <c:v>4.9423217303822922</c:v>
                </c:pt>
                <c:pt idx="271">
                  <c:v>4.9423217303822922</c:v>
                </c:pt>
                <c:pt idx="272">
                  <c:v>4.9423217303822922</c:v>
                </c:pt>
                <c:pt idx="273">
                  <c:v>4.9423217303822922</c:v>
                </c:pt>
                <c:pt idx="274">
                  <c:v>4.9423217303822922</c:v>
                </c:pt>
                <c:pt idx="275">
                  <c:v>4.9423217303822922</c:v>
                </c:pt>
                <c:pt idx="276">
                  <c:v>4.9423217303822922</c:v>
                </c:pt>
                <c:pt idx="277">
                  <c:v>4.9423217303822922</c:v>
                </c:pt>
                <c:pt idx="278">
                  <c:v>4.9423217303822922</c:v>
                </c:pt>
                <c:pt idx="279">
                  <c:v>4.9423217303822922</c:v>
                </c:pt>
                <c:pt idx="280">
                  <c:v>4.9423217303822922</c:v>
                </c:pt>
                <c:pt idx="281">
                  <c:v>4.9423217303822922</c:v>
                </c:pt>
                <c:pt idx="282">
                  <c:v>4.9423217303822922</c:v>
                </c:pt>
                <c:pt idx="283">
                  <c:v>4.9423217303822922</c:v>
                </c:pt>
                <c:pt idx="284">
                  <c:v>4.9423217303822922</c:v>
                </c:pt>
                <c:pt idx="285">
                  <c:v>4.9423217303822922</c:v>
                </c:pt>
                <c:pt idx="286">
                  <c:v>4.9423217303822922</c:v>
                </c:pt>
                <c:pt idx="287">
                  <c:v>4.9423217303822922</c:v>
                </c:pt>
                <c:pt idx="288">
                  <c:v>4.9423217303822922</c:v>
                </c:pt>
                <c:pt idx="289">
                  <c:v>4.9423217303822922</c:v>
                </c:pt>
                <c:pt idx="290">
                  <c:v>4.9423217303822922</c:v>
                </c:pt>
                <c:pt idx="291">
                  <c:v>4.9423217303822922</c:v>
                </c:pt>
                <c:pt idx="292">
                  <c:v>4.9423217303822922</c:v>
                </c:pt>
                <c:pt idx="293">
                  <c:v>4.9423217303822922</c:v>
                </c:pt>
                <c:pt idx="294">
                  <c:v>4.9423217303822922</c:v>
                </c:pt>
                <c:pt idx="295">
                  <c:v>4.9423217303822922</c:v>
                </c:pt>
                <c:pt idx="296">
                  <c:v>4.9423217303822922</c:v>
                </c:pt>
                <c:pt idx="297">
                  <c:v>4.9423217303822922</c:v>
                </c:pt>
                <c:pt idx="298">
                  <c:v>4.9423217303822922</c:v>
                </c:pt>
                <c:pt idx="299">
                  <c:v>4.9423217303822922</c:v>
                </c:pt>
                <c:pt idx="300">
                  <c:v>4.9423217303822922</c:v>
                </c:pt>
                <c:pt idx="301">
                  <c:v>4.9423217303822922</c:v>
                </c:pt>
                <c:pt idx="302">
                  <c:v>4.9423217303822922</c:v>
                </c:pt>
                <c:pt idx="303">
                  <c:v>4.9423217303822922</c:v>
                </c:pt>
                <c:pt idx="304">
                  <c:v>4.9423217303822922</c:v>
                </c:pt>
                <c:pt idx="305">
                  <c:v>4.9423217303822922</c:v>
                </c:pt>
                <c:pt idx="306">
                  <c:v>4.9423217303822922</c:v>
                </c:pt>
                <c:pt idx="307">
                  <c:v>4.9423217303822922</c:v>
                </c:pt>
                <c:pt idx="308">
                  <c:v>4.9423217303822922</c:v>
                </c:pt>
                <c:pt idx="309">
                  <c:v>4.9423217303822922</c:v>
                </c:pt>
                <c:pt idx="310">
                  <c:v>4.9423217303822922</c:v>
                </c:pt>
                <c:pt idx="311">
                  <c:v>4.9423217303822922</c:v>
                </c:pt>
                <c:pt idx="312">
                  <c:v>4.9423217303822922</c:v>
                </c:pt>
                <c:pt idx="313">
                  <c:v>4.9423217303822922</c:v>
                </c:pt>
                <c:pt idx="314">
                  <c:v>4.9423217303822922</c:v>
                </c:pt>
                <c:pt idx="315">
                  <c:v>4.9423217303822922</c:v>
                </c:pt>
                <c:pt idx="316">
                  <c:v>4.9423217303822922</c:v>
                </c:pt>
                <c:pt idx="317">
                  <c:v>4.9423217303822922</c:v>
                </c:pt>
                <c:pt idx="318">
                  <c:v>4.9423217303822922</c:v>
                </c:pt>
                <c:pt idx="319">
                  <c:v>4.9423217303822922</c:v>
                </c:pt>
                <c:pt idx="320">
                  <c:v>4.9423217303822922</c:v>
                </c:pt>
                <c:pt idx="321">
                  <c:v>4.9423217303822922</c:v>
                </c:pt>
                <c:pt idx="322">
                  <c:v>4.9423217303822922</c:v>
                </c:pt>
                <c:pt idx="323">
                  <c:v>4.9423217303822922</c:v>
                </c:pt>
                <c:pt idx="324">
                  <c:v>4.9423217303822922</c:v>
                </c:pt>
                <c:pt idx="325">
                  <c:v>4.9423217303822922</c:v>
                </c:pt>
                <c:pt idx="326">
                  <c:v>4.9423217303822922</c:v>
                </c:pt>
                <c:pt idx="327">
                  <c:v>4.9423217303822922</c:v>
                </c:pt>
                <c:pt idx="328">
                  <c:v>4.9423217303822922</c:v>
                </c:pt>
                <c:pt idx="329">
                  <c:v>4.9423217303822922</c:v>
                </c:pt>
                <c:pt idx="330">
                  <c:v>4.9423217303822922</c:v>
                </c:pt>
                <c:pt idx="331">
                  <c:v>4.9423217303822922</c:v>
                </c:pt>
                <c:pt idx="332">
                  <c:v>4.9423217303822922</c:v>
                </c:pt>
                <c:pt idx="333">
                  <c:v>4.9423217303822922</c:v>
                </c:pt>
                <c:pt idx="334">
                  <c:v>4.9423217303822922</c:v>
                </c:pt>
                <c:pt idx="335">
                  <c:v>4.9423217303822922</c:v>
                </c:pt>
                <c:pt idx="336">
                  <c:v>4.9423217303822922</c:v>
                </c:pt>
                <c:pt idx="337">
                  <c:v>4.9423217303822922</c:v>
                </c:pt>
                <c:pt idx="338">
                  <c:v>4.9423217303822922</c:v>
                </c:pt>
                <c:pt idx="339">
                  <c:v>4.9423217303822922</c:v>
                </c:pt>
                <c:pt idx="340">
                  <c:v>4.9423217303822922</c:v>
                </c:pt>
                <c:pt idx="341">
                  <c:v>4.9423217303822922</c:v>
                </c:pt>
                <c:pt idx="342">
                  <c:v>4.9423217303822922</c:v>
                </c:pt>
                <c:pt idx="343">
                  <c:v>4.9423217303822922</c:v>
                </c:pt>
                <c:pt idx="344">
                  <c:v>4.9423217303822922</c:v>
                </c:pt>
                <c:pt idx="345">
                  <c:v>4.9423217303822922</c:v>
                </c:pt>
                <c:pt idx="346">
                  <c:v>4.9423217303822922</c:v>
                </c:pt>
                <c:pt idx="347">
                  <c:v>4.9423217303822922</c:v>
                </c:pt>
                <c:pt idx="348">
                  <c:v>4.9423217303822922</c:v>
                </c:pt>
                <c:pt idx="349">
                  <c:v>4.9423217303822922</c:v>
                </c:pt>
                <c:pt idx="350">
                  <c:v>4.9423217303822922</c:v>
                </c:pt>
                <c:pt idx="351">
                  <c:v>4.9423217303822922</c:v>
                </c:pt>
                <c:pt idx="352">
                  <c:v>4.9423217303822922</c:v>
                </c:pt>
                <c:pt idx="353">
                  <c:v>4.9423217303822922</c:v>
                </c:pt>
                <c:pt idx="354">
                  <c:v>4.9423217303822922</c:v>
                </c:pt>
                <c:pt idx="355">
                  <c:v>4.9423217303822922</c:v>
                </c:pt>
                <c:pt idx="356">
                  <c:v>4.9423217303822922</c:v>
                </c:pt>
                <c:pt idx="357">
                  <c:v>4.9423217303822922</c:v>
                </c:pt>
                <c:pt idx="358">
                  <c:v>4.9423217303822922</c:v>
                </c:pt>
                <c:pt idx="359">
                  <c:v>4.9423217303822922</c:v>
                </c:pt>
                <c:pt idx="360">
                  <c:v>4.9423217303822922</c:v>
                </c:pt>
                <c:pt idx="361">
                  <c:v>4.9423217303822922</c:v>
                </c:pt>
                <c:pt idx="362">
                  <c:v>4.9423217303822922</c:v>
                </c:pt>
                <c:pt idx="363">
                  <c:v>4.9423217303822922</c:v>
                </c:pt>
                <c:pt idx="364">
                  <c:v>4.9423217303822922</c:v>
                </c:pt>
                <c:pt idx="365">
                  <c:v>4.9423217303822922</c:v>
                </c:pt>
                <c:pt idx="366">
                  <c:v>4.9423217303822922</c:v>
                </c:pt>
                <c:pt idx="367">
                  <c:v>4.9423217303822922</c:v>
                </c:pt>
                <c:pt idx="368">
                  <c:v>4.9423217303822922</c:v>
                </c:pt>
                <c:pt idx="369">
                  <c:v>4.9423217303822922</c:v>
                </c:pt>
                <c:pt idx="370">
                  <c:v>4.9423217303822922</c:v>
                </c:pt>
                <c:pt idx="371">
                  <c:v>4.9423217303822922</c:v>
                </c:pt>
                <c:pt idx="372">
                  <c:v>4.9423217303822922</c:v>
                </c:pt>
                <c:pt idx="373">
                  <c:v>4.9423217303822922</c:v>
                </c:pt>
                <c:pt idx="374">
                  <c:v>4.9423217303822922</c:v>
                </c:pt>
                <c:pt idx="375">
                  <c:v>4.9423217303822922</c:v>
                </c:pt>
                <c:pt idx="376">
                  <c:v>4.9423217303822922</c:v>
                </c:pt>
                <c:pt idx="377">
                  <c:v>4.9423217303822922</c:v>
                </c:pt>
                <c:pt idx="378">
                  <c:v>4.9423217303822922</c:v>
                </c:pt>
                <c:pt idx="379">
                  <c:v>4.9423217303822922</c:v>
                </c:pt>
                <c:pt idx="380">
                  <c:v>4.9423217303822922</c:v>
                </c:pt>
                <c:pt idx="381">
                  <c:v>4.9423217303822922</c:v>
                </c:pt>
                <c:pt idx="382">
                  <c:v>4.9423217303822922</c:v>
                </c:pt>
                <c:pt idx="383">
                  <c:v>4.9423217303822922</c:v>
                </c:pt>
                <c:pt idx="384">
                  <c:v>4.9423217303822922</c:v>
                </c:pt>
                <c:pt idx="385">
                  <c:v>4.9423217303822922</c:v>
                </c:pt>
                <c:pt idx="386">
                  <c:v>4.9423217303822922</c:v>
                </c:pt>
                <c:pt idx="387">
                  <c:v>4.9423217303822922</c:v>
                </c:pt>
                <c:pt idx="388">
                  <c:v>4.9423217303822922</c:v>
                </c:pt>
                <c:pt idx="389">
                  <c:v>4.9423217303822922</c:v>
                </c:pt>
                <c:pt idx="390">
                  <c:v>4.9423217303822922</c:v>
                </c:pt>
                <c:pt idx="391">
                  <c:v>4.9423217303822922</c:v>
                </c:pt>
                <c:pt idx="392">
                  <c:v>4.9423217303822922</c:v>
                </c:pt>
                <c:pt idx="393">
                  <c:v>4.9423217303822922</c:v>
                </c:pt>
                <c:pt idx="394">
                  <c:v>4.9423217303822922</c:v>
                </c:pt>
                <c:pt idx="395">
                  <c:v>4.9423217303822922</c:v>
                </c:pt>
                <c:pt idx="396">
                  <c:v>4.9423217303822922</c:v>
                </c:pt>
                <c:pt idx="397">
                  <c:v>4.9423217303822922</c:v>
                </c:pt>
                <c:pt idx="398">
                  <c:v>4.9423217303822922</c:v>
                </c:pt>
                <c:pt idx="399">
                  <c:v>4.9423217303822922</c:v>
                </c:pt>
                <c:pt idx="400">
                  <c:v>4.9423217303822922</c:v>
                </c:pt>
                <c:pt idx="401">
                  <c:v>4.9423217303822922</c:v>
                </c:pt>
                <c:pt idx="402">
                  <c:v>4.9423217303822922</c:v>
                </c:pt>
                <c:pt idx="403">
                  <c:v>4.9423217303822922</c:v>
                </c:pt>
                <c:pt idx="404">
                  <c:v>4.9423217303822922</c:v>
                </c:pt>
                <c:pt idx="405">
                  <c:v>4.9423217303822922</c:v>
                </c:pt>
                <c:pt idx="406">
                  <c:v>4.9423217303822922</c:v>
                </c:pt>
                <c:pt idx="407">
                  <c:v>4.9423217303822922</c:v>
                </c:pt>
                <c:pt idx="408">
                  <c:v>4.9423217303822922</c:v>
                </c:pt>
                <c:pt idx="409">
                  <c:v>4.9423217303822922</c:v>
                </c:pt>
                <c:pt idx="410">
                  <c:v>4.9423217303822922</c:v>
                </c:pt>
                <c:pt idx="411">
                  <c:v>4.9423217303822922</c:v>
                </c:pt>
                <c:pt idx="412">
                  <c:v>4.9423217303822922</c:v>
                </c:pt>
                <c:pt idx="413">
                  <c:v>4.9423217303822922</c:v>
                </c:pt>
                <c:pt idx="414">
                  <c:v>4.9423217303822922</c:v>
                </c:pt>
                <c:pt idx="415">
                  <c:v>4.9423217303822922</c:v>
                </c:pt>
                <c:pt idx="416">
                  <c:v>4.9423217303822922</c:v>
                </c:pt>
                <c:pt idx="417">
                  <c:v>4.9423217303822922</c:v>
                </c:pt>
                <c:pt idx="418">
                  <c:v>4.9423217303822922</c:v>
                </c:pt>
                <c:pt idx="419">
                  <c:v>4.9423217303822922</c:v>
                </c:pt>
                <c:pt idx="420">
                  <c:v>4.9423217303822922</c:v>
                </c:pt>
                <c:pt idx="421">
                  <c:v>4.9423217303822922</c:v>
                </c:pt>
                <c:pt idx="422">
                  <c:v>4.9423217303822922</c:v>
                </c:pt>
                <c:pt idx="423">
                  <c:v>4.9423217303822922</c:v>
                </c:pt>
                <c:pt idx="424">
                  <c:v>4.9423217303822922</c:v>
                </c:pt>
                <c:pt idx="425">
                  <c:v>4.9423217303822922</c:v>
                </c:pt>
                <c:pt idx="426">
                  <c:v>4.9423217303822922</c:v>
                </c:pt>
                <c:pt idx="427">
                  <c:v>4.9423217303822922</c:v>
                </c:pt>
                <c:pt idx="428">
                  <c:v>4.9423217303822922</c:v>
                </c:pt>
                <c:pt idx="429">
                  <c:v>4.9423217303822922</c:v>
                </c:pt>
                <c:pt idx="430">
                  <c:v>4.9423217303822922</c:v>
                </c:pt>
                <c:pt idx="431">
                  <c:v>4.9423217303822922</c:v>
                </c:pt>
                <c:pt idx="432">
                  <c:v>4.9423217303822922</c:v>
                </c:pt>
                <c:pt idx="433">
                  <c:v>4.9423217303822922</c:v>
                </c:pt>
                <c:pt idx="434">
                  <c:v>4.9423217303822922</c:v>
                </c:pt>
                <c:pt idx="435">
                  <c:v>4.9423217303822922</c:v>
                </c:pt>
                <c:pt idx="436">
                  <c:v>4.9423217303822922</c:v>
                </c:pt>
                <c:pt idx="437">
                  <c:v>4.9423217303822922</c:v>
                </c:pt>
                <c:pt idx="438">
                  <c:v>4.9423217303822922</c:v>
                </c:pt>
                <c:pt idx="439">
                  <c:v>4.9423217303822922</c:v>
                </c:pt>
                <c:pt idx="440">
                  <c:v>4.9423217303822922</c:v>
                </c:pt>
                <c:pt idx="441">
                  <c:v>4.9423217303822922</c:v>
                </c:pt>
                <c:pt idx="442">
                  <c:v>4.9423217303822922</c:v>
                </c:pt>
                <c:pt idx="443">
                  <c:v>4.9423217303822922</c:v>
                </c:pt>
                <c:pt idx="444">
                  <c:v>4.9423217303822922</c:v>
                </c:pt>
                <c:pt idx="445">
                  <c:v>4.9423217303822922</c:v>
                </c:pt>
                <c:pt idx="446">
                  <c:v>4.9423217303822922</c:v>
                </c:pt>
                <c:pt idx="447">
                  <c:v>4.9423217303822922</c:v>
                </c:pt>
                <c:pt idx="448">
                  <c:v>4.9423217303822922</c:v>
                </c:pt>
                <c:pt idx="449">
                  <c:v>4.9423217303822922</c:v>
                </c:pt>
                <c:pt idx="450">
                  <c:v>4.9423217303822922</c:v>
                </c:pt>
                <c:pt idx="451">
                  <c:v>4.9423217303822922</c:v>
                </c:pt>
                <c:pt idx="452">
                  <c:v>4.9423217303822922</c:v>
                </c:pt>
                <c:pt idx="453">
                  <c:v>4.9423217303822922</c:v>
                </c:pt>
                <c:pt idx="454">
                  <c:v>4.9423217303822922</c:v>
                </c:pt>
                <c:pt idx="455">
                  <c:v>4.9423217303822922</c:v>
                </c:pt>
                <c:pt idx="456">
                  <c:v>4.9423217303822922</c:v>
                </c:pt>
                <c:pt idx="457">
                  <c:v>4.9423217303822922</c:v>
                </c:pt>
                <c:pt idx="458">
                  <c:v>4.9423217303822922</c:v>
                </c:pt>
                <c:pt idx="459">
                  <c:v>4.9423217303822922</c:v>
                </c:pt>
                <c:pt idx="460">
                  <c:v>4.9423217303822922</c:v>
                </c:pt>
                <c:pt idx="461">
                  <c:v>4.9423217303822922</c:v>
                </c:pt>
                <c:pt idx="462">
                  <c:v>4.9423217303822922</c:v>
                </c:pt>
                <c:pt idx="463">
                  <c:v>4.9423217303822922</c:v>
                </c:pt>
                <c:pt idx="464">
                  <c:v>4.9423217303822922</c:v>
                </c:pt>
                <c:pt idx="465">
                  <c:v>4.9423217303822922</c:v>
                </c:pt>
                <c:pt idx="466">
                  <c:v>4.9423217303822922</c:v>
                </c:pt>
                <c:pt idx="467">
                  <c:v>4.9423217303822922</c:v>
                </c:pt>
                <c:pt idx="468">
                  <c:v>4.9423217303822922</c:v>
                </c:pt>
                <c:pt idx="469">
                  <c:v>4.9423217303822922</c:v>
                </c:pt>
                <c:pt idx="470">
                  <c:v>4.9423217303822922</c:v>
                </c:pt>
                <c:pt idx="471">
                  <c:v>4.9423217303822922</c:v>
                </c:pt>
                <c:pt idx="472">
                  <c:v>4.9423217303822922</c:v>
                </c:pt>
                <c:pt idx="473">
                  <c:v>4.9423217303822922</c:v>
                </c:pt>
                <c:pt idx="474">
                  <c:v>4.9423217303822922</c:v>
                </c:pt>
                <c:pt idx="475">
                  <c:v>4.9423217303822922</c:v>
                </c:pt>
                <c:pt idx="476">
                  <c:v>4.9423217303822922</c:v>
                </c:pt>
                <c:pt idx="477">
                  <c:v>4.9423217303822922</c:v>
                </c:pt>
                <c:pt idx="478">
                  <c:v>4.9423217303822922</c:v>
                </c:pt>
                <c:pt idx="479">
                  <c:v>4.9423217303822922</c:v>
                </c:pt>
                <c:pt idx="480">
                  <c:v>4.9423217303822922</c:v>
                </c:pt>
                <c:pt idx="481">
                  <c:v>4.9423217303822922</c:v>
                </c:pt>
                <c:pt idx="482">
                  <c:v>4.9423217303822922</c:v>
                </c:pt>
                <c:pt idx="483">
                  <c:v>4.9423217303822922</c:v>
                </c:pt>
                <c:pt idx="484">
                  <c:v>4.9423217303822922</c:v>
                </c:pt>
                <c:pt idx="485">
                  <c:v>4.9423217303822922</c:v>
                </c:pt>
                <c:pt idx="486">
                  <c:v>4.9423217303822922</c:v>
                </c:pt>
                <c:pt idx="487">
                  <c:v>4.9423217303822922</c:v>
                </c:pt>
                <c:pt idx="488">
                  <c:v>4.9423217303822922</c:v>
                </c:pt>
                <c:pt idx="489">
                  <c:v>4.9423217303822922</c:v>
                </c:pt>
                <c:pt idx="490">
                  <c:v>4.9423217303822922</c:v>
                </c:pt>
                <c:pt idx="491">
                  <c:v>4.9423217303822922</c:v>
                </c:pt>
                <c:pt idx="492">
                  <c:v>4.9423217303822922</c:v>
                </c:pt>
                <c:pt idx="493">
                  <c:v>4.9423217303822922</c:v>
                </c:pt>
                <c:pt idx="494">
                  <c:v>4.9423217303822922</c:v>
                </c:pt>
                <c:pt idx="495">
                  <c:v>4.9423217303822922</c:v>
                </c:pt>
                <c:pt idx="496">
                  <c:v>4.9423217303822922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504-4920-A7E1-4D8EBD195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4353871"/>
        <c:axId val="1384354351"/>
      </c:lineChart>
      <c:dateAx>
        <c:axId val="1384353871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US"/>
          </a:p>
        </c:txPr>
        <c:crossAx val="1384354351"/>
        <c:crosses val="autoZero"/>
        <c:auto val="1"/>
        <c:lblOffset val="100"/>
        <c:baseTimeUnit val="days"/>
        <c:majorUnit val="6"/>
        <c:majorTimeUnit val="months"/>
      </c:dateAx>
      <c:valAx>
        <c:axId val="1384354351"/>
        <c:scaling>
          <c:orientation val="minMax"/>
          <c:min val="2.5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US"/>
          </a:p>
        </c:txPr>
        <c:crossAx val="1384353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Noto Sans" panose="020B0502040504020204" pitchFamily="34" charset="0"/>
          <a:ea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3522156820050427"/>
          <c:y val="7.5414805210164262E-2"/>
          <c:w val="0.66166434980411981"/>
          <c:h val="0.72699385451544429"/>
        </c:manualLayout>
      </c:layout>
      <c:lineChart>
        <c:grouping val="standard"/>
        <c:varyColors val="0"/>
        <c:ser>
          <c:idx val="1"/>
          <c:order val="0"/>
          <c:tx>
            <c:strRef>
              <c:f>'FX Data'!$I$1461</c:f>
              <c:strCache>
                <c:ptCount val="1"/>
                <c:pt idx="0">
                  <c:v>13.4</c:v>
                </c:pt>
              </c:strCache>
            </c:strRef>
          </c:tx>
          <c:spPr>
            <a:ln w="19050" cap="rnd">
              <a:solidFill>
                <a:sysClr val="window" lastClr="FFFFFF">
                  <a:lumMod val="75000"/>
                </a:sysClr>
              </a:solidFill>
              <a:round/>
            </a:ln>
            <a:effectLst/>
          </c:spPr>
          <c:marker>
            <c:symbol val="none"/>
          </c:marker>
          <c:cat>
            <c:numRef>
              <c:f>'FX Data'!$B$1457:$B$2460</c:f>
              <c:numCache>
                <c:formatCode>m/d/yyyy</c:formatCode>
                <c:ptCount val="1004"/>
                <c:pt idx="0">
                  <c:v>44993</c:v>
                </c:pt>
                <c:pt idx="1">
                  <c:v>44994</c:v>
                </c:pt>
                <c:pt idx="2">
                  <c:v>44995</c:v>
                </c:pt>
                <c:pt idx="3">
                  <c:v>44998</c:v>
                </c:pt>
                <c:pt idx="4">
                  <c:v>44999</c:v>
                </c:pt>
                <c:pt idx="5">
                  <c:v>45000</c:v>
                </c:pt>
                <c:pt idx="6">
                  <c:v>45001</c:v>
                </c:pt>
                <c:pt idx="7">
                  <c:v>45002</c:v>
                </c:pt>
                <c:pt idx="8">
                  <c:v>45005</c:v>
                </c:pt>
                <c:pt idx="9">
                  <c:v>45006</c:v>
                </c:pt>
                <c:pt idx="10">
                  <c:v>45007</c:v>
                </c:pt>
                <c:pt idx="11">
                  <c:v>45008</c:v>
                </c:pt>
                <c:pt idx="12">
                  <c:v>45009</c:v>
                </c:pt>
                <c:pt idx="13">
                  <c:v>45012</c:v>
                </c:pt>
                <c:pt idx="14">
                  <c:v>45013</c:v>
                </c:pt>
                <c:pt idx="15">
                  <c:v>45014</c:v>
                </c:pt>
                <c:pt idx="16">
                  <c:v>45015</c:v>
                </c:pt>
                <c:pt idx="17">
                  <c:v>45016</c:v>
                </c:pt>
                <c:pt idx="18">
                  <c:v>45019</c:v>
                </c:pt>
                <c:pt idx="19">
                  <c:v>45020</c:v>
                </c:pt>
                <c:pt idx="20">
                  <c:v>45021</c:v>
                </c:pt>
                <c:pt idx="21">
                  <c:v>45022</c:v>
                </c:pt>
                <c:pt idx="22">
                  <c:v>45023</c:v>
                </c:pt>
                <c:pt idx="23">
                  <c:v>45026</c:v>
                </c:pt>
                <c:pt idx="24">
                  <c:v>45027</c:v>
                </c:pt>
                <c:pt idx="25">
                  <c:v>45028</c:v>
                </c:pt>
                <c:pt idx="26">
                  <c:v>45029</c:v>
                </c:pt>
                <c:pt idx="27">
                  <c:v>45030</c:v>
                </c:pt>
                <c:pt idx="28">
                  <c:v>45033</c:v>
                </c:pt>
                <c:pt idx="29">
                  <c:v>45034</c:v>
                </c:pt>
                <c:pt idx="30">
                  <c:v>45035</c:v>
                </c:pt>
                <c:pt idx="31">
                  <c:v>45036</c:v>
                </c:pt>
                <c:pt idx="32">
                  <c:v>45037</c:v>
                </c:pt>
                <c:pt idx="33">
                  <c:v>45040</c:v>
                </c:pt>
                <c:pt idx="34">
                  <c:v>45041</c:v>
                </c:pt>
                <c:pt idx="35">
                  <c:v>45042</c:v>
                </c:pt>
                <c:pt idx="36">
                  <c:v>45043</c:v>
                </c:pt>
                <c:pt idx="37">
                  <c:v>45044</c:v>
                </c:pt>
                <c:pt idx="38">
                  <c:v>45050</c:v>
                </c:pt>
                <c:pt idx="39">
                  <c:v>45051</c:v>
                </c:pt>
                <c:pt idx="40">
                  <c:v>45054</c:v>
                </c:pt>
                <c:pt idx="41">
                  <c:v>45055</c:v>
                </c:pt>
                <c:pt idx="42">
                  <c:v>45056</c:v>
                </c:pt>
                <c:pt idx="43">
                  <c:v>45057</c:v>
                </c:pt>
                <c:pt idx="44">
                  <c:v>45058</c:v>
                </c:pt>
                <c:pt idx="45">
                  <c:v>45061</c:v>
                </c:pt>
                <c:pt idx="46">
                  <c:v>45062</c:v>
                </c:pt>
                <c:pt idx="47">
                  <c:v>45063</c:v>
                </c:pt>
                <c:pt idx="48">
                  <c:v>45064</c:v>
                </c:pt>
                <c:pt idx="49">
                  <c:v>45065</c:v>
                </c:pt>
                <c:pt idx="50">
                  <c:v>45068</c:v>
                </c:pt>
                <c:pt idx="51">
                  <c:v>45069</c:v>
                </c:pt>
                <c:pt idx="52">
                  <c:v>45070</c:v>
                </c:pt>
                <c:pt idx="53">
                  <c:v>45071</c:v>
                </c:pt>
                <c:pt idx="54">
                  <c:v>45072</c:v>
                </c:pt>
                <c:pt idx="55">
                  <c:v>45075</c:v>
                </c:pt>
                <c:pt idx="56">
                  <c:v>45076</c:v>
                </c:pt>
                <c:pt idx="57">
                  <c:v>45077</c:v>
                </c:pt>
                <c:pt idx="58">
                  <c:v>45078</c:v>
                </c:pt>
                <c:pt idx="59">
                  <c:v>45079</c:v>
                </c:pt>
                <c:pt idx="60">
                  <c:v>45082</c:v>
                </c:pt>
                <c:pt idx="61">
                  <c:v>45083</c:v>
                </c:pt>
                <c:pt idx="62">
                  <c:v>45084</c:v>
                </c:pt>
                <c:pt idx="63">
                  <c:v>45085</c:v>
                </c:pt>
                <c:pt idx="64">
                  <c:v>45086</c:v>
                </c:pt>
                <c:pt idx="65">
                  <c:v>45089</c:v>
                </c:pt>
                <c:pt idx="66">
                  <c:v>45090</c:v>
                </c:pt>
                <c:pt idx="67">
                  <c:v>45091</c:v>
                </c:pt>
                <c:pt idx="68">
                  <c:v>45092</c:v>
                </c:pt>
                <c:pt idx="69">
                  <c:v>45093</c:v>
                </c:pt>
                <c:pt idx="70">
                  <c:v>45096</c:v>
                </c:pt>
                <c:pt idx="71">
                  <c:v>45097</c:v>
                </c:pt>
                <c:pt idx="72">
                  <c:v>45098</c:v>
                </c:pt>
                <c:pt idx="73">
                  <c:v>45099</c:v>
                </c:pt>
                <c:pt idx="74">
                  <c:v>45100</c:v>
                </c:pt>
                <c:pt idx="75">
                  <c:v>45103</c:v>
                </c:pt>
                <c:pt idx="76">
                  <c:v>45104</c:v>
                </c:pt>
                <c:pt idx="77">
                  <c:v>45105</c:v>
                </c:pt>
                <c:pt idx="78">
                  <c:v>45106</c:v>
                </c:pt>
                <c:pt idx="79">
                  <c:v>45107</c:v>
                </c:pt>
                <c:pt idx="80">
                  <c:v>45110</c:v>
                </c:pt>
                <c:pt idx="81">
                  <c:v>45111</c:v>
                </c:pt>
                <c:pt idx="82">
                  <c:v>45112</c:v>
                </c:pt>
                <c:pt idx="83">
                  <c:v>45113</c:v>
                </c:pt>
                <c:pt idx="84">
                  <c:v>45114</c:v>
                </c:pt>
                <c:pt idx="85">
                  <c:v>45117</c:v>
                </c:pt>
                <c:pt idx="86">
                  <c:v>45118</c:v>
                </c:pt>
                <c:pt idx="87">
                  <c:v>45119</c:v>
                </c:pt>
                <c:pt idx="88">
                  <c:v>45120</c:v>
                </c:pt>
                <c:pt idx="89">
                  <c:v>45121</c:v>
                </c:pt>
                <c:pt idx="90">
                  <c:v>45124</c:v>
                </c:pt>
                <c:pt idx="91">
                  <c:v>45125</c:v>
                </c:pt>
                <c:pt idx="92">
                  <c:v>45126</c:v>
                </c:pt>
                <c:pt idx="93">
                  <c:v>45127</c:v>
                </c:pt>
                <c:pt idx="94">
                  <c:v>45128</c:v>
                </c:pt>
                <c:pt idx="95">
                  <c:v>45131</c:v>
                </c:pt>
                <c:pt idx="96">
                  <c:v>45132</c:v>
                </c:pt>
                <c:pt idx="97">
                  <c:v>45133</c:v>
                </c:pt>
                <c:pt idx="98">
                  <c:v>45134</c:v>
                </c:pt>
                <c:pt idx="99">
                  <c:v>45135</c:v>
                </c:pt>
                <c:pt idx="100">
                  <c:v>45138</c:v>
                </c:pt>
                <c:pt idx="101">
                  <c:v>45139</c:v>
                </c:pt>
                <c:pt idx="102">
                  <c:v>45140</c:v>
                </c:pt>
                <c:pt idx="103">
                  <c:v>45141</c:v>
                </c:pt>
                <c:pt idx="104">
                  <c:v>45142</c:v>
                </c:pt>
                <c:pt idx="105">
                  <c:v>45145</c:v>
                </c:pt>
                <c:pt idx="106">
                  <c:v>45146</c:v>
                </c:pt>
                <c:pt idx="107">
                  <c:v>45147</c:v>
                </c:pt>
                <c:pt idx="108">
                  <c:v>45148</c:v>
                </c:pt>
                <c:pt idx="109">
                  <c:v>45149</c:v>
                </c:pt>
                <c:pt idx="110">
                  <c:v>45152</c:v>
                </c:pt>
                <c:pt idx="111">
                  <c:v>45153</c:v>
                </c:pt>
                <c:pt idx="112">
                  <c:v>45154</c:v>
                </c:pt>
                <c:pt idx="113">
                  <c:v>45155</c:v>
                </c:pt>
                <c:pt idx="114">
                  <c:v>45156</c:v>
                </c:pt>
                <c:pt idx="115">
                  <c:v>45159</c:v>
                </c:pt>
                <c:pt idx="116">
                  <c:v>45160</c:v>
                </c:pt>
                <c:pt idx="117">
                  <c:v>45161</c:v>
                </c:pt>
                <c:pt idx="118">
                  <c:v>45162</c:v>
                </c:pt>
                <c:pt idx="119">
                  <c:v>45163</c:v>
                </c:pt>
                <c:pt idx="120">
                  <c:v>45166</c:v>
                </c:pt>
                <c:pt idx="121">
                  <c:v>45167</c:v>
                </c:pt>
                <c:pt idx="122">
                  <c:v>45168</c:v>
                </c:pt>
                <c:pt idx="123">
                  <c:v>45169</c:v>
                </c:pt>
                <c:pt idx="124">
                  <c:v>45174</c:v>
                </c:pt>
                <c:pt idx="125">
                  <c:v>45175</c:v>
                </c:pt>
                <c:pt idx="126">
                  <c:v>45176</c:v>
                </c:pt>
                <c:pt idx="127">
                  <c:v>45177</c:v>
                </c:pt>
                <c:pt idx="128">
                  <c:v>45180</c:v>
                </c:pt>
                <c:pt idx="129">
                  <c:v>45181</c:v>
                </c:pt>
                <c:pt idx="130">
                  <c:v>45182</c:v>
                </c:pt>
                <c:pt idx="131">
                  <c:v>45183</c:v>
                </c:pt>
                <c:pt idx="132">
                  <c:v>45184</c:v>
                </c:pt>
                <c:pt idx="133">
                  <c:v>45187</c:v>
                </c:pt>
                <c:pt idx="134">
                  <c:v>45188</c:v>
                </c:pt>
                <c:pt idx="135">
                  <c:v>45189</c:v>
                </c:pt>
                <c:pt idx="136">
                  <c:v>45190</c:v>
                </c:pt>
                <c:pt idx="137">
                  <c:v>45191</c:v>
                </c:pt>
                <c:pt idx="138">
                  <c:v>45194</c:v>
                </c:pt>
                <c:pt idx="139">
                  <c:v>45195</c:v>
                </c:pt>
                <c:pt idx="140">
                  <c:v>45196</c:v>
                </c:pt>
                <c:pt idx="141">
                  <c:v>45197</c:v>
                </c:pt>
                <c:pt idx="142">
                  <c:v>45198</c:v>
                </c:pt>
                <c:pt idx="143">
                  <c:v>45201</c:v>
                </c:pt>
                <c:pt idx="144">
                  <c:v>45202</c:v>
                </c:pt>
                <c:pt idx="145">
                  <c:v>45203</c:v>
                </c:pt>
                <c:pt idx="146">
                  <c:v>45204</c:v>
                </c:pt>
                <c:pt idx="147">
                  <c:v>45205</c:v>
                </c:pt>
                <c:pt idx="148">
                  <c:v>45208</c:v>
                </c:pt>
                <c:pt idx="149">
                  <c:v>45209</c:v>
                </c:pt>
                <c:pt idx="150">
                  <c:v>45210</c:v>
                </c:pt>
                <c:pt idx="151">
                  <c:v>45211</c:v>
                </c:pt>
                <c:pt idx="152">
                  <c:v>45212</c:v>
                </c:pt>
                <c:pt idx="153">
                  <c:v>45215</c:v>
                </c:pt>
                <c:pt idx="154">
                  <c:v>45216</c:v>
                </c:pt>
                <c:pt idx="155">
                  <c:v>45217</c:v>
                </c:pt>
                <c:pt idx="156">
                  <c:v>45218</c:v>
                </c:pt>
                <c:pt idx="157">
                  <c:v>45219</c:v>
                </c:pt>
                <c:pt idx="158">
                  <c:v>45222</c:v>
                </c:pt>
                <c:pt idx="159">
                  <c:v>45223</c:v>
                </c:pt>
                <c:pt idx="160">
                  <c:v>45224</c:v>
                </c:pt>
                <c:pt idx="161">
                  <c:v>45225</c:v>
                </c:pt>
                <c:pt idx="162">
                  <c:v>45226</c:v>
                </c:pt>
                <c:pt idx="163">
                  <c:v>45229</c:v>
                </c:pt>
                <c:pt idx="164">
                  <c:v>45230</c:v>
                </c:pt>
                <c:pt idx="165">
                  <c:v>45231</c:v>
                </c:pt>
                <c:pt idx="166">
                  <c:v>45232</c:v>
                </c:pt>
                <c:pt idx="167">
                  <c:v>45233</c:v>
                </c:pt>
                <c:pt idx="168">
                  <c:v>45236</c:v>
                </c:pt>
                <c:pt idx="169">
                  <c:v>45237</c:v>
                </c:pt>
                <c:pt idx="170">
                  <c:v>45238</c:v>
                </c:pt>
                <c:pt idx="171">
                  <c:v>45239</c:v>
                </c:pt>
                <c:pt idx="172">
                  <c:v>45240</c:v>
                </c:pt>
                <c:pt idx="173">
                  <c:v>45243</c:v>
                </c:pt>
                <c:pt idx="174">
                  <c:v>45244</c:v>
                </c:pt>
                <c:pt idx="175">
                  <c:v>45245</c:v>
                </c:pt>
                <c:pt idx="176">
                  <c:v>45246</c:v>
                </c:pt>
                <c:pt idx="177">
                  <c:v>45247</c:v>
                </c:pt>
                <c:pt idx="178">
                  <c:v>45250</c:v>
                </c:pt>
                <c:pt idx="179">
                  <c:v>45251</c:v>
                </c:pt>
                <c:pt idx="180">
                  <c:v>45252</c:v>
                </c:pt>
                <c:pt idx="181">
                  <c:v>45253</c:v>
                </c:pt>
                <c:pt idx="182">
                  <c:v>45254</c:v>
                </c:pt>
                <c:pt idx="183">
                  <c:v>45257</c:v>
                </c:pt>
                <c:pt idx="184">
                  <c:v>45258</c:v>
                </c:pt>
                <c:pt idx="185">
                  <c:v>45259</c:v>
                </c:pt>
                <c:pt idx="186">
                  <c:v>45260</c:v>
                </c:pt>
                <c:pt idx="187">
                  <c:v>45261</c:v>
                </c:pt>
                <c:pt idx="188">
                  <c:v>45264</c:v>
                </c:pt>
                <c:pt idx="189">
                  <c:v>45265</c:v>
                </c:pt>
                <c:pt idx="190">
                  <c:v>45266</c:v>
                </c:pt>
                <c:pt idx="191">
                  <c:v>45267</c:v>
                </c:pt>
                <c:pt idx="192">
                  <c:v>45268</c:v>
                </c:pt>
                <c:pt idx="193">
                  <c:v>45271</c:v>
                </c:pt>
                <c:pt idx="194">
                  <c:v>45272</c:v>
                </c:pt>
                <c:pt idx="195">
                  <c:v>45273</c:v>
                </c:pt>
                <c:pt idx="196">
                  <c:v>45274</c:v>
                </c:pt>
                <c:pt idx="197">
                  <c:v>45275</c:v>
                </c:pt>
                <c:pt idx="198">
                  <c:v>45278</c:v>
                </c:pt>
                <c:pt idx="199">
                  <c:v>45279</c:v>
                </c:pt>
                <c:pt idx="200">
                  <c:v>45280</c:v>
                </c:pt>
                <c:pt idx="201">
                  <c:v>45281</c:v>
                </c:pt>
                <c:pt idx="202">
                  <c:v>45282</c:v>
                </c:pt>
                <c:pt idx="203">
                  <c:v>45285</c:v>
                </c:pt>
                <c:pt idx="204">
                  <c:v>45286</c:v>
                </c:pt>
                <c:pt idx="205">
                  <c:v>45287</c:v>
                </c:pt>
                <c:pt idx="206">
                  <c:v>45288</c:v>
                </c:pt>
                <c:pt idx="207">
                  <c:v>45289</c:v>
                </c:pt>
                <c:pt idx="208">
                  <c:v>45293</c:v>
                </c:pt>
                <c:pt idx="209">
                  <c:v>45294</c:v>
                </c:pt>
                <c:pt idx="210">
                  <c:v>45295</c:v>
                </c:pt>
                <c:pt idx="211">
                  <c:v>45296</c:v>
                </c:pt>
                <c:pt idx="212">
                  <c:v>45299</c:v>
                </c:pt>
                <c:pt idx="213">
                  <c:v>45300</c:v>
                </c:pt>
                <c:pt idx="214">
                  <c:v>45301</c:v>
                </c:pt>
                <c:pt idx="215">
                  <c:v>45302</c:v>
                </c:pt>
                <c:pt idx="216">
                  <c:v>45303</c:v>
                </c:pt>
                <c:pt idx="217">
                  <c:v>45306</c:v>
                </c:pt>
                <c:pt idx="218">
                  <c:v>45307</c:v>
                </c:pt>
                <c:pt idx="219">
                  <c:v>45308</c:v>
                </c:pt>
                <c:pt idx="220">
                  <c:v>45309</c:v>
                </c:pt>
                <c:pt idx="221">
                  <c:v>45310</c:v>
                </c:pt>
                <c:pt idx="222">
                  <c:v>45313</c:v>
                </c:pt>
                <c:pt idx="223">
                  <c:v>45314</c:v>
                </c:pt>
                <c:pt idx="224">
                  <c:v>45315</c:v>
                </c:pt>
                <c:pt idx="225">
                  <c:v>45316</c:v>
                </c:pt>
                <c:pt idx="226">
                  <c:v>45317</c:v>
                </c:pt>
                <c:pt idx="227">
                  <c:v>45320</c:v>
                </c:pt>
                <c:pt idx="228">
                  <c:v>45321</c:v>
                </c:pt>
                <c:pt idx="229">
                  <c:v>45322</c:v>
                </c:pt>
                <c:pt idx="230">
                  <c:v>45323</c:v>
                </c:pt>
                <c:pt idx="231">
                  <c:v>45324</c:v>
                </c:pt>
                <c:pt idx="232">
                  <c:v>45327</c:v>
                </c:pt>
                <c:pt idx="233">
                  <c:v>45328</c:v>
                </c:pt>
                <c:pt idx="234">
                  <c:v>45329</c:v>
                </c:pt>
                <c:pt idx="235">
                  <c:v>45337</c:v>
                </c:pt>
                <c:pt idx="236">
                  <c:v>45338</c:v>
                </c:pt>
                <c:pt idx="237">
                  <c:v>45341</c:v>
                </c:pt>
                <c:pt idx="238">
                  <c:v>45342</c:v>
                </c:pt>
                <c:pt idx="239">
                  <c:v>45343</c:v>
                </c:pt>
                <c:pt idx="240">
                  <c:v>45344</c:v>
                </c:pt>
                <c:pt idx="241">
                  <c:v>45345</c:v>
                </c:pt>
                <c:pt idx="242">
                  <c:v>45348</c:v>
                </c:pt>
                <c:pt idx="243">
                  <c:v>45349</c:v>
                </c:pt>
                <c:pt idx="244">
                  <c:v>45350</c:v>
                </c:pt>
                <c:pt idx="245">
                  <c:v>45351</c:v>
                </c:pt>
                <c:pt idx="246">
                  <c:v>45352</c:v>
                </c:pt>
                <c:pt idx="247">
                  <c:v>45355</c:v>
                </c:pt>
                <c:pt idx="248">
                  <c:v>45356</c:v>
                </c:pt>
                <c:pt idx="249">
                  <c:v>45357</c:v>
                </c:pt>
                <c:pt idx="250">
                  <c:v>45358</c:v>
                </c:pt>
                <c:pt idx="251">
                  <c:v>45359</c:v>
                </c:pt>
                <c:pt idx="252">
                  <c:v>45362</c:v>
                </c:pt>
                <c:pt idx="253">
                  <c:v>45363</c:v>
                </c:pt>
                <c:pt idx="254">
                  <c:v>45364</c:v>
                </c:pt>
                <c:pt idx="255">
                  <c:v>45365</c:v>
                </c:pt>
                <c:pt idx="256">
                  <c:v>45366</c:v>
                </c:pt>
                <c:pt idx="257">
                  <c:v>45369</c:v>
                </c:pt>
                <c:pt idx="258">
                  <c:v>45370</c:v>
                </c:pt>
                <c:pt idx="259">
                  <c:v>45371</c:v>
                </c:pt>
                <c:pt idx="260">
                  <c:v>45372</c:v>
                </c:pt>
                <c:pt idx="261">
                  <c:v>45373</c:v>
                </c:pt>
                <c:pt idx="262">
                  <c:v>45376</c:v>
                </c:pt>
                <c:pt idx="263">
                  <c:v>45377</c:v>
                </c:pt>
                <c:pt idx="264">
                  <c:v>45378</c:v>
                </c:pt>
                <c:pt idx="265">
                  <c:v>45379</c:v>
                </c:pt>
                <c:pt idx="266">
                  <c:v>45380</c:v>
                </c:pt>
                <c:pt idx="267">
                  <c:v>45383</c:v>
                </c:pt>
                <c:pt idx="268">
                  <c:v>45384</c:v>
                </c:pt>
                <c:pt idx="269">
                  <c:v>45385</c:v>
                </c:pt>
                <c:pt idx="270">
                  <c:v>45386</c:v>
                </c:pt>
                <c:pt idx="271">
                  <c:v>45387</c:v>
                </c:pt>
                <c:pt idx="272">
                  <c:v>45390</c:v>
                </c:pt>
                <c:pt idx="273">
                  <c:v>45391</c:v>
                </c:pt>
                <c:pt idx="274">
                  <c:v>45392</c:v>
                </c:pt>
                <c:pt idx="275">
                  <c:v>45393</c:v>
                </c:pt>
                <c:pt idx="276">
                  <c:v>45394</c:v>
                </c:pt>
                <c:pt idx="277">
                  <c:v>45397</c:v>
                </c:pt>
                <c:pt idx="278">
                  <c:v>45398</c:v>
                </c:pt>
                <c:pt idx="279">
                  <c:v>45399</c:v>
                </c:pt>
                <c:pt idx="280">
                  <c:v>45401</c:v>
                </c:pt>
                <c:pt idx="281">
                  <c:v>45404</c:v>
                </c:pt>
                <c:pt idx="282">
                  <c:v>45405</c:v>
                </c:pt>
                <c:pt idx="283">
                  <c:v>45406</c:v>
                </c:pt>
                <c:pt idx="284">
                  <c:v>45407</c:v>
                </c:pt>
                <c:pt idx="285">
                  <c:v>45408</c:v>
                </c:pt>
                <c:pt idx="286">
                  <c:v>45414</c:v>
                </c:pt>
                <c:pt idx="287">
                  <c:v>45415</c:v>
                </c:pt>
                <c:pt idx="288">
                  <c:v>45418</c:v>
                </c:pt>
                <c:pt idx="289">
                  <c:v>45419</c:v>
                </c:pt>
                <c:pt idx="290">
                  <c:v>45420</c:v>
                </c:pt>
                <c:pt idx="291">
                  <c:v>45421</c:v>
                </c:pt>
                <c:pt idx="292">
                  <c:v>45422</c:v>
                </c:pt>
                <c:pt idx="293">
                  <c:v>45425</c:v>
                </c:pt>
                <c:pt idx="294">
                  <c:v>45426</c:v>
                </c:pt>
                <c:pt idx="295">
                  <c:v>45427</c:v>
                </c:pt>
                <c:pt idx="296">
                  <c:v>45428</c:v>
                </c:pt>
                <c:pt idx="297">
                  <c:v>45429</c:v>
                </c:pt>
                <c:pt idx="298">
                  <c:v>45432</c:v>
                </c:pt>
                <c:pt idx="299">
                  <c:v>45433</c:v>
                </c:pt>
                <c:pt idx="300">
                  <c:v>45434</c:v>
                </c:pt>
                <c:pt idx="301">
                  <c:v>45435</c:v>
                </c:pt>
                <c:pt idx="302">
                  <c:v>45436</c:v>
                </c:pt>
                <c:pt idx="303">
                  <c:v>45439</c:v>
                </c:pt>
                <c:pt idx="304">
                  <c:v>45440</c:v>
                </c:pt>
                <c:pt idx="305">
                  <c:v>45441</c:v>
                </c:pt>
                <c:pt idx="306">
                  <c:v>45442</c:v>
                </c:pt>
                <c:pt idx="307">
                  <c:v>45443</c:v>
                </c:pt>
                <c:pt idx="308">
                  <c:v>45446</c:v>
                </c:pt>
                <c:pt idx="309">
                  <c:v>45447</c:v>
                </c:pt>
                <c:pt idx="310">
                  <c:v>45448</c:v>
                </c:pt>
                <c:pt idx="311">
                  <c:v>45449</c:v>
                </c:pt>
                <c:pt idx="312">
                  <c:v>45450</c:v>
                </c:pt>
                <c:pt idx="313">
                  <c:v>45453</c:v>
                </c:pt>
                <c:pt idx="314">
                  <c:v>45454</c:v>
                </c:pt>
                <c:pt idx="315">
                  <c:v>45455</c:v>
                </c:pt>
                <c:pt idx="316">
                  <c:v>45456</c:v>
                </c:pt>
                <c:pt idx="317">
                  <c:v>45457</c:v>
                </c:pt>
                <c:pt idx="318">
                  <c:v>45460</c:v>
                </c:pt>
                <c:pt idx="319">
                  <c:v>45461</c:v>
                </c:pt>
                <c:pt idx="320">
                  <c:v>45462</c:v>
                </c:pt>
                <c:pt idx="321">
                  <c:v>45463</c:v>
                </c:pt>
                <c:pt idx="322">
                  <c:v>45464</c:v>
                </c:pt>
                <c:pt idx="323">
                  <c:v>45467</c:v>
                </c:pt>
                <c:pt idx="324">
                  <c:v>45468</c:v>
                </c:pt>
                <c:pt idx="325">
                  <c:v>45469</c:v>
                </c:pt>
                <c:pt idx="326">
                  <c:v>45470</c:v>
                </c:pt>
                <c:pt idx="327">
                  <c:v>45471</c:v>
                </c:pt>
                <c:pt idx="328">
                  <c:v>45474</c:v>
                </c:pt>
                <c:pt idx="329">
                  <c:v>45475</c:v>
                </c:pt>
                <c:pt idx="330">
                  <c:v>45476</c:v>
                </c:pt>
                <c:pt idx="331">
                  <c:v>45477</c:v>
                </c:pt>
                <c:pt idx="332">
                  <c:v>45478</c:v>
                </c:pt>
                <c:pt idx="333">
                  <c:v>45481</c:v>
                </c:pt>
                <c:pt idx="334">
                  <c:v>45482</c:v>
                </c:pt>
                <c:pt idx="335">
                  <c:v>45483</c:v>
                </c:pt>
                <c:pt idx="336">
                  <c:v>45484</c:v>
                </c:pt>
                <c:pt idx="337">
                  <c:v>45485</c:v>
                </c:pt>
                <c:pt idx="338">
                  <c:v>45488</c:v>
                </c:pt>
                <c:pt idx="339">
                  <c:v>45489</c:v>
                </c:pt>
                <c:pt idx="340">
                  <c:v>45490</c:v>
                </c:pt>
                <c:pt idx="341">
                  <c:v>45491</c:v>
                </c:pt>
                <c:pt idx="342">
                  <c:v>45492</c:v>
                </c:pt>
                <c:pt idx="343">
                  <c:v>45495</c:v>
                </c:pt>
                <c:pt idx="344">
                  <c:v>45496</c:v>
                </c:pt>
                <c:pt idx="345">
                  <c:v>45497</c:v>
                </c:pt>
                <c:pt idx="346">
                  <c:v>45498</c:v>
                </c:pt>
                <c:pt idx="347">
                  <c:v>45499</c:v>
                </c:pt>
                <c:pt idx="348">
                  <c:v>45502</c:v>
                </c:pt>
                <c:pt idx="349">
                  <c:v>45503</c:v>
                </c:pt>
                <c:pt idx="350">
                  <c:v>45504</c:v>
                </c:pt>
                <c:pt idx="351">
                  <c:v>45505</c:v>
                </c:pt>
                <c:pt idx="352">
                  <c:v>45506</c:v>
                </c:pt>
                <c:pt idx="353">
                  <c:v>45509</c:v>
                </c:pt>
                <c:pt idx="354">
                  <c:v>45510</c:v>
                </c:pt>
                <c:pt idx="355">
                  <c:v>45511</c:v>
                </c:pt>
                <c:pt idx="356">
                  <c:v>45512</c:v>
                </c:pt>
                <c:pt idx="357">
                  <c:v>45513</c:v>
                </c:pt>
                <c:pt idx="358">
                  <c:v>45516</c:v>
                </c:pt>
                <c:pt idx="359">
                  <c:v>45517</c:v>
                </c:pt>
                <c:pt idx="360">
                  <c:v>45518</c:v>
                </c:pt>
                <c:pt idx="361">
                  <c:v>45519</c:v>
                </c:pt>
                <c:pt idx="362">
                  <c:v>45520</c:v>
                </c:pt>
                <c:pt idx="363">
                  <c:v>45523</c:v>
                </c:pt>
                <c:pt idx="364">
                  <c:v>45524</c:v>
                </c:pt>
                <c:pt idx="365">
                  <c:v>45525</c:v>
                </c:pt>
                <c:pt idx="366">
                  <c:v>45526</c:v>
                </c:pt>
                <c:pt idx="367">
                  <c:v>45527</c:v>
                </c:pt>
                <c:pt idx="368">
                  <c:v>45530</c:v>
                </c:pt>
                <c:pt idx="369">
                  <c:v>45531</c:v>
                </c:pt>
                <c:pt idx="370">
                  <c:v>45532</c:v>
                </c:pt>
                <c:pt idx="371">
                  <c:v>45533</c:v>
                </c:pt>
                <c:pt idx="372">
                  <c:v>45534</c:v>
                </c:pt>
                <c:pt idx="373">
                  <c:v>45539</c:v>
                </c:pt>
                <c:pt idx="374">
                  <c:v>45540</c:v>
                </c:pt>
                <c:pt idx="375">
                  <c:v>45541</c:v>
                </c:pt>
                <c:pt idx="376">
                  <c:v>45544</c:v>
                </c:pt>
                <c:pt idx="377">
                  <c:v>45545</c:v>
                </c:pt>
                <c:pt idx="378">
                  <c:v>45546</c:v>
                </c:pt>
                <c:pt idx="379">
                  <c:v>45547</c:v>
                </c:pt>
                <c:pt idx="380">
                  <c:v>45548</c:v>
                </c:pt>
                <c:pt idx="381">
                  <c:v>45551</c:v>
                </c:pt>
                <c:pt idx="382">
                  <c:v>45552</c:v>
                </c:pt>
                <c:pt idx="383">
                  <c:v>45553</c:v>
                </c:pt>
                <c:pt idx="384">
                  <c:v>45554</c:v>
                </c:pt>
                <c:pt idx="385">
                  <c:v>45555</c:v>
                </c:pt>
                <c:pt idx="386">
                  <c:v>45558</c:v>
                </c:pt>
                <c:pt idx="387">
                  <c:v>45559</c:v>
                </c:pt>
                <c:pt idx="388">
                  <c:v>45560</c:v>
                </c:pt>
                <c:pt idx="389">
                  <c:v>45561</c:v>
                </c:pt>
                <c:pt idx="390">
                  <c:v>45562</c:v>
                </c:pt>
                <c:pt idx="391">
                  <c:v>45565</c:v>
                </c:pt>
                <c:pt idx="392">
                  <c:v>45566</c:v>
                </c:pt>
                <c:pt idx="393">
                  <c:v>45567</c:v>
                </c:pt>
                <c:pt idx="394">
                  <c:v>45568</c:v>
                </c:pt>
                <c:pt idx="395">
                  <c:v>45569</c:v>
                </c:pt>
                <c:pt idx="396">
                  <c:v>45572</c:v>
                </c:pt>
                <c:pt idx="397">
                  <c:v>45573</c:v>
                </c:pt>
                <c:pt idx="398">
                  <c:v>45574</c:v>
                </c:pt>
                <c:pt idx="399">
                  <c:v>45575</c:v>
                </c:pt>
                <c:pt idx="400">
                  <c:v>45576</c:v>
                </c:pt>
                <c:pt idx="401">
                  <c:v>45579</c:v>
                </c:pt>
                <c:pt idx="402">
                  <c:v>45580</c:v>
                </c:pt>
                <c:pt idx="403">
                  <c:v>45581</c:v>
                </c:pt>
                <c:pt idx="404">
                  <c:v>45582</c:v>
                </c:pt>
                <c:pt idx="405">
                  <c:v>45583</c:v>
                </c:pt>
                <c:pt idx="406">
                  <c:v>45586</c:v>
                </c:pt>
                <c:pt idx="407">
                  <c:v>45587</c:v>
                </c:pt>
                <c:pt idx="408">
                  <c:v>45588</c:v>
                </c:pt>
                <c:pt idx="409">
                  <c:v>45589</c:v>
                </c:pt>
                <c:pt idx="410">
                  <c:v>45590</c:v>
                </c:pt>
                <c:pt idx="411">
                  <c:v>45593</c:v>
                </c:pt>
                <c:pt idx="412">
                  <c:v>45594</c:v>
                </c:pt>
                <c:pt idx="413">
                  <c:v>45595</c:v>
                </c:pt>
                <c:pt idx="414">
                  <c:v>45596</c:v>
                </c:pt>
                <c:pt idx="415">
                  <c:v>45597</c:v>
                </c:pt>
                <c:pt idx="416">
                  <c:v>45600</c:v>
                </c:pt>
                <c:pt idx="417">
                  <c:v>45601</c:v>
                </c:pt>
                <c:pt idx="418">
                  <c:v>45602</c:v>
                </c:pt>
                <c:pt idx="419">
                  <c:v>45603</c:v>
                </c:pt>
                <c:pt idx="420">
                  <c:v>45604</c:v>
                </c:pt>
                <c:pt idx="421">
                  <c:v>45607</c:v>
                </c:pt>
                <c:pt idx="422">
                  <c:v>45608</c:v>
                </c:pt>
                <c:pt idx="423">
                  <c:v>45609</c:v>
                </c:pt>
                <c:pt idx="424">
                  <c:v>45610</c:v>
                </c:pt>
                <c:pt idx="425">
                  <c:v>45611</c:v>
                </c:pt>
                <c:pt idx="426">
                  <c:v>45614</c:v>
                </c:pt>
                <c:pt idx="427">
                  <c:v>45615</c:v>
                </c:pt>
                <c:pt idx="428">
                  <c:v>45616</c:v>
                </c:pt>
                <c:pt idx="429">
                  <c:v>45617</c:v>
                </c:pt>
                <c:pt idx="430">
                  <c:v>45618</c:v>
                </c:pt>
                <c:pt idx="431">
                  <c:v>45621</c:v>
                </c:pt>
                <c:pt idx="432">
                  <c:v>45622</c:v>
                </c:pt>
                <c:pt idx="433">
                  <c:v>45623</c:v>
                </c:pt>
                <c:pt idx="434">
                  <c:v>45624</c:v>
                </c:pt>
                <c:pt idx="435">
                  <c:v>45625</c:v>
                </c:pt>
                <c:pt idx="436">
                  <c:v>45628</c:v>
                </c:pt>
                <c:pt idx="437">
                  <c:v>45629</c:v>
                </c:pt>
                <c:pt idx="438">
                  <c:v>45630</c:v>
                </c:pt>
                <c:pt idx="439">
                  <c:v>45631</c:v>
                </c:pt>
                <c:pt idx="440">
                  <c:v>45632</c:v>
                </c:pt>
                <c:pt idx="441">
                  <c:v>45635</c:v>
                </c:pt>
                <c:pt idx="442">
                  <c:v>45636</c:v>
                </c:pt>
                <c:pt idx="443">
                  <c:v>45637</c:v>
                </c:pt>
                <c:pt idx="444">
                  <c:v>45638</c:v>
                </c:pt>
                <c:pt idx="445">
                  <c:v>45639</c:v>
                </c:pt>
                <c:pt idx="446">
                  <c:v>45642</c:v>
                </c:pt>
                <c:pt idx="447">
                  <c:v>45643</c:v>
                </c:pt>
                <c:pt idx="448">
                  <c:v>45644</c:v>
                </c:pt>
                <c:pt idx="449">
                  <c:v>45645</c:v>
                </c:pt>
                <c:pt idx="450">
                  <c:v>45646</c:v>
                </c:pt>
                <c:pt idx="451">
                  <c:v>45649</c:v>
                </c:pt>
                <c:pt idx="452">
                  <c:v>45650</c:v>
                </c:pt>
                <c:pt idx="453">
                  <c:v>45651</c:v>
                </c:pt>
                <c:pt idx="454">
                  <c:v>45652</c:v>
                </c:pt>
                <c:pt idx="455">
                  <c:v>45653</c:v>
                </c:pt>
                <c:pt idx="456">
                  <c:v>45656</c:v>
                </c:pt>
                <c:pt idx="457">
                  <c:v>45657</c:v>
                </c:pt>
                <c:pt idx="458">
                  <c:v>45659</c:v>
                </c:pt>
                <c:pt idx="459">
                  <c:v>45660</c:v>
                </c:pt>
                <c:pt idx="460">
                  <c:v>45663</c:v>
                </c:pt>
                <c:pt idx="461">
                  <c:v>45664</c:v>
                </c:pt>
                <c:pt idx="462">
                  <c:v>45665</c:v>
                </c:pt>
                <c:pt idx="463">
                  <c:v>45666</c:v>
                </c:pt>
                <c:pt idx="464">
                  <c:v>45667</c:v>
                </c:pt>
                <c:pt idx="465">
                  <c:v>45670</c:v>
                </c:pt>
                <c:pt idx="466">
                  <c:v>45671</c:v>
                </c:pt>
                <c:pt idx="467">
                  <c:v>45672</c:v>
                </c:pt>
                <c:pt idx="468">
                  <c:v>45673</c:v>
                </c:pt>
                <c:pt idx="469">
                  <c:v>45674</c:v>
                </c:pt>
                <c:pt idx="470">
                  <c:v>45677</c:v>
                </c:pt>
                <c:pt idx="471">
                  <c:v>45678</c:v>
                </c:pt>
                <c:pt idx="472">
                  <c:v>45679</c:v>
                </c:pt>
                <c:pt idx="473">
                  <c:v>45680</c:v>
                </c:pt>
                <c:pt idx="474">
                  <c:v>45681</c:v>
                </c:pt>
                <c:pt idx="475">
                  <c:v>45691</c:v>
                </c:pt>
                <c:pt idx="476">
                  <c:v>45692</c:v>
                </c:pt>
                <c:pt idx="477">
                  <c:v>45693</c:v>
                </c:pt>
                <c:pt idx="478">
                  <c:v>45694</c:v>
                </c:pt>
                <c:pt idx="479">
                  <c:v>45695</c:v>
                </c:pt>
                <c:pt idx="480">
                  <c:v>45698</c:v>
                </c:pt>
                <c:pt idx="481">
                  <c:v>45699</c:v>
                </c:pt>
                <c:pt idx="482">
                  <c:v>45700</c:v>
                </c:pt>
                <c:pt idx="483">
                  <c:v>45701</c:v>
                </c:pt>
                <c:pt idx="484">
                  <c:v>45702</c:v>
                </c:pt>
                <c:pt idx="485">
                  <c:v>45705</c:v>
                </c:pt>
                <c:pt idx="486">
                  <c:v>45706</c:v>
                </c:pt>
                <c:pt idx="487">
                  <c:v>45707</c:v>
                </c:pt>
                <c:pt idx="488">
                  <c:v>45708</c:v>
                </c:pt>
                <c:pt idx="489">
                  <c:v>45709</c:v>
                </c:pt>
                <c:pt idx="490">
                  <c:v>45712</c:v>
                </c:pt>
                <c:pt idx="491">
                  <c:v>45713</c:v>
                </c:pt>
                <c:pt idx="492">
                  <c:v>45714</c:v>
                </c:pt>
                <c:pt idx="493">
                  <c:v>45715</c:v>
                </c:pt>
                <c:pt idx="494">
                  <c:v>45716</c:v>
                </c:pt>
                <c:pt idx="495">
                  <c:v>45719</c:v>
                </c:pt>
                <c:pt idx="496">
                  <c:v>45720</c:v>
                </c:pt>
                <c:pt idx="497">
                  <c:v>45721</c:v>
                </c:pt>
                <c:pt idx="498">
                  <c:v>45722</c:v>
                </c:pt>
                <c:pt idx="499">
                  <c:v>45723</c:v>
                </c:pt>
                <c:pt idx="500">
                  <c:v>45726</c:v>
                </c:pt>
                <c:pt idx="501">
                  <c:v>45727</c:v>
                </c:pt>
                <c:pt idx="502">
                  <c:v>45728</c:v>
                </c:pt>
                <c:pt idx="503">
                  <c:v>45729</c:v>
                </c:pt>
                <c:pt idx="504">
                  <c:v>45730</c:v>
                </c:pt>
                <c:pt idx="505">
                  <c:v>45733</c:v>
                </c:pt>
                <c:pt idx="506">
                  <c:v>45734</c:v>
                </c:pt>
                <c:pt idx="507">
                  <c:v>45735</c:v>
                </c:pt>
                <c:pt idx="508">
                  <c:v>45736</c:v>
                </c:pt>
                <c:pt idx="509">
                  <c:v>45737</c:v>
                </c:pt>
                <c:pt idx="510">
                  <c:v>45740</c:v>
                </c:pt>
                <c:pt idx="511">
                  <c:v>45741</c:v>
                </c:pt>
                <c:pt idx="512">
                  <c:v>45742</c:v>
                </c:pt>
                <c:pt idx="513">
                  <c:v>45743</c:v>
                </c:pt>
                <c:pt idx="514">
                  <c:v>45744</c:v>
                </c:pt>
                <c:pt idx="515">
                  <c:v>45747</c:v>
                </c:pt>
                <c:pt idx="516">
                  <c:v>45748</c:v>
                </c:pt>
                <c:pt idx="517">
                  <c:v>45749</c:v>
                </c:pt>
                <c:pt idx="518">
                  <c:v>45750</c:v>
                </c:pt>
                <c:pt idx="519">
                  <c:v>45751</c:v>
                </c:pt>
                <c:pt idx="520">
                  <c:v>45755</c:v>
                </c:pt>
                <c:pt idx="521">
                  <c:v>45756</c:v>
                </c:pt>
                <c:pt idx="522">
                  <c:v>45757</c:v>
                </c:pt>
                <c:pt idx="523">
                  <c:v>45758</c:v>
                </c:pt>
                <c:pt idx="524">
                  <c:v>45761</c:v>
                </c:pt>
                <c:pt idx="525">
                  <c:v>45762</c:v>
                </c:pt>
                <c:pt idx="526">
                  <c:v>45763</c:v>
                </c:pt>
                <c:pt idx="527">
                  <c:v>45764</c:v>
                </c:pt>
                <c:pt idx="528">
                  <c:v>45765</c:v>
                </c:pt>
                <c:pt idx="529">
                  <c:v>45768</c:v>
                </c:pt>
                <c:pt idx="530">
                  <c:v>45769</c:v>
                </c:pt>
                <c:pt idx="531">
                  <c:v>45770</c:v>
                </c:pt>
                <c:pt idx="532">
                  <c:v>45771</c:v>
                </c:pt>
                <c:pt idx="533">
                  <c:v>45772</c:v>
                </c:pt>
                <c:pt idx="534">
                  <c:v>45775</c:v>
                </c:pt>
                <c:pt idx="535">
                  <c:v>45776</c:v>
                </c:pt>
                <c:pt idx="536">
                  <c:v>45782</c:v>
                </c:pt>
                <c:pt idx="537">
                  <c:v>45783</c:v>
                </c:pt>
                <c:pt idx="538">
                  <c:v>45784</c:v>
                </c:pt>
                <c:pt idx="539">
                  <c:v>45785</c:v>
                </c:pt>
                <c:pt idx="540">
                  <c:v>45786</c:v>
                </c:pt>
                <c:pt idx="541">
                  <c:v>45789</c:v>
                </c:pt>
                <c:pt idx="542">
                  <c:v>45790</c:v>
                </c:pt>
                <c:pt idx="543">
                  <c:v>45791</c:v>
                </c:pt>
                <c:pt idx="544">
                  <c:v>45792</c:v>
                </c:pt>
                <c:pt idx="545">
                  <c:v>45793</c:v>
                </c:pt>
                <c:pt idx="546">
                  <c:v>45796</c:v>
                </c:pt>
                <c:pt idx="547">
                  <c:v>45797</c:v>
                </c:pt>
                <c:pt idx="548">
                  <c:v>45798</c:v>
                </c:pt>
                <c:pt idx="549">
                  <c:v>45799</c:v>
                </c:pt>
                <c:pt idx="550">
                  <c:v>45800</c:v>
                </c:pt>
                <c:pt idx="551">
                  <c:v>45803</c:v>
                </c:pt>
                <c:pt idx="552">
                  <c:v>45804</c:v>
                </c:pt>
                <c:pt idx="553">
                  <c:v>45805</c:v>
                </c:pt>
                <c:pt idx="554">
                  <c:v>45806</c:v>
                </c:pt>
                <c:pt idx="555">
                  <c:v>45807</c:v>
                </c:pt>
                <c:pt idx="556">
                  <c:v>45810</c:v>
                </c:pt>
                <c:pt idx="557">
                  <c:v>45811</c:v>
                </c:pt>
                <c:pt idx="558">
                  <c:v>45812</c:v>
                </c:pt>
                <c:pt idx="559">
                  <c:v>45813</c:v>
                </c:pt>
                <c:pt idx="560">
                  <c:v>45814</c:v>
                </c:pt>
                <c:pt idx="561">
                  <c:v>45817</c:v>
                </c:pt>
                <c:pt idx="562">
                  <c:v>45818</c:v>
                </c:pt>
                <c:pt idx="563">
                  <c:v>45819</c:v>
                </c:pt>
                <c:pt idx="564">
                  <c:v>45820</c:v>
                </c:pt>
                <c:pt idx="565">
                  <c:v>45821</c:v>
                </c:pt>
                <c:pt idx="566">
                  <c:v>45824</c:v>
                </c:pt>
                <c:pt idx="567">
                  <c:v>45825</c:v>
                </c:pt>
                <c:pt idx="568">
                  <c:v>45826</c:v>
                </c:pt>
                <c:pt idx="569">
                  <c:v>45827</c:v>
                </c:pt>
                <c:pt idx="570">
                  <c:v>45828</c:v>
                </c:pt>
                <c:pt idx="571">
                  <c:v>45831</c:v>
                </c:pt>
                <c:pt idx="572">
                  <c:v>45832</c:v>
                </c:pt>
                <c:pt idx="573">
                  <c:v>45833</c:v>
                </c:pt>
                <c:pt idx="574">
                  <c:v>45834</c:v>
                </c:pt>
                <c:pt idx="575">
                  <c:v>45835</c:v>
                </c:pt>
                <c:pt idx="576">
                  <c:v>45838</c:v>
                </c:pt>
                <c:pt idx="577">
                  <c:v>45839</c:v>
                </c:pt>
                <c:pt idx="578">
                  <c:v>45840</c:v>
                </c:pt>
                <c:pt idx="579">
                  <c:v>45841</c:v>
                </c:pt>
                <c:pt idx="580">
                  <c:v>45842</c:v>
                </c:pt>
                <c:pt idx="581">
                  <c:v>45845</c:v>
                </c:pt>
                <c:pt idx="582">
                  <c:v>45846</c:v>
                </c:pt>
                <c:pt idx="583">
                  <c:v>45847</c:v>
                </c:pt>
                <c:pt idx="584">
                  <c:v>45848</c:v>
                </c:pt>
                <c:pt idx="585">
                  <c:v>45849</c:v>
                </c:pt>
                <c:pt idx="586">
                  <c:v>45852</c:v>
                </c:pt>
                <c:pt idx="587">
                  <c:v>45853</c:v>
                </c:pt>
                <c:pt idx="588">
                  <c:v>45854</c:v>
                </c:pt>
                <c:pt idx="589">
                  <c:v>45855</c:v>
                </c:pt>
                <c:pt idx="590">
                  <c:v>45856</c:v>
                </c:pt>
                <c:pt idx="591">
                  <c:v>45859</c:v>
                </c:pt>
                <c:pt idx="592">
                  <c:v>45860</c:v>
                </c:pt>
                <c:pt idx="593">
                  <c:v>45861</c:v>
                </c:pt>
                <c:pt idx="594">
                  <c:v>45862</c:v>
                </c:pt>
                <c:pt idx="595">
                  <c:v>45863</c:v>
                </c:pt>
                <c:pt idx="596">
                  <c:v>45866</c:v>
                </c:pt>
                <c:pt idx="597">
                  <c:v>45867</c:v>
                </c:pt>
                <c:pt idx="598">
                  <c:v>45868</c:v>
                </c:pt>
                <c:pt idx="599">
                  <c:v>45869</c:v>
                </c:pt>
                <c:pt idx="600">
                  <c:v>45870</c:v>
                </c:pt>
                <c:pt idx="601">
                  <c:v>45873</c:v>
                </c:pt>
                <c:pt idx="602">
                  <c:v>45874</c:v>
                </c:pt>
                <c:pt idx="603">
                  <c:v>45875</c:v>
                </c:pt>
                <c:pt idx="604">
                  <c:v>45876</c:v>
                </c:pt>
                <c:pt idx="605">
                  <c:v>45877</c:v>
                </c:pt>
                <c:pt idx="606">
                  <c:v>45880</c:v>
                </c:pt>
                <c:pt idx="607">
                  <c:v>45881</c:v>
                </c:pt>
                <c:pt idx="608">
                  <c:v>45882</c:v>
                </c:pt>
                <c:pt idx="609">
                  <c:v>45883</c:v>
                </c:pt>
                <c:pt idx="610">
                  <c:v>45884</c:v>
                </c:pt>
                <c:pt idx="611">
                  <c:v>45887</c:v>
                </c:pt>
                <c:pt idx="612">
                  <c:v>45888</c:v>
                </c:pt>
                <c:pt idx="613">
                  <c:v>45889</c:v>
                </c:pt>
                <c:pt idx="614">
                  <c:v>45890</c:v>
                </c:pt>
                <c:pt idx="615">
                  <c:v>45891</c:v>
                </c:pt>
                <c:pt idx="616">
                  <c:v>45894</c:v>
                </c:pt>
                <c:pt idx="617">
                  <c:v>45895</c:v>
                </c:pt>
                <c:pt idx="618">
                  <c:v>45896</c:v>
                </c:pt>
                <c:pt idx="619">
                  <c:v>45897</c:v>
                </c:pt>
                <c:pt idx="620">
                  <c:v>45898</c:v>
                </c:pt>
                <c:pt idx="621">
                  <c:v>45903</c:v>
                </c:pt>
                <c:pt idx="622">
                  <c:v>45904</c:v>
                </c:pt>
                <c:pt idx="623">
                  <c:v>45905</c:v>
                </c:pt>
                <c:pt idx="624">
                  <c:v>45908</c:v>
                </c:pt>
                <c:pt idx="625">
                  <c:v>45909</c:v>
                </c:pt>
                <c:pt idx="626">
                  <c:v>45910</c:v>
                </c:pt>
                <c:pt idx="627">
                  <c:v>45911</c:v>
                </c:pt>
                <c:pt idx="628">
                  <c:v>45912</c:v>
                </c:pt>
                <c:pt idx="629">
                  <c:v>45915</c:v>
                </c:pt>
                <c:pt idx="630">
                  <c:v>45916</c:v>
                </c:pt>
                <c:pt idx="631">
                  <c:v>45917</c:v>
                </c:pt>
                <c:pt idx="632">
                  <c:v>45918</c:v>
                </c:pt>
                <c:pt idx="633">
                  <c:v>45919</c:v>
                </c:pt>
                <c:pt idx="634">
                  <c:v>45922</c:v>
                </c:pt>
                <c:pt idx="635">
                  <c:v>45923</c:v>
                </c:pt>
                <c:pt idx="636">
                  <c:v>45924</c:v>
                </c:pt>
                <c:pt idx="637">
                  <c:v>45925</c:v>
                </c:pt>
                <c:pt idx="638">
                  <c:v>45926</c:v>
                </c:pt>
                <c:pt idx="639">
                  <c:v>45929</c:v>
                </c:pt>
                <c:pt idx="640">
                  <c:v>45930</c:v>
                </c:pt>
                <c:pt idx="641">
                  <c:v>45931</c:v>
                </c:pt>
                <c:pt idx="642">
                  <c:v>45932</c:v>
                </c:pt>
                <c:pt idx="643">
                  <c:v>45933</c:v>
                </c:pt>
                <c:pt idx="644">
                  <c:v>45936</c:v>
                </c:pt>
                <c:pt idx="645">
                  <c:v>45937</c:v>
                </c:pt>
                <c:pt idx="646">
                  <c:v>45938</c:v>
                </c:pt>
                <c:pt idx="647">
                  <c:v>45939</c:v>
                </c:pt>
                <c:pt idx="648">
                  <c:v>45940</c:v>
                </c:pt>
                <c:pt idx="649">
                  <c:v>45943</c:v>
                </c:pt>
                <c:pt idx="650">
                  <c:v>45944</c:v>
                </c:pt>
                <c:pt idx="651">
                  <c:v>45945</c:v>
                </c:pt>
                <c:pt idx="652">
                  <c:v>45946</c:v>
                </c:pt>
                <c:pt idx="653">
                  <c:v>45947</c:v>
                </c:pt>
                <c:pt idx="654">
                  <c:v>45950</c:v>
                </c:pt>
                <c:pt idx="655">
                  <c:v>45951</c:v>
                </c:pt>
                <c:pt idx="656">
                  <c:v>45952</c:v>
                </c:pt>
                <c:pt idx="657">
                  <c:v>45953</c:v>
                </c:pt>
                <c:pt idx="658">
                  <c:v>45954</c:v>
                </c:pt>
                <c:pt idx="659">
                  <c:v>45957</c:v>
                </c:pt>
                <c:pt idx="660">
                  <c:v>45958</c:v>
                </c:pt>
                <c:pt idx="661">
                  <c:v>45959</c:v>
                </c:pt>
                <c:pt idx="662">
                  <c:v>45960</c:v>
                </c:pt>
                <c:pt idx="663">
                  <c:v>45961</c:v>
                </c:pt>
                <c:pt idx="664">
                  <c:v>45964</c:v>
                </c:pt>
                <c:pt idx="665">
                  <c:v>45965</c:v>
                </c:pt>
                <c:pt idx="666">
                  <c:v>45966</c:v>
                </c:pt>
                <c:pt idx="667">
                  <c:v>45967</c:v>
                </c:pt>
                <c:pt idx="668">
                  <c:v>45968</c:v>
                </c:pt>
                <c:pt idx="669">
                  <c:v>45971</c:v>
                </c:pt>
                <c:pt idx="670">
                  <c:v>45972</c:v>
                </c:pt>
                <c:pt idx="671">
                  <c:v>45973</c:v>
                </c:pt>
                <c:pt idx="672">
                  <c:v>45974</c:v>
                </c:pt>
                <c:pt idx="673">
                  <c:v>45975</c:v>
                </c:pt>
                <c:pt idx="674">
                  <c:v>45978</c:v>
                </c:pt>
                <c:pt idx="675">
                  <c:v>45979</c:v>
                </c:pt>
                <c:pt idx="676">
                  <c:v>45980</c:v>
                </c:pt>
                <c:pt idx="677">
                  <c:v>45981</c:v>
                </c:pt>
                <c:pt idx="678">
                  <c:v>45982</c:v>
                </c:pt>
                <c:pt idx="679">
                  <c:v>45985</c:v>
                </c:pt>
                <c:pt idx="680">
                  <c:v>45986</c:v>
                </c:pt>
                <c:pt idx="681">
                  <c:v>45987</c:v>
                </c:pt>
                <c:pt idx="682">
                  <c:v>45988</c:v>
                </c:pt>
                <c:pt idx="683">
                  <c:v>45989</c:v>
                </c:pt>
                <c:pt idx="684">
                  <c:v>45992</c:v>
                </c:pt>
                <c:pt idx="685">
                  <c:v>45993</c:v>
                </c:pt>
                <c:pt idx="686">
                  <c:v>45994</c:v>
                </c:pt>
                <c:pt idx="687">
                  <c:v>45995</c:v>
                </c:pt>
                <c:pt idx="688">
                  <c:v>45996</c:v>
                </c:pt>
                <c:pt idx="689">
                  <c:v>45999</c:v>
                </c:pt>
                <c:pt idx="690">
                  <c:v>46000</c:v>
                </c:pt>
                <c:pt idx="691">
                  <c:v>46001</c:v>
                </c:pt>
                <c:pt idx="692">
                  <c:v>46002</c:v>
                </c:pt>
                <c:pt idx="693">
                  <c:v>46003</c:v>
                </c:pt>
                <c:pt idx="694">
                  <c:v>46006</c:v>
                </c:pt>
                <c:pt idx="695">
                  <c:v>46007</c:v>
                </c:pt>
                <c:pt idx="696">
                  <c:v>46008</c:v>
                </c:pt>
                <c:pt idx="697">
                  <c:v>46009</c:v>
                </c:pt>
                <c:pt idx="698">
                  <c:v>46010</c:v>
                </c:pt>
                <c:pt idx="699">
                  <c:v>46013</c:v>
                </c:pt>
                <c:pt idx="700">
                  <c:v>46014</c:v>
                </c:pt>
                <c:pt idx="701">
                  <c:v>46015</c:v>
                </c:pt>
                <c:pt idx="702">
                  <c:v>46016</c:v>
                </c:pt>
                <c:pt idx="703">
                  <c:v>46017</c:v>
                </c:pt>
                <c:pt idx="704">
                  <c:v>46020</c:v>
                </c:pt>
                <c:pt idx="705">
                  <c:v>46021</c:v>
                </c:pt>
                <c:pt idx="706">
                  <c:v>46022</c:v>
                </c:pt>
                <c:pt idx="707">
                  <c:v>46027</c:v>
                </c:pt>
                <c:pt idx="708">
                  <c:v>46028</c:v>
                </c:pt>
                <c:pt idx="709">
                  <c:v>46029</c:v>
                </c:pt>
                <c:pt idx="710">
                  <c:v>46030</c:v>
                </c:pt>
                <c:pt idx="711">
                  <c:v>46031</c:v>
                </c:pt>
                <c:pt idx="712">
                  <c:v>46034</c:v>
                </c:pt>
                <c:pt idx="713">
                  <c:v>46035</c:v>
                </c:pt>
                <c:pt idx="714">
                  <c:v>46036</c:v>
                </c:pt>
                <c:pt idx="715">
                  <c:v>46037</c:v>
                </c:pt>
                <c:pt idx="716">
                  <c:v>46038</c:v>
                </c:pt>
                <c:pt idx="717">
                  <c:v>46041</c:v>
                </c:pt>
                <c:pt idx="718">
                  <c:v>46042</c:v>
                </c:pt>
                <c:pt idx="719">
                  <c:v>46043</c:v>
                </c:pt>
                <c:pt idx="720">
                  <c:v>46044</c:v>
                </c:pt>
                <c:pt idx="721">
                  <c:v>46045</c:v>
                </c:pt>
                <c:pt idx="722">
                  <c:v>46048</c:v>
                </c:pt>
                <c:pt idx="723">
                  <c:v>46049</c:v>
                </c:pt>
                <c:pt idx="724">
                  <c:v>46050</c:v>
                </c:pt>
                <c:pt idx="725">
                  <c:v>46051</c:v>
                </c:pt>
                <c:pt idx="726">
                  <c:v>46052</c:v>
                </c:pt>
                <c:pt idx="727">
                  <c:v>46055</c:v>
                </c:pt>
                <c:pt idx="728">
                  <c:v>46056</c:v>
                </c:pt>
                <c:pt idx="729">
                  <c:v>46057</c:v>
                </c:pt>
                <c:pt idx="730">
                  <c:v>46058</c:v>
                </c:pt>
                <c:pt idx="731">
                  <c:v>46059</c:v>
                </c:pt>
                <c:pt idx="732">
                  <c:v>46062</c:v>
                </c:pt>
                <c:pt idx="733">
                  <c:v>46063</c:v>
                </c:pt>
                <c:pt idx="734">
                  <c:v>46064</c:v>
                </c:pt>
                <c:pt idx="735">
                  <c:v>46065</c:v>
                </c:pt>
                <c:pt idx="736">
                  <c:v>46066</c:v>
                </c:pt>
                <c:pt idx="737">
                  <c:v>46076</c:v>
                </c:pt>
                <c:pt idx="738">
                  <c:v>46077</c:v>
                </c:pt>
                <c:pt idx="739">
                  <c:v>46078</c:v>
                </c:pt>
                <c:pt idx="740">
                  <c:v>46079</c:v>
                </c:pt>
                <c:pt idx="741">
                  <c:v>46080</c:v>
                </c:pt>
                <c:pt idx="742">
                  <c:v>46083</c:v>
                </c:pt>
                <c:pt idx="743">
                  <c:v>46084</c:v>
                </c:pt>
                <c:pt idx="744">
                  <c:v>46085</c:v>
                </c:pt>
                <c:pt idx="745">
                  <c:v>46086</c:v>
                </c:pt>
                <c:pt idx="746">
                  <c:v>46087</c:v>
                </c:pt>
                <c:pt idx="747">
                  <c:v>45968</c:v>
                </c:pt>
              </c:numCache>
            </c:numRef>
          </c:cat>
          <c:val>
            <c:numRef>
              <c:f>'FX Data'!$I$1462:$I$2860</c:f>
              <c:numCache>
                <c:formatCode>0.0</c:formatCode>
                <c:ptCount val="1399"/>
                <c:pt idx="0">
                  <c:v>13.423522048155872</c:v>
                </c:pt>
                <c:pt idx="1">
                  <c:v>13.423522048155872</c:v>
                </c:pt>
                <c:pt idx="2">
                  <c:v>13.423522048155872</c:v>
                </c:pt>
                <c:pt idx="3">
                  <c:v>13.423522048155872</c:v>
                </c:pt>
                <c:pt idx="4">
                  <c:v>13.423522048155872</c:v>
                </c:pt>
                <c:pt idx="5">
                  <c:v>13.423522048155872</c:v>
                </c:pt>
                <c:pt idx="6">
                  <c:v>13.423522048155872</c:v>
                </c:pt>
                <c:pt idx="7">
                  <c:v>13.423522048155872</c:v>
                </c:pt>
                <c:pt idx="8">
                  <c:v>13.423522048155872</c:v>
                </c:pt>
                <c:pt idx="9">
                  <c:v>13.423522048155872</c:v>
                </c:pt>
                <c:pt idx="10">
                  <c:v>13.423522048155872</c:v>
                </c:pt>
                <c:pt idx="11">
                  <c:v>13.423522048155872</c:v>
                </c:pt>
                <c:pt idx="12">
                  <c:v>13.423522048155872</c:v>
                </c:pt>
                <c:pt idx="13">
                  <c:v>13.423522048155872</c:v>
                </c:pt>
                <c:pt idx="14">
                  <c:v>13.423522048155872</c:v>
                </c:pt>
                <c:pt idx="15">
                  <c:v>13.423522048155872</c:v>
                </c:pt>
                <c:pt idx="16">
                  <c:v>13.423522048155872</c:v>
                </c:pt>
                <c:pt idx="17">
                  <c:v>13.423522048155872</c:v>
                </c:pt>
                <c:pt idx="18">
                  <c:v>13.423522048155872</c:v>
                </c:pt>
                <c:pt idx="19">
                  <c:v>13.423522048155872</c:v>
                </c:pt>
                <c:pt idx="20">
                  <c:v>13.423522048155872</c:v>
                </c:pt>
                <c:pt idx="21">
                  <c:v>13.423522048155872</c:v>
                </c:pt>
                <c:pt idx="22">
                  <c:v>13.423522048155872</c:v>
                </c:pt>
                <c:pt idx="23">
                  <c:v>13.423522048155872</c:v>
                </c:pt>
                <c:pt idx="24">
                  <c:v>13.423522048155872</c:v>
                </c:pt>
                <c:pt idx="25">
                  <c:v>13.423522048155872</c:v>
                </c:pt>
                <c:pt idx="26">
                  <c:v>13.423522048155872</c:v>
                </c:pt>
                <c:pt idx="27">
                  <c:v>13.423522048155872</c:v>
                </c:pt>
                <c:pt idx="28">
                  <c:v>13.423522048155872</c:v>
                </c:pt>
                <c:pt idx="29">
                  <c:v>13.423522048155872</c:v>
                </c:pt>
                <c:pt idx="30">
                  <c:v>13.423522048155872</c:v>
                </c:pt>
                <c:pt idx="31">
                  <c:v>13.423522048155872</c:v>
                </c:pt>
                <c:pt idx="32">
                  <c:v>13.423522048155872</c:v>
                </c:pt>
                <c:pt idx="33">
                  <c:v>13.423522048155872</c:v>
                </c:pt>
                <c:pt idx="34">
                  <c:v>13.423522048155872</c:v>
                </c:pt>
                <c:pt idx="35">
                  <c:v>13.423522048155872</c:v>
                </c:pt>
                <c:pt idx="36">
                  <c:v>13.423522048155872</c:v>
                </c:pt>
                <c:pt idx="37">
                  <c:v>13.423522048155872</c:v>
                </c:pt>
                <c:pt idx="38">
                  <c:v>13.423522048155872</c:v>
                </c:pt>
                <c:pt idx="39">
                  <c:v>13.423522048155872</c:v>
                </c:pt>
                <c:pt idx="40">
                  <c:v>13.423522048155872</c:v>
                </c:pt>
                <c:pt idx="41">
                  <c:v>13.423522048155872</c:v>
                </c:pt>
                <c:pt idx="42">
                  <c:v>13.423522048155872</c:v>
                </c:pt>
                <c:pt idx="43">
                  <c:v>13.423522048155872</c:v>
                </c:pt>
                <c:pt idx="44">
                  <c:v>13.423522048155872</c:v>
                </c:pt>
                <c:pt idx="45">
                  <c:v>13.423522048155872</c:v>
                </c:pt>
                <c:pt idx="46">
                  <c:v>13.423522048155872</c:v>
                </c:pt>
                <c:pt idx="47">
                  <c:v>13.423522048155872</c:v>
                </c:pt>
                <c:pt idx="48">
                  <c:v>13.423522048155872</c:v>
                </c:pt>
                <c:pt idx="49">
                  <c:v>13.423522048155872</c:v>
                </c:pt>
                <c:pt idx="50">
                  <c:v>13.423522048155872</c:v>
                </c:pt>
                <c:pt idx="51">
                  <c:v>13.423522048155872</c:v>
                </c:pt>
                <c:pt idx="52">
                  <c:v>13.423522048155872</c:v>
                </c:pt>
                <c:pt idx="53">
                  <c:v>13.423522048155872</c:v>
                </c:pt>
                <c:pt idx="54">
                  <c:v>13.423522048155872</c:v>
                </c:pt>
                <c:pt idx="55">
                  <c:v>13.423522048155872</c:v>
                </c:pt>
                <c:pt idx="56">
                  <c:v>13.423522048155872</c:v>
                </c:pt>
                <c:pt idx="57">
                  <c:v>13.423522048155872</c:v>
                </c:pt>
                <c:pt idx="58">
                  <c:v>13.423522048155872</c:v>
                </c:pt>
                <c:pt idx="59">
                  <c:v>13.423522048155872</c:v>
                </c:pt>
                <c:pt idx="60">
                  <c:v>13.423522048155872</c:v>
                </c:pt>
                <c:pt idx="61">
                  <c:v>13.423522048155872</c:v>
                </c:pt>
                <c:pt idx="62">
                  <c:v>13.423522048155872</c:v>
                </c:pt>
                <c:pt idx="63">
                  <c:v>13.423522048155872</c:v>
                </c:pt>
                <c:pt idx="64">
                  <c:v>13.423522048155872</c:v>
                </c:pt>
                <c:pt idx="65">
                  <c:v>13.423522048155872</c:v>
                </c:pt>
                <c:pt idx="66">
                  <c:v>13.423522048155872</c:v>
                </c:pt>
                <c:pt idx="67">
                  <c:v>13.423522048155872</c:v>
                </c:pt>
                <c:pt idx="68">
                  <c:v>13.423522048155872</c:v>
                </c:pt>
                <c:pt idx="69">
                  <c:v>13.423522048155872</c:v>
                </c:pt>
                <c:pt idx="70">
                  <c:v>13.423522048155872</c:v>
                </c:pt>
                <c:pt idx="71">
                  <c:v>13.423522048155872</c:v>
                </c:pt>
                <c:pt idx="72">
                  <c:v>13.423522048155872</c:v>
                </c:pt>
                <c:pt idx="73">
                  <c:v>13.423522048155872</c:v>
                </c:pt>
                <c:pt idx="74">
                  <c:v>13.423522048155872</c:v>
                </c:pt>
                <c:pt idx="75">
                  <c:v>13.423522048155872</c:v>
                </c:pt>
                <c:pt idx="76">
                  <c:v>13.423522048155872</c:v>
                </c:pt>
                <c:pt idx="77">
                  <c:v>13.423522048155872</c:v>
                </c:pt>
                <c:pt idx="78">
                  <c:v>13.423522048155872</c:v>
                </c:pt>
                <c:pt idx="79">
                  <c:v>13.423522048155872</c:v>
                </c:pt>
                <c:pt idx="80">
                  <c:v>13.423522048155872</c:v>
                </c:pt>
                <c:pt idx="81">
                  <c:v>13.423522048155872</c:v>
                </c:pt>
                <c:pt idx="82">
                  <c:v>13.423522048155872</c:v>
                </c:pt>
                <c:pt idx="83">
                  <c:v>13.423522048155872</c:v>
                </c:pt>
                <c:pt idx="84">
                  <c:v>13.423522048155872</c:v>
                </c:pt>
                <c:pt idx="85">
                  <c:v>13.423522048155872</c:v>
                </c:pt>
                <c:pt idx="86">
                  <c:v>13.423522048155872</c:v>
                </c:pt>
                <c:pt idx="87">
                  <c:v>13.423522048155872</c:v>
                </c:pt>
                <c:pt idx="88">
                  <c:v>13.423522048155872</c:v>
                </c:pt>
                <c:pt idx="89">
                  <c:v>13.423522048155872</c:v>
                </c:pt>
                <c:pt idx="90">
                  <c:v>13.423522048155872</c:v>
                </c:pt>
                <c:pt idx="91">
                  <c:v>13.423522048155872</c:v>
                </c:pt>
                <c:pt idx="92">
                  <c:v>13.423522048155872</c:v>
                </c:pt>
                <c:pt idx="93">
                  <c:v>13.423522048155872</c:v>
                </c:pt>
                <c:pt idx="94">
                  <c:v>13.423522048155872</c:v>
                </c:pt>
                <c:pt idx="95">
                  <c:v>13.423522048155872</c:v>
                </c:pt>
                <c:pt idx="96">
                  <c:v>13.423522048155872</c:v>
                </c:pt>
                <c:pt idx="97">
                  <c:v>13.423522048155872</c:v>
                </c:pt>
                <c:pt idx="98">
                  <c:v>13.423522048155872</c:v>
                </c:pt>
                <c:pt idx="99">
                  <c:v>13.423522048155872</c:v>
                </c:pt>
                <c:pt idx="100">
                  <c:v>13.423522048155872</c:v>
                </c:pt>
                <c:pt idx="101">
                  <c:v>13.423522048155872</c:v>
                </c:pt>
                <c:pt idx="102">
                  <c:v>13.423522048155872</c:v>
                </c:pt>
                <c:pt idx="103">
                  <c:v>13.423522048155872</c:v>
                </c:pt>
                <c:pt idx="104">
                  <c:v>13.423522048155872</c:v>
                </c:pt>
                <c:pt idx="105">
                  <c:v>13.423522048155872</c:v>
                </c:pt>
                <c:pt idx="106">
                  <c:v>13.423522048155872</c:v>
                </c:pt>
                <c:pt idx="107">
                  <c:v>13.423522048155872</c:v>
                </c:pt>
                <c:pt idx="108">
                  <c:v>13.423522048155872</c:v>
                </c:pt>
                <c:pt idx="109">
                  <c:v>13.423522048155872</c:v>
                </c:pt>
                <c:pt idx="110">
                  <c:v>13.423522048155872</c:v>
                </c:pt>
                <c:pt idx="111">
                  <c:v>13.423522048155872</c:v>
                </c:pt>
                <c:pt idx="112">
                  <c:v>13.423522048155872</c:v>
                </c:pt>
                <c:pt idx="113">
                  <c:v>13.423522048155872</c:v>
                </c:pt>
                <c:pt idx="114">
                  <c:v>13.423522048155872</c:v>
                </c:pt>
                <c:pt idx="115">
                  <c:v>13.423522048155872</c:v>
                </c:pt>
                <c:pt idx="116">
                  <c:v>13.423522048155872</c:v>
                </c:pt>
                <c:pt idx="117">
                  <c:v>13.423522048155872</c:v>
                </c:pt>
                <c:pt idx="118">
                  <c:v>13.423522048155872</c:v>
                </c:pt>
                <c:pt idx="119">
                  <c:v>13.423522048155872</c:v>
                </c:pt>
                <c:pt idx="120">
                  <c:v>13.423522048155872</c:v>
                </c:pt>
                <c:pt idx="121">
                  <c:v>13.423522048155872</c:v>
                </c:pt>
                <c:pt idx="122">
                  <c:v>13.423522048155872</c:v>
                </c:pt>
                <c:pt idx="123">
                  <c:v>13.423522048155872</c:v>
                </c:pt>
                <c:pt idx="124">
                  <c:v>13.423522048155872</c:v>
                </c:pt>
                <c:pt idx="125">
                  <c:v>13.423522048155872</c:v>
                </c:pt>
                <c:pt idx="126">
                  <c:v>13.423522048155872</c:v>
                </c:pt>
                <c:pt idx="127">
                  <c:v>13.423522048155872</c:v>
                </c:pt>
                <c:pt idx="128">
                  <c:v>13.423522048155872</c:v>
                </c:pt>
                <c:pt idx="129">
                  <c:v>13.423522048155872</c:v>
                </c:pt>
                <c:pt idx="130">
                  <c:v>13.423522048155872</c:v>
                </c:pt>
                <c:pt idx="131">
                  <c:v>13.423522048155872</c:v>
                </c:pt>
                <c:pt idx="132">
                  <c:v>13.423522048155872</c:v>
                </c:pt>
                <c:pt idx="133">
                  <c:v>13.423522048155872</c:v>
                </c:pt>
                <c:pt idx="134">
                  <c:v>13.423522048155872</c:v>
                </c:pt>
                <c:pt idx="135">
                  <c:v>13.423522048155872</c:v>
                </c:pt>
                <c:pt idx="136">
                  <c:v>13.423522048155872</c:v>
                </c:pt>
                <c:pt idx="137">
                  <c:v>13.423522048155872</c:v>
                </c:pt>
                <c:pt idx="138">
                  <c:v>13.423522048155872</c:v>
                </c:pt>
                <c:pt idx="139">
                  <c:v>13.423522048155872</c:v>
                </c:pt>
                <c:pt idx="140">
                  <c:v>13.423522048155872</c:v>
                </c:pt>
                <c:pt idx="141">
                  <c:v>13.423522048155872</c:v>
                </c:pt>
                <c:pt idx="142">
                  <c:v>13.423522048155872</c:v>
                </c:pt>
                <c:pt idx="143">
                  <c:v>13.423522048155872</c:v>
                </c:pt>
                <c:pt idx="144">
                  <c:v>13.423522048155872</c:v>
                </c:pt>
                <c:pt idx="145">
                  <c:v>13.423522048155872</c:v>
                </c:pt>
                <c:pt idx="146">
                  <c:v>13.423522048155872</c:v>
                </c:pt>
                <c:pt idx="147">
                  <c:v>13.423522048155872</c:v>
                </c:pt>
                <c:pt idx="148">
                  <c:v>13.423522048155872</c:v>
                </c:pt>
                <c:pt idx="149">
                  <c:v>13.423522048155872</c:v>
                </c:pt>
                <c:pt idx="150">
                  <c:v>13.423522048155872</c:v>
                </c:pt>
                <c:pt idx="151">
                  <c:v>13.423522048155872</c:v>
                </c:pt>
                <c:pt idx="152">
                  <c:v>13.423522048155872</c:v>
                </c:pt>
                <c:pt idx="153">
                  <c:v>13.423522048155872</c:v>
                </c:pt>
                <c:pt idx="154">
                  <c:v>13.423522048155872</c:v>
                </c:pt>
                <c:pt idx="155">
                  <c:v>13.423522048155872</c:v>
                </c:pt>
                <c:pt idx="156">
                  <c:v>13.423522048155872</c:v>
                </c:pt>
                <c:pt idx="157">
                  <c:v>13.423522048155872</c:v>
                </c:pt>
                <c:pt idx="158">
                  <c:v>13.423522048155872</c:v>
                </c:pt>
                <c:pt idx="159">
                  <c:v>13.423522048155872</c:v>
                </c:pt>
                <c:pt idx="160">
                  <c:v>13.423522048155872</c:v>
                </c:pt>
                <c:pt idx="161">
                  <c:v>13.423522048155872</c:v>
                </c:pt>
                <c:pt idx="162">
                  <c:v>13.423522048155872</c:v>
                </c:pt>
                <c:pt idx="163">
                  <c:v>13.423522048155872</c:v>
                </c:pt>
                <c:pt idx="164">
                  <c:v>13.423522048155872</c:v>
                </c:pt>
                <c:pt idx="165">
                  <c:v>13.423522048155872</c:v>
                </c:pt>
                <c:pt idx="166">
                  <c:v>13.423522048155872</c:v>
                </c:pt>
                <c:pt idx="167">
                  <c:v>13.423522048155872</c:v>
                </c:pt>
                <c:pt idx="168">
                  <c:v>13.423522048155872</c:v>
                </c:pt>
                <c:pt idx="169">
                  <c:v>13.423522048155872</c:v>
                </c:pt>
                <c:pt idx="170">
                  <c:v>13.423522048155872</c:v>
                </c:pt>
                <c:pt idx="171">
                  <c:v>13.423522048155872</c:v>
                </c:pt>
                <c:pt idx="172">
                  <c:v>13.423522048155872</c:v>
                </c:pt>
                <c:pt idx="173">
                  <c:v>13.423522048155872</c:v>
                </c:pt>
                <c:pt idx="174">
                  <c:v>13.423522048155872</c:v>
                </c:pt>
                <c:pt idx="175">
                  <c:v>13.423522048155872</c:v>
                </c:pt>
                <c:pt idx="176">
                  <c:v>13.423522048155872</c:v>
                </c:pt>
                <c:pt idx="177">
                  <c:v>13.423522048155872</c:v>
                </c:pt>
                <c:pt idx="178">
                  <c:v>13.423522048155872</c:v>
                </c:pt>
                <c:pt idx="179">
                  <c:v>13.423522048155872</c:v>
                </c:pt>
                <c:pt idx="180">
                  <c:v>13.423522048155872</c:v>
                </c:pt>
                <c:pt idx="181">
                  <c:v>13.423522048155872</c:v>
                </c:pt>
                <c:pt idx="182">
                  <c:v>13.423522048155872</c:v>
                </c:pt>
                <c:pt idx="183">
                  <c:v>13.423522048155872</c:v>
                </c:pt>
                <c:pt idx="184">
                  <c:v>13.423522048155872</c:v>
                </c:pt>
                <c:pt idx="185">
                  <c:v>13.423522048155872</c:v>
                </c:pt>
                <c:pt idx="186">
                  <c:v>13.423522048155872</c:v>
                </c:pt>
                <c:pt idx="187">
                  <c:v>13.423522048155872</c:v>
                </c:pt>
                <c:pt idx="188">
                  <c:v>13.423522048155872</c:v>
                </c:pt>
                <c:pt idx="189">
                  <c:v>13.423522048155872</c:v>
                </c:pt>
                <c:pt idx="190">
                  <c:v>13.423522048155872</c:v>
                </c:pt>
                <c:pt idx="191">
                  <c:v>13.423522048155872</c:v>
                </c:pt>
                <c:pt idx="192">
                  <c:v>13.423522048155872</c:v>
                </c:pt>
                <c:pt idx="193">
                  <c:v>13.423522048155872</c:v>
                </c:pt>
                <c:pt idx="194">
                  <c:v>13.423522048155872</c:v>
                </c:pt>
                <c:pt idx="195">
                  <c:v>13.423522048155872</c:v>
                </c:pt>
                <c:pt idx="196">
                  <c:v>13.423522048155872</c:v>
                </c:pt>
                <c:pt idx="197">
                  <c:v>13.423522048155872</c:v>
                </c:pt>
                <c:pt idx="198">
                  <c:v>13.423522048155872</c:v>
                </c:pt>
                <c:pt idx="199">
                  <c:v>13.423522048155872</c:v>
                </c:pt>
                <c:pt idx="200">
                  <c:v>13.423522048155872</c:v>
                </c:pt>
                <c:pt idx="201">
                  <c:v>13.423522048155872</c:v>
                </c:pt>
                <c:pt idx="202">
                  <c:v>13.423522048155872</c:v>
                </c:pt>
                <c:pt idx="203">
                  <c:v>13.423522048155872</c:v>
                </c:pt>
                <c:pt idx="204">
                  <c:v>13.423522048155872</c:v>
                </c:pt>
                <c:pt idx="205">
                  <c:v>13.423522048155872</c:v>
                </c:pt>
                <c:pt idx="206">
                  <c:v>13.423522048155872</c:v>
                </c:pt>
                <c:pt idx="207">
                  <c:v>13.423522048155872</c:v>
                </c:pt>
                <c:pt idx="208">
                  <c:v>13.423522048155872</c:v>
                </c:pt>
                <c:pt idx="209">
                  <c:v>13.423522048155872</c:v>
                </c:pt>
                <c:pt idx="210">
                  <c:v>13.423522048155872</c:v>
                </c:pt>
                <c:pt idx="211">
                  <c:v>13.423522048155872</c:v>
                </c:pt>
                <c:pt idx="212">
                  <c:v>13.423522048155872</c:v>
                </c:pt>
                <c:pt idx="213">
                  <c:v>13.423522048155872</c:v>
                </c:pt>
                <c:pt idx="214">
                  <c:v>13.423522048155872</c:v>
                </c:pt>
                <c:pt idx="215">
                  <c:v>13.423522048155872</c:v>
                </c:pt>
                <c:pt idx="216">
                  <c:v>13.423522048155872</c:v>
                </c:pt>
                <c:pt idx="217">
                  <c:v>13.423522048155872</c:v>
                </c:pt>
                <c:pt idx="218">
                  <c:v>13.423522048155872</c:v>
                </c:pt>
                <c:pt idx="219">
                  <c:v>13.423522048155872</c:v>
                </c:pt>
                <c:pt idx="220">
                  <c:v>13.423522048155872</c:v>
                </c:pt>
                <c:pt idx="221">
                  <c:v>13.423522048155872</c:v>
                </c:pt>
                <c:pt idx="222">
                  <c:v>13.423522048155872</c:v>
                </c:pt>
                <c:pt idx="223">
                  <c:v>13.423522048155872</c:v>
                </c:pt>
                <c:pt idx="224">
                  <c:v>13.423522048155872</c:v>
                </c:pt>
                <c:pt idx="225">
                  <c:v>13.423522048155872</c:v>
                </c:pt>
                <c:pt idx="226">
                  <c:v>13.423522048155872</c:v>
                </c:pt>
                <c:pt idx="227">
                  <c:v>13.423522048155872</c:v>
                </c:pt>
                <c:pt idx="228">
                  <c:v>13.423522048155872</c:v>
                </c:pt>
                <c:pt idx="229">
                  <c:v>13.423522048155872</c:v>
                </c:pt>
                <c:pt idx="230">
                  <c:v>13.423522048155872</c:v>
                </c:pt>
                <c:pt idx="231">
                  <c:v>13.423522048155872</c:v>
                </c:pt>
                <c:pt idx="232">
                  <c:v>13.423522048155872</c:v>
                </c:pt>
                <c:pt idx="233">
                  <c:v>13.423522048155872</c:v>
                </c:pt>
                <c:pt idx="234">
                  <c:v>13.423522048155872</c:v>
                </c:pt>
                <c:pt idx="235">
                  <c:v>13.423522048155872</c:v>
                </c:pt>
                <c:pt idx="236">
                  <c:v>13.423522048155872</c:v>
                </c:pt>
                <c:pt idx="237">
                  <c:v>13.423522048155872</c:v>
                </c:pt>
                <c:pt idx="238">
                  <c:v>13.423522048155872</c:v>
                </c:pt>
                <c:pt idx="239">
                  <c:v>13.423522048155872</c:v>
                </c:pt>
                <c:pt idx="240">
                  <c:v>13.423522048155872</c:v>
                </c:pt>
                <c:pt idx="241">
                  <c:v>13.423522048155872</c:v>
                </c:pt>
                <c:pt idx="242">
                  <c:v>13.423522048155872</c:v>
                </c:pt>
                <c:pt idx="243">
                  <c:v>13.423522048155872</c:v>
                </c:pt>
                <c:pt idx="244">
                  <c:v>13.423522048155872</c:v>
                </c:pt>
                <c:pt idx="245">
                  <c:v>13.423522048155872</c:v>
                </c:pt>
                <c:pt idx="246">
                  <c:v>13.423522048155872</c:v>
                </c:pt>
                <c:pt idx="247">
                  <c:v>13.423522048155872</c:v>
                </c:pt>
                <c:pt idx="248">
                  <c:v>13.423522048155872</c:v>
                </c:pt>
                <c:pt idx="249">
                  <c:v>13.423522048155872</c:v>
                </c:pt>
                <c:pt idx="250">
                  <c:v>13.423522048155872</c:v>
                </c:pt>
                <c:pt idx="251">
                  <c:v>13.423522048155872</c:v>
                </c:pt>
                <c:pt idx="252">
                  <c:v>13.423522048155872</c:v>
                </c:pt>
                <c:pt idx="253">
                  <c:v>13.423522048155872</c:v>
                </c:pt>
                <c:pt idx="254">
                  <c:v>13.423522048155872</c:v>
                </c:pt>
                <c:pt idx="255">
                  <c:v>13.423522048155872</c:v>
                </c:pt>
                <c:pt idx="256">
                  <c:v>13.423522048155872</c:v>
                </c:pt>
                <c:pt idx="257">
                  <c:v>13.423522048155872</c:v>
                </c:pt>
                <c:pt idx="258">
                  <c:v>13.423522048155872</c:v>
                </c:pt>
                <c:pt idx="259">
                  <c:v>13.423522048155872</c:v>
                </c:pt>
                <c:pt idx="260">
                  <c:v>13.423522048155872</c:v>
                </c:pt>
                <c:pt idx="261">
                  <c:v>13.423522048155872</c:v>
                </c:pt>
                <c:pt idx="262">
                  <c:v>13.423522048155872</c:v>
                </c:pt>
                <c:pt idx="263">
                  <c:v>13.423522048155872</c:v>
                </c:pt>
                <c:pt idx="264">
                  <c:v>13.423522048155872</c:v>
                </c:pt>
                <c:pt idx="265">
                  <c:v>13.423522048155872</c:v>
                </c:pt>
                <c:pt idx="266">
                  <c:v>13.423522048155872</c:v>
                </c:pt>
                <c:pt idx="267">
                  <c:v>13.423522048155872</c:v>
                </c:pt>
                <c:pt idx="268">
                  <c:v>13.423522048155872</c:v>
                </c:pt>
                <c:pt idx="269">
                  <c:v>13.423522048155872</c:v>
                </c:pt>
                <c:pt idx="270">
                  <c:v>13.423522048155872</c:v>
                </c:pt>
                <c:pt idx="271">
                  <c:v>13.423522048155872</c:v>
                </c:pt>
                <c:pt idx="272">
                  <c:v>13.423522048155872</c:v>
                </c:pt>
                <c:pt idx="273">
                  <c:v>13.423522048155872</c:v>
                </c:pt>
                <c:pt idx="274">
                  <c:v>13.423522048155872</c:v>
                </c:pt>
                <c:pt idx="275">
                  <c:v>13.423522048155872</c:v>
                </c:pt>
                <c:pt idx="276">
                  <c:v>13.423522048155872</c:v>
                </c:pt>
                <c:pt idx="277">
                  <c:v>13.423522048155872</c:v>
                </c:pt>
                <c:pt idx="278">
                  <c:v>13.423522048155872</c:v>
                </c:pt>
                <c:pt idx="279">
                  <c:v>13.423522048155872</c:v>
                </c:pt>
                <c:pt idx="280">
                  <c:v>13.423522048155872</c:v>
                </c:pt>
                <c:pt idx="281">
                  <c:v>13.423522048155872</c:v>
                </c:pt>
                <c:pt idx="282">
                  <c:v>13.423522048155872</c:v>
                </c:pt>
                <c:pt idx="283">
                  <c:v>13.423522048155872</c:v>
                </c:pt>
                <c:pt idx="284">
                  <c:v>13.423522048155872</c:v>
                </c:pt>
                <c:pt idx="285">
                  <c:v>13.423522048155872</c:v>
                </c:pt>
                <c:pt idx="286">
                  <c:v>13.423522048155872</c:v>
                </c:pt>
                <c:pt idx="287">
                  <c:v>13.423522048155872</c:v>
                </c:pt>
                <c:pt idx="288">
                  <c:v>13.423522048155872</c:v>
                </c:pt>
                <c:pt idx="289">
                  <c:v>13.423522048155872</c:v>
                </c:pt>
                <c:pt idx="290">
                  <c:v>13.423522048155872</c:v>
                </c:pt>
                <c:pt idx="291">
                  <c:v>13.423522048155872</c:v>
                </c:pt>
                <c:pt idx="292">
                  <c:v>13.423522048155872</c:v>
                </c:pt>
                <c:pt idx="293">
                  <c:v>13.423522048155872</c:v>
                </c:pt>
                <c:pt idx="294">
                  <c:v>13.423522048155872</c:v>
                </c:pt>
                <c:pt idx="295">
                  <c:v>13.423522048155872</c:v>
                </c:pt>
                <c:pt idx="296">
                  <c:v>13.423522048155872</c:v>
                </c:pt>
                <c:pt idx="297">
                  <c:v>13.423522048155872</c:v>
                </c:pt>
                <c:pt idx="298">
                  <c:v>13.423522048155872</c:v>
                </c:pt>
                <c:pt idx="299">
                  <c:v>13.423522048155872</c:v>
                </c:pt>
                <c:pt idx="300">
                  <c:v>13.423522048155872</c:v>
                </c:pt>
                <c:pt idx="301">
                  <c:v>13.423522048155872</c:v>
                </c:pt>
                <c:pt idx="302">
                  <c:v>13.423522048155872</c:v>
                </c:pt>
                <c:pt idx="303">
                  <c:v>13.423522048155872</c:v>
                </c:pt>
                <c:pt idx="304">
                  <c:v>13.423522048155872</c:v>
                </c:pt>
                <c:pt idx="305">
                  <c:v>13.423522048155872</c:v>
                </c:pt>
                <c:pt idx="306">
                  <c:v>13.423522048155872</c:v>
                </c:pt>
                <c:pt idx="307">
                  <c:v>13.423522048155872</c:v>
                </c:pt>
                <c:pt idx="308">
                  <c:v>13.423522048155872</c:v>
                </c:pt>
                <c:pt idx="309">
                  <c:v>13.423522048155872</c:v>
                </c:pt>
                <c:pt idx="310">
                  <c:v>13.423522048155872</c:v>
                </c:pt>
                <c:pt idx="311">
                  <c:v>13.423522048155872</c:v>
                </c:pt>
                <c:pt idx="312">
                  <c:v>13.423522048155872</c:v>
                </c:pt>
                <c:pt idx="313">
                  <c:v>13.423522048155872</c:v>
                </c:pt>
                <c:pt idx="314">
                  <c:v>13.423522048155872</c:v>
                </c:pt>
                <c:pt idx="315">
                  <c:v>13.423522048155872</c:v>
                </c:pt>
                <c:pt idx="316">
                  <c:v>13.423522048155872</c:v>
                </c:pt>
                <c:pt idx="317">
                  <c:v>13.423522048155872</c:v>
                </c:pt>
                <c:pt idx="318">
                  <c:v>13.423522048155872</c:v>
                </c:pt>
                <c:pt idx="319">
                  <c:v>13.423522048155872</c:v>
                </c:pt>
                <c:pt idx="320">
                  <c:v>13.423522048155872</c:v>
                </c:pt>
                <c:pt idx="321">
                  <c:v>13.423522048155872</c:v>
                </c:pt>
                <c:pt idx="322">
                  <c:v>13.423522048155872</c:v>
                </c:pt>
                <c:pt idx="323">
                  <c:v>13.423522048155872</c:v>
                </c:pt>
                <c:pt idx="324">
                  <c:v>13.423522048155872</c:v>
                </c:pt>
                <c:pt idx="325">
                  <c:v>13.423522048155872</c:v>
                </c:pt>
                <c:pt idx="326">
                  <c:v>13.423522048155872</c:v>
                </c:pt>
                <c:pt idx="327">
                  <c:v>13.423522048155872</c:v>
                </c:pt>
                <c:pt idx="328">
                  <c:v>13.423522048155872</c:v>
                </c:pt>
                <c:pt idx="329">
                  <c:v>13.423522048155872</c:v>
                </c:pt>
                <c:pt idx="330">
                  <c:v>13.423522048155872</c:v>
                </c:pt>
                <c:pt idx="331">
                  <c:v>13.423522048155872</c:v>
                </c:pt>
                <c:pt idx="332">
                  <c:v>13.423522048155872</c:v>
                </c:pt>
                <c:pt idx="333">
                  <c:v>13.423522048155872</c:v>
                </c:pt>
                <c:pt idx="334">
                  <c:v>13.423522048155872</c:v>
                </c:pt>
                <c:pt idx="335">
                  <c:v>13.423522048155872</c:v>
                </c:pt>
                <c:pt idx="336">
                  <c:v>13.423522048155872</c:v>
                </c:pt>
                <c:pt idx="337">
                  <c:v>13.423522048155872</c:v>
                </c:pt>
                <c:pt idx="338">
                  <c:v>13.423522048155872</c:v>
                </c:pt>
                <c:pt idx="339">
                  <c:v>13.423522048155872</c:v>
                </c:pt>
                <c:pt idx="340">
                  <c:v>13.423522048155872</c:v>
                </c:pt>
                <c:pt idx="341">
                  <c:v>13.423522048155872</c:v>
                </c:pt>
                <c:pt idx="342">
                  <c:v>13.423522048155872</c:v>
                </c:pt>
                <c:pt idx="343">
                  <c:v>13.423522048155872</c:v>
                </c:pt>
                <c:pt idx="344">
                  <c:v>13.423522048155872</c:v>
                </c:pt>
                <c:pt idx="345">
                  <c:v>13.423522048155872</c:v>
                </c:pt>
                <c:pt idx="346">
                  <c:v>13.423522048155872</c:v>
                </c:pt>
                <c:pt idx="347">
                  <c:v>13.423522048155872</c:v>
                </c:pt>
                <c:pt idx="348">
                  <c:v>13.423522048155872</c:v>
                </c:pt>
                <c:pt idx="349">
                  <c:v>13.423522048155872</c:v>
                </c:pt>
                <c:pt idx="350">
                  <c:v>13.423522048155872</c:v>
                </c:pt>
                <c:pt idx="351">
                  <c:v>13.423522048155872</c:v>
                </c:pt>
                <c:pt idx="352">
                  <c:v>13.423522048155872</c:v>
                </c:pt>
                <c:pt idx="353">
                  <c:v>13.423522048155872</c:v>
                </c:pt>
                <c:pt idx="354">
                  <c:v>13.423522048155872</c:v>
                </c:pt>
                <c:pt idx="355">
                  <c:v>13.423522048155872</c:v>
                </c:pt>
                <c:pt idx="356">
                  <c:v>13.423522048155872</c:v>
                </c:pt>
                <c:pt idx="357">
                  <c:v>13.423522048155872</c:v>
                </c:pt>
                <c:pt idx="358">
                  <c:v>13.423522048155872</c:v>
                </c:pt>
                <c:pt idx="359">
                  <c:v>13.423522048155872</c:v>
                </c:pt>
                <c:pt idx="360">
                  <c:v>13.423522048155872</c:v>
                </c:pt>
                <c:pt idx="361">
                  <c:v>13.423522048155872</c:v>
                </c:pt>
                <c:pt idx="362">
                  <c:v>13.423522048155872</c:v>
                </c:pt>
                <c:pt idx="363">
                  <c:v>13.423522048155872</c:v>
                </c:pt>
                <c:pt idx="364">
                  <c:v>13.423522048155872</c:v>
                </c:pt>
                <c:pt idx="365">
                  <c:v>13.423522048155872</c:v>
                </c:pt>
                <c:pt idx="366">
                  <c:v>13.423522048155872</c:v>
                </c:pt>
                <c:pt idx="367">
                  <c:v>13.423522048155872</c:v>
                </c:pt>
                <c:pt idx="368">
                  <c:v>13.423522048155872</c:v>
                </c:pt>
                <c:pt idx="369">
                  <c:v>13.423522048155872</c:v>
                </c:pt>
                <c:pt idx="370">
                  <c:v>13.423522048155872</c:v>
                </c:pt>
                <c:pt idx="371">
                  <c:v>13.423522048155872</c:v>
                </c:pt>
                <c:pt idx="372">
                  <c:v>13.423522048155872</c:v>
                </c:pt>
                <c:pt idx="373">
                  <c:v>13.423522048155872</c:v>
                </c:pt>
                <c:pt idx="374">
                  <c:v>13.423522048155872</c:v>
                </c:pt>
                <c:pt idx="375">
                  <c:v>13.423522048155872</c:v>
                </c:pt>
                <c:pt idx="376">
                  <c:v>13.423522048155872</c:v>
                </c:pt>
                <c:pt idx="377">
                  <c:v>13.423522048155872</c:v>
                </c:pt>
                <c:pt idx="378">
                  <c:v>13.423522048155872</c:v>
                </c:pt>
                <c:pt idx="379">
                  <c:v>13.423522048155872</c:v>
                </c:pt>
                <c:pt idx="380">
                  <c:v>13.423522048155872</c:v>
                </c:pt>
                <c:pt idx="381">
                  <c:v>13.423522048155872</c:v>
                </c:pt>
                <c:pt idx="382">
                  <c:v>13.423522048155872</c:v>
                </c:pt>
                <c:pt idx="383">
                  <c:v>13.423522048155872</c:v>
                </c:pt>
                <c:pt idx="384">
                  <c:v>13.423522048155872</c:v>
                </c:pt>
                <c:pt idx="385">
                  <c:v>13.423522048155872</c:v>
                </c:pt>
                <c:pt idx="386">
                  <c:v>13.423522048155872</c:v>
                </c:pt>
                <c:pt idx="387">
                  <c:v>13.423522048155872</c:v>
                </c:pt>
                <c:pt idx="388">
                  <c:v>13.423522048155872</c:v>
                </c:pt>
                <c:pt idx="389">
                  <c:v>13.423522048155872</c:v>
                </c:pt>
                <c:pt idx="390">
                  <c:v>13.423522048155872</c:v>
                </c:pt>
                <c:pt idx="391">
                  <c:v>13.423522048155872</c:v>
                </c:pt>
                <c:pt idx="392">
                  <c:v>13.423522048155872</c:v>
                </c:pt>
                <c:pt idx="393">
                  <c:v>13.423522048155872</c:v>
                </c:pt>
                <c:pt idx="394">
                  <c:v>13.423522048155872</c:v>
                </c:pt>
                <c:pt idx="395">
                  <c:v>13.423522048155872</c:v>
                </c:pt>
                <c:pt idx="396">
                  <c:v>13.423522048155872</c:v>
                </c:pt>
                <c:pt idx="397">
                  <c:v>13.423522048155872</c:v>
                </c:pt>
                <c:pt idx="398">
                  <c:v>13.423522048155872</c:v>
                </c:pt>
                <c:pt idx="399">
                  <c:v>13.423522048155872</c:v>
                </c:pt>
                <c:pt idx="400">
                  <c:v>13.423522048155872</c:v>
                </c:pt>
                <c:pt idx="401">
                  <c:v>13.423522048155872</c:v>
                </c:pt>
                <c:pt idx="402">
                  <c:v>13.423522048155872</c:v>
                </c:pt>
                <c:pt idx="403">
                  <c:v>13.423522048155872</c:v>
                </c:pt>
                <c:pt idx="404">
                  <c:v>13.423522048155872</c:v>
                </c:pt>
                <c:pt idx="405">
                  <c:v>13.423522048155872</c:v>
                </c:pt>
                <c:pt idx="406">
                  <c:v>13.423522048155872</c:v>
                </c:pt>
                <c:pt idx="407">
                  <c:v>13.423522048155872</c:v>
                </c:pt>
                <c:pt idx="408">
                  <c:v>13.423522048155872</c:v>
                </c:pt>
                <c:pt idx="409">
                  <c:v>13.423522048155872</c:v>
                </c:pt>
                <c:pt idx="410">
                  <c:v>13.423522048155872</c:v>
                </c:pt>
                <c:pt idx="411">
                  <c:v>13.423522048155872</c:v>
                </c:pt>
                <c:pt idx="412">
                  <c:v>13.423522048155872</c:v>
                </c:pt>
                <c:pt idx="413">
                  <c:v>13.423522048155872</c:v>
                </c:pt>
                <c:pt idx="414">
                  <c:v>13.423522048155872</c:v>
                </c:pt>
                <c:pt idx="415">
                  <c:v>13.423522048155872</c:v>
                </c:pt>
                <c:pt idx="416">
                  <c:v>13.423522048155872</c:v>
                </c:pt>
                <c:pt idx="417">
                  <c:v>13.423522048155872</c:v>
                </c:pt>
                <c:pt idx="418">
                  <c:v>13.423522048155872</c:v>
                </c:pt>
                <c:pt idx="419">
                  <c:v>13.423522048155872</c:v>
                </c:pt>
                <c:pt idx="420">
                  <c:v>13.423522048155872</c:v>
                </c:pt>
                <c:pt idx="421">
                  <c:v>13.423522048155872</c:v>
                </c:pt>
                <c:pt idx="422">
                  <c:v>13.423522048155872</c:v>
                </c:pt>
                <c:pt idx="423">
                  <c:v>13.423522048155872</c:v>
                </c:pt>
                <c:pt idx="424">
                  <c:v>13.423522048155872</c:v>
                </c:pt>
                <c:pt idx="425">
                  <c:v>13.423522048155872</c:v>
                </c:pt>
                <c:pt idx="426">
                  <c:v>13.423522048155872</c:v>
                </c:pt>
                <c:pt idx="427">
                  <c:v>13.423522048155872</c:v>
                </c:pt>
                <c:pt idx="428">
                  <c:v>13.423522048155872</c:v>
                </c:pt>
                <c:pt idx="429">
                  <c:v>13.423522048155872</c:v>
                </c:pt>
                <c:pt idx="430">
                  <c:v>13.423522048155872</c:v>
                </c:pt>
                <c:pt idx="431">
                  <c:v>13.423522048155872</c:v>
                </c:pt>
                <c:pt idx="432">
                  <c:v>13.423522048155872</c:v>
                </c:pt>
                <c:pt idx="433">
                  <c:v>13.423522048155872</c:v>
                </c:pt>
                <c:pt idx="434">
                  <c:v>13.423522048155872</c:v>
                </c:pt>
                <c:pt idx="435">
                  <c:v>13.423522048155872</c:v>
                </c:pt>
                <c:pt idx="436">
                  <c:v>13.423522048155872</c:v>
                </c:pt>
                <c:pt idx="437">
                  <c:v>13.423522048155872</c:v>
                </c:pt>
                <c:pt idx="438">
                  <c:v>13.423522048155872</c:v>
                </c:pt>
                <c:pt idx="439">
                  <c:v>13.423522048155872</c:v>
                </c:pt>
                <c:pt idx="440">
                  <c:v>13.423522048155872</c:v>
                </c:pt>
                <c:pt idx="441">
                  <c:v>13.423522048155872</c:v>
                </c:pt>
                <c:pt idx="442">
                  <c:v>13.423522048155872</c:v>
                </c:pt>
                <c:pt idx="443">
                  <c:v>13.423522048155872</c:v>
                </c:pt>
                <c:pt idx="444">
                  <c:v>13.423522048155872</c:v>
                </c:pt>
                <c:pt idx="445">
                  <c:v>13.423522048155872</c:v>
                </c:pt>
                <c:pt idx="446">
                  <c:v>13.423522048155872</c:v>
                </c:pt>
                <c:pt idx="447">
                  <c:v>13.423522048155872</c:v>
                </c:pt>
                <c:pt idx="448">
                  <c:v>13.423522048155872</c:v>
                </c:pt>
                <c:pt idx="449">
                  <c:v>13.423522048155872</c:v>
                </c:pt>
                <c:pt idx="450">
                  <c:v>13.423522048155872</c:v>
                </c:pt>
                <c:pt idx="451">
                  <c:v>13.423522048155872</c:v>
                </c:pt>
                <c:pt idx="452">
                  <c:v>13.423522048155872</c:v>
                </c:pt>
                <c:pt idx="453">
                  <c:v>13.423522048155872</c:v>
                </c:pt>
                <c:pt idx="454">
                  <c:v>13.423522048155872</c:v>
                </c:pt>
                <c:pt idx="455">
                  <c:v>13.423522048155872</c:v>
                </c:pt>
                <c:pt idx="456">
                  <c:v>13.423522048155872</c:v>
                </c:pt>
                <c:pt idx="457">
                  <c:v>13.423522048155872</c:v>
                </c:pt>
                <c:pt idx="458">
                  <c:v>13.423522048155872</c:v>
                </c:pt>
                <c:pt idx="459">
                  <c:v>13.423522048155872</c:v>
                </c:pt>
                <c:pt idx="460">
                  <c:v>13.423522048155872</c:v>
                </c:pt>
                <c:pt idx="461">
                  <c:v>13.423522048155872</c:v>
                </c:pt>
                <c:pt idx="462">
                  <c:v>13.423522048155872</c:v>
                </c:pt>
                <c:pt idx="463">
                  <c:v>13.423522048155872</c:v>
                </c:pt>
                <c:pt idx="464">
                  <c:v>13.423522048155872</c:v>
                </c:pt>
                <c:pt idx="465">
                  <c:v>13.423522048155872</c:v>
                </c:pt>
                <c:pt idx="466">
                  <c:v>13.423522048155872</c:v>
                </c:pt>
                <c:pt idx="467">
                  <c:v>13.423522048155872</c:v>
                </c:pt>
                <c:pt idx="468">
                  <c:v>13.423522048155872</c:v>
                </c:pt>
                <c:pt idx="469">
                  <c:v>13.423522048155872</c:v>
                </c:pt>
                <c:pt idx="470">
                  <c:v>13.423522048155872</c:v>
                </c:pt>
                <c:pt idx="471">
                  <c:v>13.423522048155872</c:v>
                </c:pt>
                <c:pt idx="472">
                  <c:v>13.423522048155872</c:v>
                </c:pt>
                <c:pt idx="473">
                  <c:v>13.423522048155872</c:v>
                </c:pt>
                <c:pt idx="474">
                  <c:v>13.423522048155872</c:v>
                </c:pt>
                <c:pt idx="475">
                  <c:v>13.423522048155872</c:v>
                </c:pt>
                <c:pt idx="476">
                  <c:v>13.423522048155872</c:v>
                </c:pt>
                <c:pt idx="477">
                  <c:v>13.423522048155872</c:v>
                </c:pt>
                <c:pt idx="478">
                  <c:v>13.423522048155872</c:v>
                </c:pt>
                <c:pt idx="479">
                  <c:v>13.423522048155872</c:v>
                </c:pt>
                <c:pt idx="480">
                  <c:v>13.423522048155872</c:v>
                </c:pt>
                <c:pt idx="481">
                  <c:v>13.423522048155872</c:v>
                </c:pt>
                <c:pt idx="482">
                  <c:v>13.423522048155872</c:v>
                </c:pt>
                <c:pt idx="483">
                  <c:v>13.423522048155872</c:v>
                </c:pt>
                <c:pt idx="484">
                  <c:v>13.423522048155872</c:v>
                </c:pt>
                <c:pt idx="485">
                  <c:v>13.423522048155872</c:v>
                </c:pt>
                <c:pt idx="486">
                  <c:v>13.423522048155872</c:v>
                </c:pt>
                <c:pt idx="487">
                  <c:v>13.423522048155872</c:v>
                </c:pt>
                <c:pt idx="488">
                  <c:v>13.423522048155872</c:v>
                </c:pt>
                <c:pt idx="489">
                  <c:v>13.423522048155872</c:v>
                </c:pt>
                <c:pt idx="490">
                  <c:v>13.423522048155872</c:v>
                </c:pt>
                <c:pt idx="491">
                  <c:v>13.423522048155872</c:v>
                </c:pt>
                <c:pt idx="492">
                  <c:v>13.423522048155872</c:v>
                </c:pt>
                <c:pt idx="493">
                  <c:v>13.423522048155872</c:v>
                </c:pt>
                <c:pt idx="494">
                  <c:v>13.423522048155872</c:v>
                </c:pt>
                <c:pt idx="495">
                  <c:v>13.423522048155872</c:v>
                </c:pt>
                <c:pt idx="496">
                  <c:v>13.423522048155872</c:v>
                </c:pt>
                <c:pt idx="497">
                  <c:v>13.423522048155872</c:v>
                </c:pt>
                <c:pt idx="498">
                  <c:v>13.423522048155872</c:v>
                </c:pt>
                <c:pt idx="499">
                  <c:v>13.423522048155872</c:v>
                </c:pt>
                <c:pt idx="500">
                  <c:v>13.423522048155872</c:v>
                </c:pt>
                <c:pt idx="501">
                  <c:v>13.423522048155872</c:v>
                </c:pt>
                <c:pt idx="502">
                  <c:v>13.423522048155872</c:v>
                </c:pt>
                <c:pt idx="503">
                  <c:v>13.423522048155872</c:v>
                </c:pt>
                <c:pt idx="504">
                  <c:v>13.423522048155872</c:v>
                </c:pt>
                <c:pt idx="505">
                  <c:v>13.423522048155872</c:v>
                </c:pt>
                <c:pt idx="506">
                  <c:v>13.423522048155872</c:v>
                </c:pt>
                <c:pt idx="507">
                  <c:v>13.423522048155872</c:v>
                </c:pt>
                <c:pt idx="508">
                  <c:v>13.423522048155872</c:v>
                </c:pt>
                <c:pt idx="509">
                  <c:v>13.423522048155872</c:v>
                </c:pt>
                <c:pt idx="510">
                  <c:v>13.423522048155872</c:v>
                </c:pt>
                <c:pt idx="511">
                  <c:v>13.423522048155872</c:v>
                </c:pt>
                <c:pt idx="512">
                  <c:v>13.423522048155872</c:v>
                </c:pt>
                <c:pt idx="513">
                  <c:v>13.423522048155872</c:v>
                </c:pt>
                <c:pt idx="514">
                  <c:v>13.423522048155872</c:v>
                </c:pt>
                <c:pt idx="515">
                  <c:v>13.423522048155872</c:v>
                </c:pt>
                <c:pt idx="516">
                  <c:v>13.423522048155872</c:v>
                </c:pt>
                <c:pt idx="517">
                  <c:v>13.423522048155872</c:v>
                </c:pt>
                <c:pt idx="518">
                  <c:v>13.423522048155872</c:v>
                </c:pt>
                <c:pt idx="519">
                  <c:v>13.423522048155872</c:v>
                </c:pt>
                <c:pt idx="520">
                  <c:v>13.423522048155872</c:v>
                </c:pt>
                <c:pt idx="521">
                  <c:v>13.423522048155872</c:v>
                </c:pt>
                <c:pt idx="522">
                  <c:v>13.423522048155872</c:v>
                </c:pt>
                <c:pt idx="523">
                  <c:v>13.423522048155872</c:v>
                </c:pt>
                <c:pt idx="524">
                  <c:v>13.423522048155872</c:v>
                </c:pt>
                <c:pt idx="525">
                  <c:v>13.423522048155872</c:v>
                </c:pt>
                <c:pt idx="526">
                  <c:v>13.423522048155872</c:v>
                </c:pt>
                <c:pt idx="527">
                  <c:v>13.423522048155872</c:v>
                </c:pt>
                <c:pt idx="528">
                  <c:v>13.423522048155872</c:v>
                </c:pt>
                <c:pt idx="529">
                  <c:v>13.423522048155872</c:v>
                </c:pt>
                <c:pt idx="530">
                  <c:v>13.423522048155872</c:v>
                </c:pt>
                <c:pt idx="531">
                  <c:v>13.423522048155872</c:v>
                </c:pt>
                <c:pt idx="532">
                  <c:v>13.423522048155872</c:v>
                </c:pt>
                <c:pt idx="533">
                  <c:v>13.423522048155872</c:v>
                </c:pt>
                <c:pt idx="534">
                  <c:v>13.423522048155872</c:v>
                </c:pt>
                <c:pt idx="535">
                  <c:v>13.423522048155872</c:v>
                </c:pt>
                <c:pt idx="536">
                  <c:v>13.423522048155872</c:v>
                </c:pt>
                <c:pt idx="537">
                  <c:v>13.423522048155872</c:v>
                </c:pt>
                <c:pt idx="538">
                  <c:v>13.423522048155872</c:v>
                </c:pt>
                <c:pt idx="539">
                  <c:v>13.423522048155872</c:v>
                </c:pt>
                <c:pt idx="540">
                  <c:v>13.423522048155872</c:v>
                </c:pt>
                <c:pt idx="541">
                  <c:v>13.423522048155872</c:v>
                </c:pt>
                <c:pt idx="542">
                  <c:v>13.423522048155872</c:v>
                </c:pt>
                <c:pt idx="543">
                  <c:v>13.423522048155872</c:v>
                </c:pt>
                <c:pt idx="544">
                  <c:v>13.423522048155872</c:v>
                </c:pt>
                <c:pt idx="545">
                  <c:v>13.423522048155872</c:v>
                </c:pt>
                <c:pt idx="546">
                  <c:v>13.423522048155872</c:v>
                </c:pt>
                <c:pt idx="547">
                  <c:v>13.423522048155872</c:v>
                </c:pt>
                <c:pt idx="548">
                  <c:v>13.423522048155872</c:v>
                </c:pt>
                <c:pt idx="549">
                  <c:v>13.423522048155872</c:v>
                </c:pt>
                <c:pt idx="550">
                  <c:v>13.423522048155872</c:v>
                </c:pt>
                <c:pt idx="551">
                  <c:v>13.423522048155872</c:v>
                </c:pt>
                <c:pt idx="552">
                  <c:v>13.423522048155872</c:v>
                </c:pt>
                <c:pt idx="553">
                  <c:v>13.423522048155872</c:v>
                </c:pt>
                <c:pt idx="554">
                  <c:v>13.423522048155872</c:v>
                </c:pt>
                <c:pt idx="555">
                  <c:v>13.423522048155872</c:v>
                </c:pt>
                <c:pt idx="556">
                  <c:v>13.423522048155872</c:v>
                </c:pt>
                <c:pt idx="557">
                  <c:v>13.423522048155872</c:v>
                </c:pt>
                <c:pt idx="558">
                  <c:v>13.423522048155872</c:v>
                </c:pt>
                <c:pt idx="559">
                  <c:v>13.423522048155872</c:v>
                </c:pt>
                <c:pt idx="560">
                  <c:v>13.423522048155872</c:v>
                </c:pt>
                <c:pt idx="561">
                  <c:v>13.423522048155872</c:v>
                </c:pt>
                <c:pt idx="562">
                  <c:v>13.423522048155872</c:v>
                </c:pt>
                <c:pt idx="563">
                  <c:v>13.423522048155872</c:v>
                </c:pt>
                <c:pt idx="564">
                  <c:v>13.423522048155872</c:v>
                </c:pt>
                <c:pt idx="565">
                  <c:v>13.423522048155872</c:v>
                </c:pt>
                <c:pt idx="566">
                  <c:v>13.423522048155872</c:v>
                </c:pt>
                <c:pt idx="567">
                  <c:v>13.423522048155872</c:v>
                </c:pt>
                <c:pt idx="568">
                  <c:v>13.423522048155872</c:v>
                </c:pt>
                <c:pt idx="569">
                  <c:v>13.423522048155872</c:v>
                </c:pt>
                <c:pt idx="570">
                  <c:v>13.423522048155872</c:v>
                </c:pt>
                <c:pt idx="571">
                  <c:v>13.423522048155872</c:v>
                </c:pt>
                <c:pt idx="572">
                  <c:v>13.423522048155872</c:v>
                </c:pt>
                <c:pt idx="573">
                  <c:v>13.423522048155872</c:v>
                </c:pt>
                <c:pt idx="574">
                  <c:v>13.423522048155872</c:v>
                </c:pt>
                <c:pt idx="575">
                  <c:v>13.423522048155872</c:v>
                </c:pt>
                <c:pt idx="576">
                  <c:v>13.423522048155872</c:v>
                </c:pt>
                <c:pt idx="577">
                  <c:v>13.423522048155872</c:v>
                </c:pt>
                <c:pt idx="578">
                  <c:v>13.423522048155872</c:v>
                </c:pt>
                <c:pt idx="579">
                  <c:v>13.423522048155872</c:v>
                </c:pt>
                <c:pt idx="580">
                  <c:v>13.423522048155872</c:v>
                </c:pt>
                <c:pt idx="581">
                  <c:v>13.423522048155872</c:v>
                </c:pt>
                <c:pt idx="582">
                  <c:v>13.423522048155872</c:v>
                </c:pt>
                <c:pt idx="583">
                  <c:v>13.423522048155872</c:v>
                </c:pt>
                <c:pt idx="584">
                  <c:v>13.423522048155872</c:v>
                </c:pt>
                <c:pt idx="585">
                  <c:v>13.423522048155872</c:v>
                </c:pt>
                <c:pt idx="586">
                  <c:v>13.423522048155872</c:v>
                </c:pt>
                <c:pt idx="587">
                  <c:v>13.423522048155872</c:v>
                </c:pt>
                <c:pt idx="588">
                  <c:v>13.423522048155872</c:v>
                </c:pt>
                <c:pt idx="589">
                  <c:v>13.423522048155872</c:v>
                </c:pt>
                <c:pt idx="590">
                  <c:v>13.423522048155872</c:v>
                </c:pt>
                <c:pt idx="591">
                  <c:v>13.423522048155872</c:v>
                </c:pt>
                <c:pt idx="592">
                  <c:v>13.423522048155872</c:v>
                </c:pt>
                <c:pt idx="593">
                  <c:v>13.423522048155872</c:v>
                </c:pt>
                <c:pt idx="594">
                  <c:v>13.423522048155872</c:v>
                </c:pt>
                <c:pt idx="595">
                  <c:v>13.423522048155872</c:v>
                </c:pt>
                <c:pt idx="596">
                  <c:v>13.423522048155872</c:v>
                </c:pt>
                <c:pt idx="597">
                  <c:v>13.423522048155872</c:v>
                </c:pt>
                <c:pt idx="598">
                  <c:v>13.423522048155872</c:v>
                </c:pt>
                <c:pt idx="599">
                  <c:v>13.423522048155872</c:v>
                </c:pt>
                <c:pt idx="600">
                  <c:v>13.423522048155872</c:v>
                </c:pt>
                <c:pt idx="601">
                  <c:v>13.423522048155872</c:v>
                </c:pt>
                <c:pt idx="602">
                  <c:v>13.423522048155872</c:v>
                </c:pt>
                <c:pt idx="603">
                  <c:v>13.423522048155872</c:v>
                </c:pt>
                <c:pt idx="604">
                  <c:v>13.423522048155872</c:v>
                </c:pt>
                <c:pt idx="605">
                  <c:v>13.423522048155872</c:v>
                </c:pt>
                <c:pt idx="606">
                  <c:v>13.423522048155872</c:v>
                </c:pt>
                <c:pt idx="607">
                  <c:v>13.423522048155872</c:v>
                </c:pt>
                <c:pt idx="608">
                  <c:v>13.423522048155872</c:v>
                </c:pt>
                <c:pt idx="609">
                  <c:v>13.423522048155872</c:v>
                </c:pt>
                <c:pt idx="610">
                  <c:v>13.423522048155872</c:v>
                </c:pt>
                <c:pt idx="611">
                  <c:v>13.423522048155872</c:v>
                </c:pt>
                <c:pt idx="612">
                  <c:v>13.423522048155872</c:v>
                </c:pt>
                <c:pt idx="613">
                  <c:v>13.423522048155872</c:v>
                </c:pt>
                <c:pt idx="614">
                  <c:v>13.423522048155872</c:v>
                </c:pt>
                <c:pt idx="615">
                  <c:v>13.423522048155872</c:v>
                </c:pt>
                <c:pt idx="616">
                  <c:v>13.423522048155872</c:v>
                </c:pt>
                <c:pt idx="617">
                  <c:v>13.423522048155872</c:v>
                </c:pt>
                <c:pt idx="618">
                  <c:v>13.423522048155872</c:v>
                </c:pt>
                <c:pt idx="619">
                  <c:v>13.423522048155872</c:v>
                </c:pt>
                <c:pt idx="620">
                  <c:v>13.423522048155872</c:v>
                </c:pt>
                <c:pt idx="621">
                  <c:v>13.423522048155872</c:v>
                </c:pt>
                <c:pt idx="622">
                  <c:v>13.423522048155872</c:v>
                </c:pt>
                <c:pt idx="623">
                  <c:v>13.423522048155872</c:v>
                </c:pt>
                <c:pt idx="624">
                  <c:v>13.423522048155872</c:v>
                </c:pt>
                <c:pt idx="625">
                  <c:v>13.423522048155872</c:v>
                </c:pt>
                <c:pt idx="626">
                  <c:v>13.423522048155872</c:v>
                </c:pt>
                <c:pt idx="627">
                  <c:v>13.423522048155872</c:v>
                </c:pt>
                <c:pt idx="628">
                  <c:v>13.423522048155872</c:v>
                </c:pt>
                <c:pt idx="629">
                  <c:v>13.423522048155872</c:v>
                </c:pt>
                <c:pt idx="630">
                  <c:v>13.423522048155872</c:v>
                </c:pt>
                <c:pt idx="631">
                  <c:v>13.423522048155872</c:v>
                </c:pt>
                <c:pt idx="632">
                  <c:v>13.423522048155872</c:v>
                </c:pt>
                <c:pt idx="633">
                  <c:v>13.423522048155872</c:v>
                </c:pt>
                <c:pt idx="634">
                  <c:v>13.423522048155872</c:v>
                </c:pt>
                <c:pt idx="635">
                  <c:v>13.423522048155872</c:v>
                </c:pt>
                <c:pt idx="636">
                  <c:v>13.423522048155872</c:v>
                </c:pt>
                <c:pt idx="637">
                  <c:v>13.423522048155872</c:v>
                </c:pt>
                <c:pt idx="638">
                  <c:v>13.423522048155872</c:v>
                </c:pt>
                <c:pt idx="639">
                  <c:v>13.423522048155872</c:v>
                </c:pt>
                <c:pt idx="640">
                  <c:v>13.423522048155872</c:v>
                </c:pt>
                <c:pt idx="641">
                  <c:v>13.423522048155872</c:v>
                </c:pt>
                <c:pt idx="642">
                  <c:v>13.423522048155872</c:v>
                </c:pt>
                <c:pt idx="643">
                  <c:v>13.423522048155872</c:v>
                </c:pt>
                <c:pt idx="644">
                  <c:v>13.423522048155872</c:v>
                </c:pt>
                <c:pt idx="645">
                  <c:v>13.423522048155872</c:v>
                </c:pt>
                <c:pt idx="646">
                  <c:v>13.423522048155872</c:v>
                </c:pt>
                <c:pt idx="647">
                  <c:v>13.423522048155872</c:v>
                </c:pt>
                <c:pt idx="648">
                  <c:v>13.423522048155872</c:v>
                </c:pt>
                <c:pt idx="649">
                  <c:v>13.423522048155872</c:v>
                </c:pt>
                <c:pt idx="650">
                  <c:v>13.423522048155872</c:v>
                </c:pt>
                <c:pt idx="651">
                  <c:v>13.423522048155872</c:v>
                </c:pt>
                <c:pt idx="652">
                  <c:v>13.423522048155872</c:v>
                </c:pt>
                <c:pt idx="653">
                  <c:v>13.423522048155872</c:v>
                </c:pt>
                <c:pt idx="654">
                  <c:v>13.423522048155872</c:v>
                </c:pt>
                <c:pt idx="655">
                  <c:v>13.423522048155872</c:v>
                </c:pt>
                <c:pt idx="656">
                  <c:v>13.423522048155872</c:v>
                </c:pt>
                <c:pt idx="657">
                  <c:v>13.423522048155872</c:v>
                </c:pt>
                <c:pt idx="658">
                  <c:v>13.423522048155872</c:v>
                </c:pt>
                <c:pt idx="659">
                  <c:v>13.423522048155872</c:v>
                </c:pt>
                <c:pt idx="660">
                  <c:v>13.423522048155872</c:v>
                </c:pt>
                <c:pt idx="661">
                  <c:v>13.423522048155872</c:v>
                </c:pt>
                <c:pt idx="662">
                  <c:v>13.423522048155872</c:v>
                </c:pt>
                <c:pt idx="663">
                  <c:v>13.423522048155872</c:v>
                </c:pt>
                <c:pt idx="664">
                  <c:v>13.423522048155872</c:v>
                </c:pt>
                <c:pt idx="665">
                  <c:v>13.423522048155872</c:v>
                </c:pt>
                <c:pt idx="666">
                  <c:v>13.423522048155872</c:v>
                </c:pt>
                <c:pt idx="667">
                  <c:v>13.423522048155872</c:v>
                </c:pt>
                <c:pt idx="668">
                  <c:v>13.423522048155872</c:v>
                </c:pt>
                <c:pt idx="669">
                  <c:v>13.423522048155872</c:v>
                </c:pt>
                <c:pt idx="670">
                  <c:v>13.423522048155872</c:v>
                </c:pt>
                <c:pt idx="671">
                  <c:v>13.423522048155872</c:v>
                </c:pt>
                <c:pt idx="672">
                  <c:v>13.423522048155872</c:v>
                </c:pt>
                <c:pt idx="673">
                  <c:v>13.423522048155872</c:v>
                </c:pt>
                <c:pt idx="674">
                  <c:v>13.423522048155872</c:v>
                </c:pt>
                <c:pt idx="675">
                  <c:v>13.423522048155872</c:v>
                </c:pt>
                <c:pt idx="676">
                  <c:v>13.423522048155872</c:v>
                </c:pt>
                <c:pt idx="677">
                  <c:v>13.423522048155872</c:v>
                </c:pt>
                <c:pt idx="678">
                  <c:v>13.423522048155872</c:v>
                </c:pt>
                <c:pt idx="679">
                  <c:v>13.423522048155872</c:v>
                </c:pt>
                <c:pt idx="680">
                  <c:v>13.423522048155872</c:v>
                </c:pt>
                <c:pt idx="681">
                  <c:v>13.423522048155872</c:v>
                </c:pt>
                <c:pt idx="682">
                  <c:v>13.423522048155872</c:v>
                </c:pt>
                <c:pt idx="683">
                  <c:v>13.423522048155872</c:v>
                </c:pt>
                <c:pt idx="684">
                  <c:v>13.423522048155872</c:v>
                </c:pt>
                <c:pt idx="685">
                  <c:v>13.423522048155872</c:v>
                </c:pt>
                <c:pt idx="686">
                  <c:v>13.423522048155872</c:v>
                </c:pt>
                <c:pt idx="687">
                  <c:v>13.423522048155872</c:v>
                </c:pt>
                <c:pt idx="688">
                  <c:v>13.423522048155872</c:v>
                </c:pt>
                <c:pt idx="689">
                  <c:v>13.423522048155872</c:v>
                </c:pt>
                <c:pt idx="690">
                  <c:v>13.423522048155872</c:v>
                </c:pt>
                <c:pt idx="691">
                  <c:v>13.423522048155872</c:v>
                </c:pt>
                <c:pt idx="692">
                  <c:v>13.423522048155872</c:v>
                </c:pt>
                <c:pt idx="693">
                  <c:v>13.423522048155872</c:v>
                </c:pt>
                <c:pt idx="694">
                  <c:v>13.423522048155872</c:v>
                </c:pt>
                <c:pt idx="695">
                  <c:v>13.423522048155872</c:v>
                </c:pt>
                <c:pt idx="696">
                  <c:v>13.423522048155872</c:v>
                </c:pt>
                <c:pt idx="697">
                  <c:v>13.423522048155872</c:v>
                </c:pt>
                <c:pt idx="698">
                  <c:v>13.423522048155872</c:v>
                </c:pt>
                <c:pt idx="699">
                  <c:v>13.423522048155872</c:v>
                </c:pt>
                <c:pt idx="700">
                  <c:v>13.423522048155872</c:v>
                </c:pt>
                <c:pt idx="701">
                  <c:v>13.423522048155872</c:v>
                </c:pt>
                <c:pt idx="702">
                  <c:v>13.423522048155872</c:v>
                </c:pt>
                <c:pt idx="703">
                  <c:v>13.423522048155872</c:v>
                </c:pt>
                <c:pt idx="704">
                  <c:v>13.423522048155872</c:v>
                </c:pt>
                <c:pt idx="705">
                  <c:v>13.423522048155872</c:v>
                </c:pt>
                <c:pt idx="706">
                  <c:v>13.423522048155872</c:v>
                </c:pt>
                <c:pt idx="707">
                  <c:v>13.423522048155872</c:v>
                </c:pt>
                <c:pt idx="708">
                  <c:v>13.423522048155872</c:v>
                </c:pt>
                <c:pt idx="709">
                  <c:v>13.423522048155872</c:v>
                </c:pt>
                <c:pt idx="710">
                  <c:v>13.423522048155872</c:v>
                </c:pt>
                <c:pt idx="711">
                  <c:v>13.423522048155872</c:v>
                </c:pt>
                <c:pt idx="712">
                  <c:v>13.423522048155872</c:v>
                </c:pt>
                <c:pt idx="713">
                  <c:v>13.423522048155872</c:v>
                </c:pt>
                <c:pt idx="714">
                  <c:v>13.423522048155872</c:v>
                </c:pt>
                <c:pt idx="715">
                  <c:v>13.423522048155872</c:v>
                </c:pt>
                <c:pt idx="716">
                  <c:v>13.423522048155872</c:v>
                </c:pt>
                <c:pt idx="717">
                  <c:v>13.423522048155872</c:v>
                </c:pt>
                <c:pt idx="718">
                  <c:v>13.423522048155872</c:v>
                </c:pt>
                <c:pt idx="719">
                  <c:v>13.423522048155872</c:v>
                </c:pt>
                <c:pt idx="720">
                  <c:v>13.423522048155872</c:v>
                </c:pt>
                <c:pt idx="721">
                  <c:v>13.423522048155872</c:v>
                </c:pt>
                <c:pt idx="722">
                  <c:v>13.423522048155872</c:v>
                </c:pt>
                <c:pt idx="723">
                  <c:v>13.423522048155872</c:v>
                </c:pt>
                <c:pt idx="724">
                  <c:v>13.423522048155872</c:v>
                </c:pt>
                <c:pt idx="725">
                  <c:v>13.423522048155872</c:v>
                </c:pt>
                <c:pt idx="726">
                  <c:v>13.423522048155872</c:v>
                </c:pt>
                <c:pt idx="727">
                  <c:v>13.423522048155872</c:v>
                </c:pt>
                <c:pt idx="728">
                  <c:v>13.423522048155872</c:v>
                </c:pt>
                <c:pt idx="729">
                  <c:v>13.423522048155872</c:v>
                </c:pt>
                <c:pt idx="730">
                  <c:v>13.423522048155872</c:v>
                </c:pt>
                <c:pt idx="731">
                  <c:v>13.423522048155872</c:v>
                </c:pt>
                <c:pt idx="732">
                  <c:v>13.423522048155872</c:v>
                </c:pt>
                <c:pt idx="733">
                  <c:v>13.423522048155872</c:v>
                </c:pt>
                <c:pt idx="734">
                  <c:v>13.423522048155872</c:v>
                </c:pt>
                <c:pt idx="735">
                  <c:v>13.423522048155872</c:v>
                </c:pt>
                <c:pt idx="736">
                  <c:v>13.423522048155872</c:v>
                </c:pt>
                <c:pt idx="737">
                  <c:v>13.423522048155872</c:v>
                </c:pt>
                <c:pt idx="738">
                  <c:v>13.423522048155872</c:v>
                </c:pt>
                <c:pt idx="739">
                  <c:v>13.423522048155872</c:v>
                </c:pt>
                <c:pt idx="740">
                  <c:v>13.423522048155872</c:v>
                </c:pt>
                <c:pt idx="741">
                  <c:v>13.423522048155872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0C-4C09-8815-39EBA7ADE92B}"/>
            </c:ext>
          </c:extLst>
        </c:ser>
        <c:ser>
          <c:idx val="2"/>
          <c:order val="1"/>
          <c:tx>
            <c:strRef>
              <c:f>'FX Data'!$H$1461</c:f>
              <c:strCache>
                <c:ptCount val="1"/>
                <c:pt idx="0">
                  <c:v>17.0</c:v>
                </c:pt>
              </c:strCache>
            </c:strRef>
          </c:tx>
          <c:spPr>
            <a:ln w="12700" cap="rnd">
              <a:solidFill>
                <a:srgbClr val="F79646">
                  <a:lumMod val="60000"/>
                  <a:lumOff val="40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'FX Data'!$B$1457:$B$2460</c:f>
              <c:numCache>
                <c:formatCode>m/d/yyyy</c:formatCode>
                <c:ptCount val="1004"/>
                <c:pt idx="0">
                  <c:v>44993</c:v>
                </c:pt>
                <c:pt idx="1">
                  <c:v>44994</c:v>
                </c:pt>
                <c:pt idx="2">
                  <c:v>44995</c:v>
                </c:pt>
                <c:pt idx="3">
                  <c:v>44998</c:v>
                </c:pt>
                <c:pt idx="4">
                  <c:v>44999</c:v>
                </c:pt>
                <c:pt idx="5">
                  <c:v>45000</c:v>
                </c:pt>
                <c:pt idx="6">
                  <c:v>45001</c:v>
                </c:pt>
                <c:pt idx="7">
                  <c:v>45002</c:v>
                </c:pt>
                <c:pt idx="8">
                  <c:v>45005</c:v>
                </c:pt>
                <c:pt idx="9">
                  <c:v>45006</c:v>
                </c:pt>
                <c:pt idx="10">
                  <c:v>45007</c:v>
                </c:pt>
                <c:pt idx="11">
                  <c:v>45008</c:v>
                </c:pt>
                <c:pt idx="12">
                  <c:v>45009</c:v>
                </c:pt>
                <c:pt idx="13">
                  <c:v>45012</c:v>
                </c:pt>
                <c:pt idx="14">
                  <c:v>45013</c:v>
                </c:pt>
                <c:pt idx="15">
                  <c:v>45014</c:v>
                </c:pt>
                <c:pt idx="16">
                  <c:v>45015</c:v>
                </c:pt>
                <c:pt idx="17">
                  <c:v>45016</c:v>
                </c:pt>
                <c:pt idx="18">
                  <c:v>45019</c:v>
                </c:pt>
                <c:pt idx="19">
                  <c:v>45020</c:v>
                </c:pt>
                <c:pt idx="20">
                  <c:v>45021</c:v>
                </c:pt>
                <c:pt idx="21">
                  <c:v>45022</c:v>
                </c:pt>
                <c:pt idx="22">
                  <c:v>45023</c:v>
                </c:pt>
                <c:pt idx="23">
                  <c:v>45026</c:v>
                </c:pt>
                <c:pt idx="24">
                  <c:v>45027</c:v>
                </c:pt>
                <c:pt idx="25">
                  <c:v>45028</c:v>
                </c:pt>
                <c:pt idx="26">
                  <c:v>45029</c:v>
                </c:pt>
                <c:pt idx="27">
                  <c:v>45030</c:v>
                </c:pt>
                <c:pt idx="28">
                  <c:v>45033</c:v>
                </c:pt>
                <c:pt idx="29">
                  <c:v>45034</c:v>
                </c:pt>
                <c:pt idx="30">
                  <c:v>45035</c:v>
                </c:pt>
                <c:pt idx="31">
                  <c:v>45036</c:v>
                </c:pt>
                <c:pt idx="32">
                  <c:v>45037</c:v>
                </c:pt>
                <c:pt idx="33">
                  <c:v>45040</c:v>
                </c:pt>
                <c:pt idx="34">
                  <c:v>45041</c:v>
                </c:pt>
                <c:pt idx="35">
                  <c:v>45042</c:v>
                </c:pt>
                <c:pt idx="36">
                  <c:v>45043</c:v>
                </c:pt>
                <c:pt idx="37">
                  <c:v>45044</c:v>
                </c:pt>
                <c:pt idx="38">
                  <c:v>45050</c:v>
                </c:pt>
                <c:pt idx="39">
                  <c:v>45051</c:v>
                </c:pt>
                <c:pt idx="40">
                  <c:v>45054</c:v>
                </c:pt>
                <c:pt idx="41">
                  <c:v>45055</c:v>
                </c:pt>
                <c:pt idx="42">
                  <c:v>45056</c:v>
                </c:pt>
                <c:pt idx="43">
                  <c:v>45057</c:v>
                </c:pt>
                <c:pt idx="44">
                  <c:v>45058</c:v>
                </c:pt>
                <c:pt idx="45">
                  <c:v>45061</c:v>
                </c:pt>
                <c:pt idx="46">
                  <c:v>45062</c:v>
                </c:pt>
                <c:pt idx="47">
                  <c:v>45063</c:v>
                </c:pt>
                <c:pt idx="48">
                  <c:v>45064</c:v>
                </c:pt>
                <c:pt idx="49">
                  <c:v>45065</c:v>
                </c:pt>
                <c:pt idx="50">
                  <c:v>45068</c:v>
                </c:pt>
                <c:pt idx="51">
                  <c:v>45069</c:v>
                </c:pt>
                <c:pt idx="52">
                  <c:v>45070</c:v>
                </c:pt>
                <c:pt idx="53">
                  <c:v>45071</c:v>
                </c:pt>
                <c:pt idx="54">
                  <c:v>45072</c:v>
                </c:pt>
                <c:pt idx="55">
                  <c:v>45075</c:v>
                </c:pt>
                <c:pt idx="56">
                  <c:v>45076</c:v>
                </c:pt>
                <c:pt idx="57">
                  <c:v>45077</c:v>
                </c:pt>
                <c:pt idx="58">
                  <c:v>45078</c:v>
                </c:pt>
                <c:pt idx="59">
                  <c:v>45079</c:v>
                </c:pt>
                <c:pt idx="60">
                  <c:v>45082</c:v>
                </c:pt>
                <c:pt idx="61">
                  <c:v>45083</c:v>
                </c:pt>
                <c:pt idx="62">
                  <c:v>45084</c:v>
                </c:pt>
                <c:pt idx="63">
                  <c:v>45085</c:v>
                </c:pt>
                <c:pt idx="64">
                  <c:v>45086</c:v>
                </c:pt>
                <c:pt idx="65">
                  <c:v>45089</c:v>
                </c:pt>
                <c:pt idx="66">
                  <c:v>45090</c:v>
                </c:pt>
                <c:pt idx="67">
                  <c:v>45091</c:v>
                </c:pt>
                <c:pt idx="68">
                  <c:v>45092</c:v>
                </c:pt>
                <c:pt idx="69">
                  <c:v>45093</c:v>
                </c:pt>
                <c:pt idx="70">
                  <c:v>45096</c:v>
                </c:pt>
                <c:pt idx="71">
                  <c:v>45097</c:v>
                </c:pt>
                <c:pt idx="72">
                  <c:v>45098</c:v>
                </c:pt>
                <c:pt idx="73">
                  <c:v>45099</c:v>
                </c:pt>
                <c:pt idx="74">
                  <c:v>45100</c:v>
                </c:pt>
                <c:pt idx="75">
                  <c:v>45103</c:v>
                </c:pt>
                <c:pt idx="76">
                  <c:v>45104</c:v>
                </c:pt>
                <c:pt idx="77">
                  <c:v>45105</c:v>
                </c:pt>
                <c:pt idx="78">
                  <c:v>45106</c:v>
                </c:pt>
                <c:pt idx="79">
                  <c:v>45107</c:v>
                </c:pt>
                <c:pt idx="80">
                  <c:v>45110</c:v>
                </c:pt>
                <c:pt idx="81">
                  <c:v>45111</c:v>
                </c:pt>
                <c:pt idx="82">
                  <c:v>45112</c:v>
                </c:pt>
                <c:pt idx="83">
                  <c:v>45113</c:v>
                </c:pt>
                <c:pt idx="84">
                  <c:v>45114</c:v>
                </c:pt>
                <c:pt idx="85">
                  <c:v>45117</c:v>
                </c:pt>
                <c:pt idx="86">
                  <c:v>45118</c:v>
                </c:pt>
                <c:pt idx="87">
                  <c:v>45119</c:v>
                </c:pt>
                <c:pt idx="88">
                  <c:v>45120</c:v>
                </c:pt>
                <c:pt idx="89">
                  <c:v>45121</c:v>
                </c:pt>
                <c:pt idx="90">
                  <c:v>45124</c:v>
                </c:pt>
                <c:pt idx="91">
                  <c:v>45125</c:v>
                </c:pt>
                <c:pt idx="92">
                  <c:v>45126</c:v>
                </c:pt>
                <c:pt idx="93">
                  <c:v>45127</c:v>
                </c:pt>
                <c:pt idx="94">
                  <c:v>45128</c:v>
                </c:pt>
                <c:pt idx="95">
                  <c:v>45131</c:v>
                </c:pt>
                <c:pt idx="96">
                  <c:v>45132</c:v>
                </c:pt>
                <c:pt idx="97">
                  <c:v>45133</c:v>
                </c:pt>
                <c:pt idx="98">
                  <c:v>45134</c:v>
                </c:pt>
                <c:pt idx="99">
                  <c:v>45135</c:v>
                </c:pt>
                <c:pt idx="100">
                  <c:v>45138</c:v>
                </c:pt>
                <c:pt idx="101">
                  <c:v>45139</c:v>
                </c:pt>
                <c:pt idx="102">
                  <c:v>45140</c:v>
                </c:pt>
                <c:pt idx="103">
                  <c:v>45141</c:v>
                </c:pt>
                <c:pt idx="104">
                  <c:v>45142</c:v>
                </c:pt>
                <c:pt idx="105">
                  <c:v>45145</c:v>
                </c:pt>
                <c:pt idx="106">
                  <c:v>45146</c:v>
                </c:pt>
                <c:pt idx="107">
                  <c:v>45147</c:v>
                </c:pt>
                <c:pt idx="108">
                  <c:v>45148</c:v>
                </c:pt>
                <c:pt idx="109">
                  <c:v>45149</c:v>
                </c:pt>
                <c:pt idx="110">
                  <c:v>45152</c:v>
                </c:pt>
                <c:pt idx="111">
                  <c:v>45153</c:v>
                </c:pt>
                <c:pt idx="112">
                  <c:v>45154</c:v>
                </c:pt>
                <c:pt idx="113">
                  <c:v>45155</c:v>
                </c:pt>
                <c:pt idx="114">
                  <c:v>45156</c:v>
                </c:pt>
                <c:pt idx="115">
                  <c:v>45159</c:v>
                </c:pt>
                <c:pt idx="116">
                  <c:v>45160</c:v>
                </c:pt>
                <c:pt idx="117">
                  <c:v>45161</c:v>
                </c:pt>
                <c:pt idx="118">
                  <c:v>45162</c:v>
                </c:pt>
                <c:pt idx="119">
                  <c:v>45163</c:v>
                </c:pt>
                <c:pt idx="120">
                  <c:v>45166</c:v>
                </c:pt>
                <c:pt idx="121">
                  <c:v>45167</c:v>
                </c:pt>
                <c:pt idx="122">
                  <c:v>45168</c:v>
                </c:pt>
                <c:pt idx="123">
                  <c:v>45169</c:v>
                </c:pt>
                <c:pt idx="124">
                  <c:v>45174</c:v>
                </c:pt>
                <c:pt idx="125">
                  <c:v>45175</c:v>
                </c:pt>
                <c:pt idx="126">
                  <c:v>45176</c:v>
                </c:pt>
                <c:pt idx="127">
                  <c:v>45177</c:v>
                </c:pt>
                <c:pt idx="128">
                  <c:v>45180</c:v>
                </c:pt>
                <c:pt idx="129">
                  <c:v>45181</c:v>
                </c:pt>
                <c:pt idx="130">
                  <c:v>45182</c:v>
                </c:pt>
                <c:pt idx="131">
                  <c:v>45183</c:v>
                </c:pt>
                <c:pt idx="132">
                  <c:v>45184</c:v>
                </c:pt>
                <c:pt idx="133">
                  <c:v>45187</c:v>
                </c:pt>
                <c:pt idx="134">
                  <c:v>45188</c:v>
                </c:pt>
                <c:pt idx="135">
                  <c:v>45189</c:v>
                </c:pt>
                <c:pt idx="136">
                  <c:v>45190</c:v>
                </c:pt>
                <c:pt idx="137">
                  <c:v>45191</c:v>
                </c:pt>
                <c:pt idx="138">
                  <c:v>45194</c:v>
                </c:pt>
                <c:pt idx="139">
                  <c:v>45195</c:v>
                </c:pt>
                <c:pt idx="140">
                  <c:v>45196</c:v>
                </c:pt>
                <c:pt idx="141">
                  <c:v>45197</c:v>
                </c:pt>
                <c:pt idx="142">
                  <c:v>45198</c:v>
                </c:pt>
                <c:pt idx="143">
                  <c:v>45201</c:v>
                </c:pt>
                <c:pt idx="144">
                  <c:v>45202</c:v>
                </c:pt>
                <c:pt idx="145">
                  <c:v>45203</c:v>
                </c:pt>
                <c:pt idx="146">
                  <c:v>45204</c:v>
                </c:pt>
                <c:pt idx="147">
                  <c:v>45205</c:v>
                </c:pt>
                <c:pt idx="148">
                  <c:v>45208</c:v>
                </c:pt>
                <c:pt idx="149">
                  <c:v>45209</c:v>
                </c:pt>
                <c:pt idx="150">
                  <c:v>45210</c:v>
                </c:pt>
                <c:pt idx="151">
                  <c:v>45211</c:v>
                </c:pt>
                <c:pt idx="152">
                  <c:v>45212</c:v>
                </c:pt>
                <c:pt idx="153">
                  <c:v>45215</c:v>
                </c:pt>
                <c:pt idx="154">
                  <c:v>45216</c:v>
                </c:pt>
                <c:pt idx="155">
                  <c:v>45217</c:v>
                </c:pt>
                <c:pt idx="156">
                  <c:v>45218</c:v>
                </c:pt>
                <c:pt idx="157">
                  <c:v>45219</c:v>
                </c:pt>
                <c:pt idx="158">
                  <c:v>45222</c:v>
                </c:pt>
                <c:pt idx="159">
                  <c:v>45223</c:v>
                </c:pt>
                <c:pt idx="160">
                  <c:v>45224</c:v>
                </c:pt>
                <c:pt idx="161">
                  <c:v>45225</c:v>
                </c:pt>
                <c:pt idx="162">
                  <c:v>45226</c:v>
                </c:pt>
                <c:pt idx="163">
                  <c:v>45229</c:v>
                </c:pt>
                <c:pt idx="164">
                  <c:v>45230</c:v>
                </c:pt>
                <c:pt idx="165">
                  <c:v>45231</c:v>
                </c:pt>
                <c:pt idx="166">
                  <c:v>45232</c:v>
                </c:pt>
                <c:pt idx="167">
                  <c:v>45233</c:v>
                </c:pt>
                <c:pt idx="168">
                  <c:v>45236</c:v>
                </c:pt>
                <c:pt idx="169">
                  <c:v>45237</c:v>
                </c:pt>
                <c:pt idx="170">
                  <c:v>45238</c:v>
                </c:pt>
                <c:pt idx="171">
                  <c:v>45239</c:v>
                </c:pt>
                <c:pt idx="172">
                  <c:v>45240</c:v>
                </c:pt>
                <c:pt idx="173">
                  <c:v>45243</c:v>
                </c:pt>
                <c:pt idx="174">
                  <c:v>45244</c:v>
                </c:pt>
                <c:pt idx="175">
                  <c:v>45245</c:v>
                </c:pt>
                <c:pt idx="176">
                  <c:v>45246</c:v>
                </c:pt>
                <c:pt idx="177">
                  <c:v>45247</c:v>
                </c:pt>
                <c:pt idx="178">
                  <c:v>45250</c:v>
                </c:pt>
                <c:pt idx="179">
                  <c:v>45251</c:v>
                </c:pt>
                <c:pt idx="180">
                  <c:v>45252</c:v>
                </c:pt>
                <c:pt idx="181">
                  <c:v>45253</c:v>
                </c:pt>
                <c:pt idx="182">
                  <c:v>45254</c:v>
                </c:pt>
                <c:pt idx="183">
                  <c:v>45257</c:v>
                </c:pt>
                <c:pt idx="184">
                  <c:v>45258</c:v>
                </c:pt>
                <c:pt idx="185">
                  <c:v>45259</c:v>
                </c:pt>
                <c:pt idx="186">
                  <c:v>45260</c:v>
                </c:pt>
                <c:pt idx="187">
                  <c:v>45261</c:v>
                </c:pt>
                <c:pt idx="188">
                  <c:v>45264</c:v>
                </c:pt>
                <c:pt idx="189">
                  <c:v>45265</c:v>
                </c:pt>
                <c:pt idx="190">
                  <c:v>45266</c:v>
                </c:pt>
                <c:pt idx="191">
                  <c:v>45267</c:v>
                </c:pt>
                <c:pt idx="192">
                  <c:v>45268</c:v>
                </c:pt>
                <c:pt idx="193">
                  <c:v>45271</c:v>
                </c:pt>
                <c:pt idx="194">
                  <c:v>45272</c:v>
                </c:pt>
                <c:pt idx="195">
                  <c:v>45273</c:v>
                </c:pt>
                <c:pt idx="196">
                  <c:v>45274</c:v>
                </c:pt>
                <c:pt idx="197">
                  <c:v>45275</c:v>
                </c:pt>
                <c:pt idx="198">
                  <c:v>45278</c:v>
                </c:pt>
                <c:pt idx="199">
                  <c:v>45279</c:v>
                </c:pt>
                <c:pt idx="200">
                  <c:v>45280</c:v>
                </c:pt>
                <c:pt idx="201">
                  <c:v>45281</c:v>
                </c:pt>
                <c:pt idx="202">
                  <c:v>45282</c:v>
                </c:pt>
                <c:pt idx="203">
                  <c:v>45285</c:v>
                </c:pt>
                <c:pt idx="204">
                  <c:v>45286</c:v>
                </c:pt>
                <c:pt idx="205">
                  <c:v>45287</c:v>
                </c:pt>
                <c:pt idx="206">
                  <c:v>45288</c:v>
                </c:pt>
                <c:pt idx="207">
                  <c:v>45289</c:v>
                </c:pt>
                <c:pt idx="208">
                  <c:v>45293</c:v>
                </c:pt>
                <c:pt idx="209">
                  <c:v>45294</c:v>
                </c:pt>
                <c:pt idx="210">
                  <c:v>45295</c:v>
                </c:pt>
                <c:pt idx="211">
                  <c:v>45296</c:v>
                </c:pt>
                <c:pt idx="212">
                  <c:v>45299</c:v>
                </c:pt>
                <c:pt idx="213">
                  <c:v>45300</c:v>
                </c:pt>
                <c:pt idx="214">
                  <c:v>45301</c:v>
                </c:pt>
                <c:pt idx="215">
                  <c:v>45302</c:v>
                </c:pt>
                <c:pt idx="216">
                  <c:v>45303</c:v>
                </c:pt>
                <c:pt idx="217">
                  <c:v>45306</c:v>
                </c:pt>
                <c:pt idx="218">
                  <c:v>45307</c:v>
                </c:pt>
                <c:pt idx="219">
                  <c:v>45308</c:v>
                </c:pt>
                <c:pt idx="220">
                  <c:v>45309</c:v>
                </c:pt>
                <c:pt idx="221">
                  <c:v>45310</c:v>
                </c:pt>
                <c:pt idx="222">
                  <c:v>45313</c:v>
                </c:pt>
                <c:pt idx="223">
                  <c:v>45314</c:v>
                </c:pt>
                <c:pt idx="224">
                  <c:v>45315</c:v>
                </c:pt>
                <c:pt idx="225">
                  <c:v>45316</c:v>
                </c:pt>
                <c:pt idx="226">
                  <c:v>45317</c:v>
                </c:pt>
                <c:pt idx="227">
                  <c:v>45320</c:v>
                </c:pt>
                <c:pt idx="228">
                  <c:v>45321</c:v>
                </c:pt>
                <c:pt idx="229">
                  <c:v>45322</c:v>
                </c:pt>
                <c:pt idx="230">
                  <c:v>45323</c:v>
                </c:pt>
                <c:pt idx="231">
                  <c:v>45324</c:v>
                </c:pt>
                <c:pt idx="232">
                  <c:v>45327</c:v>
                </c:pt>
                <c:pt idx="233">
                  <c:v>45328</c:v>
                </c:pt>
                <c:pt idx="234">
                  <c:v>45329</c:v>
                </c:pt>
                <c:pt idx="235">
                  <c:v>45337</c:v>
                </c:pt>
                <c:pt idx="236">
                  <c:v>45338</c:v>
                </c:pt>
                <c:pt idx="237">
                  <c:v>45341</c:v>
                </c:pt>
                <c:pt idx="238">
                  <c:v>45342</c:v>
                </c:pt>
                <c:pt idx="239">
                  <c:v>45343</c:v>
                </c:pt>
                <c:pt idx="240">
                  <c:v>45344</c:v>
                </c:pt>
                <c:pt idx="241">
                  <c:v>45345</c:v>
                </c:pt>
                <c:pt idx="242">
                  <c:v>45348</c:v>
                </c:pt>
                <c:pt idx="243">
                  <c:v>45349</c:v>
                </c:pt>
                <c:pt idx="244">
                  <c:v>45350</c:v>
                </c:pt>
                <c:pt idx="245">
                  <c:v>45351</c:v>
                </c:pt>
                <c:pt idx="246">
                  <c:v>45352</c:v>
                </c:pt>
                <c:pt idx="247">
                  <c:v>45355</c:v>
                </c:pt>
                <c:pt idx="248">
                  <c:v>45356</c:v>
                </c:pt>
                <c:pt idx="249">
                  <c:v>45357</c:v>
                </c:pt>
                <c:pt idx="250">
                  <c:v>45358</c:v>
                </c:pt>
                <c:pt idx="251">
                  <c:v>45359</c:v>
                </c:pt>
                <c:pt idx="252">
                  <c:v>45362</c:v>
                </c:pt>
                <c:pt idx="253">
                  <c:v>45363</c:v>
                </c:pt>
                <c:pt idx="254">
                  <c:v>45364</c:v>
                </c:pt>
                <c:pt idx="255">
                  <c:v>45365</c:v>
                </c:pt>
                <c:pt idx="256">
                  <c:v>45366</c:v>
                </c:pt>
                <c:pt idx="257">
                  <c:v>45369</c:v>
                </c:pt>
                <c:pt idx="258">
                  <c:v>45370</c:v>
                </c:pt>
                <c:pt idx="259">
                  <c:v>45371</c:v>
                </c:pt>
                <c:pt idx="260">
                  <c:v>45372</c:v>
                </c:pt>
                <c:pt idx="261">
                  <c:v>45373</c:v>
                </c:pt>
                <c:pt idx="262">
                  <c:v>45376</c:v>
                </c:pt>
                <c:pt idx="263">
                  <c:v>45377</c:v>
                </c:pt>
                <c:pt idx="264">
                  <c:v>45378</c:v>
                </c:pt>
                <c:pt idx="265">
                  <c:v>45379</c:v>
                </c:pt>
                <c:pt idx="266">
                  <c:v>45380</c:v>
                </c:pt>
                <c:pt idx="267">
                  <c:v>45383</c:v>
                </c:pt>
                <c:pt idx="268">
                  <c:v>45384</c:v>
                </c:pt>
                <c:pt idx="269">
                  <c:v>45385</c:v>
                </c:pt>
                <c:pt idx="270">
                  <c:v>45386</c:v>
                </c:pt>
                <c:pt idx="271">
                  <c:v>45387</c:v>
                </c:pt>
                <c:pt idx="272">
                  <c:v>45390</c:v>
                </c:pt>
                <c:pt idx="273">
                  <c:v>45391</c:v>
                </c:pt>
                <c:pt idx="274">
                  <c:v>45392</c:v>
                </c:pt>
                <c:pt idx="275">
                  <c:v>45393</c:v>
                </c:pt>
                <c:pt idx="276">
                  <c:v>45394</c:v>
                </c:pt>
                <c:pt idx="277">
                  <c:v>45397</c:v>
                </c:pt>
                <c:pt idx="278">
                  <c:v>45398</c:v>
                </c:pt>
                <c:pt idx="279">
                  <c:v>45399</c:v>
                </c:pt>
                <c:pt idx="280">
                  <c:v>45401</c:v>
                </c:pt>
                <c:pt idx="281">
                  <c:v>45404</c:v>
                </c:pt>
                <c:pt idx="282">
                  <c:v>45405</c:v>
                </c:pt>
                <c:pt idx="283">
                  <c:v>45406</c:v>
                </c:pt>
                <c:pt idx="284">
                  <c:v>45407</c:v>
                </c:pt>
                <c:pt idx="285">
                  <c:v>45408</c:v>
                </c:pt>
                <c:pt idx="286">
                  <c:v>45414</c:v>
                </c:pt>
                <c:pt idx="287">
                  <c:v>45415</c:v>
                </c:pt>
                <c:pt idx="288">
                  <c:v>45418</c:v>
                </c:pt>
                <c:pt idx="289">
                  <c:v>45419</c:v>
                </c:pt>
                <c:pt idx="290">
                  <c:v>45420</c:v>
                </c:pt>
                <c:pt idx="291">
                  <c:v>45421</c:v>
                </c:pt>
                <c:pt idx="292">
                  <c:v>45422</c:v>
                </c:pt>
                <c:pt idx="293">
                  <c:v>45425</c:v>
                </c:pt>
                <c:pt idx="294">
                  <c:v>45426</c:v>
                </c:pt>
                <c:pt idx="295">
                  <c:v>45427</c:v>
                </c:pt>
                <c:pt idx="296">
                  <c:v>45428</c:v>
                </c:pt>
                <c:pt idx="297">
                  <c:v>45429</c:v>
                </c:pt>
                <c:pt idx="298">
                  <c:v>45432</c:v>
                </c:pt>
                <c:pt idx="299">
                  <c:v>45433</c:v>
                </c:pt>
                <c:pt idx="300">
                  <c:v>45434</c:v>
                </c:pt>
                <c:pt idx="301">
                  <c:v>45435</c:v>
                </c:pt>
                <c:pt idx="302">
                  <c:v>45436</c:v>
                </c:pt>
                <c:pt idx="303">
                  <c:v>45439</c:v>
                </c:pt>
                <c:pt idx="304">
                  <c:v>45440</c:v>
                </c:pt>
                <c:pt idx="305">
                  <c:v>45441</c:v>
                </c:pt>
                <c:pt idx="306">
                  <c:v>45442</c:v>
                </c:pt>
                <c:pt idx="307">
                  <c:v>45443</c:v>
                </c:pt>
                <c:pt idx="308">
                  <c:v>45446</c:v>
                </c:pt>
                <c:pt idx="309">
                  <c:v>45447</c:v>
                </c:pt>
                <c:pt idx="310">
                  <c:v>45448</c:v>
                </c:pt>
                <c:pt idx="311">
                  <c:v>45449</c:v>
                </c:pt>
                <c:pt idx="312">
                  <c:v>45450</c:v>
                </c:pt>
                <c:pt idx="313">
                  <c:v>45453</c:v>
                </c:pt>
                <c:pt idx="314">
                  <c:v>45454</c:v>
                </c:pt>
                <c:pt idx="315">
                  <c:v>45455</c:v>
                </c:pt>
                <c:pt idx="316">
                  <c:v>45456</c:v>
                </c:pt>
                <c:pt idx="317">
                  <c:v>45457</c:v>
                </c:pt>
                <c:pt idx="318">
                  <c:v>45460</c:v>
                </c:pt>
                <c:pt idx="319">
                  <c:v>45461</c:v>
                </c:pt>
                <c:pt idx="320">
                  <c:v>45462</c:v>
                </c:pt>
                <c:pt idx="321">
                  <c:v>45463</c:v>
                </c:pt>
                <c:pt idx="322">
                  <c:v>45464</c:v>
                </c:pt>
                <c:pt idx="323">
                  <c:v>45467</c:v>
                </c:pt>
                <c:pt idx="324">
                  <c:v>45468</c:v>
                </c:pt>
                <c:pt idx="325">
                  <c:v>45469</c:v>
                </c:pt>
                <c:pt idx="326">
                  <c:v>45470</c:v>
                </c:pt>
                <c:pt idx="327">
                  <c:v>45471</c:v>
                </c:pt>
                <c:pt idx="328">
                  <c:v>45474</c:v>
                </c:pt>
                <c:pt idx="329">
                  <c:v>45475</c:v>
                </c:pt>
                <c:pt idx="330">
                  <c:v>45476</c:v>
                </c:pt>
                <c:pt idx="331">
                  <c:v>45477</c:v>
                </c:pt>
                <c:pt idx="332">
                  <c:v>45478</c:v>
                </c:pt>
                <c:pt idx="333">
                  <c:v>45481</c:v>
                </c:pt>
                <c:pt idx="334">
                  <c:v>45482</c:v>
                </c:pt>
                <c:pt idx="335">
                  <c:v>45483</c:v>
                </c:pt>
                <c:pt idx="336">
                  <c:v>45484</c:v>
                </c:pt>
                <c:pt idx="337">
                  <c:v>45485</c:v>
                </c:pt>
                <c:pt idx="338">
                  <c:v>45488</c:v>
                </c:pt>
                <c:pt idx="339">
                  <c:v>45489</c:v>
                </c:pt>
                <c:pt idx="340">
                  <c:v>45490</c:v>
                </c:pt>
                <c:pt idx="341">
                  <c:v>45491</c:v>
                </c:pt>
                <c:pt idx="342">
                  <c:v>45492</c:v>
                </c:pt>
                <c:pt idx="343">
                  <c:v>45495</c:v>
                </c:pt>
                <c:pt idx="344">
                  <c:v>45496</c:v>
                </c:pt>
                <c:pt idx="345">
                  <c:v>45497</c:v>
                </c:pt>
                <c:pt idx="346">
                  <c:v>45498</c:v>
                </c:pt>
                <c:pt idx="347">
                  <c:v>45499</c:v>
                </c:pt>
                <c:pt idx="348">
                  <c:v>45502</c:v>
                </c:pt>
                <c:pt idx="349">
                  <c:v>45503</c:v>
                </c:pt>
                <c:pt idx="350">
                  <c:v>45504</c:v>
                </c:pt>
                <c:pt idx="351">
                  <c:v>45505</c:v>
                </c:pt>
                <c:pt idx="352">
                  <c:v>45506</c:v>
                </c:pt>
                <c:pt idx="353">
                  <c:v>45509</c:v>
                </c:pt>
                <c:pt idx="354">
                  <c:v>45510</c:v>
                </c:pt>
                <c:pt idx="355">
                  <c:v>45511</c:v>
                </c:pt>
                <c:pt idx="356">
                  <c:v>45512</c:v>
                </c:pt>
                <c:pt idx="357">
                  <c:v>45513</c:v>
                </c:pt>
                <c:pt idx="358">
                  <c:v>45516</c:v>
                </c:pt>
                <c:pt idx="359">
                  <c:v>45517</c:v>
                </c:pt>
                <c:pt idx="360">
                  <c:v>45518</c:v>
                </c:pt>
                <c:pt idx="361">
                  <c:v>45519</c:v>
                </c:pt>
                <c:pt idx="362">
                  <c:v>45520</c:v>
                </c:pt>
                <c:pt idx="363">
                  <c:v>45523</c:v>
                </c:pt>
                <c:pt idx="364">
                  <c:v>45524</c:v>
                </c:pt>
                <c:pt idx="365">
                  <c:v>45525</c:v>
                </c:pt>
                <c:pt idx="366">
                  <c:v>45526</c:v>
                </c:pt>
                <c:pt idx="367">
                  <c:v>45527</c:v>
                </c:pt>
                <c:pt idx="368">
                  <c:v>45530</c:v>
                </c:pt>
                <c:pt idx="369">
                  <c:v>45531</c:v>
                </c:pt>
                <c:pt idx="370">
                  <c:v>45532</c:v>
                </c:pt>
                <c:pt idx="371">
                  <c:v>45533</c:v>
                </c:pt>
                <c:pt idx="372">
                  <c:v>45534</c:v>
                </c:pt>
                <c:pt idx="373">
                  <c:v>45539</c:v>
                </c:pt>
                <c:pt idx="374">
                  <c:v>45540</c:v>
                </c:pt>
                <c:pt idx="375">
                  <c:v>45541</c:v>
                </c:pt>
                <c:pt idx="376">
                  <c:v>45544</c:v>
                </c:pt>
                <c:pt idx="377">
                  <c:v>45545</c:v>
                </c:pt>
                <c:pt idx="378">
                  <c:v>45546</c:v>
                </c:pt>
                <c:pt idx="379">
                  <c:v>45547</c:v>
                </c:pt>
                <c:pt idx="380">
                  <c:v>45548</c:v>
                </c:pt>
                <c:pt idx="381">
                  <c:v>45551</c:v>
                </c:pt>
                <c:pt idx="382">
                  <c:v>45552</c:v>
                </c:pt>
                <c:pt idx="383">
                  <c:v>45553</c:v>
                </c:pt>
                <c:pt idx="384">
                  <c:v>45554</c:v>
                </c:pt>
                <c:pt idx="385">
                  <c:v>45555</c:v>
                </c:pt>
                <c:pt idx="386">
                  <c:v>45558</c:v>
                </c:pt>
                <c:pt idx="387">
                  <c:v>45559</c:v>
                </c:pt>
                <c:pt idx="388">
                  <c:v>45560</c:v>
                </c:pt>
                <c:pt idx="389">
                  <c:v>45561</c:v>
                </c:pt>
                <c:pt idx="390">
                  <c:v>45562</c:v>
                </c:pt>
                <c:pt idx="391">
                  <c:v>45565</c:v>
                </c:pt>
                <c:pt idx="392">
                  <c:v>45566</c:v>
                </c:pt>
                <c:pt idx="393">
                  <c:v>45567</c:v>
                </c:pt>
                <c:pt idx="394">
                  <c:v>45568</c:v>
                </c:pt>
                <c:pt idx="395">
                  <c:v>45569</c:v>
                </c:pt>
                <c:pt idx="396">
                  <c:v>45572</c:v>
                </c:pt>
                <c:pt idx="397">
                  <c:v>45573</c:v>
                </c:pt>
                <c:pt idx="398">
                  <c:v>45574</c:v>
                </c:pt>
                <c:pt idx="399">
                  <c:v>45575</c:v>
                </c:pt>
                <c:pt idx="400">
                  <c:v>45576</c:v>
                </c:pt>
                <c:pt idx="401">
                  <c:v>45579</c:v>
                </c:pt>
                <c:pt idx="402">
                  <c:v>45580</c:v>
                </c:pt>
                <c:pt idx="403">
                  <c:v>45581</c:v>
                </c:pt>
                <c:pt idx="404">
                  <c:v>45582</c:v>
                </c:pt>
                <c:pt idx="405">
                  <c:v>45583</c:v>
                </c:pt>
                <c:pt idx="406">
                  <c:v>45586</c:v>
                </c:pt>
                <c:pt idx="407">
                  <c:v>45587</c:v>
                </c:pt>
                <c:pt idx="408">
                  <c:v>45588</c:v>
                </c:pt>
                <c:pt idx="409">
                  <c:v>45589</c:v>
                </c:pt>
                <c:pt idx="410">
                  <c:v>45590</c:v>
                </c:pt>
                <c:pt idx="411">
                  <c:v>45593</c:v>
                </c:pt>
                <c:pt idx="412">
                  <c:v>45594</c:v>
                </c:pt>
                <c:pt idx="413">
                  <c:v>45595</c:v>
                </c:pt>
                <c:pt idx="414">
                  <c:v>45596</c:v>
                </c:pt>
                <c:pt idx="415">
                  <c:v>45597</c:v>
                </c:pt>
                <c:pt idx="416">
                  <c:v>45600</c:v>
                </c:pt>
                <c:pt idx="417">
                  <c:v>45601</c:v>
                </c:pt>
                <c:pt idx="418">
                  <c:v>45602</c:v>
                </c:pt>
                <c:pt idx="419">
                  <c:v>45603</c:v>
                </c:pt>
                <c:pt idx="420">
                  <c:v>45604</c:v>
                </c:pt>
                <c:pt idx="421">
                  <c:v>45607</c:v>
                </c:pt>
                <c:pt idx="422">
                  <c:v>45608</c:v>
                </c:pt>
                <c:pt idx="423">
                  <c:v>45609</c:v>
                </c:pt>
                <c:pt idx="424">
                  <c:v>45610</c:v>
                </c:pt>
                <c:pt idx="425">
                  <c:v>45611</c:v>
                </c:pt>
                <c:pt idx="426">
                  <c:v>45614</c:v>
                </c:pt>
                <c:pt idx="427">
                  <c:v>45615</c:v>
                </c:pt>
                <c:pt idx="428">
                  <c:v>45616</c:v>
                </c:pt>
                <c:pt idx="429">
                  <c:v>45617</c:v>
                </c:pt>
                <c:pt idx="430">
                  <c:v>45618</c:v>
                </c:pt>
                <c:pt idx="431">
                  <c:v>45621</c:v>
                </c:pt>
                <c:pt idx="432">
                  <c:v>45622</c:v>
                </c:pt>
                <c:pt idx="433">
                  <c:v>45623</c:v>
                </c:pt>
                <c:pt idx="434">
                  <c:v>45624</c:v>
                </c:pt>
                <c:pt idx="435">
                  <c:v>45625</c:v>
                </c:pt>
                <c:pt idx="436">
                  <c:v>45628</c:v>
                </c:pt>
                <c:pt idx="437">
                  <c:v>45629</c:v>
                </c:pt>
                <c:pt idx="438">
                  <c:v>45630</c:v>
                </c:pt>
                <c:pt idx="439">
                  <c:v>45631</c:v>
                </c:pt>
                <c:pt idx="440">
                  <c:v>45632</c:v>
                </c:pt>
                <c:pt idx="441">
                  <c:v>45635</c:v>
                </c:pt>
                <c:pt idx="442">
                  <c:v>45636</c:v>
                </c:pt>
                <c:pt idx="443">
                  <c:v>45637</c:v>
                </c:pt>
                <c:pt idx="444">
                  <c:v>45638</c:v>
                </c:pt>
                <c:pt idx="445">
                  <c:v>45639</c:v>
                </c:pt>
                <c:pt idx="446">
                  <c:v>45642</c:v>
                </c:pt>
                <c:pt idx="447">
                  <c:v>45643</c:v>
                </c:pt>
                <c:pt idx="448">
                  <c:v>45644</c:v>
                </c:pt>
                <c:pt idx="449">
                  <c:v>45645</c:v>
                </c:pt>
                <c:pt idx="450">
                  <c:v>45646</c:v>
                </c:pt>
                <c:pt idx="451">
                  <c:v>45649</c:v>
                </c:pt>
                <c:pt idx="452">
                  <c:v>45650</c:v>
                </c:pt>
                <c:pt idx="453">
                  <c:v>45651</c:v>
                </c:pt>
                <c:pt idx="454">
                  <c:v>45652</c:v>
                </c:pt>
                <c:pt idx="455">
                  <c:v>45653</c:v>
                </c:pt>
                <c:pt idx="456">
                  <c:v>45656</c:v>
                </c:pt>
                <c:pt idx="457">
                  <c:v>45657</c:v>
                </c:pt>
                <c:pt idx="458">
                  <c:v>45659</c:v>
                </c:pt>
                <c:pt idx="459">
                  <c:v>45660</c:v>
                </c:pt>
                <c:pt idx="460">
                  <c:v>45663</c:v>
                </c:pt>
                <c:pt idx="461">
                  <c:v>45664</c:v>
                </c:pt>
                <c:pt idx="462">
                  <c:v>45665</c:v>
                </c:pt>
                <c:pt idx="463">
                  <c:v>45666</c:v>
                </c:pt>
                <c:pt idx="464">
                  <c:v>45667</c:v>
                </c:pt>
                <c:pt idx="465">
                  <c:v>45670</c:v>
                </c:pt>
                <c:pt idx="466">
                  <c:v>45671</c:v>
                </c:pt>
                <c:pt idx="467">
                  <c:v>45672</c:v>
                </c:pt>
                <c:pt idx="468">
                  <c:v>45673</c:v>
                </c:pt>
                <c:pt idx="469">
                  <c:v>45674</c:v>
                </c:pt>
                <c:pt idx="470">
                  <c:v>45677</c:v>
                </c:pt>
                <c:pt idx="471">
                  <c:v>45678</c:v>
                </c:pt>
                <c:pt idx="472">
                  <c:v>45679</c:v>
                </c:pt>
                <c:pt idx="473">
                  <c:v>45680</c:v>
                </c:pt>
                <c:pt idx="474">
                  <c:v>45681</c:v>
                </c:pt>
                <c:pt idx="475">
                  <c:v>45691</c:v>
                </c:pt>
                <c:pt idx="476">
                  <c:v>45692</c:v>
                </c:pt>
                <c:pt idx="477">
                  <c:v>45693</c:v>
                </c:pt>
                <c:pt idx="478">
                  <c:v>45694</c:v>
                </c:pt>
                <c:pt idx="479">
                  <c:v>45695</c:v>
                </c:pt>
                <c:pt idx="480">
                  <c:v>45698</c:v>
                </c:pt>
                <c:pt idx="481">
                  <c:v>45699</c:v>
                </c:pt>
                <c:pt idx="482">
                  <c:v>45700</c:v>
                </c:pt>
                <c:pt idx="483">
                  <c:v>45701</c:v>
                </c:pt>
                <c:pt idx="484">
                  <c:v>45702</c:v>
                </c:pt>
                <c:pt idx="485">
                  <c:v>45705</c:v>
                </c:pt>
                <c:pt idx="486">
                  <c:v>45706</c:v>
                </c:pt>
                <c:pt idx="487">
                  <c:v>45707</c:v>
                </c:pt>
                <c:pt idx="488">
                  <c:v>45708</c:v>
                </c:pt>
                <c:pt idx="489">
                  <c:v>45709</c:v>
                </c:pt>
                <c:pt idx="490">
                  <c:v>45712</c:v>
                </c:pt>
                <c:pt idx="491">
                  <c:v>45713</c:v>
                </c:pt>
                <c:pt idx="492">
                  <c:v>45714</c:v>
                </c:pt>
                <c:pt idx="493">
                  <c:v>45715</c:v>
                </c:pt>
                <c:pt idx="494">
                  <c:v>45716</c:v>
                </c:pt>
                <c:pt idx="495">
                  <c:v>45719</c:v>
                </c:pt>
                <c:pt idx="496">
                  <c:v>45720</c:v>
                </c:pt>
                <c:pt idx="497">
                  <c:v>45721</c:v>
                </c:pt>
                <c:pt idx="498">
                  <c:v>45722</c:v>
                </c:pt>
                <c:pt idx="499">
                  <c:v>45723</c:v>
                </c:pt>
                <c:pt idx="500">
                  <c:v>45726</c:v>
                </c:pt>
                <c:pt idx="501">
                  <c:v>45727</c:v>
                </c:pt>
                <c:pt idx="502">
                  <c:v>45728</c:v>
                </c:pt>
                <c:pt idx="503">
                  <c:v>45729</c:v>
                </c:pt>
                <c:pt idx="504">
                  <c:v>45730</c:v>
                </c:pt>
                <c:pt idx="505">
                  <c:v>45733</c:v>
                </c:pt>
                <c:pt idx="506">
                  <c:v>45734</c:v>
                </c:pt>
                <c:pt idx="507">
                  <c:v>45735</c:v>
                </c:pt>
                <c:pt idx="508">
                  <c:v>45736</c:v>
                </c:pt>
                <c:pt idx="509">
                  <c:v>45737</c:v>
                </c:pt>
                <c:pt idx="510">
                  <c:v>45740</c:v>
                </c:pt>
                <c:pt idx="511">
                  <c:v>45741</c:v>
                </c:pt>
                <c:pt idx="512">
                  <c:v>45742</c:v>
                </c:pt>
                <c:pt idx="513">
                  <c:v>45743</c:v>
                </c:pt>
                <c:pt idx="514">
                  <c:v>45744</c:v>
                </c:pt>
                <c:pt idx="515">
                  <c:v>45747</c:v>
                </c:pt>
                <c:pt idx="516">
                  <c:v>45748</c:v>
                </c:pt>
                <c:pt idx="517">
                  <c:v>45749</c:v>
                </c:pt>
                <c:pt idx="518">
                  <c:v>45750</c:v>
                </c:pt>
                <c:pt idx="519">
                  <c:v>45751</c:v>
                </c:pt>
                <c:pt idx="520">
                  <c:v>45755</c:v>
                </c:pt>
                <c:pt idx="521">
                  <c:v>45756</c:v>
                </c:pt>
                <c:pt idx="522">
                  <c:v>45757</c:v>
                </c:pt>
                <c:pt idx="523">
                  <c:v>45758</c:v>
                </c:pt>
                <c:pt idx="524">
                  <c:v>45761</c:v>
                </c:pt>
                <c:pt idx="525">
                  <c:v>45762</c:v>
                </c:pt>
                <c:pt idx="526">
                  <c:v>45763</c:v>
                </c:pt>
                <c:pt idx="527">
                  <c:v>45764</c:v>
                </c:pt>
                <c:pt idx="528">
                  <c:v>45765</c:v>
                </c:pt>
                <c:pt idx="529">
                  <c:v>45768</c:v>
                </c:pt>
                <c:pt idx="530">
                  <c:v>45769</c:v>
                </c:pt>
                <c:pt idx="531">
                  <c:v>45770</c:v>
                </c:pt>
                <c:pt idx="532">
                  <c:v>45771</c:v>
                </c:pt>
                <c:pt idx="533">
                  <c:v>45772</c:v>
                </c:pt>
                <c:pt idx="534">
                  <c:v>45775</c:v>
                </c:pt>
                <c:pt idx="535">
                  <c:v>45776</c:v>
                </c:pt>
                <c:pt idx="536">
                  <c:v>45782</c:v>
                </c:pt>
                <c:pt idx="537">
                  <c:v>45783</c:v>
                </c:pt>
                <c:pt idx="538">
                  <c:v>45784</c:v>
                </c:pt>
                <c:pt idx="539">
                  <c:v>45785</c:v>
                </c:pt>
                <c:pt idx="540">
                  <c:v>45786</c:v>
                </c:pt>
                <c:pt idx="541">
                  <c:v>45789</c:v>
                </c:pt>
                <c:pt idx="542">
                  <c:v>45790</c:v>
                </c:pt>
                <c:pt idx="543">
                  <c:v>45791</c:v>
                </c:pt>
                <c:pt idx="544">
                  <c:v>45792</c:v>
                </c:pt>
                <c:pt idx="545">
                  <c:v>45793</c:v>
                </c:pt>
                <c:pt idx="546">
                  <c:v>45796</c:v>
                </c:pt>
                <c:pt idx="547">
                  <c:v>45797</c:v>
                </c:pt>
                <c:pt idx="548">
                  <c:v>45798</c:v>
                </c:pt>
                <c:pt idx="549">
                  <c:v>45799</c:v>
                </c:pt>
                <c:pt idx="550">
                  <c:v>45800</c:v>
                </c:pt>
                <c:pt idx="551">
                  <c:v>45803</c:v>
                </c:pt>
                <c:pt idx="552">
                  <c:v>45804</c:v>
                </c:pt>
                <c:pt idx="553">
                  <c:v>45805</c:v>
                </c:pt>
                <c:pt idx="554">
                  <c:v>45806</c:v>
                </c:pt>
                <c:pt idx="555">
                  <c:v>45807</c:v>
                </c:pt>
                <c:pt idx="556">
                  <c:v>45810</c:v>
                </c:pt>
                <c:pt idx="557">
                  <c:v>45811</c:v>
                </c:pt>
                <c:pt idx="558">
                  <c:v>45812</c:v>
                </c:pt>
                <c:pt idx="559">
                  <c:v>45813</c:v>
                </c:pt>
                <c:pt idx="560">
                  <c:v>45814</c:v>
                </c:pt>
                <c:pt idx="561">
                  <c:v>45817</c:v>
                </c:pt>
                <c:pt idx="562">
                  <c:v>45818</c:v>
                </c:pt>
                <c:pt idx="563">
                  <c:v>45819</c:v>
                </c:pt>
                <c:pt idx="564">
                  <c:v>45820</c:v>
                </c:pt>
                <c:pt idx="565">
                  <c:v>45821</c:v>
                </c:pt>
                <c:pt idx="566">
                  <c:v>45824</c:v>
                </c:pt>
                <c:pt idx="567">
                  <c:v>45825</c:v>
                </c:pt>
                <c:pt idx="568">
                  <c:v>45826</c:v>
                </c:pt>
                <c:pt idx="569">
                  <c:v>45827</c:v>
                </c:pt>
                <c:pt idx="570">
                  <c:v>45828</c:v>
                </c:pt>
                <c:pt idx="571">
                  <c:v>45831</c:v>
                </c:pt>
                <c:pt idx="572">
                  <c:v>45832</c:v>
                </c:pt>
                <c:pt idx="573">
                  <c:v>45833</c:v>
                </c:pt>
                <c:pt idx="574">
                  <c:v>45834</c:v>
                </c:pt>
                <c:pt idx="575">
                  <c:v>45835</c:v>
                </c:pt>
                <c:pt idx="576">
                  <c:v>45838</c:v>
                </c:pt>
                <c:pt idx="577">
                  <c:v>45839</c:v>
                </c:pt>
                <c:pt idx="578">
                  <c:v>45840</c:v>
                </c:pt>
                <c:pt idx="579">
                  <c:v>45841</c:v>
                </c:pt>
                <c:pt idx="580">
                  <c:v>45842</c:v>
                </c:pt>
                <c:pt idx="581">
                  <c:v>45845</c:v>
                </c:pt>
                <c:pt idx="582">
                  <c:v>45846</c:v>
                </c:pt>
                <c:pt idx="583">
                  <c:v>45847</c:v>
                </c:pt>
                <c:pt idx="584">
                  <c:v>45848</c:v>
                </c:pt>
                <c:pt idx="585">
                  <c:v>45849</c:v>
                </c:pt>
                <c:pt idx="586">
                  <c:v>45852</c:v>
                </c:pt>
                <c:pt idx="587">
                  <c:v>45853</c:v>
                </c:pt>
                <c:pt idx="588">
                  <c:v>45854</c:v>
                </c:pt>
                <c:pt idx="589">
                  <c:v>45855</c:v>
                </c:pt>
                <c:pt idx="590">
                  <c:v>45856</c:v>
                </c:pt>
                <c:pt idx="591">
                  <c:v>45859</c:v>
                </c:pt>
                <c:pt idx="592">
                  <c:v>45860</c:v>
                </c:pt>
                <c:pt idx="593">
                  <c:v>45861</c:v>
                </c:pt>
                <c:pt idx="594">
                  <c:v>45862</c:v>
                </c:pt>
                <c:pt idx="595">
                  <c:v>45863</c:v>
                </c:pt>
                <c:pt idx="596">
                  <c:v>45866</c:v>
                </c:pt>
                <c:pt idx="597">
                  <c:v>45867</c:v>
                </c:pt>
                <c:pt idx="598">
                  <c:v>45868</c:v>
                </c:pt>
                <c:pt idx="599">
                  <c:v>45869</c:v>
                </c:pt>
                <c:pt idx="600">
                  <c:v>45870</c:v>
                </c:pt>
                <c:pt idx="601">
                  <c:v>45873</c:v>
                </c:pt>
                <c:pt idx="602">
                  <c:v>45874</c:v>
                </c:pt>
                <c:pt idx="603">
                  <c:v>45875</c:v>
                </c:pt>
                <c:pt idx="604">
                  <c:v>45876</c:v>
                </c:pt>
                <c:pt idx="605">
                  <c:v>45877</c:v>
                </c:pt>
                <c:pt idx="606">
                  <c:v>45880</c:v>
                </c:pt>
                <c:pt idx="607">
                  <c:v>45881</c:v>
                </c:pt>
                <c:pt idx="608">
                  <c:v>45882</c:v>
                </c:pt>
                <c:pt idx="609">
                  <c:v>45883</c:v>
                </c:pt>
                <c:pt idx="610">
                  <c:v>45884</c:v>
                </c:pt>
                <c:pt idx="611">
                  <c:v>45887</c:v>
                </c:pt>
                <c:pt idx="612">
                  <c:v>45888</c:v>
                </c:pt>
                <c:pt idx="613">
                  <c:v>45889</c:v>
                </c:pt>
                <c:pt idx="614">
                  <c:v>45890</c:v>
                </c:pt>
                <c:pt idx="615">
                  <c:v>45891</c:v>
                </c:pt>
                <c:pt idx="616">
                  <c:v>45894</c:v>
                </c:pt>
                <c:pt idx="617">
                  <c:v>45895</c:v>
                </c:pt>
                <c:pt idx="618">
                  <c:v>45896</c:v>
                </c:pt>
                <c:pt idx="619">
                  <c:v>45897</c:v>
                </c:pt>
                <c:pt idx="620">
                  <c:v>45898</c:v>
                </c:pt>
                <c:pt idx="621">
                  <c:v>45903</c:v>
                </c:pt>
                <c:pt idx="622">
                  <c:v>45904</c:v>
                </c:pt>
                <c:pt idx="623">
                  <c:v>45905</c:v>
                </c:pt>
                <c:pt idx="624">
                  <c:v>45908</c:v>
                </c:pt>
                <c:pt idx="625">
                  <c:v>45909</c:v>
                </c:pt>
                <c:pt idx="626">
                  <c:v>45910</c:v>
                </c:pt>
                <c:pt idx="627">
                  <c:v>45911</c:v>
                </c:pt>
                <c:pt idx="628">
                  <c:v>45912</c:v>
                </c:pt>
                <c:pt idx="629">
                  <c:v>45915</c:v>
                </c:pt>
                <c:pt idx="630">
                  <c:v>45916</c:v>
                </c:pt>
                <c:pt idx="631">
                  <c:v>45917</c:v>
                </c:pt>
                <c:pt idx="632">
                  <c:v>45918</c:v>
                </c:pt>
                <c:pt idx="633">
                  <c:v>45919</c:v>
                </c:pt>
                <c:pt idx="634">
                  <c:v>45922</c:v>
                </c:pt>
                <c:pt idx="635">
                  <c:v>45923</c:v>
                </c:pt>
                <c:pt idx="636">
                  <c:v>45924</c:v>
                </c:pt>
                <c:pt idx="637">
                  <c:v>45925</c:v>
                </c:pt>
                <c:pt idx="638">
                  <c:v>45926</c:v>
                </c:pt>
                <c:pt idx="639">
                  <c:v>45929</c:v>
                </c:pt>
                <c:pt idx="640">
                  <c:v>45930</c:v>
                </c:pt>
                <c:pt idx="641">
                  <c:v>45931</c:v>
                </c:pt>
                <c:pt idx="642">
                  <c:v>45932</c:v>
                </c:pt>
                <c:pt idx="643">
                  <c:v>45933</c:v>
                </c:pt>
                <c:pt idx="644">
                  <c:v>45936</c:v>
                </c:pt>
                <c:pt idx="645">
                  <c:v>45937</c:v>
                </c:pt>
                <c:pt idx="646">
                  <c:v>45938</c:v>
                </c:pt>
                <c:pt idx="647">
                  <c:v>45939</c:v>
                </c:pt>
                <c:pt idx="648">
                  <c:v>45940</c:v>
                </c:pt>
                <c:pt idx="649">
                  <c:v>45943</c:v>
                </c:pt>
                <c:pt idx="650">
                  <c:v>45944</c:v>
                </c:pt>
                <c:pt idx="651">
                  <c:v>45945</c:v>
                </c:pt>
                <c:pt idx="652">
                  <c:v>45946</c:v>
                </c:pt>
                <c:pt idx="653">
                  <c:v>45947</c:v>
                </c:pt>
                <c:pt idx="654">
                  <c:v>45950</c:v>
                </c:pt>
                <c:pt idx="655">
                  <c:v>45951</c:v>
                </c:pt>
                <c:pt idx="656">
                  <c:v>45952</c:v>
                </c:pt>
                <c:pt idx="657">
                  <c:v>45953</c:v>
                </c:pt>
                <c:pt idx="658">
                  <c:v>45954</c:v>
                </c:pt>
                <c:pt idx="659">
                  <c:v>45957</c:v>
                </c:pt>
                <c:pt idx="660">
                  <c:v>45958</c:v>
                </c:pt>
                <c:pt idx="661">
                  <c:v>45959</c:v>
                </c:pt>
                <c:pt idx="662">
                  <c:v>45960</c:v>
                </c:pt>
                <c:pt idx="663">
                  <c:v>45961</c:v>
                </c:pt>
                <c:pt idx="664">
                  <c:v>45964</c:v>
                </c:pt>
                <c:pt idx="665">
                  <c:v>45965</c:v>
                </c:pt>
                <c:pt idx="666">
                  <c:v>45966</c:v>
                </c:pt>
                <c:pt idx="667">
                  <c:v>45967</c:v>
                </c:pt>
                <c:pt idx="668">
                  <c:v>45968</c:v>
                </c:pt>
                <c:pt idx="669">
                  <c:v>45971</c:v>
                </c:pt>
                <c:pt idx="670">
                  <c:v>45972</c:v>
                </c:pt>
                <c:pt idx="671">
                  <c:v>45973</c:v>
                </c:pt>
                <c:pt idx="672">
                  <c:v>45974</c:v>
                </c:pt>
                <c:pt idx="673">
                  <c:v>45975</c:v>
                </c:pt>
                <c:pt idx="674">
                  <c:v>45978</c:v>
                </c:pt>
                <c:pt idx="675">
                  <c:v>45979</c:v>
                </c:pt>
                <c:pt idx="676">
                  <c:v>45980</c:v>
                </c:pt>
                <c:pt idx="677">
                  <c:v>45981</c:v>
                </c:pt>
                <c:pt idx="678">
                  <c:v>45982</c:v>
                </c:pt>
                <c:pt idx="679">
                  <c:v>45985</c:v>
                </c:pt>
                <c:pt idx="680">
                  <c:v>45986</c:v>
                </c:pt>
                <c:pt idx="681">
                  <c:v>45987</c:v>
                </c:pt>
                <c:pt idx="682">
                  <c:v>45988</c:v>
                </c:pt>
                <c:pt idx="683">
                  <c:v>45989</c:v>
                </c:pt>
                <c:pt idx="684">
                  <c:v>45992</c:v>
                </c:pt>
                <c:pt idx="685">
                  <c:v>45993</c:v>
                </c:pt>
                <c:pt idx="686">
                  <c:v>45994</c:v>
                </c:pt>
                <c:pt idx="687">
                  <c:v>45995</c:v>
                </c:pt>
                <c:pt idx="688">
                  <c:v>45996</c:v>
                </c:pt>
                <c:pt idx="689">
                  <c:v>45999</c:v>
                </c:pt>
                <c:pt idx="690">
                  <c:v>46000</c:v>
                </c:pt>
                <c:pt idx="691">
                  <c:v>46001</c:v>
                </c:pt>
                <c:pt idx="692">
                  <c:v>46002</c:v>
                </c:pt>
                <c:pt idx="693">
                  <c:v>46003</c:v>
                </c:pt>
                <c:pt idx="694">
                  <c:v>46006</c:v>
                </c:pt>
                <c:pt idx="695">
                  <c:v>46007</c:v>
                </c:pt>
                <c:pt idx="696">
                  <c:v>46008</c:v>
                </c:pt>
                <c:pt idx="697">
                  <c:v>46009</c:v>
                </c:pt>
                <c:pt idx="698">
                  <c:v>46010</c:v>
                </c:pt>
                <c:pt idx="699">
                  <c:v>46013</c:v>
                </c:pt>
                <c:pt idx="700">
                  <c:v>46014</c:v>
                </c:pt>
                <c:pt idx="701">
                  <c:v>46015</c:v>
                </c:pt>
                <c:pt idx="702">
                  <c:v>46016</c:v>
                </c:pt>
                <c:pt idx="703">
                  <c:v>46017</c:v>
                </c:pt>
                <c:pt idx="704">
                  <c:v>46020</c:v>
                </c:pt>
                <c:pt idx="705">
                  <c:v>46021</c:v>
                </c:pt>
                <c:pt idx="706">
                  <c:v>46022</c:v>
                </c:pt>
                <c:pt idx="707">
                  <c:v>46027</c:v>
                </c:pt>
                <c:pt idx="708">
                  <c:v>46028</c:v>
                </c:pt>
                <c:pt idx="709">
                  <c:v>46029</c:v>
                </c:pt>
                <c:pt idx="710">
                  <c:v>46030</c:v>
                </c:pt>
                <c:pt idx="711">
                  <c:v>46031</c:v>
                </c:pt>
                <c:pt idx="712">
                  <c:v>46034</c:v>
                </c:pt>
                <c:pt idx="713">
                  <c:v>46035</c:v>
                </c:pt>
                <c:pt idx="714">
                  <c:v>46036</c:v>
                </c:pt>
                <c:pt idx="715">
                  <c:v>46037</c:v>
                </c:pt>
                <c:pt idx="716">
                  <c:v>46038</c:v>
                </c:pt>
                <c:pt idx="717">
                  <c:v>46041</c:v>
                </c:pt>
                <c:pt idx="718">
                  <c:v>46042</c:v>
                </c:pt>
                <c:pt idx="719">
                  <c:v>46043</c:v>
                </c:pt>
                <c:pt idx="720">
                  <c:v>46044</c:v>
                </c:pt>
                <c:pt idx="721">
                  <c:v>46045</c:v>
                </c:pt>
                <c:pt idx="722">
                  <c:v>46048</c:v>
                </c:pt>
                <c:pt idx="723">
                  <c:v>46049</c:v>
                </c:pt>
                <c:pt idx="724">
                  <c:v>46050</c:v>
                </c:pt>
                <c:pt idx="725">
                  <c:v>46051</c:v>
                </c:pt>
                <c:pt idx="726">
                  <c:v>46052</c:v>
                </c:pt>
                <c:pt idx="727">
                  <c:v>46055</c:v>
                </c:pt>
                <c:pt idx="728">
                  <c:v>46056</c:v>
                </c:pt>
                <c:pt idx="729">
                  <c:v>46057</c:v>
                </c:pt>
                <c:pt idx="730">
                  <c:v>46058</c:v>
                </c:pt>
                <c:pt idx="731">
                  <c:v>46059</c:v>
                </c:pt>
                <c:pt idx="732">
                  <c:v>46062</c:v>
                </c:pt>
                <c:pt idx="733">
                  <c:v>46063</c:v>
                </c:pt>
                <c:pt idx="734">
                  <c:v>46064</c:v>
                </c:pt>
                <c:pt idx="735">
                  <c:v>46065</c:v>
                </c:pt>
                <c:pt idx="736">
                  <c:v>46066</c:v>
                </c:pt>
                <c:pt idx="737">
                  <c:v>46076</c:v>
                </c:pt>
                <c:pt idx="738">
                  <c:v>46077</c:v>
                </c:pt>
                <c:pt idx="739">
                  <c:v>46078</c:v>
                </c:pt>
                <c:pt idx="740">
                  <c:v>46079</c:v>
                </c:pt>
                <c:pt idx="741">
                  <c:v>46080</c:v>
                </c:pt>
                <c:pt idx="742">
                  <c:v>46083</c:v>
                </c:pt>
                <c:pt idx="743">
                  <c:v>46084</c:v>
                </c:pt>
                <c:pt idx="744">
                  <c:v>46085</c:v>
                </c:pt>
                <c:pt idx="745">
                  <c:v>46086</c:v>
                </c:pt>
                <c:pt idx="746">
                  <c:v>46087</c:v>
                </c:pt>
                <c:pt idx="747">
                  <c:v>45968</c:v>
                </c:pt>
              </c:numCache>
            </c:numRef>
          </c:cat>
          <c:val>
            <c:numRef>
              <c:f>'FX Data'!$H$1462:$H$2860</c:f>
              <c:numCache>
                <c:formatCode>0.0</c:formatCode>
                <c:ptCount val="1399"/>
                <c:pt idx="0">
                  <c:v>16.960031496834333</c:v>
                </c:pt>
                <c:pt idx="1">
                  <c:v>16.960031496834333</c:v>
                </c:pt>
                <c:pt idx="2">
                  <c:v>16.960031496834333</c:v>
                </c:pt>
                <c:pt idx="3">
                  <c:v>16.960031496834333</c:v>
                </c:pt>
                <c:pt idx="4">
                  <c:v>16.960031496834333</c:v>
                </c:pt>
                <c:pt idx="5">
                  <c:v>16.960031496834333</c:v>
                </c:pt>
                <c:pt idx="6">
                  <c:v>16.960031496834333</c:v>
                </c:pt>
                <c:pt idx="7">
                  <c:v>16.960031496834333</c:v>
                </c:pt>
                <c:pt idx="8">
                  <c:v>16.960031496834333</c:v>
                </c:pt>
                <c:pt idx="9">
                  <c:v>16.960031496834333</c:v>
                </c:pt>
                <c:pt idx="10">
                  <c:v>16.960031496834333</c:v>
                </c:pt>
                <c:pt idx="11">
                  <c:v>16.960031496834333</c:v>
                </c:pt>
                <c:pt idx="12">
                  <c:v>16.960031496834333</c:v>
                </c:pt>
                <c:pt idx="13">
                  <c:v>16.960031496834333</c:v>
                </c:pt>
                <c:pt idx="14">
                  <c:v>16.960031496834333</c:v>
                </c:pt>
                <c:pt idx="15">
                  <c:v>16.960031496834333</c:v>
                </c:pt>
                <c:pt idx="16">
                  <c:v>16.960031496834333</c:v>
                </c:pt>
                <c:pt idx="17">
                  <c:v>16.960031496834333</c:v>
                </c:pt>
                <c:pt idx="18">
                  <c:v>16.960031496834333</c:v>
                </c:pt>
                <c:pt idx="19">
                  <c:v>16.960031496834333</c:v>
                </c:pt>
                <c:pt idx="20">
                  <c:v>16.960031496834333</c:v>
                </c:pt>
                <c:pt idx="21">
                  <c:v>16.960031496834333</c:v>
                </c:pt>
                <c:pt idx="22">
                  <c:v>16.960031496834333</c:v>
                </c:pt>
                <c:pt idx="23">
                  <c:v>16.960031496834333</c:v>
                </c:pt>
                <c:pt idx="24">
                  <c:v>16.960031496834333</c:v>
                </c:pt>
                <c:pt idx="25">
                  <c:v>16.960031496834333</c:v>
                </c:pt>
                <c:pt idx="26">
                  <c:v>16.960031496834333</c:v>
                </c:pt>
                <c:pt idx="27">
                  <c:v>16.960031496834333</c:v>
                </c:pt>
                <c:pt idx="28">
                  <c:v>16.960031496834333</c:v>
                </c:pt>
                <c:pt idx="29">
                  <c:v>16.960031496834333</c:v>
                </c:pt>
                <c:pt idx="30">
                  <c:v>16.960031496834333</c:v>
                </c:pt>
                <c:pt idx="31">
                  <c:v>16.960031496834333</c:v>
                </c:pt>
                <c:pt idx="32">
                  <c:v>16.960031496834333</c:v>
                </c:pt>
                <c:pt idx="33">
                  <c:v>16.960031496834333</c:v>
                </c:pt>
                <c:pt idx="34">
                  <c:v>16.960031496834333</c:v>
                </c:pt>
                <c:pt idx="35">
                  <c:v>16.960031496834333</c:v>
                </c:pt>
                <c:pt idx="36">
                  <c:v>16.960031496834333</c:v>
                </c:pt>
                <c:pt idx="37">
                  <c:v>16.960031496834333</c:v>
                </c:pt>
                <c:pt idx="38">
                  <c:v>16.960031496834333</c:v>
                </c:pt>
                <c:pt idx="39">
                  <c:v>16.960031496834333</c:v>
                </c:pt>
                <c:pt idx="40">
                  <c:v>16.960031496834333</c:v>
                </c:pt>
                <c:pt idx="41">
                  <c:v>16.960031496834333</c:v>
                </c:pt>
                <c:pt idx="42">
                  <c:v>16.960031496834333</c:v>
                </c:pt>
                <c:pt idx="43">
                  <c:v>16.960031496834333</c:v>
                </c:pt>
                <c:pt idx="44">
                  <c:v>16.960031496834333</c:v>
                </c:pt>
                <c:pt idx="45">
                  <c:v>16.960031496834333</c:v>
                </c:pt>
                <c:pt idx="46">
                  <c:v>16.960031496834333</c:v>
                </c:pt>
                <c:pt idx="47">
                  <c:v>16.960031496834333</c:v>
                </c:pt>
                <c:pt idx="48">
                  <c:v>16.960031496834333</c:v>
                </c:pt>
                <c:pt idx="49">
                  <c:v>16.960031496834333</c:v>
                </c:pt>
                <c:pt idx="50">
                  <c:v>16.960031496834333</c:v>
                </c:pt>
                <c:pt idx="51">
                  <c:v>16.960031496834333</c:v>
                </c:pt>
                <c:pt idx="52">
                  <c:v>16.960031496834333</c:v>
                </c:pt>
                <c:pt idx="53">
                  <c:v>16.960031496834333</c:v>
                </c:pt>
                <c:pt idx="54">
                  <c:v>16.960031496834333</c:v>
                </c:pt>
                <c:pt idx="55">
                  <c:v>16.960031496834333</c:v>
                </c:pt>
                <c:pt idx="56">
                  <c:v>16.960031496834333</c:v>
                </c:pt>
                <c:pt idx="57">
                  <c:v>16.960031496834333</c:v>
                </c:pt>
                <c:pt idx="58">
                  <c:v>16.960031496834333</c:v>
                </c:pt>
                <c:pt idx="59">
                  <c:v>16.960031496834333</c:v>
                </c:pt>
                <c:pt idx="60">
                  <c:v>16.960031496834333</c:v>
                </c:pt>
                <c:pt idx="61">
                  <c:v>16.960031496834333</c:v>
                </c:pt>
                <c:pt idx="62">
                  <c:v>16.960031496834333</c:v>
                </c:pt>
                <c:pt idx="63">
                  <c:v>16.960031496834333</c:v>
                </c:pt>
                <c:pt idx="64">
                  <c:v>16.960031496834333</c:v>
                </c:pt>
                <c:pt idx="65">
                  <c:v>16.960031496834333</c:v>
                </c:pt>
                <c:pt idx="66">
                  <c:v>16.960031496834333</c:v>
                </c:pt>
                <c:pt idx="67">
                  <c:v>16.960031496834333</c:v>
                </c:pt>
                <c:pt idx="68">
                  <c:v>16.960031496834333</c:v>
                </c:pt>
                <c:pt idx="69">
                  <c:v>16.960031496834333</c:v>
                </c:pt>
                <c:pt idx="70">
                  <c:v>16.960031496834333</c:v>
                </c:pt>
                <c:pt idx="71">
                  <c:v>16.960031496834333</c:v>
                </c:pt>
                <c:pt idx="72">
                  <c:v>16.960031496834333</c:v>
                </c:pt>
                <c:pt idx="73">
                  <c:v>16.960031496834333</c:v>
                </c:pt>
                <c:pt idx="74">
                  <c:v>16.960031496834333</c:v>
                </c:pt>
                <c:pt idx="75">
                  <c:v>16.960031496834333</c:v>
                </c:pt>
                <c:pt idx="76">
                  <c:v>16.960031496834333</c:v>
                </c:pt>
                <c:pt idx="77">
                  <c:v>16.960031496834333</c:v>
                </c:pt>
                <c:pt idx="78">
                  <c:v>16.960031496834333</c:v>
                </c:pt>
                <c:pt idx="79">
                  <c:v>16.960031496834333</c:v>
                </c:pt>
                <c:pt idx="80">
                  <c:v>16.960031496834333</c:v>
                </c:pt>
                <c:pt idx="81">
                  <c:v>16.960031496834333</c:v>
                </c:pt>
                <c:pt idx="82">
                  <c:v>16.960031496834333</c:v>
                </c:pt>
                <c:pt idx="83">
                  <c:v>16.960031496834333</c:v>
                </c:pt>
                <c:pt idx="84">
                  <c:v>16.960031496834333</c:v>
                </c:pt>
                <c:pt idx="85">
                  <c:v>16.960031496834333</c:v>
                </c:pt>
                <c:pt idx="86">
                  <c:v>16.960031496834333</c:v>
                </c:pt>
                <c:pt idx="87">
                  <c:v>16.960031496834333</c:v>
                </c:pt>
                <c:pt idx="88">
                  <c:v>16.960031496834333</c:v>
                </c:pt>
                <c:pt idx="89">
                  <c:v>16.960031496834333</c:v>
                </c:pt>
                <c:pt idx="90">
                  <c:v>16.960031496834333</c:v>
                </c:pt>
                <c:pt idx="91">
                  <c:v>16.960031496834333</c:v>
                </c:pt>
                <c:pt idx="92">
                  <c:v>16.960031496834333</c:v>
                </c:pt>
                <c:pt idx="93">
                  <c:v>16.960031496834333</c:v>
                </c:pt>
                <c:pt idx="94">
                  <c:v>16.960031496834333</c:v>
                </c:pt>
                <c:pt idx="95">
                  <c:v>16.960031496834333</c:v>
                </c:pt>
                <c:pt idx="96">
                  <c:v>16.960031496834333</c:v>
                </c:pt>
                <c:pt idx="97">
                  <c:v>16.960031496834333</c:v>
                </c:pt>
                <c:pt idx="98">
                  <c:v>16.960031496834333</c:v>
                </c:pt>
                <c:pt idx="99">
                  <c:v>16.960031496834333</c:v>
                </c:pt>
                <c:pt idx="100">
                  <c:v>16.960031496834333</c:v>
                </c:pt>
                <c:pt idx="101">
                  <c:v>16.960031496834333</c:v>
                </c:pt>
                <c:pt idx="102">
                  <c:v>16.960031496834333</c:v>
                </c:pt>
                <c:pt idx="103">
                  <c:v>16.960031496834333</c:v>
                </c:pt>
                <c:pt idx="104">
                  <c:v>16.960031496834333</c:v>
                </c:pt>
                <c:pt idx="105">
                  <c:v>16.960031496834333</c:v>
                </c:pt>
                <c:pt idx="106">
                  <c:v>16.960031496834333</c:v>
                </c:pt>
                <c:pt idx="107">
                  <c:v>16.960031496834333</c:v>
                </c:pt>
                <c:pt idx="108">
                  <c:v>16.960031496834333</c:v>
                </c:pt>
                <c:pt idx="109">
                  <c:v>16.960031496834333</c:v>
                </c:pt>
                <c:pt idx="110">
                  <c:v>16.960031496834333</c:v>
                </c:pt>
                <c:pt idx="111">
                  <c:v>16.960031496834333</c:v>
                </c:pt>
                <c:pt idx="112">
                  <c:v>16.960031496834333</c:v>
                </c:pt>
                <c:pt idx="113">
                  <c:v>16.960031496834333</c:v>
                </c:pt>
                <c:pt idx="114">
                  <c:v>16.960031496834333</c:v>
                </c:pt>
                <c:pt idx="115">
                  <c:v>16.960031496834333</c:v>
                </c:pt>
                <c:pt idx="116">
                  <c:v>16.960031496834333</c:v>
                </c:pt>
                <c:pt idx="117">
                  <c:v>16.960031496834333</c:v>
                </c:pt>
                <c:pt idx="118">
                  <c:v>16.960031496834333</c:v>
                </c:pt>
                <c:pt idx="119">
                  <c:v>16.960031496834333</c:v>
                </c:pt>
                <c:pt idx="120">
                  <c:v>16.960031496834333</c:v>
                </c:pt>
                <c:pt idx="121">
                  <c:v>16.960031496834333</c:v>
                </c:pt>
                <c:pt idx="122">
                  <c:v>16.960031496834333</c:v>
                </c:pt>
                <c:pt idx="123">
                  <c:v>16.960031496834333</c:v>
                </c:pt>
                <c:pt idx="124">
                  <c:v>16.960031496834333</c:v>
                </c:pt>
                <c:pt idx="125">
                  <c:v>16.960031496834333</c:v>
                </c:pt>
                <c:pt idx="126">
                  <c:v>16.960031496834333</c:v>
                </c:pt>
                <c:pt idx="127">
                  <c:v>16.960031496834333</c:v>
                </c:pt>
                <c:pt idx="128">
                  <c:v>16.960031496834333</c:v>
                </c:pt>
                <c:pt idx="129">
                  <c:v>16.960031496834333</c:v>
                </c:pt>
                <c:pt idx="130">
                  <c:v>16.960031496834333</c:v>
                </c:pt>
                <c:pt idx="131">
                  <c:v>16.960031496834333</c:v>
                </c:pt>
                <c:pt idx="132">
                  <c:v>16.960031496834333</c:v>
                </c:pt>
                <c:pt idx="133">
                  <c:v>16.960031496834333</c:v>
                </c:pt>
                <c:pt idx="134">
                  <c:v>16.960031496834333</c:v>
                </c:pt>
                <c:pt idx="135">
                  <c:v>16.960031496834333</c:v>
                </c:pt>
                <c:pt idx="136">
                  <c:v>16.960031496834333</c:v>
                </c:pt>
                <c:pt idx="137">
                  <c:v>16.960031496834333</c:v>
                </c:pt>
                <c:pt idx="138">
                  <c:v>16.960031496834333</c:v>
                </c:pt>
                <c:pt idx="139">
                  <c:v>16.960031496834333</c:v>
                </c:pt>
                <c:pt idx="140">
                  <c:v>16.960031496834333</c:v>
                </c:pt>
                <c:pt idx="141">
                  <c:v>16.960031496834333</c:v>
                </c:pt>
                <c:pt idx="142">
                  <c:v>16.960031496834333</c:v>
                </c:pt>
                <c:pt idx="143">
                  <c:v>16.960031496834333</c:v>
                </c:pt>
                <c:pt idx="144">
                  <c:v>16.960031496834333</c:v>
                </c:pt>
                <c:pt idx="145">
                  <c:v>16.960031496834333</c:v>
                </c:pt>
                <c:pt idx="146">
                  <c:v>16.960031496834333</c:v>
                </c:pt>
                <c:pt idx="147">
                  <c:v>16.960031496834333</c:v>
                </c:pt>
                <c:pt idx="148">
                  <c:v>16.960031496834333</c:v>
                </c:pt>
                <c:pt idx="149">
                  <c:v>16.960031496834333</c:v>
                </c:pt>
                <c:pt idx="150">
                  <c:v>16.960031496834333</c:v>
                </c:pt>
                <c:pt idx="151">
                  <c:v>16.960031496834333</c:v>
                </c:pt>
                <c:pt idx="152">
                  <c:v>16.960031496834333</c:v>
                </c:pt>
                <c:pt idx="153">
                  <c:v>16.960031496834333</c:v>
                </c:pt>
                <c:pt idx="154">
                  <c:v>16.960031496834333</c:v>
                </c:pt>
                <c:pt idx="155">
                  <c:v>16.960031496834333</c:v>
                </c:pt>
                <c:pt idx="156">
                  <c:v>16.960031496834333</c:v>
                </c:pt>
                <c:pt idx="157">
                  <c:v>16.960031496834333</c:v>
                </c:pt>
                <c:pt idx="158">
                  <c:v>16.960031496834333</c:v>
                </c:pt>
                <c:pt idx="159">
                  <c:v>16.960031496834333</c:v>
                </c:pt>
                <c:pt idx="160">
                  <c:v>16.960031496834333</c:v>
                </c:pt>
                <c:pt idx="161">
                  <c:v>16.960031496834333</c:v>
                </c:pt>
                <c:pt idx="162">
                  <c:v>16.960031496834333</c:v>
                </c:pt>
                <c:pt idx="163">
                  <c:v>16.960031496834333</c:v>
                </c:pt>
                <c:pt idx="164">
                  <c:v>16.960031496834333</c:v>
                </c:pt>
                <c:pt idx="165">
                  <c:v>16.960031496834333</c:v>
                </c:pt>
                <c:pt idx="166">
                  <c:v>16.960031496834333</c:v>
                </c:pt>
                <c:pt idx="167">
                  <c:v>16.960031496834333</c:v>
                </c:pt>
                <c:pt idx="168">
                  <c:v>16.960031496834333</c:v>
                </c:pt>
                <c:pt idx="169">
                  <c:v>16.960031496834333</c:v>
                </c:pt>
                <c:pt idx="170">
                  <c:v>16.960031496834333</c:v>
                </c:pt>
                <c:pt idx="171">
                  <c:v>16.960031496834333</c:v>
                </c:pt>
                <c:pt idx="172">
                  <c:v>16.960031496834333</c:v>
                </c:pt>
                <c:pt idx="173">
                  <c:v>16.960031496834333</c:v>
                </c:pt>
                <c:pt idx="174">
                  <c:v>16.960031496834333</c:v>
                </c:pt>
                <c:pt idx="175">
                  <c:v>16.960031496834333</c:v>
                </c:pt>
                <c:pt idx="176">
                  <c:v>16.960031496834333</c:v>
                </c:pt>
                <c:pt idx="177">
                  <c:v>16.960031496834333</c:v>
                </c:pt>
                <c:pt idx="178">
                  <c:v>16.960031496834333</c:v>
                </c:pt>
                <c:pt idx="179">
                  <c:v>16.960031496834333</c:v>
                </c:pt>
                <c:pt idx="180">
                  <c:v>16.960031496834333</c:v>
                </c:pt>
                <c:pt idx="181">
                  <c:v>16.960031496834333</c:v>
                </c:pt>
                <c:pt idx="182">
                  <c:v>16.960031496834333</c:v>
                </c:pt>
                <c:pt idx="183">
                  <c:v>16.960031496834333</c:v>
                </c:pt>
                <c:pt idx="184">
                  <c:v>16.960031496834333</c:v>
                </c:pt>
                <c:pt idx="185">
                  <c:v>16.960031496834333</c:v>
                </c:pt>
                <c:pt idx="186">
                  <c:v>16.960031496834333</c:v>
                </c:pt>
                <c:pt idx="187">
                  <c:v>16.960031496834333</c:v>
                </c:pt>
                <c:pt idx="188">
                  <c:v>16.960031496834333</c:v>
                </c:pt>
                <c:pt idx="189">
                  <c:v>16.960031496834333</c:v>
                </c:pt>
                <c:pt idx="190">
                  <c:v>16.960031496834333</c:v>
                </c:pt>
                <c:pt idx="191">
                  <c:v>16.960031496834333</c:v>
                </c:pt>
                <c:pt idx="192">
                  <c:v>16.960031496834333</c:v>
                </c:pt>
                <c:pt idx="193">
                  <c:v>16.960031496834333</c:v>
                </c:pt>
                <c:pt idx="194">
                  <c:v>16.960031496834333</c:v>
                </c:pt>
                <c:pt idx="195">
                  <c:v>16.960031496834333</c:v>
                </c:pt>
                <c:pt idx="196">
                  <c:v>16.960031496834333</c:v>
                </c:pt>
                <c:pt idx="197">
                  <c:v>16.960031496834333</c:v>
                </c:pt>
                <c:pt idx="198">
                  <c:v>16.960031496834333</c:v>
                </c:pt>
                <c:pt idx="199">
                  <c:v>16.960031496834333</c:v>
                </c:pt>
                <c:pt idx="200">
                  <c:v>16.960031496834333</c:v>
                </c:pt>
                <c:pt idx="201">
                  <c:v>16.960031496834333</c:v>
                </c:pt>
                <c:pt idx="202">
                  <c:v>16.960031496834333</c:v>
                </c:pt>
                <c:pt idx="203">
                  <c:v>16.960031496834333</c:v>
                </c:pt>
                <c:pt idx="204">
                  <c:v>16.960031496834333</c:v>
                </c:pt>
                <c:pt idx="205">
                  <c:v>16.960031496834333</c:v>
                </c:pt>
                <c:pt idx="206">
                  <c:v>16.960031496834333</c:v>
                </c:pt>
                <c:pt idx="207">
                  <c:v>16.960031496834333</c:v>
                </c:pt>
                <c:pt idx="208">
                  <c:v>16.960031496834333</c:v>
                </c:pt>
                <c:pt idx="209">
                  <c:v>16.960031496834333</c:v>
                </c:pt>
                <c:pt idx="210">
                  <c:v>16.960031496834333</c:v>
                </c:pt>
                <c:pt idx="211">
                  <c:v>16.960031496834333</c:v>
                </c:pt>
                <c:pt idx="212">
                  <c:v>16.960031496834333</c:v>
                </c:pt>
                <c:pt idx="213">
                  <c:v>16.960031496834333</c:v>
                </c:pt>
                <c:pt idx="214">
                  <c:v>16.960031496834333</c:v>
                </c:pt>
                <c:pt idx="215">
                  <c:v>16.960031496834333</c:v>
                </c:pt>
                <c:pt idx="216">
                  <c:v>16.960031496834333</c:v>
                </c:pt>
                <c:pt idx="217">
                  <c:v>16.960031496834333</c:v>
                </c:pt>
                <c:pt idx="218">
                  <c:v>16.960031496834333</c:v>
                </c:pt>
                <c:pt idx="219">
                  <c:v>16.960031496834333</c:v>
                </c:pt>
                <c:pt idx="220">
                  <c:v>16.960031496834333</c:v>
                </c:pt>
                <c:pt idx="221">
                  <c:v>16.960031496834333</c:v>
                </c:pt>
                <c:pt idx="222">
                  <c:v>16.960031496834333</c:v>
                </c:pt>
                <c:pt idx="223">
                  <c:v>16.960031496834333</c:v>
                </c:pt>
                <c:pt idx="224">
                  <c:v>16.960031496834333</c:v>
                </c:pt>
                <c:pt idx="225">
                  <c:v>16.960031496834333</c:v>
                </c:pt>
                <c:pt idx="226">
                  <c:v>16.960031496834333</c:v>
                </c:pt>
                <c:pt idx="227">
                  <c:v>16.960031496834333</c:v>
                </c:pt>
                <c:pt idx="228">
                  <c:v>16.960031496834333</c:v>
                </c:pt>
                <c:pt idx="229">
                  <c:v>16.960031496834333</c:v>
                </c:pt>
                <c:pt idx="230">
                  <c:v>16.960031496834333</c:v>
                </c:pt>
                <c:pt idx="231">
                  <c:v>16.960031496834333</c:v>
                </c:pt>
                <c:pt idx="232">
                  <c:v>16.960031496834333</c:v>
                </c:pt>
                <c:pt idx="233">
                  <c:v>16.960031496834333</c:v>
                </c:pt>
                <c:pt idx="234">
                  <c:v>16.960031496834333</c:v>
                </c:pt>
                <c:pt idx="235">
                  <c:v>16.960031496834333</c:v>
                </c:pt>
                <c:pt idx="236">
                  <c:v>16.960031496834333</c:v>
                </c:pt>
                <c:pt idx="237">
                  <c:v>16.960031496834333</c:v>
                </c:pt>
                <c:pt idx="238">
                  <c:v>16.960031496834333</c:v>
                </c:pt>
                <c:pt idx="239">
                  <c:v>16.960031496834333</c:v>
                </c:pt>
                <c:pt idx="240">
                  <c:v>16.960031496834333</c:v>
                </c:pt>
                <c:pt idx="241">
                  <c:v>16.960031496834333</c:v>
                </c:pt>
                <c:pt idx="242">
                  <c:v>16.960031496834333</c:v>
                </c:pt>
                <c:pt idx="243">
                  <c:v>16.960031496834333</c:v>
                </c:pt>
                <c:pt idx="244">
                  <c:v>16.960031496834333</c:v>
                </c:pt>
                <c:pt idx="245">
                  <c:v>16.960031496834333</c:v>
                </c:pt>
                <c:pt idx="246">
                  <c:v>16.960031496834333</c:v>
                </c:pt>
                <c:pt idx="247">
                  <c:v>16.960031496834333</c:v>
                </c:pt>
                <c:pt idx="248">
                  <c:v>16.960031496834333</c:v>
                </c:pt>
                <c:pt idx="249">
                  <c:v>16.960031496834333</c:v>
                </c:pt>
                <c:pt idx="250">
                  <c:v>16.960031496834333</c:v>
                </c:pt>
                <c:pt idx="251">
                  <c:v>16.960031496834333</c:v>
                </c:pt>
                <c:pt idx="252">
                  <c:v>16.960031496834333</c:v>
                </c:pt>
                <c:pt idx="253">
                  <c:v>16.960031496834333</c:v>
                </c:pt>
                <c:pt idx="254">
                  <c:v>16.960031496834333</c:v>
                </c:pt>
                <c:pt idx="255">
                  <c:v>16.960031496834333</c:v>
                </c:pt>
                <c:pt idx="256">
                  <c:v>16.960031496834333</c:v>
                </c:pt>
                <c:pt idx="257">
                  <c:v>16.960031496834333</c:v>
                </c:pt>
                <c:pt idx="258">
                  <c:v>16.960031496834333</c:v>
                </c:pt>
                <c:pt idx="259">
                  <c:v>16.960031496834333</c:v>
                </c:pt>
                <c:pt idx="260">
                  <c:v>16.960031496834333</c:v>
                </c:pt>
                <c:pt idx="261">
                  <c:v>16.960031496834333</c:v>
                </c:pt>
                <c:pt idx="262">
                  <c:v>16.960031496834333</c:v>
                </c:pt>
                <c:pt idx="263">
                  <c:v>16.960031496834333</c:v>
                </c:pt>
                <c:pt idx="264">
                  <c:v>16.960031496834333</c:v>
                </c:pt>
                <c:pt idx="265">
                  <c:v>16.960031496834333</c:v>
                </c:pt>
                <c:pt idx="266">
                  <c:v>16.960031496834333</c:v>
                </c:pt>
                <c:pt idx="267">
                  <c:v>16.960031496834333</c:v>
                </c:pt>
                <c:pt idx="268">
                  <c:v>16.960031496834333</c:v>
                </c:pt>
                <c:pt idx="269">
                  <c:v>16.960031496834333</c:v>
                </c:pt>
                <c:pt idx="270">
                  <c:v>16.960031496834333</c:v>
                </c:pt>
                <c:pt idx="271">
                  <c:v>16.960031496834333</c:v>
                </c:pt>
                <c:pt idx="272">
                  <c:v>16.960031496834333</c:v>
                </c:pt>
                <c:pt idx="273">
                  <c:v>16.960031496834333</c:v>
                </c:pt>
                <c:pt idx="274">
                  <c:v>16.960031496834333</c:v>
                </c:pt>
                <c:pt idx="275">
                  <c:v>16.960031496834333</c:v>
                </c:pt>
                <c:pt idx="276">
                  <c:v>16.960031496834333</c:v>
                </c:pt>
                <c:pt idx="277">
                  <c:v>16.960031496834333</c:v>
                </c:pt>
                <c:pt idx="278">
                  <c:v>16.960031496834333</c:v>
                </c:pt>
                <c:pt idx="279">
                  <c:v>16.960031496834333</c:v>
                </c:pt>
                <c:pt idx="280">
                  <c:v>16.960031496834333</c:v>
                </c:pt>
                <c:pt idx="281">
                  <c:v>16.960031496834333</c:v>
                </c:pt>
                <c:pt idx="282">
                  <c:v>16.960031496834333</c:v>
                </c:pt>
                <c:pt idx="283">
                  <c:v>16.960031496834333</c:v>
                </c:pt>
                <c:pt idx="284">
                  <c:v>16.960031496834333</c:v>
                </c:pt>
                <c:pt idx="285">
                  <c:v>16.960031496834333</c:v>
                </c:pt>
                <c:pt idx="286">
                  <c:v>16.960031496834333</c:v>
                </c:pt>
                <c:pt idx="287">
                  <c:v>16.960031496834333</c:v>
                </c:pt>
                <c:pt idx="288">
                  <c:v>16.960031496834333</c:v>
                </c:pt>
                <c:pt idx="289">
                  <c:v>16.960031496834333</c:v>
                </c:pt>
                <c:pt idx="290">
                  <c:v>16.960031496834333</c:v>
                </c:pt>
                <c:pt idx="291">
                  <c:v>16.960031496834333</c:v>
                </c:pt>
                <c:pt idx="292">
                  <c:v>16.960031496834333</c:v>
                </c:pt>
                <c:pt idx="293">
                  <c:v>16.960031496834333</c:v>
                </c:pt>
                <c:pt idx="294">
                  <c:v>16.960031496834333</c:v>
                </c:pt>
                <c:pt idx="295">
                  <c:v>16.960031496834333</c:v>
                </c:pt>
                <c:pt idx="296">
                  <c:v>16.960031496834333</c:v>
                </c:pt>
                <c:pt idx="297">
                  <c:v>16.960031496834333</c:v>
                </c:pt>
                <c:pt idx="298">
                  <c:v>16.960031496834333</c:v>
                </c:pt>
                <c:pt idx="299">
                  <c:v>16.960031496834333</c:v>
                </c:pt>
                <c:pt idx="300">
                  <c:v>16.960031496834333</c:v>
                </c:pt>
                <c:pt idx="301">
                  <c:v>16.960031496834333</c:v>
                </c:pt>
                <c:pt idx="302">
                  <c:v>16.960031496834333</c:v>
                </c:pt>
                <c:pt idx="303">
                  <c:v>16.960031496834333</c:v>
                </c:pt>
                <c:pt idx="304">
                  <c:v>16.960031496834333</c:v>
                </c:pt>
                <c:pt idx="305">
                  <c:v>16.960031496834333</c:v>
                </c:pt>
                <c:pt idx="306">
                  <c:v>16.960031496834333</c:v>
                </c:pt>
                <c:pt idx="307">
                  <c:v>16.960031496834333</c:v>
                </c:pt>
                <c:pt idx="308">
                  <c:v>16.960031496834333</c:v>
                </c:pt>
                <c:pt idx="309">
                  <c:v>16.960031496834333</c:v>
                </c:pt>
                <c:pt idx="310">
                  <c:v>16.960031496834333</c:v>
                </c:pt>
                <c:pt idx="311">
                  <c:v>16.960031496834333</c:v>
                </c:pt>
                <c:pt idx="312">
                  <c:v>16.960031496834333</c:v>
                </c:pt>
                <c:pt idx="313">
                  <c:v>16.960031496834333</c:v>
                </c:pt>
                <c:pt idx="314">
                  <c:v>16.960031496834333</c:v>
                </c:pt>
                <c:pt idx="315">
                  <c:v>16.960031496834333</c:v>
                </c:pt>
                <c:pt idx="316">
                  <c:v>16.960031496834333</c:v>
                </c:pt>
                <c:pt idx="317">
                  <c:v>16.960031496834333</c:v>
                </c:pt>
                <c:pt idx="318">
                  <c:v>16.960031496834333</c:v>
                </c:pt>
                <c:pt idx="319">
                  <c:v>16.960031496834333</c:v>
                </c:pt>
                <c:pt idx="320">
                  <c:v>16.960031496834333</c:v>
                </c:pt>
                <c:pt idx="321">
                  <c:v>16.960031496834333</c:v>
                </c:pt>
                <c:pt idx="322">
                  <c:v>16.960031496834333</c:v>
                </c:pt>
                <c:pt idx="323">
                  <c:v>16.960031496834333</c:v>
                </c:pt>
                <c:pt idx="324">
                  <c:v>16.960031496834333</c:v>
                </c:pt>
                <c:pt idx="325">
                  <c:v>16.960031496834333</c:v>
                </c:pt>
                <c:pt idx="326">
                  <c:v>16.960031496834333</c:v>
                </c:pt>
                <c:pt idx="327">
                  <c:v>16.960031496834333</c:v>
                </c:pt>
                <c:pt idx="328">
                  <c:v>16.960031496834333</c:v>
                </c:pt>
                <c:pt idx="329">
                  <c:v>16.960031496834333</c:v>
                </c:pt>
                <c:pt idx="330">
                  <c:v>16.960031496834333</c:v>
                </c:pt>
                <c:pt idx="331">
                  <c:v>16.960031496834333</c:v>
                </c:pt>
                <c:pt idx="332">
                  <c:v>16.960031496834333</c:v>
                </c:pt>
                <c:pt idx="333">
                  <c:v>16.960031496834333</c:v>
                </c:pt>
                <c:pt idx="334">
                  <c:v>16.960031496834333</c:v>
                </c:pt>
                <c:pt idx="335">
                  <c:v>16.960031496834333</c:v>
                </c:pt>
                <c:pt idx="336">
                  <c:v>16.960031496834333</c:v>
                </c:pt>
                <c:pt idx="337">
                  <c:v>16.960031496834333</c:v>
                </c:pt>
                <c:pt idx="338">
                  <c:v>16.960031496834333</c:v>
                </c:pt>
                <c:pt idx="339">
                  <c:v>16.960031496834333</c:v>
                </c:pt>
                <c:pt idx="340">
                  <c:v>16.960031496834333</c:v>
                </c:pt>
                <c:pt idx="341">
                  <c:v>16.960031496834333</c:v>
                </c:pt>
                <c:pt idx="342">
                  <c:v>16.960031496834333</c:v>
                </c:pt>
                <c:pt idx="343">
                  <c:v>16.960031496834333</c:v>
                </c:pt>
                <c:pt idx="344">
                  <c:v>16.960031496834333</c:v>
                </c:pt>
                <c:pt idx="345">
                  <c:v>16.960031496834333</c:v>
                </c:pt>
                <c:pt idx="346">
                  <c:v>16.960031496834333</c:v>
                </c:pt>
                <c:pt idx="347">
                  <c:v>16.960031496834333</c:v>
                </c:pt>
                <c:pt idx="348">
                  <c:v>16.960031496834333</c:v>
                </c:pt>
                <c:pt idx="349">
                  <c:v>16.960031496834333</c:v>
                </c:pt>
                <c:pt idx="350">
                  <c:v>16.960031496834333</c:v>
                </c:pt>
                <c:pt idx="351">
                  <c:v>16.960031496834333</c:v>
                </c:pt>
                <c:pt idx="352">
                  <c:v>16.960031496834333</c:v>
                </c:pt>
                <c:pt idx="353">
                  <c:v>16.960031496834333</c:v>
                </c:pt>
                <c:pt idx="354">
                  <c:v>16.960031496834333</c:v>
                </c:pt>
                <c:pt idx="355">
                  <c:v>16.960031496834333</c:v>
                </c:pt>
                <c:pt idx="356">
                  <c:v>16.960031496834333</c:v>
                </c:pt>
                <c:pt idx="357">
                  <c:v>16.960031496834333</c:v>
                </c:pt>
                <c:pt idx="358">
                  <c:v>16.960031496834333</c:v>
                </c:pt>
                <c:pt idx="359">
                  <c:v>16.960031496834333</c:v>
                </c:pt>
                <c:pt idx="360">
                  <c:v>16.960031496834333</c:v>
                </c:pt>
                <c:pt idx="361">
                  <c:v>16.960031496834333</c:v>
                </c:pt>
                <c:pt idx="362">
                  <c:v>16.960031496834333</c:v>
                </c:pt>
                <c:pt idx="363">
                  <c:v>16.960031496834333</c:v>
                </c:pt>
                <c:pt idx="364">
                  <c:v>16.960031496834333</c:v>
                </c:pt>
                <c:pt idx="365">
                  <c:v>16.960031496834333</c:v>
                </c:pt>
                <c:pt idx="366">
                  <c:v>16.960031496834333</c:v>
                </c:pt>
                <c:pt idx="367">
                  <c:v>16.960031496834333</c:v>
                </c:pt>
                <c:pt idx="368">
                  <c:v>16.960031496834333</c:v>
                </c:pt>
                <c:pt idx="369">
                  <c:v>16.960031496834333</c:v>
                </c:pt>
                <c:pt idx="370">
                  <c:v>16.960031496834333</c:v>
                </c:pt>
                <c:pt idx="371">
                  <c:v>16.960031496834333</c:v>
                </c:pt>
                <c:pt idx="372">
                  <c:v>16.960031496834333</c:v>
                </c:pt>
                <c:pt idx="373">
                  <c:v>16.960031496834333</c:v>
                </c:pt>
                <c:pt idx="374">
                  <c:v>16.960031496834333</c:v>
                </c:pt>
                <c:pt idx="375">
                  <c:v>16.960031496834333</c:v>
                </c:pt>
                <c:pt idx="376">
                  <c:v>16.960031496834333</c:v>
                </c:pt>
                <c:pt idx="377">
                  <c:v>16.960031496834333</c:v>
                </c:pt>
                <c:pt idx="378">
                  <c:v>16.960031496834333</c:v>
                </c:pt>
                <c:pt idx="379">
                  <c:v>16.960031496834333</c:v>
                </c:pt>
                <c:pt idx="380">
                  <c:v>16.960031496834333</c:v>
                </c:pt>
                <c:pt idx="381">
                  <c:v>16.960031496834333</c:v>
                </c:pt>
                <c:pt idx="382">
                  <c:v>16.960031496834333</c:v>
                </c:pt>
                <c:pt idx="383">
                  <c:v>16.960031496834333</c:v>
                </c:pt>
                <c:pt idx="384">
                  <c:v>16.960031496834333</c:v>
                </c:pt>
                <c:pt idx="385">
                  <c:v>16.960031496834333</c:v>
                </c:pt>
                <c:pt idx="386">
                  <c:v>16.960031496834333</c:v>
                </c:pt>
                <c:pt idx="387">
                  <c:v>16.960031496834333</c:v>
                </c:pt>
                <c:pt idx="388">
                  <c:v>16.960031496834333</c:v>
                </c:pt>
                <c:pt idx="389">
                  <c:v>16.960031496834333</c:v>
                </c:pt>
                <c:pt idx="390">
                  <c:v>16.960031496834333</c:v>
                </c:pt>
                <c:pt idx="391">
                  <c:v>16.960031496834333</c:v>
                </c:pt>
                <c:pt idx="392">
                  <c:v>16.960031496834333</c:v>
                </c:pt>
                <c:pt idx="393">
                  <c:v>16.960031496834333</c:v>
                </c:pt>
                <c:pt idx="394">
                  <c:v>16.960031496834333</c:v>
                </c:pt>
                <c:pt idx="395">
                  <c:v>16.960031496834333</c:v>
                </c:pt>
                <c:pt idx="396">
                  <c:v>16.960031496834333</c:v>
                </c:pt>
                <c:pt idx="397">
                  <c:v>16.960031496834333</c:v>
                </c:pt>
                <c:pt idx="398">
                  <c:v>16.960031496834333</c:v>
                </c:pt>
                <c:pt idx="399">
                  <c:v>16.960031496834333</c:v>
                </c:pt>
                <c:pt idx="400">
                  <c:v>16.960031496834333</c:v>
                </c:pt>
                <c:pt idx="401">
                  <c:v>16.960031496834333</c:v>
                </c:pt>
                <c:pt idx="402">
                  <c:v>16.960031496834333</c:v>
                </c:pt>
                <c:pt idx="403">
                  <c:v>16.960031496834333</c:v>
                </c:pt>
                <c:pt idx="404">
                  <c:v>16.960031496834333</c:v>
                </c:pt>
                <c:pt idx="405">
                  <c:v>16.960031496834333</c:v>
                </c:pt>
                <c:pt idx="406">
                  <c:v>16.960031496834333</c:v>
                </c:pt>
                <c:pt idx="407">
                  <c:v>16.960031496834333</c:v>
                </c:pt>
                <c:pt idx="408">
                  <c:v>16.960031496834333</c:v>
                </c:pt>
                <c:pt idx="409">
                  <c:v>16.960031496834333</c:v>
                </c:pt>
                <c:pt idx="410">
                  <c:v>16.960031496834333</c:v>
                </c:pt>
                <c:pt idx="411">
                  <c:v>16.960031496834333</c:v>
                </c:pt>
                <c:pt idx="412">
                  <c:v>16.960031496834333</c:v>
                </c:pt>
                <c:pt idx="413">
                  <c:v>16.960031496834333</c:v>
                </c:pt>
                <c:pt idx="414">
                  <c:v>16.960031496834333</c:v>
                </c:pt>
                <c:pt idx="415">
                  <c:v>16.960031496834333</c:v>
                </c:pt>
                <c:pt idx="416">
                  <c:v>16.960031496834333</c:v>
                </c:pt>
                <c:pt idx="417">
                  <c:v>16.960031496834333</c:v>
                </c:pt>
                <c:pt idx="418">
                  <c:v>16.960031496834333</c:v>
                </c:pt>
                <c:pt idx="419">
                  <c:v>16.960031496834333</c:v>
                </c:pt>
                <c:pt idx="420">
                  <c:v>16.960031496834333</c:v>
                </c:pt>
                <c:pt idx="421">
                  <c:v>16.960031496834333</c:v>
                </c:pt>
                <c:pt idx="422">
                  <c:v>16.960031496834333</c:v>
                </c:pt>
                <c:pt idx="423">
                  <c:v>16.960031496834333</c:v>
                </c:pt>
                <c:pt idx="424">
                  <c:v>16.960031496834333</c:v>
                </c:pt>
                <c:pt idx="425">
                  <c:v>16.960031496834333</c:v>
                </c:pt>
                <c:pt idx="426">
                  <c:v>16.960031496834333</c:v>
                </c:pt>
                <c:pt idx="427">
                  <c:v>16.960031496834333</c:v>
                </c:pt>
                <c:pt idx="428">
                  <c:v>16.960031496834333</c:v>
                </c:pt>
                <c:pt idx="429">
                  <c:v>16.960031496834333</c:v>
                </c:pt>
                <c:pt idx="430">
                  <c:v>16.960031496834333</c:v>
                </c:pt>
                <c:pt idx="431">
                  <c:v>16.960031496834333</c:v>
                </c:pt>
                <c:pt idx="432">
                  <c:v>16.960031496834333</c:v>
                </c:pt>
                <c:pt idx="433">
                  <c:v>16.960031496834333</c:v>
                </c:pt>
                <c:pt idx="434">
                  <c:v>16.960031496834333</c:v>
                </c:pt>
                <c:pt idx="435">
                  <c:v>16.960031496834333</c:v>
                </c:pt>
                <c:pt idx="436">
                  <c:v>16.960031496834333</c:v>
                </c:pt>
                <c:pt idx="437">
                  <c:v>16.960031496834333</c:v>
                </c:pt>
                <c:pt idx="438">
                  <c:v>16.960031496834333</c:v>
                </c:pt>
                <c:pt idx="439">
                  <c:v>16.960031496834333</c:v>
                </c:pt>
                <c:pt idx="440">
                  <c:v>16.960031496834333</c:v>
                </c:pt>
                <c:pt idx="441">
                  <c:v>16.960031496834333</c:v>
                </c:pt>
                <c:pt idx="442">
                  <c:v>16.960031496834333</c:v>
                </c:pt>
                <c:pt idx="443">
                  <c:v>16.960031496834333</c:v>
                </c:pt>
                <c:pt idx="444">
                  <c:v>16.960031496834333</c:v>
                </c:pt>
                <c:pt idx="445">
                  <c:v>16.960031496834333</c:v>
                </c:pt>
                <c:pt idx="446">
                  <c:v>16.960031496834333</c:v>
                </c:pt>
                <c:pt idx="447">
                  <c:v>16.960031496834333</c:v>
                </c:pt>
                <c:pt idx="448">
                  <c:v>16.960031496834333</c:v>
                </c:pt>
                <c:pt idx="449">
                  <c:v>16.960031496834333</c:v>
                </c:pt>
                <c:pt idx="450">
                  <c:v>16.960031496834333</c:v>
                </c:pt>
                <c:pt idx="451">
                  <c:v>16.960031496834333</c:v>
                </c:pt>
                <c:pt idx="452">
                  <c:v>16.960031496834333</c:v>
                </c:pt>
                <c:pt idx="453">
                  <c:v>16.960031496834333</c:v>
                </c:pt>
                <c:pt idx="454">
                  <c:v>16.960031496834333</c:v>
                </c:pt>
                <c:pt idx="455">
                  <c:v>16.960031496834333</c:v>
                </c:pt>
                <c:pt idx="456">
                  <c:v>16.960031496834333</c:v>
                </c:pt>
                <c:pt idx="457">
                  <c:v>16.960031496834333</c:v>
                </c:pt>
                <c:pt idx="458">
                  <c:v>16.960031496834333</c:v>
                </c:pt>
                <c:pt idx="459">
                  <c:v>16.960031496834333</c:v>
                </c:pt>
                <c:pt idx="460">
                  <c:v>16.960031496834333</c:v>
                </c:pt>
                <c:pt idx="461">
                  <c:v>16.960031496834333</c:v>
                </c:pt>
                <c:pt idx="462">
                  <c:v>16.960031496834333</c:v>
                </c:pt>
                <c:pt idx="463">
                  <c:v>16.960031496834333</c:v>
                </c:pt>
                <c:pt idx="464">
                  <c:v>16.960031496834333</c:v>
                </c:pt>
                <c:pt idx="465">
                  <c:v>16.960031496834333</c:v>
                </c:pt>
                <c:pt idx="466">
                  <c:v>16.960031496834333</c:v>
                </c:pt>
                <c:pt idx="467">
                  <c:v>16.960031496834333</c:v>
                </c:pt>
                <c:pt idx="468">
                  <c:v>16.960031496834333</c:v>
                </c:pt>
                <c:pt idx="469">
                  <c:v>16.960031496834333</c:v>
                </c:pt>
                <c:pt idx="470">
                  <c:v>16.960031496834333</c:v>
                </c:pt>
                <c:pt idx="471">
                  <c:v>16.960031496834333</c:v>
                </c:pt>
                <c:pt idx="472">
                  <c:v>16.960031496834333</c:v>
                </c:pt>
                <c:pt idx="473">
                  <c:v>16.960031496834333</c:v>
                </c:pt>
                <c:pt idx="474">
                  <c:v>16.960031496834333</c:v>
                </c:pt>
                <c:pt idx="475">
                  <c:v>16.960031496834333</c:v>
                </c:pt>
                <c:pt idx="476">
                  <c:v>16.960031496834333</c:v>
                </c:pt>
                <c:pt idx="477">
                  <c:v>16.960031496834333</c:v>
                </c:pt>
                <c:pt idx="478">
                  <c:v>16.960031496834333</c:v>
                </c:pt>
                <c:pt idx="479">
                  <c:v>16.960031496834333</c:v>
                </c:pt>
                <c:pt idx="480">
                  <c:v>16.960031496834333</c:v>
                </c:pt>
                <c:pt idx="481">
                  <c:v>16.960031496834333</c:v>
                </c:pt>
                <c:pt idx="482">
                  <c:v>16.960031496834333</c:v>
                </c:pt>
                <c:pt idx="483">
                  <c:v>16.960031496834333</c:v>
                </c:pt>
                <c:pt idx="484">
                  <c:v>16.960031496834333</c:v>
                </c:pt>
                <c:pt idx="485">
                  <c:v>16.960031496834333</c:v>
                </c:pt>
                <c:pt idx="486">
                  <c:v>16.960031496834333</c:v>
                </c:pt>
                <c:pt idx="487">
                  <c:v>16.960031496834333</c:v>
                </c:pt>
                <c:pt idx="488">
                  <c:v>16.960031496834333</c:v>
                </c:pt>
                <c:pt idx="489">
                  <c:v>16.960031496834333</c:v>
                </c:pt>
                <c:pt idx="490">
                  <c:v>16.960031496834333</c:v>
                </c:pt>
                <c:pt idx="491">
                  <c:v>16.960031496834333</c:v>
                </c:pt>
                <c:pt idx="492">
                  <c:v>16.960031496834333</c:v>
                </c:pt>
                <c:pt idx="493">
                  <c:v>16.960031496834333</c:v>
                </c:pt>
                <c:pt idx="494">
                  <c:v>16.960031496834333</c:v>
                </c:pt>
                <c:pt idx="495">
                  <c:v>16.960031496834333</c:v>
                </c:pt>
                <c:pt idx="496">
                  <c:v>16.960031496834333</c:v>
                </c:pt>
                <c:pt idx="497">
                  <c:v>16.960031496834333</c:v>
                </c:pt>
                <c:pt idx="498">
                  <c:v>16.960031496834333</c:v>
                </c:pt>
                <c:pt idx="499">
                  <c:v>16.960031496834333</c:v>
                </c:pt>
                <c:pt idx="500">
                  <c:v>16.960031496834333</c:v>
                </c:pt>
                <c:pt idx="501">
                  <c:v>16.960031496834333</c:v>
                </c:pt>
                <c:pt idx="502">
                  <c:v>16.960031496834333</c:v>
                </c:pt>
                <c:pt idx="503">
                  <c:v>16.960031496834333</c:v>
                </c:pt>
                <c:pt idx="504">
                  <c:v>16.960031496834333</c:v>
                </c:pt>
                <c:pt idx="505">
                  <c:v>16.960031496834333</c:v>
                </c:pt>
                <c:pt idx="506">
                  <c:v>16.960031496834333</c:v>
                </c:pt>
                <c:pt idx="507">
                  <c:v>16.960031496834333</c:v>
                </c:pt>
                <c:pt idx="508">
                  <c:v>16.960031496834333</c:v>
                </c:pt>
                <c:pt idx="509">
                  <c:v>16.960031496834333</c:v>
                </c:pt>
                <c:pt idx="510">
                  <c:v>16.960031496834333</c:v>
                </c:pt>
                <c:pt idx="511">
                  <c:v>16.960031496834333</c:v>
                </c:pt>
                <c:pt idx="512">
                  <c:v>16.960031496834333</c:v>
                </c:pt>
                <c:pt idx="513">
                  <c:v>16.960031496834333</c:v>
                </c:pt>
                <c:pt idx="514">
                  <c:v>16.960031496834333</c:v>
                </c:pt>
                <c:pt idx="515">
                  <c:v>16.960031496834333</c:v>
                </c:pt>
                <c:pt idx="516">
                  <c:v>16.960031496834333</c:v>
                </c:pt>
                <c:pt idx="517">
                  <c:v>16.960031496834333</c:v>
                </c:pt>
                <c:pt idx="518">
                  <c:v>16.960031496834333</c:v>
                </c:pt>
                <c:pt idx="519">
                  <c:v>16.960031496834333</c:v>
                </c:pt>
                <c:pt idx="520">
                  <c:v>16.960031496834333</c:v>
                </c:pt>
                <c:pt idx="521">
                  <c:v>16.960031496834333</c:v>
                </c:pt>
                <c:pt idx="522">
                  <c:v>16.960031496834333</c:v>
                </c:pt>
                <c:pt idx="523">
                  <c:v>16.960031496834333</c:v>
                </c:pt>
                <c:pt idx="524">
                  <c:v>16.960031496834333</c:v>
                </c:pt>
                <c:pt idx="525">
                  <c:v>16.960031496834333</c:v>
                </c:pt>
                <c:pt idx="526">
                  <c:v>16.960031496834333</c:v>
                </c:pt>
                <c:pt idx="527">
                  <c:v>16.960031496834333</c:v>
                </c:pt>
                <c:pt idx="528">
                  <c:v>16.960031496834333</c:v>
                </c:pt>
                <c:pt idx="529">
                  <c:v>16.960031496834333</c:v>
                </c:pt>
                <c:pt idx="530">
                  <c:v>16.960031496834333</c:v>
                </c:pt>
                <c:pt idx="531">
                  <c:v>16.960031496834333</c:v>
                </c:pt>
                <c:pt idx="532">
                  <c:v>16.960031496834333</c:v>
                </c:pt>
                <c:pt idx="533">
                  <c:v>16.960031496834333</c:v>
                </c:pt>
                <c:pt idx="534">
                  <c:v>16.960031496834333</c:v>
                </c:pt>
                <c:pt idx="535">
                  <c:v>16.960031496834333</c:v>
                </c:pt>
                <c:pt idx="536">
                  <c:v>16.960031496834333</c:v>
                </c:pt>
                <c:pt idx="537">
                  <c:v>16.960031496834333</c:v>
                </c:pt>
                <c:pt idx="538">
                  <c:v>16.960031496834333</c:v>
                </c:pt>
                <c:pt idx="539">
                  <c:v>16.960031496834333</c:v>
                </c:pt>
                <c:pt idx="540">
                  <c:v>16.960031496834333</c:v>
                </c:pt>
                <c:pt idx="541">
                  <c:v>16.960031496834333</c:v>
                </c:pt>
                <c:pt idx="542">
                  <c:v>16.960031496834333</c:v>
                </c:pt>
                <c:pt idx="543">
                  <c:v>16.960031496834333</c:v>
                </c:pt>
                <c:pt idx="544">
                  <c:v>16.960031496834333</c:v>
                </c:pt>
                <c:pt idx="545">
                  <c:v>16.960031496834333</c:v>
                </c:pt>
                <c:pt idx="546">
                  <c:v>16.960031496834333</c:v>
                </c:pt>
                <c:pt idx="547">
                  <c:v>16.960031496834333</c:v>
                </c:pt>
                <c:pt idx="548">
                  <c:v>16.960031496834333</c:v>
                </c:pt>
                <c:pt idx="549">
                  <c:v>16.960031496834333</c:v>
                </c:pt>
                <c:pt idx="550">
                  <c:v>16.960031496834333</c:v>
                </c:pt>
                <c:pt idx="551">
                  <c:v>16.960031496834333</c:v>
                </c:pt>
                <c:pt idx="552">
                  <c:v>16.960031496834333</c:v>
                </c:pt>
                <c:pt idx="553">
                  <c:v>16.960031496834333</c:v>
                </c:pt>
                <c:pt idx="554">
                  <c:v>16.960031496834333</c:v>
                </c:pt>
                <c:pt idx="555">
                  <c:v>16.960031496834333</c:v>
                </c:pt>
                <c:pt idx="556">
                  <c:v>16.960031496834333</c:v>
                </c:pt>
                <c:pt idx="557">
                  <c:v>16.960031496834333</c:v>
                </c:pt>
                <c:pt idx="558">
                  <c:v>16.960031496834333</c:v>
                </c:pt>
                <c:pt idx="559">
                  <c:v>16.960031496834333</c:v>
                </c:pt>
                <c:pt idx="560">
                  <c:v>16.960031496834333</c:v>
                </c:pt>
                <c:pt idx="561">
                  <c:v>16.960031496834333</c:v>
                </c:pt>
                <c:pt idx="562">
                  <c:v>16.960031496834333</c:v>
                </c:pt>
                <c:pt idx="563">
                  <c:v>16.960031496834333</c:v>
                </c:pt>
                <c:pt idx="564">
                  <c:v>16.960031496834333</c:v>
                </c:pt>
                <c:pt idx="565">
                  <c:v>16.960031496834333</c:v>
                </c:pt>
                <c:pt idx="566">
                  <c:v>16.960031496834333</c:v>
                </c:pt>
                <c:pt idx="567">
                  <c:v>16.960031496834333</c:v>
                </c:pt>
                <c:pt idx="568">
                  <c:v>16.960031496834333</c:v>
                </c:pt>
                <c:pt idx="569">
                  <c:v>16.960031496834333</c:v>
                </c:pt>
                <c:pt idx="570">
                  <c:v>16.960031496834333</c:v>
                </c:pt>
                <c:pt idx="571">
                  <c:v>16.960031496834333</c:v>
                </c:pt>
                <c:pt idx="572">
                  <c:v>16.960031496834333</c:v>
                </c:pt>
                <c:pt idx="573">
                  <c:v>16.960031496834333</c:v>
                </c:pt>
                <c:pt idx="574">
                  <c:v>16.960031496834333</c:v>
                </c:pt>
                <c:pt idx="575">
                  <c:v>16.960031496834333</c:v>
                </c:pt>
                <c:pt idx="576">
                  <c:v>16.960031496834333</c:v>
                </c:pt>
                <c:pt idx="577">
                  <c:v>16.960031496834333</c:v>
                </c:pt>
                <c:pt idx="578">
                  <c:v>16.960031496834333</c:v>
                </c:pt>
                <c:pt idx="579">
                  <c:v>16.960031496834333</c:v>
                </c:pt>
                <c:pt idx="580">
                  <c:v>16.960031496834333</c:v>
                </c:pt>
                <c:pt idx="581">
                  <c:v>16.960031496834333</c:v>
                </c:pt>
                <c:pt idx="582">
                  <c:v>16.960031496834333</c:v>
                </c:pt>
                <c:pt idx="583">
                  <c:v>16.960031496834333</c:v>
                </c:pt>
                <c:pt idx="584">
                  <c:v>16.960031496834333</c:v>
                </c:pt>
                <c:pt idx="585">
                  <c:v>16.960031496834333</c:v>
                </c:pt>
                <c:pt idx="586">
                  <c:v>16.960031496834333</c:v>
                </c:pt>
                <c:pt idx="587">
                  <c:v>16.960031496834333</c:v>
                </c:pt>
                <c:pt idx="588">
                  <c:v>16.960031496834333</c:v>
                </c:pt>
                <c:pt idx="589">
                  <c:v>16.960031496834333</c:v>
                </c:pt>
                <c:pt idx="590">
                  <c:v>16.960031496834333</c:v>
                </c:pt>
                <c:pt idx="591">
                  <c:v>16.960031496834333</c:v>
                </c:pt>
                <c:pt idx="592">
                  <c:v>16.960031496834333</c:v>
                </c:pt>
                <c:pt idx="593">
                  <c:v>16.960031496834333</c:v>
                </c:pt>
                <c:pt idx="594">
                  <c:v>16.960031496834333</c:v>
                </c:pt>
                <c:pt idx="595">
                  <c:v>16.960031496834333</c:v>
                </c:pt>
                <c:pt idx="596">
                  <c:v>16.960031496834333</c:v>
                </c:pt>
                <c:pt idx="597">
                  <c:v>16.960031496834333</c:v>
                </c:pt>
                <c:pt idx="598">
                  <c:v>16.960031496834333</c:v>
                </c:pt>
                <c:pt idx="599">
                  <c:v>16.960031496834333</c:v>
                </c:pt>
                <c:pt idx="600">
                  <c:v>16.960031496834333</c:v>
                </c:pt>
                <c:pt idx="601">
                  <c:v>16.960031496834333</c:v>
                </c:pt>
                <c:pt idx="602">
                  <c:v>16.960031496834333</c:v>
                </c:pt>
                <c:pt idx="603">
                  <c:v>16.960031496834333</c:v>
                </c:pt>
                <c:pt idx="604">
                  <c:v>16.960031496834333</c:v>
                </c:pt>
                <c:pt idx="605">
                  <c:v>16.960031496834333</c:v>
                </c:pt>
                <c:pt idx="606">
                  <c:v>16.960031496834333</c:v>
                </c:pt>
                <c:pt idx="607">
                  <c:v>16.960031496834333</c:v>
                </c:pt>
                <c:pt idx="608">
                  <c:v>16.960031496834333</c:v>
                </c:pt>
                <c:pt idx="609">
                  <c:v>16.960031496834333</c:v>
                </c:pt>
                <c:pt idx="610">
                  <c:v>16.960031496834333</c:v>
                </c:pt>
                <c:pt idx="611">
                  <c:v>16.960031496834333</c:v>
                </c:pt>
                <c:pt idx="612">
                  <c:v>16.960031496834333</c:v>
                </c:pt>
                <c:pt idx="613">
                  <c:v>16.960031496834333</c:v>
                </c:pt>
                <c:pt idx="614">
                  <c:v>16.960031496834333</c:v>
                </c:pt>
                <c:pt idx="615">
                  <c:v>16.960031496834333</c:v>
                </c:pt>
                <c:pt idx="616">
                  <c:v>16.960031496834333</c:v>
                </c:pt>
                <c:pt idx="617">
                  <c:v>16.960031496834333</c:v>
                </c:pt>
                <c:pt idx="618">
                  <c:v>16.960031496834333</c:v>
                </c:pt>
                <c:pt idx="619">
                  <c:v>16.960031496834333</c:v>
                </c:pt>
                <c:pt idx="620">
                  <c:v>16.960031496834333</c:v>
                </c:pt>
                <c:pt idx="621">
                  <c:v>16.960031496834333</c:v>
                </c:pt>
                <c:pt idx="622">
                  <c:v>16.960031496834333</c:v>
                </c:pt>
                <c:pt idx="623">
                  <c:v>16.960031496834333</c:v>
                </c:pt>
                <c:pt idx="624">
                  <c:v>16.960031496834333</c:v>
                </c:pt>
                <c:pt idx="625">
                  <c:v>16.960031496834333</c:v>
                </c:pt>
                <c:pt idx="626">
                  <c:v>16.960031496834333</c:v>
                </c:pt>
                <c:pt idx="627">
                  <c:v>16.960031496834333</c:v>
                </c:pt>
                <c:pt idx="628">
                  <c:v>16.960031496834333</c:v>
                </c:pt>
                <c:pt idx="629">
                  <c:v>16.960031496834333</c:v>
                </c:pt>
                <c:pt idx="630">
                  <c:v>16.960031496834333</c:v>
                </c:pt>
                <c:pt idx="631">
                  <c:v>16.960031496834333</c:v>
                </c:pt>
                <c:pt idx="632">
                  <c:v>16.960031496834333</c:v>
                </c:pt>
                <c:pt idx="633">
                  <c:v>16.960031496834333</c:v>
                </c:pt>
                <c:pt idx="634">
                  <c:v>16.960031496834333</c:v>
                </c:pt>
                <c:pt idx="635">
                  <c:v>16.960031496834333</c:v>
                </c:pt>
                <c:pt idx="636">
                  <c:v>16.960031496834333</c:v>
                </c:pt>
                <c:pt idx="637">
                  <c:v>16.960031496834333</c:v>
                </c:pt>
                <c:pt idx="638">
                  <c:v>16.960031496834333</c:v>
                </c:pt>
                <c:pt idx="639">
                  <c:v>16.960031496834333</c:v>
                </c:pt>
                <c:pt idx="640">
                  <c:v>16.960031496834333</c:v>
                </c:pt>
                <c:pt idx="641">
                  <c:v>16.960031496834333</c:v>
                </c:pt>
                <c:pt idx="642">
                  <c:v>16.960031496834333</c:v>
                </c:pt>
                <c:pt idx="643">
                  <c:v>16.960031496834333</c:v>
                </c:pt>
                <c:pt idx="644">
                  <c:v>16.960031496834333</c:v>
                </c:pt>
                <c:pt idx="645">
                  <c:v>16.960031496834333</c:v>
                </c:pt>
                <c:pt idx="646">
                  <c:v>16.960031496834333</c:v>
                </c:pt>
                <c:pt idx="647">
                  <c:v>16.960031496834333</c:v>
                </c:pt>
                <c:pt idx="648">
                  <c:v>16.960031496834333</c:v>
                </c:pt>
                <c:pt idx="649">
                  <c:v>16.960031496834333</c:v>
                </c:pt>
                <c:pt idx="650">
                  <c:v>16.960031496834333</c:v>
                </c:pt>
                <c:pt idx="651">
                  <c:v>16.960031496834333</c:v>
                </c:pt>
                <c:pt idx="652">
                  <c:v>16.960031496834333</c:v>
                </c:pt>
                <c:pt idx="653">
                  <c:v>16.960031496834333</c:v>
                </c:pt>
                <c:pt idx="654">
                  <c:v>16.960031496834333</c:v>
                </c:pt>
                <c:pt idx="655">
                  <c:v>16.960031496834333</c:v>
                </c:pt>
                <c:pt idx="656">
                  <c:v>16.960031496834333</c:v>
                </c:pt>
                <c:pt idx="657">
                  <c:v>16.960031496834333</c:v>
                </c:pt>
                <c:pt idx="658">
                  <c:v>16.960031496834333</c:v>
                </c:pt>
                <c:pt idx="659">
                  <c:v>16.960031496834333</c:v>
                </c:pt>
                <c:pt idx="660">
                  <c:v>16.960031496834333</c:v>
                </c:pt>
                <c:pt idx="661">
                  <c:v>16.960031496834333</c:v>
                </c:pt>
                <c:pt idx="662">
                  <c:v>16.960031496834333</c:v>
                </c:pt>
                <c:pt idx="663">
                  <c:v>16.960031496834333</c:v>
                </c:pt>
                <c:pt idx="664">
                  <c:v>16.960031496834333</c:v>
                </c:pt>
                <c:pt idx="665">
                  <c:v>16.960031496834333</c:v>
                </c:pt>
                <c:pt idx="666">
                  <c:v>16.960031496834333</c:v>
                </c:pt>
                <c:pt idx="667">
                  <c:v>16.960031496834333</c:v>
                </c:pt>
                <c:pt idx="668">
                  <c:v>16.960031496834333</c:v>
                </c:pt>
                <c:pt idx="669">
                  <c:v>16.960031496834333</c:v>
                </c:pt>
                <c:pt idx="670">
                  <c:v>16.960031496834333</c:v>
                </c:pt>
                <c:pt idx="671">
                  <c:v>16.960031496834333</c:v>
                </c:pt>
                <c:pt idx="672">
                  <c:v>16.960031496834333</c:v>
                </c:pt>
                <c:pt idx="673">
                  <c:v>16.960031496834333</c:v>
                </c:pt>
                <c:pt idx="674">
                  <c:v>16.960031496834333</c:v>
                </c:pt>
                <c:pt idx="675">
                  <c:v>16.960031496834333</c:v>
                </c:pt>
                <c:pt idx="676">
                  <c:v>16.960031496834333</c:v>
                </c:pt>
                <c:pt idx="677">
                  <c:v>16.960031496834333</c:v>
                </c:pt>
                <c:pt idx="678">
                  <c:v>16.960031496834333</c:v>
                </c:pt>
                <c:pt idx="679">
                  <c:v>16.960031496834333</c:v>
                </c:pt>
                <c:pt idx="680">
                  <c:v>16.960031496834333</c:v>
                </c:pt>
                <c:pt idx="681">
                  <c:v>16.960031496834333</c:v>
                </c:pt>
                <c:pt idx="682">
                  <c:v>16.960031496834333</c:v>
                </c:pt>
                <c:pt idx="683">
                  <c:v>16.960031496834333</c:v>
                </c:pt>
                <c:pt idx="684">
                  <c:v>16.960031496834333</c:v>
                </c:pt>
                <c:pt idx="685">
                  <c:v>16.960031496834333</c:v>
                </c:pt>
                <c:pt idx="686">
                  <c:v>16.960031496834333</c:v>
                </c:pt>
                <c:pt idx="687">
                  <c:v>16.960031496834333</c:v>
                </c:pt>
                <c:pt idx="688">
                  <c:v>16.960031496834333</c:v>
                </c:pt>
                <c:pt idx="689">
                  <c:v>16.960031496834333</c:v>
                </c:pt>
                <c:pt idx="690">
                  <c:v>16.960031496834333</c:v>
                </c:pt>
                <c:pt idx="691">
                  <c:v>16.960031496834333</c:v>
                </c:pt>
                <c:pt idx="692">
                  <c:v>16.960031496834333</c:v>
                </c:pt>
                <c:pt idx="693">
                  <c:v>16.960031496834333</c:v>
                </c:pt>
                <c:pt idx="694">
                  <c:v>16.960031496834333</c:v>
                </c:pt>
                <c:pt idx="695">
                  <c:v>16.960031496834333</c:v>
                </c:pt>
                <c:pt idx="696">
                  <c:v>16.960031496834333</c:v>
                </c:pt>
                <c:pt idx="697">
                  <c:v>16.960031496834333</c:v>
                </c:pt>
                <c:pt idx="698">
                  <c:v>16.960031496834333</c:v>
                </c:pt>
                <c:pt idx="699">
                  <c:v>16.960031496834333</c:v>
                </c:pt>
                <c:pt idx="700">
                  <c:v>16.960031496834333</c:v>
                </c:pt>
                <c:pt idx="701">
                  <c:v>16.960031496834333</c:v>
                </c:pt>
                <c:pt idx="702">
                  <c:v>16.960031496834333</c:v>
                </c:pt>
                <c:pt idx="703">
                  <c:v>16.960031496834333</c:v>
                </c:pt>
                <c:pt idx="704">
                  <c:v>16.960031496834333</c:v>
                </c:pt>
                <c:pt idx="705">
                  <c:v>16.960031496834333</c:v>
                </c:pt>
                <c:pt idx="706">
                  <c:v>16.960031496834333</c:v>
                </c:pt>
                <c:pt idx="707">
                  <c:v>16.960031496834333</c:v>
                </c:pt>
                <c:pt idx="708">
                  <c:v>16.960031496834333</c:v>
                </c:pt>
                <c:pt idx="709">
                  <c:v>16.960031496834333</c:v>
                </c:pt>
                <c:pt idx="710">
                  <c:v>16.960031496834333</c:v>
                </c:pt>
                <c:pt idx="711">
                  <c:v>16.960031496834333</c:v>
                </c:pt>
                <c:pt idx="712">
                  <c:v>16.960031496834333</c:v>
                </c:pt>
                <c:pt idx="713">
                  <c:v>16.960031496834333</c:v>
                </c:pt>
                <c:pt idx="714">
                  <c:v>16.960031496834333</c:v>
                </c:pt>
                <c:pt idx="715">
                  <c:v>16.960031496834333</c:v>
                </c:pt>
                <c:pt idx="716">
                  <c:v>16.960031496834333</c:v>
                </c:pt>
                <c:pt idx="717">
                  <c:v>16.960031496834333</c:v>
                </c:pt>
                <c:pt idx="718">
                  <c:v>16.960031496834333</c:v>
                </c:pt>
                <c:pt idx="719">
                  <c:v>16.960031496834333</c:v>
                </c:pt>
                <c:pt idx="720">
                  <c:v>16.960031496834333</c:v>
                </c:pt>
                <c:pt idx="721">
                  <c:v>16.960031496834333</c:v>
                </c:pt>
                <c:pt idx="722">
                  <c:v>16.960031496834333</c:v>
                </c:pt>
                <c:pt idx="723">
                  <c:v>16.960031496834333</c:v>
                </c:pt>
                <c:pt idx="724">
                  <c:v>16.960031496834333</c:v>
                </c:pt>
                <c:pt idx="725">
                  <c:v>16.960031496834333</c:v>
                </c:pt>
                <c:pt idx="726">
                  <c:v>16.960031496834333</c:v>
                </c:pt>
                <c:pt idx="727">
                  <c:v>16.960031496834333</c:v>
                </c:pt>
                <c:pt idx="728">
                  <c:v>16.960031496834333</c:v>
                </c:pt>
                <c:pt idx="729">
                  <c:v>16.960031496834333</c:v>
                </c:pt>
                <c:pt idx="730">
                  <c:v>16.960031496834333</c:v>
                </c:pt>
                <c:pt idx="731">
                  <c:v>16.960031496834333</c:v>
                </c:pt>
                <c:pt idx="732">
                  <c:v>16.960031496834333</c:v>
                </c:pt>
                <c:pt idx="733">
                  <c:v>16.960031496834333</c:v>
                </c:pt>
                <c:pt idx="734">
                  <c:v>16.960031496834333</c:v>
                </c:pt>
                <c:pt idx="735">
                  <c:v>16.960031496834333</c:v>
                </c:pt>
                <c:pt idx="736">
                  <c:v>16.960031496834333</c:v>
                </c:pt>
                <c:pt idx="737">
                  <c:v>16.960031496834333</c:v>
                </c:pt>
                <c:pt idx="738">
                  <c:v>16.960031496834333</c:v>
                </c:pt>
                <c:pt idx="739">
                  <c:v>16.960031496834333</c:v>
                </c:pt>
                <c:pt idx="740">
                  <c:v>16.960031496834333</c:v>
                </c:pt>
                <c:pt idx="741">
                  <c:v>16.960031496834333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0C-4C09-8815-39EBA7ADE92B}"/>
            </c:ext>
          </c:extLst>
        </c:ser>
        <c:ser>
          <c:idx val="3"/>
          <c:order val="2"/>
          <c:tx>
            <c:strRef>
              <c:f>'FX Data'!$C$1456</c:f>
              <c:strCache>
                <c:ptCount val="1"/>
                <c:pt idx="0">
                  <c:v>16.2519</c:v>
                </c:pt>
              </c:strCache>
            </c:strRef>
          </c:tx>
          <c:spPr>
            <a:ln w="28575" cap="rnd">
              <a:solidFill>
                <a:srgbClr val="1F497D">
                  <a:lumMod val="75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'FX Data'!$B$1457:$B$2460</c:f>
              <c:numCache>
                <c:formatCode>m/d/yyyy</c:formatCode>
                <c:ptCount val="1004"/>
                <c:pt idx="0">
                  <c:v>44993</c:v>
                </c:pt>
                <c:pt idx="1">
                  <c:v>44994</c:v>
                </c:pt>
                <c:pt idx="2">
                  <c:v>44995</c:v>
                </c:pt>
                <c:pt idx="3">
                  <c:v>44998</c:v>
                </c:pt>
                <c:pt idx="4">
                  <c:v>44999</c:v>
                </c:pt>
                <c:pt idx="5">
                  <c:v>45000</c:v>
                </c:pt>
                <c:pt idx="6">
                  <c:v>45001</c:v>
                </c:pt>
                <c:pt idx="7">
                  <c:v>45002</c:v>
                </c:pt>
                <c:pt idx="8">
                  <c:v>45005</c:v>
                </c:pt>
                <c:pt idx="9">
                  <c:v>45006</c:v>
                </c:pt>
                <c:pt idx="10">
                  <c:v>45007</c:v>
                </c:pt>
                <c:pt idx="11">
                  <c:v>45008</c:v>
                </c:pt>
                <c:pt idx="12">
                  <c:v>45009</c:v>
                </c:pt>
                <c:pt idx="13">
                  <c:v>45012</c:v>
                </c:pt>
                <c:pt idx="14">
                  <c:v>45013</c:v>
                </c:pt>
                <c:pt idx="15">
                  <c:v>45014</c:v>
                </c:pt>
                <c:pt idx="16">
                  <c:v>45015</c:v>
                </c:pt>
                <c:pt idx="17">
                  <c:v>45016</c:v>
                </c:pt>
                <c:pt idx="18">
                  <c:v>45019</c:v>
                </c:pt>
                <c:pt idx="19">
                  <c:v>45020</c:v>
                </c:pt>
                <c:pt idx="20">
                  <c:v>45021</c:v>
                </c:pt>
                <c:pt idx="21">
                  <c:v>45022</c:v>
                </c:pt>
                <c:pt idx="22">
                  <c:v>45023</c:v>
                </c:pt>
                <c:pt idx="23">
                  <c:v>45026</c:v>
                </c:pt>
                <c:pt idx="24">
                  <c:v>45027</c:v>
                </c:pt>
                <c:pt idx="25">
                  <c:v>45028</c:v>
                </c:pt>
                <c:pt idx="26">
                  <c:v>45029</c:v>
                </c:pt>
                <c:pt idx="27">
                  <c:v>45030</c:v>
                </c:pt>
                <c:pt idx="28">
                  <c:v>45033</c:v>
                </c:pt>
                <c:pt idx="29">
                  <c:v>45034</c:v>
                </c:pt>
                <c:pt idx="30">
                  <c:v>45035</c:v>
                </c:pt>
                <c:pt idx="31">
                  <c:v>45036</c:v>
                </c:pt>
                <c:pt idx="32">
                  <c:v>45037</c:v>
                </c:pt>
                <c:pt idx="33">
                  <c:v>45040</c:v>
                </c:pt>
                <c:pt idx="34">
                  <c:v>45041</c:v>
                </c:pt>
                <c:pt idx="35">
                  <c:v>45042</c:v>
                </c:pt>
                <c:pt idx="36">
                  <c:v>45043</c:v>
                </c:pt>
                <c:pt idx="37">
                  <c:v>45044</c:v>
                </c:pt>
                <c:pt idx="38">
                  <c:v>45050</c:v>
                </c:pt>
                <c:pt idx="39">
                  <c:v>45051</c:v>
                </c:pt>
                <c:pt idx="40">
                  <c:v>45054</c:v>
                </c:pt>
                <c:pt idx="41">
                  <c:v>45055</c:v>
                </c:pt>
                <c:pt idx="42">
                  <c:v>45056</c:v>
                </c:pt>
                <c:pt idx="43">
                  <c:v>45057</c:v>
                </c:pt>
                <c:pt idx="44">
                  <c:v>45058</c:v>
                </c:pt>
                <c:pt idx="45">
                  <c:v>45061</c:v>
                </c:pt>
                <c:pt idx="46">
                  <c:v>45062</c:v>
                </c:pt>
                <c:pt idx="47">
                  <c:v>45063</c:v>
                </c:pt>
                <c:pt idx="48">
                  <c:v>45064</c:v>
                </c:pt>
                <c:pt idx="49">
                  <c:v>45065</c:v>
                </c:pt>
                <c:pt idx="50">
                  <c:v>45068</c:v>
                </c:pt>
                <c:pt idx="51">
                  <c:v>45069</c:v>
                </c:pt>
                <c:pt idx="52">
                  <c:v>45070</c:v>
                </c:pt>
                <c:pt idx="53">
                  <c:v>45071</c:v>
                </c:pt>
                <c:pt idx="54">
                  <c:v>45072</c:v>
                </c:pt>
                <c:pt idx="55">
                  <c:v>45075</c:v>
                </c:pt>
                <c:pt idx="56">
                  <c:v>45076</c:v>
                </c:pt>
                <c:pt idx="57">
                  <c:v>45077</c:v>
                </c:pt>
                <c:pt idx="58">
                  <c:v>45078</c:v>
                </c:pt>
                <c:pt idx="59">
                  <c:v>45079</c:v>
                </c:pt>
                <c:pt idx="60">
                  <c:v>45082</c:v>
                </c:pt>
                <c:pt idx="61">
                  <c:v>45083</c:v>
                </c:pt>
                <c:pt idx="62">
                  <c:v>45084</c:v>
                </c:pt>
                <c:pt idx="63">
                  <c:v>45085</c:v>
                </c:pt>
                <c:pt idx="64">
                  <c:v>45086</c:v>
                </c:pt>
                <c:pt idx="65">
                  <c:v>45089</c:v>
                </c:pt>
                <c:pt idx="66">
                  <c:v>45090</c:v>
                </c:pt>
                <c:pt idx="67">
                  <c:v>45091</c:v>
                </c:pt>
                <c:pt idx="68">
                  <c:v>45092</c:v>
                </c:pt>
                <c:pt idx="69">
                  <c:v>45093</c:v>
                </c:pt>
                <c:pt idx="70">
                  <c:v>45096</c:v>
                </c:pt>
                <c:pt idx="71">
                  <c:v>45097</c:v>
                </c:pt>
                <c:pt idx="72">
                  <c:v>45098</c:v>
                </c:pt>
                <c:pt idx="73">
                  <c:v>45099</c:v>
                </c:pt>
                <c:pt idx="74">
                  <c:v>45100</c:v>
                </c:pt>
                <c:pt idx="75">
                  <c:v>45103</c:v>
                </c:pt>
                <c:pt idx="76">
                  <c:v>45104</c:v>
                </c:pt>
                <c:pt idx="77">
                  <c:v>45105</c:v>
                </c:pt>
                <c:pt idx="78">
                  <c:v>45106</c:v>
                </c:pt>
                <c:pt idx="79">
                  <c:v>45107</c:v>
                </c:pt>
                <c:pt idx="80">
                  <c:v>45110</c:v>
                </c:pt>
                <c:pt idx="81">
                  <c:v>45111</c:v>
                </c:pt>
                <c:pt idx="82">
                  <c:v>45112</c:v>
                </c:pt>
                <c:pt idx="83">
                  <c:v>45113</c:v>
                </c:pt>
                <c:pt idx="84">
                  <c:v>45114</c:v>
                </c:pt>
                <c:pt idx="85">
                  <c:v>45117</c:v>
                </c:pt>
                <c:pt idx="86">
                  <c:v>45118</c:v>
                </c:pt>
                <c:pt idx="87">
                  <c:v>45119</c:v>
                </c:pt>
                <c:pt idx="88">
                  <c:v>45120</c:v>
                </c:pt>
                <c:pt idx="89">
                  <c:v>45121</c:v>
                </c:pt>
                <c:pt idx="90">
                  <c:v>45124</c:v>
                </c:pt>
                <c:pt idx="91">
                  <c:v>45125</c:v>
                </c:pt>
                <c:pt idx="92">
                  <c:v>45126</c:v>
                </c:pt>
                <c:pt idx="93">
                  <c:v>45127</c:v>
                </c:pt>
                <c:pt idx="94">
                  <c:v>45128</c:v>
                </c:pt>
                <c:pt idx="95">
                  <c:v>45131</c:v>
                </c:pt>
                <c:pt idx="96">
                  <c:v>45132</c:v>
                </c:pt>
                <c:pt idx="97">
                  <c:v>45133</c:v>
                </c:pt>
                <c:pt idx="98">
                  <c:v>45134</c:v>
                </c:pt>
                <c:pt idx="99">
                  <c:v>45135</c:v>
                </c:pt>
                <c:pt idx="100">
                  <c:v>45138</c:v>
                </c:pt>
                <c:pt idx="101">
                  <c:v>45139</c:v>
                </c:pt>
                <c:pt idx="102">
                  <c:v>45140</c:v>
                </c:pt>
                <c:pt idx="103">
                  <c:v>45141</c:v>
                </c:pt>
                <c:pt idx="104">
                  <c:v>45142</c:v>
                </c:pt>
                <c:pt idx="105">
                  <c:v>45145</c:v>
                </c:pt>
                <c:pt idx="106">
                  <c:v>45146</c:v>
                </c:pt>
                <c:pt idx="107">
                  <c:v>45147</c:v>
                </c:pt>
                <c:pt idx="108">
                  <c:v>45148</c:v>
                </c:pt>
                <c:pt idx="109">
                  <c:v>45149</c:v>
                </c:pt>
                <c:pt idx="110">
                  <c:v>45152</c:v>
                </c:pt>
                <c:pt idx="111">
                  <c:v>45153</c:v>
                </c:pt>
                <c:pt idx="112">
                  <c:v>45154</c:v>
                </c:pt>
                <c:pt idx="113">
                  <c:v>45155</c:v>
                </c:pt>
                <c:pt idx="114">
                  <c:v>45156</c:v>
                </c:pt>
                <c:pt idx="115">
                  <c:v>45159</c:v>
                </c:pt>
                <c:pt idx="116">
                  <c:v>45160</c:v>
                </c:pt>
                <c:pt idx="117">
                  <c:v>45161</c:v>
                </c:pt>
                <c:pt idx="118">
                  <c:v>45162</c:v>
                </c:pt>
                <c:pt idx="119">
                  <c:v>45163</c:v>
                </c:pt>
                <c:pt idx="120">
                  <c:v>45166</c:v>
                </c:pt>
                <c:pt idx="121">
                  <c:v>45167</c:v>
                </c:pt>
                <c:pt idx="122">
                  <c:v>45168</c:v>
                </c:pt>
                <c:pt idx="123">
                  <c:v>45169</c:v>
                </c:pt>
                <c:pt idx="124">
                  <c:v>45174</c:v>
                </c:pt>
                <c:pt idx="125">
                  <c:v>45175</c:v>
                </c:pt>
                <c:pt idx="126">
                  <c:v>45176</c:v>
                </c:pt>
                <c:pt idx="127">
                  <c:v>45177</c:v>
                </c:pt>
                <c:pt idx="128">
                  <c:v>45180</c:v>
                </c:pt>
                <c:pt idx="129">
                  <c:v>45181</c:v>
                </c:pt>
                <c:pt idx="130">
                  <c:v>45182</c:v>
                </c:pt>
                <c:pt idx="131">
                  <c:v>45183</c:v>
                </c:pt>
                <c:pt idx="132">
                  <c:v>45184</c:v>
                </c:pt>
                <c:pt idx="133">
                  <c:v>45187</c:v>
                </c:pt>
                <c:pt idx="134">
                  <c:v>45188</c:v>
                </c:pt>
                <c:pt idx="135">
                  <c:v>45189</c:v>
                </c:pt>
                <c:pt idx="136">
                  <c:v>45190</c:v>
                </c:pt>
                <c:pt idx="137">
                  <c:v>45191</c:v>
                </c:pt>
                <c:pt idx="138">
                  <c:v>45194</c:v>
                </c:pt>
                <c:pt idx="139">
                  <c:v>45195</c:v>
                </c:pt>
                <c:pt idx="140">
                  <c:v>45196</c:v>
                </c:pt>
                <c:pt idx="141">
                  <c:v>45197</c:v>
                </c:pt>
                <c:pt idx="142">
                  <c:v>45198</c:v>
                </c:pt>
                <c:pt idx="143">
                  <c:v>45201</c:v>
                </c:pt>
                <c:pt idx="144">
                  <c:v>45202</c:v>
                </c:pt>
                <c:pt idx="145">
                  <c:v>45203</c:v>
                </c:pt>
                <c:pt idx="146">
                  <c:v>45204</c:v>
                </c:pt>
                <c:pt idx="147">
                  <c:v>45205</c:v>
                </c:pt>
                <c:pt idx="148">
                  <c:v>45208</c:v>
                </c:pt>
                <c:pt idx="149">
                  <c:v>45209</c:v>
                </c:pt>
                <c:pt idx="150">
                  <c:v>45210</c:v>
                </c:pt>
                <c:pt idx="151">
                  <c:v>45211</c:v>
                </c:pt>
                <c:pt idx="152">
                  <c:v>45212</c:v>
                </c:pt>
                <c:pt idx="153">
                  <c:v>45215</c:v>
                </c:pt>
                <c:pt idx="154">
                  <c:v>45216</c:v>
                </c:pt>
                <c:pt idx="155">
                  <c:v>45217</c:v>
                </c:pt>
                <c:pt idx="156">
                  <c:v>45218</c:v>
                </c:pt>
                <c:pt idx="157">
                  <c:v>45219</c:v>
                </c:pt>
                <c:pt idx="158">
                  <c:v>45222</c:v>
                </c:pt>
                <c:pt idx="159">
                  <c:v>45223</c:v>
                </c:pt>
                <c:pt idx="160">
                  <c:v>45224</c:v>
                </c:pt>
                <c:pt idx="161">
                  <c:v>45225</c:v>
                </c:pt>
                <c:pt idx="162">
                  <c:v>45226</c:v>
                </c:pt>
                <c:pt idx="163">
                  <c:v>45229</c:v>
                </c:pt>
                <c:pt idx="164">
                  <c:v>45230</c:v>
                </c:pt>
                <c:pt idx="165">
                  <c:v>45231</c:v>
                </c:pt>
                <c:pt idx="166">
                  <c:v>45232</c:v>
                </c:pt>
                <c:pt idx="167">
                  <c:v>45233</c:v>
                </c:pt>
                <c:pt idx="168">
                  <c:v>45236</c:v>
                </c:pt>
                <c:pt idx="169">
                  <c:v>45237</c:v>
                </c:pt>
                <c:pt idx="170">
                  <c:v>45238</c:v>
                </c:pt>
                <c:pt idx="171">
                  <c:v>45239</c:v>
                </c:pt>
                <c:pt idx="172">
                  <c:v>45240</c:v>
                </c:pt>
                <c:pt idx="173">
                  <c:v>45243</c:v>
                </c:pt>
                <c:pt idx="174">
                  <c:v>45244</c:v>
                </c:pt>
                <c:pt idx="175">
                  <c:v>45245</c:v>
                </c:pt>
                <c:pt idx="176">
                  <c:v>45246</c:v>
                </c:pt>
                <c:pt idx="177">
                  <c:v>45247</c:v>
                </c:pt>
                <c:pt idx="178">
                  <c:v>45250</c:v>
                </c:pt>
                <c:pt idx="179">
                  <c:v>45251</c:v>
                </c:pt>
                <c:pt idx="180">
                  <c:v>45252</c:v>
                </c:pt>
                <c:pt idx="181">
                  <c:v>45253</c:v>
                </c:pt>
                <c:pt idx="182">
                  <c:v>45254</c:v>
                </c:pt>
                <c:pt idx="183">
                  <c:v>45257</c:v>
                </c:pt>
                <c:pt idx="184">
                  <c:v>45258</c:v>
                </c:pt>
                <c:pt idx="185">
                  <c:v>45259</c:v>
                </c:pt>
                <c:pt idx="186">
                  <c:v>45260</c:v>
                </c:pt>
                <c:pt idx="187">
                  <c:v>45261</c:v>
                </c:pt>
                <c:pt idx="188">
                  <c:v>45264</c:v>
                </c:pt>
                <c:pt idx="189">
                  <c:v>45265</c:v>
                </c:pt>
                <c:pt idx="190">
                  <c:v>45266</c:v>
                </c:pt>
                <c:pt idx="191">
                  <c:v>45267</c:v>
                </c:pt>
                <c:pt idx="192">
                  <c:v>45268</c:v>
                </c:pt>
                <c:pt idx="193">
                  <c:v>45271</c:v>
                </c:pt>
                <c:pt idx="194">
                  <c:v>45272</c:v>
                </c:pt>
                <c:pt idx="195">
                  <c:v>45273</c:v>
                </c:pt>
                <c:pt idx="196">
                  <c:v>45274</c:v>
                </c:pt>
                <c:pt idx="197">
                  <c:v>45275</c:v>
                </c:pt>
                <c:pt idx="198">
                  <c:v>45278</c:v>
                </c:pt>
                <c:pt idx="199">
                  <c:v>45279</c:v>
                </c:pt>
                <c:pt idx="200">
                  <c:v>45280</c:v>
                </c:pt>
                <c:pt idx="201">
                  <c:v>45281</c:v>
                </c:pt>
                <c:pt idx="202">
                  <c:v>45282</c:v>
                </c:pt>
                <c:pt idx="203">
                  <c:v>45285</c:v>
                </c:pt>
                <c:pt idx="204">
                  <c:v>45286</c:v>
                </c:pt>
                <c:pt idx="205">
                  <c:v>45287</c:v>
                </c:pt>
                <c:pt idx="206">
                  <c:v>45288</c:v>
                </c:pt>
                <c:pt idx="207">
                  <c:v>45289</c:v>
                </c:pt>
                <c:pt idx="208">
                  <c:v>45293</c:v>
                </c:pt>
                <c:pt idx="209">
                  <c:v>45294</c:v>
                </c:pt>
                <c:pt idx="210">
                  <c:v>45295</c:v>
                </c:pt>
                <c:pt idx="211">
                  <c:v>45296</c:v>
                </c:pt>
                <c:pt idx="212">
                  <c:v>45299</c:v>
                </c:pt>
                <c:pt idx="213">
                  <c:v>45300</c:v>
                </c:pt>
                <c:pt idx="214">
                  <c:v>45301</c:v>
                </c:pt>
                <c:pt idx="215">
                  <c:v>45302</c:v>
                </c:pt>
                <c:pt idx="216">
                  <c:v>45303</c:v>
                </c:pt>
                <c:pt idx="217">
                  <c:v>45306</c:v>
                </c:pt>
                <c:pt idx="218">
                  <c:v>45307</c:v>
                </c:pt>
                <c:pt idx="219">
                  <c:v>45308</c:v>
                </c:pt>
                <c:pt idx="220">
                  <c:v>45309</c:v>
                </c:pt>
                <c:pt idx="221">
                  <c:v>45310</c:v>
                </c:pt>
                <c:pt idx="222">
                  <c:v>45313</c:v>
                </c:pt>
                <c:pt idx="223">
                  <c:v>45314</c:v>
                </c:pt>
                <c:pt idx="224">
                  <c:v>45315</c:v>
                </c:pt>
                <c:pt idx="225">
                  <c:v>45316</c:v>
                </c:pt>
                <c:pt idx="226">
                  <c:v>45317</c:v>
                </c:pt>
                <c:pt idx="227">
                  <c:v>45320</c:v>
                </c:pt>
                <c:pt idx="228">
                  <c:v>45321</c:v>
                </c:pt>
                <c:pt idx="229">
                  <c:v>45322</c:v>
                </c:pt>
                <c:pt idx="230">
                  <c:v>45323</c:v>
                </c:pt>
                <c:pt idx="231">
                  <c:v>45324</c:v>
                </c:pt>
                <c:pt idx="232">
                  <c:v>45327</c:v>
                </c:pt>
                <c:pt idx="233">
                  <c:v>45328</c:v>
                </c:pt>
                <c:pt idx="234">
                  <c:v>45329</c:v>
                </c:pt>
                <c:pt idx="235">
                  <c:v>45337</c:v>
                </c:pt>
                <c:pt idx="236">
                  <c:v>45338</c:v>
                </c:pt>
                <c:pt idx="237">
                  <c:v>45341</c:v>
                </c:pt>
                <c:pt idx="238">
                  <c:v>45342</c:v>
                </c:pt>
                <c:pt idx="239">
                  <c:v>45343</c:v>
                </c:pt>
                <c:pt idx="240">
                  <c:v>45344</c:v>
                </c:pt>
                <c:pt idx="241">
                  <c:v>45345</c:v>
                </c:pt>
                <c:pt idx="242">
                  <c:v>45348</c:v>
                </c:pt>
                <c:pt idx="243">
                  <c:v>45349</c:v>
                </c:pt>
                <c:pt idx="244">
                  <c:v>45350</c:v>
                </c:pt>
                <c:pt idx="245">
                  <c:v>45351</c:v>
                </c:pt>
                <c:pt idx="246">
                  <c:v>45352</c:v>
                </c:pt>
                <c:pt idx="247">
                  <c:v>45355</c:v>
                </c:pt>
                <c:pt idx="248">
                  <c:v>45356</c:v>
                </c:pt>
                <c:pt idx="249">
                  <c:v>45357</c:v>
                </c:pt>
                <c:pt idx="250">
                  <c:v>45358</c:v>
                </c:pt>
                <c:pt idx="251">
                  <c:v>45359</c:v>
                </c:pt>
                <c:pt idx="252">
                  <c:v>45362</c:v>
                </c:pt>
                <c:pt idx="253">
                  <c:v>45363</c:v>
                </c:pt>
                <c:pt idx="254">
                  <c:v>45364</c:v>
                </c:pt>
                <c:pt idx="255">
                  <c:v>45365</c:v>
                </c:pt>
                <c:pt idx="256">
                  <c:v>45366</c:v>
                </c:pt>
                <c:pt idx="257">
                  <c:v>45369</c:v>
                </c:pt>
                <c:pt idx="258">
                  <c:v>45370</c:v>
                </c:pt>
                <c:pt idx="259">
                  <c:v>45371</c:v>
                </c:pt>
                <c:pt idx="260">
                  <c:v>45372</c:v>
                </c:pt>
                <c:pt idx="261">
                  <c:v>45373</c:v>
                </c:pt>
                <c:pt idx="262">
                  <c:v>45376</c:v>
                </c:pt>
                <c:pt idx="263">
                  <c:v>45377</c:v>
                </c:pt>
                <c:pt idx="264">
                  <c:v>45378</c:v>
                </c:pt>
                <c:pt idx="265">
                  <c:v>45379</c:v>
                </c:pt>
                <c:pt idx="266">
                  <c:v>45380</c:v>
                </c:pt>
                <c:pt idx="267">
                  <c:v>45383</c:v>
                </c:pt>
                <c:pt idx="268">
                  <c:v>45384</c:v>
                </c:pt>
                <c:pt idx="269">
                  <c:v>45385</c:v>
                </c:pt>
                <c:pt idx="270">
                  <c:v>45386</c:v>
                </c:pt>
                <c:pt idx="271">
                  <c:v>45387</c:v>
                </c:pt>
                <c:pt idx="272">
                  <c:v>45390</c:v>
                </c:pt>
                <c:pt idx="273">
                  <c:v>45391</c:v>
                </c:pt>
                <c:pt idx="274">
                  <c:v>45392</c:v>
                </c:pt>
                <c:pt idx="275">
                  <c:v>45393</c:v>
                </c:pt>
                <c:pt idx="276">
                  <c:v>45394</c:v>
                </c:pt>
                <c:pt idx="277">
                  <c:v>45397</c:v>
                </c:pt>
                <c:pt idx="278">
                  <c:v>45398</c:v>
                </c:pt>
                <c:pt idx="279">
                  <c:v>45399</c:v>
                </c:pt>
                <c:pt idx="280">
                  <c:v>45401</c:v>
                </c:pt>
                <c:pt idx="281">
                  <c:v>45404</c:v>
                </c:pt>
                <c:pt idx="282">
                  <c:v>45405</c:v>
                </c:pt>
                <c:pt idx="283">
                  <c:v>45406</c:v>
                </c:pt>
                <c:pt idx="284">
                  <c:v>45407</c:v>
                </c:pt>
                <c:pt idx="285">
                  <c:v>45408</c:v>
                </c:pt>
                <c:pt idx="286">
                  <c:v>45414</c:v>
                </c:pt>
                <c:pt idx="287">
                  <c:v>45415</c:v>
                </c:pt>
                <c:pt idx="288">
                  <c:v>45418</c:v>
                </c:pt>
                <c:pt idx="289">
                  <c:v>45419</c:v>
                </c:pt>
                <c:pt idx="290">
                  <c:v>45420</c:v>
                </c:pt>
                <c:pt idx="291">
                  <c:v>45421</c:v>
                </c:pt>
                <c:pt idx="292">
                  <c:v>45422</c:v>
                </c:pt>
                <c:pt idx="293">
                  <c:v>45425</c:v>
                </c:pt>
                <c:pt idx="294">
                  <c:v>45426</c:v>
                </c:pt>
                <c:pt idx="295">
                  <c:v>45427</c:v>
                </c:pt>
                <c:pt idx="296">
                  <c:v>45428</c:v>
                </c:pt>
                <c:pt idx="297">
                  <c:v>45429</c:v>
                </c:pt>
                <c:pt idx="298">
                  <c:v>45432</c:v>
                </c:pt>
                <c:pt idx="299">
                  <c:v>45433</c:v>
                </c:pt>
                <c:pt idx="300">
                  <c:v>45434</c:v>
                </c:pt>
                <c:pt idx="301">
                  <c:v>45435</c:v>
                </c:pt>
                <c:pt idx="302">
                  <c:v>45436</c:v>
                </c:pt>
                <c:pt idx="303">
                  <c:v>45439</c:v>
                </c:pt>
                <c:pt idx="304">
                  <c:v>45440</c:v>
                </c:pt>
                <c:pt idx="305">
                  <c:v>45441</c:v>
                </c:pt>
                <c:pt idx="306">
                  <c:v>45442</c:v>
                </c:pt>
                <c:pt idx="307">
                  <c:v>45443</c:v>
                </c:pt>
                <c:pt idx="308">
                  <c:v>45446</c:v>
                </c:pt>
                <c:pt idx="309">
                  <c:v>45447</c:v>
                </c:pt>
                <c:pt idx="310">
                  <c:v>45448</c:v>
                </c:pt>
                <c:pt idx="311">
                  <c:v>45449</c:v>
                </c:pt>
                <c:pt idx="312">
                  <c:v>45450</c:v>
                </c:pt>
                <c:pt idx="313">
                  <c:v>45453</c:v>
                </c:pt>
                <c:pt idx="314">
                  <c:v>45454</c:v>
                </c:pt>
                <c:pt idx="315">
                  <c:v>45455</c:v>
                </c:pt>
                <c:pt idx="316">
                  <c:v>45456</c:v>
                </c:pt>
                <c:pt idx="317">
                  <c:v>45457</c:v>
                </c:pt>
                <c:pt idx="318">
                  <c:v>45460</c:v>
                </c:pt>
                <c:pt idx="319">
                  <c:v>45461</c:v>
                </c:pt>
                <c:pt idx="320">
                  <c:v>45462</c:v>
                </c:pt>
                <c:pt idx="321">
                  <c:v>45463</c:v>
                </c:pt>
                <c:pt idx="322">
                  <c:v>45464</c:v>
                </c:pt>
                <c:pt idx="323">
                  <c:v>45467</c:v>
                </c:pt>
                <c:pt idx="324">
                  <c:v>45468</c:v>
                </c:pt>
                <c:pt idx="325">
                  <c:v>45469</c:v>
                </c:pt>
                <c:pt idx="326">
                  <c:v>45470</c:v>
                </c:pt>
                <c:pt idx="327">
                  <c:v>45471</c:v>
                </c:pt>
                <c:pt idx="328">
                  <c:v>45474</c:v>
                </c:pt>
                <c:pt idx="329">
                  <c:v>45475</c:v>
                </c:pt>
                <c:pt idx="330">
                  <c:v>45476</c:v>
                </c:pt>
                <c:pt idx="331">
                  <c:v>45477</c:v>
                </c:pt>
                <c:pt idx="332">
                  <c:v>45478</c:v>
                </c:pt>
                <c:pt idx="333">
                  <c:v>45481</c:v>
                </c:pt>
                <c:pt idx="334">
                  <c:v>45482</c:v>
                </c:pt>
                <c:pt idx="335">
                  <c:v>45483</c:v>
                </c:pt>
                <c:pt idx="336">
                  <c:v>45484</c:v>
                </c:pt>
                <c:pt idx="337">
                  <c:v>45485</c:v>
                </c:pt>
                <c:pt idx="338">
                  <c:v>45488</c:v>
                </c:pt>
                <c:pt idx="339">
                  <c:v>45489</c:v>
                </c:pt>
                <c:pt idx="340">
                  <c:v>45490</c:v>
                </c:pt>
                <c:pt idx="341">
                  <c:v>45491</c:v>
                </c:pt>
                <c:pt idx="342">
                  <c:v>45492</c:v>
                </c:pt>
                <c:pt idx="343">
                  <c:v>45495</c:v>
                </c:pt>
                <c:pt idx="344">
                  <c:v>45496</c:v>
                </c:pt>
                <c:pt idx="345">
                  <c:v>45497</c:v>
                </c:pt>
                <c:pt idx="346">
                  <c:v>45498</c:v>
                </c:pt>
                <c:pt idx="347">
                  <c:v>45499</c:v>
                </c:pt>
                <c:pt idx="348">
                  <c:v>45502</c:v>
                </c:pt>
                <c:pt idx="349">
                  <c:v>45503</c:v>
                </c:pt>
                <c:pt idx="350">
                  <c:v>45504</c:v>
                </c:pt>
                <c:pt idx="351">
                  <c:v>45505</c:v>
                </c:pt>
                <c:pt idx="352">
                  <c:v>45506</c:v>
                </c:pt>
                <c:pt idx="353">
                  <c:v>45509</c:v>
                </c:pt>
                <c:pt idx="354">
                  <c:v>45510</c:v>
                </c:pt>
                <c:pt idx="355">
                  <c:v>45511</c:v>
                </c:pt>
                <c:pt idx="356">
                  <c:v>45512</c:v>
                </c:pt>
                <c:pt idx="357">
                  <c:v>45513</c:v>
                </c:pt>
                <c:pt idx="358">
                  <c:v>45516</c:v>
                </c:pt>
                <c:pt idx="359">
                  <c:v>45517</c:v>
                </c:pt>
                <c:pt idx="360">
                  <c:v>45518</c:v>
                </c:pt>
                <c:pt idx="361">
                  <c:v>45519</c:v>
                </c:pt>
                <c:pt idx="362">
                  <c:v>45520</c:v>
                </c:pt>
                <c:pt idx="363">
                  <c:v>45523</c:v>
                </c:pt>
                <c:pt idx="364">
                  <c:v>45524</c:v>
                </c:pt>
                <c:pt idx="365">
                  <c:v>45525</c:v>
                </c:pt>
                <c:pt idx="366">
                  <c:v>45526</c:v>
                </c:pt>
                <c:pt idx="367">
                  <c:v>45527</c:v>
                </c:pt>
                <c:pt idx="368">
                  <c:v>45530</c:v>
                </c:pt>
                <c:pt idx="369">
                  <c:v>45531</c:v>
                </c:pt>
                <c:pt idx="370">
                  <c:v>45532</c:v>
                </c:pt>
                <c:pt idx="371">
                  <c:v>45533</c:v>
                </c:pt>
                <c:pt idx="372">
                  <c:v>45534</c:v>
                </c:pt>
                <c:pt idx="373">
                  <c:v>45539</c:v>
                </c:pt>
                <c:pt idx="374">
                  <c:v>45540</c:v>
                </c:pt>
                <c:pt idx="375">
                  <c:v>45541</c:v>
                </c:pt>
                <c:pt idx="376">
                  <c:v>45544</c:v>
                </c:pt>
                <c:pt idx="377">
                  <c:v>45545</c:v>
                </c:pt>
                <c:pt idx="378">
                  <c:v>45546</c:v>
                </c:pt>
                <c:pt idx="379">
                  <c:v>45547</c:v>
                </c:pt>
                <c:pt idx="380">
                  <c:v>45548</c:v>
                </c:pt>
                <c:pt idx="381">
                  <c:v>45551</c:v>
                </c:pt>
                <c:pt idx="382">
                  <c:v>45552</c:v>
                </c:pt>
                <c:pt idx="383">
                  <c:v>45553</c:v>
                </c:pt>
                <c:pt idx="384">
                  <c:v>45554</c:v>
                </c:pt>
                <c:pt idx="385">
                  <c:v>45555</c:v>
                </c:pt>
                <c:pt idx="386">
                  <c:v>45558</c:v>
                </c:pt>
                <c:pt idx="387">
                  <c:v>45559</c:v>
                </c:pt>
                <c:pt idx="388">
                  <c:v>45560</c:v>
                </c:pt>
                <c:pt idx="389">
                  <c:v>45561</c:v>
                </c:pt>
                <c:pt idx="390">
                  <c:v>45562</c:v>
                </c:pt>
                <c:pt idx="391">
                  <c:v>45565</c:v>
                </c:pt>
                <c:pt idx="392">
                  <c:v>45566</c:v>
                </c:pt>
                <c:pt idx="393">
                  <c:v>45567</c:v>
                </c:pt>
                <c:pt idx="394">
                  <c:v>45568</c:v>
                </c:pt>
                <c:pt idx="395">
                  <c:v>45569</c:v>
                </c:pt>
                <c:pt idx="396">
                  <c:v>45572</c:v>
                </c:pt>
                <c:pt idx="397">
                  <c:v>45573</c:v>
                </c:pt>
                <c:pt idx="398">
                  <c:v>45574</c:v>
                </c:pt>
                <c:pt idx="399">
                  <c:v>45575</c:v>
                </c:pt>
                <c:pt idx="400">
                  <c:v>45576</c:v>
                </c:pt>
                <c:pt idx="401">
                  <c:v>45579</c:v>
                </c:pt>
                <c:pt idx="402">
                  <c:v>45580</c:v>
                </c:pt>
                <c:pt idx="403">
                  <c:v>45581</c:v>
                </c:pt>
                <c:pt idx="404">
                  <c:v>45582</c:v>
                </c:pt>
                <c:pt idx="405">
                  <c:v>45583</c:v>
                </c:pt>
                <c:pt idx="406">
                  <c:v>45586</c:v>
                </c:pt>
                <c:pt idx="407">
                  <c:v>45587</c:v>
                </c:pt>
                <c:pt idx="408">
                  <c:v>45588</c:v>
                </c:pt>
                <c:pt idx="409">
                  <c:v>45589</c:v>
                </c:pt>
                <c:pt idx="410">
                  <c:v>45590</c:v>
                </c:pt>
                <c:pt idx="411">
                  <c:v>45593</c:v>
                </c:pt>
                <c:pt idx="412">
                  <c:v>45594</c:v>
                </c:pt>
                <c:pt idx="413">
                  <c:v>45595</c:v>
                </c:pt>
                <c:pt idx="414">
                  <c:v>45596</c:v>
                </c:pt>
                <c:pt idx="415">
                  <c:v>45597</c:v>
                </c:pt>
                <c:pt idx="416">
                  <c:v>45600</c:v>
                </c:pt>
                <c:pt idx="417">
                  <c:v>45601</c:v>
                </c:pt>
                <c:pt idx="418">
                  <c:v>45602</c:v>
                </c:pt>
                <c:pt idx="419">
                  <c:v>45603</c:v>
                </c:pt>
                <c:pt idx="420">
                  <c:v>45604</c:v>
                </c:pt>
                <c:pt idx="421">
                  <c:v>45607</c:v>
                </c:pt>
                <c:pt idx="422">
                  <c:v>45608</c:v>
                </c:pt>
                <c:pt idx="423">
                  <c:v>45609</c:v>
                </c:pt>
                <c:pt idx="424">
                  <c:v>45610</c:v>
                </c:pt>
                <c:pt idx="425">
                  <c:v>45611</c:v>
                </c:pt>
                <c:pt idx="426">
                  <c:v>45614</c:v>
                </c:pt>
                <c:pt idx="427">
                  <c:v>45615</c:v>
                </c:pt>
                <c:pt idx="428">
                  <c:v>45616</c:v>
                </c:pt>
                <c:pt idx="429">
                  <c:v>45617</c:v>
                </c:pt>
                <c:pt idx="430">
                  <c:v>45618</c:v>
                </c:pt>
                <c:pt idx="431">
                  <c:v>45621</c:v>
                </c:pt>
                <c:pt idx="432">
                  <c:v>45622</c:v>
                </c:pt>
                <c:pt idx="433">
                  <c:v>45623</c:v>
                </c:pt>
                <c:pt idx="434">
                  <c:v>45624</c:v>
                </c:pt>
                <c:pt idx="435">
                  <c:v>45625</c:v>
                </c:pt>
                <c:pt idx="436">
                  <c:v>45628</c:v>
                </c:pt>
                <c:pt idx="437">
                  <c:v>45629</c:v>
                </c:pt>
                <c:pt idx="438">
                  <c:v>45630</c:v>
                </c:pt>
                <c:pt idx="439">
                  <c:v>45631</c:v>
                </c:pt>
                <c:pt idx="440">
                  <c:v>45632</c:v>
                </c:pt>
                <c:pt idx="441">
                  <c:v>45635</c:v>
                </c:pt>
                <c:pt idx="442">
                  <c:v>45636</c:v>
                </c:pt>
                <c:pt idx="443">
                  <c:v>45637</c:v>
                </c:pt>
                <c:pt idx="444">
                  <c:v>45638</c:v>
                </c:pt>
                <c:pt idx="445">
                  <c:v>45639</c:v>
                </c:pt>
                <c:pt idx="446">
                  <c:v>45642</c:v>
                </c:pt>
                <c:pt idx="447">
                  <c:v>45643</c:v>
                </c:pt>
                <c:pt idx="448">
                  <c:v>45644</c:v>
                </c:pt>
                <c:pt idx="449">
                  <c:v>45645</c:v>
                </c:pt>
                <c:pt idx="450">
                  <c:v>45646</c:v>
                </c:pt>
                <c:pt idx="451">
                  <c:v>45649</c:v>
                </c:pt>
                <c:pt idx="452">
                  <c:v>45650</c:v>
                </c:pt>
                <c:pt idx="453">
                  <c:v>45651</c:v>
                </c:pt>
                <c:pt idx="454">
                  <c:v>45652</c:v>
                </c:pt>
                <c:pt idx="455">
                  <c:v>45653</c:v>
                </c:pt>
                <c:pt idx="456">
                  <c:v>45656</c:v>
                </c:pt>
                <c:pt idx="457">
                  <c:v>45657</c:v>
                </c:pt>
                <c:pt idx="458">
                  <c:v>45659</c:v>
                </c:pt>
                <c:pt idx="459">
                  <c:v>45660</c:v>
                </c:pt>
                <c:pt idx="460">
                  <c:v>45663</c:v>
                </c:pt>
                <c:pt idx="461">
                  <c:v>45664</c:v>
                </c:pt>
                <c:pt idx="462">
                  <c:v>45665</c:v>
                </c:pt>
                <c:pt idx="463">
                  <c:v>45666</c:v>
                </c:pt>
                <c:pt idx="464">
                  <c:v>45667</c:v>
                </c:pt>
                <c:pt idx="465">
                  <c:v>45670</c:v>
                </c:pt>
                <c:pt idx="466">
                  <c:v>45671</c:v>
                </c:pt>
                <c:pt idx="467">
                  <c:v>45672</c:v>
                </c:pt>
                <c:pt idx="468">
                  <c:v>45673</c:v>
                </c:pt>
                <c:pt idx="469">
                  <c:v>45674</c:v>
                </c:pt>
                <c:pt idx="470">
                  <c:v>45677</c:v>
                </c:pt>
                <c:pt idx="471">
                  <c:v>45678</c:v>
                </c:pt>
                <c:pt idx="472">
                  <c:v>45679</c:v>
                </c:pt>
                <c:pt idx="473">
                  <c:v>45680</c:v>
                </c:pt>
                <c:pt idx="474">
                  <c:v>45681</c:v>
                </c:pt>
                <c:pt idx="475">
                  <c:v>45691</c:v>
                </c:pt>
                <c:pt idx="476">
                  <c:v>45692</c:v>
                </c:pt>
                <c:pt idx="477">
                  <c:v>45693</c:v>
                </c:pt>
                <c:pt idx="478">
                  <c:v>45694</c:v>
                </c:pt>
                <c:pt idx="479">
                  <c:v>45695</c:v>
                </c:pt>
                <c:pt idx="480">
                  <c:v>45698</c:v>
                </c:pt>
                <c:pt idx="481">
                  <c:v>45699</c:v>
                </c:pt>
                <c:pt idx="482">
                  <c:v>45700</c:v>
                </c:pt>
                <c:pt idx="483">
                  <c:v>45701</c:v>
                </c:pt>
                <c:pt idx="484">
                  <c:v>45702</c:v>
                </c:pt>
                <c:pt idx="485">
                  <c:v>45705</c:v>
                </c:pt>
                <c:pt idx="486">
                  <c:v>45706</c:v>
                </c:pt>
                <c:pt idx="487">
                  <c:v>45707</c:v>
                </c:pt>
                <c:pt idx="488">
                  <c:v>45708</c:v>
                </c:pt>
                <c:pt idx="489">
                  <c:v>45709</c:v>
                </c:pt>
                <c:pt idx="490">
                  <c:v>45712</c:v>
                </c:pt>
                <c:pt idx="491">
                  <c:v>45713</c:v>
                </c:pt>
                <c:pt idx="492">
                  <c:v>45714</c:v>
                </c:pt>
                <c:pt idx="493">
                  <c:v>45715</c:v>
                </c:pt>
                <c:pt idx="494">
                  <c:v>45716</c:v>
                </c:pt>
                <c:pt idx="495">
                  <c:v>45719</c:v>
                </c:pt>
                <c:pt idx="496">
                  <c:v>45720</c:v>
                </c:pt>
                <c:pt idx="497">
                  <c:v>45721</c:v>
                </c:pt>
                <c:pt idx="498">
                  <c:v>45722</c:v>
                </c:pt>
                <c:pt idx="499">
                  <c:v>45723</c:v>
                </c:pt>
                <c:pt idx="500">
                  <c:v>45726</c:v>
                </c:pt>
                <c:pt idx="501">
                  <c:v>45727</c:v>
                </c:pt>
                <c:pt idx="502">
                  <c:v>45728</c:v>
                </c:pt>
                <c:pt idx="503">
                  <c:v>45729</c:v>
                </c:pt>
                <c:pt idx="504">
                  <c:v>45730</c:v>
                </c:pt>
                <c:pt idx="505">
                  <c:v>45733</c:v>
                </c:pt>
                <c:pt idx="506">
                  <c:v>45734</c:v>
                </c:pt>
                <c:pt idx="507">
                  <c:v>45735</c:v>
                </c:pt>
                <c:pt idx="508">
                  <c:v>45736</c:v>
                </c:pt>
                <c:pt idx="509">
                  <c:v>45737</c:v>
                </c:pt>
                <c:pt idx="510">
                  <c:v>45740</c:v>
                </c:pt>
                <c:pt idx="511">
                  <c:v>45741</c:v>
                </c:pt>
                <c:pt idx="512">
                  <c:v>45742</c:v>
                </c:pt>
                <c:pt idx="513">
                  <c:v>45743</c:v>
                </c:pt>
                <c:pt idx="514">
                  <c:v>45744</c:v>
                </c:pt>
                <c:pt idx="515">
                  <c:v>45747</c:v>
                </c:pt>
                <c:pt idx="516">
                  <c:v>45748</c:v>
                </c:pt>
                <c:pt idx="517">
                  <c:v>45749</c:v>
                </c:pt>
                <c:pt idx="518">
                  <c:v>45750</c:v>
                </c:pt>
                <c:pt idx="519">
                  <c:v>45751</c:v>
                </c:pt>
                <c:pt idx="520">
                  <c:v>45755</c:v>
                </c:pt>
                <c:pt idx="521">
                  <c:v>45756</c:v>
                </c:pt>
                <c:pt idx="522">
                  <c:v>45757</c:v>
                </c:pt>
                <c:pt idx="523">
                  <c:v>45758</c:v>
                </c:pt>
                <c:pt idx="524">
                  <c:v>45761</c:v>
                </c:pt>
                <c:pt idx="525">
                  <c:v>45762</c:v>
                </c:pt>
                <c:pt idx="526">
                  <c:v>45763</c:v>
                </c:pt>
                <c:pt idx="527">
                  <c:v>45764</c:v>
                </c:pt>
                <c:pt idx="528">
                  <c:v>45765</c:v>
                </c:pt>
                <c:pt idx="529">
                  <c:v>45768</c:v>
                </c:pt>
                <c:pt idx="530">
                  <c:v>45769</c:v>
                </c:pt>
                <c:pt idx="531">
                  <c:v>45770</c:v>
                </c:pt>
                <c:pt idx="532">
                  <c:v>45771</c:v>
                </c:pt>
                <c:pt idx="533">
                  <c:v>45772</c:v>
                </c:pt>
                <c:pt idx="534">
                  <c:v>45775</c:v>
                </c:pt>
                <c:pt idx="535">
                  <c:v>45776</c:v>
                </c:pt>
                <c:pt idx="536">
                  <c:v>45782</c:v>
                </c:pt>
                <c:pt idx="537">
                  <c:v>45783</c:v>
                </c:pt>
                <c:pt idx="538">
                  <c:v>45784</c:v>
                </c:pt>
                <c:pt idx="539">
                  <c:v>45785</c:v>
                </c:pt>
                <c:pt idx="540">
                  <c:v>45786</c:v>
                </c:pt>
                <c:pt idx="541">
                  <c:v>45789</c:v>
                </c:pt>
                <c:pt idx="542">
                  <c:v>45790</c:v>
                </c:pt>
                <c:pt idx="543">
                  <c:v>45791</c:v>
                </c:pt>
                <c:pt idx="544">
                  <c:v>45792</c:v>
                </c:pt>
                <c:pt idx="545">
                  <c:v>45793</c:v>
                </c:pt>
                <c:pt idx="546">
                  <c:v>45796</c:v>
                </c:pt>
                <c:pt idx="547">
                  <c:v>45797</c:v>
                </c:pt>
                <c:pt idx="548">
                  <c:v>45798</c:v>
                </c:pt>
                <c:pt idx="549">
                  <c:v>45799</c:v>
                </c:pt>
                <c:pt idx="550">
                  <c:v>45800</c:v>
                </c:pt>
                <c:pt idx="551">
                  <c:v>45803</c:v>
                </c:pt>
                <c:pt idx="552">
                  <c:v>45804</c:v>
                </c:pt>
                <c:pt idx="553">
                  <c:v>45805</c:v>
                </c:pt>
                <c:pt idx="554">
                  <c:v>45806</c:v>
                </c:pt>
                <c:pt idx="555">
                  <c:v>45807</c:v>
                </c:pt>
                <c:pt idx="556">
                  <c:v>45810</c:v>
                </c:pt>
                <c:pt idx="557">
                  <c:v>45811</c:v>
                </c:pt>
                <c:pt idx="558">
                  <c:v>45812</c:v>
                </c:pt>
                <c:pt idx="559">
                  <c:v>45813</c:v>
                </c:pt>
                <c:pt idx="560">
                  <c:v>45814</c:v>
                </c:pt>
                <c:pt idx="561">
                  <c:v>45817</c:v>
                </c:pt>
                <c:pt idx="562">
                  <c:v>45818</c:v>
                </c:pt>
                <c:pt idx="563">
                  <c:v>45819</c:v>
                </c:pt>
                <c:pt idx="564">
                  <c:v>45820</c:v>
                </c:pt>
                <c:pt idx="565">
                  <c:v>45821</c:v>
                </c:pt>
                <c:pt idx="566">
                  <c:v>45824</c:v>
                </c:pt>
                <c:pt idx="567">
                  <c:v>45825</c:v>
                </c:pt>
                <c:pt idx="568">
                  <c:v>45826</c:v>
                </c:pt>
                <c:pt idx="569">
                  <c:v>45827</c:v>
                </c:pt>
                <c:pt idx="570">
                  <c:v>45828</c:v>
                </c:pt>
                <c:pt idx="571">
                  <c:v>45831</c:v>
                </c:pt>
                <c:pt idx="572">
                  <c:v>45832</c:v>
                </c:pt>
                <c:pt idx="573">
                  <c:v>45833</c:v>
                </c:pt>
                <c:pt idx="574">
                  <c:v>45834</c:v>
                </c:pt>
                <c:pt idx="575">
                  <c:v>45835</c:v>
                </c:pt>
                <c:pt idx="576">
                  <c:v>45838</c:v>
                </c:pt>
                <c:pt idx="577">
                  <c:v>45839</c:v>
                </c:pt>
                <c:pt idx="578">
                  <c:v>45840</c:v>
                </c:pt>
                <c:pt idx="579">
                  <c:v>45841</c:v>
                </c:pt>
                <c:pt idx="580">
                  <c:v>45842</c:v>
                </c:pt>
                <c:pt idx="581">
                  <c:v>45845</c:v>
                </c:pt>
                <c:pt idx="582">
                  <c:v>45846</c:v>
                </c:pt>
                <c:pt idx="583">
                  <c:v>45847</c:v>
                </c:pt>
                <c:pt idx="584">
                  <c:v>45848</c:v>
                </c:pt>
                <c:pt idx="585">
                  <c:v>45849</c:v>
                </c:pt>
                <c:pt idx="586">
                  <c:v>45852</c:v>
                </c:pt>
                <c:pt idx="587">
                  <c:v>45853</c:v>
                </c:pt>
                <c:pt idx="588">
                  <c:v>45854</c:v>
                </c:pt>
                <c:pt idx="589">
                  <c:v>45855</c:v>
                </c:pt>
                <c:pt idx="590">
                  <c:v>45856</c:v>
                </c:pt>
                <c:pt idx="591">
                  <c:v>45859</c:v>
                </c:pt>
                <c:pt idx="592">
                  <c:v>45860</c:v>
                </c:pt>
                <c:pt idx="593">
                  <c:v>45861</c:v>
                </c:pt>
                <c:pt idx="594">
                  <c:v>45862</c:v>
                </c:pt>
                <c:pt idx="595">
                  <c:v>45863</c:v>
                </c:pt>
                <c:pt idx="596">
                  <c:v>45866</c:v>
                </c:pt>
                <c:pt idx="597">
                  <c:v>45867</c:v>
                </c:pt>
                <c:pt idx="598">
                  <c:v>45868</c:v>
                </c:pt>
                <c:pt idx="599">
                  <c:v>45869</c:v>
                </c:pt>
                <c:pt idx="600">
                  <c:v>45870</c:v>
                </c:pt>
                <c:pt idx="601">
                  <c:v>45873</c:v>
                </c:pt>
                <c:pt idx="602">
                  <c:v>45874</c:v>
                </c:pt>
                <c:pt idx="603">
                  <c:v>45875</c:v>
                </c:pt>
                <c:pt idx="604">
                  <c:v>45876</c:v>
                </c:pt>
                <c:pt idx="605">
                  <c:v>45877</c:v>
                </c:pt>
                <c:pt idx="606">
                  <c:v>45880</c:v>
                </c:pt>
                <c:pt idx="607">
                  <c:v>45881</c:v>
                </c:pt>
                <c:pt idx="608">
                  <c:v>45882</c:v>
                </c:pt>
                <c:pt idx="609">
                  <c:v>45883</c:v>
                </c:pt>
                <c:pt idx="610">
                  <c:v>45884</c:v>
                </c:pt>
                <c:pt idx="611">
                  <c:v>45887</c:v>
                </c:pt>
                <c:pt idx="612">
                  <c:v>45888</c:v>
                </c:pt>
                <c:pt idx="613">
                  <c:v>45889</c:v>
                </c:pt>
                <c:pt idx="614">
                  <c:v>45890</c:v>
                </c:pt>
                <c:pt idx="615">
                  <c:v>45891</c:v>
                </c:pt>
                <c:pt idx="616">
                  <c:v>45894</c:v>
                </c:pt>
                <c:pt idx="617">
                  <c:v>45895</c:v>
                </c:pt>
                <c:pt idx="618">
                  <c:v>45896</c:v>
                </c:pt>
                <c:pt idx="619">
                  <c:v>45897</c:v>
                </c:pt>
                <c:pt idx="620">
                  <c:v>45898</c:v>
                </c:pt>
                <c:pt idx="621">
                  <c:v>45903</c:v>
                </c:pt>
                <c:pt idx="622">
                  <c:v>45904</c:v>
                </c:pt>
                <c:pt idx="623">
                  <c:v>45905</c:v>
                </c:pt>
                <c:pt idx="624">
                  <c:v>45908</c:v>
                </c:pt>
                <c:pt idx="625">
                  <c:v>45909</c:v>
                </c:pt>
                <c:pt idx="626">
                  <c:v>45910</c:v>
                </c:pt>
                <c:pt idx="627">
                  <c:v>45911</c:v>
                </c:pt>
                <c:pt idx="628">
                  <c:v>45912</c:v>
                </c:pt>
                <c:pt idx="629">
                  <c:v>45915</c:v>
                </c:pt>
                <c:pt idx="630">
                  <c:v>45916</c:v>
                </c:pt>
                <c:pt idx="631">
                  <c:v>45917</c:v>
                </c:pt>
                <c:pt idx="632">
                  <c:v>45918</c:v>
                </c:pt>
                <c:pt idx="633">
                  <c:v>45919</c:v>
                </c:pt>
                <c:pt idx="634">
                  <c:v>45922</c:v>
                </c:pt>
                <c:pt idx="635">
                  <c:v>45923</c:v>
                </c:pt>
                <c:pt idx="636">
                  <c:v>45924</c:v>
                </c:pt>
                <c:pt idx="637">
                  <c:v>45925</c:v>
                </c:pt>
                <c:pt idx="638">
                  <c:v>45926</c:v>
                </c:pt>
                <c:pt idx="639">
                  <c:v>45929</c:v>
                </c:pt>
                <c:pt idx="640">
                  <c:v>45930</c:v>
                </c:pt>
                <c:pt idx="641">
                  <c:v>45931</c:v>
                </c:pt>
                <c:pt idx="642">
                  <c:v>45932</c:v>
                </c:pt>
                <c:pt idx="643">
                  <c:v>45933</c:v>
                </c:pt>
                <c:pt idx="644">
                  <c:v>45936</c:v>
                </c:pt>
                <c:pt idx="645">
                  <c:v>45937</c:v>
                </c:pt>
                <c:pt idx="646">
                  <c:v>45938</c:v>
                </c:pt>
                <c:pt idx="647">
                  <c:v>45939</c:v>
                </c:pt>
                <c:pt idx="648">
                  <c:v>45940</c:v>
                </c:pt>
                <c:pt idx="649">
                  <c:v>45943</c:v>
                </c:pt>
                <c:pt idx="650">
                  <c:v>45944</c:v>
                </c:pt>
                <c:pt idx="651">
                  <c:v>45945</c:v>
                </c:pt>
                <c:pt idx="652">
                  <c:v>45946</c:v>
                </c:pt>
                <c:pt idx="653">
                  <c:v>45947</c:v>
                </c:pt>
                <c:pt idx="654">
                  <c:v>45950</c:v>
                </c:pt>
                <c:pt idx="655">
                  <c:v>45951</c:v>
                </c:pt>
                <c:pt idx="656">
                  <c:v>45952</c:v>
                </c:pt>
                <c:pt idx="657">
                  <c:v>45953</c:v>
                </c:pt>
                <c:pt idx="658">
                  <c:v>45954</c:v>
                </c:pt>
                <c:pt idx="659">
                  <c:v>45957</c:v>
                </c:pt>
                <c:pt idx="660">
                  <c:v>45958</c:v>
                </c:pt>
                <c:pt idx="661">
                  <c:v>45959</c:v>
                </c:pt>
                <c:pt idx="662">
                  <c:v>45960</c:v>
                </c:pt>
                <c:pt idx="663">
                  <c:v>45961</c:v>
                </c:pt>
                <c:pt idx="664">
                  <c:v>45964</c:v>
                </c:pt>
                <c:pt idx="665">
                  <c:v>45965</c:v>
                </c:pt>
                <c:pt idx="666">
                  <c:v>45966</c:v>
                </c:pt>
                <c:pt idx="667">
                  <c:v>45967</c:v>
                </c:pt>
                <c:pt idx="668">
                  <c:v>45968</c:v>
                </c:pt>
                <c:pt idx="669">
                  <c:v>45971</c:v>
                </c:pt>
                <c:pt idx="670">
                  <c:v>45972</c:v>
                </c:pt>
                <c:pt idx="671">
                  <c:v>45973</c:v>
                </c:pt>
                <c:pt idx="672">
                  <c:v>45974</c:v>
                </c:pt>
                <c:pt idx="673">
                  <c:v>45975</c:v>
                </c:pt>
                <c:pt idx="674">
                  <c:v>45978</c:v>
                </c:pt>
                <c:pt idx="675">
                  <c:v>45979</c:v>
                </c:pt>
                <c:pt idx="676">
                  <c:v>45980</c:v>
                </c:pt>
                <c:pt idx="677">
                  <c:v>45981</c:v>
                </c:pt>
                <c:pt idx="678">
                  <c:v>45982</c:v>
                </c:pt>
                <c:pt idx="679">
                  <c:v>45985</c:v>
                </c:pt>
                <c:pt idx="680">
                  <c:v>45986</c:v>
                </c:pt>
                <c:pt idx="681">
                  <c:v>45987</c:v>
                </c:pt>
                <c:pt idx="682">
                  <c:v>45988</c:v>
                </c:pt>
                <c:pt idx="683">
                  <c:v>45989</c:v>
                </c:pt>
                <c:pt idx="684">
                  <c:v>45992</c:v>
                </c:pt>
                <c:pt idx="685">
                  <c:v>45993</c:v>
                </c:pt>
                <c:pt idx="686">
                  <c:v>45994</c:v>
                </c:pt>
                <c:pt idx="687">
                  <c:v>45995</c:v>
                </c:pt>
                <c:pt idx="688">
                  <c:v>45996</c:v>
                </c:pt>
                <c:pt idx="689">
                  <c:v>45999</c:v>
                </c:pt>
                <c:pt idx="690">
                  <c:v>46000</c:v>
                </c:pt>
                <c:pt idx="691">
                  <c:v>46001</c:v>
                </c:pt>
                <c:pt idx="692">
                  <c:v>46002</c:v>
                </c:pt>
                <c:pt idx="693">
                  <c:v>46003</c:v>
                </c:pt>
                <c:pt idx="694">
                  <c:v>46006</c:v>
                </c:pt>
                <c:pt idx="695">
                  <c:v>46007</c:v>
                </c:pt>
                <c:pt idx="696">
                  <c:v>46008</c:v>
                </c:pt>
                <c:pt idx="697">
                  <c:v>46009</c:v>
                </c:pt>
                <c:pt idx="698">
                  <c:v>46010</c:v>
                </c:pt>
                <c:pt idx="699">
                  <c:v>46013</c:v>
                </c:pt>
                <c:pt idx="700">
                  <c:v>46014</c:v>
                </c:pt>
                <c:pt idx="701">
                  <c:v>46015</c:v>
                </c:pt>
                <c:pt idx="702">
                  <c:v>46016</c:v>
                </c:pt>
                <c:pt idx="703">
                  <c:v>46017</c:v>
                </c:pt>
                <c:pt idx="704">
                  <c:v>46020</c:v>
                </c:pt>
                <c:pt idx="705">
                  <c:v>46021</c:v>
                </c:pt>
                <c:pt idx="706">
                  <c:v>46022</c:v>
                </c:pt>
                <c:pt idx="707">
                  <c:v>46027</c:v>
                </c:pt>
                <c:pt idx="708">
                  <c:v>46028</c:v>
                </c:pt>
                <c:pt idx="709">
                  <c:v>46029</c:v>
                </c:pt>
                <c:pt idx="710">
                  <c:v>46030</c:v>
                </c:pt>
                <c:pt idx="711">
                  <c:v>46031</c:v>
                </c:pt>
                <c:pt idx="712">
                  <c:v>46034</c:v>
                </c:pt>
                <c:pt idx="713">
                  <c:v>46035</c:v>
                </c:pt>
                <c:pt idx="714">
                  <c:v>46036</c:v>
                </c:pt>
                <c:pt idx="715">
                  <c:v>46037</c:v>
                </c:pt>
                <c:pt idx="716">
                  <c:v>46038</c:v>
                </c:pt>
                <c:pt idx="717">
                  <c:v>46041</c:v>
                </c:pt>
                <c:pt idx="718">
                  <c:v>46042</c:v>
                </c:pt>
                <c:pt idx="719">
                  <c:v>46043</c:v>
                </c:pt>
                <c:pt idx="720">
                  <c:v>46044</c:v>
                </c:pt>
                <c:pt idx="721">
                  <c:v>46045</c:v>
                </c:pt>
                <c:pt idx="722">
                  <c:v>46048</c:v>
                </c:pt>
                <c:pt idx="723">
                  <c:v>46049</c:v>
                </c:pt>
                <c:pt idx="724">
                  <c:v>46050</c:v>
                </c:pt>
                <c:pt idx="725">
                  <c:v>46051</c:v>
                </c:pt>
                <c:pt idx="726">
                  <c:v>46052</c:v>
                </c:pt>
                <c:pt idx="727">
                  <c:v>46055</c:v>
                </c:pt>
                <c:pt idx="728">
                  <c:v>46056</c:v>
                </c:pt>
                <c:pt idx="729">
                  <c:v>46057</c:v>
                </c:pt>
                <c:pt idx="730">
                  <c:v>46058</c:v>
                </c:pt>
                <c:pt idx="731">
                  <c:v>46059</c:v>
                </c:pt>
                <c:pt idx="732">
                  <c:v>46062</c:v>
                </c:pt>
                <c:pt idx="733">
                  <c:v>46063</c:v>
                </c:pt>
                <c:pt idx="734">
                  <c:v>46064</c:v>
                </c:pt>
                <c:pt idx="735">
                  <c:v>46065</c:v>
                </c:pt>
                <c:pt idx="736">
                  <c:v>46066</c:v>
                </c:pt>
                <c:pt idx="737">
                  <c:v>46076</c:v>
                </c:pt>
                <c:pt idx="738">
                  <c:v>46077</c:v>
                </c:pt>
                <c:pt idx="739">
                  <c:v>46078</c:v>
                </c:pt>
                <c:pt idx="740">
                  <c:v>46079</c:v>
                </c:pt>
                <c:pt idx="741">
                  <c:v>46080</c:v>
                </c:pt>
                <c:pt idx="742">
                  <c:v>46083</c:v>
                </c:pt>
                <c:pt idx="743">
                  <c:v>46084</c:v>
                </c:pt>
                <c:pt idx="744">
                  <c:v>46085</c:v>
                </c:pt>
                <c:pt idx="745">
                  <c:v>46086</c:v>
                </c:pt>
                <c:pt idx="746">
                  <c:v>46087</c:v>
                </c:pt>
                <c:pt idx="747">
                  <c:v>45968</c:v>
                </c:pt>
              </c:numCache>
            </c:numRef>
          </c:cat>
          <c:val>
            <c:numRef>
              <c:f>'FX Data'!$C$1457:$C$2460</c:f>
              <c:numCache>
                <c:formatCode>General</c:formatCode>
                <c:ptCount val="1004"/>
                <c:pt idx="0">
                  <c:v>16.3963</c:v>
                </c:pt>
                <c:pt idx="1">
                  <c:v>16.623200000000001</c:v>
                </c:pt>
                <c:pt idx="2">
                  <c:v>16.3963</c:v>
                </c:pt>
                <c:pt idx="3">
                  <c:v>16.272600000000001</c:v>
                </c:pt>
                <c:pt idx="4">
                  <c:v>16.231300000000001</c:v>
                </c:pt>
                <c:pt idx="5">
                  <c:v>16.602599999999999</c:v>
                </c:pt>
                <c:pt idx="6">
                  <c:v>16.334399999999999</c:v>
                </c:pt>
                <c:pt idx="7">
                  <c:v>16.293199999999999</c:v>
                </c:pt>
                <c:pt idx="8">
                  <c:v>16.0045</c:v>
                </c:pt>
                <c:pt idx="9">
                  <c:v>16.107600000000001</c:v>
                </c:pt>
                <c:pt idx="10">
                  <c:v>16.190100000000001</c:v>
                </c:pt>
                <c:pt idx="11">
                  <c:v>16.087</c:v>
                </c:pt>
                <c:pt idx="12">
                  <c:v>16.210699999999999</c:v>
                </c:pt>
                <c:pt idx="13">
                  <c:v>16.313800000000001</c:v>
                </c:pt>
                <c:pt idx="14">
                  <c:v>16.334399999999999</c:v>
                </c:pt>
                <c:pt idx="15">
                  <c:v>16.293199999999999</c:v>
                </c:pt>
                <c:pt idx="16">
                  <c:v>16.313800000000001</c:v>
                </c:pt>
                <c:pt idx="17">
                  <c:v>15.595000000000001</c:v>
                </c:pt>
                <c:pt idx="18">
                  <c:v>15.9498</c:v>
                </c:pt>
                <c:pt idx="19">
                  <c:v>15.871</c:v>
                </c:pt>
                <c:pt idx="20">
                  <c:v>15.890700000000001</c:v>
                </c:pt>
                <c:pt idx="21">
                  <c:v>15.8316</c:v>
                </c:pt>
                <c:pt idx="22">
                  <c:v>15.871</c:v>
                </c:pt>
                <c:pt idx="23">
                  <c:v>15.8316</c:v>
                </c:pt>
                <c:pt idx="24">
                  <c:v>15.8316</c:v>
                </c:pt>
                <c:pt idx="25">
                  <c:v>15.8316</c:v>
                </c:pt>
                <c:pt idx="26">
                  <c:v>15.6935</c:v>
                </c:pt>
                <c:pt idx="27">
                  <c:v>15.6935</c:v>
                </c:pt>
                <c:pt idx="28">
                  <c:v>15.6935</c:v>
                </c:pt>
                <c:pt idx="29">
                  <c:v>15.6541</c:v>
                </c:pt>
                <c:pt idx="30">
                  <c:v>15.634399999999999</c:v>
                </c:pt>
                <c:pt idx="31">
                  <c:v>15.6541</c:v>
                </c:pt>
                <c:pt idx="32">
                  <c:v>15.634399999999999</c:v>
                </c:pt>
                <c:pt idx="33">
                  <c:v>15.595000000000001</c:v>
                </c:pt>
                <c:pt idx="34">
                  <c:v>15.457000000000001</c:v>
                </c:pt>
                <c:pt idx="35">
                  <c:v>15.437200000000001</c:v>
                </c:pt>
                <c:pt idx="36">
                  <c:v>15.437200000000001</c:v>
                </c:pt>
                <c:pt idx="37">
                  <c:v>15.279500000000001</c:v>
                </c:pt>
                <c:pt idx="38">
                  <c:v>15.476699999999999</c:v>
                </c:pt>
                <c:pt idx="39">
                  <c:v>15.457000000000001</c:v>
                </c:pt>
                <c:pt idx="40">
                  <c:v>15.476699999999999</c:v>
                </c:pt>
                <c:pt idx="41">
                  <c:v>15.5555</c:v>
                </c:pt>
                <c:pt idx="42">
                  <c:v>15.5753</c:v>
                </c:pt>
                <c:pt idx="43">
                  <c:v>15.595000000000001</c:v>
                </c:pt>
                <c:pt idx="44">
                  <c:v>15.871</c:v>
                </c:pt>
                <c:pt idx="45">
                  <c:v>15.9696</c:v>
                </c:pt>
                <c:pt idx="46">
                  <c:v>16.068100000000001</c:v>
                </c:pt>
                <c:pt idx="47">
                  <c:v>16.068100000000001</c:v>
                </c:pt>
                <c:pt idx="48">
                  <c:v>16.344200000000001</c:v>
                </c:pt>
                <c:pt idx="49">
                  <c:v>16.324400000000001</c:v>
                </c:pt>
                <c:pt idx="50">
                  <c:v>16.2653</c:v>
                </c:pt>
                <c:pt idx="51">
                  <c:v>16.166699999999999</c:v>
                </c:pt>
                <c:pt idx="52">
                  <c:v>16.028700000000001</c:v>
                </c:pt>
                <c:pt idx="53">
                  <c:v>16.403300000000002</c:v>
                </c:pt>
                <c:pt idx="54">
                  <c:v>16.383600000000001</c:v>
                </c:pt>
                <c:pt idx="55">
                  <c:v>16.383600000000001</c:v>
                </c:pt>
                <c:pt idx="56">
                  <c:v>16.561</c:v>
                </c:pt>
                <c:pt idx="57">
                  <c:v>16.5807</c:v>
                </c:pt>
                <c:pt idx="58">
                  <c:v>16.462399999999999</c:v>
                </c:pt>
                <c:pt idx="59">
                  <c:v>16.521599999999999</c:v>
                </c:pt>
                <c:pt idx="60">
                  <c:v>16.758199999999999</c:v>
                </c:pt>
                <c:pt idx="61">
                  <c:v>16.817299999999999</c:v>
                </c:pt>
                <c:pt idx="62">
                  <c:v>16.758199999999999</c:v>
                </c:pt>
                <c:pt idx="63">
                  <c:v>16.482199999999999</c:v>
                </c:pt>
                <c:pt idx="64">
                  <c:v>16.679300000000001</c:v>
                </c:pt>
                <c:pt idx="65">
                  <c:v>16.738499999999998</c:v>
                </c:pt>
                <c:pt idx="66">
                  <c:v>16.639900000000001</c:v>
                </c:pt>
                <c:pt idx="67">
                  <c:v>16.6005</c:v>
                </c:pt>
                <c:pt idx="68">
                  <c:v>16.5807</c:v>
                </c:pt>
                <c:pt idx="69">
                  <c:v>16.659600000000001</c:v>
                </c:pt>
                <c:pt idx="70">
                  <c:v>16.699000000000002</c:v>
                </c:pt>
                <c:pt idx="71">
                  <c:v>16.8568</c:v>
                </c:pt>
                <c:pt idx="72">
                  <c:v>16.915900000000001</c:v>
                </c:pt>
                <c:pt idx="73">
                  <c:v>16.8568</c:v>
                </c:pt>
                <c:pt idx="74">
                  <c:v>16.777899999999999</c:v>
                </c:pt>
                <c:pt idx="75">
                  <c:v>16.915900000000001</c:v>
                </c:pt>
                <c:pt idx="76">
                  <c:v>17.211600000000001</c:v>
                </c:pt>
                <c:pt idx="77">
                  <c:v>17.1525</c:v>
                </c:pt>
                <c:pt idx="78">
                  <c:v>17.053899999999999</c:v>
                </c:pt>
                <c:pt idx="79">
                  <c:v>16.211300000000001</c:v>
                </c:pt>
                <c:pt idx="80">
                  <c:v>16.2867</c:v>
                </c:pt>
                <c:pt idx="81">
                  <c:v>16.399799999999999</c:v>
                </c:pt>
                <c:pt idx="82">
                  <c:v>16.215</c:v>
                </c:pt>
                <c:pt idx="83">
                  <c:v>16.171700000000001</c:v>
                </c:pt>
                <c:pt idx="84">
                  <c:v>16.323399999999999</c:v>
                </c:pt>
                <c:pt idx="85">
                  <c:v>16.323399999999999</c:v>
                </c:pt>
                <c:pt idx="86">
                  <c:v>16.258400000000002</c:v>
                </c:pt>
                <c:pt idx="87">
                  <c:v>16.323399999999999</c:v>
                </c:pt>
                <c:pt idx="88">
                  <c:v>16.431799999999999</c:v>
                </c:pt>
                <c:pt idx="89">
                  <c:v>16.973700000000001</c:v>
                </c:pt>
                <c:pt idx="90">
                  <c:v>17.125499999999999</c:v>
                </c:pt>
                <c:pt idx="91">
                  <c:v>17.060500000000001</c:v>
                </c:pt>
                <c:pt idx="92">
                  <c:v>17.017099999999999</c:v>
                </c:pt>
                <c:pt idx="93">
                  <c:v>17.407299999999999</c:v>
                </c:pt>
                <c:pt idx="94">
                  <c:v>17.559000000000001</c:v>
                </c:pt>
                <c:pt idx="95">
                  <c:v>17.559000000000001</c:v>
                </c:pt>
                <c:pt idx="96">
                  <c:v>17.624099999999999</c:v>
                </c:pt>
                <c:pt idx="97">
                  <c:v>17.927600000000002</c:v>
                </c:pt>
                <c:pt idx="98">
                  <c:v>18.144300000000001</c:v>
                </c:pt>
                <c:pt idx="99">
                  <c:v>18.296099999999999</c:v>
                </c:pt>
                <c:pt idx="100">
                  <c:v>18.5562</c:v>
                </c:pt>
                <c:pt idx="101">
                  <c:v>18.317799999999998</c:v>
                </c:pt>
                <c:pt idx="102">
                  <c:v>18.100999999999999</c:v>
                </c:pt>
                <c:pt idx="103">
                  <c:v>18.144300000000001</c:v>
                </c:pt>
                <c:pt idx="104">
                  <c:v>18.057600000000001</c:v>
                </c:pt>
                <c:pt idx="105">
                  <c:v>18.317799999999998</c:v>
                </c:pt>
                <c:pt idx="106">
                  <c:v>18.252700000000001</c:v>
                </c:pt>
                <c:pt idx="107">
                  <c:v>18.014299999999999</c:v>
                </c:pt>
                <c:pt idx="108">
                  <c:v>17.819199999999999</c:v>
                </c:pt>
                <c:pt idx="109">
                  <c:v>17.7758</c:v>
                </c:pt>
                <c:pt idx="110">
                  <c:v>17.905899999999999</c:v>
                </c:pt>
                <c:pt idx="111">
                  <c:v>18.209399999999999</c:v>
                </c:pt>
                <c:pt idx="112">
                  <c:v>18.447800000000001</c:v>
                </c:pt>
                <c:pt idx="113">
                  <c:v>18.642900000000001</c:v>
                </c:pt>
                <c:pt idx="114">
                  <c:v>18.534600000000001</c:v>
                </c:pt>
                <c:pt idx="115">
                  <c:v>18.621300000000002</c:v>
                </c:pt>
                <c:pt idx="116">
                  <c:v>18.751300000000001</c:v>
                </c:pt>
                <c:pt idx="117">
                  <c:v>18.751300000000001</c:v>
                </c:pt>
                <c:pt idx="118">
                  <c:v>19.510100000000001</c:v>
                </c:pt>
                <c:pt idx="119">
                  <c:v>19.6401</c:v>
                </c:pt>
                <c:pt idx="120">
                  <c:v>20.377199999999998</c:v>
                </c:pt>
                <c:pt idx="121">
                  <c:v>20.290500000000002</c:v>
                </c:pt>
                <c:pt idx="122">
                  <c:v>20.940799999999999</c:v>
                </c:pt>
                <c:pt idx="123">
                  <c:v>20.962499999999999</c:v>
                </c:pt>
                <c:pt idx="124">
                  <c:v>20.984100000000002</c:v>
                </c:pt>
                <c:pt idx="125">
                  <c:v>21.461099999999998</c:v>
                </c:pt>
                <c:pt idx="126">
                  <c:v>21.2226</c:v>
                </c:pt>
                <c:pt idx="127">
                  <c:v>21.157599999999999</c:v>
                </c:pt>
                <c:pt idx="128">
                  <c:v>21.1142</c:v>
                </c:pt>
                <c:pt idx="129">
                  <c:v>21.439399999999999</c:v>
                </c:pt>
                <c:pt idx="130">
                  <c:v>21.244299999999999</c:v>
                </c:pt>
                <c:pt idx="131">
                  <c:v>20.789000000000001</c:v>
                </c:pt>
                <c:pt idx="132">
                  <c:v>21.135899999999999</c:v>
                </c:pt>
                <c:pt idx="133">
                  <c:v>21.005800000000001</c:v>
                </c:pt>
                <c:pt idx="134">
                  <c:v>21.331</c:v>
                </c:pt>
                <c:pt idx="135">
                  <c:v>21.352699999999999</c:v>
                </c:pt>
                <c:pt idx="136">
                  <c:v>20.984100000000002</c:v>
                </c:pt>
                <c:pt idx="137">
                  <c:v>20.962499999999999</c:v>
                </c:pt>
                <c:pt idx="138">
                  <c:v>20.4422</c:v>
                </c:pt>
                <c:pt idx="139">
                  <c:v>20.268799999999999</c:v>
                </c:pt>
                <c:pt idx="140">
                  <c:v>20.4422</c:v>
                </c:pt>
                <c:pt idx="141">
                  <c:v>20.377199999999998</c:v>
                </c:pt>
                <c:pt idx="142">
                  <c:v>19.2121</c:v>
                </c:pt>
                <c:pt idx="143">
                  <c:v>19.294899999999998</c:v>
                </c:pt>
                <c:pt idx="144">
                  <c:v>19.087800000000001</c:v>
                </c:pt>
                <c:pt idx="145">
                  <c:v>19.149899999999999</c:v>
                </c:pt>
                <c:pt idx="146">
                  <c:v>18.9636</c:v>
                </c:pt>
                <c:pt idx="147">
                  <c:v>19.191299999999998</c:v>
                </c:pt>
                <c:pt idx="148">
                  <c:v>19.791699999999999</c:v>
                </c:pt>
                <c:pt idx="149">
                  <c:v>19.936599999999999</c:v>
                </c:pt>
                <c:pt idx="150">
                  <c:v>20.081600000000002</c:v>
                </c:pt>
                <c:pt idx="151">
                  <c:v>19.9573</c:v>
                </c:pt>
                <c:pt idx="152">
                  <c:v>19.895199999999999</c:v>
                </c:pt>
                <c:pt idx="153">
                  <c:v>20.040199999999999</c:v>
                </c:pt>
                <c:pt idx="154">
                  <c:v>19.2742</c:v>
                </c:pt>
                <c:pt idx="155">
                  <c:v>19.253499999999999</c:v>
                </c:pt>
                <c:pt idx="156">
                  <c:v>19.046399999999998</c:v>
                </c:pt>
                <c:pt idx="157">
                  <c:v>19.232800000000001</c:v>
                </c:pt>
                <c:pt idx="158">
                  <c:v>18.839400000000001</c:v>
                </c:pt>
                <c:pt idx="159">
                  <c:v>19.046399999999998</c:v>
                </c:pt>
                <c:pt idx="160">
                  <c:v>18.8187</c:v>
                </c:pt>
                <c:pt idx="161">
                  <c:v>17.969899999999999</c:v>
                </c:pt>
                <c:pt idx="162">
                  <c:v>18.011299999999999</c:v>
                </c:pt>
                <c:pt idx="163">
                  <c:v>17.597200000000001</c:v>
                </c:pt>
                <c:pt idx="164">
                  <c:v>17.183199999999999</c:v>
                </c:pt>
                <c:pt idx="165">
                  <c:v>17.680099999999999</c:v>
                </c:pt>
                <c:pt idx="166">
                  <c:v>18.4253</c:v>
                </c:pt>
                <c:pt idx="167">
                  <c:v>18.011299999999999</c:v>
                </c:pt>
                <c:pt idx="168">
                  <c:v>18.3218</c:v>
                </c:pt>
                <c:pt idx="169">
                  <c:v>18.2804</c:v>
                </c:pt>
                <c:pt idx="170">
                  <c:v>19.1706</c:v>
                </c:pt>
                <c:pt idx="171">
                  <c:v>19.149899999999999</c:v>
                </c:pt>
                <c:pt idx="172">
                  <c:v>18.942900000000002</c:v>
                </c:pt>
                <c:pt idx="173">
                  <c:v>18.9222</c:v>
                </c:pt>
                <c:pt idx="174">
                  <c:v>19.1706</c:v>
                </c:pt>
                <c:pt idx="175">
                  <c:v>19.129200000000001</c:v>
                </c:pt>
                <c:pt idx="176">
                  <c:v>19.253499999999999</c:v>
                </c:pt>
                <c:pt idx="177">
                  <c:v>18.839400000000001</c:v>
                </c:pt>
                <c:pt idx="178">
                  <c:v>18.7773</c:v>
                </c:pt>
                <c:pt idx="179">
                  <c:v>19.025700000000001</c:v>
                </c:pt>
                <c:pt idx="180">
                  <c:v>19.253499999999999</c:v>
                </c:pt>
                <c:pt idx="181">
                  <c:v>18.797999999999998</c:v>
                </c:pt>
                <c:pt idx="182">
                  <c:v>18.880800000000001</c:v>
                </c:pt>
                <c:pt idx="183">
                  <c:v>18.7773</c:v>
                </c:pt>
                <c:pt idx="184">
                  <c:v>18.860099999999999</c:v>
                </c:pt>
                <c:pt idx="185">
                  <c:v>18.984300000000001</c:v>
                </c:pt>
                <c:pt idx="186">
                  <c:v>19.025700000000001</c:v>
                </c:pt>
                <c:pt idx="187">
                  <c:v>19.129200000000001</c:v>
                </c:pt>
                <c:pt idx="188">
                  <c:v>19.377700000000001</c:v>
                </c:pt>
                <c:pt idx="189">
                  <c:v>19.626100000000001</c:v>
                </c:pt>
                <c:pt idx="190">
                  <c:v>19.6675</c:v>
                </c:pt>
                <c:pt idx="191">
                  <c:v>19.522600000000001</c:v>
                </c:pt>
                <c:pt idx="192">
                  <c:v>19.501899999999999</c:v>
                </c:pt>
                <c:pt idx="193">
                  <c:v>19.6675</c:v>
                </c:pt>
                <c:pt idx="194">
                  <c:v>20.040199999999999</c:v>
                </c:pt>
                <c:pt idx="195">
                  <c:v>19.7089</c:v>
                </c:pt>
                <c:pt idx="196">
                  <c:v>19.915900000000001</c:v>
                </c:pt>
                <c:pt idx="197">
                  <c:v>19.915900000000001</c:v>
                </c:pt>
                <c:pt idx="198">
                  <c:v>19.4605</c:v>
                </c:pt>
                <c:pt idx="199">
                  <c:v>19.584700000000002</c:v>
                </c:pt>
                <c:pt idx="200">
                  <c:v>19.605399999999999</c:v>
                </c:pt>
                <c:pt idx="201">
                  <c:v>19.688199999999998</c:v>
                </c:pt>
                <c:pt idx="202">
                  <c:v>19.584700000000002</c:v>
                </c:pt>
                <c:pt idx="203">
                  <c:v>19.874500000000001</c:v>
                </c:pt>
                <c:pt idx="204">
                  <c:v>20.123000000000001</c:v>
                </c:pt>
                <c:pt idx="205">
                  <c:v>20.0609</c:v>
                </c:pt>
                <c:pt idx="206">
                  <c:v>19.998799999999999</c:v>
                </c:pt>
                <c:pt idx="207">
                  <c:v>18.8292</c:v>
                </c:pt>
                <c:pt idx="208">
                  <c:v>18.790099999999999</c:v>
                </c:pt>
                <c:pt idx="209">
                  <c:v>18.868400000000001</c:v>
                </c:pt>
                <c:pt idx="210">
                  <c:v>19.044799999999999</c:v>
                </c:pt>
                <c:pt idx="211">
                  <c:v>19.084</c:v>
                </c:pt>
                <c:pt idx="212">
                  <c:v>19.064399999999999</c:v>
                </c:pt>
                <c:pt idx="213">
                  <c:v>18.927199999999999</c:v>
                </c:pt>
                <c:pt idx="214">
                  <c:v>18.5549</c:v>
                </c:pt>
                <c:pt idx="215">
                  <c:v>18.613700000000001</c:v>
                </c:pt>
                <c:pt idx="216">
                  <c:v>18.5549</c:v>
                </c:pt>
                <c:pt idx="217">
                  <c:v>18.6921</c:v>
                </c:pt>
                <c:pt idx="218">
                  <c:v>18.750900000000001</c:v>
                </c:pt>
                <c:pt idx="219">
                  <c:v>18.750900000000001</c:v>
                </c:pt>
                <c:pt idx="220">
                  <c:v>18.731300000000001</c:v>
                </c:pt>
                <c:pt idx="221">
                  <c:v>18.868400000000001</c:v>
                </c:pt>
                <c:pt idx="222">
                  <c:v>18.888000000000002</c:v>
                </c:pt>
                <c:pt idx="223">
                  <c:v>18.731300000000001</c:v>
                </c:pt>
                <c:pt idx="224">
                  <c:v>18.613700000000001</c:v>
                </c:pt>
                <c:pt idx="225">
                  <c:v>18.633299999999998</c:v>
                </c:pt>
                <c:pt idx="226">
                  <c:v>18.790099999999999</c:v>
                </c:pt>
                <c:pt idx="227">
                  <c:v>18.790099999999999</c:v>
                </c:pt>
                <c:pt idx="228">
                  <c:v>18.731300000000001</c:v>
                </c:pt>
                <c:pt idx="229">
                  <c:v>18.750900000000001</c:v>
                </c:pt>
                <c:pt idx="230">
                  <c:v>19.573799999999999</c:v>
                </c:pt>
                <c:pt idx="231">
                  <c:v>19.985299999999999</c:v>
                </c:pt>
                <c:pt idx="232">
                  <c:v>20.279199999999999</c:v>
                </c:pt>
                <c:pt idx="233">
                  <c:v>20.396699999999999</c:v>
                </c:pt>
                <c:pt idx="234">
                  <c:v>20.5535</c:v>
                </c:pt>
                <c:pt idx="235">
                  <c:v>20.377099999999999</c:v>
                </c:pt>
                <c:pt idx="236">
                  <c:v>20.592600000000001</c:v>
                </c:pt>
                <c:pt idx="237">
                  <c:v>20.5731</c:v>
                </c:pt>
                <c:pt idx="238">
                  <c:v>20.4359</c:v>
                </c:pt>
                <c:pt idx="239">
                  <c:v>20.749400000000001</c:v>
                </c:pt>
                <c:pt idx="240">
                  <c:v>20.494700000000002</c:v>
                </c:pt>
                <c:pt idx="241">
                  <c:v>20.357500000000002</c:v>
                </c:pt>
                <c:pt idx="242">
                  <c:v>21.160900000000002</c:v>
                </c:pt>
                <c:pt idx="243">
                  <c:v>21.141300000000001</c:v>
                </c:pt>
                <c:pt idx="244">
                  <c:v>21.258800000000001</c:v>
                </c:pt>
                <c:pt idx="245">
                  <c:v>21.3568</c:v>
                </c:pt>
                <c:pt idx="246">
                  <c:v>21.709499999999998</c:v>
                </c:pt>
                <c:pt idx="247">
                  <c:v>21.827000000000002</c:v>
                </c:pt>
                <c:pt idx="248">
                  <c:v>21.689900000000002</c:v>
                </c:pt>
                <c:pt idx="249">
                  <c:v>21.3764</c:v>
                </c:pt>
                <c:pt idx="250">
                  <c:v>21.807400000000001</c:v>
                </c:pt>
                <c:pt idx="251">
                  <c:v>21.552700000000002</c:v>
                </c:pt>
                <c:pt idx="252">
                  <c:v>21.552700000000002</c:v>
                </c:pt>
                <c:pt idx="253">
                  <c:v>21.925000000000001</c:v>
                </c:pt>
                <c:pt idx="254">
                  <c:v>22.924299999999999</c:v>
                </c:pt>
                <c:pt idx="255">
                  <c:v>22.924299999999999</c:v>
                </c:pt>
                <c:pt idx="256">
                  <c:v>22.728300000000001</c:v>
                </c:pt>
                <c:pt idx="257">
                  <c:v>22.140499999999999</c:v>
                </c:pt>
                <c:pt idx="258">
                  <c:v>21.944600000000001</c:v>
                </c:pt>
                <c:pt idx="259">
                  <c:v>22.4344</c:v>
                </c:pt>
                <c:pt idx="260">
                  <c:v>22.767499999999998</c:v>
                </c:pt>
                <c:pt idx="261">
                  <c:v>22.512799999999999</c:v>
                </c:pt>
                <c:pt idx="262">
                  <c:v>22.336500000000001</c:v>
                </c:pt>
                <c:pt idx="263">
                  <c:v>22.532399999999999</c:v>
                </c:pt>
                <c:pt idx="264">
                  <c:v>22.5716</c:v>
                </c:pt>
                <c:pt idx="265">
                  <c:v>22.943899999999999</c:v>
                </c:pt>
                <c:pt idx="266">
                  <c:v>21.831700000000001</c:v>
                </c:pt>
                <c:pt idx="267">
                  <c:v>21.887899999999998</c:v>
                </c:pt>
                <c:pt idx="268">
                  <c:v>21.9254</c:v>
                </c:pt>
                <c:pt idx="269">
                  <c:v>21.569299999999998</c:v>
                </c:pt>
                <c:pt idx="270">
                  <c:v>21.363199999999999</c:v>
                </c:pt>
                <c:pt idx="271">
                  <c:v>21.306999999999999</c:v>
                </c:pt>
                <c:pt idx="272">
                  <c:v>21.1008</c:v>
                </c:pt>
                <c:pt idx="273">
                  <c:v>21.175799999999999</c:v>
                </c:pt>
                <c:pt idx="274">
                  <c:v>21.325700000000001</c:v>
                </c:pt>
                <c:pt idx="275">
                  <c:v>21.5318</c:v>
                </c:pt>
                <c:pt idx="276">
                  <c:v>21.644300000000001</c:v>
                </c:pt>
                <c:pt idx="277">
                  <c:v>20.913399999999999</c:v>
                </c:pt>
                <c:pt idx="278">
                  <c:v>21.175799999999999</c:v>
                </c:pt>
                <c:pt idx="279">
                  <c:v>20.950900000000001</c:v>
                </c:pt>
                <c:pt idx="280">
                  <c:v>20.426200000000001</c:v>
                </c:pt>
                <c:pt idx="281">
                  <c:v>20.669799999999999</c:v>
                </c:pt>
                <c:pt idx="282">
                  <c:v>21.044599999999999</c:v>
                </c:pt>
                <c:pt idx="283">
                  <c:v>22.5063</c:v>
                </c:pt>
                <c:pt idx="284">
                  <c:v>23.087199999999999</c:v>
                </c:pt>
                <c:pt idx="285">
                  <c:v>23.087199999999999</c:v>
                </c:pt>
                <c:pt idx="286">
                  <c:v>23.855499999999999</c:v>
                </c:pt>
                <c:pt idx="287">
                  <c:v>23.5932</c:v>
                </c:pt>
                <c:pt idx="288">
                  <c:v>23.911799999999999</c:v>
                </c:pt>
                <c:pt idx="289">
                  <c:v>24.6051</c:v>
                </c:pt>
                <c:pt idx="290">
                  <c:v>24.5489</c:v>
                </c:pt>
                <c:pt idx="291">
                  <c:v>24.4177</c:v>
                </c:pt>
                <c:pt idx="292">
                  <c:v>24.5489</c:v>
                </c:pt>
                <c:pt idx="293">
                  <c:v>24.305299999999999</c:v>
                </c:pt>
                <c:pt idx="294">
                  <c:v>24.455200000000001</c:v>
                </c:pt>
                <c:pt idx="295">
                  <c:v>25.129799999999999</c:v>
                </c:pt>
                <c:pt idx="296">
                  <c:v>25.3735</c:v>
                </c:pt>
                <c:pt idx="297">
                  <c:v>25.204799999999999</c:v>
                </c:pt>
                <c:pt idx="298">
                  <c:v>24.9237</c:v>
                </c:pt>
                <c:pt idx="299">
                  <c:v>25.485900000000001</c:v>
                </c:pt>
                <c:pt idx="300">
                  <c:v>25.860700000000001</c:v>
                </c:pt>
                <c:pt idx="301">
                  <c:v>25.766999999999999</c:v>
                </c:pt>
                <c:pt idx="302">
                  <c:v>24.717600000000001</c:v>
                </c:pt>
                <c:pt idx="303">
                  <c:v>24.886199999999999</c:v>
                </c:pt>
                <c:pt idx="304">
                  <c:v>25.673300000000001</c:v>
                </c:pt>
                <c:pt idx="305">
                  <c:v>25.4297</c:v>
                </c:pt>
                <c:pt idx="306">
                  <c:v>25.298500000000001</c:v>
                </c:pt>
                <c:pt idx="307">
                  <c:v>25.223500000000001</c:v>
                </c:pt>
                <c:pt idx="308">
                  <c:v>25.654499999999999</c:v>
                </c:pt>
                <c:pt idx="309">
                  <c:v>26.066800000000001</c:v>
                </c:pt>
                <c:pt idx="310">
                  <c:v>26.254200000000001</c:v>
                </c:pt>
                <c:pt idx="311">
                  <c:v>26.160499999999999</c:v>
                </c:pt>
                <c:pt idx="312">
                  <c:v>26.610299999999999</c:v>
                </c:pt>
                <c:pt idx="313">
                  <c:v>26.985099999999999</c:v>
                </c:pt>
                <c:pt idx="314">
                  <c:v>27.453600000000002</c:v>
                </c:pt>
                <c:pt idx="315">
                  <c:v>28.4468</c:v>
                </c:pt>
                <c:pt idx="316">
                  <c:v>28.015699999999999</c:v>
                </c:pt>
                <c:pt idx="317">
                  <c:v>28.231200000000001</c:v>
                </c:pt>
                <c:pt idx="318">
                  <c:v>27.757100000000001</c:v>
                </c:pt>
                <c:pt idx="319">
                  <c:v>27.584700000000002</c:v>
                </c:pt>
                <c:pt idx="320">
                  <c:v>28.338999999999999</c:v>
                </c:pt>
                <c:pt idx="321">
                  <c:v>28.726900000000001</c:v>
                </c:pt>
                <c:pt idx="322">
                  <c:v>29.330300000000001</c:v>
                </c:pt>
                <c:pt idx="323">
                  <c:v>28.468299999999999</c:v>
                </c:pt>
                <c:pt idx="324">
                  <c:v>28.015699999999999</c:v>
                </c:pt>
                <c:pt idx="325">
                  <c:v>28.403700000000001</c:v>
                </c:pt>
                <c:pt idx="326">
                  <c:v>28.619199999999999</c:v>
                </c:pt>
                <c:pt idx="327">
                  <c:v>26.7088</c:v>
                </c:pt>
                <c:pt idx="328">
                  <c:v>26.32</c:v>
                </c:pt>
                <c:pt idx="329">
                  <c:v>26.197199999999999</c:v>
                </c:pt>
                <c:pt idx="330">
                  <c:v>26.811199999999999</c:v>
                </c:pt>
                <c:pt idx="331">
                  <c:v>27.793600000000001</c:v>
                </c:pt>
                <c:pt idx="332">
                  <c:v>28.3871</c:v>
                </c:pt>
                <c:pt idx="333">
                  <c:v>28.571300000000001</c:v>
                </c:pt>
                <c:pt idx="334">
                  <c:v>28.141500000000001</c:v>
                </c:pt>
                <c:pt idx="335">
                  <c:v>27.4252</c:v>
                </c:pt>
                <c:pt idx="336">
                  <c:v>27.220500000000001</c:v>
                </c:pt>
                <c:pt idx="337">
                  <c:v>27.3842</c:v>
                </c:pt>
                <c:pt idx="338">
                  <c:v>27.159099999999999</c:v>
                </c:pt>
                <c:pt idx="339">
                  <c:v>27.4252</c:v>
                </c:pt>
                <c:pt idx="340">
                  <c:v>26.9954</c:v>
                </c:pt>
                <c:pt idx="341">
                  <c:v>26.1767</c:v>
                </c:pt>
                <c:pt idx="342">
                  <c:v>25.787800000000001</c:v>
                </c:pt>
                <c:pt idx="343">
                  <c:v>25.399000000000001</c:v>
                </c:pt>
                <c:pt idx="344">
                  <c:v>25.685500000000001</c:v>
                </c:pt>
                <c:pt idx="345">
                  <c:v>25.787800000000001</c:v>
                </c:pt>
                <c:pt idx="346">
                  <c:v>25.583200000000001</c:v>
                </c:pt>
                <c:pt idx="347">
                  <c:v>26.197199999999999</c:v>
                </c:pt>
                <c:pt idx="348">
                  <c:v>26.401800000000001</c:v>
                </c:pt>
                <c:pt idx="349">
                  <c:v>26.197199999999999</c:v>
                </c:pt>
                <c:pt idx="350">
                  <c:v>26.32</c:v>
                </c:pt>
                <c:pt idx="351">
                  <c:v>25.542200000000001</c:v>
                </c:pt>
                <c:pt idx="352">
                  <c:v>25.2148</c:v>
                </c:pt>
                <c:pt idx="353">
                  <c:v>24.273299999999999</c:v>
                </c:pt>
                <c:pt idx="354">
                  <c:v>24.723600000000001</c:v>
                </c:pt>
                <c:pt idx="355">
                  <c:v>24.969200000000001</c:v>
                </c:pt>
                <c:pt idx="356">
                  <c:v>24.846399999999999</c:v>
                </c:pt>
                <c:pt idx="357">
                  <c:v>25.972000000000001</c:v>
                </c:pt>
                <c:pt idx="358">
                  <c:v>26.6065</c:v>
                </c:pt>
                <c:pt idx="359">
                  <c:v>26.545100000000001</c:v>
                </c:pt>
                <c:pt idx="360">
                  <c:v>26.504200000000001</c:v>
                </c:pt>
                <c:pt idx="361">
                  <c:v>26.340399999999999</c:v>
                </c:pt>
                <c:pt idx="362">
                  <c:v>26.729299999999999</c:v>
                </c:pt>
                <c:pt idx="363">
                  <c:v>26.7088</c:v>
                </c:pt>
                <c:pt idx="364">
                  <c:v>26.913499999999999</c:v>
                </c:pt>
                <c:pt idx="365">
                  <c:v>27.322800000000001</c:v>
                </c:pt>
                <c:pt idx="366">
                  <c:v>27.3842</c:v>
                </c:pt>
                <c:pt idx="367">
                  <c:v>27.241</c:v>
                </c:pt>
                <c:pt idx="368">
                  <c:v>26.913499999999999</c:v>
                </c:pt>
                <c:pt idx="369">
                  <c:v>27.118200000000002</c:v>
                </c:pt>
                <c:pt idx="370">
                  <c:v>27.2819</c:v>
                </c:pt>
                <c:pt idx="371">
                  <c:v>27.363800000000001</c:v>
                </c:pt>
                <c:pt idx="372">
                  <c:v>27.588899999999999</c:v>
                </c:pt>
                <c:pt idx="373">
                  <c:v>27.220500000000001</c:v>
                </c:pt>
                <c:pt idx="374">
                  <c:v>26.729299999999999</c:v>
                </c:pt>
                <c:pt idx="375">
                  <c:v>27.036300000000001</c:v>
                </c:pt>
                <c:pt idx="376">
                  <c:v>26.872599999999998</c:v>
                </c:pt>
                <c:pt idx="377">
                  <c:v>26.6065</c:v>
                </c:pt>
                <c:pt idx="378">
                  <c:v>26.729299999999999</c:v>
                </c:pt>
                <c:pt idx="379">
                  <c:v>27.077200000000001</c:v>
                </c:pt>
                <c:pt idx="380">
                  <c:v>27.220500000000001</c:v>
                </c:pt>
                <c:pt idx="381">
                  <c:v>26.831600000000002</c:v>
                </c:pt>
                <c:pt idx="382">
                  <c:v>27.2</c:v>
                </c:pt>
                <c:pt idx="383">
                  <c:v>27.547999999999998</c:v>
                </c:pt>
                <c:pt idx="384">
                  <c:v>27.6708</c:v>
                </c:pt>
                <c:pt idx="385">
                  <c:v>27.691199999999998</c:v>
                </c:pt>
                <c:pt idx="386">
                  <c:v>27.4252</c:v>
                </c:pt>
                <c:pt idx="387">
                  <c:v>27.5275</c:v>
                </c:pt>
                <c:pt idx="388">
                  <c:v>27.588899999999999</c:v>
                </c:pt>
                <c:pt idx="389">
                  <c:v>27.486599999999999</c:v>
                </c:pt>
                <c:pt idx="390">
                  <c:v>27.466100000000001</c:v>
                </c:pt>
                <c:pt idx="391">
                  <c:v>26.243500000000001</c:v>
                </c:pt>
                <c:pt idx="392">
                  <c:v>26.5167</c:v>
                </c:pt>
                <c:pt idx="393">
                  <c:v>26.4191</c:v>
                </c:pt>
                <c:pt idx="394">
                  <c:v>26.146000000000001</c:v>
                </c:pt>
                <c:pt idx="395">
                  <c:v>26.165500000000002</c:v>
                </c:pt>
                <c:pt idx="396">
                  <c:v>26.165500000000002</c:v>
                </c:pt>
                <c:pt idx="397">
                  <c:v>26.1069</c:v>
                </c:pt>
                <c:pt idx="398">
                  <c:v>26.4191</c:v>
                </c:pt>
                <c:pt idx="399">
                  <c:v>27.648399999999999</c:v>
                </c:pt>
                <c:pt idx="400">
                  <c:v>27.238600000000002</c:v>
                </c:pt>
                <c:pt idx="401">
                  <c:v>26.848400000000002</c:v>
                </c:pt>
                <c:pt idx="402">
                  <c:v>26.731300000000001</c:v>
                </c:pt>
                <c:pt idx="403">
                  <c:v>26.5947</c:v>
                </c:pt>
                <c:pt idx="404">
                  <c:v>26.731300000000001</c:v>
                </c:pt>
                <c:pt idx="405">
                  <c:v>26.731300000000001</c:v>
                </c:pt>
                <c:pt idx="406">
                  <c:v>26.438600000000001</c:v>
                </c:pt>
                <c:pt idx="407">
                  <c:v>25.970400000000001</c:v>
                </c:pt>
                <c:pt idx="408">
                  <c:v>26.184999999999999</c:v>
                </c:pt>
                <c:pt idx="409">
                  <c:v>26.204499999999999</c:v>
                </c:pt>
                <c:pt idx="410">
                  <c:v>26.146000000000001</c:v>
                </c:pt>
                <c:pt idx="411">
                  <c:v>26.3216</c:v>
                </c:pt>
                <c:pt idx="412">
                  <c:v>26.4191</c:v>
                </c:pt>
                <c:pt idx="413">
                  <c:v>26.5167</c:v>
                </c:pt>
                <c:pt idx="414">
                  <c:v>26.5167</c:v>
                </c:pt>
                <c:pt idx="415">
                  <c:v>26.263000000000002</c:v>
                </c:pt>
                <c:pt idx="416">
                  <c:v>25.911799999999999</c:v>
                </c:pt>
                <c:pt idx="417">
                  <c:v>25.872800000000002</c:v>
                </c:pt>
                <c:pt idx="418">
                  <c:v>26.263000000000002</c:v>
                </c:pt>
                <c:pt idx="419">
                  <c:v>26.360600000000002</c:v>
                </c:pt>
                <c:pt idx="420">
                  <c:v>26.497199999999999</c:v>
                </c:pt>
                <c:pt idx="421">
                  <c:v>26.984999999999999</c:v>
                </c:pt>
                <c:pt idx="422">
                  <c:v>26.692299999999999</c:v>
                </c:pt>
                <c:pt idx="423">
                  <c:v>26.8874</c:v>
                </c:pt>
                <c:pt idx="424">
                  <c:v>26.536200000000001</c:v>
                </c:pt>
                <c:pt idx="425">
                  <c:v>26.1265</c:v>
                </c:pt>
                <c:pt idx="426">
                  <c:v>26.146000000000001</c:v>
                </c:pt>
                <c:pt idx="427">
                  <c:v>25.365500000000001</c:v>
                </c:pt>
                <c:pt idx="428">
                  <c:v>25.8338</c:v>
                </c:pt>
                <c:pt idx="429">
                  <c:v>25.950800000000001</c:v>
                </c:pt>
                <c:pt idx="430">
                  <c:v>26.1265</c:v>
                </c:pt>
                <c:pt idx="431">
                  <c:v>26.1265</c:v>
                </c:pt>
                <c:pt idx="432">
                  <c:v>26.380099999999999</c:v>
                </c:pt>
                <c:pt idx="433">
                  <c:v>27.102</c:v>
                </c:pt>
                <c:pt idx="434">
                  <c:v>27.1996</c:v>
                </c:pt>
                <c:pt idx="435">
                  <c:v>28.1557</c:v>
                </c:pt>
                <c:pt idx="436">
                  <c:v>27.745899999999999</c:v>
                </c:pt>
                <c:pt idx="437">
                  <c:v>28.292300000000001</c:v>
                </c:pt>
                <c:pt idx="438">
                  <c:v>27.999600000000001</c:v>
                </c:pt>
                <c:pt idx="439">
                  <c:v>28.975200000000001</c:v>
                </c:pt>
                <c:pt idx="440">
                  <c:v>29.170300000000001</c:v>
                </c:pt>
                <c:pt idx="441">
                  <c:v>28.682500000000001</c:v>
                </c:pt>
                <c:pt idx="442">
                  <c:v>29.170300000000001</c:v>
                </c:pt>
                <c:pt idx="443">
                  <c:v>29.365400000000001</c:v>
                </c:pt>
                <c:pt idx="444">
                  <c:v>29.306899999999999</c:v>
                </c:pt>
                <c:pt idx="445">
                  <c:v>29.170300000000001</c:v>
                </c:pt>
                <c:pt idx="446">
                  <c:v>29.2484</c:v>
                </c:pt>
                <c:pt idx="447">
                  <c:v>28.877600000000001</c:v>
                </c:pt>
                <c:pt idx="448">
                  <c:v>29.014199999999999</c:v>
                </c:pt>
                <c:pt idx="449">
                  <c:v>28.897099999999998</c:v>
                </c:pt>
                <c:pt idx="450">
                  <c:v>29.170300000000001</c:v>
                </c:pt>
                <c:pt idx="451">
                  <c:v>29.2288</c:v>
                </c:pt>
                <c:pt idx="452">
                  <c:v>29.3459</c:v>
                </c:pt>
                <c:pt idx="453">
                  <c:v>29.423999999999999</c:v>
                </c:pt>
                <c:pt idx="454">
                  <c:v>29.2288</c:v>
                </c:pt>
                <c:pt idx="455">
                  <c:v>29.189800000000002</c:v>
                </c:pt>
                <c:pt idx="456">
                  <c:v>29.365400000000001</c:v>
                </c:pt>
                <c:pt idx="457">
                  <c:v>28.3934</c:v>
                </c:pt>
                <c:pt idx="458">
                  <c:v>28.3004</c:v>
                </c:pt>
                <c:pt idx="459">
                  <c:v>27.741800000000001</c:v>
                </c:pt>
                <c:pt idx="460">
                  <c:v>27.797699999999999</c:v>
                </c:pt>
                <c:pt idx="461">
                  <c:v>27.9466</c:v>
                </c:pt>
                <c:pt idx="462">
                  <c:v>27.611499999999999</c:v>
                </c:pt>
                <c:pt idx="463">
                  <c:v>27.704599999999999</c:v>
                </c:pt>
                <c:pt idx="464">
                  <c:v>27.4253</c:v>
                </c:pt>
                <c:pt idx="465">
                  <c:v>27.481100000000001</c:v>
                </c:pt>
                <c:pt idx="466">
                  <c:v>27.015699999999999</c:v>
                </c:pt>
                <c:pt idx="467">
                  <c:v>27.0901</c:v>
                </c:pt>
                <c:pt idx="468">
                  <c:v>27.276299999999999</c:v>
                </c:pt>
                <c:pt idx="469">
                  <c:v>27.741800000000001</c:v>
                </c:pt>
                <c:pt idx="470">
                  <c:v>27.928000000000001</c:v>
                </c:pt>
                <c:pt idx="471">
                  <c:v>27.909400000000002</c:v>
                </c:pt>
                <c:pt idx="472">
                  <c:v>27.8721</c:v>
                </c:pt>
                <c:pt idx="473">
                  <c:v>28.7286</c:v>
                </c:pt>
                <c:pt idx="474">
                  <c:v>28.561</c:v>
                </c:pt>
                <c:pt idx="475">
                  <c:v>27.0901</c:v>
                </c:pt>
                <c:pt idx="476">
                  <c:v>27.220500000000001</c:v>
                </c:pt>
                <c:pt idx="477">
                  <c:v>27.239100000000001</c:v>
                </c:pt>
                <c:pt idx="478">
                  <c:v>27.276299999999999</c:v>
                </c:pt>
                <c:pt idx="479">
                  <c:v>27.201899999999998</c:v>
                </c:pt>
                <c:pt idx="480">
                  <c:v>26.438500000000001</c:v>
                </c:pt>
                <c:pt idx="481">
                  <c:v>27.0715</c:v>
                </c:pt>
                <c:pt idx="482">
                  <c:v>26.997</c:v>
                </c:pt>
                <c:pt idx="483">
                  <c:v>26.6433</c:v>
                </c:pt>
                <c:pt idx="484">
                  <c:v>26.978400000000001</c:v>
                </c:pt>
                <c:pt idx="485">
                  <c:v>26.7364</c:v>
                </c:pt>
                <c:pt idx="486">
                  <c:v>26.792200000000001</c:v>
                </c:pt>
                <c:pt idx="487">
                  <c:v>26.8109</c:v>
                </c:pt>
                <c:pt idx="488">
                  <c:v>26.624700000000001</c:v>
                </c:pt>
                <c:pt idx="489">
                  <c:v>26.438500000000001</c:v>
                </c:pt>
                <c:pt idx="490">
                  <c:v>26.159199999999998</c:v>
                </c:pt>
                <c:pt idx="491">
                  <c:v>25.879899999999999</c:v>
                </c:pt>
                <c:pt idx="492">
                  <c:v>26.401299999999999</c:v>
                </c:pt>
                <c:pt idx="493">
                  <c:v>26.308199999999999</c:v>
                </c:pt>
                <c:pt idx="494">
                  <c:v>26.122</c:v>
                </c:pt>
                <c:pt idx="495">
                  <c:v>26.159199999999998</c:v>
                </c:pt>
                <c:pt idx="496">
                  <c:v>26.066099999999999</c:v>
                </c:pt>
                <c:pt idx="497">
                  <c:v>25.898499999999999</c:v>
                </c:pt>
                <c:pt idx="498">
                  <c:v>26.364000000000001</c:v>
                </c:pt>
                <c:pt idx="499">
                  <c:v>26.326799999999999</c:v>
                </c:pt>
                <c:pt idx="500">
                  <c:v>25.9358</c:v>
                </c:pt>
                <c:pt idx="501">
                  <c:v>25.6007</c:v>
                </c:pt>
                <c:pt idx="502">
                  <c:v>25.302800000000001</c:v>
                </c:pt>
                <c:pt idx="503">
                  <c:v>25.4145</c:v>
                </c:pt>
                <c:pt idx="504">
                  <c:v>24.4649</c:v>
                </c:pt>
                <c:pt idx="505">
                  <c:v>24.2043</c:v>
                </c:pt>
                <c:pt idx="506">
                  <c:v>24.2043</c:v>
                </c:pt>
                <c:pt idx="507">
                  <c:v>23.198799999999999</c:v>
                </c:pt>
                <c:pt idx="508">
                  <c:v>23.273299999999999</c:v>
                </c:pt>
                <c:pt idx="509">
                  <c:v>23.831900000000001</c:v>
                </c:pt>
                <c:pt idx="510">
                  <c:v>24.0181</c:v>
                </c:pt>
                <c:pt idx="511">
                  <c:v>23.552600000000002</c:v>
                </c:pt>
                <c:pt idx="512">
                  <c:v>22.9009</c:v>
                </c:pt>
                <c:pt idx="513">
                  <c:v>23.496700000000001</c:v>
                </c:pt>
                <c:pt idx="514">
                  <c:v>23.0871</c:v>
                </c:pt>
                <c:pt idx="515">
                  <c:v>21.539200000000001</c:v>
                </c:pt>
                <c:pt idx="516">
                  <c:v>21.450199999999999</c:v>
                </c:pt>
                <c:pt idx="517">
                  <c:v>21.717300000000002</c:v>
                </c:pt>
                <c:pt idx="518">
                  <c:v>20.2042</c:v>
                </c:pt>
                <c:pt idx="519">
                  <c:v>20.115200000000002</c:v>
                </c:pt>
                <c:pt idx="520">
                  <c:v>18.7089</c:v>
                </c:pt>
                <c:pt idx="521">
                  <c:v>18.744499999999999</c:v>
                </c:pt>
                <c:pt idx="522">
                  <c:v>20.044</c:v>
                </c:pt>
                <c:pt idx="523">
                  <c:v>21.094200000000001</c:v>
                </c:pt>
                <c:pt idx="524">
                  <c:v>21.094200000000001</c:v>
                </c:pt>
                <c:pt idx="525">
                  <c:v>20.6492</c:v>
                </c:pt>
                <c:pt idx="526">
                  <c:v>19.2073</c:v>
                </c:pt>
                <c:pt idx="527">
                  <c:v>19.474299999999999</c:v>
                </c:pt>
                <c:pt idx="528">
                  <c:v>19.8659</c:v>
                </c:pt>
                <c:pt idx="529">
                  <c:v>19.883700000000001</c:v>
                </c:pt>
                <c:pt idx="530">
                  <c:v>19.6523</c:v>
                </c:pt>
                <c:pt idx="531">
                  <c:v>19.6523</c:v>
                </c:pt>
                <c:pt idx="532">
                  <c:v>19.937200000000001</c:v>
                </c:pt>
                <c:pt idx="533">
                  <c:v>20.008400000000002</c:v>
                </c:pt>
                <c:pt idx="534">
                  <c:v>19.492100000000001</c:v>
                </c:pt>
                <c:pt idx="535">
                  <c:v>19.474299999999999</c:v>
                </c:pt>
                <c:pt idx="536">
                  <c:v>19.331900000000001</c:v>
                </c:pt>
                <c:pt idx="537">
                  <c:v>19.527699999999999</c:v>
                </c:pt>
                <c:pt idx="538">
                  <c:v>19.527699999999999</c:v>
                </c:pt>
                <c:pt idx="539">
                  <c:v>20.346599999999999</c:v>
                </c:pt>
                <c:pt idx="540">
                  <c:v>20.6492</c:v>
                </c:pt>
                <c:pt idx="541">
                  <c:v>21.058599999999998</c:v>
                </c:pt>
                <c:pt idx="542">
                  <c:v>21.272200000000002</c:v>
                </c:pt>
                <c:pt idx="543">
                  <c:v>22.482700000000001</c:v>
                </c:pt>
                <c:pt idx="544">
                  <c:v>22.251300000000001</c:v>
                </c:pt>
                <c:pt idx="545">
                  <c:v>21.539200000000001</c:v>
                </c:pt>
                <c:pt idx="546">
                  <c:v>21.040800000000001</c:v>
                </c:pt>
                <c:pt idx="547">
                  <c:v>21.218800000000002</c:v>
                </c:pt>
                <c:pt idx="548">
                  <c:v>21.058599999999998</c:v>
                </c:pt>
                <c:pt idx="549">
                  <c:v>20.791599999999999</c:v>
                </c:pt>
                <c:pt idx="550">
                  <c:v>20.844999999999999</c:v>
                </c:pt>
                <c:pt idx="551">
                  <c:v>20.880600000000001</c:v>
                </c:pt>
                <c:pt idx="552">
                  <c:v>21.183199999999999</c:v>
                </c:pt>
                <c:pt idx="553">
                  <c:v>21.0764</c:v>
                </c:pt>
                <c:pt idx="554">
                  <c:v>20.844999999999999</c:v>
                </c:pt>
                <c:pt idx="555">
                  <c:v>20.738199999999999</c:v>
                </c:pt>
                <c:pt idx="556">
                  <c:v>20.667000000000002</c:v>
                </c:pt>
                <c:pt idx="557">
                  <c:v>20.898399999999999</c:v>
                </c:pt>
                <c:pt idx="558">
                  <c:v>20.844999999999999</c:v>
                </c:pt>
                <c:pt idx="559">
                  <c:v>20.791599999999999</c:v>
                </c:pt>
                <c:pt idx="560">
                  <c:v>20.4712</c:v>
                </c:pt>
                <c:pt idx="561">
                  <c:v>20.684799999999999</c:v>
                </c:pt>
                <c:pt idx="562">
                  <c:v>20.595800000000001</c:v>
                </c:pt>
                <c:pt idx="563">
                  <c:v>20.987400000000001</c:v>
                </c:pt>
                <c:pt idx="564">
                  <c:v>20.827200000000001</c:v>
                </c:pt>
                <c:pt idx="565">
                  <c:v>20.542400000000001</c:v>
                </c:pt>
                <c:pt idx="566">
                  <c:v>21.183199999999999</c:v>
                </c:pt>
                <c:pt idx="567">
                  <c:v>21.147600000000001</c:v>
                </c:pt>
                <c:pt idx="568">
                  <c:v>20.827200000000001</c:v>
                </c:pt>
                <c:pt idx="569">
                  <c:v>20.6492</c:v>
                </c:pt>
                <c:pt idx="570">
                  <c:v>20.667000000000002</c:v>
                </c:pt>
                <c:pt idx="571">
                  <c:v>20.631399999999999</c:v>
                </c:pt>
                <c:pt idx="572">
                  <c:v>20.738199999999999</c:v>
                </c:pt>
                <c:pt idx="573">
                  <c:v>20.844999999999999</c:v>
                </c:pt>
                <c:pt idx="574">
                  <c:v>20.827200000000001</c:v>
                </c:pt>
                <c:pt idx="575">
                  <c:v>20.880600000000001</c:v>
                </c:pt>
                <c:pt idx="576">
                  <c:v>20.178799999999999</c:v>
                </c:pt>
                <c:pt idx="577">
                  <c:v>20.281199999999998</c:v>
                </c:pt>
                <c:pt idx="578">
                  <c:v>20.2471</c:v>
                </c:pt>
                <c:pt idx="579">
                  <c:v>20.1447</c:v>
                </c:pt>
                <c:pt idx="580">
                  <c:v>20.9129</c:v>
                </c:pt>
                <c:pt idx="581">
                  <c:v>21.134799999999998</c:v>
                </c:pt>
                <c:pt idx="582">
                  <c:v>21.254300000000001</c:v>
                </c:pt>
                <c:pt idx="583">
                  <c:v>20.964099999999998</c:v>
                </c:pt>
                <c:pt idx="584">
                  <c:v>21.151900000000001</c:v>
                </c:pt>
                <c:pt idx="585">
                  <c:v>21.6128</c:v>
                </c:pt>
                <c:pt idx="586">
                  <c:v>21.6982</c:v>
                </c:pt>
                <c:pt idx="587">
                  <c:v>21.510400000000001</c:v>
                </c:pt>
                <c:pt idx="588">
                  <c:v>21.561599999999999</c:v>
                </c:pt>
                <c:pt idx="589">
                  <c:v>21.681100000000001</c:v>
                </c:pt>
                <c:pt idx="590">
                  <c:v>21.510400000000001</c:v>
                </c:pt>
                <c:pt idx="591">
                  <c:v>21.654599999999999</c:v>
                </c:pt>
                <c:pt idx="592">
                  <c:v>22.007999999999999</c:v>
                </c:pt>
                <c:pt idx="593">
                  <c:v>21.949100000000001</c:v>
                </c:pt>
                <c:pt idx="594">
                  <c:v>21.811699999999998</c:v>
                </c:pt>
                <c:pt idx="595">
                  <c:v>21.7332</c:v>
                </c:pt>
                <c:pt idx="596">
                  <c:v>21.850999999999999</c:v>
                </c:pt>
                <c:pt idx="597">
                  <c:v>20.810400000000001</c:v>
                </c:pt>
                <c:pt idx="598">
                  <c:v>20.830100000000002</c:v>
                </c:pt>
                <c:pt idx="599">
                  <c:v>20.4178</c:v>
                </c:pt>
                <c:pt idx="600">
                  <c:v>21.006799999999998</c:v>
                </c:pt>
                <c:pt idx="601">
                  <c:v>20.9282</c:v>
                </c:pt>
                <c:pt idx="602">
                  <c:v>20.7712</c:v>
                </c:pt>
                <c:pt idx="603">
                  <c:v>20.5945</c:v>
                </c:pt>
                <c:pt idx="604">
                  <c:v>20.849699999999999</c:v>
                </c:pt>
                <c:pt idx="605">
                  <c:v>20.7319</c:v>
                </c:pt>
                <c:pt idx="606">
                  <c:v>20.888999999999999</c:v>
                </c:pt>
                <c:pt idx="607">
                  <c:v>21.104900000000001</c:v>
                </c:pt>
                <c:pt idx="608">
                  <c:v>20.633800000000001</c:v>
                </c:pt>
                <c:pt idx="609">
                  <c:v>20.378499999999999</c:v>
                </c:pt>
                <c:pt idx="610">
                  <c:v>19.907399999999999</c:v>
                </c:pt>
                <c:pt idx="611">
                  <c:v>19.730699999999999</c:v>
                </c:pt>
                <c:pt idx="612">
                  <c:v>19.691400000000002</c:v>
                </c:pt>
                <c:pt idx="613">
                  <c:v>19.181000000000001</c:v>
                </c:pt>
                <c:pt idx="614">
                  <c:v>19.9663</c:v>
                </c:pt>
                <c:pt idx="615">
                  <c:v>19.436199999999999</c:v>
                </c:pt>
                <c:pt idx="616">
                  <c:v>19.396899999999999</c:v>
                </c:pt>
                <c:pt idx="617">
                  <c:v>19.6325</c:v>
                </c:pt>
                <c:pt idx="618">
                  <c:v>20.614100000000001</c:v>
                </c:pt>
                <c:pt idx="619">
                  <c:v>20.515999999999998</c:v>
                </c:pt>
                <c:pt idx="620">
                  <c:v>19.9466</c:v>
                </c:pt>
                <c:pt idx="621">
                  <c:v>20.2607</c:v>
                </c:pt>
                <c:pt idx="622">
                  <c:v>20.614100000000001</c:v>
                </c:pt>
                <c:pt idx="623">
                  <c:v>20.3</c:v>
                </c:pt>
                <c:pt idx="624">
                  <c:v>20.005500000000001</c:v>
                </c:pt>
                <c:pt idx="625">
                  <c:v>20.044799999999999</c:v>
                </c:pt>
                <c:pt idx="626">
                  <c:v>19.868099999999998</c:v>
                </c:pt>
                <c:pt idx="627">
                  <c:v>20.025099999999998</c:v>
                </c:pt>
                <c:pt idx="628">
                  <c:v>19.9466</c:v>
                </c:pt>
                <c:pt idx="629">
                  <c:v>20.005500000000001</c:v>
                </c:pt>
                <c:pt idx="630">
                  <c:v>20.319600000000001</c:v>
                </c:pt>
                <c:pt idx="631">
                  <c:v>20.712299999999999</c:v>
                </c:pt>
                <c:pt idx="632">
                  <c:v>20.221499999999999</c:v>
                </c:pt>
                <c:pt idx="633">
                  <c:v>20.221499999999999</c:v>
                </c:pt>
                <c:pt idx="634">
                  <c:v>19.573599999999999</c:v>
                </c:pt>
                <c:pt idx="635">
                  <c:v>19.239799999999999</c:v>
                </c:pt>
                <c:pt idx="636">
                  <c:v>19.534300000000002</c:v>
                </c:pt>
                <c:pt idx="637">
                  <c:v>19.239799999999999</c:v>
                </c:pt>
                <c:pt idx="638">
                  <c:v>19.1417</c:v>
                </c:pt>
                <c:pt idx="639">
                  <c:v>18.748999999999999</c:v>
                </c:pt>
                <c:pt idx="640">
                  <c:v>17.615600000000001</c:v>
                </c:pt>
                <c:pt idx="641">
                  <c:v>17.691299999999998</c:v>
                </c:pt>
                <c:pt idx="642">
                  <c:v>17.4451</c:v>
                </c:pt>
                <c:pt idx="643">
                  <c:v>17.691299999999998</c:v>
                </c:pt>
                <c:pt idx="644">
                  <c:v>18.089099999999998</c:v>
                </c:pt>
                <c:pt idx="645">
                  <c:v>18.089099999999998</c:v>
                </c:pt>
                <c:pt idx="646">
                  <c:v>17.899699999999999</c:v>
                </c:pt>
                <c:pt idx="647">
                  <c:v>17.8429</c:v>
                </c:pt>
                <c:pt idx="648">
                  <c:v>18.2027</c:v>
                </c:pt>
                <c:pt idx="649">
                  <c:v>17.805</c:v>
                </c:pt>
                <c:pt idx="650">
                  <c:v>17.501899999999999</c:v>
                </c:pt>
                <c:pt idx="651">
                  <c:v>16.971599999999999</c:v>
                </c:pt>
                <c:pt idx="652">
                  <c:v>17.009399999999999</c:v>
                </c:pt>
                <c:pt idx="653">
                  <c:v>16.6874</c:v>
                </c:pt>
                <c:pt idx="654">
                  <c:v>16.479099999999999</c:v>
                </c:pt>
                <c:pt idx="655">
                  <c:v>17.615600000000001</c:v>
                </c:pt>
                <c:pt idx="656">
                  <c:v>18.373200000000001</c:v>
                </c:pt>
                <c:pt idx="657">
                  <c:v>17.994399999999999</c:v>
                </c:pt>
                <c:pt idx="658">
                  <c:v>18.505800000000001</c:v>
                </c:pt>
                <c:pt idx="659">
                  <c:v>18.5626</c:v>
                </c:pt>
                <c:pt idx="660">
                  <c:v>19.3582</c:v>
                </c:pt>
                <c:pt idx="661">
                  <c:v>19.263500000000001</c:v>
                </c:pt>
                <c:pt idx="662">
                  <c:v>19.4529</c:v>
                </c:pt>
                <c:pt idx="663">
                  <c:v>19.680199999999999</c:v>
                </c:pt>
                <c:pt idx="664">
                  <c:v>19.888500000000001</c:v>
                </c:pt>
                <c:pt idx="665">
                  <c:v>19.566500000000001</c:v>
                </c:pt>
                <c:pt idx="666">
                  <c:v>19.111899999999999</c:v>
                </c:pt>
                <c:pt idx="667">
                  <c:v>18.979299999999999</c:v>
                </c:pt>
                <c:pt idx="668">
                  <c:v>19.1309</c:v>
                </c:pt>
                <c:pt idx="669">
                  <c:v>18.221699999999998</c:v>
                </c:pt>
                <c:pt idx="670">
                  <c:v>18.2027</c:v>
                </c:pt>
                <c:pt idx="671">
                  <c:v>19.055099999999999</c:v>
                </c:pt>
                <c:pt idx="672">
                  <c:v>18.7331</c:v>
                </c:pt>
                <c:pt idx="673">
                  <c:v>18.941500000000001</c:v>
                </c:pt>
                <c:pt idx="674">
                  <c:v>19.1309</c:v>
                </c:pt>
                <c:pt idx="675">
                  <c:v>18.941500000000001</c:v>
                </c:pt>
                <c:pt idx="676">
                  <c:v>18.5626</c:v>
                </c:pt>
                <c:pt idx="677">
                  <c:v>18.752099999999999</c:v>
                </c:pt>
                <c:pt idx="678">
                  <c:v>19.093</c:v>
                </c:pt>
                <c:pt idx="679">
                  <c:v>18.979299999999999</c:v>
                </c:pt>
                <c:pt idx="680">
                  <c:v>18.884599999999999</c:v>
                </c:pt>
                <c:pt idx="681">
                  <c:v>18.752099999999999</c:v>
                </c:pt>
                <c:pt idx="682">
                  <c:v>18.846800000000002</c:v>
                </c:pt>
                <c:pt idx="683">
                  <c:v>18.392199999999999</c:v>
                </c:pt>
                <c:pt idx="684">
                  <c:v>18.297499999999999</c:v>
                </c:pt>
                <c:pt idx="685">
                  <c:v>18.297499999999999</c:v>
                </c:pt>
                <c:pt idx="686">
                  <c:v>18.297499999999999</c:v>
                </c:pt>
                <c:pt idx="687">
                  <c:v>18.4679</c:v>
                </c:pt>
                <c:pt idx="688">
                  <c:v>18.221699999999998</c:v>
                </c:pt>
                <c:pt idx="689">
                  <c:v>18.089099999999998</c:v>
                </c:pt>
                <c:pt idx="690">
                  <c:v>18.354299999999999</c:v>
                </c:pt>
                <c:pt idx="691">
                  <c:v>18.108000000000001</c:v>
                </c:pt>
                <c:pt idx="692">
                  <c:v>18.183800000000002</c:v>
                </c:pt>
                <c:pt idx="693">
                  <c:v>17.748200000000001</c:v>
                </c:pt>
                <c:pt idx="694">
                  <c:v>17.767099999999999</c:v>
                </c:pt>
                <c:pt idx="695">
                  <c:v>17.9755</c:v>
                </c:pt>
                <c:pt idx="696">
                  <c:v>18.164899999999999</c:v>
                </c:pt>
                <c:pt idx="697">
                  <c:v>17.880700000000001</c:v>
                </c:pt>
                <c:pt idx="698">
                  <c:v>17.786000000000001</c:v>
                </c:pt>
                <c:pt idx="699">
                  <c:v>17.748200000000001</c:v>
                </c:pt>
                <c:pt idx="700">
                  <c:v>17.805</c:v>
                </c:pt>
                <c:pt idx="701">
                  <c:v>17.729199999999999</c:v>
                </c:pt>
                <c:pt idx="702">
                  <c:v>17.615600000000001</c:v>
                </c:pt>
                <c:pt idx="703">
                  <c:v>17.520900000000001</c:v>
                </c:pt>
                <c:pt idx="704">
                  <c:v>17.861799999999999</c:v>
                </c:pt>
                <c:pt idx="705">
                  <c:v>18.278500000000001</c:v>
                </c:pt>
                <c:pt idx="706">
                  <c:v>17.3902</c:v>
                </c:pt>
                <c:pt idx="707">
                  <c:v>17.245000000000001</c:v>
                </c:pt>
                <c:pt idx="708">
                  <c:v>17.063500000000001</c:v>
                </c:pt>
                <c:pt idx="709">
                  <c:v>17.698799999999999</c:v>
                </c:pt>
                <c:pt idx="710">
                  <c:v>17.517299999999999</c:v>
                </c:pt>
                <c:pt idx="711">
                  <c:v>17.680700000000002</c:v>
                </c:pt>
                <c:pt idx="712">
                  <c:v>18.061900000000001</c:v>
                </c:pt>
                <c:pt idx="713">
                  <c:v>17.952999999999999</c:v>
                </c:pt>
                <c:pt idx="714">
                  <c:v>18.116299999999999</c:v>
                </c:pt>
                <c:pt idx="715">
                  <c:v>17.880400000000002</c:v>
                </c:pt>
                <c:pt idx="716">
                  <c:v>19.114699999999999</c:v>
                </c:pt>
                <c:pt idx="717">
                  <c:v>19.205500000000001</c:v>
                </c:pt>
                <c:pt idx="718">
                  <c:v>18.896899999999999</c:v>
                </c:pt>
                <c:pt idx="719">
                  <c:v>19.060300000000002</c:v>
                </c:pt>
                <c:pt idx="720">
                  <c:v>18.788</c:v>
                </c:pt>
                <c:pt idx="721">
                  <c:v>18.334199999999999</c:v>
                </c:pt>
                <c:pt idx="722">
                  <c:v>17.880400000000002</c:v>
                </c:pt>
                <c:pt idx="723">
                  <c:v>18.533899999999999</c:v>
                </c:pt>
                <c:pt idx="724">
                  <c:v>18.9695</c:v>
                </c:pt>
                <c:pt idx="725">
                  <c:v>19.260000000000002</c:v>
                </c:pt>
                <c:pt idx="726">
                  <c:v>18.9695</c:v>
                </c:pt>
                <c:pt idx="727">
                  <c:v>18.933199999999999</c:v>
                </c:pt>
                <c:pt idx="728">
                  <c:v>18.860600000000002</c:v>
                </c:pt>
                <c:pt idx="729">
                  <c:v>18.497499999999999</c:v>
                </c:pt>
                <c:pt idx="730">
                  <c:v>17.9711</c:v>
                </c:pt>
                <c:pt idx="731">
                  <c:v>17.716999999999999</c:v>
                </c:pt>
                <c:pt idx="732">
                  <c:v>17.9711</c:v>
                </c:pt>
                <c:pt idx="733">
                  <c:v>17.753299999999999</c:v>
                </c:pt>
                <c:pt idx="734">
                  <c:v>17.898499999999999</c:v>
                </c:pt>
                <c:pt idx="735">
                  <c:v>17.934799999999999</c:v>
                </c:pt>
                <c:pt idx="736">
                  <c:v>17.481000000000002</c:v>
                </c:pt>
                <c:pt idx="737">
                  <c:v>17.154299999999999</c:v>
                </c:pt>
                <c:pt idx="738">
                  <c:v>16.7912</c:v>
                </c:pt>
                <c:pt idx="739">
                  <c:v>16.173999999999999</c:v>
                </c:pt>
                <c:pt idx="740">
                  <c:v>16.428100000000001</c:v>
                </c:pt>
                <c:pt idx="741">
                  <c:v>16.863800000000001</c:v>
                </c:pt>
                <c:pt idx="742">
                  <c:v>16.264800000000001</c:v>
                </c:pt>
                <c:pt idx="743">
                  <c:v>15.7928</c:v>
                </c:pt>
                <c:pt idx="744">
                  <c:v>15.447900000000001</c:v>
                </c:pt>
                <c:pt idx="745">
                  <c:v>15.3208</c:v>
                </c:pt>
                <c:pt idx="746">
                  <c:v>14.8126</c:v>
                </c:pt>
                <c:pt idx="747">
                  <c:v>19.1309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0C-4C09-8815-39EBA7ADE92B}"/>
            </c:ext>
          </c:extLst>
        </c:ser>
        <c:ser>
          <c:idx val="4"/>
          <c:order val="3"/>
          <c:tx>
            <c:strRef>
              <c:f>'FX Data'!$F$956</c:f>
              <c:strCache>
                <c:ptCount val="1"/>
                <c:pt idx="0">
                  <c:v>=+1sd</c:v>
                </c:pt>
              </c:strCache>
            </c:strRef>
          </c:tx>
          <c:spPr>
            <a:ln w="12700" cap="rnd">
              <a:solidFill>
                <a:srgbClr val="F79646">
                  <a:lumMod val="60000"/>
                  <a:lumOff val="40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'FX Data'!$B$1457:$B$2460</c:f>
              <c:numCache>
                <c:formatCode>m/d/yyyy</c:formatCode>
                <c:ptCount val="1004"/>
                <c:pt idx="0">
                  <c:v>44993</c:v>
                </c:pt>
                <c:pt idx="1">
                  <c:v>44994</c:v>
                </c:pt>
                <c:pt idx="2">
                  <c:v>44995</c:v>
                </c:pt>
                <c:pt idx="3">
                  <c:v>44998</c:v>
                </c:pt>
                <c:pt idx="4">
                  <c:v>44999</c:v>
                </c:pt>
                <c:pt idx="5">
                  <c:v>45000</c:v>
                </c:pt>
                <c:pt idx="6">
                  <c:v>45001</c:v>
                </c:pt>
                <c:pt idx="7">
                  <c:v>45002</c:v>
                </c:pt>
                <c:pt idx="8">
                  <c:v>45005</c:v>
                </c:pt>
                <c:pt idx="9">
                  <c:v>45006</c:v>
                </c:pt>
                <c:pt idx="10">
                  <c:v>45007</c:v>
                </c:pt>
                <c:pt idx="11">
                  <c:v>45008</c:v>
                </c:pt>
                <c:pt idx="12">
                  <c:v>45009</c:v>
                </c:pt>
                <c:pt idx="13">
                  <c:v>45012</c:v>
                </c:pt>
                <c:pt idx="14">
                  <c:v>45013</c:v>
                </c:pt>
                <c:pt idx="15">
                  <c:v>45014</c:v>
                </c:pt>
                <c:pt idx="16">
                  <c:v>45015</c:v>
                </c:pt>
                <c:pt idx="17">
                  <c:v>45016</c:v>
                </c:pt>
                <c:pt idx="18">
                  <c:v>45019</c:v>
                </c:pt>
                <c:pt idx="19">
                  <c:v>45020</c:v>
                </c:pt>
                <c:pt idx="20">
                  <c:v>45021</c:v>
                </c:pt>
                <c:pt idx="21">
                  <c:v>45022</c:v>
                </c:pt>
                <c:pt idx="22">
                  <c:v>45023</c:v>
                </c:pt>
                <c:pt idx="23">
                  <c:v>45026</c:v>
                </c:pt>
                <c:pt idx="24">
                  <c:v>45027</c:v>
                </c:pt>
                <c:pt idx="25">
                  <c:v>45028</c:v>
                </c:pt>
                <c:pt idx="26">
                  <c:v>45029</c:v>
                </c:pt>
                <c:pt idx="27">
                  <c:v>45030</c:v>
                </c:pt>
                <c:pt idx="28">
                  <c:v>45033</c:v>
                </c:pt>
                <c:pt idx="29">
                  <c:v>45034</c:v>
                </c:pt>
                <c:pt idx="30">
                  <c:v>45035</c:v>
                </c:pt>
                <c:pt idx="31">
                  <c:v>45036</c:v>
                </c:pt>
                <c:pt idx="32">
                  <c:v>45037</c:v>
                </c:pt>
                <c:pt idx="33">
                  <c:v>45040</c:v>
                </c:pt>
                <c:pt idx="34">
                  <c:v>45041</c:v>
                </c:pt>
                <c:pt idx="35">
                  <c:v>45042</c:v>
                </c:pt>
                <c:pt idx="36">
                  <c:v>45043</c:v>
                </c:pt>
                <c:pt idx="37">
                  <c:v>45044</c:v>
                </c:pt>
                <c:pt idx="38">
                  <c:v>45050</c:v>
                </c:pt>
                <c:pt idx="39">
                  <c:v>45051</c:v>
                </c:pt>
                <c:pt idx="40">
                  <c:v>45054</c:v>
                </c:pt>
                <c:pt idx="41">
                  <c:v>45055</c:v>
                </c:pt>
                <c:pt idx="42">
                  <c:v>45056</c:v>
                </c:pt>
                <c:pt idx="43">
                  <c:v>45057</c:v>
                </c:pt>
                <c:pt idx="44">
                  <c:v>45058</c:v>
                </c:pt>
                <c:pt idx="45">
                  <c:v>45061</c:v>
                </c:pt>
                <c:pt idx="46">
                  <c:v>45062</c:v>
                </c:pt>
                <c:pt idx="47">
                  <c:v>45063</c:v>
                </c:pt>
                <c:pt idx="48">
                  <c:v>45064</c:v>
                </c:pt>
                <c:pt idx="49">
                  <c:v>45065</c:v>
                </c:pt>
                <c:pt idx="50">
                  <c:v>45068</c:v>
                </c:pt>
                <c:pt idx="51">
                  <c:v>45069</c:v>
                </c:pt>
                <c:pt idx="52">
                  <c:v>45070</c:v>
                </c:pt>
                <c:pt idx="53">
                  <c:v>45071</c:v>
                </c:pt>
                <c:pt idx="54">
                  <c:v>45072</c:v>
                </c:pt>
                <c:pt idx="55">
                  <c:v>45075</c:v>
                </c:pt>
                <c:pt idx="56">
                  <c:v>45076</c:v>
                </c:pt>
                <c:pt idx="57">
                  <c:v>45077</c:v>
                </c:pt>
                <c:pt idx="58">
                  <c:v>45078</c:v>
                </c:pt>
                <c:pt idx="59">
                  <c:v>45079</c:v>
                </c:pt>
                <c:pt idx="60">
                  <c:v>45082</c:v>
                </c:pt>
                <c:pt idx="61">
                  <c:v>45083</c:v>
                </c:pt>
                <c:pt idx="62">
                  <c:v>45084</c:v>
                </c:pt>
                <c:pt idx="63">
                  <c:v>45085</c:v>
                </c:pt>
                <c:pt idx="64">
                  <c:v>45086</c:v>
                </c:pt>
                <c:pt idx="65">
                  <c:v>45089</c:v>
                </c:pt>
                <c:pt idx="66">
                  <c:v>45090</c:v>
                </c:pt>
                <c:pt idx="67">
                  <c:v>45091</c:v>
                </c:pt>
                <c:pt idx="68">
                  <c:v>45092</c:v>
                </c:pt>
                <c:pt idx="69">
                  <c:v>45093</c:v>
                </c:pt>
                <c:pt idx="70">
                  <c:v>45096</c:v>
                </c:pt>
                <c:pt idx="71">
                  <c:v>45097</c:v>
                </c:pt>
                <c:pt idx="72">
                  <c:v>45098</c:v>
                </c:pt>
                <c:pt idx="73">
                  <c:v>45099</c:v>
                </c:pt>
                <c:pt idx="74">
                  <c:v>45100</c:v>
                </c:pt>
                <c:pt idx="75">
                  <c:v>45103</c:v>
                </c:pt>
                <c:pt idx="76">
                  <c:v>45104</c:v>
                </c:pt>
                <c:pt idx="77">
                  <c:v>45105</c:v>
                </c:pt>
                <c:pt idx="78">
                  <c:v>45106</c:v>
                </c:pt>
                <c:pt idx="79">
                  <c:v>45107</c:v>
                </c:pt>
                <c:pt idx="80">
                  <c:v>45110</c:v>
                </c:pt>
                <c:pt idx="81">
                  <c:v>45111</c:v>
                </c:pt>
                <c:pt idx="82">
                  <c:v>45112</c:v>
                </c:pt>
                <c:pt idx="83">
                  <c:v>45113</c:v>
                </c:pt>
                <c:pt idx="84">
                  <c:v>45114</c:v>
                </c:pt>
                <c:pt idx="85">
                  <c:v>45117</c:v>
                </c:pt>
                <c:pt idx="86">
                  <c:v>45118</c:v>
                </c:pt>
                <c:pt idx="87">
                  <c:v>45119</c:v>
                </c:pt>
                <c:pt idx="88">
                  <c:v>45120</c:v>
                </c:pt>
                <c:pt idx="89">
                  <c:v>45121</c:v>
                </c:pt>
                <c:pt idx="90">
                  <c:v>45124</c:v>
                </c:pt>
                <c:pt idx="91">
                  <c:v>45125</c:v>
                </c:pt>
                <c:pt idx="92">
                  <c:v>45126</c:v>
                </c:pt>
                <c:pt idx="93">
                  <c:v>45127</c:v>
                </c:pt>
                <c:pt idx="94">
                  <c:v>45128</c:v>
                </c:pt>
                <c:pt idx="95">
                  <c:v>45131</c:v>
                </c:pt>
                <c:pt idx="96">
                  <c:v>45132</c:v>
                </c:pt>
                <c:pt idx="97">
                  <c:v>45133</c:v>
                </c:pt>
                <c:pt idx="98">
                  <c:v>45134</c:v>
                </c:pt>
                <c:pt idx="99">
                  <c:v>45135</c:v>
                </c:pt>
                <c:pt idx="100">
                  <c:v>45138</c:v>
                </c:pt>
                <c:pt idx="101">
                  <c:v>45139</c:v>
                </c:pt>
                <c:pt idx="102">
                  <c:v>45140</c:v>
                </c:pt>
                <c:pt idx="103">
                  <c:v>45141</c:v>
                </c:pt>
                <c:pt idx="104">
                  <c:v>45142</c:v>
                </c:pt>
                <c:pt idx="105">
                  <c:v>45145</c:v>
                </c:pt>
                <c:pt idx="106">
                  <c:v>45146</c:v>
                </c:pt>
                <c:pt idx="107">
                  <c:v>45147</c:v>
                </c:pt>
                <c:pt idx="108">
                  <c:v>45148</c:v>
                </c:pt>
                <c:pt idx="109">
                  <c:v>45149</c:v>
                </c:pt>
                <c:pt idx="110">
                  <c:v>45152</c:v>
                </c:pt>
                <c:pt idx="111">
                  <c:v>45153</c:v>
                </c:pt>
                <c:pt idx="112">
                  <c:v>45154</c:v>
                </c:pt>
                <c:pt idx="113">
                  <c:v>45155</c:v>
                </c:pt>
                <c:pt idx="114">
                  <c:v>45156</c:v>
                </c:pt>
                <c:pt idx="115">
                  <c:v>45159</c:v>
                </c:pt>
                <c:pt idx="116">
                  <c:v>45160</c:v>
                </c:pt>
                <c:pt idx="117">
                  <c:v>45161</c:v>
                </c:pt>
                <c:pt idx="118">
                  <c:v>45162</c:v>
                </c:pt>
                <c:pt idx="119">
                  <c:v>45163</c:v>
                </c:pt>
                <c:pt idx="120">
                  <c:v>45166</c:v>
                </c:pt>
                <c:pt idx="121">
                  <c:v>45167</c:v>
                </c:pt>
                <c:pt idx="122">
                  <c:v>45168</c:v>
                </c:pt>
                <c:pt idx="123">
                  <c:v>45169</c:v>
                </c:pt>
                <c:pt idx="124">
                  <c:v>45174</c:v>
                </c:pt>
                <c:pt idx="125">
                  <c:v>45175</c:v>
                </c:pt>
                <c:pt idx="126">
                  <c:v>45176</c:v>
                </c:pt>
                <c:pt idx="127">
                  <c:v>45177</c:v>
                </c:pt>
                <c:pt idx="128">
                  <c:v>45180</c:v>
                </c:pt>
                <c:pt idx="129">
                  <c:v>45181</c:v>
                </c:pt>
                <c:pt idx="130">
                  <c:v>45182</c:v>
                </c:pt>
                <c:pt idx="131">
                  <c:v>45183</c:v>
                </c:pt>
                <c:pt idx="132">
                  <c:v>45184</c:v>
                </c:pt>
                <c:pt idx="133">
                  <c:v>45187</c:v>
                </c:pt>
                <c:pt idx="134">
                  <c:v>45188</c:v>
                </c:pt>
                <c:pt idx="135">
                  <c:v>45189</c:v>
                </c:pt>
                <c:pt idx="136">
                  <c:v>45190</c:v>
                </c:pt>
                <c:pt idx="137">
                  <c:v>45191</c:v>
                </c:pt>
                <c:pt idx="138">
                  <c:v>45194</c:v>
                </c:pt>
                <c:pt idx="139">
                  <c:v>45195</c:v>
                </c:pt>
                <c:pt idx="140">
                  <c:v>45196</c:v>
                </c:pt>
                <c:pt idx="141">
                  <c:v>45197</c:v>
                </c:pt>
                <c:pt idx="142">
                  <c:v>45198</c:v>
                </c:pt>
                <c:pt idx="143">
                  <c:v>45201</c:v>
                </c:pt>
                <c:pt idx="144">
                  <c:v>45202</c:v>
                </c:pt>
                <c:pt idx="145">
                  <c:v>45203</c:v>
                </c:pt>
                <c:pt idx="146">
                  <c:v>45204</c:v>
                </c:pt>
                <c:pt idx="147">
                  <c:v>45205</c:v>
                </c:pt>
                <c:pt idx="148">
                  <c:v>45208</c:v>
                </c:pt>
                <c:pt idx="149">
                  <c:v>45209</c:v>
                </c:pt>
                <c:pt idx="150">
                  <c:v>45210</c:v>
                </c:pt>
                <c:pt idx="151">
                  <c:v>45211</c:v>
                </c:pt>
                <c:pt idx="152">
                  <c:v>45212</c:v>
                </c:pt>
                <c:pt idx="153">
                  <c:v>45215</c:v>
                </c:pt>
                <c:pt idx="154">
                  <c:v>45216</c:v>
                </c:pt>
                <c:pt idx="155">
                  <c:v>45217</c:v>
                </c:pt>
                <c:pt idx="156">
                  <c:v>45218</c:v>
                </c:pt>
                <c:pt idx="157">
                  <c:v>45219</c:v>
                </c:pt>
                <c:pt idx="158">
                  <c:v>45222</c:v>
                </c:pt>
                <c:pt idx="159">
                  <c:v>45223</c:v>
                </c:pt>
                <c:pt idx="160">
                  <c:v>45224</c:v>
                </c:pt>
                <c:pt idx="161">
                  <c:v>45225</c:v>
                </c:pt>
                <c:pt idx="162">
                  <c:v>45226</c:v>
                </c:pt>
                <c:pt idx="163">
                  <c:v>45229</c:v>
                </c:pt>
                <c:pt idx="164">
                  <c:v>45230</c:v>
                </c:pt>
                <c:pt idx="165">
                  <c:v>45231</c:v>
                </c:pt>
                <c:pt idx="166">
                  <c:v>45232</c:v>
                </c:pt>
                <c:pt idx="167">
                  <c:v>45233</c:v>
                </c:pt>
                <c:pt idx="168">
                  <c:v>45236</c:v>
                </c:pt>
                <c:pt idx="169">
                  <c:v>45237</c:v>
                </c:pt>
                <c:pt idx="170">
                  <c:v>45238</c:v>
                </c:pt>
                <c:pt idx="171">
                  <c:v>45239</c:v>
                </c:pt>
                <c:pt idx="172">
                  <c:v>45240</c:v>
                </c:pt>
                <c:pt idx="173">
                  <c:v>45243</c:v>
                </c:pt>
                <c:pt idx="174">
                  <c:v>45244</c:v>
                </c:pt>
                <c:pt idx="175">
                  <c:v>45245</c:v>
                </c:pt>
                <c:pt idx="176">
                  <c:v>45246</c:v>
                </c:pt>
                <c:pt idx="177">
                  <c:v>45247</c:v>
                </c:pt>
                <c:pt idx="178">
                  <c:v>45250</c:v>
                </c:pt>
                <c:pt idx="179">
                  <c:v>45251</c:v>
                </c:pt>
                <c:pt idx="180">
                  <c:v>45252</c:v>
                </c:pt>
                <c:pt idx="181">
                  <c:v>45253</c:v>
                </c:pt>
                <c:pt idx="182">
                  <c:v>45254</c:v>
                </c:pt>
                <c:pt idx="183">
                  <c:v>45257</c:v>
                </c:pt>
                <c:pt idx="184">
                  <c:v>45258</c:v>
                </c:pt>
                <c:pt idx="185">
                  <c:v>45259</c:v>
                </c:pt>
                <c:pt idx="186">
                  <c:v>45260</c:v>
                </c:pt>
                <c:pt idx="187">
                  <c:v>45261</c:v>
                </c:pt>
                <c:pt idx="188">
                  <c:v>45264</c:v>
                </c:pt>
                <c:pt idx="189">
                  <c:v>45265</c:v>
                </c:pt>
                <c:pt idx="190">
                  <c:v>45266</c:v>
                </c:pt>
                <c:pt idx="191">
                  <c:v>45267</c:v>
                </c:pt>
                <c:pt idx="192">
                  <c:v>45268</c:v>
                </c:pt>
                <c:pt idx="193">
                  <c:v>45271</c:v>
                </c:pt>
                <c:pt idx="194">
                  <c:v>45272</c:v>
                </c:pt>
                <c:pt idx="195">
                  <c:v>45273</c:v>
                </c:pt>
                <c:pt idx="196">
                  <c:v>45274</c:v>
                </c:pt>
                <c:pt idx="197">
                  <c:v>45275</c:v>
                </c:pt>
                <c:pt idx="198">
                  <c:v>45278</c:v>
                </c:pt>
                <c:pt idx="199">
                  <c:v>45279</c:v>
                </c:pt>
                <c:pt idx="200">
                  <c:v>45280</c:v>
                </c:pt>
                <c:pt idx="201">
                  <c:v>45281</c:v>
                </c:pt>
                <c:pt idx="202">
                  <c:v>45282</c:v>
                </c:pt>
                <c:pt idx="203">
                  <c:v>45285</c:v>
                </c:pt>
                <c:pt idx="204">
                  <c:v>45286</c:v>
                </c:pt>
                <c:pt idx="205">
                  <c:v>45287</c:v>
                </c:pt>
                <c:pt idx="206">
                  <c:v>45288</c:v>
                </c:pt>
                <c:pt idx="207">
                  <c:v>45289</c:v>
                </c:pt>
                <c:pt idx="208">
                  <c:v>45293</c:v>
                </c:pt>
                <c:pt idx="209">
                  <c:v>45294</c:v>
                </c:pt>
                <c:pt idx="210">
                  <c:v>45295</c:v>
                </c:pt>
                <c:pt idx="211">
                  <c:v>45296</c:v>
                </c:pt>
                <c:pt idx="212">
                  <c:v>45299</c:v>
                </c:pt>
                <c:pt idx="213">
                  <c:v>45300</c:v>
                </c:pt>
                <c:pt idx="214">
                  <c:v>45301</c:v>
                </c:pt>
                <c:pt idx="215">
                  <c:v>45302</c:v>
                </c:pt>
                <c:pt idx="216">
                  <c:v>45303</c:v>
                </c:pt>
                <c:pt idx="217">
                  <c:v>45306</c:v>
                </c:pt>
                <c:pt idx="218">
                  <c:v>45307</c:v>
                </c:pt>
                <c:pt idx="219">
                  <c:v>45308</c:v>
                </c:pt>
                <c:pt idx="220">
                  <c:v>45309</c:v>
                </c:pt>
                <c:pt idx="221">
                  <c:v>45310</c:v>
                </c:pt>
                <c:pt idx="222">
                  <c:v>45313</c:v>
                </c:pt>
                <c:pt idx="223">
                  <c:v>45314</c:v>
                </c:pt>
                <c:pt idx="224">
                  <c:v>45315</c:v>
                </c:pt>
                <c:pt idx="225">
                  <c:v>45316</c:v>
                </c:pt>
                <c:pt idx="226">
                  <c:v>45317</c:v>
                </c:pt>
                <c:pt idx="227">
                  <c:v>45320</c:v>
                </c:pt>
                <c:pt idx="228">
                  <c:v>45321</c:v>
                </c:pt>
                <c:pt idx="229">
                  <c:v>45322</c:v>
                </c:pt>
                <c:pt idx="230">
                  <c:v>45323</c:v>
                </c:pt>
                <c:pt idx="231">
                  <c:v>45324</c:v>
                </c:pt>
                <c:pt idx="232">
                  <c:v>45327</c:v>
                </c:pt>
                <c:pt idx="233">
                  <c:v>45328</c:v>
                </c:pt>
                <c:pt idx="234">
                  <c:v>45329</c:v>
                </c:pt>
                <c:pt idx="235">
                  <c:v>45337</c:v>
                </c:pt>
                <c:pt idx="236">
                  <c:v>45338</c:v>
                </c:pt>
                <c:pt idx="237">
                  <c:v>45341</c:v>
                </c:pt>
                <c:pt idx="238">
                  <c:v>45342</c:v>
                </c:pt>
                <c:pt idx="239">
                  <c:v>45343</c:v>
                </c:pt>
                <c:pt idx="240">
                  <c:v>45344</c:v>
                </c:pt>
                <c:pt idx="241">
                  <c:v>45345</c:v>
                </c:pt>
                <c:pt idx="242">
                  <c:v>45348</c:v>
                </c:pt>
                <c:pt idx="243">
                  <c:v>45349</c:v>
                </c:pt>
                <c:pt idx="244">
                  <c:v>45350</c:v>
                </c:pt>
                <c:pt idx="245">
                  <c:v>45351</c:v>
                </c:pt>
                <c:pt idx="246">
                  <c:v>45352</c:v>
                </c:pt>
                <c:pt idx="247">
                  <c:v>45355</c:v>
                </c:pt>
                <c:pt idx="248">
                  <c:v>45356</c:v>
                </c:pt>
                <c:pt idx="249">
                  <c:v>45357</c:v>
                </c:pt>
                <c:pt idx="250">
                  <c:v>45358</c:v>
                </c:pt>
                <c:pt idx="251">
                  <c:v>45359</c:v>
                </c:pt>
                <c:pt idx="252">
                  <c:v>45362</c:v>
                </c:pt>
                <c:pt idx="253">
                  <c:v>45363</c:v>
                </c:pt>
                <c:pt idx="254">
                  <c:v>45364</c:v>
                </c:pt>
                <c:pt idx="255">
                  <c:v>45365</c:v>
                </c:pt>
                <c:pt idx="256">
                  <c:v>45366</c:v>
                </c:pt>
                <c:pt idx="257">
                  <c:v>45369</c:v>
                </c:pt>
                <c:pt idx="258">
                  <c:v>45370</c:v>
                </c:pt>
                <c:pt idx="259">
                  <c:v>45371</c:v>
                </c:pt>
                <c:pt idx="260">
                  <c:v>45372</c:v>
                </c:pt>
                <c:pt idx="261">
                  <c:v>45373</c:v>
                </c:pt>
                <c:pt idx="262">
                  <c:v>45376</c:v>
                </c:pt>
                <c:pt idx="263">
                  <c:v>45377</c:v>
                </c:pt>
                <c:pt idx="264">
                  <c:v>45378</c:v>
                </c:pt>
                <c:pt idx="265">
                  <c:v>45379</c:v>
                </c:pt>
                <c:pt idx="266">
                  <c:v>45380</c:v>
                </c:pt>
                <c:pt idx="267">
                  <c:v>45383</c:v>
                </c:pt>
                <c:pt idx="268">
                  <c:v>45384</c:v>
                </c:pt>
                <c:pt idx="269">
                  <c:v>45385</c:v>
                </c:pt>
                <c:pt idx="270">
                  <c:v>45386</c:v>
                </c:pt>
                <c:pt idx="271">
                  <c:v>45387</c:v>
                </c:pt>
                <c:pt idx="272">
                  <c:v>45390</c:v>
                </c:pt>
                <c:pt idx="273">
                  <c:v>45391</c:v>
                </c:pt>
                <c:pt idx="274">
                  <c:v>45392</c:v>
                </c:pt>
                <c:pt idx="275">
                  <c:v>45393</c:v>
                </c:pt>
                <c:pt idx="276">
                  <c:v>45394</c:v>
                </c:pt>
                <c:pt idx="277">
                  <c:v>45397</c:v>
                </c:pt>
                <c:pt idx="278">
                  <c:v>45398</c:v>
                </c:pt>
                <c:pt idx="279">
                  <c:v>45399</c:v>
                </c:pt>
                <c:pt idx="280">
                  <c:v>45401</c:v>
                </c:pt>
                <c:pt idx="281">
                  <c:v>45404</c:v>
                </c:pt>
                <c:pt idx="282">
                  <c:v>45405</c:v>
                </c:pt>
                <c:pt idx="283">
                  <c:v>45406</c:v>
                </c:pt>
                <c:pt idx="284">
                  <c:v>45407</c:v>
                </c:pt>
                <c:pt idx="285">
                  <c:v>45408</c:v>
                </c:pt>
                <c:pt idx="286">
                  <c:v>45414</c:v>
                </c:pt>
                <c:pt idx="287">
                  <c:v>45415</c:v>
                </c:pt>
                <c:pt idx="288">
                  <c:v>45418</c:v>
                </c:pt>
                <c:pt idx="289">
                  <c:v>45419</c:v>
                </c:pt>
                <c:pt idx="290">
                  <c:v>45420</c:v>
                </c:pt>
                <c:pt idx="291">
                  <c:v>45421</c:v>
                </c:pt>
                <c:pt idx="292">
                  <c:v>45422</c:v>
                </c:pt>
                <c:pt idx="293">
                  <c:v>45425</c:v>
                </c:pt>
                <c:pt idx="294">
                  <c:v>45426</c:v>
                </c:pt>
                <c:pt idx="295">
                  <c:v>45427</c:v>
                </c:pt>
                <c:pt idx="296">
                  <c:v>45428</c:v>
                </c:pt>
                <c:pt idx="297">
                  <c:v>45429</c:v>
                </c:pt>
                <c:pt idx="298">
                  <c:v>45432</c:v>
                </c:pt>
                <c:pt idx="299">
                  <c:v>45433</c:v>
                </c:pt>
                <c:pt idx="300">
                  <c:v>45434</c:v>
                </c:pt>
                <c:pt idx="301">
                  <c:v>45435</c:v>
                </c:pt>
                <c:pt idx="302">
                  <c:v>45436</c:v>
                </c:pt>
                <c:pt idx="303">
                  <c:v>45439</c:v>
                </c:pt>
                <c:pt idx="304">
                  <c:v>45440</c:v>
                </c:pt>
                <c:pt idx="305">
                  <c:v>45441</c:v>
                </c:pt>
                <c:pt idx="306">
                  <c:v>45442</c:v>
                </c:pt>
                <c:pt idx="307">
                  <c:v>45443</c:v>
                </c:pt>
                <c:pt idx="308">
                  <c:v>45446</c:v>
                </c:pt>
                <c:pt idx="309">
                  <c:v>45447</c:v>
                </c:pt>
                <c:pt idx="310">
                  <c:v>45448</c:v>
                </c:pt>
                <c:pt idx="311">
                  <c:v>45449</c:v>
                </c:pt>
                <c:pt idx="312">
                  <c:v>45450</c:v>
                </c:pt>
                <c:pt idx="313">
                  <c:v>45453</c:v>
                </c:pt>
                <c:pt idx="314">
                  <c:v>45454</c:v>
                </c:pt>
                <c:pt idx="315">
                  <c:v>45455</c:v>
                </c:pt>
                <c:pt idx="316">
                  <c:v>45456</c:v>
                </c:pt>
                <c:pt idx="317">
                  <c:v>45457</c:v>
                </c:pt>
                <c:pt idx="318">
                  <c:v>45460</c:v>
                </c:pt>
                <c:pt idx="319">
                  <c:v>45461</c:v>
                </c:pt>
                <c:pt idx="320">
                  <c:v>45462</c:v>
                </c:pt>
                <c:pt idx="321">
                  <c:v>45463</c:v>
                </c:pt>
                <c:pt idx="322">
                  <c:v>45464</c:v>
                </c:pt>
                <c:pt idx="323">
                  <c:v>45467</c:v>
                </c:pt>
                <c:pt idx="324">
                  <c:v>45468</c:v>
                </c:pt>
                <c:pt idx="325">
                  <c:v>45469</c:v>
                </c:pt>
                <c:pt idx="326">
                  <c:v>45470</c:v>
                </c:pt>
                <c:pt idx="327">
                  <c:v>45471</c:v>
                </c:pt>
                <c:pt idx="328">
                  <c:v>45474</c:v>
                </c:pt>
                <c:pt idx="329">
                  <c:v>45475</c:v>
                </c:pt>
                <c:pt idx="330">
                  <c:v>45476</c:v>
                </c:pt>
                <c:pt idx="331">
                  <c:v>45477</c:v>
                </c:pt>
                <c:pt idx="332">
                  <c:v>45478</c:v>
                </c:pt>
                <c:pt idx="333">
                  <c:v>45481</c:v>
                </c:pt>
                <c:pt idx="334">
                  <c:v>45482</c:v>
                </c:pt>
                <c:pt idx="335">
                  <c:v>45483</c:v>
                </c:pt>
                <c:pt idx="336">
                  <c:v>45484</c:v>
                </c:pt>
                <c:pt idx="337">
                  <c:v>45485</c:v>
                </c:pt>
                <c:pt idx="338">
                  <c:v>45488</c:v>
                </c:pt>
                <c:pt idx="339">
                  <c:v>45489</c:v>
                </c:pt>
                <c:pt idx="340">
                  <c:v>45490</c:v>
                </c:pt>
                <c:pt idx="341">
                  <c:v>45491</c:v>
                </c:pt>
                <c:pt idx="342">
                  <c:v>45492</c:v>
                </c:pt>
                <c:pt idx="343">
                  <c:v>45495</c:v>
                </c:pt>
                <c:pt idx="344">
                  <c:v>45496</c:v>
                </c:pt>
                <c:pt idx="345">
                  <c:v>45497</c:v>
                </c:pt>
                <c:pt idx="346">
                  <c:v>45498</c:v>
                </c:pt>
                <c:pt idx="347">
                  <c:v>45499</c:v>
                </c:pt>
                <c:pt idx="348">
                  <c:v>45502</c:v>
                </c:pt>
                <c:pt idx="349">
                  <c:v>45503</c:v>
                </c:pt>
                <c:pt idx="350">
                  <c:v>45504</c:v>
                </c:pt>
                <c:pt idx="351">
                  <c:v>45505</c:v>
                </c:pt>
                <c:pt idx="352">
                  <c:v>45506</c:v>
                </c:pt>
                <c:pt idx="353">
                  <c:v>45509</c:v>
                </c:pt>
                <c:pt idx="354">
                  <c:v>45510</c:v>
                </c:pt>
                <c:pt idx="355">
                  <c:v>45511</c:v>
                </c:pt>
                <c:pt idx="356">
                  <c:v>45512</c:v>
                </c:pt>
                <c:pt idx="357">
                  <c:v>45513</c:v>
                </c:pt>
                <c:pt idx="358">
                  <c:v>45516</c:v>
                </c:pt>
                <c:pt idx="359">
                  <c:v>45517</c:v>
                </c:pt>
                <c:pt idx="360">
                  <c:v>45518</c:v>
                </c:pt>
                <c:pt idx="361">
                  <c:v>45519</c:v>
                </c:pt>
                <c:pt idx="362">
                  <c:v>45520</c:v>
                </c:pt>
                <c:pt idx="363">
                  <c:v>45523</c:v>
                </c:pt>
                <c:pt idx="364">
                  <c:v>45524</c:v>
                </c:pt>
                <c:pt idx="365">
                  <c:v>45525</c:v>
                </c:pt>
                <c:pt idx="366">
                  <c:v>45526</c:v>
                </c:pt>
                <c:pt idx="367">
                  <c:v>45527</c:v>
                </c:pt>
                <c:pt idx="368">
                  <c:v>45530</c:v>
                </c:pt>
                <c:pt idx="369">
                  <c:v>45531</c:v>
                </c:pt>
                <c:pt idx="370">
                  <c:v>45532</c:v>
                </c:pt>
                <c:pt idx="371">
                  <c:v>45533</c:v>
                </c:pt>
                <c:pt idx="372">
                  <c:v>45534</c:v>
                </c:pt>
                <c:pt idx="373">
                  <c:v>45539</c:v>
                </c:pt>
                <c:pt idx="374">
                  <c:v>45540</c:v>
                </c:pt>
                <c:pt idx="375">
                  <c:v>45541</c:v>
                </c:pt>
                <c:pt idx="376">
                  <c:v>45544</c:v>
                </c:pt>
                <c:pt idx="377">
                  <c:v>45545</c:v>
                </c:pt>
                <c:pt idx="378">
                  <c:v>45546</c:v>
                </c:pt>
                <c:pt idx="379">
                  <c:v>45547</c:v>
                </c:pt>
                <c:pt idx="380">
                  <c:v>45548</c:v>
                </c:pt>
                <c:pt idx="381">
                  <c:v>45551</c:v>
                </c:pt>
                <c:pt idx="382">
                  <c:v>45552</c:v>
                </c:pt>
                <c:pt idx="383">
                  <c:v>45553</c:v>
                </c:pt>
                <c:pt idx="384">
                  <c:v>45554</c:v>
                </c:pt>
                <c:pt idx="385">
                  <c:v>45555</c:v>
                </c:pt>
                <c:pt idx="386">
                  <c:v>45558</c:v>
                </c:pt>
                <c:pt idx="387">
                  <c:v>45559</c:v>
                </c:pt>
                <c:pt idx="388">
                  <c:v>45560</c:v>
                </c:pt>
                <c:pt idx="389">
                  <c:v>45561</c:v>
                </c:pt>
                <c:pt idx="390">
                  <c:v>45562</c:v>
                </c:pt>
                <c:pt idx="391">
                  <c:v>45565</c:v>
                </c:pt>
                <c:pt idx="392">
                  <c:v>45566</c:v>
                </c:pt>
                <c:pt idx="393">
                  <c:v>45567</c:v>
                </c:pt>
                <c:pt idx="394">
                  <c:v>45568</c:v>
                </c:pt>
                <c:pt idx="395">
                  <c:v>45569</c:v>
                </c:pt>
                <c:pt idx="396">
                  <c:v>45572</c:v>
                </c:pt>
                <c:pt idx="397">
                  <c:v>45573</c:v>
                </c:pt>
                <c:pt idx="398">
                  <c:v>45574</c:v>
                </c:pt>
                <c:pt idx="399">
                  <c:v>45575</c:v>
                </c:pt>
                <c:pt idx="400">
                  <c:v>45576</c:v>
                </c:pt>
                <c:pt idx="401">
                  <c:v>45579</c:v>
                </c:pt>
                <c:pt idx="402">
                  <c:v>45580</c:v>
                </c:pt>
                <c:pt idx="403">
                  <c:v>45581</c:v>
                </c:pt>
                <c:pt idx="404">
                  <c:v>45582</c:v>
                </c:pt>
                <c:pt idx="405">
                  <c:v>45583</c:v>
                </c:pt>
                <c:pt idx="406">
                  <c:v>45586</c:v>
                </c:pt>
                <c:pt idx="407">
                  <c:v>45587</c:v>
                </c:pt>
                <c:pt idx="408">
                  <c:v>45588</c:v>
                </c:pt>
                <c:pt idx="409">
                  <c:v>45589</c:v>
                </c:pt>
                <c:pt idx="410">
                  <c:v>45590</c:v>
                </c:pt>
                <c:pt idx="411">
                  <c:v>45593</c:v>
                </c:pt>
                <c:pt idx="412">
                  <c:v>45594</c:v>
                </c:pt>
                <c:pt idx="413">
                  <c:v>45595</c:v>
                </c:pt>
                <c:pt idx="414">
                  <c:v>45596</c:v>
                </c:pt>
                <c:pt idx="415">
                  <c:v>45597</c:v>
                </c:pt>
                <c:pt idx="416">
                  <c:v>45600</c:v>
                </c:pt>
                <c:pt idx="417">
                  <c:v>45601</c:v>
                </c:pt>
                <c:pt idx="418">
                  <c:v>45602</c:v>
                </c:pt>
                <c:pt idx="419">
                  <c:v>45603</c:v>
                </c:pt>
                <c:pt idx="420">
                  <c:v>45604</c:v>
                </c:pt>
                <c:pt idx="421">
                  <c:v>45607</c:v>
                </c:pt>
                <c:pt idx="422">
                  <c:v>45608</c:v>
                </c:pt>
                <c:pt idx="423">
                  <c:v>45609</c:v>
                </c:pt>
                <c:pt idx="424">
                  <c:v>45610</c:v>
                </c:pt>
                <c:pt idx="425">
                  <c:v>45611</c:v>
                </c:pt>
                <c:pt idx="426">
                  <c:v>45614</c:v>
                </c:pt>
                <c:pt idx="427">
                  <c:v>45615</c:v>
                </c:pt>
                <c:pt idx="428">
                  <c:v>45616</c:v>
                </c:pt>
                <c:pt idx="429">
                  <c:v>45617</c:v>
                </c:pt>
                <c:pt idx="430">
                  <c:v>45618</c:v>
                </c:pt>
                <c:pt idx="431">
                  <c:v>45621</c:v>
                </c:pt>
                <c:pt idx="432">
                  <c:v>45622</c:v>
                </c:pt>
                <c:pt idx="433">
                  <c:v>45623</c:v>
                </c:pt>
                <c:pt idx="434">
                  <c:v>45624</c:v>
                </c:pt>
                <c:pt idx="435">
                  <c:v>45625</c:v>
                </c:pt>
                <c:pt idx="436">
                  <c:v>45628</c:v>
                </c:pt>
                <c:pt idx="437">
                  <c:v>45629</c:v>
                </c:pt>
                <c:pt idx="438">
                  <c:v>45630</c:v>
                </c:pt>
                <c:pt idx="439">
                  <c:v>45631</c:v>
                </c:pt>
                <c:pt idx="440">
                  <c:v>45632</c:v>
                </c:pt>
                <c:pt idx="441">
                  <c:v>45635</c:v>
                </c:pt>
                <c:pt idx="442">
                  <c:v>45636</c:v>
                </c:pt>
                <c:pt idx="443">
                  <c:v>45637</c:v>
                </c:pt>
                <c:pt idx="444">
                  <c:v>45638</c:v>
                </c:pt>
                <c:pt idx="445">
                  <c:v>45639</c:v>
                </c:pt>
                <c:pt idx="446">
                  <c:v>45642</c:v>
                </c:pt>
                <c:pt idx="447">
                  <c:v>45643</c:v>
                </c:pt>
                <c:pt idx="448">
                  <c:v>45644</c:v>
                </c:pt>
                <c:pt idx="449">
                  <c:v>45645</c:v>
                </c:pt>
                <c:pt idx="450">
                  <c:v>45646</c:v>
                </c:pt>
                <c:pt idx="451">
                  <c:v>45649</c:v>
                </c:pt>
                <c:pt idx="452">
                  <c:v>45650</c:v>
                </c:pt>
                <c:pt idx="453">
                  <c:v>45651</c:v>
                </c:pt>
                <c:pt idx="454">
                  <c:v>45652</c:v>
                </c:pt>
                <c:pt idx="455">
                  <c:v>45653</c:v>
                </c:pt>
                <c:pt idx="456">
                  <c:v>45656</c:v>
                </c:pt>
                <c:pt idx="457">
                  <c:v>45657</c:v>
                </c:pt>
                <c:pt idx="458">
                  <c:v>45659</c:v>
                </c:pt>
                <c:pt idx="459">
                  <c:v>45660</c:v>
                </c:pt>
                <c:pt idx="460">
                  <c:v>45663</c:v>
                </c:pt>
                <c:pt idx="461">
                  <c:v>45664</c:v>
                </c:pt>
                <c:pt idx="462">
                  <c:v>45665</c:v>
                </c:pt>
                <c:pt idx="463">
                  <c:v>45666</c:v>
                </c:pt>
                <c:pt idx="464">
                  <c:v>45667</c:v>
                </c:pt>
                <c:pt idx="465">
                  <c:v>45670</c:v>
                </c:pt>
                <c:pt idx="466">
                  <c:v>45671</c:v>
                </c:pt>
                <c:pt idx="467">
                  <c:v>45672</c:v>
                </c:pt>
                <c:pt idx="468">
                  <c:v>45673</c:v>
                </c:pt>
                <c:pt idx="469">
                  <c:v>45674</c:v>
                </c:pt>
                <c:pt idx="470">
                  <c:v>45677</c:v>
                </c:pt>
                <c:pt idx="471">
                  <c:v>45678</c:v>
                </c:pt>
                <c:pt idx="472">
                  <c:v>45679</c:v>
                </c:pt>
                <c:pt idx="473">
                  <c:v>45680</c:v>
                </c:pt>
                <c:pt idx="474">
                  <c:v>45681</c:v>
                </c:pt>
                <c:pt idx="475">
                  <c:v>45691</c:v>
                </c:pt>
                <c:pt idx="476">
                  <c:v>45692</c:v>
                </c:pt>
                <c:pt idx="477">
                  <c:v>45693</c:v>
                </c:pt>
                <c:pt idx="478">
                  <c:v>45694</c:v>
                </c:pt>
                <c:pt idx="479">
                  <c:v>45695</c:v>
                </c:pt>
                <c:pt idx="480">
                  <c:v>45698</c:v>
                </c:pt>
                <c:pt idx="481">
                  <c:v>45699</c:v>
                </c:pt>
                <c:pt idx="482">
                  <c:v>45700</c:v>
                </c:pt>
                <c:pt idx="483">
                  <c:v>45701</c:v>
                </c:pt>
                <c:pt idx="484">
                  <c:v>45702</c:v>
                </c:pt>
                <c:pt idx="485">
                  <c:v>45705</c:v>
                </c:pt>
                <c:pt idx="486">
                  <c:v>45706</c:v>
                </c:pt>
                <c:pt idx="487">
                  <c:v>45707</c:v>
                </c:pt>
                <c:pt idx="488">
                  <c:v>45708</c:v>
                </c:pt>
                <c:pt idx="489">
                  <c:v>45709</c:v>
                </c:pt>
                <c:pt idx="490">
                  <c:v>45712</c:v>
                </c:pt>
                <c:pt idx="491">
                  <c:v>45713</c:v>
                </c:pt>
                <c:pt idx="492">
                  <c:v>45714</c:v>
                </c:pt>
                <c:pt idx="493">
                  <c:v>45715</c:v>
                </c:pt>
                <c:pt idx="494">
                  <c:v>45716</c:v>
                </c:pt>
                <c:pt idx="495">
                  <c:v>45719</c:v>
                </c:pt>
                <c:pt idx="496">
                  <c:v>45720</c:v>
                </c:pt>
                <c:pt idx="497">
                  <c:v>45721</c:v>
                </c:pt>
                <c:pt idx="498">
                  <c:v>45722</c:v>
                </c:pt>
                <c:pt idx="499">
                  <c:v>45723</c:v>
                </c:pt>
                <c:pt idx="500">
                  <c:v>45726</c:v>
                </c:pt>
                <c:pt idx="501">
                  <c:v>45727</c:v>
                </c:pt>
                <c:pt idx="502">
                  <c:v>45728</c:v>
                </c:pt>
                <c:pt idx="503">
                  <c:v>45729</c:v>
                </c:pt>
                <c:pt idx="504">
                  <c:v>45730</c:v>
                </c:pt>
                <c:pt idx="505">
                  <c:v>45733</c:v>
                </c:pt>
                <c:pt idx="506">
                  <c:v>45734</c:v>
                </c:pt>
                <c:pt idx="507">
                  <c:v>45735</c:v>
                </c:pt>
                <c:pt idx="508">
                  <c:v>45736</c:v>
                </c:pt>
                <c:pt idx="509">
                  <c:v>45737</c:v>
                </c:pt>
                <c:pt idx="510">
                  <c:v>45740</c:v>
                </c:pt>
                <c:pt idx="511">
                  <c:v>45741</c:v>
                </c:pt>
                <c:pt idx="512">
                  <c:v>45742</c:v>
                </c:pt>
                <c:pt idx="513">
                  <c:v>45743</c:v>
                </c:pt>
                <c:pt idx="514">
                  <c:v>45744</c:v>
                </c:pt>
                <c:pt idx="515">
                  <c:v>45747</c:v>
                </c:pt>
                <c:pt idx="516">
                  <c:v>45748</c:v>
                </c:pt>
                <c:pt idx="517">
                  <c:v>45749</c:v>
                </c:pt>
                <c:pt idx="518">
                  <c:v>45750</c:v>
                </c:pt>
                <c:pt idx="519">
                  <c:v>45751</c:v>
                </c:pt>
                <c:pt idx="520">
                  <c:v>45755</c:v>
                </c:pt>
                <c:pt idx="521">
                  <c:v>45756</c:v>
                </c:pt>
                <c:pt idx="522">
                  <c:v>45757</c:v>
                </c:pt>
                <c:pt idx="523">
                  <c:v>45758</c:v>
                </c:pt>
                <c:pt idx="524">
                  <c:v>45761</c:v>
                </c:pt>
                <c:pt idx="525">
                  <c:v>45762</c:v>
                </c:pt>
                <c:pt idx="526">
                  <c:v>45763</c:v>
                </c:pt>
                <c:pt idx="527">
                  <c:v>45764</c:v>
                </c:pt>
                <c:pt idx="528">
                  <c:v>45765</c:v>
                </c:pt>
                <c:pt idx="529">
                  <c:v>45768</c:v>
                </c:pt>
                <c:pt idx="530">
                  <c:v>45769</c:v>
                </c:pt>
                <c:pt idx="531">
                  <c:v>45770</c:v>
                </c:pt>
                <c:pt idx="532">
                  <c:v>45771</c:v>
                </c:pt>
                <c:pt idx="533">
                  <c:v>45772</c:v>
                </c:pt>
                <c:pt idx="534">
                  <c:v>45775</c:v>
                </c:pt>
                <c:pt idx="535">
                  <c:v>45776</c:v>
                </c:pt>
                <c:pt idx="536">
                  <c:v>45782</c:v>
                </c:pt>
                <c:pt idx="537">
                  <c:v>45783</c:v>
                </c:pt>
                <c:pt idx="538">
                  <c:v>45784</c:v>
                </c:pt>
                <c:pt idx="539">
                  <c:v>45785</c:v>
                </c:pt>
                <c:pt idx="540">
                  <c:v>45786</c:v>
                </c:pt>
                <c:pt idx="541">
                  <c:v>45789</c:v>
                </c:pt>
                <c:pt idx="542">
                  <c:v>45790</c:v>
                </c:pt>
                <c:pt idx="543">
                  <c:v>45791</c:v>
                </c:pt>
                <c:pt idx="544">
                  <c:v>45792</c:v>
                </c:pt>
                <c:pt idx="545">
                  <c:v>45793</c:v>
                </c:pt>
                <c:pt idx="546">
                  <c:v>45796</c:v>
                </c:pt>
                <c:pt idx="547">
                  <c:v>45797</c:v>
                </c:pt>
                <c:pt idx="548">
                  <c:v>45798</c:v>
                </c:pt>
                <c:pt idx="549">
                  <c:v>45799</c:v>
                </c:pt>
                <c:pt idx="550">
                  <c:v>45800</c:v>
                </c:pt>
                <c:pt idx="551">
                  <c:v>45803</c:v>
                </c:pt>
                <c:pt idx="552">
                  <c:v>45804</c:v>
                </c:pt>
                <c:pt idx="553">
                  <c:v>45805</c:v>
                </c:pt>
                <c:pt idx="554">
                  <c:v>45806</c:v>
                </c:pt>
                <c:pt idx="555">
                  <c:v>45807</c:v>
                </c:pt>
                <c:pt idx="556">
                  <c:v>45810</c:v>
                </c:pt>
                <c:pt idx="557">
                  <c:v>45811</c:v>
                </c:pt>
                <c:pt idx="558">
                  <c:v>45812</c:v>
                </c:pt>
                <c:pt idx="559">
                  <c:v>45813</c:v>
                </c:pt>
                <c:pt idx="560">
                  <c:v>45814</c:v>
                </c:pt>
                <c:pt idx="561">
                  <c:v>45817</c:v>
                </c:pt>
                <c:pt idx="562">
                  <c:v>45818</c:v>
                </c:pt>
                <c:pt idx="563">
                  <c:v>45819</c:v>
                </c:pt>
                <c:pt idx="564">
                  <c:v>45820</c:v>
                </c:pt>
                <c:pt idx="565">
                  <c:v>45821</c:v>
                </c:pt>
                <c:pt idx="566">
                  <c:v>45824</c:v>
                </c:pt>
                <c:pt idx="567">
                  <c:v>45825</c:v>
                </c:pt>
                <c:pt idx="568">
                  <c:v>45826</c:v>
                </c:pt>
                <c:pt idx="569">
                  <c:v>45827</c:v>
                </c:pt>
                <c:pt idx="570">
                  <c:v>45828</c:v>
                </c:pt>
                <c:pt idx="571">
                  <c:v>45831</c:v>
                </c:pt>
                <c:pt idx="572">
                  <c:v>45832</c:v>
                </c:pt>
                <c:pt idx="573">
                  <c:v>45833</c:v>
                </c:pt>
                <c:pt idx="574">
                  <c:v>45834</c:v>
                </c:pt>
                <c:pt idx="575">
                  <c:v>45835</c:v>
                </c:pt>
                <c:pt idx="576">
                  <c:v>45838</c:v>
                </c:pt>
                <c:pt idx="577">
                  <c:v>45839</c:v>
                </c:pt>
                <c:pt idx="578">
                  <c:v>45840</c:v>
                </c:pt>
                <c:pt idx="579">
                  <c:v>45841</c:v>
                </c:pt>
                <c:pt idx="580">
                  <c:v>45842</c:v>
                </c:pt>
                <c:pt idx="581">
                  <c:v>45845</c:v>
                </c:pt>
                <c:pt idx="582">
                  <c:v>45846</c:v>
                </c:pt>
                <c:pt idx="583">
                  <c:v>45847</c:v>
                </c:pt>
                <c:pt idx="584">
                  <c:v>45848</c:v>
                </c:pt>
                <c:pt idx="585">
                  <c:v>45849</c:v>
                </c:pt>
                <c:pt idx="586">
                  <c:v>45852</c:v>
                </c:pt>
                <c:pt idx="587">
                  <c:v>45853</c:v>
                </c:pt>
                <c:pt idx="588">
                  <c:v>45854</c:v>
                </c:pt>
                <c:pt idx="589">
                  <c:v>45855</c:v>
                </c:pt>
                <c:pt idx="590">
                  <c:v>45856</c:v>
                </c:pt>
                <c:pt idx="591">
                  <c:v>45859</c:v>
                </c:pt>
                <c:pt idx="592">
                  <c:v>45860</c:v>
                </c:pt>
                <c:pt idx="593">
                  <c:v>45861</c:v>
                </c:pt>
                <c:pt idx="594">
                  <c:v>45862</c:v>
                </c:pt>
                <c:pt idx="595">
                  <c:v>45863</c:v>
                </c:pt>
                <c:pt idx="596">
                  <c:v>45866</c:v>
                </c:pt>
                <c:pt idx="597">
                  <c:v>45867</c:v>
                </c:pt>
                <c:pt idx="598">
                  <c:v>45868</c:v>
                </c:pt>
                <c:pt idx="599">
                  <c:v>45869</c:v>
                </c:pt>
                <c:pt idx="600">
                  <c:v>45870</c:v>
                </c:pt>
                <c:pt idx="601">
                  <c:v>45873</c:v>
                </c:pt>
                <c:pt idx="602">
                  <c:v>45874</c:v>
                </c:pt>
                <c:pt idx="603">
                  <c:v>45875</c:v>
                </c:pt>
                <c:pt idx="604">
                  <c:v>45876</c:v>
                </c:pt>
                <c:pt idx="605">
                  <c:v>45877</c:v>
                </c:pt>
                <c:pt idx="606">
                  <c:v>45880</c:v>
                </c:pt>
                <c:pt idx="607">
                  <c:v>45881</c:v>
                </c:pt>
                <c:pt idx="608">
                  <c:v>45882</c:v>
                </c:pt>
                <c:pt idx="609">
                  <c:v>45883</c:v>
                </c:pt>
                <c:pt idx="610">
                  <c:v>45884</c:v>
                </c:pt>
                <c:pt idx="611">
                  <c:v>45887</c:v>
                </c:pt>
                <c:pt idx="612">
                  <c:v>45888</c:v>
                </c:pt>
                <c:pt idx="613">
                  <c:v>45889</c:v>
                </c:pt>
                <c:pt idx="614">
                  <c:v>45890</c:v>
                </c:pt>
                <c:pt idx="615">
                  <c:v>45891</c:v>
                </c:pt>
                <c:pt idx="616">
                  <c:v>45894</c:v>
                </c:pt>
                <c:pt idx="617">
                  <c:v>45895</c:v>
                </c:pt>
                <c:pt idx="618">
                  <c:v>45896</c:v>
                </c:pt>
                <c:pt idx="619">
                  <c:v>45897</c:v>
                </c:pt>
                <c:pt idx="620">
                  <c:v>45898</c:v>
                </c:pt>
                <c:pt idx="621">
                  <c:v>45903</c:v>
                </c:pt>
                <c:pt idx="622">
                  <c:v>45904</c:v>
                </c:pt>
                <c:pt idx="623">
                  <c:v>45905</c:v>
                </c:pt>
                <c:pt idx="624">
                  <c:v>45908</c:v>
                </c:pt>
                <c:pt idx="625">
                  <c:v>45909</c:v>
                </c:pt>
                <c:pt idx="626">
                  <c:v>45910</c:v>
                </c:pt>
                <c:pt idx="627">
                  <c:v>45911</c:v>
                </c:pt>
                <c:pt idx="628">
                  <c:v>45912</c:v>
                </c:pt>
                <c:pt idx="629">
                  <c:v>45915</c:v>
                </c:pt>
                <c:pt idx="630">
                  <c:v>45916</c:v>
                </c:pt>
                <c:pt idx="631">
                  <c:v>45917</c:v>
                </c:pt>
                <c:pt idx="632">
                  <c:v>45918</c:v>
                </c:pt>
                <c:pt idx="633">
                  <c:v>45919</c:v>
                </c:pt>
                <c:pt idx="634">
                  <c:v>45922</c:v>
                </c:pt>
                <c:pt idx="635">
                  <c:v>45923</c:v>
                </c:pt>
                <c:pt idx="636">
                  <c:v>45924</c:v>
                </c:pt>
                <c:pt idx="637">
                  <c:v>45925</c:v>
                </c:pt>
                <c:pt idx="638">
                  <c:v>45926</c:v>
                </c:pt>
                <c:pt idx="639">
                  <c:v>45929</c:v>
                </c:pt>
                <c:pt idx="640">
                  <c:v>45930</c:v>
                </c:pt>
                <c:pt idx="641">
                  <c:v>45931</c:v>
                </c:pt>
                <c:pt idx="642">
                  <c:v>45932</c:v>
                </c:pt>
                <c:pt idx="643">
                  <c:v>45933</c:v>
                </c:pt>
                <c:pt idx="644">
                  <c:v>45936</c:v>
                </c:pt>
                <c:pt idx="645">
                  <c:v>45937</c:v>
                </c:pt>
                <c:pt idx="646">
                  <c:v>45938</c:v>
                </c:pt>
                <c:pt idx="647">
                  <c:v>45939</c:v>
                </c:pt>
                <c:pt idx="648">
                  <c:v>45940</c:v>
                </c:pt>
                <c:pt idx="649">
                  <c:v>45943</c:v>
                </c:pt>
                <c:pt idx="650">
                  <c:v>45944</c:v>
                </c:pt>
                <c:pt idx="651">
                  <c:v>45945</c:v>
                </c:pt>
                <c:pt idx="652">
                  <c:v>45946</c:v>
                </c:pt>
                <c:pt idx="653">
                  <c:v>45947</c:v>
                </c:pt>
                <c:pt idx="654">
                  <c:v>45950</c:v>
                </c:pt>
                <c:pt idx="655">
                  <c:v>45951</c:v>
                </c:pt>
                <c:pt idx="656">
                  <c:v>45952</c:v>
                </c:pt>
                <c:pt idx="657">
                  <c:v>45953</c:v>
                </c:pt>
                <c:pt idx="658">
                  <c:v>45954</c:v>
                </c:pt>
                <c:pt idx="659">
                  <c:v>45957</c:v>
                </c:pt>
                <c:pt idx="660">
                  <c:v>45958</c:v>
                </c:pt>
                <c:pt idx="661">
                  <c:v>45959</c:v>
                </c:pt>
                <c:pt idx="662">
                  <c:v>45960</c:v>
                </c:pt>
                <c:pt idx="663">
                  <c:v>45961</c:v>
                </c:pt>
                <c:pt idx="664">
                  <c:v>45964</c:v>
                </c:pt>
                <c:pt idx="665">
                  <c:v>45965</c:v>
                </c:pt>
                <c:pt idx="666">
                  <c:v>45966</c:v>
                </c:pt>
                <c:pt idx="667">
                  <c:v>45967</c:v>
                </c:pt>
                <c:pt idx="668">
                  <c:v>45968</c:v>
                </c:pt>
                <c:pt idx="669">
                  <c:v>45971</c:v>
                </c:pt>
                <c:pt idx="670">
                  <c:v>45972</c:v>
                </c:pt>
                <c:pt idx="671">
                  <c:v>45973</c:v>
                </c:pt>
                <c:pt idx="672">
                  <c:v>45974</c:v>
                </c:pt>
                <c:pt idx="673">
                  <c:v>45975</c:v>
                </c:pt>
                <c:pt idx="674">
                  <c:v>45978</c:v>
                </c:pt>
                <c:pt idx="675">
                  <c:v>45979</c:v>
                </c:pt>
                <c:pt idx="676">
                  <c:v>45980</c:v>
                </c:pt>
                <c:pt idx="677">
                  <c:v>45981</c:v>
                </c:pt>
                <c:pt idx="678">
                  <c:v>45982</c:v>
                </c:pt>
                <c:pt idx="679">
                  <c:v>45985</c:v>
                </c:pt>
                <c:pt idx="680">
                  <c:v>45986</c:v>
                </c:pt>
                <c:pt idx="681">
                  <c:v>45987</c:v>
                </c:pt>
                <c:pt idx="682">
                  <c:v>45988</c:v>
                </c:pt>
                <c:pt idx="683">
                  <c:v>45989</c:v>
                </c:pt>
                <c:pt idx="684">
                  <c:v>45992</c:v>
                </c:pt>
                <c:pt idx="685">
                  <c:v>45993</c:v>
                </c:pt>
                <c:pt idx="686">
                  <c:v>45994</c:v>
                </c:pt>
                <c:pt idx="687">
                  <c:v>45995</c:v>
                </c:pt>
                <c:pt idx="688">
                  <c:v>45996</c:v>
                </c:pt>
                <c:pt idx="689">
                  <c:v>45999</c:v>
                </c:pt>
                <c:pt idx="690">
                  <c:v>46000</c:v>
                </c:pt>
                <c:pt idx="691">
                  <c:v>46001</c:v>
                </c:pt>
                <c:pt idx="692">
                  <c:v>46002</c:v>
                </c:pt>
                <c:pt idx="693">
                  <c:v>46003</c:v>
                </c:pt>
                <c:pt idx="694">
                  <c:v>46006</c:v>
                </c:pt>
                <c:pt idx="695">
                  <c:v>46007</c:v>
                </c:pt>
                <c:pt idx="696">
                  <c:v>46008</c:v>
                </c:pt>
                <c:pt idx="697">
                  <c:v>46009</c:v>
                </c:pt>
                <c:pt idx="698">
                  <c:v>46010</c:v>
                </c:pt>
                <c:pt idx="699">
                  <c:v>46013</c:v>
                </c:pt>
                <c:pt idx="700">
                  <c:v>46014</c:v>
                </c:pt>
                <c:pt idx="701">
                  <c:v>46015</c:v>
                </c:pt>
                <c:pt idx="702">
                  <c:v>46016</c:v>
                </c:pt>
                <c:pt idx="703">
                  <c:v>46017</c:v>
                </c:pt>
                <c:pt idx="704">
                  <c:v>46020</c:v>
                </c:pt>
                <c:pt idx="705">
                  <c:v>46021</c:v>
                </c:pt>
                <c:pt idx="706">
                  <c:v>46022</c:v>
                </c:pt>
                <c:pt idx="707">
                  <c:v>46027</c:v>
                </c:pt>
                <c:pt idx="708">
                  <c:v>46028</c:v>
                </c:pt>
                <c:pt idx="709">
                  <c:v>46029</c:v>
                </c:pt>
                <c:pt idx="710">
                  <c:v>46030</c:v>
                </c:pt>
                <c:pt idx="711">
                  <c:v>46031</c:v>
                </c:pt>
                <c:pt idx="712">
                  <c:v>46034</c:v>
                </c:pt>
                <c:pt idx="713">
                  <c:v>46035</c:v>
                </c:pt>
                <c:pt idx="714">
                  <c:v>46036</c:v>
                </c:pt>
                <c:pt idx="715">
                  <c:v>46037</c:v>
                </c:pt>
                <c:pt idx="716">
                  <c:v>46038</c:v>
                </c:pt>
                <c:pt idx="717">
                  <c:v>46041</c:v>
                </c:pt>
                <c:pt idx="718">
                  <c:v>46042</c:v>
                </c:pt>
                <c:pt idx="719">
                  <c:v>46043</c:v>
                </c:pt>
                <c:pt idx="720">
                  <c:v>46044</c:v>
                </c:pt>
                <c:pt idx="721">
                  <c:v>46045</c:v>
                </c:pt>
                <c:pt idx="722">
                  <c:v>46048</c:v>
                </c:pt>
                <c:pt idx="723">
                  <c:v>46049</c:v>
                </c:pt>
                <c:pt idx="724">
                  <c:v>46050</c:v>
                </c:pt>
                <c:pt idx="725">
                  <c:v>46051</c:v>
                </c:pt>
                <c:pt idx="726">
                  <c:v>46052</c:v>
                </c:pt>
                <c:pt idx="727">
                  <c:v>46055</c:v>
                </c:pt>
                <c:pt idx="728">
                  <c:v>46056</c:v>
                </c:pt>
                <c:pt idx="729">
                  <c:v>46057</c:v>
                </c:pt>
                <c:pt idx="730">
                  <c:v>46058</c:v>
                </c:pt>
                <c:pt idx="731">
                  <c:v>46059</c:v>
                </c:pt>
                <c:pt idx="732">
                  <c:v>46062</c:v>
                </c:pt>
                <c:pt idx="733">
                  <c:v>46063</c:v>
                </c:pt>
                <c:pt idx="734">
                  <c:v>46064</c:v>
                </c:pt>
                <c:pt idx="735">
                  <c:v>46065</c:v>
                </c:pt>
                <c:pt idx="736">
                  <c:v>46066</c:v>
                </c:pt>
                <c:pt idx="737">
                  <c:v>46076</c:v>
                </c:pt>
                <c:pt idx="738">
                  <c:v>46077</c:v>
                </c:pt>
                <c:pt idx="739">
                  <c:v>46078</c:v>
                </c:pt>
                <c:pt idx="740">
                  <c:v>46079</c:v>
                </c:pt>
                <c:pt idx="741">
                  <c:v>46080</c:v>
                </c:pt>
                <c:pt idx="742">
                  <c:v>46083</c:v>
                </c:pt>
                <c:pt idx="743">
                  <c:v>46084</c:v>
                </c:pt>
                <c:pt idx="744">
                  <c:v>46085</c:v>
                </c:pt>
                <c:pt idx="745">
                  <c:v>46086</c:v>
                </c:pt>
                <c:pt idx="746">
                  <c:v>46087</c:v>
                </c:pt>
                <c:pt idx="747">
                  <c:v>45968</c:v>
                </c:pt>
              </c:numCache>
            </c:numRef>
          </c:cat>
          <c:val>
            <c:numRef>
              <c:f>'FX Data'!$F$1462:$F$2860</c:f>
              <c:numCache>
                <c:formatCode>0.0</c:formatCode>
                <c:ptCount val="1399"/>
                <c:pt idx="0">
                  <c:v>24.033050394191257</c:v>
                </c:pt>
                <c:pt idx="1">
                  <c:v>24.033050394191257</c:v>
                </c:pt>
                <c:pt idx="2">
                  <c:v>24.033050394191257</c:v>
                </c:pt>
                <c:pt idx="3">
                  <c:v>24.033050394191257</c:v>
                </c:pt>
                <c:pt idx="4">
                  <c:v>24.033050394191257</c:v>
                </c:pt>
                <c:pt idx="5">
                  <c:v>24.033050394191257</c:v>
                </c:pt>
                <c:pt idx="6">
                  <c:v>24.033050394191257</c:v>
                </c:pt>
                <c:pt idx="7">
                  <c:v>24.033050394191257</c:v>
                </c:pt>
                <c:pt idx="8">
                  <c:v>24.033050394191257</c:v>
                </c:pt>
                <c:pt idx="9">
                  <c:v>24.033050394191257</c:v>
                </c:pt>
                <c:pt idx="10">
                  <c:v>24.033050394191257</c:v>
                </c:pt>
                <c:pt idx="11">
                  <c:v>24.033050394191257</c:v>
                </c:pt>
                <c:pt idx="12">
                  <c:v>24.033050394191257</c:v>
                </c:pt>
                <c:pt idx="13">
                  <c:v>24.033050394191257</c:v>
                </c:pt>
                <c:pt idx="14">
                  <c:v>24.033050394191257</c:v>
                </c:pt>
                <c:pt idx="15">
                  <c:v>24.033050394191257</c:v>
                </c:pt>
                <c:pt idx="16">
                  <c:v>24.033050394191257</c:v>
                </c:pt>
                <c:pt idx="17">
                  <c:v>24.033050394191257</c:v>
                </c:pt>
                <c:pt idx="18">
                  <c:v>24.033050394191257</c:v>
                </c:pt>
                <c:pt idx="19">
                  <c:v>24.033050394191257</c:v>
                </c:pt>
                <c:pt idx="20">
                  <c:v>24.033050394191257</c:v>
                </c:pt>
                <c:pt idx="21">
                  <c:v>24.033050394191257</c:v>
                </c:pt>
                <c:pt idx="22">
                  <c:v>24.033050394191257</c:v>
                </c:pt>
                <c:pt idx="23">
                  <c:v>24.033050394191257</c:v>
                </c:pt>
                <c:pt idx="24">
                  <c:v>24.033050394191257</c:v>
                </c:pt>
                <c:pt idx="25">
                  <c:v>24.033050394191257</c:v>
                </c:pt>
                <c:pt idx="26">
                  <c:v>24.033050394191257</c:v>
                </c:pt>
                <c:pt idx="27">
                  <c:v>24.033050394191257</c:v>
                </c:pt>
                <c:pt idx="28">
                  <c:v>24.033050394191257</c:v>
                </c:pt>
                <c:pt idx="29">
                  <c:v>24.033050394191257</c:v>
                </c:pt>
                <c:pt idx="30">
                  <c:v>24.033050394191257</c:v>
                </c:pt>
                <c:pt idx="31">
                  <c:v>24.033050394191257</c:v>
                </c:pt>
                <c:pt idx="32">
                  <c:v>24.033050394191257</c:v>
                </c:pt>
                <c:pt idx="33">
                  <c:v>24.033050394191257</c:v>
                </c:pt>
                <c:pt idx="34">
                  <c:v>24.033050394191257</c:v>
                </c:pt>
                <c:pt idx="35">
                  <c:v>24.033050394191257</c:v>
                </c:pt>
                <c:pt idx="36">
                  <c:v>24.033050394191257</c:v>
                </c:pt>
                <c:pt idx="37">
                  <c:v>24.033050394191257</c:v>
                </c:pt>
                <c:pt idx="38">
                  <c:v>24.033050394191257</c:v>
                </c:pt>
                <c:pt idx="39">
                  <c:v>24.033050394191257</c:v>
                </c:pt>
                <c:pt idx="40">
                  <c:v>24.033050394191257</c:v>
                </c:pt>
                <c:pt idx="41">
                  <c:v>24.033050394191257</c:v>
                </c:pt>
                <c:pt idx="42">
                  <c:v>24.033050394191257</c:v>
                </c:pt>
                <c:pt idx="43">
                  <c:v>24.033050394191257</c:v>
                </c:pt>
                <c:pt idx="44">
                  <c:v>24.033050394191257</c:v>
                </c:pt>
                <c:pt idx="45">
                  <c:v>24.033050394191257</c:v>
                </c:pt>
                <c:pt idx="46">
                  <c:v>24.033050394191257</c:v>
                </c:pt>
                <c:pt idx="47">
                  <c:v>24.033050394191257</c:v>
                </c:pt>
                <c:pt idx="48">
                  <c:v>24.033050394191257</c:v>
                </c:pt>
                <c:pt idx="49">
                  <c:v>24.033050394191257</c:v>
                </c:pt>
                <c:pt idx="50">
                  <c:v>24.033050394191257</c:v>
                </c:pt>
                <c:pt idx="51">
                  <c:v>24.033050394191257</c:v>
                </c:pt>
                <c:pt idx="52">
                  <c:v>24.033050394191257</c:v>
                </c:pt>
                <c:pt idx="53">
                  <c:v>24.033050394191257</c:v>
                </c:pt>
                <c:pt idx="54">
                  <c:v>24.033050394191257</c:v>
                </c:pt>
                <c:pt idx="55">
                  <c:v>24.033050394191257</c:v>
                </c:pt>
                <c:pt idx="56">
                  <c:v>24.033050394191257</c:v>
                </c:pt>
                <c:pt idx="57">
                  <c:v>24.033050394191257</c:v>
                </c:pt>
                <c:pt idx="58">
                  <c:v>24.033050394191257</c:v>
                </c:pt>
                <c:pt idx="59">
                  <c:v>24.033050394191257</c:v>
                </c:pt>
                <c:pt idx="60">
                  <c:v>24.033050394191257</c:v>
                </c:pt>
                <c:pt idx="61">
                  <c:v>24.033050394191257</c:v>
                </c:pt>
                <c:pt idx="62">
                  <c:v>24.033050394191257</c:v>
                </c:pt>
                <c:pt idx="63">
                  <c:v>24.033050394191257</c:v>
                </c:pt>
                <c:pt idx="64">
                  <c:v>24.033050394191257</c:v>
                </c:pt>
                <c:pt idx="65">
                  <c:v>24.033050394191257</c:v>
                </c:pt>
                <c:pt idx="66">
                  <c:v>24.033050394191257</c:v>
                </c:pt>
                <c:pt idx="67">
                  <c:v>24.033050394191257</c:v>
                </c:pt>
                <c:pt idx="68">
                  <c:v>24.033050394191257</c:v>
                </c:pt>
                <c:pt idx="69">
                  <c:v>24.033050394191257</c:v>
                </c:pt>
                <c:pt idx="70">
                  <c:v>24.033050394191257</c:v>
                </c:pt>
                <c:pt idx="71">
                  <c:v>24.033050394191257</c:v>
                </c:pt>
                <c:pt idx="72">
                  <c:v>24.033050394191257</c:v>
                </c:pt>
                <c:pt idx="73">
                  <c:v>24.033050394191257</c:v>
                </c:pt>
                <c:pt idx="74">
                  <c:v>24.033050394191257</c:v>
                </c:pt>
                <c:pt idx="75">
                  <c:v>24.033050394191257</c:v>
                </c:pt>
                <c:pt idx="76">
                  <c:v>24.033050394191257</c:v>
                </c:pt>
                <c:pt idx="77">
                  <c:v>24.033050394191257</c:v>
                </c:pt>
                <c:pt idx="78">
                  <c:v>24.033050394191257</c:v>
                </c:pt>
                <c:pt idx="79">
                  <c:v>24.033050394191257</c:v>
                </c:pt>
                <c:pt idx="80">
                  <c:v>24.033050394191257</c:v>
                </c:pt>
                <c:pt idx="81">
                  <c:v>24.033050394191257</c:v>
                </c:pt>
                <c:pt idx="82">
                  <c:v>24.033050394191257</c:v>
                </c:pt>
                <c:pt idx="83">
                  <c:v>24.033050394191257</c:v>
                </c:pt>
                <c:pt idx="84">
                  <c:v>24.033050394191257</c:v>
                </c:pt>
                <c:pt idx="85">
                  <c:v>24.033050394191257</c:v>
                </c:pt>
                <c:pt idx="86">
                  <c:v>24.033050394191257</c:v>
                </c:pt>
                <c:pt idx="87">
                  <c:v>24.033050394191257</c:v>
                </c:pt>
                <c:pt idx="88">
                  <c:v>24.033050394191257</c:v>
                </c:pt>
                <c:pt idx="89">
                  <c:v>24.033050394191257</c:v>
                </c:pt>
                <c:pt idx="90">
                  <c:v>24.033050394191257</c:v>
                </c:pt>
                <c:pt idx="91">
                  <c:v>24.033050394191257</c:v>
                </c:pt>
                <c:pt idx="92">
                  <c:v>24.033050394191257</c:v>
                </c:pt>
                <c:pt idx="93">
                  <c:v>24.033050394191257</c:v>
                </c:pt>
                <c:pt idx="94">
                  <c:v>24.033050394191257</c:v>
                </c:pt>
                <c:pt idx="95">
                  <c:v>24.033050394191257</c:v>
                </c:pt>
                <c:pt idx="96">
                  <c:v>24.033050394191257</c:v>
                </c:pt>
                <c:pt idx="97">
                  <c:v>24.033050394191257</c:v>
                </c:pt>
                <c:pt idx="98">
                  <c:v>24.033050394191257</c:v>
                </c:pt>
                <c:pt idx="99">
                  <c:v>24.033050394191257</c:v>
                </c:pt>
                <c:pt idx="100">
                  <c:v>24.033050394191257</c:v>
                </c:pt>
                <c:pt idx="101">
                  <c:v>24.033050394191257</c:v>
                </c:pt>
                <c:pt idx="102">
                  <c:v>24.033050394191257</c:v>
                </c:pt>
                <c:pt idx="103">
                  <c:v>24.033050394191257</c:v>
                </c:pt>
                <c:pt idx="104">
                  <c:v>24.033050394191257</c:v>
                </c:pt>
                <c:pt idx="105">
                  <c:v>24.033050394191257</c:v>
                </c:pt>
                <c:pt idx="106">
                  <c:v>24.033050394191257</c:v>
                </c:pt>
                <c:pt idx="107">
                  <c:v>24.033050394191257</c:v>
                </c:pt>
                <c:pt idx="108">
                  <c:v>24.033050394191257</c:v>
                </c:pt>
                <c:pt idx="109">
                  <c:v>24.033050394191257</c:v>
                </c:pt>
                <c:pt idx="110">
                  <c:v>24.033050394191257</c:v>
                </c:pt>
                <c:pt idx="111">
                  <c:v>24.033050394191257</c:v>
                </c:pt>
                <c:pt idx="112">
                  <c:v>24.033050394191257</c:v>
                </c:pt>
                <c:pt idx="113">
                  <c:v>24.033050394191257</c:v>
                </c:pt>
                <c:pt idx="114">
                  <c:v>24.033050394191257</c:v>
                </c:pt>
                <c:pt idx="115">
                  <c:v>24.033050394191257</c:v>
                </c:pt>
                <c:pt idx="116">
                  <c:v>24.033050394191257</c:v>
                </c:pt>
                <c:pt idx="117">
                  <c:v>24.033050394191257</c:v>
                </c:pt>
                <c:pt idx="118">
                  <c:v>24.033050394191257</c:v>
                </c:pt>
                <c:pt idx="119">
                  <c:v>24.033050394191257</c:v>
                </c:pt>
                <c:pt idx="120">
                  <c:v>24.033050394191257</c:v>
                </c:pt>
                <c:pt idx="121">
                  <c:v>24.033050394191257</c:v>
                </c:pt>
                <c:pt idx="122">
                  <c:v>24.033050394191257</c:v>
                </c:pt>
                <c:pt idx="123">
                  <c:v>24.033050394191257</c:v>
                </c:pt>
                <c:pt idx="124">
                  <c:v>24.033050394191257</c:v>
                </c:pt>
                <c:pt idx="125">
                  <c:v>24.033050394191257</c:v>
                </c:pt>
                <c:pt idx="126">
                  <c:v>24.033050394191257</c:v>
                </c:pt>
                <c:pt idx="127">
                  <c:v>24.033050394191257</c:v>
                </c:pt>
                <c:pt idx="128">
                  <c:v>24.033050394191257</c:v>
                </c:pt>
                <c:pt idx="129">
                  <c:v>24.033050394191257</c:v>
                </c:pt>
                <c:pt idx="130">
                  <c:v>24.033050394191257</c:v>
                </c:pt>
                <c:pt idx="131">
                  <c:v>24.033050394191257</c:v>
                </c:pt>
                <c:pt idx="132">
                  <c:v>24.033050394191257</c:v>
                </c:pt>
                <c:pt idx="133">
                  <c:v>24.033050394191257</c:v>
                </c:pt>
                <c:pt idx="134">
                  <c:v>24.033050394191257</c:v>
                </c:pt>
                <c:pt idx="135">
                  <c:v>24.033050394191257</c:v>
                </c:pt>
                <c:pt idx="136">
                  <c:v>24.033050394191257</c:v>
                </c:pt>
                <c:pt idx="137">
                  <c:v>24.033050394191257</c:v>
                </c:pt>
                <c:pt idx="138">
                  <c:v>24.033050394191257</c:v>
                </c:pt>
                <c:pt idx="139">
                  <c:v>24.033050394191257</c:v>
                </c:pt>
                <c:pt idx="140">
                  <c:v>24.033050394191257</c:v>
                </c:pt>
                <c:pt idx="141">
                  <c:v>24.033050394191257</c:v>
                </c:pt>
                <c:pt idx="142">
                  <c:v>24.033050394191257</c:v>
                </c:pt>
                <c:pt idx="143">
                  <c:v>24.033050394191257</c:v>
                </c:pt>
                <c:pt idx="144">
                  <c:v>24.033050394191257</c:v>
                </c:pt>
                <c:pt idx="145">
                  <c:v>24.033050394191257</c:v>
                </c:pt>
                <c:pt idx="146">
                  <c:v>24.033050394191257</c:v>
                </c:pt>
                <c:pt idx="147">
                  <c:v>24.033050394191257</c:v>
                </c:pt>
                <c:pt idx="148">
                  <c:v>24.033050394191257</c:v>
                </c:pt>
                <c:pt idx="149">
                  <c:v>24.033050394191257</c:v>
                </c:pt>
                <c:pt idx="150">
                  <c:v>24.033050394191257</c:v>
                </c:pt>
                <c:pt idx="151">
                  <c:v>24.033050394191257</c:v>
                </c:pt>
                <c:pt idx="152">
                  <c:v>24.033050394191257</c:v>
                </c:pt>
                <c:pt idx="153">
                  <c:v>24.033050394191257</c:v>
                </c:pt>
                <c:pt idx="154">
                  <c:v>24.033050394191257</c:v>
                </c:pt>
                <c:pt idx="155">
                  <c:v>24.033050394191257</c:v>
                </c:pt>
                <c:pt idx="156">
                  <c:v>24.033050394191257</c:v>
                </c:pt>
                <c:pt idx="157">
                  <c:v>24.033050394191257</c:v>
                </c:pt>
                <c:pt idx="158">
                  <c:v>24.033050394191257</c:v>
                </c:pt>
                <c:pt idx="159">
                  <c:v>24.033050394191257</c:v>
                </c:pt>
                <c:pt idx="160">
                  <c:v>24.033050394191257</c:v>
                </c:pt>
                <c:pt idx="161">
                  <c:v>24.033050394191257</c:v>
                </c:pt>
                <c:pt idx="162">
                  <c:v>24.033050394191257</c:v>
                </c:pt>
                <c:pt idx="163">
                  <c:v>24.033050394191257</c:v>
                </c:pt>
                <c:pt idx="164">
                  <c:v>24.033050394191257</c:v>
                </c:pt>
                <c:pt idx="165">
                  <c:v>24.033050394191257</c:v>
                </c:pt>
                <c:pt idx="166">
                  <c:v>24.033050394191257</c:v>
                </c:pt>
                <c:pt idx="167">
                  <c:v>24.033050394191257</c:v>
                </c:pt>
                <c:pt idx="168">
                  <c:v>24.033050394191257</c:v>
                </c:pt>
                <c:pt idx="169">
                  <c:v>24.033050394191257</c:v>
                </c:pt>
                <c:pt idx="170">
                  <c:v>24.033050394191257</c:v>
                </c:pt>
                <c:pt idx="171">
                  <c:v>24.033050394191257</c:v>
                </c:pt>
                <c:pt idx="172">
                  <c:v>24.033050394191257</c:v>
                </c:pt>
                <c:pt idx="173">
                  <c:v>24.033050394191257</c:v>
                </c:pt>
                <c:pt idx="174">
                  <c:v>24.033050394191257</c:v>
                </c:pt>
                <c:pt idx="175">
                  <c:v>24.033050394191257</c:v>
                </c:pt>
                <c:pt idx="176">
                  <c:v>24.033050394191257</c:v>
                </c:pt>
                <c:pt idx="177">
                  <c:v>24.033050394191257</c:v>
                </c:pt>
                <c:pt idx="178">
                  <c:v>24.033050394191257</c:v>
                </c:pt>
                <c:pt idx="179">
                  <c:v>24.033050394191257</c:v>
                </c:pt>
                <c:pt idx="180">
                  <c:v>24.033050394191257</c:v>
                </c:pt>
                <c:pt idx="181">
                  <c:v>24.033050394191257</c:v>
                </c:pt>
                <c:pt idx="182">
                  <c:v>24.033050394191257</c:v>
                </c:pt>
                <c:pt idx="183">
                  <c:v>24.033050394191257</c:v>
                </c:pt>
                <c:pt idx="184">
                  <c:v>24.033050394191257</c:v>
                </c:pt>
                <c:pt idx="185">
                  <c:v>24.033050394191257</c:v>
                </c:pt>
                <c:pt idx="186">
                  <c:v>24.033050394191257</c:v>
                </c:pt>
                <c:pt idx="187">
                  <c:v>24.033050394191257</c:v>
                </c:pt>
                <c:pt idx="188">
                  <c:v>24.033050394191257</c:v>
                </c:pt>
                <c:pt idx="189">
                  <c:v>24.033050394191257</c:v>
                </c:pt>
                <c:pt idx="190">
                  <c:v>24.033050394191257</c:v>
                </c:pt>
                <c:pt idx="191">
                  <c:v>24.033050394191257</c:v>
                </c:pt>
                <c:pt idx="192">
                  <c:v>24.033050394191257</c:v>
                </c:pt>
                <c:pt idx="193">
                  <c:v>24.033050394191257</c:v>
                </c:pt>
                <c:pt idx="194">
                  <c:v>24.033050394191257</c:v>
                </c:pt>
                <c:pt idx="195">
                  <c:v>24.033050394191257</c:v>
                </c:pt>
                <c:pt idx="196">
                  <c:v>24.033050394191257</c:v>
                </c:pt>
                <c:pt idx="197">
                  <c:v>24.033050394191257</c:v>
                </c:pt>
                <c:pt idx="198">
                  <c:v>24.033050394191257</c:v>
                </c:pt>
                <c:pt idx="199">
                  <c:v>24.033050394191257</c:v>
                </c:pt>
                <c:pt idx="200">
                  <c:v>24.033050394191257</c:v>
                </c:pt>
                <c:pt idx="201">
                  <c:v>24.033050394191257</c:v>
                </c:pt>
                <c:pt idx="202">
                  <c:v>24.033050394191257</c:v>
                </c:pt>
                <c:pt idx="203">
                  <c:v>24.033050394191257</c:v>
                </c:pt>
                <c:pt idx="204">
                  <c:v>24.033050394191257</c:v>
                </c:pt>
                <c:pt idx="205">
                  <c:v>24.033050394191257</c:v>
                </c:pt>
                <c:pt idx="206">
                  <c:v>24.033050394191257</c:v>
                </c:pt>
                <c:pt idx="207">
                  <c:v>24.033050394191257</c:v>
                </c:pt>
                <c:pt idx="208">
                  <c:v>24.033050394191257</c:v>
                </c:pt>
                <c:pt idx="209">
                  <c:v>24.033050394191257</c:v>
                </c:pt>
                <c:pt idx="210">
                  <c:v>24.033050394191257</c:v>
                </c:pt>
                <c:pt idx="211">
                  <c:v>24.033050394191257</c:v>
                </c:pt>
                <c:pt idx="212">
                  <c:v>24.033050394191257</c:v>
                </c:pt>
                <c:pt idx="213">
                  <c:v>24.033050394191257</c:v>
                </c:pt>
                <c:pt idx="214">
                  <c:v>24.033050394191257</c:v>
                </c:pt>
                <c:pt idx="215">
                  <c:v>24.033050394191257</c:v>
                </c:pt>
                <c:pt idx="216">
                  <c:v>24.033050394191257</c:v>
                </c:pt>
                <c:pt idx="217">
                  <c:v>24.033050394191257</c:v>
                </c:pt>
                <c:pt idx="218">
                  <c:v>24.033050394191257</c:v>
                </c:pt>
                <c:pt idx="219">
                  <c:v>24.033050394191257</c:v>
                </c:pt>
                <c:pt idx="220">
                  <c:v>24.033050394191257</c:v>
                </c:pt>
                <c:pt idx="221">
                  <c:v>24.033050394191257</c:v>
                </c:pt>
                <c:pt idx="222">
                  <c:v>24.033050394191257</c:v>
                </c:pt>
                <c:pt idx="223">
                  <c:v>24.033050394191257</c:v>
                </c:pt>
                <c:pt idx="224">
                  <c:v>24.033050394191257</c:v>
                </c:pt>
                <c:pt idx="225">
                  <c:v>24.033050394191257</c:v>
                </c:pt>
                <c:pt idx="226">
                  <c:v>24.033050394191257</c:v>
                </c:pt>
                <c:pt idx="227">
                  <c:v>24.033050394191257</c:v>
                </c:pt>
                <c:pt idx="228">
                  <c:v>24.033050394191257</c:v>
                </c:pt>
                <c:pt idx="229">
                  <c:v>24.033050394191257</c:v>
                </c:pt>
                <c:pt idx="230">
                  <c:v>24.033050394191257</c:v>
                </c:pt>
                <c:pt idx="231">
                  <c:v>24.033050394191257</c:v>
                </c:pt>
                <c:pt idx="232">
                  <c:v>24.033050394191257</c:v>
                </c:pt>
                <c:pt idx="233">
                  <c:v>24.033050394191257</c:v>
                </c:pt>
                <c:pt idx="234">
                  <c:v>24.033050394191257</c:v>
                </c:pt>
                <c:pt idx="235">
                  <c:v>24.033050394191257</c:v>
                </c:pt>
                <c:pt idx="236">
                  <c:v>24.033050394191257</c:v>
                </c:pt>
                <c:pt idx="237">
                  <c:v>24.033050394191257</c:v>
                </c:pt>
                <c:pt idx="238">
                  <c:v>24.033050394191257</c:v>
                </c:pt>
                <c:pt idx="239">
                  <c:v>24.033050394191257</c:v>
                </c:pt>
                <c:pt idx="240">
                  <c:v>24.033050394191257</c:v>
                </c:pt>
                <c:pt idx="241">
                  <c:v>24.033050394191257</c:v>
                </c:pt>
                <c:pt idx="242">
                  <c:v>24.033050394191257</c:v>
                </c:pt>
                <c:pt idx="243">
                  <c:v>24.033050394191257</c:v>
                </c:pt>
                <c:pt idx="244">
                  <c:v>24.033050394191257</c:v>
                </c:pt>
                <c:pt idx="245">
                  <c:v>24.033050394191257</c:v>
                </c:pt>
                <c:pt idx="246">
                  <c:v>24.033050394191257</c:v>
                </c:pt>
                <c:pt idx="247">
                  <c:v>24.033050394191257</c:v>
                </c:pt>
                <c:pt idx="248">
                  <c:v>24.033050394191257</c:v>
                </c:pt>
                <c:pt idx="249">
                  <c:v>24.033050394191257</c:v>
                </c:pt>
                <c:pt idx="250">
                  <c:v>24.033050394191257</c:v>
                </c:pt>
                <c:pt idx="251">
                  <c:v>24.033050394191257</c:v>
                </c:pt>
                <c:pt idx="252">
                  <c:v>24.033050394191257</c:v>
                </c:pt>
                <c:pt idx="253">
                  <c:v>24.033050394191257</c:v>
                </c:pt>
                <c:pt idx="254">
                  <c:v>24.033050394191257</c:v>
                </c:pt>
                <c:pt idx="255">
                  <c:v>24.033050394191257</c:v>
                </c:pt>
                <c:pt idx="256">
                  <c:v>24.033050394191257</c:v>
                </c:pt>
                <c:pt idx="257">
                  <c:v>24.033050394191257</c:v>
                </c:pt>
                <c:pt idx="258">
                  <c:v>24.033050394191257</c:v>
                </c:pt>
                <c:pt idx="259">
                  <c:v>24.033050394191257</c:v>
                </c:pt>
                <c:pt idx="260">
                  <c:v>24.033050394191257</c:v>
                </c:pt>
                <c:pt idx="261">
                  <c:v>24.033050394191257</c:v>
                </c:pt>
                <c:pt idx="262">
                  <c:v>24.033050394191257</c:v>
                </c:pt>
                <c:pt idx="263">
                  <c:v>24.033050394191257</c:v>
                </c:pt>
                <c:pt idx="264">
                  <c:v>24.033050394191257</c:v>
                </c:pt>
                <c:pt idx="265">
                  <c:v>24.033050394191257</c:v>
                </c:pt>
                <c:pt idx="266">
                  <c:v>24.033050394191257</c:v>
                </c:pt>
                <c:pt idx="267">
                  <c:v>24.033050394191257</c:v>
                </c:pt>
                <c:pt idx="268">
                  <c:v>24.033050394191257</c:v>
                </c:pt>
                <c:pt idx="269">
                  <c:v>24.033050394191257</c:v>
                </c:pt>
                <c:pt idx="270">
                  <c:v>24.033050394191257</c:v>
                </c:pt>
                <c:pt idx="271">
                  <c:v>24.033050394191257</c:v>
                </c:pt>
                <c:pt idx="272">
                  <c:v>24.033050394191257</c:v>
                </c:pt>
                <c:pt idx="273">
                  <c:v>24.033050394191257</c:v>
                </c:pt>
                <c:pt idx="274">
                  <c:v>24.033050394191257</c:v>
                </c:pt>
                <c:pt idx="275">
                  <c:v>24.033050394191257</c:v>
                </c:pt>
                <c:pt idx="276">
                  <c:v>24.033050394191257</c:v>
                </c:pt>
                <c:pt idx="277">
                  <c:v>24.033050394191257</c:v>
                </c:pt>
                <c:pt idx="278">
                  <c:v>24.033050394191257</c:v>
                </c:pt>
                <c:pt idx="279">
                  <c:v>24.033050394191257</c:v>
                </c:pt>
                <c:pt idx="280">
                  <c:v>24.033050394191257</c:v>
                </c:pt>
                <c:pt idx="281">
                  <c:v>24.033050394191257</c:v>
                </c:pt>
                <c:pt idx="282">
                  <c:v>24.033050394191257</c:v>
                </c:pt>
                <c:pt idx="283">
                  <c:v>24.033050394191257</c:v>
                </c:pt>
                <c:pt idx="284">
                  <c:v>24.033050394191257</c:v>
                </c:pt>
                <c:pt idx="285">
                  <c:v>24.033050394191257</c:v>
                </c:pt>
                <c:pt idx="286">
                  <c:v>24.033050394191257</c:v>
                </c:pt>
                <c:pt idx="287">
                  <c:v>24.033050394191257</c:v>
                </c:pt>
                <c:pt idx="288">
                  <c:v>24.033050394191257</c:v>
                </c:pt>
                <c:pt idx="289">
                  <c:v>24.033050394191257</c:v>
                </c:pt>
                <c:pt idx="290">
                  <c:v>24.033050394191257</c:v>
                </c:pt>
                <c:pt idx="291">
                  <c:v>24.033050394191257</c:v>
                </c:pt>
                <c:pt idx="292">
                  <c:v>24.033050394191257</c:v>
                </c:pt>
                <c:pt idx="293">
                  <c:v>24.033050394191257</c:v>
                </c:pt>
                <c:pt idx="294">
                  <c:v>24.033050394191257</c:v>
                </c:pt>
                <c:pt idx="295">
                  <c:v>24.033050394191257</c:v>
                </c:pt>
                <c:pt idx="296">
                  <c:v>24.033050394191257</c:v>
                </c:pt>
                <c:pt idx="297">
                  <c:v>24.033050394191257</c:v>
                </c:pt>
                <c:pt idx="298">
                  <c:v>24.033050394191257</c:v>
                </c:pt>
                <c:pt idx="299">
                  <c:v>24.033050394191257</c:v>
                </c:pt>
                <c:pt idx="300">
                  <c:v>24.033050394191257</c:v>
                </c:pt>
                <c:pt idx="301">
                  <c:v>24.033050394191257</c:v>
                </c:pt>
                <c:pt idx="302">
                  <c:v>24.033050394191257</c:v>
                </c:pt>
                <c:pt idx="303">
                  <c:v>24.033050394191257</c:v>
                </c:pt>
                <c:pt idx="304">
                  <c:v>24.033050394191257</c:v>
                </c:pt>
                <c:pt idx="305">
                  <c:v>24.033050394191257</c:v>
                </c:pt>
                <c:pt idx="306">
                  <c:v>24.033050394191257</c:v>
                </c:pt>
                <c:pt idx="307">
                  <c:v>24.033050394191257</c:v>
                </c:pt>
                <c:pt idx="308">
                  <c:v>24.033050394191257</c:v>
                </c:pt>
                <c:pt idx="309">
                  <c:v>24.033050394191257</c:v>
                </c:pt>
                <c:pt idx="310">
                  <c:v>24.033050394191257</c:v>
                </c:pt>
                <c:pt idx="311">
                  <c:v>24.033050394191257</c:v>
                </c:pt>
                <c:pt idx="312">
                  <c:v>24.033050394191257</c:v>
                </c:pt>
                <c:pt idx="313">
                  <c:v>24.033050394191257</c:v>
                </c:pt>
                <c:pt idx="314">
                  <c:v>24.033050394191257</c:v>
                </c:pt>
                <c:pt idx="315">
                  <c:v>24.033050394191257</c:v>
                </c:pt>
                <c:pt idx="316">
                  <c:v>24.033050394191257</c:v>
                </c:pt>
                <c:pt idx="317">
                  <c:v>24.033050394191257</c:v>
                </c:pt>
                <c:pt idx="318">
                  <c:v>24.033050394191257</c:v>
                </c:pt>
                <c:pt idx="319">
                  <c:v>24.033050394191257</c:v>
                </c:pt>
                <c:pt idx="320">
                  <c:v>24.033050394191257</c:v>
                </c:pt>
                <c:pt idx="321">
                  <c:v>24.033050394191257</c:v>
                </c:pt>
                <c:pt idx="322">
                  <c:v>24.033050394191257</c:v>
                </c:pt>
                <c:pt idx="323">
                  <c:v>24.033050394191257</c:v>
                </c:pt>
                <c:pt idx="324">
                  <c:v>24.033050394191257</c:v>
                </c:pt>
                <c:pt idx="325">
                  <c:v>24.033050394191257</c:v>
                </c:pt>
                <c:pt idx="326">
                  <c:v>24.033050394191257</c:v>
                </c:pt>
                <c:pt idx="327">
                  <c:v>24.033050394191257</c:v>
                </c:pt>
                <c:pt idx="328">
                  <c:v>24.033050394191257</c:v>
                </c:pt>
                <c:pt idx="329">
                  <c:v>24.033050394191257</c:v>
                </c:pt>
                <c:pt idx="330">
                  <c:v>24.033050394191257</c:v>
                </c:pt>
                <c:pt idx="331">
                  <c:v>24.033050394191257</c:v>
                </c:pt>
                <c:pt idx="332">
                  <c:v>24.033050394191257</c:v>
                </c:pt>
                <c:pt idx="333">
                  <c:v>24.033050394191257</c:v>
                </c:pt>
                <c:pt idx="334">
                  <c:v>24.033050394191257</c:v>
                </c:pt>
                <c:pt idx="335">
                  <c:v>24.033050394191257</c:v>
                </c:pt>
                <c:pt idx="336">
                  <c:v>24.033050394191257</c:v>
                </c:pt>
                <c:pt idx="337">
                  <c:v>24.033050394191257</c:v>
                </c:pt>
                <c:pt idx="338">
                  <c:v>24.033050394191257</c:v>
                </c:pt>
                <c:pt idx="339">
                  <c:v>24.033050394191257</c:v>
                </c:pt>
                <c:pt idx="340">
                  <c:v>24.033050394191257</c:v>
                </c:pt>
                <c:pt idx="341">
                  <c:v>24.033050394191257</c:v>
                </c:pt>
                <c:pt idx="342">
                  <c:v>24.033050394191257</c:v>
                </c:pt>
                <c:pt idx="343">
                  <c:v>24.033050394191257</c:v>
                </c:pt>
                <c:pt idx="344">
                  <c:v>24.033050394191257</c:v>
                </c:pt>
                <c:pt idx="345">
                  <c:v>24.033050394191257</c:v>
                </c:pt>
                <c:pt idx="346">
                  <c:v>24.033050394191257</c:v>
                </c:pt>
                <c:pt idx="347">
                  <c:v>24.033050394191257</c:v>
                </c:pt>
                <c:pt idx="348">
                  <c:v>24.033050394191257</c:v>
                </c:pt>
                <c:pt idx="349">
                  <c:v>24.033050394191257</c:v>
                </c:pt>
                <c:pt idx="350">
                  <c:v>24.033050394191257</c:v>
                </c:pt>
                <c:pt idx="351">
                  <c:v>24.033050394191257</c:v>
                </c:pt>
                <c:pt idx="352">
                  <c:v>24.033050394191257</c:v>
                </c:pt>
                <c:pt idx="353">
                  <c:v>24.033050394191257</c:v>
                </c:pt>
                <c:pt idx="354">
                  <c:v>24.033050394191257</c:v>
                </c:pt>
                <c:pt idx="355">
                  <c:v>24.033050394191257</c:v>
                </c:pt>
                <c:pt idx="356">
                  <c:v>24.033050394191257</c:v>
                </c:pt>
                <c:pt idx="357">
                  <c:v>24.033050394191257</c:v>
                </c:pt>
                <c:pt idx="358">
                  <c:v>24.033050394191257</c:v>
                </c:pt>
                <c:pt idx="359">
                  <c:v>24.033050394191257</c:v>
                </c:pt>
                <c:pt idx="360">
                  <c:v>24.033050394191257</c:v>
                </c:pt>
                <c:pt idx="361">
                  <c:v>24.033050394191257</c:v>
                </c:pt>
                <c:pt idx="362">
                  <c:v>24.033050394191257</c:v>
                </c:pt>
                <c:pt idx="363">
                  <c:v>24.033050394191257</c:v>
                </c:pt>
                <c:pt idx="364">
                  <c:v>24.033050394191257</c:v>
                </c:pt>
                <c:pt idx="365">
                  <c:v>24.033050394191257</c:v>
                </c:pt>
                <c:pt idx="366">
                  <c:v>24.033050394191257</c:v>
                </c:pt>
                <c:pt idx="367">
                  <c:v>24.033050394191257</c:v>
                </c:pt>
                <c:pt idx="368">
                  <c:v>24.033050394191257</c:v>
                </c:pt>
                <c:pt idx="369">
                  <c:v>24.033050394191257</c:v>
                </c:pt>
                <c:pt idx="370">
                  <c:v>24.033050394191257</c:v>
                </c:pt>
                <c:pt idx="371">
                  <c:v>24.033050394191257</c:v>
                </c:pt>
                <c:pt idx="372">
                  <c:v>24.033050394191257</c:v>
                </c:pt>
                <c:pt idx="373">
                  <c:v>24.033050394191257</c:v>
                </c:pt>
                <c:pt idx="374">
                  <c:v>24.033050394191257</c:v>
                </c:pt>
                <c:pt idx="375">
                  <c:v>24.033050394191257</c:v>
                </c:pt>
                <c:pt idx="376">
                  <c:v>24.033050394191257</c:v>
                </c:pt>
                <c:pt idx="377">
                  <c:v>24.033050394191257</c:v>
                </c:pt>
                <c:pt idx="378">
                  <c:v>24.033050394191257</c:v>
                </c:pt>
                <c:pt idx="379">
                  <c:v>24.033050394191257</c:v>
                </c:pt>
                <c:pt idx="380">
                  <c:v>24.033050394191257</c:v>
                </c:pt>
                <c:pt idx="381">
                  <c:v>24.033050394191257</c:v>
                </c:pt>
                <c:pt idx="382">
                  <c:v>24.033050394191257</c:v>
                </c:pt>
                <c:pt idx="383">
                  <c:v>24.033050394191257</c:v>
                </c:pt>
                <c:pt idx="384">
                  <c:v>24.033050394191257</c:v>
                </c:pt>
                <c:pt idx="385">
                  <c:v>24.033050394191257</c:v>
                </c:pt>
                <c:pt idx="386">
                  <c:v>24.033050394191257</c:v>
                </c:pt>
                <c:pt idx="387">
                  <c:v>24.033050394191257</c:v>
                </c:pt>
                <c:pt idx="388">
                  <c:v>24.033050394191257</c:v>
                </c:pt>
                <c:pt idx="389">
                  <c:v>24.033050394191257</c:v>
                </c:pt>
                <c:pt idx="390">
                  <c:v>24.033050394191257</c:v>
                </c:pt>
                <c:pt idx="391">
                  <c:v>24.033050394191257</c:v>
                </c:pt>
                <c:pt idx="392">
                  <c:v>24.033050394191257</c:v>
                </c:pt>
                <c:pt idx="393">
                  <c:v>24.033050394191257</c:v>
                </c:pt>
                <c:pt idx="394">
                  <c:v>24.033050394191257</c:v>
                </c:pt>
                <c:pt idx="395">
                  <c:v>24.033050394191257</c:v>
                </c:pt>
                <c:pt idx="396">
                  <c:v>24.033050394191257</c:v>
                </c:pt>
                <c:pt idx="397">
                  <c:v>24.033050394191257</c:v>
                </c:pt>
                <c:pt idx="398">
                  <c:v>24.033050394191257</c:v>
                </c:pt>
                <c:pt idx="399">
                  <c:v>24.033050394191257</c:v>
                </c:pt>
                <c:pt idx="400">
                  <c:v>24.033050394191257</c:v>
                </c:pt>
                <c:pt idx="401">
                  <c:v>24.033050394191257</c:v>
                </c:pt>
                <c:pt idx="402">
                  <c:v>24.033050394191257</c:v>
                </c:pt>
                <c:pt idx="403">
                  <c:v>24.033050394191257</c:v>
                </c:pt>
                <c:pt idx="404">
                  <c:v>24.033050394191257</c:v>
                </c:pt>
                <c:pt idx="405">
                  <c:v>24.033050394191257</c:v>
                </c:pt>
                <c:pt idx="406">
                  <c:v>24.033050394191257</c:v>
                </c:pt>
                <c:pt idx="407">
                  <c:v>24.033050394191257</c:v>
                </c:pt>
                <c:pt idx="408">
                  <c:v>24.033050394191257</c:v>
                </c:pt>
                <c:pt idx="409">
                  <c:v>24.033050394191257</c:v>
                </c:pt>
                <c:pt idx="410">
                  <c:v>24.033050394191257</c:v>
                </c:pt>
                <c:pt idx="411">
                  <c:v>24.033050394191257</c:v>
                </c:pt>
                <c:pt idx="412">
                  <c:v>24.033050394191257</c:v>
                </c:pt>
                <c:pt idx="413">
                  <c:v>24.033050394191257</c:v>
                </c:pt>
                <c:pt idx="414">
                  <c:v>24.033050394191257</c:v>
                </c:pt>
                <c:pt idx="415">
                  <c:v>24.033050394191257</c:v>
                </c:pt>
                <c:pt idx="416">
                  <c:v>24.033050394191257</c:v>
                </c:pt>
                <c:pt idx="417">
                  <c:v>24.033050394191257</c:v>
                </c:pt>
                <c:pt idx="418">
                  <c:v>24.033050394191257</c:v>
                </c:pt>
                <c:pt idx="419">
                  <c:v>24.033050394191257</c:v>
                </c:pt>
                <c:pt idx="420">
                  <c:v>24.033050394191257</c:v>
                </c:pt>
                <c:pt idx="421">
                  <c:v>24.033050394191257</c:v>
                </c:pt>
                <c:pt idx="422">
                  <c:v>24.033050394191257</c:v>
                </c:pt>
                <c:pt idx="423">
                  <c:v>24.033050394191257</c:v>
                </c:pt>
                <c:pt idx="424">
                  <c:v>24.033050394191257</c:v>
                </c:pt>
                <c:pt idx="425">
                  <c:v>24.033050394191257</c:v>
                </c:pt>
                <c:pt idx="426">
                  <c:v>24.033050394191257</c:v>
                </c:pt>
                <c:pt idx="427">
                  <c:v>24.033050394191257</c:v>
                </c:pt>
                <c:pt idx="428">
                  <c:v>24.033050394191257</c:v>
                </c:pt>
                <c:pt idx="429">
                  <c:v>24.033050394191257</c:v>
                </c:pt>
                <c:pt idx="430">
                  <c:v>24.033050394191257</c:v>
                </c:pt>
                <c:pt idx="431">
                  <c:v>24.033050394191257</c:v>
                </c:pt>
                <c:pt idx="432">
                  <c:v>24.033050394191257</c:v>
                </c:pt>
                <c:pt idx="433">
                  <c:v>24.033050394191257</c:v>
                </c:pt>
                <c:pt idx="434">
                  <c:v>24.033050394191257</c:v>
                </c:pt>
                <c:pt idx="435">
                  <c:v>24.033050394191257</c:v>
                </c:pt>
                <c:pt idx="436">
                  <c:v>24.033050394191257</c:v>
                </c:pt>
                <c:pt idx="437">
                  <c:v>24.033050394191257</c:v>
                </c:pt>
                <c:pt idx="438">
                  <c:v>24.033050394191257</c:v>
                </c:pt>
                <c:pt idx="439">
                  <c:v>24.033050394191257</c:v>
                </c:pt>
                <c:pt idx="440">
                  <c:v>24.033050394191257</c:v>
                </c:pt>
                <c:pt idx="441">
                  <c:v>24.033050394191257</c:v>
                </c:pt>
                <c:pt idx="442">
                  <c:v>24.033050394191257</c:v>
                </c:pt>
                <c:pt idx="443">
                  <c:v>24.033050394191257</c:v>
                </c:pt>
                <c:pt idx="444">
                  <c:v>24.033050394191257</c:v>
                </c:pt>
                <c:pt idx="445">
                  <c:v>24.033050394191257</c:v>
                </c:pt>
                <c:pt idx="446">
                  <c:v>24.033050394191257</c:v>
                </c:pt>
                <c:pt idx="447">
                  <c:v>24.033050394191257</c:v>
                </c:pt>
                <c:pt idx="448">
                  <c:v>24.033050394191257</c:v>
                </c:pt>
                <c:pt idx="449">
                  <c:v>24.033050394191257</c:v>
                </c:pt>
                <c:pt idx="450">
                  <c:v>24.033050394191257</c:v>
                </c:pt>
                <c:pt idx="451">
                  <c:v>24.033050394191257</c:v>
                </c:pt>
                <c:pt idx="452">
                  <c:v>24.033050394191257</c:v>
                </c:pt>
                <c:pt idx="453">
                  <c:v>24.033050394191257</c:v>
                </c:pt>
                <c:pt idx="454">
                  <c:v>24.033050394191257</c:v>
                </c:pt>
                <c:pt idx="455">
                  <c:v>24.033050394191257</c:v>
                </c:pt>
                <c:pt idx="456">
                  <c:v>24.033050394191257</c:v>
                </c:pt>
                <c:pt idx="457">
                  <c:v>24.033050394191257</c:v>
                </c:pt>
                <c:pt idx="458">
                  <c:v>24.033050394191257</c:v>
                </c:pt>
                <c:pt idx="459">
                  <c:v>24.033050394191257</c:v>
                </c:pt>
                <c:pt idx="460">
                  <c:v>24.033050394191257</c:v>
                </c:pt>
                <c:pt idx="461">
                  <c:v>24.033050394191257</c:v>
                </c:pt>
                <c:pt idx="462">
                  <c:v>24.033050394191257</c:v>
                </c:pt>
                <c:pt idx="463">
                  <c:v>24.033050394191257</c:v>
                </c:pt>
                <c:pt idx="464">
                  <c:v>24.033050394191257</c:v>
                </c:pt>
                <c:pt idx="465">
                  <c:v>24.033050394191257</c:v>
                </c:pt>
                <c:pt idx="466">
                  <c:v>24.033050394191257</c:v>
                </c:pt>
                <c:pt idx="467">
                  <c:v>24.033050394191257</c:v>
                </c:pt>
                <c:pt idx="468">
                  <c:v>24.033050394191257</c:v>
                </c:pt>
                <c:pt idx="469">
                  <c:v>24.033050394191257</c:v>
                </c:pt>
                <c:pt idx="470">
                  <c:v>24.033050394191257</c:v>
                </c:pt>
                <c:pt idx="471">
                  <c:v>24.033050394191257</c:v>
                </c:pt>
                <c:pt idx="472">
                  <c:v>24.033050394191257</c:v>
                </c:pt>
                <c:pt idx="473">
                  <c:v>24.033050394191257</c:v>
                </c:pt>
                <c:pt idx="474">
                  <c:v>24.033050394191257</c:v>
                </c:pt>
                <c:pt idx="475">
                  <c:v>24.033050394191257</c:v>
                </c:pt>
                <c:pt idx="476">
                  <c:v>24.033050394191257</c:v>
                </c:pt>
                <c:pt idx="477">
                  <c:v>24.033050394191257</c:v>
                </c:pt>
                <c:pt idx="478">
                  <c:v>24.033050394191257</c:v>
                </c:pt>
                <c:pt idx="479">
                  <c:v>24.033050394191257</c:v>
                </c:pt>
                <c:pt idx="480">
                  <c:v>24.033050394191257</c:v>
                </c:pt>
                <c:pt idx="481">
                  <c:v>24.033050394191257</c:v>
                </c:pt>
                <c:pt idx="482">
                  <c:v>24.033050394191257</c:v>
                </c:pt>
                <c:pt idx="483">
                  <c:v>24.033050394191257</c:v>
                </c:pt>
                <c:pt idx="484">
                  <c:v>24.033050394191257</c:v>
                </c:pt>
                <c:pt idx="485">
                  <c:v>24.033050394191257</c:v>
                </c:pt>
                <c:pt idx="486">
                  <c:v>24.033050394191257</c:v>
                </c:pt>
                <c:pt idx="487">
                  <c:v>24.033050394191257</c:v>
                </c:pt>
                <c:pt idx="488">
                  <c:v>24.033050394191257</c:v>
                </c:pt>
                <c:pt idx="489">
                  <c:v>24.033050394191257</c:v>
                </c:pt>
                <c:pt idx="490">
                  <c:v>24.033050394191257</c:v>
                </c:pt>
                <c:pt idx="491">
                  <c:v>24.033050394191257</c:v>
                </c:pt>
                <c:pt idx="492">
                  <c:v>24.033050394191257</c:v>
                </c:pt>
                <c:pt idx="493">
                  <c:v>24.033050394191257</c:v>
                </c:pt>
                <c:pt idx="494">
                  <c:v>24.033050394191257</c:v>
                </c:pt>
                <c:pt idx="495">
                  <c:v>24.033050394191257</c:v>
                </c:pt>
                <c:pt idx="496">
                  <c:v>24.033050394191257</c:v>
                </c:pt>
                <c:pt idx="497">
                  <c:v>24.033050394191257</c:v>
                </c:pt>
                <c:pt idx="498">
                  <c:v>24.033050394191257</c:v>
                </c:pt>
                <c:pt idx="499">
                  <c:v>24.033050394191257</c:v>
                </c:pt>
                <c:pt idx="500">
                  <c:v>24.033050394191257</c:v>
                </c:pt>
                <c:pt idx="501">
                  <c:v>24.033050394191257</c:v>
                </c:pt>
                <c:pt idx="502">
                  <c:v>24.033050394191257</c:v>
                </c:pt>
                <c:pt idx="503">
                  <c:v>24.033050394191257</c:v>
                </c:pt>
                <c:pt idx="504">
                  <c:v>24.033050394191257</c:v>
                </c:pt>
                <c:pt idx="505">
                  <c:v>24.033050394191257</c:v>
                </c:pt>
                <c:pt idx="506">
                  <c:v>24.033050394191257</c:v>
                </c:pt>
                <c:pt idx="507">
                  <c:v>24.033050394191257</c:v>
                </c:pt>
                <c:pt idx="508">
                  <c:v>24.033050394191257</c:v>
                </c:pt>
                <c:pt idx="509">
                  <c:v>24.033050394191257</c:v>
                </c:pt>
                <c:pt idx="510">
                  <c:v>24.033050394191257</c:v>
                </c:pt>
                <c:pt idx="511">
                  <c:v>24.033050394191257</c:v>
                </c:pt>
                <c:pt idx="512">
                  <c:v>24.033050394191257</c:v>
                </c:pt>
                <c:pt idx="513">
                  <c:v>24.033050394191257</c:v>
                </c:pt>
                <c:pt idx="514">
                  <c:v>24.033050394191257</c:v>
                </c:pt>
                <c:pt idx="515">
                  <c:v>24.033050394191257</c:v>
                </c:pt>
                <c:pt idx="516">
                  <c:v>24.033050394191257</c:v>
                </c:pt>
                <c:pt idx="517">
                  <c:v>24.033050394191257</c:v>
                </c:pt>
                <c:pt idx="518">
                  <c:v>24.033050394191257</c:v>
                </c:pt>
                <c:pt idx="519">
                  <c:v>24.033050394191257</c:v>
                </c:pt>
                <c:pt idx="520">
                  <c:v>24.033050394191257</c:v>
                </c:pt>
                <c:pt idx="521">
                  <c:v>24.033050394191257</c:v>
                </c:pt>
                <c:pt idx="522">
                  <c:v>24.033050394191257</c:v>
                </c:pt>
                <c:pt idx="523">
                  <c:v>24.033050394191257</c:v>
                </c:pt>
                <c:pt idx="524">
                  <c:v>24.033050394191257</c:v>
                </c:pt>
                <c:pt idx="525">
                  <c:v>24.033050394191257</c:v>
                </c:pt>
                <c:pt idx="526">
                  <c:v>24.033050394191257</c:v>
                </c:pt>
                <c:pt idx="527">
                  <c:v>24.033050394191257</c:v>
                </c:pt>
                <c:pt idx="528">
                  <c:v>24.033050394191257</c:v>
                </c:pt>
                <c:pt idx="529">
                  <c:v>24.033050394191257</c:v>
                </c:pt>
                <c:pt idx="530">
                  <c:v>24.033050394191257</c:v>
                </c:pt>
                <c:pt idx="531">
                  <c:v>24.033050394191257</c:v>
                </c:pt>
                <c:pt idx="532">
                  <c:v>24.033050394191257</c:v>
                </c:pt>
                <c:pt idx="533">
                  <c:v>24.033050394191257</c:v>
                </c:pt>
                <c:pt idx="534">
                  <c:v>24.033050394191257</c:v>
                </c:pt>
                <c:pt idx="535">
                  <c:v>24.033050394191257</c:v>
                </c:pt>
                <c:pt idx="536">
                  <c:v>24.033050394191257</c:v>
                </c:pt>
                <c:pt idx="537">
                  <c:v>24.033050394191257</c:v>
                </c:pt>
                <c:pt idx="538">
                  <c:v>24.033050394191257</c:v>
                </c:pt>
                <c:pt idx="539">
                  <c:v>24.033050394191257</c:v>
                </c:pt>
                <c:pt idx="540">
                  <c:v>24.033050394191257</c:v>
                </c:pt>
                <c:pt idx="541">
                  <c:v>24.033050394191257</c:v>
                </c:pt>
                <c:pt idx="542">
                  <c:v>24.033050394191257</c:v>
                </c:pt>
                <c:pt idx="543">
                  <c:v>24.033050394191257</c:v>
                </c:pt>
                <c:pt idx="544">
                  <c:v>24.033050394191257</c:v>
                </c:pt>
                <c:pt idx="545">
                  <c:v>24.033050394191257</c:v>
                </c:pt>
                <c:pt idx="546">
                  <c:v>24.033050394191257</c:v>
                </c:pt>
                <c:pt idx="547">
                  <c:v>24.033050394191257</c:v>
                </c:pt>
                <c:pt idx="548">
                  <c:v>24.033050394191257</c:v>
                </c:pt>
                <c:pt idx="549">
                  <c:v>24.033050394191257</c:v>
                </c:pt>
                <c:pt idx="550">
                  <c:v>24.033050394191257</c:v>
                </c:pt>
                <c:pt idx="551">
                  <c:v>24.033050394191257</c:v>
                </c:pt>
                <c:pt idx="552">
                  <c:v>24.033050394191257</c:v>
                </c:pt>
                <c:pt idx="553">
                  <c:v>24.033050394191257</c:v>
                </c:pt>
                <c:pt idx="554">
                  <c:v>24.033050394191257</c:v>
                </c:pt>
                <c:pt idx="555">
                  <c:v>24.033050394191257</c:v>
                </c:pt>
                <c:pt idx="556">
                  <c:v>24.033050394191257</c:v>
                </c:pt>
                <c:pt idx="557">
                  <c:v>24.033050394191257</c:v>
                </c:pt>
                <c:pt idx="558">
                  <c:v>24.033050394191257</c:v>
                </c:pt>
                <c:pt idx="559">
                  <c:v>24.033050394191257</c:v>
                </c:pt>
                <c:pt idx="560">
                  <c:v>24.033050394191257</c:v>
                </c:pt>
                <c:pt idx="561">
                  <c:v>24.033050394191257</c:v>
                </c:pt>
                <c:pt idx="562">
                  <c:v>24.033050394191257</c:v>
                </c:pt>
                <c:pt idx="563">
                  <c:v>24.033050394191257</c:v>
                </c:pt>
                <c:pt idx="564">
                  <c:v>24.033050394191257</c:v>
                </c:pt>
                <c:pt idx="565">
                  <c:v>24.033050394191257</c:v>
                </c:pt>
                <c:pt idx="566">
                  <c:v>24.033050394191257</c:v>
                </c:pt>
                <c:pt idx="567">
                  <c:v>24.033050394191257</c:v>
                </c:pt>
                <c:pt idx="568">
                  <c:v>24.033050394191257</c:v>
                </c:pt>
                <c:pt idx="569">
                  <c:v>24.033050394191257</c:v>
                </c:pt>
                <c:pt idx="570">
                  <c:v>24.033050394191257</c:v>
                </c:pt>
                <c:pt idx="571">
                  <c:v>24.033050394191257</c:v>
                </c:pt>
                <c:pt idx="572">
                  <c:v>24.033050394191257</c:v>
                </c:pt>
                <c:pt idx="573">
                  <c:v>24.033050394191257</c:v>
                </c:pt>
                <c:pt idx="574">
                  <c:v>24.033050394191257</c:v>
                </c:pt>
                <c:pt idx="575">
                  <c:v>24.033050394191257</c:v>
                </c:pt>
                <c:pt idx="576">
                  <c:v>24.033050394191257</c:v>
                </c:pt>
                <c:pt idx="577">
                  <c:v>24.033050394191257</c:v>
                </c:pt>
                <c:pt idx="578">
                  <c:v>24.033050394191257</c:v>
                </c:pt>
                <c:pt idx="579">
                  <c:v>24.033050394191257</c:v>
                </c:pt>
                <c:pt idx="580">
                  <c:v>24.033050394191257</c:v>
                </c:pt>
                <c:pt idx="581">
                  <c:v>24.033050394191257</c:v>
                </c:pt>
                <c:pt idx="582">
                  <c:v>24.033050394191257</c:v>
                </c:pt>
                <c:pt idx="583">
                  <c:v>24.033050394191257</c:v>
                </c:pt>
                <c:pt idx="584">
                  <c:v>24.033050394191257</c:v>
                </c:pt>
                <c:pt idx="585">
                  <c:v>24.033050394191257</c:v>
                </c:pt>
                <c:pt idx="586">
                  <c:v>24.033050394191257</c:v>
                </c:pt>
                <c:pt idx="587">
                  <c:v>24.033050394191257</c:v>
                </c:pt>
                <c:pt idx="588">
                  <c:v>24.033050394191257</c:v>
                </c:pt>
                <c:pt idx="589">
                  <c:v>24.033050394191257</c:v>
                </c:pt>
                <c:pt idx="590">
                  <c:v>24.033050394191257</c:v>
                </c:pt>
                <c:pt idx="591">
                  <c:v>24.033050394191257</c:v>
                </c:pt>
                <c:pt idx="592">
                  <c:v>24.033050394191257</c:v>
                </c:pt>
                <c:pt idx="593">
                  <c:v>24.033050394191257</c:v>
                </c:pt>
                <c:pt idx="594">
                  <c:v>24.033050394191257</c:v>
                </c:pt>
                <c:pt idx="595">
                  <c:v>24.033050394191257</c:v>
                </c:pt>
                <c:pt idx="596">
                  <c:v>24.033050394191257</c:v>
                </c:pt>
                <c:pt idx="597">
                  <c:v>24.033050394191257</c:v>
                </c:pt>
                <c:pt idx="598">
                  <c:v>24.033050394191257</c:v>
                </c:pt>
                <c:pt idx="599">
                  <c:v>24.033050394191257</c:v>
                </c:pt>
                <c:pt idx="600">
                  <c:v>24.033050394191257</c:v>
                </c:pt>
                <c:pt idx="601">
                  <c:v>24.033050394191257</c:v>
                </c:pt>
                <c:pt idx="602">
                  <c:v>24.033050394191257</c:v>
                </c:pt>
                <c:pt idx="603">
                  <c:v>24.033050394191257</c:v>
                </c:pt>
                <c:pt idx="604">
                  <c:v>24.033050394191257</c:v>
                </c:pt>
                <c:pt idx="605">
                  <c:v>24.033050394191257</c:v>
                </c:pt>
                <c:pt idx="606">
                  <c:v>24.033050394191257</c:v>
                </c:pt>
                <c:pt idx="607">
                  <c:v>24.033050394191257</c:v>
                </c:pt>
                <c:pt idx="608">
                  <c:v>24.033050394191257</c:v>
                </c:pt>
                <c:pt idx="609">
                  <c:v>24.033050394191257</c:v>
                </c:pt>
                <c:pt idx="610">
                  <c:v>24.033050394191257</c:v>
                </c:pt>
                <c:pt idx="611">
                  <c:v>24.033050394191257</c:v>
                </c:pt>
                <c:pt idx="612">
                  <c:v>24.033050394191257</c:v>
                </c:pt>
                <c:pt idx="613">
                  <c:v>24.033050394191257</c:v>
                </c:pt>
                <c:pt idx="614">
                  <c:v>24.033050394191257</c:v>
                </c:pt>
                <c:pt idx="615">
                  <c:v>24.033050394191257</c:v>
                </c:pt>
                <c:pt idx="616">
                  <c:v>24.033050394191257</c:v>
                </c:pt>
                <c:pt idx="617">
                  <c:v>24.033050394191257</c:v>
                </c:pt>
                <c:pt idx="618">
                  <c:v>24.033050394191257</c:v>
                </c:pt>
                <c:pt idx="619">
                  <c:v>24.033050394191257</c:v>
                </c:pt>
                <c:pt idx="620">
                  <c:v>24.033050394191257</c:v>
                </c:pt>
                <c:pt idx="621">
                  <c:v>24.033050394191257</c:v>
                </c:pt>
                <c:pt idx="622">
                  <c:v>24.033050394191257</c:v>
                </c:pt>
                <c:pt idx="623">
                  <c:v>24.033050394191257</c:v>
                </c:pt>
                <c:pt idx="624">
                  <c:v>24.033050394191257</c:v>
                </c:pt>
                <c:pt idx="625">
                  <c:v>24.033050394191257</c:v>
                </c:pt>
                <c:pt idx="626">
                  <c:v>24.033050394191257</c:v>
                </c:pt>
                <c:pt idx="627">
                  <c:v>24.033050394191257</c:v>
                </c:pt>
                <c:pt idx="628">
                  <c:v>24.033050394191257</c:v>
                </c:pt>
                <c:pt idx="629">
                  <c:v>24.033050394191257</c:v>
                </c:pt>
                <c:pt idx="630">
                  <c:v>24.033050394191257</c:v>
                </c:pt>
                <c:pt idx="631">
                  <c:v>24.033050394191257</c:v>
                </c:pt>
                <c:pt idx="632">
                  <c:v>24.033050394191257</c:v>
                </c:pt>
                <c:pt idx="633">
                  <c:v>24.033050394191257</c:v>
                </c:pt>
                <c:pt idx="634">
                  <c:v>24.033050394191257</c:v>
                </c:pt>
                <c:pt idx="635">
                  <c:v>24.033050394191257</c:v>
                </c:pt>
                <c:pt idx="636">
                  <c:v>24.033050394191257</c:v>
                </c:pt>
                <c:pt idx="637">
                  <c:v>24.033050394191257</c:v>
                </c:pt>
                <c:pt idx="638">
                  <c:v>24.033050394191257</c:v>
                </c:pt>
                <c:pt idx="639">
                  <c:v>24.033050394191257</c:v>
                </c:pt>
                <c:pt idx="640">
                  <c:v>24.033050394191257</c:v>
                </c:pt>
                <c:pt idx="641">
                  <c:v>24.033050394191257</c:v>
                </c:pt>
                <c:pt idx="642">
                  <c:v>24.033050394191257</c:v>
                </c:pt>
                <c:pt idx="643">
                  <c:v>24.033050394191257</c:v>
                </c:pt>
                <c:pt idx="644">
                  <c:v>24.033050394191257</c:v>
                </c:pt>
                <c:pt idx="645">
                  <c:v>24.033050394191257</c:v>
                </c:pt>
                <c:pt idx="646">
                  <c:v>24.033050394191257</c:v>
                </c:pt>
                <c:pt idx="647">
                  <c:v>24.033050394191257</c:v>
                </c:pt>
                <c:pt idx="648">
                  <c:v>24.033050394191257</c:v>
                </c:pt>
                <c:pt idx="649">
                  <c:v>24.033050394191257</c:v>
                </c:pt>
                <c:pt idx="650">
                  <c:v>24.033050394191257</c:v>
                </c:pt>
                <c:pt idx="651">
                  <c:v>24.033050394191257</c:v>
                </c:pt>
                <c:pt idx="652">
                  <c:v>24.033050394191257</c:v>
                </c:pt>
                <c:pt idx="653">
                  <c:v>24.033050394191257</c:v>
                </c:pt>
                <c:pt idx="654">
                  <c:v>24.033050394191257</c:v>
                </c:pt>
                <c:pt idx="655">
                  <c:v>24.033050394191257</c:v>
                </c:pt>
                <c:pt idx="656">
                  <c:v>24.033050394191257</c:v>
                </c:pt>
                <c:pt idx="657">
                  <c:v>24.033050394191257</c:v>
                </c:pt>
                <c:pt idx="658">
                  <c:v>24.033050394191257</c:v>
                </c:pt>
                <c:pt idx="659">
                  <c:v>24.033050394191257</c:v>
                </c:pt>
                <c:pt idx="660">
                  <c:v>24.033050394191257</c:v>
                </c:pt>
                <c:pt idx="661">
                  <c:v>24.033050394191257</c:v>
                </c:pt>
                <c:pt idx="662">
                  <c:v>24.033050394191257</c:v>
                </c:pt>
                <c:pt idx="663">
                  <c:v>24.033050394191257</c:v>
                </c:pt>
                <c:pt idx="664">
                  <c:v>24.033050394191257</c:v>
                </c:pt>
                <c:pt idx="665">
                  <c:v>24.033050394191257</c:v>
                </c:pt>
                <c:pt idx="666">
                  <c:v>24.033050394191257</c:v>
                </c:pt>
                <c:pt idx="667">
                  <c:v>24.033050394191257</c:v>
                </c:pt>
                <c:pt idx="668">
                  <c:v>24.033050394191257</c:v>
                </c:pt>
                <c:pt idx="669">
                  <c:v>24.033050394191257</c:v>
                </c:pt>
                <c:pt idx="670">
                  <c:v>24.033050394191257</c:v>
                </c:pt>
                <c:pt idx="671">
                  <c:v>24.033050394191257</c:v>
                </c:pt>
                <c:pt idx="672">
                  <c:v>24.033050394191257</c:v>
                </c:pt>
                <c:pt idx="673">
                  <c:v>24.033050394191257</c:v>
                </c:pt>
                <c:pt idx="674">
                  <c:v>24.033050394191257</c:v>
                </c:pt>
                <c:pt idx="675">
                  <c:v>24.033050394191257</c:v>
                </c:pt>
                <c:pt idx="676">
                  <c:v>24.033050394191257</c:v>
                </c:pt>
                <c:pt idx="677">
                  <c:v>24.033050394191257</c:v>
                </c:pt>
                <c:pt idx="678">
                  <c:v>24.033050394191257</c:v>
                </c:pt>
                <c:pt idx="679">
                  <c:v>24.033050394191257</c:v>
                </c:pt>
                <c:pt idx="680">
                  <c:v>24.033050394191257</c:v>
                </c:pt>
                <c:pt idx="681">
                  <c:v>24.033050394191257</c:v>
                </c:pt>
                <c:pt idx="682">
                  <c:v>24.033050394191257</c:v>
                </c:pt>
                <c:pt idx="683">
                  <c:v>24.033050394191257</c:v>
                </c:pt>
                <c:pt idx="684">
                  <c:v>24.033050394191257</c:v>
                </c:pt>
                <c:pt idx="685">
                  <c:v>24.033050394191257</c:v>
                </c:pt>
                <c:pt idx="686">
                  <c:v>24.033050394191257</c:v>
                </c:pt>
                <c:pt idx="687">
                  <c:v>24.033050394191257</c:v>
                </c:pt>
                <c:pt idx="688">
                  <c:v>24.033050394191257</c:v>
                </c:pt>
                <c:pt idx="689">
                  <c:v>24.033050394191257</c:v>
                </c:pt>
                <c:pt idx="690">
                  <c:v>24.033050394191257</c:v>
                </c:pt>
                <c:pt idx="691">
                  <c:v>24.033050394191257</c:v>
                </c:pt>
                <c:pt idx="692">
                  <c:v>24.033050394191257</c:v>
                </c:pt>
                <c:pt idx="693">
                  <c:v>24.033050394191257</c:v>
                </c:pt>
                <c:pt idx="694">
                  <c:v>24.033050394191257</c:v>
                </c:pt>
                <c:pt idx="695">
                  <c:v>24.033050394191257</c:v>
                </c:pt>
                <c:pt idx="696">
                  <c:v>24.033050394191257</c:v>
                </c:pt>
                <c:pt idx="697">
                  <c:v>24.033050394191257</c:v>
                </c:pt>
                <c:pt idx="698">
                  <c:v>24.033050394191257</c:v>
                </c:pt>
                <c:pt idx="699">
                  <c:v>24.033050394191257</c:v>
                </c:pt>
                <c:pt idx="700">
                  <c:v>24.033050394191257</c:v>
                </c:pt>
                <c:pt idx="701">
                  <c:v>24.033050394191257</c:v>
                </c:pt>
                <c:pt idx="702">
                  <c:v>24.033050394191257</c:v>
                </c:pt>
                <c:pt idx="703">
                  <c:v>24.033050394191257</c:v>
                </c:pt>
                <c:pt idx="704">
                  <c:v>24.033050394191257</c:v>
                </c:pt>
                <c:pt idx="705">
                  <c:v>24.033050394191257</c:v>
                </c:pt>
                <c:pt idx="706">
                  <c:v>24.033050394191257</c:v>
                </c:pt>
                <c:pt idx="707">
                  <c:v>24.033050394191257</c:v>
                </c:pt>
                <c:pt idx="708">
                  <c:v>24.033050394191257</c:v>
                </c:pt>
                <c:pt idx="709">
                  <c:v>24.033050394191257</c:v>
                </c:pt>
                <c:pt idx="710">
                  <c:v>24.033050394191257</c:v>
                </c:pt>
                <c:pt idx="711">
                  <c:v>24.033050394191257</c:v>
                </c:pt>
                <c:pt idx="712">
                  <c:v>24.033050394191257</c:v>
                </c:pt>
                <c:pt idx="713">
                  <c:v>24.033050394191257</c:v>
                </c:pt>
                <c:pt idx="714">
                  <c:v>24.033050394191257</c:v>
                </c:pt>
                <c:pt idx="715">
                  <c:v>24.033050394191257</c:v>
                </c:pt>
                <c:pt idx="716">
                  <c:v>24.033050394191257</c:v>
                </c:pt>
                <c:pt idx="717">
                  <c:v>24.033050394191257</c:v>
                </c:pt>
                <c:pt idx="718">
                  <c:v>24.033050394191257</c:v>
                </c:pt>
                <c:pt idx="719">
                  <c:v>24.033050394191257</c:v>
                </c:pt>
                <c:pt idx="720">
                  <c:v>24.033050394191257</c:v>
                </c:pt>
                <c:pt idx="721">
                  <c:v>24.033050394191257</c:v>
                </c:pt>
                <c:pt idx="722">
                  <c:v>24.033050394191257</c:v>
                </c:pt>
                <c:pt idx="723">
                  <c:v>24.033050394191257</c:v>
                </c:pt>
                <c:pt idx="724">
                  <c:v>24.033050394191257</c:v>
                </c:pt>
                <c:pt idx="725">
                  <c:v>24.033050394191257</c:v>
                </c:pt>
                <c:pt idx="726">
                  <c:v>24.033050394191257</c:v>
                </c:pt>
                <c:pt idx="727">
                  <c:v>24.033050394191257</c:v>
                </c:pt>
                <c:pt idx="728">
                  <c:v>24.033050394191257</c:v>
                </c:pt>
                <c:pt idx="729">
                  <c:v>24.033050394191257</c:v>
                </c:pt>
                <c:pt idx="730">
                  <c:v>24.033050394191257</c:v>
                </c:pt>
                <c:pt idx="731">
                  <c:v>24.033050394191257</c:v>
                </c:pt>
                <c:pt idx="732">
                  <c:v>24.033050394191257</c:v>
                </c:pt>
                <c:pt idx="733">
                  <c:v>24.033050394191257</c:v>
                </c:pt>
                <c:pt idx="734">
                  <c:v>24.033050394191257</c:v>
                </c:pt>
                <c:pt idx="735">
                  <c:v>24.033050394191257</c:v>
                </c:pt>
                <c:pt idx="736">
                  <c:v>24.033050394191257</c:v>
                </c:pt>
                <c:pt idx="737">
                  <c:v>24.033050394191257</c:v>
                </c:pt>
                <c:pt idx="738">
                  <c:v>24.033050394191257</c:v>
                </c:pt>
                <c:pt idx="739">
                  <c:v>24.033050394191257</c:v>
                </c:pt>
                <c:pt idx="740">
                  <c:v>24.033050394191257</c:v>
                </c:pt>
                <c:pt idx="741">
                  <c:v>24.033050394191257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0C-4C09-8815-39EBA7ADE92B}"/>
            </c:ext>
          </c:extLst>
        </c:ser>
        <c:ser>
          <c:idx val="5"/>
          <c:order val="4"/>
          <c:tx>
            <c:strRef>
              <c:f>'FX Data'!$G$956</c:f>
              <c:strCache>
                <c:ptCount val="1"/>
                <c:pt idx="0">
                  <c:v>=+2sd</c:v>
                </c:pt>
              </c:strCache>
            </c:strRef>
          </c:tx>
          <c:spPr>
            <a:ln w="19050" cap="rnd">
              <a:solidFill>
                <a:sysClr val="window" lastClr="FFFFFF">
                  <a:lumMod val="75000"/>
                </a:sysClr>
              </a:solidFill>
              <a:round/>
            </a:ln>
            <a:effectLst/>
          </c:spPr>
          <c:marker>
            <c:symbol val="none"/>
          </c:marker>
          <c:cat>
            <c:numRef>
              <c:f>'FX Data'!$B$1457:$B$2460</c:f>
              <c:numCache>
                <c:formatCode>m/d/yyyy</c:formatCode>
                <c:ptCount val="1004"/>
                <c:pt idx="0">
                  <c:v>44993</c:v>
                </c:pt>
                <c:pt idx="1">
                  <c:v>44994</c:v>
                </c:pt>
                <c:pt idx="2">
                  <c:v>44995</c:v>
                </c:pt>
                <c:pt idx="3">
                  <c:v>44998</c:v>
                </c:pt>
                <c:pt idx="4">
                  <c:v>44999</c:v>
                </c:pt>
                <c:pt idx="5">
                  <c:v>45000</c:v>
                </c:pt>
                <c:pt idx="6">
                  <c:v>45001</c:v>
                </c:pt>
                <c:pt idx="7">
                  <c:v>45002</c:v>
                </c:pt>
                <c:pt idx="8">
                  <c:v>45005</c:v>
                </c:pt>
                <c:pt idx="9">
                  <c:v>45006</c:v>
                </c:pt>
                <c:pt idx="10">
                  <c:v>45007</c:v>
                </c:pt>
                <c:pt idx="11">
                  <c:v>45008</c:v>
                </c:pt>
                <c:pt idx="12">
                  <c:v>45009</c:v>
                </c:pt>
                <c:pt idx="13">
                  <c:v>45012</c:v>
                </c:pt>
                <c:pt idx="14">
                  <c:v>45013</c:v>
                </c:pt>
                <c:pt idx="15">
                  <c:v>45014</c:v>
                </c:pt>
                <c:pt idx="16">
                  <c:v>45015</c:v>
                </c:pt>
                <c:pt idx="17">
                  <c:v>45016</c:v>
                </c:pt>
                <c:pt idx="18">
                  <c:v>45019</c:v>
                </c:pt>
                <c:pt idx="19">
                  <c:v>45020</c:v>
                </c:pt>
                <c:pt idx="20">
                  <c:v>45021</c:v>
                </c:pt>
                <c:pt idx="21">
                  <c:v>45022</c:v>
                </c:pt>
                <c:pt idx="22">
                  <c:v>45023</c:v>
                </c:pt>
                <c:pt idx="23">
                  <c:v>45026</c:v>
                </c:pt>
                <c:pt idx="24">
                  <c:v>45027</c:v>
                </c:pt>
                <c:pt idx="25">
                  <c:v>45028</c:v>
                </c:pt>
                <c:pt idx="26">
                  <c:v>45029</c:v>
                </c:pt>
                <c:pt idx="27">
                  <c:v>45030</c:v>
                </c:pt>
                <c:pt idx="28">
                  <c:v>45033</c:v>
                </c:pt>
                <c:pt idx="29">
                  <c:v>45034</c:v>
                </c:pt>
                <c:pt idx="30">
                  <c:v>45035</c:v>
                </c:pt>
                <c:pt idx="31">
                  <c:v>45036</c:v>
                </c:pt>
                <c:pt idx="32">
                  <c:v>45037</c:v>
                </c:pt>
                <c:pt idx="33">
                  <c:v>45040</c:v>
                </c:pt>
                <c:pt idx="34">
                  <c:v>45041</c:v>
                </c:pt>
                <c:pt idx="35">
                  <c:v>45042</c:v>
                </c:pt>
                <c:pt idx="36">
                  <c:v>45043</c:v>
                </c:pt>
                <c:pt idx="37">
                  <c:v>45044</c:v>
                </c:pt>
                <c:pt idx="38">
                  <c:v>45050</c:v>
                </c:pt>
                <c:pt idx="39">
                  <c:v>45051</c:v>
                </c:pt>
                <c:pt idx="40">
                  <c:v>45054</c:v>
                </c:pt>
                <c:pt idx="41">
                  <c:v>45055</c:v>
                </c:pt>
                <c:pt idx="42">
                  <c:v>45056</c:v>
                </c:pt>
                <c:pt idx="43">
                  <c:v>45057</c:v>
                </c:pt>
                <c:pt idx="44">
                  <c:v>45058</c:v>
                </c:pt>
                <c:pt idx="45">
                  <c:v>45061</c:v>
                </c:pt>
                <c:pt idx="46">
                  <c:v>45062</c:v>
                </c:pt>
                <c:pt idx="47">
                  <c:v>45063</c:v>
                </c:pt>
                <c:pt idx="48">
                  <c:v>45064</c:v>
                </c:pt>
                <c:pt idx="49">
                  <c:v>45065</c:v>
                </c:pt>
                <c:pt idx="50">
                  <c:v>45068</c:v>
                </c:pt>
                <c:pt idx="51">
                  <c:v>45069</c:v>
                </c:pt>
                <c:pt idx="52">
                  <c:v>45070</c:v>
                </c:pt>
                <c:pt idx="53">
                  <c:v>45071</c:v>
                </c:pt>
                <c:pt idx="54">
                  <c:v>45072</c:v>
                </c:pt>
                <c:pt idx="55">
                  <c:v>45075</c:v>
                </c:pt>
                <c:pt idx="56">
                  <c:v>45076</c:v>
                </c:pt>
                <c:pt idx="57">
                  <c:v>45077</c:v>
                </c:pt>
                <c:pt idx="58">
                  <c:v>45078</c:v>
                </c:pt>
                <c:pt idx="59">
                  <c:v>45079</c:v>
                </c:pt>
                <c:pt idx="60">
                  <c:v>45082</c:v>
                </c:pt>
                <c:pt idx="61">
                  <c:v>45083</c:v>
                </c:pt>
                <c:pt idx="62">
                  <c:v>45084</c:v>
                </c:pt>
                <c:pt idx="63">
                  <c:v>45085</c:v>
                </c:pt>
                <c:pt idx="64">
                  <c:v>45086</c:v>
                </c:pt>
                <c:pt idx="65">
                  <c:v>45089</c:v>
                </c:pt>
                <c:pt idx="66">
                  <c:v>45090</c:v>
                </c:pt>
                <c:pt idx="67">
                  <c:v>45091</c:v>
                </c:pt>
                <c:pt idx="68">
                  <c:v>45092</c:v>
                </c:pt>
                <c:pt idx="69">
                  <c:v>45093</c:v>
                </c:pt>
                <c:pt idx="70">
                  <c:v>45096</c:v>
                </c:pt>
                <c:pt idx="71">
                  <c:v>45097</c:v>
                </c:pt>
                <c:pt idx="72">
                  <c:v>45098</c:v>
                </c:pt>
                <c:pt idx="73">
                  <c:v>45099</c:v>
                </c:pt>
                <c:pt idx="74">
                  <c:v>45100</c:v>
                </c:pt>
                <c:pt idx="75">
                  <c:v>45103</c:v>
                </c:pt>
                <c:pt idx="76">
                  <c:v>45104</c:v>
                </c:pt>
                <c:pt idx="77">
                  <c:v>45105</c:v>
                </c:pt>
                <c:pt idx="78">
                  <c:v>45106</c:v>
                </c:pt>
                <c:pt idx="79">
                  <c:v>45107</c:v>
                </c:pt>
                <c:pt idx="80">
                  <c:v>45110</c:v>
                </c:pt>
                <c:pt idx="81">
                  <c:v>45111</c:v>
                </c:pt>
                <c:pt idx="82">
                  <c:v>45112</c:v>
                </c:pt>
                <c:pt idx="83">
                  <c:v>45113</c:v>
                </c:pt>
                <c:pt idx="84">
                  <c:v>45114</c:v>
                </c:pt>
                <c:pt idx="85">
                  <c:v>45117</c:v>
                </c:pt>
                <c:pt idx="86">
                  <c:v>45118</c:v>
                </c:pt>
                <c:pt idx="87">
                  <c:v>45119</c:v>
                </c:pt>
                <c:pt idx="88">
                  <c:v>45120</c:v>
                </c:pt>
                <c:pt idx="89">
                  <c:v>45121</c:v>
                </c:pt>
                <c:pt idx="90">
                  <c:v>45124</c:v>
                </c:pt>
                <c:pt idx="91">
                  <c:v>45125</c:v>
                </c:pt>
                <c:pt idx="92">
                  <c:v>45126</c:v>
                </c:pt>
                <c:pt idx="93">
                  <c:v>45127</c:v>
                </c:pt>
                <c:pt idx="94">
                  <c:v>45128</c:v>
                </c:pt>
                <c:pt idx="95">
                  <c:v>45131</c:v>
                </c:pt>
                <c:pt idx="96">
                  <c:v>45132</c:v>
                </c:pt>
                <c:pt idx="97">
                  <c:v>45133</c:v>
                </c:pt>
                <c:pt idx="98">
                  <c:v>45134</c:v>
                </c:pt>
                <c:pt idx="99">
                  <c:v>45135</c:v>
                </c:pt>
                <c:pt idx="100">
                  <c:v>45138</c:v>
                </c:pt>
                <c:pt idx="101">
                  <c:v>45139</c:v>
                </c:pt>
                <c:pt idx="102">
                  <c:v>45140</c:v>
                </c:pt>
                <c:pt idx="103">
                  <c:v>45141</c:v>
                </c:pt>
                <c:pt idx="104">
                  <c:v>45142</c:v>
                </c:pt>
                <c:pt idx="105">
                  <c:v>45145</c:v>
                </c:pt>
                <c:pt idx="106">
                  <c:v>45146</c:v>
                </c:pt>
                <c:pt idx="107">
                  <c:v>45147</c:v>
                </c:pt>
                <c:pt idx="108">
                  <c:v>45148</c:v>
                </c:pt>
                <c:pt idx="109">
                  <c:v>45149</c:v>
                </c:pt>
                <c:pt idx="110">
                  <c:v>45152</c:v>
                </c:pt>
                <c:pt idx="111">
                  <c:v>45153</c:v>
                </c:pt>
                <c:pt idx="112">
                  <c:v>45154</c:v>
                </c:pt>
                <c:pt idx="113">
                  <c:v>45155</c:v>
                </c:pt>
                <c:pt idx="114">
                  <c:v>45156</c:v>
                </c:pt>
                <c:pt idx="115">
                  <c:v>45159</c:v>
                </c:pt>
                <c:pt idx="116">
                  <c:v>45160</c:v>
                </c:pt>
                <c:pt idx="117">
                  <c:v>45161</c:v>
                </c:pt>
                <c:pt idx="118">
                  <c:v>45162</c:v>
                </c:pt>
                <c:pt idx="119">
                  <c:v>45163</c:v>
                </c:pt>
                <c:pt idx="120">
                  <c:v>45166</c:v>
                </c:pt>
                <c:pt idx="121">
                  <c:v>45167</c:v>
                </c:pt>
                <c:pt idx="122">
                  <c:v>45168</c:v>
                </c:pt>
                <c:pt idx="123">
                  <c:v>45169</c:v>
                </c:pt>
                <c:pt idx="124">
                  <c:v>45174</c:v>
                </c:pt>
                <c:pt idx="125">
                  <c:v>45175</c:v>
                </c:pt>
                <c:pt idx="126">
                  <c:v>45176</c:v>
                </c:pt>
                <c:pt idx="127">
                  <c:v>45177</c:v>
                </c:pt>
                <c:pt idx="128">
                  <c:v>45180</c:v>
                </c:pt>
                <c:pt idx="129">
                  <c:v>45181</c:v>
                </c:pt>
                <c:pt idx="130">
                  <c:v>45182</c:v>
                </c:pt>
                <c:pt idx="131">
                  <c:v>45183</c:v>
                </c:pt>
                <c:pt idx="132">
                  <c:v>45184</c:v>
                </c:pt>
                <c:pt idx="133">
                  <c:v>45187</c:v>
                </c:pt>
                <c:pt idx="134">
                  <c:v>45188</c:v>
                </c:pt>
                <c:pt idx="135">
                  <c:v>45189</c:v>
                </c:pt>
                <c:pt idx="136">
                  <c:v>45190</c:v>
                </c:pt>
                <c:pt idx="137">
                  <c:v>45191</c:v>
                </c:pt>
                <c:pt idx="138">
                  <c:v>45194</c:v>
                </c:pt>
                <c:pt idx="139">
                  <c:v>45195</c:v>
                </c:pt>
                <c:pt idx="140">
                  <c:v>45196</c:v>
                </c:pt>
                <c:pt idx="141">
                  <c:v>45197</c:v>
                </c:pt>
                <c:pt idx="142">
                  <c:v>45198</c:v>
                </c:pt>
                <c:pt idx="143">
                  <c:v>45201</c:v>
                </c:pt>
                <c:pt idx="144">
                  <c:v>45202</c:v>
                </c:pt>
                <c:pt idx="145">
                  <c:v>45203</c:v>
                </c:pt>
                <c:pt idx="146">
                  <c:v>45204</c:v>
                </c:pt>
                <c:pt idx="147">
                  <c:v>45205</c:v>
                </c:pt>
                <c:pt idx="148">
                  <c:v>45208</c:v>
                </c:pt>
                <c:pt idx="149">
                  <c:v>45209</c:v>
                </c:pt>
                <c:pt idx="150">
                  <c:v>45210</c:v>
                </c:pt>
                <c:pt idx="151">
                  <c:v>45211</c:v>
                </c:pt>
                <c:pt idx="152">
                  <c:v>45212</c:v>
                </c:pt>
                <c:pt idx="153">
                  <c:v>45215</c:v>
                </c:pt>
                <c:pt idx="154">
                  <c:v>45216</c:v>
                </c:pt>
                <c:pt idx="155">
                  <c:v>45217</c:v>
                </c:pt>
                <c:pt idx="156">
                  <c:v>45218</c:v>
                </c:pt>
                <c:pt idx="157">
                  <c:v>45219</c:v>
                </c:pt>
                <c:pt idx="158">
                  <c:v>45222</c:v>
                </c:pt>
                <c:pt idx="159">
                  <c:v>45223</c:v>
                </c:pt>
                <c:pt idx="160">
                  <c:v>45224</c:v>
                </c:pt>
                <c:pt idx="161">
                  <c:v>45225</c:v>
                </c:pt>
                <c:pt idx="162">
                  <c:v>45226</c:v>
                </c:pt>
                <c:pt idx="163">
                  <c:v>45229</c:v>
                </c:pt>
                <c:pt idx="164">
                  <c:v>45230</c:v>
                </c:pt>
                <c:pt idx="165">
                  <c:v>45231</c:v>
                </c:pt>
                <c:pt idx="166">
                  <c:v>45232</c:v>
                </c:pt>
                <c:pt idx="167">
                  <c:v>45233</c:v>
                </c:pt>
                <c:pt idx="168">
                  <c:v>45236</c:v>
                </c:pt>
                <c:pt idx="169">
                  <c:v>45237</c:v>
                </c:pt>
                <c:pt idx="170">
                  <c:v>45238</c:v>
                </c:pt>
                <c:pt idx="171">
                  <c:v>45239</c:v>
                </c:pt>
                <c:pt idx="172">
                  <c:v>45240</c:v>
                </c:pt>
                <c:pt idx="173">
                  <c:v>45243</c:v>
                </c:pt>
                <c:pt idx="174">
                  <c:v>45244</c:v>
                </c:pt>
                <c:pt idx="175">
                  <c:v>45245</c:v>
                </c:pt>
                <c:pt idx="176">
                  <c:v>45246</c:v>
                </c:pt>
                <c:pt idx="177">
                  <c:v>45247</c:v>
                </c:pt>
                <c:pt idx="178">
                  <c:v>45250</c:v>
                </c:pt>
                <c:pt idx="179">
                  <c:v>45251</c:v>
                </c:pt>
                <c:pt idx="180">
                  <c:v>45252</c:v>
                </c:pt>
                <c:pt idx="181">
                  <c:v>45253</c:v>
                </c:pt>
                <c:pt idx="182">
                  <c:v>45254</c:v>
                </c:pt>
                <c:pt idx="183">
                  <c:v>45257</c:v>
                </c:pt>
                <c:pt idx="184">
                  <c:v>45258</c:v>
                </c:pt>
                <c:pt idx="185">
                  <c:v>45259</c:v>
                </c:pt>
                <c:pt idx="186">
                  <c:v>45260</c:v>
                </c:pt>
                <c:pt idx="187">
                  <c:v>45261</c:v>
                </c:pt>
                <c:pt idx="188">
                  <c:v>45264</c:v>
                </c:pt>
                <c:pt idx="189">
                  <c:v>45265</c:v>
                </c:pt>
                <c:pt idx="190">
                  <c:v>45266</c:v>
                </c:pt>
                <c:pt idx="191">
                  <c:v>45267</c:v>
                </c:pt>
                <c:pt idx="192">
                  <c:v>45268</c:v>
                </c:pt>
                <c:pt idx="193">
                  <c:v>45271</c:v>
                </c:pt>
                <c:pt idx="194">
                  <c:v>45272</c:v>
                </c:pt>
                <c:pt idx="195">
                  <c:v>45273</c:v>
                </c:pt>
                <c:pt idx="196">
                  <c:v>45274</c:v>
                </c:pt>
                <c:pt idx="197">
                  <c:v>45275</c:v>
                </c:pt>
                <c:pt idx="198">
                  <c:v>45278</c:v>
                </c:pt>
                <c:pt idx="199">
                  <c:v>45279</c:v>
                </c:pt>
                <c:pt idx="200">
                  <c:v>45280</c:v>
                </c:pt>
                <c:pt idx="201">
                  <c:v>45281</c:v>
                </c:pt>
                <c:pt idx="202">
                  <c:v>45282</c:v>
                </c:pt>
                <c:pt idx="203">
                  <c:v>45285</c:v>
                </c:pt>
                <c:pt idx="204">
                  <c:v>45286</c:v>
                </c:pt>
                <c:pt idx="205">
                  <c:v>45287</c:v>
                </c:pt>
                <c:pt idx="206">
                  <c:v>45288</c:v>
                </c:pt>
                <c:pt idx="207">
                  <c:v>45289</c:v>
                </c:pt>
                <c:pt idx="208">
                  <c:v>45293</c:v>
                </c:pt>
                <c:pt idx="209">
                  <c:v>45294</c:v>
                </c:pt>
                <c:pt idx="210">
                  <c:v>45295</c:v>
                </c:pt>
                <c:pt idx="211">
                  <c:v>45296</c:v>
                </c:pt>
                <c:pt idx="212">
                  <c:v>45299</c:v>
                </c:pt>
                <c:pt idx="213">
                  <c:v>45300</c:v>
                </c:pt>
                <c:pt idx="214">
                  <c:v>45301</c:v>
                </c:pt>
                <c:pt idx="215">
                  <c:v>45302</c:v>
                </c:pt>
                <c:pt idx="216">
                  <c:v>45303</c:v>
                </c:pt>
                <c:pt idx="217">
                  <c:v>45306</c:v>
                </c:pt>
                <c:pt idx="218">
                  <c:v>45307</c:v>
                </c:pt>
                <c:pt idx="219">
                  <c:v>45308</c:v>
                </c:pt>
                <c:pt idx="220">
                  <c:v>45309</c:v>
                </c:pt>
                <c:pt idx="221">
                  <c:v>45310</c:v>
                </c:pt>
                <c:pt idx="222">
                  <c:v>45313</c:v>
                </c:pt>
                <c:pt idx="223">
                  <c:v>45314</c:v>
                </c:pt>
                <c:pt idx="224">
                  <c:v>45315</c:v>
                </c:pt>
                <c:pt idx="225">
                  <c:v>45316</c:v>
                </c:pt>
                <c:pt idx="226">
                  <c:v>45317</c:v>
                </c:pt>
                <c:pt idx="227">
                  <c:v>45320</c:v>
                </c:pt>
                <c:pt idx="228">
                  <c:v>45321</c:v>
                </c:pt>
                <c:pt idx="229">
                  <c:v>45322</c:v>
                </c:pt>
                <c:pt idx="230">
                  <c:v>45323</c:v>
                </c:pt>
                <c:pt idx="231">
                  <c:v>45324</c:v>
                </c:pt>
                <c:pt idx="232">
                  <c:v>45327</c:v>
                </c:pt>
                <c:pt idx="233">
                  <c:v>45328</c:v>
                </c:pt>
                <c:pt idx="234">
                  <c:v>45329</c:v>
                </c:pt>
                <c:pt idx="235">
                  <c:v>45337</c:v>
                </c:pt>
                <c:pt idx="236">
                  <c:v>45338</c:v>
                </c:pt>
                <c:pt idx="237">
                  <c:v>45341</c:v>
                </c:pt>
                <c:pt idx="238">
                  <c:v>45342</c:v>
                </c:pt>
                <c:pt idx="239">
                  <c:v>45343</c:v>
                </c:pt>
                <c:pt idx="240">
                  <c:v>45344</c:v>
                </c:pt>
                <c:pt idx="241">
                  <c:v>45345</c:v>
                </c:pt>
                <c:pt idx="242">
                  <c:v>45348</c:v>
                </c:pt>
                <c:pt idx="243">
                  <c:v>45349</c:v>
                </c:pt>
                <c:pt idx="244">
                  <c:v>45350</c:v>
                </c:pt>
                <c:pt idx="245">
                  <c:v>45351</c:v>
                </c:pt>
                <c:pt idx="246">
                  <c:v>45352</c:v>
                </c:pt>
                <c:pt idx="247">
                  <c:v>45355</c:v>
                </c:pt>
                <c:pt idx="248">
                  <c:v>45356</c:v>
                </c:pt>
                <c:pt idx="249">
                  <c:v>45357</c:v>
                </c:pt>
                <c:pt idx="250">
                  <c:v>45358</c:v>
                </c:pt>
                <c:pt idx="251">
                  <c:v>45359</c:v>
                </c:pt>
                <c:pt idx="252">
                  <c:v>45362</c:v>
                </c:pt>
                <c:pt idx="253">
                  <c:v>45363</c:v>
                </c:pt>
                <c:pt idx="254">
                  <c:v>45364</c:v>
                </c:pt>
                <c:pt idx="255">
                  <c:v>45365</c:v>
                </c:pt>
                <c:pt idx="256">
                  <c:v>45366</c:v>
                </c:pt>
                <c:pt idx="257">
                  <c:v>45369</c:v>
                </c:pt>
                <c:pt idx="258">
                  <c:v>45370</c:v>
                </c:pt>
                <c:pt idx="259">
                  <c:v>45371</c:v>
                </c:pt>
                <c:pt idx="260">
                  <c:v>45372</c:v>
                </c:pt>
                <c:pt idx="261">
                  <c:v>45373</c:v>
                </c:pt>
                <c:pt idx="262">
                  <c:v>45376</c:v>
                </c:pt>
                <c:pt idx="263">
                  <c:v>45377</c:v>
                </c:pt>
                <c:pt idx="264">
                  <c:v>45378</c:v>
                </c:pt>
                <c:pt idx="265">
                  <c:v>45379</c:v>
                </c:pt>
                <c:pt idx="266">
                  <c:v>45380</c:v>
                </c:pt>
                <c:pt idx="267">
                  <c:v>45383</c:v>
                </c:pt>
                <c:pt idx="268">
                  <c:v>45384</c:v>
                </c:pt>
                <c:pt idx="269">
                  <c:v>45385</c:v>
                </c:pt>
                <c:pt idx="270">
                  <c:v>45386</c:v>
                </c:pt>
                <c:pt idx="271">
                  <c:v>45387</c:v>
                </c:pt>
                <c:pt idx="272">
                  <c:v>45390</c:v>
                </c:pt>
                <c:pt idx="273">
                  <c:v>45391</c:v>
                </c:pt>
                <c:pt idx="274">
                  <c:v>45392</c:v>
                </c:pt>
                <c:pt idx="275">
                  <c:v>45393</c:v>
                </c:pt>
                <c:pt idx="276">
                  <c:v>45394</c:v>
                </c:pt>
                <c:pt idx="277">
                  <c:v>45397</c:v>
                </c:pt>
                <c:pt idx="278">
                  <c:v>45398</c:v>
                </c:pt>
                <c:pt idx="279">
                  <c:v>45399</c:v>
                </c:pt>
                <c:pt idx="280">
                  <c:v>45401</c:v>
                </c:pt>
                <c:pt idx="281">
                  <c:v>45404</c:v>
                </c:pt>
                <c:pt idx="282">
                  <c:v>45405</c:v>
                </c:pt>
                <c:pt idx="283">
                  <c:v>45406</c:v>
                </c:pt>
                <c:pt idx="284">
                  <c:v>45407</c:v>
                </c:pt>
                <c:pt idx="285">
                  <c:v>45408</c:v>
                </c:pt>
                <c:pt idx="286">
                  <c:v>45414</c:v>
                </c:pt>
                <c:pt idx="287">
                  <c:v>45415</c:v>
                </c:pt>
                <c:pt idx="288">
                  <c:v>45418</c:v>
                </c:pt>
                <c:pt idx="289">
                  <c:v>45419</c:v>
                </c:pt>
                <c:pt idx="290">
                  <c:v>45420</c:v>
                </c:pt>
                <c:pt idx="291">
                  <c:v>45421</c:v>
                </c:pt>
                <c:pt idx="292">
                  <c:v>45422</c:v>
                </c:pt>
                <c:pt idx="293">
                  <c:v>45425</c:v>
                </c:pt>
                <c:pt idx="294">
                  <c:v>45426</c:v>
                </c:pt>
                <c:pt idx="295">
                  <c:v>45427</c:v>
                </c:pt>
                <c:pt idx="296">
                  <c:v>45428</c:v>
                </c:pt>
                <c:pt idx="297">
                  <c:v>45429</c:v>
                </c:pt>
                <c:pt idx="298">
                  <c:v>45432</c:v>
                </c:pt>
                <c:pt idx="299">
                  <c:v>45433</c:v>
                </c:pt>
                <c:pt idx="300">
                  <c:v>45434</c:v>
                </c:pt>
                <c:pt idx="301">
                  <c:v>45435</c:v>
                </c:pt>
                <c:pt idx="302">
                  <c:v>45436</c:v>
                </c:pt>
                <c:pt idx="303">
                  <c:v>45439</c:v>
                </c:pt>
                <c:pt idx="304">
                  <c:v>45440</c:v>
                </c:pt>
                <c:pt idx="305">
                  <c:v>45441</c:v>
                </c:pt>
                <c:pt idx="306">
                  <c:v>45442</c:v>
                </c:pt>
                <c:pt idx="307">
                  <c:v>45443</c:v>
                </c:pt>
                <c:pt idx="308">
                  <c:v>45446</c:v>
                </c:pt>
                <c:pt idx="309">
                  <c:v>45447</c:v>
                </c:pt>
                <c:pt idx="310">
                  <c:v>45448</c:v>
                </c:pt>
                <c:pt idx="311">
                  <c:v>45449</c:v>
                </c:pt>
                <c:pt idx="312">
                  <c:v>45450</c:v>
                </c:pt>
                <c:pt idx="313">
                  <c:v>45453</c:v>
                </c:pt>
                <c:pt idx="314">
                  <c:v>45454</c:v>
                </c:pt>
                <c:pt idx="315">
                  <c:v>45455</c:v>
                </c:pt>
                <c:pt idx="316">
                  <c:v>45456</c:v>
                </c:pt>
                <c:pt idx="317">
                  <c:v>45457</c:v>
                </c:pt>
                <c:pt idx="318">
                  <c:v>45460</c:v>
                </c:pt>
                <c:pt idx="319">
                  <c:v>45461</c:v>
                </c:pt>
                <c:pt idx="320">
                  <c:v>45462</c:v>
                </c:pt>
                <c:pt idx="321">
                  <c:v>45463</c:v>
                </c:pt>
                <c:pt idx="322">
                  <c:v>45464</c:v>
                </c:pt>
                <c:pt idx="323">
                  <c:v>45467</c:v>
                </c:pt>
                <c:pt idx="324">
                  <c:v>45468</c:v>
                </c:pt>
                <c:pt idx="325">
                  <c:v>45469</c:v>
                </c:pt>
                <c:pt idx="326">
                  <c:v>45470</c:v>
                </c:pt>
                <c:pt idx="327">
                  <c:v>45471</c:v>
                </c:pt>
                <c:pt idx="328">
                  <c:v>45474</c:v>
                </c:pt>
                <c:pt idx="329">
                  <c:v>45475</c:v>
                </c:pt>
                <c:pt idx="330">
                  <c:v>45476</c:v>
                </c:pt>
                <c:pt idx="331">
                  <c:v>45477</c:v>
                </c:pt>
                <c:pt idx="332">
                  <c:v>45478</c:v>
                </c:pt>
                <c:pt idx="333">
                  <c:v>45481</c:v>
                </c:pt>
                <c:pt idx="334">
                  <c:v>45482</c:v>
                </c:pt>
                <c:pt idx="335">
                  <c:v>45483</c:v>
                </c:pt>
                <c:pt idx="336">
                  <c:v>45484</c:v>
                </c:pt>
                <c:pt idx="337">
                  <c:v>45485</c:v>
                </c:pt>
                <c:pt idx="338">
                  <c:v>45488</c:v>
                </c:pt>
                <c:pt idx="339">
                  <c:v>45489</c:v>
                </c:pt>
                <c:pt idx="340">
                  <c:v>45490</c:v>
                </c:pt>
                <c:pt idx="341">
                  <c:v>45491</c:v>
                </c:pt>
                <c:pt idx="342">
                  <c:v>45492</c:v>
                </c:pt>
                <c:pt idx="343">
                  <c:v>45495</c:v>
                </c:pt>
                <c:pt idx="344">
                  <c:v>45496</c:v>
                </c:pt>
                <c:pt idx="345">
                  <c:v>45497</c:v>
                </c:pt>
                <c:pt idx="346">
                  <c:v>45498</c:v>
                </c:pt>
                <c:pt idx="347">
                  <c:v>45499</c:v>
                </c:pt>
                <c:pt idx="348">
                  <c:v>45502</c:v>
                </c:pt>
                <c:pt idx="349">
                  <c:v>45503</c:v>
                </c:pt>
                <c:pt idx="350">
                  <c:v>45504</c:v>
                </c:pt>
                <c:pt idx="351">
                  <c:v>45505</c:v>
                </c:pt>
                <c:pt idx="352">
                  <c:v>45506</c:v>
                </c:pt>
                <c:pt idx="353">
                  <c:v>45509</c:v>
                </c:pt>
                <c:pt idx="354">
                  <c:v>45510</c:v>
                </c:pt>
                <c:pt idx="355">
                  <c:v>45511</c:v>
                </c:pt>
                <c:pt idx="356">
                  <c:v>45512</c:v>
                </c:pt>
                <c:pt idx="357">
                  <c:v>45513</c:v>
                </c:pt>
                <c:pt idx="358">
                  <c:v>45516</c:v>
                </c:pt>
                <c:pt idx="359">
                  <c:v>45517</c:v>
                </c:pt>
                <c:pt idx="360">
                  <c:v>45518</c:v>
                </c:pt>
                <c:pt idx="361">
                  <c:v>45519</c:v>
                </c:pt>
                <c:pt idx="362">
                  <c:v>45520</c:v>
                </c:pt>
                <c:pt idx="363">
                  <c:v>45523</c:v>
                </c:pt>
                <c:pt idx="364">
                  <c:v>45524</c:v>
                </c:pt>
                <c:pt idx="365">
                  <c:v>45525</c:v>
                </c:pt>
                <c:pt idx="366">
                  <c:v>45526</c:v>
                </c:pt>
                <c:pt idx="367">
                  <c:v>45527</c:v>
                </c:pt>
                <c:pt idx="368">
                  <c:v>45530</c:v>
                </c:pt>
                <c:pt idx="369">
                  <c:v>45531</c:v>
                </c:pt>
                <c:pt idx="370">
                  <c:v>45532</c:v>
                </c:pt>
                <c:pt idx="371">
                  <c:v>45533</c:v>
                </c:pt>
                <c:pt idx="372">
                  <c:v>45534</c:v>
                </c:pt>
                <c:pt idx="373">
                  <c:v>45539</c:v>
                </c:pt>
                <c:pt idx="374">
                  <c:v>45540</c:v>
                </c:pt>
                <c:pt idx="375">
                  <c:v>45541</c:v>
                </c:pt>
                <c:pt idx="376">
                  <c:v>45544</c:v>
                </c:pt>
                <c:pt idx="377">
                  <c:v>45545</c:v>
                </c:pt>
                <c:pt idx="378">
                  <c:v>45546</c:v>
                </c:pt>
                <c:pt idx="379">
                  <c:v>45547</c:v>
                </c:pt>
                <c:pt idx="380">
                  <c:v>45548</c:v>
                </c:pt>
                <c:pt idx="381">
                  <c:v>45551</c:v>
                </c:pt>
                <c:pt idx="382">
                  <c:v>45552</c:v>
                </c:pt>
                <c:pt idx="383">
                  <c:v>45553</c:v>
                </c:pt>
                <c:pt idx="384">
                  <c:v>45554</c:v>
                </c:pt>
                <c:pt idx="385">
                  <c:v>45555</c:v>
                </c:pt>
                <c:pt idx="386">
                  <c:v>45558</c:v>
                </c:pt>
                <c:pt idx="387">
                  <c:v>45559</c:v>
                </c:pt>
                <c:pt idx="388">
                  <c:v>45560</c:v>
                </c:pt>
                <c:pt idx="389">
                  <c:v>45561</c:v>
                </c:pt>
                <c:pt idx="390">
                  <c:v>45562</c:v>
                </c:pt>
                <c:pt idx="391">
                  <c:v>45565</c:v>
                </c:pt>
                <c:pt idx="392">
                  <c:v>45566</c:v>
                </c:pt>
                <c:pt idx="393">
                  <c:v>45567</c:v>
                </c:pt>
                <c:pt idx="394">
                  <c:v>45568</c:v>
                </c:pt>
                <c:pt idx="395">
                  <c:v>45569</c:v>
                </c:pt>
                <c:pt idx="396">
                  <c:v>45572</c:v>
                </c:pt>
                <c:pt idx="397">
                  <c:v>45573</c:v>
                </c:pt>
                <c:pt idx="398">
                  <c:v>45574</c:v>
                </c:pt>
                <c:pt idx="399">
                  <c:v>45575</c:v>
                </c:pt>
                <c:pt idx="400">
                  <c:v>45576</c:v>
                </c:pt>
                <c:pt idx="401">
                  <c:v>45579</c:v>
                </c:pt>
                <c:pt idx="402">
                  <c:v>45580</c:v>
                </c:pt>
                <c:pt idx="403">
                  <c:v>45581</c:v>
                </c:pt>
                <c:pt idx="404">
                  <c:v>45582</c:v>
                </c:pt>
                <c:pt idx="405">
                  <c:v>45583</c:v>
                </c:pt>
                <c:pt idx="406">
                  <c:v>45586</c:v>
                </c:pt>
                <c:pt idx="407">
                  <c:v>45587</c:v>
                </c:pt>
                <c:pt idx="408">
                  <c:v>45588</c:v>
                </c:pt>
                <c:pt idx="409">
                  <c:v>45589</c:v>
                </c:pt>
                <c:pt idx="410">
                  <c:v>45590</c:v>
                </c:pt>
                <c:pt idx="411">
                  <c:v>45593</c:v>
                </c:pt>
                <c:pt idx="412">
                  <c:v>45594</c:v>
                </c:pt>
                <c:pt idx="413">
                  <c:v>45595</c:v>
                </c:pt>
                <c:pt idx="414">
                  <c:v>45596</c:v>
                </c:pt>
                <c:pt idx="415">
                  <c:v>45597</c:v>
                </c:pt>
                <c:pt idx="416">
                  <c:v>45600</c:v>
                </c:pt>
                <c:pt idx="417">
                  <c:v>45601</c:v>
                </c:pt>
                <c:pt idx="418">
                  <c:v>45602</c:v>
                </c:pt>
                <c:pt idx="419">
                  <c:v>45603</c:v>
                </c:pt>
                <c:pt idx="420">
                  <c:v>45604</c:v>
                </c:pt>
                <c:pt idx="421">
                  <c:v>45607</c:v>
                </c:pt>
                <c:pt idx="422">
                  <c:v>45608</c:v>
                </c:pt>
                <c:pt idx="423">
                  <c:v>45609</c:v>
                </c:pt>
                <c:pt idx="424">
                  <c:v>45610</c:v>
                </c:pt>
                <c:pt idx="425">
                  <c:v>45611</c:v>
                </c:pt>
                <c:pt idx="426">
                  <c:v>45614</c:v>
                </c:pt>
                <c:pt idx="427">
                  <c:v>45615</c:v>
                </c:pt>
                <c:pt idx="428">
                  <c:v>45616</c:v>
                </c:pt>
                <c:pt idx="429">
                  <c:v>45617</c:v>
                </c:pt>
                <c:pt idx="430">
                  <c:v>45618</c:v>
                </c:pt>
                <c:pt idx="431">
                  <c:v>45621</c:v>
                </c:pt>
                <c:pt idx="432">
                  <c:v>45622</c:v>
                </c:pt>
                <c:pt idx="433">
                  <c:v>45623</c:v>
                </c:pt>
                <c:pt idx="434">
                  <c:v>45624</c:v>
                </c:pt>
                <c:pt idx="435">
                  <c:v>45625</c:v>
                </c:pt>
                <c:pt idx="436">
                  <c:v>45628</c:v>
                </c:pt>
                <c:pt idx="437">
                  <c:v>45629</c:v>
                </c:pt>
                <c:pt idx="438">
                  <c:v>45630</c:v>
                </c:pt>
                <c:pt idx="439">
                  <c:v>45631</c:v>
                </c:pt>
                <c:pt idx="440">
                  <c:v>45632</c:v>
                </c:pt>
                <c:pt idx="441">
                  <c:v>45635</c:v>
                </c:pt>
                <c:pt idx="442">
                  <c:v>45636</c:v>
                </c:pt>
                <c:pt idx="443">
                  <c:v>45637</c:v>
                </c:pt>
                <c:pt idx="444">
                  <c:v>45638</c:v>
                </c:pt>
                <c:pt idx="445">
                  <c:v>45639</c:v>
                </c:pt>
                <c:pt idx="446">
                  <c:v>45642</c:v>
                </c:pt>
                <c:pt idx="447">
                  <c:v>45643</c:v>
                </c:pt>
                <c:pt idx="448">
                  <c:v>45644</c:v>
                </c:pt>
                <c:pt idx="449">
                  <c:v>45645</c:v>
                </c:pt>
                <c:pt idx="450">
                  <c:v>45646</c:v>
                </c:pt>
                <c:pt idx="451">
                  <c:v>45649</c:v>
                </c:pt>
                <c:pt idx="452">
                  <c:v>45650</c:v>
                </c:pt>
                <c:pt idx="453">
                  <c:v>45651</c:v>
                </c:pt>
                <c:pt idx="454">
                  <c:v>45652</c:v>
                </c:pt>
                <c:pt idx="455">
                  <c:v>45653</c:v>
                </c:pt>
                <c:pt idx="456">
                  <c:v>45656</c:v>
                </c:pt>
                <c:pt idx="457">
                  <c:v>45657</c:v>
                </c:pt>
                <c:pt idx="458">
                  <c:v>45659</c:v>
                </c:pt>
                <c:pt idx="459">
                  <c:v>45660</c:v>
                </c:pt>
                <c:pt idx="460">
                  <c:v>45663</c:v>
                </c:pt>
                <c:pt idx="461">
                  <c:v>45664</c:v>
                </c:pt>
                <c:pt idx="462">
                  <c:v>45665</c:v>
                </c:pt>
                <c:pt idx="463">
                  <c:v>45666</c:v>
                </c:pt>
                <c:pt idx="464">
                  <c:v>45667</c:v>
                </c:pt>
                <c:pt idx="465">
                  <c:v>45670</c:v>
                </c:pt>
                <c:pt idx="466">
                  <c:v>45671</c:v>
                </c:pt>
                <c:pt idx="467">
                  <c:v>45672</c:v>
                </c:pt>
                <c:pt idx="468">
                  <c:v>45673</c:v>
                </c:pt>
                <c:pt idx="469">
                  <c:v>45674</c:v>
                </c:pt>
                <c:pt idx="470">
                  <c:v>45677</c:v>
                </c:pt>
                <c:pt idx="471">
                  <c:v>45678</c:v>
                </c:pt>
                <c:pt idx="472">
                  <c:v>45679</c:v>
                </c:pt>
                <c:pt idx="473">
                  <c:v>45680</c:v>
                </c:pt>
                <c:pt idx="474">
                  <c:v>45681</c:v>
                </c:pt>
                <c:pt idx="475">
                  <c:v>45691</c:v>
                </c:pt>
                <c:pt idx="476">
                  <c:v>45692</c:v>
                </c:pt>
                <c:pt idx="477">
                  <c:v>45693</c:v>
                </c:pt>
                <c:pt idx="478">
                  <c:v>45694</c:v>
                </c:pt>
                <c:pt idx="479">
                  <c:v>45695</c:v>
                </c:pt>
                <c:pt idx="480">
                  <c:v>45698</c:v>
                </c:pt>
                <c:pt idx="481">
                  <c:v>45699</c:v>
                </c:pt>
                <c:pt idx="482">
                  <c:v>45700</c:v>
                </c:pt>
                <c:pt idx="483">
                  <c:v>45701</c:v>
                </c:pt>
                <c:pt idx="484">
                  <c:v>45702</c:v>
                </c:pt>
                <c:pt idx="485">
                  <c:v>45705</c:v>
                </c:pt>
                <c:pt idx="486">
                  <c:v>45706</c:v>
                </c:pt>
                <c:pt idx="487">
                  <c:v>45707</c:v>
                </c:pt>
                <c:pt idx="488">
                  <c:v>45708</c:v>
                </c:pt>
                <c:pt idx="489">
                  <c:v>45709</c:v>
                </c:pt>
                <c:pt idx="490">
                  <c:v>45712</c:v>
                </c:pt>
                <c:pt idx="491">
                  <c:v>45713</c:v>
                </c:pt>
                <c:pt idx="492">
                  <c:v>45714</c:v>
                </c:pt>
                <c:pt idx="493">
                  <c:v>45715</c:v>
                </c:pt>
                <c:pt idx="494">
                  <c:v>45716</c:v>
                </c:pt>
                <c:pt idx="495">
                  <c:v>45719</c:v>
                </c:pt>
                <c:pt idx="496">
                  <c:v>45720</c:v>
                </c:pt>
                <c:pt idx="497">
                  <c:v>45721</c:v>
                </c:pt>
                <c:pt idx="498">
                  <c:v>45722</c:v>
                </c:pt>
                <c:pt idx="499">
                  <c:v>45723</c:v>
                </c:pt>
                <c:pt idx="500">
                  <c:v>45726</c:v>
                </c:pt>
                <c:pt idx="501">
                  <c:v>45727</c:v>
                </c:pt>
                <c:pt idx="502">
                  <c:v>45728</c:v>
                </c:pt>
                <c:pt idx="503">
                  <c:v>45729</c:v>
                </c:pt>
                <c:pt idx="504">
                  <c:v>45730</c:v>
                </c:pt>
                <c:pt idx="505">
                  <c:v>45733</c:v>
                </c:pt>
                <c:pt idx="506">
                  <c:v>45734</c:v>
                </c:pt>
                <c:pt idx="507">
                  <c:v>45735</c:v>
                </c:pt>
                <c:pt idx="508">
                  <c:v>45736</c:v>
                </c:pt>
                <c:pt idx="509">
                  <c:v>45737</c:v>
                </c:pt>
                <c:pt idx="510">
                  <c:v>45740</c:v>
                </c:pt>
                <c:pt idx="511">
                  <c:v>45741</c:v>
                </c:pt>
                <c:pt idx="512">
                  <c:v>45742</c:v>
                </c:pt>
                <c:pt idx="513">
                  <c:v>45743</c:v>
                </c:pt>
                <c:pt idx="514">
                  <c:v>45744</c:v>
                </c:pt>
                <c:pt idx="515">
                  <c:v>45747</c:v>
                </c:pt>
                <c:pt idx="516">
                  <c:v>45748</c:v>
                </c:pt>
                <c:pt idx="517">
                  <c:v>45749</c:v>
                </c:pt>
                <c:pt idx="518">
                  <c:v>45750</c:v>
                </c:pt>
                <c:pt idx="519">
                  <c:v>45751</c:v>
                </c:pt>
                <c:pt idx="520">
                  <c:v>45755</c:v>
                </c:pt>
                <c:pt idx="521">
                  <c:v>45756</c:v>
                </c:pt>
                <c:pt idx="522">
                  <c:v>45757</c:v>
                </c:pt>
                <c:pt idx="523">
                  <c:v>45758</c:v>
                </c:pt>
                <c:pt idx="524">
                  <c:v>45761</c:v>
                </c:pt>
                <c:pt idx="525">
                  <c:v>45762</c:v>
                </c:pt>
                <c:pt idx="526">
                  <c:v>45763</c:v>
                </c:pt>
                <c:pt idx="527">
                  <c:v>45764</c:v>
                </c:pt>
                <c:pt idx="528">
                  <c:v>45765</c:v>
                </c:pt>
                <c:pt idx="529">
                  <c:v>45768</c:v>
                </c:pt>
                <c:pt idx="530">
                  <c:v>45769</c:v>
                </c:pt>
                <c:pt idx="531">
                  <c:v>45770</c:v>
                </c:pt>
                <c:pt idx="532">
                  <c:v>45771</c:v>
                </c:pt>
                <c:pt idx="533">
                  <c:v>45772</c:v>
                </c:pt>
                <c:pt idx="534">
                  <c:v>45775</c:v>
                </c:pt>
                <c:pt idx="535">
                  <c:v>45776</c:v>
                </c:pt>
                <c:pt idx="536">
                  <c:v>45782</c:v>
                </c:pt>
                <c:pt idx="537">
                  <c:v>45783</c:v>
                </c:pt>
                <c:pt idx="538">
                  <c:v>45784</c:v>
                </c:pt>
                <c:pt idx="539">
                  <c:v>45785</c:v>
                </c:pt>
                <c:pt idx="540">
                  <c:v>45786</c:v>
                </c:pt>
                <c:pt idx="541">
                  <c:v>45789</c:v>
                </c:pt>
                <c:pt idx="542">
                  <c:v>45790</c:v>
                </c:pt>
                <c:pt idx="543">
                  <c:v>45791</c:v>
                </c:pt>
                <c:pt idx="544">
                  <c:v>45792</c:v>
                </c:pt>
                <c:pt idx="545">
                  <c:v>45793</c:v>
                </c:pt>
                <c:pt idx="546">
                  <c:v>45796</c:v>
                </c:pt>
                <c:pt idx="547">
                  <c:v>45797</c:v>
                </c:pt>
                <c:pt idx="548">
                  <c:v>45798</c:v>
                </c:pt>
                <c:pt idx="549">
                  <c:v>45799</c:v>
                </c:pt>
                <c:pt idx="550">
                  <c:v>45800</c:v>
                </c:pt>
                <c:pt idx="551">
                  <c:v>45803</c:v>
                </c:pt>
                <c:pt idx="552">
                  <c:v>45804</c:v>
                </c:pt>
                <c:pt idx="553">
                  <c:v>45805</c:v>
                </c:pt>
                <c:pt idx="554">
                  <c:v>45806</c:v>
                </c:pt>
                <c:pt idx="555">
                  <c:v>45807</c:v>
                </c:pt>
                <c:pt idx="556">
                  <c:v>45810</c:v>
                </c:pt>
                <c:pt idx="557">
                  <c:v>45811</c:v>
                </c:pt>
                <c:pt idx="558">
                  <c:v>45812</c:v>
                </c:pt>
                <c:pt idx="559">
                  <c:v>45813</c:v>
                </c:pt>
                <c:pt idx="560">
                  <c:v>45814</c:v>
                </c:pt>
                <c:pt idx="561">
                  <c:v>45817</c:v>
                </c:pt>
                <c:pt idx="562">
                  <c:v>45818</c:v>
                </c:pt>
                <c:pt idx="563">
                  <c:v>45819</c:v>
                </c:pt>
                <c:pt idx="564">
                  <c:v>45820</c:v>
                </c:pt>
                <c:pt idx="565">
                  <c:v>45821</c:v>
                </c:pt>
                <c:pt idx="566">
                  <c:v>45824</c:v>
                </c:pt>
                <c:pt idx="567">
                  <c:v>45825</c:v>
                </c:pt>
                <c:pt idx="568">
                  <c:v>45826</c:v>
                </c:pt>
                <c:pt idx="569">
                  <c:v>45827</c:v>
                </c:pt>
                <c:pt idx="570">
                  <c:v>45828</c:v>
                </c:pt>
                <c:pt idx="571">
                  <c:v>45831</c:v>
                </c:pt>
                <c:pt idx="572">
                  <c:v>45832</c:v>
                </c:pt>
                <c:pt idx="573">
                  <c:v>45833</c:v>
                </c:pt>
                <c:pt idx="574">
                  <c:v>45834</c:v>
                </c:pt>
                <c:pt idx="575">
                  <c:v>45835</c:v>
                </c:pt>
                <c:pt idx="576">
                  <c:v>45838</c:v>
                </c:pt>
                <c:pt idx="577">
                  <c:v>45839</c:v>
                </c:pt>
                <c:pt idx="578">
                  <c:v>45840</c:v>
                </c:pt>
                <c:pt idx="579">
                  <c:v>45841</c:v>
                </c:pt>
                <c:pt idx="580">
                  <c:v>45842</c:v>
                </c:pt>
                <c:pt idx="581">
                  <c:v>45845</c:v>
                </c:pt>
                <c:pt idx="582">
                  <c:v>45846</c:v>
                </c:pt>
                <c:pt idx="583">
                  <c:v>45847</c:v>
                </c:pt>
                <c:pt idx="584">
                  <c:v>45848</c:v>
                </c:pt>
                <c:pt idx="585">
                  <c:v>45849</c:v>
                </c:pt>
                <c:pt idx="586">
                  <c:v>45852</c:v>
                </c:pt>
                <c:pt idx="587">
                  <c:v>45853</c:v>
                </c:pt>
                <c:pt idx="588">
                  <c:v>45854</c:v>
                </c:pt>
                <c:pt idx="589">
                  <c:v>45855</c:v>
                </c:pt>
                <c:pt idx="590">
                  <c:v>45856</c:v>
                </c:pt>
                <c:pt idx="591">
                  <c:v>45859</c:v>
                </c:pt>
                <c:pt idx="592">
                  <c:v>45860</c:v>
                </c:pt>
                <c:pt idx="593">
                  <c:v>45861</c:v>
                </c:pt>
                <c:pt idx="594">
                  <c:v>45862</c:v>
                </c:pt>
                <c:pt idx="595">
                  <c:v>45863</c:v>
                </c:pt>
                <c:pt idx="596">
                  <c:v>45866</c:v>
                </c:pt>
                <c:pt idx="597">
                  <c:v>45867</c:v>
                </c:pt>
                <c:pt idx="598">
                  <c:v>45868</c:v>
                </c:pt>
                <c:pt idx="599">
                  <c:v>45869</c:v>
                </c:pt>
                <c:pt idx="600">
                  <c:v>45870</c:v>
                </c:pt>
                <c:pt idx="601">
                  <c:v>45873</c:v>
                </c:pt>
                <c:pt idx="602">
                  <c:v>45874</c:v>
                </c:pt>
                <c:pt idx="603">
                  <c:v>45875</c:v>
                </c:pt>
                <c:pt idx="604">
                  <c:v>45876</c:v>
                </c:pt>
                <c:pt idx="605">
                  <c:v>45877</c:v>
                </c:pt>
                <c:pt idx="606">
                  <c:v>45880</c:v>
                </c:pt>
                <c:pt idx="607">
                  <c:v>45881</c:v>
                </c:pt>
                <c:pt idx="608">
                  <c:v>45882</c:v>
                </c:pt>
                <c:pt idx="609">
                  <c:v>45883</c:v>
                </c:pt>
                <c:pt idx="610">
                  <c:v>45884</c:v>
                </c:pt>
                <c:pt idx="611">
                  <c:v>45887</c:v>
                </c:pt>
                <c:pt idx="612">
                  <c:v>45888</c:v>
                </c:pt>
                <c:pt idx="613">
                  <c:v>45889</c:v>
                </c:pt>
                <c:pt idx="614">
                  <c:v>45890</c:v>
                </c:pt>
                <c:pt idx="615">
                  <c:v>45891</c:v>
                </c:pt>
                <c:pt idx="616">
                  <c:v>45894</c:v>
                </c:pt>
                <c:pt idx="617">
                  <c:v>45895</c:v>
                </c:pt>
                <c:pt idx="618">
                  <c:v>45896</c:v>
                </c:pt>
                <c:pt idx="619">
                  <c:v>45897</c:v>
                </c:pt>
                <c:pt idx="620">
                  <c:v>45898</c:v>
                </c:pt>
                <c:pt idx="621">
                  <c:v>45903</c:v>
                </c:pt>
                <c:pt idx="622">
                  <c:v>45904</c:v>
                </c:pt>
                <c:pt idx="623">
                  <c:v>45905</c:v>
                </c:pt>
                <c:pt idx="624">
                  <c:v>45908</c:v>
                </c:pt>
                <c:pt idx="625">
                  <c:v>45909</c:v>
                </c:pt>
                <c:pt idx="626">
                  <c:v>45910</c:v>
                </c:pt>
                <c:pt idx="627">
                  <c:v>45911</c:v>
                </c:pt>
                <c:pt idx="628">
                  <c:v>45912</c:v>
                </c:pt>
                <c:pt idx="629">
                  <c:v>45915</c:v>
                </c:pt>
                <c:pt idx="630">
                  <c:v>45916</c:v>
                </c:pt>
                <c:pt idx="631">
                  <c:v>45917</c:v>
                </c:pt>
                <c:pt idx="632">
                  <c:v>45918</c:v>
                </c:pt>
                <c:pt idx="633">
                  <c:v>45919</c:v>
                </c:pt>
                <c:pt idx="634">
                  <c:v>45922</c:v>
                </c:pt>
                <c:pt idx="635">
                  <c:v>45923</c:v>
                </c:pt>
                <c:pt idx="636">
                  <c:v>45924</c:v>
                </c:pt>
                <c:pt idx="637">
                  <c:v>45925</c:v>
                </c:pt>
                <c:pt idx="638">
                  <c:v>45926</c:v>
                </c:pt>
                <c:pt idx="639">
                  <c:v>45929</c:v>
                </c:pt>
                <c:pt idx="640">
                  <c:v>45930</c:v>
                </c:pt>
                <c:pt idx="641">
                  <c:v>45931</c:v>
                </c:pt>
                <c:pt idx="642">
                  <c:v>45932</c:v>
                </c:pt>
                <c:pt idx="643">
                  <c:v>45933</c:v>
                </c:pt>
                <c:pt idx="644">
                  <c:v>45936</c:v>
                </c:pt>
                <c:pt idx="645">
                  <c:v>45937</c:v>
                </c:pt>
                <c:pt idx="646">
                  <c:v>45938</c:v>
                </c:pt>
                <c:pt idx="647">
                  <c:v>45939</c:v>
                </c:pt>
                <c:pt idx="648">
                  <c:v>45940</c:v>
                </c:pt>
                <c:pt idx="649">
                  <c:v>45943</c:v>
                </c:pt>
                <c:pt idx="650">
                  <c:v>45944</c:v>
                </c:pt>
                <c:pt idx="651">
                  <c:v>45945</c:v>
                </c:pt>
                <c:pt idx="652">
                  <c:v>45946</c:v>
                </c:pt>
                <c:pt idx="653">
                  <c:v>45947</c:v>
                </c:pt>
                <c:pt idx="654">
                  <c:v>45950</c:v>
                </c:pt>
                <c:pt idx="655">
                  <c:v>45951</c:v>
                </c:pt>
                <c:pt idx="656">
                  <c:v>45952</c:v>
                </c:pt>
                <c:pt idx="657">
                  <c:v>45953</c:v>
                </c:pt>
                <c:pt idx="658">
                  <c:v>45954</c:v>
                </c:pt>
                <c:pt idx="659">
                  <c:v>45957</c:v>
                </c:pt>
                <c:pt idx="660">
                  <c:v>45958</c:v>
                </c:pt>
                <c:pt idx="661">
                  <c:v>45959</c:v>
                </c:pt>
                <c:pt idx="662">
                  <c:v>45960</c:v>
                </c:pt>
                <c:pt idx="663">
                  <c:v>45961</c:v>
                </c:pt>
                <c:pt idx="664">
                  <c:v>45964</c:v>
                </c:pt>
                <c:pt idx="665">
                  <c:v>45965</c:v>
                </c:pt>
                <c:pt idx="666">
                  <c:v>45966</c:v>
                </c:pt>
                <c:pt idx="667">
                  <c:v>45967</c:v>
                </c:pt>
                <c:pt idx="668">
                  <c:v>45968</c:v>
                </c:pt>
                <c:pt idx="669">
                  <c:v>45971</c:v>
                </c:pt>
                <c:pt idx="670">
                  <c:v>45972</c:v>
                </c:pt>
                <c:pt idx="671">
                  <c:v>45973</c:v>
                </c:pt>
                <c:pt idx="672">
                  <c:v>45974</c:v>
                </c:pt>
                <c:pt idx="673">
                  <c:v>45975</c:v>
                </c:pt>
                <c:pt idx="674">
                  <c:v>45978</c:v>
                </c:pt>
                <c:pt idx="675">
                  <c:v>45979</c:v>
                </c:pt>
                <c:pt idx="676">
                  <c:v>45980</c:v>
                </c:pt>
                <c:pt idx="677">
                  <c:v>45981</c:v>
                </c:pt>
                <c:pt idx="678">
                  <c:v>45982</c:v>
                </c:pt>
                <c:pt idx="679">
                  <c:v>45985</c:v>
                </c:pt>
                <c:pt idx="680">
                  <c:v>45986</c:v>
                </c:pt>
                <c:pt idx="681">
                  <c:v>45987</c:v>
                </c:pt>
                <c:pt idx="682">
                  <c:v>45988</c:v>
                </c:pt>
                <c:pt idx="683">
                  <c:v>45989</c:v>
                </c:pt>
                <c:pt idx="684">
                  <c:v>45992</c:v>
                </c:pt>
                <c:pt idx="685">
                  <c:v>45993</c:v>
                </c:pt>
                <c:pt idx="686">
                  <c:v>45994</c:v>
                </c:pt>
                <c:pt idx="687">
                  <c:v>45995</c:v>
                </c:pt>
                <c:pt idx="688">
                  <c:v>45996</c:v>
                </c:pt>
                <c:pt idx="689">
                  <c:v>45999</c:v>
                </c:pt>
                <c:pt idx="690">
                  <c:v>46000</c:v>
                </c:pt>
                <c:pt idx="691">
                  <c:v>46001</c:v>
                </c:pt>
                <c:pt idx="692">
                  <c:v>46002</c:v>
                </c:pt>
                <c:pt idx="693">
                  <c:v>46003</c:v>
                </c:pt>
                <c:pt idx="694">
                  <c:v>46006</c:v>
                </c:pt>
                <c:pt idx="695">
                  <c:v>46007</c:v>
                </c:pt>
                <c:pt idx="696">
                  <c:v>46008</c:v>
                </c:pt>
                <c:pt idx="697">
                  <c:v>46009</c:v>
                </c:pt>
                <c:pt idx="698">
                  <c:v>46010</c:v>
                </c:pt>
                <c:pt idx="699">
                  <c:v>46013</c:v>
                </c:pt>
                <c:pt idx="700">
                  <c:v>46014</c:v>
                </c:pt>
                <c:pt idx="701">
                  <c:v>46015</c:v>
                </c:pt>
                <c:pt idx="702">
                  <c:v>46016</c:v>
                </c:pt>
                <c:pt idx="703">
                  <c:v>46017</c:v>
                </c:pt>
                <c:pt idx="704">
                  <c:v>46020</c:v>
                </c:pt>
                <c:pt idx="705">
                  <c:v>46021</c:v>
                </c:pt>
                <c:pt idx="706">
                  <c:v>46022</c:v>
                </c:pt>
                <c:pt idx="707">
                  <c:v>46027</c:v>
                </c:pt>
                <c:pt idx="708">
                  <c:v>46028</c:v>
                </c:pt>
                <c:pt idx="709">
                  <c:v>46029</c:v>
                </c:pt>
                <c:pt idx="710">
                  <c:v>46030</c:v>
                </c:pt>
                <c:pt idx="711">
                  <c:v>46031</c:v>
                </c:pt>
                <c:pt idx="712">
                  <c:v>46034</c:v>
                </c:pt>
                <c:pt idx="713">
                  <c:v>46035</c:v>
                </c:pt>
                <c:pt idx="714">
                  <c:v>46036</c:v>
                </c:pt>
                <c:pt idx="715">
                  <c:v>46037</c:v>
                </c:pt>
                <c:pt idx="716">
                  <c:v>46038</c:v>
                </c:pt>
                <c:pt idx="717">
                  <c:v>46041</c:v>
                </c:pt>
                <c:pt idx="718">
                  <c:v>46042</c:v>
                </c:pt>
                <c:pt idx="719">
                  <c:v>46043</c:v>
                </c:pt>
                <c:pt idx="720">
                  <c:v>46044</c:v>
                </c:pt>
                <c:pt idx="721">
                  <c:v>46045</c:v>
                </c:pt>
                <c:pt idx="722">
                  <c:v>46048</c:v>
                </c:pt>
                <c:pt idx="723">
                  <c:v>46049</c:v>
                </c:pt>
                <c:pt idx="724">
                  <c:v>46050</c:v>
                </c:pt>
                <c:pt idx="725">
                  <c:v>46051</c:v>
                </c:pt>
                <c:pt idx="726">
                  <c:v>46052</c:v>
                </c:pt>
                <c:pt idx="727">
                  <c:v>46055</c:v>
                </c:pt>
                <c:pt idx="728">
                  <c:v>46056</c:v>
                </c:pt>
                <c:pt idx="729">
                  <c:v>46057</c:v>
                </c:pt>
                <c:pt idx="730">
                  <c:v>46058</c:v>
                </c:pt>
                <c:pt idx="731">
                  <c:v>46059</c:v>
                </c:pt>
                <c:pt idx="732">
                  <c:v>46062</c:v>
                </c:pt>
                <c:pt idx="733">
                  <c:v>46063</c:v>
                </c:pt>
                <c:pt idx="734">
                  <c:v>46064</c:v>
                </c:pt>
                <c:pt idx="735">
                  <c:v>46065</c:v>
                </c:pt>
                <c:pt idx="736">
                  <c:v>46066</c:v>
                </c:pt>
                <c:pt idx="737">
                  <c:v>46076</c:v>
                </c:pt>
                <c:pt idx="738">
                  <c:v>46077</c:v>
                </c:pt>
                <c:pt idx="739">
                  <c:v>46078</c:v>
                </c:pt>
                <c:pt idx="740">
                  <c:v>46079</c:v>
                </c:pt>
                <c:pt idx="741">
                  <c:v>46080</c:v>
                </c:pt>
                <c:pt idx="742">
                  <c:v>46083</c:v>
                </c:pt>
                <c:pt idx="743">
                  <c:v>46084</c:v>
                </c:pt>
                <c:pt idx="744">
                  <c:v>46085</c:v>
                </c:pt>
                <c:pt idx="745">
                  <c:v>46086</c:v>
                </c:pt>
                <c:pt idx="746">
                  <c:v>46087</c:v>
                </c:pt>
                <c:pt idx="747">
                  <c:v>45968</c:v>
                </c:pt>
              </c:numCache>
            </c:numRef>
          </c:cat>
          <c:val>
            <c:numRef>
              <c:f>'FX Data'!$G$1462:$G$2860</c:f>
              <c:numCache>
                <c:formatCode>0.0</c:formatCode>
                <c:ptCount val="1399"/>
                <c:pt idx="0">
                  <c:v>27.569559842869719</c:v>
                </c:pt>
                <c:pt idx="1">
                  <c:v>27.569559842869719</c:v>
                </c:pt>
                <c:pt idx="2">
                  <c:v>27.569559842869719</c:v>
                </c:pt>
                <c:pt idx="3">
                  <c:v>27.569559842869719</c:v>
                </c:pt>
                <c:pt idx="4">
                  <c:v>27.569559842869719</c:v>
                </c:pt>
                <c:pt idx="5">
                  <c:v>27.569559842869719</c:v>
                </c:pt>
                <c:pt idx="6">
                  <c:v>27.569559842869719</c:v>
                </c:pt>
                <c:pt idx="7">
                  <c:v>27.569559842869719</c:v>
                </c:pt>
                <c:pt idx="8">
                  <c:v>27.569559842869719</c:v>
                </c:pt>
                <c:pt idx="9">
                  <c:v>27.569559842869719</c:v>
                </c:pt>
                <c:pt idx="10">
                  <c:v>27.569559842869719</c:v>
                </c:pt>
                <c:pt idx="11">
                  <c:v>27.569559842869719</c:v>
                </c:pt>
                <c:pt idx="12">
                  <c:v>27.569559842869719</c:v>
                </c:pt>
                <c:pt idx="13">
                  <c:v>27.569559842869719</c:v>
                </c:pt>
                <c:pt idx="14">
                  <c:v>27.569559842869719</c:v>
                </c:pt>
                <c:pt idx="15">
                  <c:v>27.569559842869719</c:v>
                </c:pt>
                <c:pt idx="16">
                  <c:v>27.569559842869719</c:v>
                </c:pt>
                <c:pt idx="17">
                  <c:v>27.569559842869719</c:v>
                </c:pt>
                <c:pt idx="18">
                  <c:v>27.569559842869719</c:v>
                </c:pt>
                <c:pt idx="19">
                  <c:v>27.569559842869719</c:v>
                </c:pt>
                <c:pt idx="20">
                  <c:v>27.569559842869719</c:v>
                </c:pt>
                <c:pt idx="21">
                  <c:v>27.569559842869719</c:v>
                </c:pt>
                <c:pt idx="22">
                  <c:v>27.569559842869719</c:v>
                </c:pt>
                <c:pt idx="23">
                  <c:v>27.569559842869719</c:v>
                </c:pt>
                <c:pt idx="24">
                  <c:v>27.569559842869719</c:v>
                </c:pt>
                <c:pt idx="25">
                  <c:v>27.569559842869719</c:v>
                </c:pt>
                <c:pt idx="26">
                  <c:v>27.569559842869719</c:v>
                </c:pt>
                <c:pt idx="27">
                  <c:v>27.569559842869719</c:v>
                </c:pt>
                <c:pt idx="28">
                  <c:v>27.569559842869719</c:v>
                </c:pt>
                <c:pt idx="29">
                  <c:v>27.569559842869719</c:v>
                </c:pt>
                <c:pt idx="30">
                  <c:v>27.569559842869719</c:v>
                </c:pt>
                <c:pt idx="31">
                  <c:v>27.569559842869719</c:v>
                </c:pt>
                <c:pt idx="32">
                  <c:v>27.569559842869719</c:v>
                </c:pt>
                <c:pt idx="33">
                  <c:v>27.569559842869719</c:v>
                </c:pt>
                <c:pt idx="34">
                  <c:v>27.569559842869719</c:v>
                </c:pt>
                <c:pt idx="35">
                  <c:v>27.569559842869719</c:v>
                </c:pt>
                <c:pt idx="36">
                  <c:v>27.569559842869719</c:v>
                </c:pt>
                <c:pt idx="37">
                  <c:v>27.569559842869719</c:v>
                </c:pt>
                <c:pt idx="38">
                  <c:v>27.569559842869719</c:v>
                </c:pt>
                <c:pt idx="39">
                  <c:v>27.569559842869719</c:v>
                </c:pt>
                <c:pt idx="40">
                  <c:v>27.569559842869719</c:v>
                </c:pt>
                <c:pt idx="41">
                  <c:v>27.569559842869719</c:v>
                </c:pt>
                <c:pt idx="42">
                  <c:v>27.569559842869719</c:v>
                </c:pt>
                <c:pt idx="43">
                  <c:v>27.569559842869719</c:v>
                </c:pt>
                <c:pt idx="44">
                  <c:v>27.569559842869719</c:v>
                </c:pt>
                <c:pt idx="45">
                  <c:v>27.569559842869719</c:v>
                </c:pt>
                <c:pt idx="46">
                  <c:v>27.569559842869719</c:v>
                </c:pt>
                <c:pt idx="47">
                  <c:v>27.569559842869719</c:v>
                </c:pt>
                <c:pt idx="48">
                  <c:v>27.569559842869719</c:v>
                </c:pt>
                <c:pt idx="49">
                  <c:v>27.569559842869719</c:v>
                </c:pt>
                <c:pt idx="50">
                  <c:v>27.569559842869719</c:v>
                </c:pt>
                <c:pt idx="51">
                  <c:v>27.569559842869719</c:v>
                </c:pt>
                <c:pt idx="52">
                  <c:v>27.569559842869719</c:v>
                </c:pt>
                <c:pt idx="53">
                  <c:v>27.569559842869719</c:v>
                </c:pt>
                <c:pt idx="54">
                  <c:v>27.569559842869719</c:v>
                </c:pt>
                <c:pt idx="55">
                  <c:v>27.569559842869719</c:v>
                </c:pt>
                <c:pt idx="56">
                  <c:v>27.569559842869719</c:v>
                </c:pt>
                <c:pt idx="57">
                  <c:v>27.569559842869719</c:v>
                </c:pt>
                <c:pt idx="58">
                  <c:v>27.569559842869719</c:v>
                </c:pt>
                <c:pt idx="59">
                  <c:v>27.569559842869719</c:v>
                </c:pt>
                <c:pt idx="60">
                  <c:v>27.569559842869719</c:v>
                </c:pt>
                <c:pt idx="61">
                  <c:v>27.569559842869719</c:v>
                </c:pt>
                <c:pt idx="62">
                  <c:v>27.569559842869719</c:v>
                </c:pt>
                <c:pt idx="63">
                  <c:v>27.569559842869719</c:v>
                </c:pt>
                <c:pt idx="64">
                  <c:v>27.569559842869719</c:v>
                </c:pt>
                <c:pt idx="65">
                  <c:v>27.569559842869719</c:v>
                </c:pt>
                <c:pt idx="66">
                  <c:v>27.569559842869719</c:v>
                </c:pt>
                <c:pt idx="67">
                  <c:v>27.569559842869719</c:v>
                </c:pt>
                <c:pt idx="68">
                  <c:v>27.569559842869719</c:v>
                </c:pt>
                <c:pt idx="69">
                  <c:v>27.569559842869719</c:v>
                </c:pt>
                <c:pt idx="70">
                  <c:v>27.569559842869719</c:v>
                </c:pt>
                <c:pt idx="71">
                  <c:v>27.569559842869719</c:v>
                </c:pt>
                <c:pt idx="72">
                  <c:v>27.569559842869719</c:v>
                </c:pt>
                <c:pt idx="73">
                  <c:v>27.569559842869719</c:v>
                </c:pt>
                <c:pt idx="74">
                  <c:v>27.569559842869719</c:v>
                </c:pt>
                <c:pt idx="75">
                  <c:v>27.569559842869719</c:v>
                </c:pt>
                <c:pt idx="76">
                  <c:v>27.569559842869719</c:v>
                </c:pt>
                <c:pt idx="77">
                  <c:v>27.569559842869719</c:v>
                </c:pt>
                <c:pt idx="78">
                  <c:v>27.569559842869719</c:v>
                </c:pt>
                <c:pt idx="79">
                  <c:v>27.569559842869719</c:v>
                </c:pt>
                <c:pt idx="80">
                  <c:v>27.569559842869719</c:v>
                </c:pt>
                <c:pt idx="81">
                  <c:v>27.569559842869719</c:v>
                </c:pt>
                <c:pt idx="82">
                  <c:v>27.569559842869719</c:v>
                </c:pt>
                <c:pt idx="83">
                  <c:v>27.569559842869719</c:v>
                </c:pt>
                <c:pt idx="84">
                  <c:v>27.569559842869719</c:v>
                </c:pt>
                <c:pt idx="85">
                  <c:v>27.569559842869719</c:v>
                </c:pt>
                <c:pt idx="86">
                  <c:v>27.569559842869719</c:v>
                </c:pt>
                <c:pt idx="87">
                  <c:v>27.569559842869719</c:v>
                </c:pt>
                <c:pt idx="88">
                  <c:v>27.569559842869719</c:v>
                </c:pt>
                <c:pt idx="89">
                  <c:v>27.569559842869719</c:v>
                </c:pt>
                <c:pt idx="90">
                  <c:v>27.569559842869719</c:v>
                </c:pt>
                <c:pt idx="91">
                  <c:v>27.569559842869719</c:v>
                </c:pt>
                <c:pt idx="92">
                  <c:v>27.569559842869719</c:v>
                </c:pt>
                <c:pt idx="93">
                  <c:v>27.569559842869719</c:v>
                </c:pt>
                <c:pt idx="94">
                  <c:v>27.569559842869719</c:v>
                </c:pt>
                <c:pt idx="95">
                  <c:v>27.569559842869719</c:v>
                </c:pt>
                <c:pt idx="96">
                  <c:v>27.569559842869719</c:v>
                </c:pt>
                <c:pt idx="97">
                  <c:v>27.569559842869719</c:v>
                </c:pt>
                <c:pt idx="98">
                  <c:v>27.569559842869719</c:v>
                </c:pt>
                <c:pt idx="99">
                  <c:v>27.569559842869719</c:v>
                </c:pt>
                <c:pt idx="100">
                  <c:v>27.569559842869719</c:v>
                </c:pt>
                <c:pt idx="101">
                  <c:v>27.569559842869719</c:v>
                </c:pt>
                <c:pt idx="102">
                  <c:v>27.569559842869719</c:v>
                </c:pt>
                <c:pt idx="103">
                  <c:v>27.569559842869719</c:v>
                </c:pt>
                <c:pt idx="104">
                  <c:v>27.569559842869719</c:v>
                </c:pt>
                <c:pt idx="105">
                  <c:v>27.569559842869719</c:v>
                </c:pt>
                <c:pt idx="106">
                  <c:v>27.569559842869719</c:v>
                </c:pt>
                <c:pt idx="107">
                  <c:v>27.569559842869719</c:v>
                </c:pt>
                <c:pt idx="108">
                  <c:v>27.569559842869719</c:v>
                </c:pt>
                <c:pt idx="109">
                  <c:v>27.569559842869719</c:v>
                </c:pt>
                <c:pt idx="110">
                  <c:v>27.569559842869719</c:v>
                </c:pt>
                <c:pt idx="111">
                  <c:v>27.569559842869719</c:v>
                </c:pt>
                <c:pt idx="112">
                  <c:v>27.569559842869719</c:v>
                </c:pt>
                <c:pt idx="113">
                  <c:v>27.569559842869719</c:v>
                </c:pt>
                <c:pt idx="114">
                  <c:v>27.569559842869719</c:v>
                </c:pt>
                <c:pt idx="115">
                  <c:v>27.569559842869719</c:v>
                </c:pt>
                <c:pt idx="116">
                  <c:v>27.569559842869719</c:v>
                </c:pt>
                <c:pt idx="117">
                  <c:v>27.569559842869719</c:v>
                </c:pt>
                <c:pt idx="118">
                  <c:v>27.569559842869719</c:v>
                </c:pt>
                <c:pt idx="119">
                  <c:v>27.569559842869719</c:v>
                </c:pt>
                <c:pt idx="120">
                  <c:v>27.569559842869719</c:v>
                </c:pt>
                <c:pt idx="121">
                  <c:v>27.569559842869719</c:v>
                </c:pt>
                <c:pt idx="122">
                  <c:v>27.569559842869719</c:v>
                </c:pt>
                <c:pt idx="123">
                  <c:v>27.569559842869719</c:v>
                </c:pt>
                <c:pt idx="124">
                  <c:v>27.569559842869719</c:v>
                </c:pt>
                <c:pt idx="125">
                  <c:v>27.569559842869719</c:v>
                </c:pt>
                <c:pt idx="126">
                  <c:v>27.569559842869719</c:v>
                </c:pt>
                <c:pt idx="127">
                  <c:v>27.569559842869719</c:v>
                </c:pt>
                <c:pt idx="128">
                  <c:v>27.569559842869719</c:v>
                </c:pt>
                <c:pt idx="129">
                  <c:v>27.569559842869719</c:v>
                </c:pt>
                <c:pt idx="130">
                  <c:v>27.569559842869719</c:v>
                </c:pt>
                <c:pt idx="131">
                  <c:v>27.569559842869719</c:v>
                </c:pt>
                <c:pt idx="132">
                  <c:v>27.569559842869719</c:v>
                </c:pt>
                <c:pt idx="133">
                  <c:v>27.569559842869719</c:v>
                </c:pt>
                <c:pt idx="134">
                  <c:v>27.569559842869719</c:v>
                </c:pt>
                <c:pt idx="135">
                  <c:v>27.569559842869719</c:v>
                </c:pt>
                <c:pt idx="136">
                  <c:v>27.569559842869719</c:v>
                </c:pt>
                <c:pt idx="137">
                  <c:v>27.569559842869719</c:v>
                </c:pt>
                <c:pt idx="138">
                  <c:v>27.569559842869719</c:v>
                </c:pt>
                <c:pt idx="139">
                  <c:v>27.569559842869719</c:v>
                </c:pt>
                <c:pt idx="140">
                  <c:v>27.569559842869719</c:v>
                </c:pt>
                <c:pt idx="141">
                  <c:v>27.569559842869719</c:v>
                </c:pt>
                <c:pt idx="142">
                  <c:v>27.569559842869719</c:v>
                </c:pt>
                <c:pt idx="143">
                  <c:v>27.569559842869719</c:v>
                </c:pt>
                <c:pt idx="144">
                  <c:v>27.569559842869719</c:v>
                </c:pt>
                <c:pt idx="145">
                  <c:v>27.569559842869719</c:v>
                </c:pt>
                <c:pt idx="146">
                  <c:v>27.569559842869719</c:v>
                </c:pt>
                <c:pt idx="147">
                  <c:v>27.569559842869719</c:v>
                </c:pt>
                <c:pt idx="148">
                  <c:v>27.569559842869719</c:v>
                </c:pt>
                <c:pt idx="149">
                  <c:v>27.569559842869719</c:v>
                </c:pt>
                <c:pt idx="150">
                  <c:v>27.569559842869719</c:v>
                </c:pt>
                <c:pt idx="151">
                  <c:v>27.569559842869719</c:v>
                </c:pt>
                <c:pt idx="152">
                  <c:v>27.569559842869719</c:v>
                </c:pt>
                <c:pt idx="153">
                  <c:v>27.569559842869719</c:v>
                </c:pt>
                <c:pt idx="154">
                  <c:v>27.569559842869719</c:v>
                </c:pt>
                <c:pt idx="155">
                  <c:v>27.569559842869719</c:v>
                </c:pt>
                <c:pt idx="156">
                  <c:v>27.569559842869719</c:v>
                </c:pt>
                <c:pt idx="157">
                  <c:v>27.569559842869719</c:v>
                </c:pt>
                <c:pt idx="158">
                  <c:v>27.569559842869719</c:v>
                </c:pt>
                <c:pt idx="159">
                  <c:v>27.569559842869719</c:v>
                </c:pt>
                <c:pt idx="160">
                  <c:v>27.569559842869719</c:v>
                </c:pt>
                <c:pt idx="161">
                  <c:v>27.569559842869719</c:v>
                </c:pt>
                <c:pt idx="162">
                  <c:v>27.569559842869719</c:v>
                </c:pt>
                <c:pt idx="163">
                  <c:v>27.569559842869719</c:v>
                </c:pt>
                <c:pt idx="164">
                  <c:v>27.569559842869719</c:v>
                </c:pt>
                <c:pt idx="165">
                  <c:v>27.569559842869719</c:v>
                </c:pt>
                <c:pt idx="166">
                  <c:v>27.569559842869719</c:v>
                </c:pt>
                <c:pt idx="167">
                  <c:v>27.569559842869719</c:v>
                </c:pt>
                <c:pt idx="168">
                  <c:v>27.569559842869719</c:v>
                </c:pt>
                <c:pt idx="169">
                  <c:v>27.569559842869719</c:v>
                </c:pt>
                <c:pt idx="170">
                  <c:v>27.569559842869719</c:v>
                </c:pt>
                <c:pt idx="171">
                  <c:v>27.569559842869719</c:v>
                </c:pt>
                <c:pt idx="172">
                  <c:v>27.569559842869719</c:v>
                </c:pt>
                <c:pt idx="173">
                  <c:v>27.569559842869719</c:v>
                </c:pt>
                <c:pt idx="174">
                  <c:v>27.569559842869719</c:v>
                </c:pt>
                <c:pt idx="175">
                  <c:v>27.569559842869719</c:v>
                </c:pt>
                <c:pt idx="176">
                  <c:v>27.569559842869719</c:v>
                </c:pt>
                <c:pt idx="177">
                  <c:v>27.569559842869719</c:v>
                </c:pt>
                <c:pt idx="178">
                  <c:v>27.569559842869719</c:v>
                </c:pt>
                <c:pt idx="179">
                  <c:v>27.569559842869719</c:v>
                </c:pt>
                <c:pt idx="180">
                  <c:v>27.569559842869719</c:v>
                </c:pt>
                <c:pt idx="181">
                  <c:v>27.569559842869719</c:v>
                </c:pt>
                <c:pt idx="182">
                  <c:v>27.569559842869719</c:v>
                </c:pt>
                <c:pt idx="183">
                  <c:v>27.569559842869719</c:v>
                </c:pt>
                <c:pt idx="184">
                  <c:v>27.569559842869719</c:v>
                </c:pt>
                <c:pt idx="185">
                  <c:v>27.569559842869719</c:v>
                </c:pt>
                <c:pt idx="186">
                  <c:v>27.569559842869719</c:v>
                </c:pt>
                <c:pt idx="187">
                  <c:v>27.569559842869719</c:v>
                </c:pt>
                <c:pt idx="188">
                  <c:v>27.569559842869719</c:v>
                </c:pt>
                <c:pt idx="189">
                  <c:v>27.569559842869719</c:v>
                </c:pt>
                <c:pt idx="190">
                  <c:v>27.569559842869719</c:v>
                </c:pt>
                <c:pt idx="191">
                  <c:v>27.569559842869719</c:v>
                </c:pt>
                <c:pt idx="192">
                  <c:v>27.569559842869719</c:v>
                </c:pt>
                <c:pt idx="193">
                  <c:v>27.569559842869719</c:v>
                </c:pt>
                <c:pt idx="194">
                  <c:v>27.569559842869719</c:v>
                </c:pt>
                <c:pt idx="195">
                  <c:v>27.569559842869719</c:v>
                </c:pt>
                <c:pt idx="196">
                  <c:v>27.569559842869719</c:v>
                </c:pt>
                <c:pt idx="197">
                  <c:v>27.569559842869719</c:v>
                </c:pt>
                <c:pt idx="198">
                  <c:v>27.569559842869719</c:v>
                </c:pt>
                <c:pt idx="199">
                  <c:v>27.569559842869719</c:v>
                </c:pt>
                <c:pt idx="200">
                  <c:v>27.569559842869719</c:v>
                </c:pt>
                <c:pt idx="201">
                  <c:v>27.569559842869719</c:v>
                </c:pt>
                <c:pt idx="202">
                  <c:v>27.569559842869719</c:v>
                </c:pt>
                <c:pt idx="203">
                  <c:v>27.569559842869719</c:v>
                </c:pt>
                <c:pt idx="204">
                  <c:v>27.569559842869719</c:v>
                </c:pt>
                <c:pt idx="205">
                  <c:v>27.569559842869719</c:v>
                </c:pt>
                <c:pt idx="206">
                  <c:v>27.569559842869719</c:v>
                </c:pt>
                <c:pt idx="207">
                  <c:v>27.569559842869719</c:v>
                </c:pt>
                <c:pt idx="208">
                  <c:v>27.569559842869719</c:v>
                </c:pt>
                <c:pt idx="209">
                  <c:v>27.569559842869719</c:v>
                </c:pt>
                <c:pt idx="210">
                  <c:v>27.569559842869719</c:v>
                </c:pt>
                <c:pt idx="211">
                  <c:v>27.569559842869719</c:v>
                </c:pt>
                <c:pt idx="212">
                  <c:v>27.569559842869719</c:v>
                </c:pt>
                <c:pt idx="213">
                  <c:v>27.569559842869719</c:v>
                </c:pt>
                <c:pt idx="214">
                  <c:v>27.569559842869719</c:v>
                </c:pt>
                <c:pt idx="215">
                  <c:v>27.569559842869719</c:v>
                </c:pt>
                <c:pt idx="216">
                  <c:v>27.569559842869719</c:v>
                </c:pt>
                <c:pt idx="217">
                  <c:v>27.569559842869719</c:v>
                </c:pt>
                <c:pt idx="218">
                  <c:v>27.569559842869719</c:v>
                </c:pt>
                <c:pt idx="219">
                  <c:v>27.569559842869719</c:v>
                </c:pt>
                <c:pt idx="220">
                  <c:v>27.569559842869719</c:v>
                </c:pt>
                <c:pt idx="221">
                  <c:v>27.569559842869719</c:v>
                </c:pt>
                <c:pt idx="222">
                  <c:v>27.569559842869719</c:v>
                </c:pt>
                <c:pt idx="223">
                  <c:v>27.569559842869719</c:v>
                </c:pt>
                <c:pt idx="224">
                  <c:v>27.569559842869719</c:v>
                </c:pt>
                <c:pt idx="225">
                  <c:v>27.569559842869719</c:v>
                </c:pt>
                <c:pt idx="226">
                  <c:v>27.569559842869719</c:v>
                </c:pt>
                <c:pt idx="227">
                  <c:v>27.569559842869719</c:v>
                </c:pt>
                <c:pt idx="228">
                  <c:v>27.569559842869719</c:v>
                </c:pt>
                <c:pt idx="229">
                  <c:v>27.569559842869719</c:v>
                </c:pt>
                <c:pt idx="230">
                  <c:v>27.569559842869719</c:v>
                </c:pt>
                <c:pt idx="231">
                  <c:v>27.569559842869719</c:v>
                </c:pt>
                <c:pt idx="232">
                  <c:v>27.569559842869719</c:v>
                </c:pt>
                <c:pt idx="233">
                  <c:v>27.569559842869719</c:v>
                </c:pt>
                <c:pt idx="234">
                  <c:v>27.569559842869719</c:v>
                </c:pt>
                <c:pt idx="235">
                  <c:v>27.569559842869719</c:v>
                </c:pt>
                <c:pt idx="236">
                  <c:v>27.569559842869719</c:v>
                </c:pt>
                <c:pt idx="237">
                  <c:v>27.569559842869719</c:v>
                </c:pt>
                <c:pt idx="238">
                  <c:v>27.569559842869719</c:v>
                </c:pt>
                <c:pt idx="239">
                  <c:v>27.569559842869719</c:v>
                </c:pt>
                <c:pt idx="240">
                  <c:v>27.569559842869719</c:v>
                </c:pt>
                <c:pt idx="241">
                  <c:v>27.569559842869719</c:v>
                </c:pt>
                <c:pt idx="242">
                  <c:v>27.569559842869719</c:v>
                </c:pt>
                <c:pt idx="243">
                  <c:v>27.569559842869719</c:v>
                </c:pt>
                <c:pt idx="244">
                  <c:v>27.569559842869719</c:v>
                </c:pt>
                <c:pt idx="245">
                  <c:v>27.569559842869719</c:v>
                </c:pt>
                <c:pt idx="246">
                  <c:v>27.569559842869719</c:v>
                </c:pt>
                <c:pt idx="247">
                  <c:v>27.569559842869719</c:v>
                </c:pt>
                <c:pt idx="248">
                  <c:v>27.569559842869719</c:v>
                </c:pt>
                <c:pt idx="249">
                  <c:v>27.569559842869719</c:v>
                </c:pt>
                <c:pt idx="250">
                  <c:v>27.569559842869719</c:v>
                </c:pt>
                <c:pt idx="251">
                  <c:v>27.569559842869719</c:v>
                </c:pt>
                <c:pt idx="252">
                  <c:v>27.569559842869719</c:v>
                </c:pt>
                <c:pt idx="253">
                  <c:v>27.569559842869719</c:v>
                </c:pt>
                <c:pt idx="254">
                  <c:v>27.569559842869719</c:v>
                </c:pt>
                <c:pt idx="255">
                  <c:v>27.569559842869719</c:v>
                </c:pt>
                <c:pt idx="256">
                  <c:v>27.569559842869719</c:v>
                </c:pt>
                <c:pt idx="257">
                  <c:v>27.569559842869719</c:v>
                </c:pt>
                <c:pt idx="258">
                  <c:v>27.569559842869719</c:v>
                </c:pt>
                <c:pt idx="259">
                  <c:v>27.569559842869719</c:v>
                </c:pt>
                <c:pt idx="260">
                  <c:v>27.569559842869719</c:v>
                </c:pt>
                <c:pt idx="261">
                  <c:v>27.569559842869719</c:v>
                </c:pt>
                <c:pt idx="262">
                  <c:v>27.569559842869719</c:v>
                </c:pt>
                <c:pt idx="263">
                  <c:v>27.569559842869719</c:v>
                </c:pt>
                <c:pt idx="264">
                  <c:v>27.569559842869719</c:v>
                </c:pt>
                <c:pt idx="265">
                  <c:v>27.569559842869719</c:v>
                </c:pt>
                <c:pt idx="266">
                  <c:v>27.569559842869719</c:v>
                </c:pt>
                <c:pt idx="267">
                  <c:v>27.569559842869719</c:v>
                </c:pt>
                <c:pt idx="268">
                  <c:v>27.569559842869719</c:v>
                </c:pt>
                <c:pt idx="269">
                  <c:v>27.569559842869719</c:v>
                </c:pt>
                <c:pt idx="270">
                  <c:v>27.569559842869719</c:v>
                </c:pt>
                <c:pt idx="271">
                  <c:v>27.569559842869719</c:v>
                </c:pt>
                <c:pt idx="272">
                  <c:v>27.569559842869719</c:v>
                </c:pt>
                <c:pt idx="273">
                  <c:v>27.569559842869719</c:v>
                </c:pt>
                <c:pt idx="274">
                  <c:v>27.569559842869719</c:v>
                </c:pt>
                <c:pt idx="275">
                  <c:v>27.569559842869719</c:v>
                </c:pt>
                <c:pt idx="276">
                  <c:v>27.569559842869719</c:v>
                </c:pt>
                <c:pt idx="277">
                  <c:v>27.569559842869719</c:v>
                </c:pt>
                <c:pt idx="278">
                  <c:v>27.569559842869719</c:v>
                </c:pt>
                <c:pt idx="279">
                  <c:v>27.569559842869719</c:v>
                </c:pt>
                <c:pt idx="280">
                  <c:v>27.569559842869719</c:v>
                </c:pt>
                <c:pt idx="281">
                  <c:v>27.569559842869719</c:v>
                </c:pt>
                <c:pt idx="282">
                  <c:v>27.569559842869719</c:v>
                </c:pt>
                <c:pt idx="283">
                  <c:v>27.569559842869719</c:v>
                </c:pt>
                <c:pt idx="284">
                  <c:v>27.569559842869719</c:v>
                </c:pt>
                <c:pt idx="285">
                  <c:v>27.569559842869719</c:v>
                </c:pt>
                <c:pt idx="286">
                  <c:v>27.569559842869719</c:v>
                </c:pt>
                <c:pt idx="287">
                  <c:v>27.569559842869719</c:v>
                </c:pt>
                <c:pt idx="288">
                  <c:v>27.569559842869719</c:v>
                </c:pt>
                <c:pt idx="289">
                  <c:v>27.569559842869719</c:v>
                </c:pt>
                <c:pt idx="290">
                  <c:v>27.569559842869719</c:v>
                </c:pt>
                <c:pt idx="291">
                  <c:v>27.569559842869719</c:v>
                </c:pt>
                <c:pt idx="292">
                  <c:v>27.569559842869719</c:v>
                </c:pt>
                <c:pt idx="293">
                  <c:v>27.569559842869719</c:v>
                </c:pt>
                <c:pt idx="294">
                  <c:v>27.569559842869719</c:v>
                </c:pt>
                <c:pt idx="295">
                  <c:v>27.569559842869719</c:v>
                </c:pt>
                <c:pt idx="296">
                  <c:v>27.569559842869719</c:v>
                </c:pt>
                <c:pt idx="297">
                  <c:v>27.569559842869719</c:v>
                </c:pt>
                <c:pt idx="298">
                  <c:v>27.569559842869719</c:v>
                </c:pt>
                <c:pt idx="299">
                  <c:v>27.569559842869719</c:v>
                </c:pt>
                <c:pt idx="300">
                  <c:v>27.569559842869719</c:v>
                </c:pt>
                <c:pt idx="301">
                  <c:v>27.569559842869719</c:v>
                </c:pt>
                <c:pt idx="302">
                  <c:v>27.569559842869719</c:v>
                </c:pt>
                <c:pt idx="303">
                  <c:v>27.569559842869719</c:v>
                </c:pt>
                <c:pt idx="304">
                  <c:v>27.569559842869719</c:v>
                </c:pt>
                <c:pt idx="305">
                  <c:v>27.569559842869719</c:v>
                </c:pt>
                <c:pt idx="306">
                  <c:v>27.569559842869719</c:v>
                </c:pt>
                <c:pt idx="307">
                  <c:v>27.569559842869719</c:v>
                </c:pt>
                <c:pt idx="308">
                  <c:v>27.569559842869719</c:v>
                </c:pt>
                <c:pt idx="309">
                  <c:v>27.569559842869719</c:v>
                </c:pt>
                <c:pt idx="310">
                  <c:v>27.569559842869719</c:v>
                </c:pt>
                <c:pt idx="311">
                  <c:v>27.569559842869719</c:v>
                </c:pt>
                <c:pt idx="312">
                  <c:v>27.569559842869719</c:v>
                </c:pt>
                <c:pt idx="313">
                  <c:v>27.569559842869719</c:v>
                </c:pt>
                <c:pt idx="314">
                  <c:v>27.569559842869719</c:v>
                </c:pt>
                <c:pt idx="315">
                  <c:v>27.569559842869719</c:v>
                </c:pt>
                <c:pt idx="316">
                  <c:v>27.569559842869719</c:v>
                </c:pt>
                <c:pt idx="317">
                  <c:v>27.569559842869719</c:v>
                </c:pt>
                <c:pt idx="318">
                  <c:v>27.569559842869719</c:v>
                </c:pt>
                <c:pt idx="319">
                  <c:v>27.569559842869719</c:v>
                </c:pt>
                <c:pt idx="320">
                  <c:v>27.569559842869719</c:v>
                </c:pt>
                <c:pt idx="321">
                  <c:v>27.569559842869719</c:v>
                </c:pt>
                <c:pt idx="322">
                  <c:v>27.569559842869719</c:v>
                </c:pt>
                <c:pt idx="323">
                  <c:v>27.569559842869719</c:v>
                </c:pt>
                <c:pt idx="324">
                  <c:v>27.569559842869719</c:v>
                </c:pt>
                <c:pt idx="325">
                  <c:v>27.569559842869719</c:v>
                </c:pt>
                <c:pt idx="326">
                  <c:v>27.569559842869719</c:v>
                </c:pt>
                <c:pt idx="327">
                  <c:v>27.569559842869719</c:v>
                </c:pt>
                <c:pt idx="328">
                  <c:v>27.569559842869719</c:v>
                </c:pt>
                <c:pt idx="329">
                  <c:v>27.569559842869719</c:v>
                </c:pt>
                <c:pt idx="330">
                  <c:v>27.569559842869719</c:v>
                </c:pt>
                <c:pt idx="331">
                  <c:v>27.569559842869719</c:v>
                </c:pt>
                <c:pt idx="332">
                  <c:v>27.569559842869719</c:v>
                </c:pt>
                <c:pt idx="333">
                  <c:v>27.569559842869719</c:v>
                </c:pt>
                <c:pt idx="334">
                  <c:v>27.569559842869719</c:v>
                </c:pt>
                <c:pt idx="335">
                  <c:v>27.569559842869719</c:v>
                </c:pt>
                <c:pt idx="336">
                  <c:v>27.569559842869719</c:v>
                </c:pt>
                <c:pt idx="337">
                  <c:v>27.569559842869719</c:v>
                </c:pt>
                <c:pt idx="338">
                  <c:v>27.569559842869719</c:v>
                </c:pt>
                <c:pt idx="339">
                  <c:v>27.569559842869719</c:v>
                </c:pt>
                <c:pt idx="340">
                  <c:v>27.569559842869719</c:v>
                </c:pt>
                <c:pt idx="341">
                  <c:v>27.569559842869719</c:v>
                </c:pt>
                <c:pt idx="342">
                  <c:v>27.569559842869719</c:v>
                </c:pt>
                <c:pt idx="343">
                  <c:v>27.569559842869719</c:v>
                </c:pt>
                <c:pt idx="344">
                  <c:v>27.569559842869719</c:v>
                </c:pt>
                <c:pt idx="345">
                  <c:v>27.569559842869719</c:v>
                </c:pt>
                <c:pt idx="346">
                  <c:v>27.569559842869719</c:v>
                </c:pt>
                <c:pt idx="347">
                  <c:v>27.569559842869719</c:v>
                </c:pt>
                <c:pt idx="348">
                  <c:v>27.569559842869719</c:v>
                </c:pt>
                <c:pt idx="349">
                  <c:v>27.569559842869719</c:v>
                </c:pt>
                <c:pt idx="350">
                  <c:v>27.569559842869719</c:v>
                </c:pt>
                <c:pt idx="351">
                  <c:v>27.569559842869719</c:v>
                </c:pt>
                <c:pt idx="352">
                  <c:v>27.569559842869719</c:v>
                </c:pt>
                <c:pt idx="353">
                  <c:v>27.569559842869719</c:v>
                </c:pt>
                <c:pt idx="354">
                  <c:v>27.569559842869719</c:v>
                </c:pt>
                <c:pt idx="355">
                  <c:v>27.569559842869719</c:v>
                </c:pt>
                <c:pt idx="356">
                  <c:v>27.569559842869719</c:v>
                </c:pt>
                <c:pt idx="357">
                  <c:v>27.569559842869719</c:v>
                </c:pt>
                <c:pt idx="358">
                  <c:v>27.569559842869719</c:v>
                </c:pt>
                <c:pt idx="359">
                  <c:v>27.569559842869719</c:v>
                </c:pt>
                <c:pt idx="360">
                  <c:v>27.569559842869719</c:v>
                </c:pt>
                <c:pt idx="361">
                  <c:v>27.569559842869719</c:v>
                </c:pt>
                <c:pt idx="362">
                  <c:v>27.569559842869719</c:v>
                </c:pt>
                <c:pt idx="363">
                  <c:v>27.569559842869719</c:v>
                </c:pt>
                <c:pt idx="364">
                  <c:v>27.569559842869719</c:v>
                </c:pt>
                <c:pt idx="365">
                  <c:v>27.569559842869719</c:v>
                </c:pt>
                <c:pt idx="366">
                  <c:v>27.569559842869719</c:v>
                </c:pt>
                <c:pt idx="367">
                  <c:v>27.569559842869719</c:v>
                </c:pt>
                <c:pt idx="368">
                  <c:v>27.569559842869719</c:v>
                </c:pt>
                <c:pt idx="369">
                  <c:v>27.569559842869719</c:v>
                </c:pt>
                <c:pt idx="370">
                  <c:v>27.569559842869719</c:v>
                </c:pt>
                <c:pt idx="371">
                  <c:v>27.569559842869719</c:v>
                </c:pt>
                <c:pt idx="372">
                  <c:v>27.569559842869719</c:v>
                </c:pt>
                <c:pt idx="373">
                  <c:v>27.569559842869719</c:v>
                </c:pt>
                <c:pt idx="374">
                  <c:v>27.569559842869719</c:v>
                </c:pt>
                <c:pt idx="375">
                  <c:v>27.569559842869719</c:v>
                </c:pt>
                <c:pt idx="376">
                  <c:v>27.569559842869719</c:v>
                </c:pt>
                <c:pt idx="377">
                  <c:v>27.569559842869719</c:v>
                </c:pt>
                <c:pt idx="378">
                  <c:v>27.569559842869719</c:v>
                </c:pt>
                <c:pt idx="379">
                  <c:v>27.569559842869719</c:v>
                </c:pt>
                <c:pt idx="380">
                  <c:v>27.569559842869719</c:v>
                </c:pt>
                <c:pt idx="381">
                  <c:v>27.569559842869719</c:v>
                </c:pt>
                <c:pt idx="382">
                  <c:v>27.569559842869719</c:v>
                </c:pt>
                <c:pt idx="383">
                  <c:v>27.569559842869719</c:v>
                </c:pt>
                <c:pt idx="384">
                  <c:v>27.569559842869719</c:v>
                </c:pt>
                <c:pt idx="385">
                  <c:v>27.569559842869719</c:v>
                </c:pt>
                <c:pt idx="386">
                  <c:v>27.569559842869719</c:v>
                </c:pt>
                <c:pt idx="387">
                  <c:v>27.569559842869719</c:v>
                </c:pt>
                <c:pt idx="388">
                  <c:v>27.569559842869719</c:v>
                </c:pt>
                <c:pt idx="389">
                  <c:v>27.569559842869719</c:v>
                </c:pt>
                <c:pt idx="390">
                  <c:v>27.569559842869719</c:v>
                </c:pt>
                <c:pt idx="391">
                  <c:v>27.569559842869719</c:v>
                </c:pt>
                <c:pt idx="392">
                  <c:v>27.569559842869719</c:v>
                </c:pt>
                <c:pt idx="393">
                  <c:v>27.569559842869719</c:v>
                </c:pt>
                <c:pt idx="394">
                  <c:v>27.569559842869719</c:v>
                </c:pt>
                <c:pt idx="395">
                  <c:v>27.569559842869719</c:v>
                </c:pt>
                <c:pt idx="396">
                  <c:v>27.569559842869719</c:v>
                </c:pt>
                <c:pt idx="397">
                  <c:v>27.569559842869719</c:v>
                </c:pt>
                <c:pt idx="398">
                  <c:v>27.569559842869719</c:v>
                </c:pt>
                <c:pt idx="399">
                  <c:v>27.569559842869719</c:v>
                </c:pt>
                <c:pt idx="400">
                  <c:v>27.569559842869719</c:v>
                </c:pt>
                <c:pt idx="401">
                  <c:v>27.569559842869719</c:v>
                </c:pt>
                <c:pt idx="402">
                  <c:v>27.569559842869719</c:v>
                </c:pt>
                <c:pt idx="403">
                  <c:v>27.569559842869719</c:v>
                </c:pt>
                <c:pt idx="404">
                  <c:v>27.569559842869719</c:v>
                </c:pt>
                <c:pt idx="405">
                  <c:v>27.569559842869719</c:v>
                </c:pt>
                <c:pt idx="406">
                  <c:v>27.569559842869719</c:v>
                </c:pt>
                <c:pt idx="407">
                  <c:v>27.569559842869719</c:v>
                </c:pt>
                <c:pt idx="408">
                  <c:v>27.569559842869719</c:v>
                </c:pt>
                <c:pt idx="409">
                  <c:v>27.569559842869719</c:v>
                </c:pt>
                <c:pt idx="410">
                  <c:v>27.569559842869719</c:v>
                </c:pt>
                <c:pt idx="411">
                  <c:v>27.569559842869719</c:v>
                </c:pt>
                <c:pt idx="412">
                  <c:v>27.569559842869719</c:v>
                </c:pt>
                <c:pt idx="413">
                  <c:v>27.569559842869719</c:v>
                </c:pt>
                <c:pt idx="414">
                  <c:v>27.569559842869719</c:v>
                </c:pt>
                <c:pt idx="415">
                  <c:v>27.569559842869719</c:v>
                </c:pt>
                <c:pt idx="416">
                  <c:v>27.569559842869719</c:v>
                </c:pt>
                <c:pt idx="417">
                  <c:v>27.569559842869719</c:v>
                </c:pt>
                <c:pt idx="418">
                  <c:v>27.569559842869719</c:v>
                </c:pt>
                <c:pt idx="419">
                  <c:v>27.569559842869719</c:v>
                </c:pt>
                <c:pt idx="420">
                  <c:v>27.569559842869719</c:v>
                </c:pt>
                <c:pt idx="421">
                  <c:v>27.569559842869719</c:v>
                </c:pt>
                <c:pt idx="422">
                  <c:v>27.569559842869719</c:v>
                </c:pt>
                <c:pt idx="423">
                  <c:v>27.569559842869719</c:v>
                </c:pt>
                <c:pt idx="424">
                  <c:v>27.569559842869719</c:v>
                </c:pt>
                <c:pt idx="425">
                  <c:v>27.569559842869719</c:v>
                </c:pt>
                <c:pt idx="426">
                  <c:v>27.569559842869719</c:v>
                </c:pt>
                <c:pt idx="427">
                  <c:v>27.569559842869719</c:v>
                </c:pt>
                <c:pt idx="428">
                  <c:v>27.569559842869719</c:v>
                </c:pt>
                <c:pt idx="429">
                  <c:v>27.569559842869719</c:v>
                </c:pt>
                <c:pt idx="430">
                  <c:v>27.569559842869719</c:v>
                </c:pt>
                <c:pt idx="431">
                  <c:v>27.569559842869719</c:v>
                </c:pt>
                <c:pt idx="432">
                  <c:v>27.569559842869719</c:v>
                </c:pt>
                <c:pt idx="433">
                  <c:v>27.569559842869719</c:v>
                </c:pt>
                <c:pt idx="434">
                  <c:v>27.569559842869719</c:v>
                </c:pt>
                <c:pt idx="435">
                  <c:v>27.569559842869719</c:v>
                </c:pt>
                <c:pt idx="436">
                  <c:v>27.569559842869719</c:v>
                </c:pt>
                <c:pt idx="437">
                  <c:v>27.569559842869719</c:v>
                </c:pt>
                <c:pt idx="438">
                  <c:v>27.569559842869719</c:v>
                </c:pt>
                <c:pt idx="439">
                  <c:v>27.569559842869719</c:v>
                </c:pt>
                <c:pt idx="440">
                  <c:v>27.569559842869719</c:v>
                </c:pt>
                <c:pt idx="441">
                  <c:v>27.569559842869719</c:v>
                </c:pt>
                <c:pt idx="442">
                  <c:v>27.569559842869719</c:v>
                </c:pt>
                <c:pt idx="443">
                  <c:v>27.569559842869719</c:v>
                </c:pt>
                <c:pt idx="444">
                  <c:v>27.569559842869719</c:v>
                </c:pt>
                <c:pt idx="445">
                  <c:v>27.569559842869719</c:v>
                </c:pt>
                <c:pt idx="446">
                  <c:v>27.569559842869719</c:v>
                </c:pt>
                <c:pt idx="447">
                  <c:v>27.569559842869719</c:v>
                </c:pt>
                <c:pt idx="448">
                  <c:v>27.569559842869719</c:v>
                </c:pt>
                <c:pt idx="449">
                  <c:v>27.569559842869719</c:v>
                </c:pt>
                <c:pt idx="450">
                  <c:v>27.569559842869719</c:v>
                </c:pt>
                <c:pt idx="451">
                  <c:v>27.569559842869719</c:v>
                </c:pt>
                <c:pt idx="452">
                  <c:v>27.569559842869719</c:v>
                </c:pt>
                <c:pt idx="453">
                  <c:v>27.569559842869719</c:v>
                </c:pt>
                <c:pt idx="454">
                  <c:v>27.569559842869719</c:v>
                </c:pt>
                <c:pt idx="455">
                  <c:v>27.569559842869719</c:v>
                </c:pt>
                <c:pt idx="456">
                  <c:v>27.569559842869719</c:v>
                </c:pt>
                <c:pt idx="457">
                  <c:v>27.569559842869719</c:v>
                </c:pt>
                <c:pt idx="458">
                  <c:v>27.569559842869719</c:v>
                </c:pt>
                <c:pt idx="459">
                  <c:v>27.569559842869719</c:v>
                </c:pt>
                <c:pt idx="460">
                  <c:v>27.569559842869719</c:v>
                </c:pt>
                <c:pt idx="461">
                  <c:v>27.569559842869719</c:v>
                </c:pt>
                <c:pt idx="462">
                  <c:v>27.569559842869719</c:v>
                </c:pt>
                <c:pt idx="463">
                  <c:v>27.569559842869719</c:v>
                </c:pt>
                <c:pt idx="464">
                  <c:v>27.569559842869719</c:v>
                </c:pt>
                <c:pt idx="465">
                  <c:v>27.569559842869719</c:v>
                </c:pt>
                <c:pt idx="466">
                  <c:v>27.569559842869719</c:v>
                </c:pt>
                <c:pt idx="467">
                  <c:v>27.569559842869719</c:v>
                </c:pt>
                <c:pt idx="468">
                  <c:v>27.569559842869719</c:v>
                </c:pt>
                <c:pt idx="469">
                  <c:v>27.569559842869719</c:v>
                </c:pt>
                <c:pt idx="470">
                  <c:v>27.569559842869719</c:v>
                </c:pt>
                <c:pt idx="471">
                  <c:v>27.569559842869719</c:v>
                </c:pt>
                <c:pt idx="472">
                  <c:v>27.569559842869719</c:v>
                </c:pt>
                <c:pt idx="473">
                  <c:v>27.569559842869719</c:v>
                </c:pt>
                <c:pt idx="474">
                  <c:v>27.569559842869719</c:v>
                </c:pt>
                <c:pt idx="475">
                  <c:v>27.569559842869719</c:v>
                </c:pt>
                <c:pt idx="476">
                  <c:v>27.569559842869719</c:v>
                </c:pt>
                <c:pt idx="477">
                  <c:v>27.569559842869719</c:v>
                </c:pt>
                <c:pt idx="478">
                  <c:v>27.569559842869719</c:v>
                </c:pt>
                <c:pt idx="479">
                  <c:v>27.569559842869719</c:v>
                </c:pt>
                <c:pt idx="480">
                  <c:v>27.569559842869719</c:v>
                </c:pt>
                <c:pt idx="481">
                  <c:v>27.569559842869719</c:v>
                </c:pt>
                <c:pt idx="482">
                  <c:v>27.569559842869719</c:v>
                </c:pt>
                <c:pt idx="483">
                  <c:v>27.569559842869719</c:v>
                </c:pt>
                <c:pt idx="484">
                  <c:v>27.569559842869719</c:v>
                </c:pt>
                <c:pt idx="485">
                  <c:v>27.569559842869719</c:v>
                </c:pt>
                <c:pt idx="486">
                  <c:v>27.569559842869719</c:v>
                </c:pt>
                <c:pt idx="487">
                  <c:v>27.569559842869719</c:v>
                </c:pt>
                <c:pt idx="488">
                  <c:v>27.569559842869719</c:v>
                </c:pt>
                <c:pt idx="489">
                  <c:v>27.569559842869719</c:v>
                </c:pt>
                <c:pt idx="490">
                  <c:v>27.569559842869719</c:v>
                </c:pt>
                <c:pt idx="491">
                  <c:v>27.569559842869719</c:v>
                </c:pt>
                <c:pt idx="492">
                  <c:v>27.569559842869719</c:v>
                </c:pt>
                <c:pt idx="493">
                  <c:v>27.569559842869719</c:v>
                </c:pt>
                <c:pt idx="494">
                  <c:v>27.569559842869719</c:v>
                </c:pt>
                <c:pt idx="495">
                  <c:v>27.569559842869719</c:v>
                </c:pt>
                <c:pt idx="496">
                  <c:v>27.569559842869719</c:v>
                </c:pt>
                <c:pt idx="497">
                  <c:v>27.569559842869719</c:v>
                </c:pt>
                <c:pt idx="498">
                  <c:v>27.569559842869719</c:v>
                </c:pt>
                <c:pt idx="499">
                  <c:v>27.569559842869719</c:v>
                </c:pt>
                <c:pt idx="500">
                  <c:v>27.569559842869719</c:v>
                </c:pt>
                <c:pt idx="501">
                  <c:v>27.569559842869719</c:v>
                </c:pt>
                <c:pt idx="502">
                  <c:v>27.569559842869719</c:v>
                </c:pt>
                <c:pt idx="503">
                  <c:v>27.569559842869719</c:v>
                </c:pt>
                <c:pt idx="504">
                  <c:v>27.569559842869719</c:v>
                </c:pt>
                <c:pt idx="505">
                  <c:v>27.569559842869719</c:v>
                </c:pt>
                <c:pt idx="506">
                  <c:v>27.569559842869719</c:v>
                </c:pt>
                <c:pt idx="507">
                  <c:v>27.569559842869719</c:v>
                </c:pt>
                <c:pt idx="508">
                  <c:v>27.569559842869719</c:v>
                </c:pt>
                <c:pt idx="509">
                  <c:v>27.569559842869719</c:v>
                </c:pt>
                <c:pt idx="510">
                  <c:v>27.569559842869719</c:v>
                </c:pt>
                <c:pt idx="511">
                  <c:v>27.569559842869719</c:v>
                </c:pt>
                <c:pt idx="512">
                  <c:v>27.569559842869719</c:v>
                </c:pt>
                <c:pt idx="513">
                  <c:v>27.569559842869719</c:v>
                </c:pt>
                <c:pt idx="514">
                  <c:v>27.569559842869719</c:v>
                </c:pt>
                <c:pt idx="515">
                  <c:v>27.569559842869719</c:v>
                </c:pt>
                <c:pt idx="516">
                  <c:v>27.569559842869719</c:v>
                </c:pt>
                <c:pt idx="517">
                  <c:v>27.569559842869719</c:v>
                </c:pt>
                <c:pt idx="518">
                  <c:v>27.569559842869719</c:v>
                </c:pt>
                <c:pt idx="519">
                  <c:v>27.569559842869719</c:v>
                </c:pt>
                <c:pt idx="520">
                  <c:v>27.569559842869719</c:v>
                </c:pt>
                <c:pt idx="521">
                  <c:v>27.569559842869719</c:v>
                </c:pt>
                <c:pt idx="522">
                  <c:v>27.569559842869719</c:v>
                </c:pt>
                <c:pt idx="523">
                  <c:v>27.569559842869719</c:v>
                </c:pt>
                <c:pt idx="524">
                  <c:v>27.569559842869719</c:v>
                </c:pt>
                <c:pt idx="525">
                  <c:v>27.569559842869719</c:v>
                </c:pt>
                <c:pt idx="526">
                  <c:v>27.569559842869719</c:v>
                </c:pt>
                <c:pt idx="527">
                  <c:v>27.569559842869719</c:v>
                </c:pt>
                <c:pt idx="528">
                  <c:v>27.569559842869719</c:v>
                </c:pt>
                <c:pt idx="529">
                  <c:v>27.569559842869719</c:v>
                </c:pt>
                <c:pt idx="530">
                  <c:v>27.569559842869719</c:v>
                </c:pt>
                <c:pt idx="531">
                  <c:v>27.569559842869719</c:v>
                </c:pt>
                <c:pt idx="532">
                  <c:v>27.569559842869719</c:v>
                </c:pt>
                <c:pt idx="533">
                  <c:v>27.569559842869719</c:v>
                </c:pt>
                <c:pt idx="534">
                  <c:v>27.569559842869719</c:v>
                </c:pt>
                <c:pt idx="535">
                  <c:v>27.569559842869719</c:v>
                </c:pt>
                <c:pt idx="536">
                  <c:v>27.569559842869719</c:v>
                </c:pt>
                <c:pt idx="537">
                  <c:v>27.569559842869719</c:v>
                </c:pt>
                <c:pt idx="538">
                  <c:v>27.569559842869719</c:v>
                </c:pt>
                <c:pt idx="539">
                  <c:v>27.569559842869719</c:v>
                </c:pt>
                <c:pt idx="540">
                  <c:v>27.569559842869719</c:v>
                </c:pt>
                <c:pt idx="541">
                  <c:v>27.569559842869719</c:v>
                </c:pt>
                <c:pt idx="542">
                  <c:v>27.569559842869719</c:v>
                </c:pt>
                <c:pt idx="543">
                  <c:v>27.569559842869719</c:v>
                </c:pt>
                <c:pt idx="544">
                  <c:v>27.569559842869719</c:v>
                </c:pt>
                <c:pt idx="545">
                  <c:v>27.569559842869719</c:v>
                </c:pt>
                <c:pt idx="546">
                  <c:v>27.569559842869719</c:v>
                </c:pt>
                <c:pt idx="547">
                  <c:v>27.569559842869719</c:v>
                </c:pt>
                <c:pt idx="548">
                  <c:v>27.569559842869719</c:v>
                </c:pt>
                <c:pt idx="549">
                  <c:v>27.569559842869719</c:v>
                </c:pt>
                <c:pt idx="550">
                  <c:v>27.569559842869719</c:v>
                </c:pt>
                <c:pt idx="551">
                  <c:v>27.569559842869719</c:v>
                </c:pt>
                <c:pt idx="552">
                  <c:v>27.569559842869719</c:v>
                </c:pt>
                <c:pt idx="553">
                  <c:v>27.569559842869719</c:v>
                </c:pt>
                <c:pt idx="554">
                  <c:v>27.569559842869719</c:v>
                </c:pt>
                <c:pt idx="555">
                  <c:v>27.569559842869719</c:v>
                </c:pt>
                <c:pt idx="556">
                  <c:v>27.569559842869719</c:v>
                </c:pt>
                <c:pt idx="557">
                  <c:v>27.569559842869719</c:v>
                </c:pt>
                <c:pt idx="558">
                  <c:v>27.569559842869719</c:v>
                </c:pt>
                <c:pt idx="559">
                  <c:v>27.569559842869719</c:v>
                </c:pt>
                <c:pt idx="560">
                  <c:v>27.569559842869719</c:v>
                </c:pt>
                <c:pt idx="561">
                  <c:v>27.569559842869719</c:v>
                </c:pt>
                <c:pt idx="562">
                  <c:v>27.569559842869719</c:v>
                </c:pt>
                <c:pt idx="563">
                  <c:v>27.569559842869719</c:v>
                </c:pt>
                <c:pt idx="564">
                  <c:v>27.569559842869719</c:v>
                </c:pt>
                <c:pt idx="565">
                  <c:v>27.569559842869719</c:v>
                </c:pt>
                <c:pt idx="566">
                  <c:v>27.569559842869719</c:v>
                </c:pt>
                <c:pt idx="567">
                  <c:v>27.569559842869719</c:v>
                </c:pt>
                <c:pt idx="568">
                  <c:v>27.569559842869719</c:v>
                </c:pt>
                <c:pt idx="569">
                  <c:v>27.569559842869719</c:v>
                </c:pt>
                <c:pt idx="570">
                  <c:v>27.569559842869719</c:v>
                </c:pt>
                <c:pt idx="571">
                  <c:v>27.569559842869719</c:v>
                </c:pt>
                <c:pt idx="572">
                  <c:v>27.569559842869719</c:v>
                </c:pt>
                <c:pt idx="573">
                  <c:v>27.569559842869719</c:v>
                </c:pt>
                <c:pt idx="574">
                  <c:v>27.569559842869719</c:v>
                </c:pt>
                <c:pt idx="575">
                  <c:v>27.569559842869719</c:v>
                </c:pt>
                <c:pt idx="576">
                  <c:v>27.569559842869719</c:v>
                </c:pt>
                <c:pt idx="577">
                  <c:v>27.569559842869719</c:v>
                </c:pt>
                <c:pt idx="578">
                  <c:v>27.569559842869719</c:v>
                </c:pt>
                <c:pt idx="579">
                  <c:v>27.569559842869719</c:v>
                </c:pt>
                <c:pt idx="580">
                  <c:v>27.569559842869719</c:v>
                </c:pt>
                <c:pt idx="581">
                  <c:v>27.569559842869719</c:v>
                </c:pt>
                <c:pt idx="582">
                  <c:v>27.569559842869719</c:v>
                </c:pt>
                <c:pt idx="583">
                  <c:v>27.569559842869719</c:v>
                </c:pt>
                <c:pt idx="584">
                  <c:v>27.569559842869719</c:v>
                </c:pt>
                <c:pt idx="585">
                  <c:v>27.569559842869719</c:v>
                </c:pt>
                <c:pt idx="586">
                  <c:v>27.569559842869719</c:v>
                </c:pt>
                <c:pt idx="587">
                  <c:v>27.569559842869719</c:v>
                </c:pt>
                <c:pt idx="588">
                  <c:v>27.569559842869719</c:v>
                </c:pt>
                <c:pt idx="589">
                  <c:v>27.569559842869719</c:v>
                </c:pt>
                <c:pt idx="590">
                  <c:v>27.569559842869719</c:v>
                </c:pt>
                <c:pt idx="591">
                  <c:v>27.569559842869719</c:v>
                </c:pt>
                <c:pt idx="592">
                  <c:v>27.569559842869719</c:v>
                </c:pt>
                <c:pt idx="593">
                  <c:v>27.569559842869719</c:v>
                </c:pt>
                <c:pt idx="594">
                  <c:v>27.569559842869719</c:v>
                </c:pt>
                <c:pt idx="595">
                  <c:v>27.569559842869719</c:v>
                </c:pt>
                <c:pt idx="596">
                  <c:v>27.569559842869719</c:v>
                </c:pt>
                <c:pt idx="597">
                  <c:v>27.569559842869719</c:v>
                </c:pt>
                <c:pt idx="598">
                  <c:v>27.569559842869719</c:v>
                </c:pt>
                <c:pt idx="599">
                  <c:v>27.569559842869719</c:v>
                </c:pt>
                <c:pt idx="600">
                  <c:v>27.569559842869719</c:v>
                </c:pt>
                <c:pt idx="601">
                  <c:v>27.569559842869719</c:v>
                </c:pt>
                <c:pt idx="602">
                  <c:v>27.569559842869719</c:v>
                </c:pt>
                <c:pt idx="603">
                  <c:v>27.569559842869719</c:v>
                </c:pt>
                <c:pt idx="604">
                  <c:v>27.569559842869719</c:v>
                </c:pt>
                <c:pt idx="605">
                  <c:v>27.569559842869719</c:v>
                </c:pt>
                <c:pt idx="606">
                  <c:v>27.569559842869719</c:v>
                </c:pt>
                <c:pt idx="607">
                  <c:v>27.569559842869719</c:v>
                </c:pt>
                <c:pt idx="608">
                  <c:v>27.569559842869719</c:v>
                </c:pt>
                <c:pt idx="609">
                  <c:v>27.569559842869719</c:v>
                </c:pt>
                <c:pt idx="610">
                  <c:v>27.569559842869719</c:v>
                </c:pt>
                <c:pt idx="611">
                  <c:v>27.569559842869719</c:v>
                </c:pt>
                <c:pt idx="612">
                  <c:v>27.569559842869719</c:v>
                </c:pt>
                <c:pt idx="613">
                  <c:v>27.569559842869719</c:v>
                </c:pt>
                <c:pt idx="614">
                  <c:v>27.569559842869719</c:v>
                </c:pt>
                <c:pt idx="615">
                  <c:v>27.569559842869719</c:v>
                </c:pt>
                <c:pt idx="616">
                  <c:v>27.569559842869719</c:v>
                </c:pt>
                <c:pt idx="617">
                  <c:v>27.569559842869719</c:v>
                </c:pt>
                <c:pt idx="618">
                  <c:v>27.569559842869719</c:v>
                </c:pt>
                <c:pt idx="619">
                  <c:v>27.569559842869719</c:v>
                </c:pt>
                <c:pt idx="620">
                  <c:v>27.569559842869719</c:v>
                </c:pt>
                <c:pt idx="621">
                  <c:v>27.569559842869719</c:v>
                </c:pt>
                <c:pt idx="622">
                  <c:v>27.569559842869719</c:v>
                </c:pt>
                <c:pt idx="623">
                  <c:v>27.569559842869719</c:v>
                </c:pt>
                <c:pt idx="624">
                  <c:v>27.569559842869719</c:v>
                </c:pt>
                <c:pt idx="625">
                  <c:v>27.569559842869719</c:v>
                </c:pt>
                <c:pt idx="626">
                  <c:v>27.569559842869719</c:v>
                </c:pt>
                <c:pt idx="627">
                  <c:v>27.569559842869719</c:v>
                </c:pt>
                <c:pt idx="628">
                  <c:v>27.569559842869719</c:v>
                </c:pt>
                <c:pt idx="629">
                  <c:v>27.569559842869719</c:v>
                </c:pt>
                <c:pt idx="630">
                  <c:v>27.569559842869719</c:v>
                </c:pt>
                <c:pt idx="631">
                  <c:v>27.569559842869719</c:v>
                </c:pt>
                <c:pt idx="632">
                  <c:v>27.569559842869719</c:v>
                </c:pt>
                <c:pt idx="633">
                  <c:v>27.569559842869719</c:v>
                </c:pt>
                <c:pt idx="634">
                  <c:v>27.569559842869719</c:v>
                </c:pt>
                <c:pt idx="635">
                  <c:v>27.569559842869719</c:v>
                </c:pt>
                <c:pt idx="636">
                  <c:v>27.569559842869719</c:v>
                </c:pt>
                <c:pt idx="637">
                  <c:v>27.569559842869719</c:v>
                </c:pt>
                <c:pt idx="638">
                  <c:v>27.569559842869719</c:v>
                </c:pt>
                <c:pt idx="639">
                  <c:v>27.569559842869719</c:v>
                </c:pt>
                <c:pt idx="640">
                  <c:v>27.569559842869719</c:v>
                </c:pt>
                <c:pt idx="641">
                  <c:v>27.569559842869719</c:v>
                </c:pt>
                <c:pt idx="642">
                  <c:v>27.569559842869719</c:v>
                </c:pt>
                <c:pt idx="643">
                  <c:v>27.569559842869719</c:v>
                </c:pt>
                <c:pt idx="644">
                  <c:v>27.569559842869719</c:v>
                </c:pt>
                <c:pt idx="645">
                  <c:v>27.569559842869719</c:v>
                </c:pt>
                <c:pt idx="646">
                  <c:v>27.569559842869719</c:v>
                </c:pt>
                <c:pt idx="647">
                  <c:v>27.569559842869719</c:v>
                </c:pt>
                <c:pt idx="648">
                  <c:v>27.569559842869719</c:v>
                </c:pt>
                <c:pt idx="649">
                  <c:v>27.569559842869719</c:v>
                </c:pt>
                <c:pt idx="650">
                  <c:v>27.569559842869719</c:v>
                </c:pt>
                <c:pt idx="651">
                  <c:v>27.569559842869719</c:v>
                </c:pt>
                <c:pt idx="652">
                  <c:v>27.569559842869719</c:v>
                </c:pt>
                <c:pt idx="653">
                  <c:v>27.569559842869719</c:v>
                </c:pt>
                <c:pt idx="654">
                  <c:v>27.569559842869719</c:v>
                </c:pt>
                <c:pt idx="655">
                  <c:v>27.569559842869719</c:v>
                </c:pt>
                <c:pt idx="656">
                  <c:v>27.569559842869719</c:v>
                </c:pt>
                <c:pt idx="657">
                  <c:v>27.569559842869719</c:v>
                </c:pt>
                <c:pt idx="658">
                  <c:v>27.569559842869719</c:v>
                </c:pt>
                <c:pt idx="659">
                  <c:v>27.569559842869719</c:v>
                </c:pt>
                <c:pt idx="660">
                  <c:v>27.569559842869719</c:v>
                </c:pt>
                <c:pt idx="661">
                  <c:v>27.569559842869719</c:v>
                </c:pt>
                <c:pt idx="662">
                  <c:v>27.569559842869719</c:v>
                </c:pt>
                <c:pt idx="663">
                  <c:v>27.569559842869719</c:v>
                </c:pt>
                <c:pt idx="664">
                  <c:v>27.569559842869719</c:v>
                </c:pt>
                <c:pt idx="665">
                  <c:v>27.569559842869719</c:v>
                </c:pt>
                <c:pt idx="666">
                  <c:v>27.569559842869719</c:v>
                </c:pt>
                <c:pt idx="667">
                  <c:v>27.569559842869719</c:v>
                </c:pt>
                <c:pt idx="668">
                  <c:v>27.569559842869719</c:v>
                </c:pt>
                <c:pt idx="669">
                  <c:v>27.569559842869719</c:v>
                </c:pt>
                <c:pt idx="670">
                  <c:v>27.569559842869719</c:v>
                </c:pt>
                <c:pt idx="671">
                  <c:v>27.569559842869719</c:v>
                </c:pt>
                <c:pt idx="672">
                  <c:v>27.569559842869719</c:v>
                </c:pt>
                <c:pt idx="673">
                  <c:v>27.569559842869719</c:v>
                </c:pt>
                <c:pt idx="674">
                  <c:v>27.569559842869719</c:v>
                </c:pt>
                <c:pt idx="675">
                  <c:v>27.569559842869719</c:v>
                </c:pt>
                <c:pt idx="676">
                  <c:v>27.569559842869719</c:v>
                </c:pt>
                <c:pt idx="677">
                  <c:v>27.569559842869719</c:v>
                </c:pt>
                <c:pt idx="678">
                  <c:v>27.569559842869719</c:v>
                </c:pt>
                <c:pt idx="679">
                  <c:v>27.569559842869719</c:v>
                </c:pt>
                <c:pt idx="680">
                  <c:v>27.569559842869719</c:v>
                </c:pt>
                <c:pt idx="681">
                  <c:v>27.569559842869719</c:v>
                </c:pt>
                <c:pt idx="682">
                  <c:v>27.569559842869719</c:v>
                </c:pt>
                <c:pt idx="683">
                  <c:v>27.569559842869719</c:v>
                </c:pt>
                <c:pt idx="684">
                  <c:v>27.569559842869719</c:v>
                </c:pt>
                <c:pt idx="685">
                  <c:v>27.569559842869719</c:v>
                </c:pt>
                <c:pt idx="686">
                  <c:v>27.569559842869719</c:v>
                </c:pt>
                <c:pt idx="687">
                  <c:v>27.569559842869719</c:v>
                </c:pt>
                <c:pt idx="688">
                  <c:v>27.569559842869719</c:v>
                </c:pt>
                <c:pt idx="689">
                  <c:v>27.569559842869719</c:v>
                </c:pt>
                <c:pt idx="690">
                  <c:v>27.569559842869719</c:v>
                </c:pt>
                <c:pt idx="691">
                  <c:v>27.569559842869719</c:v>
                </c:pt>
                <c:pt idx="692">
                  <c:v>27.569559842869719</c:v>
                </c:pt>
                <c:pt idx="693">
                  <c:v>27.569559842869719</c:v>
                </c:pt>
                <c:pt idx="694">
                  <c:v>27.569559842869719</c:v>
                </c:pt>
                <c:pt idx="695">
                  <c:v>27.569559842869719</c:v>
                </c:pt>
                <c:pt idx="696">
                  <c:v>27.569559842869719</c:v>
                </c:pt>
                <c:pt idx="697">
                  <c:v>27.569559842869719</c:v>
                </c:pt>
                <c:pt idx="698">
                  <c:v>27.569559842869719</c:v>
                </c:pt>
                <c:pt idx="699">
                  <c:v>27.569559842869719</c:v>
                </c:pt>
                <c:pt idx="700">
                  <c:v>27.569559842869719</c:v>
                </c:pt>
                <c:pt idx="701">
                  <c:v>27.569559842869719</c:v>
                </c:pt>
                <c:pt idx="702">
                  <c:v>27.569559842869719</c:v>
                </c:pt>
                <c:pt idx="703">
                  <c:v>27.569559842869719</c:v>
                </c:pt>
                <c:pt idx="704">
                  <c:v>27.569559842869719</c:v>
                </c:pt>
                <c:pt idx="705">
                  <c:v>27.569559842869719</c:v>
                </c:pt>
                <c:pt idx="706">
                  <c:v>27.569559842869719</c:v>
                </c:pt>
                <c:pt idx="707">
                  <c:v>27.569559842869719</c:v>
                </c:pt>
                <c:pt idx="708">
                  <c:v>27.569559842869719</c:v>
                </c:pt>
                <c:pt idx="709">
                  <c:v>27.569559842869719</c:v>
                </c:pt>
                <c:pt idx="710">
                  <c:v>27.569559842869719</c:v>
                </c:pt>
                <c:pt idx="711">
                  <c:v>27.569559842869719</c:v>
                </c:pt>
                <c:pt idx="712">
                  <c:v>27.569559842869719</c:v>
                </c:pt>
                <c:pt idx="713">
                  <c:v>27.569559842869719</c:v>
                </c:pt>
                <c:pt idx="714">
                  <c:v>27.569559842869719</c:v>
                </c:pt>
                <c:pt idx="715">
                  <c:v>27.569559842869719</c:v>
                </c:pt>
                <c:pt idx="716">
                  <c:v>27.569559842869719</c:v>
                </c:pt>
                <c:pt idx="717">
                  <c:v>27.569559842869719</c:v>
                </c:pt>
                <c:pt idx="718">
                  <c:v>27.569559842869719</c:v>
                </c:pt>
                <c:pt idx="719">
                  <c:v>27.569559842869719</c:v>
                </c:pt>
                <c:pt idx="720">
                  <c:v>27.569559842869719</c:v>
                </c:pt>
                <c:pt idx="721">
                  <c:v>27.569559842869719</c:v>
                </c:pt>
                <c:pt idx="722">
                  <c:v>27.569559842869719</c:v>
                </c:pt>
                <c:pt idx="723">
                  <c:v>27.569559842869719</c:v>
                </c:pt>
                <c:pt idx="724">
                  <c:v>27.569559842869719</c:v>
                </c:pt>
                <c:pt idx="725">
                  <c:v>27.569559842869719</c:v>
                </c:pt>
                <c:pt idx="726">
                  <c:v>27.569559842869719</c:v>
                </c:pt>
                <c:pt idx="727">
                  <c:v>27.569559842869719</c:v>
                </c:pt>
                <c:pt idx="728">
                  <c:v>27.569559842869719</c:v>
                </c:pt>
                <c:pt idx="729">
                  <c:v>27.569559842869719</c:v>
                </c:pt>
                <c:pt idx="730">
                  <c:v>27.569559842869719</c:v>
                </c:pt>
                <c:pt idx="731">
                  <c:v>27.569559842869719</c:v>
                </c:pt>
                <c:pt idx="732">
                  <c:v>27.569559842869719</c:v>
                </c:pt>
                <c:pt idx="733">
                  <c:v>27.569559842869719</c:v>
                </c:pt>
                <c:pt idx="734">
                  <c:v>27.569559842869719</c:v>
                </c:pt>
                <c:pt idx="735">
                  <c:v>27.569559842869719</c:v>
                </c:pt>
                <c:pt idx="736">
                  <c:v>27.569559842869719</c:v>
                </c:pt>
                <c:pt idx="737">
                  <c:v>27.569559842869719</c:v>
                </c:pt>
                <c:pt idx="738">
                  <c:v>27.569559842869719</c:v>
                </c:pt>
                <c:pt idx="739">
                  <c:v>27.569559842869719</c:v>
                </c:pt>
                <c:pt idx="740">
                  <c:v>27.569559842869719</c:v>
                </c:pt>
                <c:pt idx="741">
                  <c:v>27.569559842869719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30C-4C09-8815-39EBA7ADE92B}"/>
            </c:ext>
          </c:extLst>
        </c:ser>
        <c:ser>
          <c:idx val="0"/>
          <c:order val="5"/>
          <c:tx>
            <c:strRef>
              <c:f>'FX Data'!$E$956</c:f>
              <c:strCache>
                <c:ptCount val="1"/>
                <c:pt idx="0">
                  <c:v>Average P/E</c:v>
                </c:pt>
              </c:strCache>
            </c:strRef>
          </c:tx>
          <c:spPr>
            <a:ln w="28575" cap="rnd">
              <a:solidFill>
                <a:sysClr val="windowText" lastClr="000000">
                  <a:lumMod val="50000"/>
                  <a:lumOff val="50000"/>
                </a:sysClr>
              </a:solidFill>
              <a:round/>
            </a:ln>
            <a:effectLst/>
          </c:spPr>
          <c:marker>
            <c:symbol val="none"/>
          </c:marker>
          <c:cat>
            <c:numRef>
              <c:f>'FX Data'!$B$1457:$B$2460</c:f>
              <c:numCache>
                <c:formatCode>m/d/yyyy</c:formatCode>
                <c:ptCount val="1004"/>
                <c:pt idx="0">
                  <c:v>44993</c:v>
                </c:pt>
                <c:pt idx="1">
                  <c:v>44994</c:v>
                </c:pt>
                <c:pt idx="2">
                  <c:v>44995</c:v>
                </c:pt>
                <c:pt idx="3">
                  <c:v>44998</c:v>
                </c:pt>
                <c:pt idx="4">
                  <c:v>44999</c:v>
                </c:pt>
                <c:pt idx="5">
                  <c:v>45000</c:v>
                </c:pt>
                <c:pt idx="6">
                  <c:v>45001</c:v>
                </c:pt>
                <c:pt idx="7">
                  <c:v>45002</c:v>
                </c:pt>
                <c:pt idx="8">
                  <c:v>45005</c:v>
                </c:pt>
                <c:pt idx="9">
                  <c:v>45006</c:v>
                </c:pt>
                <c:pt idx="10">
                  <c:v>45007</c:v>
                </c:pt>
                <c:pt idx="11">
                  <c:v>45008</c:v>
                </c:pt>
                <c:pt idx="12">
                  <c:v>45009</c:v>
                </c:pt>
                <c:pt idx="13">
                  <c:v>45012</c:v>
                </c:pt>
                <c:pt idx="14">
                  <c:v>45013</c:v>
                </c:pt>
                <c:pt idx="15">
                  <c:v>45014</c:v>
                </c:pt>
                <c:pt idx="16">
                  <c:v>45015</c:v>
                </c:pt>
                <c:pt idx="17">
                  <c:v>45016</c:v>
                </c:pt>
                <c:pt idx="18">
                  <c:v>45019</c:v>
                </c:pt>
                <c:pt idx="19">
                  <c:v>45020</c:v>
                </c:pt>
                <c:pt idx="20">
                  <c:v>45021</c:v>
                </c:pt>
                <c:pt idx="21">
                  <c:v>45022</c:v>
                </c:pt>
                <c:pt idx="22">
                  <c:v>45023</c:v>
                </c:pt>
                <c:pt idx="23">
                  <c:v>45026</c:v>
                </c:pt>
                <c:pt idx="24">
                  <c:v>45027</c:v>
                </c:pt>
                <c:pt idx="25">
                  <c:v>45028</c:v>
                </c:pt>
                <c:pt idx="26">
                  <c:v>45029</c:v>
                </c:pt>
                <c:pt idx="27">
                  <c:v>45030</c:v>
                </c:pt>
                <c:pt idx="28">
                  <c:v>45033</c:v>
                </c:pt>
                <c:pt idx="29">
                  <c:v>45034</c:v>
                </c:pt>
                <c:pt idx="30">
                  <c:v>45035</c:v>
                </c:pt>
                <c:pt idx="31">
                  <c:v>45036</c:v>
                </c:pt>
                <c:pt idx="32">
                  <c:v>45037</c:v>
                </c:pt>
                <c:pt idx="33">
                  <c:v>45040</c:v>
                </c:pt>
                <c:pt idx="34">
                  <c:v>45041</c:v>
                </c:pt>
                <c:pt idx="35">
                  <c:v>45042</c:v>
                </c:pt>
                <c:pt idx="36">
                  <c:v>45043</c:v>
                </c:pt>
                <c:pt idx="37">
                  <c:v>45044</c:v>
                </c:pt>
                <c:pt idx="38">
                  <c:v>45050</c:v>
                </c:pt>
                <c:pt idx="39">
                  <c:v>45051</c:v>
                </c:pt>
                <c:pt idx="40">
                  <c:v>45054</c:v>
                </c:pt>
                <c:pt idx="41">
                  <c:v>45055</c:v>
                </c:pt>
                <c:pt idx="42">
                  <c:v>45056</c:v>
                </c:pt>
                <c:pt idx="43">
                  <c:v>45057</c:v>
                </c:pt>
                <c:pt idx="44">
                  <c:v>45058</c:v>
                </c:pt>
                <c:pt idx="45">
                  <c:v>45061</c:v>
                </c:pt>
                <c:pt idx="46">
                  <c:v>45062</c:v>
                </c:pt>
                <c:pt idx="47">
                  <c:v>45063</c:v>
                </c:pt>
                <c:pt idx="48">
                  <c:v>45064</c:v>
                </c:pt>
                <c:pt idx="49">
                  <c:v>45065</c:v>
                </c:pt>
                <c:pt idx="50">
                  <c:v>45068</c:v>
                </c:pt>
                <c:pt idx="51">
                  <c:v>45069</c:v>
                </c:pt>
                <c:pt idx="52">
                  <c:v>45070</c:v>
                </c:pt>
                <c:pt idx="53">
                  <c:v>45071</c:v>
                </c:pt>
                <c:pt idx="54">
                  <c:v>45072</c:v>
                </c:pt>
                <c:pt idx="55">
                  <c:v>45075</c:v>
                </c:pt>
                <c:pt idx="56">
                  <c:v>45076</c:v>
                </c:pt>
                <c:pt idx="57">
                  <c:v>45077</c:v>
                </c:pt>
                <c:pt idx="58">
                  <c:v>45078</c:v>
                </c:pt>
                <c:pt idx="59">
                  <c:v>45079</c:v>
                </c:pt>
                <c:pt idx="60">
                  <c:v>45082</c:v>
                </c:pt>
                <c:pt idx="61">
                  <c:v>45083</c:v>
                </c:pt>
                <c:pt idx="62">
                  <c:v>45084</c:v>
                </c:pt>
                <c:pt idx="63">
                  <c:v>45085</c:v>
                </c:pt>
                <c:pt idx="64">
                  <c:v>45086</c:v>
                </c:pt>
                <c:pt idx="65">
                  <c:v>45089</c:v>
                </c:pt>
                <c:pt idx="66">
                  <c:v>45090</c:v>
                </c:pt>
                <c:pt idx="67">
                  <c:v>45091</c:v>
                </c:pt>
                <c:pt idx="68">
                  <c:v>45092</c:v>
                </c:pt>
                <c:pt idx="69">
                  <c:v>45093</c:v>
                </c:pt>
                <c:pt idx="70">
                  <c:v>45096</c:v>
                </c:pt>
                <c:pt idx="71">
                  <c:v>45097</c:v>
                </c:pt>
                <c:pt idx="72">
                  <c:v>45098</c:v>
                </c:pt>
                <c:pt idx="73">
                  <c:v>45099</c:v>
                </c:pt>
                <c:pt idx="74">
                  <c:v>45100</c:v>
                </c:pt>
                <c:pt idx="75">
                  <c:v>45103</c:v>
                </c:pt>
                <c:pt idx="76">
                  <c:v>45104</c:v>
                </c:pt>
                <c:pt idx="77">
                  <c:v>45105</c:v>
                </c:pt>
                <c:pt idx="78">
                  <c:v>45106</c:v>
                </c:pt>
                <c:pt idx="79">
                  <c:v>45107</c:v>
                </c:pt>
                <c:pt idx="80">
                  <c:v>45110</c:v>
                </c:pt>
                <c:pt idx="81">
                  <c:v>45111</c:v>
                </c:pt>
                <c:pt idx="82">
                  <c:v>45112</c:v>
                </c:pt>
                <c:pt idx="83">
                  <c:v>45113</c:v>
                </c:pt>
                <c:pt idx="84">
                  <c:v>45114</c:v>
                </c:pt>
                <c:pt idx="85">
                  <c:v>45117</c:v>
                </c:pt>
                <c:pt idx="86">
                  <c:v>45118</c:v>
                </c:pt>
                <c:pt idx="87">
                  <c:v>45119</c:v>
                </c:pt>
                <c:pt idx="88">
                  <c:v>45120</c:v>
                </c:pt>
                <c:pt idx="89">
                  <c:v>45121</c:v>
                </c:pt>
                <c:pt idx="90">
                  <c:v>45124</c:v>
                </c:pt>
                <c:pt idx="91">
                  <c:v>45125</c:v>
                </c:pt>
                <c:pt idx="92">
                  <c:v>45126</c:v>
                </c:pt>
                <c:pt idx="93">
                  <c:v>45127</c:v>
                </c:pt>
                <c:pt idx="94">
                  <c:v>45128</c:v>
                </c:pt>
                <c:pt idx="95">
                  <c:v>45131</c:v>
                </c:pt>
                <c:pt idx="96">
                  <c:v>45132</c:v>
                </c:pt>
                <c:pt idx="97">
                  <c:v>45133</c:v>
                </c:pt>
                <c:pt idx="98">
                  <c:v>45134</c:v>
                </c:pt>
                <c:pt idx="99">
                  <c:v>45135</c:v>
                </c:pt>
                <c:pt idx="100">
                  <c:v>45138</c:v>
                </c:pt>
                <c:pt idx="101">
                  <c:v>45139</c:v>
                </c:pt>
                <c:pt idx="102">
                  <c:v>45140</c:v>
                </c:pt>
                <c:pt idx="103">
                  <c:v>45141</c:v>
                </c:pt>
                <c:pt idx="104">
                  <c:v>45142</c:v>
                </c:pt>
                <c:pt idx="105">
                  <c:v>45145</c:v>
                </c:pt>
                <c:pt idx="106">
                  <c:v>45146</c:v>
                </c:pt>
                <c:pt idx="107">
                  <c:v>45147</c:v>
                </c:pt>
                <c:pt idx="108">
                  <c:v>45148</c:v>
                </c:pt>
                <c:pt idx="109">
                  <c:v>45149</c:v>
                </c:pt>
                <c:pt idx="110">
                  <c:v>45152</c:v>
                </c:pt>
                <c:pt idx="111">
                  <c:v>45153</c:v>
                </c:pt>
                <c:pt idx="112">
                  <c:v>45154</c:v>
                </c:pt>
                <c:pt idx="113">
                  <c:v>45155</c:v>
                </c:pt>
                <c:pt idx="114">
                  <c:v>45156</c:v>
                </c:pt>
                <c:pt idx="115">
                  <c:v>45159</c:v>
                </c:pt>
                <c:pt idx="116">
                  <c:v>45160</c:v>
                </c:pt>
                <c:pt idx="117">
                  <c:v>45161</c:v>
                </c:pt>
                <c:pt idx="118">
                  <c:v>45162</c:v>
                </c:pt>
                <c:pt idx="119">
                  <c:v>45163</c:v>
                </c:pt>
                <c:pt idx="120">
                  <c:v>45166</c:v>
                </c:pt>
                <c:pt idx="121">
                  <c:v>45167</c:v>
                </c:pt>
                <c:pt idx="122">
                  <c:v>45168</c:v>
                </c:pt>
                <c:pt idx="123">
                  <c:v>45169</c:v>
                </c:pt>
                <c:pt idx="124">
                  <c:v>45174</c:v>
                </c:pt>
                <c:pt idx="125">
                  <c:v>45175</c:v>
                </c:pt>
                <c:pt idx="126">
                  <c:v>45176</c:v>
                </c:pt>
                <c:pt idx="127">
                  <c:v>45177</c:v>
                </c:pt>
                <c:pt idx="128">
                  <c:v>45180</c:v>
                </c:pt>
                <c:pt idx="129">
                  <c:v>45181</c:v>
                </c:pt>
                <c:pt idx="130">
                  <c:v>45182</c:v>
                </c:pt>
                <c:pt idx="131">
                  <c:v>45183</c:v>
                </c:pt>
                <c:pt idx="132">
                  <c:v>45184</c:v>
                </c:pt>
                <c:pt idx="133">
                  <c:v>45187</c:v>
                </c:pt>
                <c:pt idx="134">
                  <c:v>45188</c:v>
                </c:pt>
                <c:pt idx="135">
                  <c:v>45189</c:v>
                </c:pt>
                <c:pt idx="136">
                  <c:v>45190</c:v>
                </c:pt>
                <c:pt idx="137">
                  <c:v>45191</c:v>
                </c:pt>
                <c:pt idx="138">
                  <c:v>45194</c:v>
                </c:pt>
                <c:pt idx="139">
                  <c:v>45195</c:v>
                </c:pt>
                <c:pt idx="140">
                  <c:v>45196</c:v>
                </c:pt>
                <c:pt idx="141">
                  <c:v>45197</c:v>
                </c:pt>
                <c:pt idx="142">
                  <c:v>45198</c:v>
                </c:pt>
                <c:pt idx="143">
                  <c:v>45201</c:v>
                </c:pt>
                <c:pt idx="144">
                  <c:v>45202</c:v>
                </c:pt>
                <c:pt idx="145">
                  <c:v>45203</c:v>
                </c:pt>
                <c:pt idx="146">
                  <c:v>45204</c:v>
                </c:pt>
                <c:pt idx="147">
                  <c:v>45205</c:v>
                </c:pt>
                <c:pt idx="148">
                  <c:v>45208</c:v>
                </c:pt>
                <c:pt idx="149">
                  <c:v>45209</c:v>
                </c:pt>
                <c:pt idx="150">
                  <c:v>45210</c:v>
                </c:pt>
                <c:pt idx="151">
                  <c:v>45211</c:v>
                </c:pt>
                <c:pt idx="152">
                  <c:v>45212</c:v>
                </c:pt>
                <c:pt idx="153">
                  <c:v>45215</c:v>
                </c:pt>
                <c:pt idx="154">
                  <c:v>45216</c:v>
                </c:pt>
                <c:pt idx="155">
                  <c:v>45217</c:v>
                </c:pt>
                <c:pt idx="156">
                  <c:v>45218</c:v>
                </c:pt>
                <c:pt idx="157">
                  <c:v>45219</c:v>
                </c:pt>
                <c:pt idx="158">
                  <c:v>45222</c:v>
                </c:pt>
                <c:pt idx="159">
                  <c:v>45223</c:v>
                </c:pt>
                <c:pt idx="160">
                  <c:v>45224</c:v>
                </c:pt>
                <c:pt idx="161">
                  <c:v>45225</c:v>
                </c:pt>
                <c:pt idx="162">
                  <c:v>45226</c:v>
                </c:pt>
                <c:pt idx="163">
                  <c:v>45229</c:v>
                </c:pt>
                <c:pt idx="164">
                  <c:v>45230</c:v>
                </c:pt>
                <c:pt idx="165">
                  <c:v>45231</c:v>
                </c:pt>
                <c:pt idx="166">
                  <c:v>45232</c:v>
                </c:pt>
                <c:pt idx="167">
                  <c:v>45233</c:v>
                </c:pt>
                <c:pt idx="168">
                  <c:v>45236</c:v>
                </c:pt>
                <c:pt idx="169">
                  <c:v>45237</c:v>
                </c:pt>
                <c:pt idx="170">
                  <c:v>45238</c:v>
                </c:pt>
                <c:pt idx="171">
                  <c:v>45239</c:v>
                </c:pt>
                <c:pt idx="172">
                  <c:v>45240</c:v>
                </c:pt>
                <c:pt idx="173">
                  <c:v>45243</c:v>
                </c:pt>
                <c:pt idx="174">
                  <c:v>45244</c:v>
                </c:pt>
                <c:pt idx="175">
                  <c:v>45245</c:v>
                </c:pt>
                <c:pt idx="176">
                  <c:v>45246</c:v>
                </c:pt>
                <c:pt idx="177">
                  <c:v>45247</c:v>
                </c:pt>
                <c:pt idx="178">
                  <c:v>45250</c:v>
                </c:pt>
                <c:pt idx="179">
                  <c:v>45251</c:v>
                </c:pt>
                <c:pt idx="180">
                  <c:v>45252</c:v>
                </c:pt>
                <c:pt idx="181">
                  <c:v>45253</c:v>
                </c:pt>
                <c:pt idx="182">
                  <c:v>45254</c:v>
                </c:pt>
                <c:pt idx="183">
                  <c:v>45257</c:v>
                </c:pt>
                <c:pt idx="184">
                  <c:v>45258</c:v>
                </c:pt>
                <c:pt idx="185">
                  <c:v>45259</c:v>
                </c:pt>
                <c:pt idx="186">
                  <c:v>45260</c:v>
                </c:pt>
                <c:pt idx="187">
                  <c:v>45261</c:v>
                </c:pt>
                <c:pt idx="188">
                  <c:v>45264</c:v>
                </c:pt>
                <c:pt idx="189">
                  <c:v>45265</c:v>
                </c:pt>
                <c:pt idx="190">
                  <c:v>45266</c:v>
                </c:pt>
                <c:pt idx="191">
                  <c:v>45267</c:v>
                </c:pt>
                <c:pt idx="192">
                  <c:v>45268</c:v>
                </c:pt>
                <c:pt idx="193">
                  <c:v>45271</c:v>
                </c:pt>
                <c:pt idx="194">
                  <c:v>45272</c:v>
                </c:pt>
                <c:pt idx="195">
                  <c:v>45273</c:v>
                </c:pt>
                <c:pt idx="196">
                  <c:v>45274</c:v>
                </c:pt>
                <c:pt idx="197">
                  <c:v>45275</c:v>
                </c:pt>
                <c:pt idx="198">
                  <c:v>45278</c:v>
                </c:pt>
                <c:pt idx="199">
                  <c:v>45279</c:v>
                </c:pt>
                <c:pt idx="200">
                  <c:v>45280</c:v>
                </c:pt>
                <c:pt idx="201">
                  <c:v>45281</c:v>
                </c:pt>
                <c:pt idx="202">
                  <c:v>45282</c:v>
                </c:pt>
                <c:pt idx="203">
                  <c:v>45285</c:v>
                </c:pt>
                <c:pt idx="204">
                  <c:v>45286</c:v>
                </c:pt>
                <c:pt idx="205">
                  <c:v>45287</c:v>
                </c:pt>
                <c:pt idx="206">
                  <c:v>45288</c:v>
                </c:pt>
                <c:pt idx="207">
                  <c:v>45289</c:v>
                </c:pt>
                <c:pt idx="208">
                  <c:v>45293</c:v>
                </c:pt>
                <c:pt idx="209">
                  <c:v>45294</c:v>
                </c:pt>
                <c:pt idx="210">
                  <c:v>45295</c:v>
                </c:pt>
                <c:pt idx="211">
                  <c:v>45296</c:v>
                </c:pt>
                <c:pt idx="212">
                  <c:v>45299</c:v>
                </c:pt>
                <c:pt idx="213">
                  <c:v>45300</c:v>
                </c:pt>
                <c:pt idx="214">
                  <c:v>45301</c:v>
                </c:pt>
                <c:pt idx="215">
                  <c:v>45302</c:v>
                </c:pt>
                <c:pt idx="216">
                  <c:v>45303</c:v>
                </c:pt>
                <c:pt idx="217">
                  <c:v>45306</c:v>
                </c:pt>
                <c:pt idx="218">
                  <c:v>45307</c:v>
                </c:pt>
                <c:pt idx="219">
                  <c:v>45308</c:v>
                </c:pt>
                <c:pt idx="220">
                  <c:v>45309</c:v>
                </c:pt>
                <c:pt idx="221">
                  <c:v>45310</c:v>
                </c:pt>
                <c:pt idx="222">
                  <c:v>45313</c:v>
                </c:pt>
                <c:pt idx="223">
                  <c:v>45314</c:v>
                </c:pt>
                <c:pt idx="224">
                  <c:v>45315</c:v>
                </c:pt>
                <c:pt idx="225">
                  <c:v>45316</c:v>
                </c:pt>
                <c:pt idx="226">
                  <c:v>45317</c:v>
                </c:pt>
                <c:pt idx="227">
                  <c:v>45320</c:v>
                </c:pt>
                <c:pt idx="228">
                  <c:v>45321</c:v>
                </c:pt>
                <c:pt idx="229">
                  <c:v>45322</c:v>
                </c:pt>
                <c:pt idx="230">
                  <c:v>45323</c:v>
                </c:pt>
                <c:pt idx="231">
                  <c:v>45324</c:v>
                </c:pt>
                <c:pt idx="232">
                  <c:v>45327</c:v>
                </c:pt>
                <c:pt idx="233">
                  <c:v>45328</c:v>
                </c:pt>
                <c:pt idx="234">
                  <c:v>45329</c:v>
                </c:pt>
                <c:pt idx="235">
                  <c:v>45337</c:v>
                </c:pt>
                <c:pt idx="236">
                  <c:v>45338</c:v>
                </c:pt>
                <c:pt idx="237">
                  <c:v>45341</c:v>
                </c:pt>
                <c:pt idx="238">
                  <c:v>45342</c:v>
                </c:pt>
                <c:pt idx="239">
                  <c:v>45343</c:v>
                </c:pt>
                <c:pt idx="240">
                  <c:v>45344</c:v>
                </c:pt>
                <c:pt idx="241">
                  <c:v>45345</c:v>
                </c:pt>
                <c:pt idx="242">
                  <c:v>45348</c:v>
                </c:pt>
                <c:pt idx="243">
                  <c:v>45349</c:v>
                </c:pt>
                <c:pt idx="244">
                  <c:v>45350</c:v>
                </c:pt>
                <c:pt idx="245">
                  <c:v>45351</c:v>
                </c:pt>
                <c:pt idx="246">
                  <c:v>45352</c:v>
                </c:pt>
                <c:pt idx="247">
                  <c:v>45355</c:v>
                </c:pt>
                <c:pt idx="248">
                  <c:v>45356</c:v>
                </c:pt>
                <c:pt idx="249">
                  <c:v>45357</c:v>
                </c:pt>
                <c:pt idx="250">
                  <c:v>45358</c:v>
                </c:pt>
                <c:pt idx="251">
                  <c:v>45359</c:v>
                </c:pt>
                <c:pt idx="252">
                  <c:v>45362</c:v>
                </c:pt>
                <c:pt idx="253">
                  <c:v>45363</c:v>
                </c:pt>
                <c:pt idx="254">
                  <c:v>45364</c:v>
                </c:pt>
                <c:pt idx="255">
                  <c:v>45365</c:v>
                </c:pt>
                <c:pt idx="256">
                  <c:v>45366</c:v>
                </c:pt>
                <c:pt idx="257">
                  <c:v>45369</c:v>
                </c:pt>
                <c:pt idx="258">
                  <c:v>45370</c:v>
                </c:pt>
                <c:pt idx="259">
                  <c:v>45371</c:v>
                </c:pt>
                <c:pt idx="260">
                  <c:v>45372</c:v>
                </c:pt>
                <c:pt idx="261">
                  <c:v>45373</c:v>
                </c:pt>
                <c:pt idx="262">
                  <c:v>45376</c:v>
                </c:pt>
                <c:pt idx="263">
                  <c:v>45377</c:v>
                </c:pt>
                <c:pt idx="264">
                  <c:v>45378</c:v>
                </c:pt>
                <c:pt idx="265">
                  <c:v>45379</c:v>
                </c:pt>
                <c:pt idx="266">
                  <c:v>45380</c:v>
                </c:pt>
                <c:pt idx="267">
                  <c:v>45383</c:v>
                </c:pt>
                <c:pt idx="268">
                  <c:v>45384</c:v>
                </c:pt>
                <c:pt idx="269">
                  <c:v>45385</c:v>
                </c:pt>
                <c:pt idx="270">
                  <c:v>45386</c:v>
                </c:pt>
                <c:pt idx="271">
                  <c:v>45387</c:v>
                </c:pt>
                <c:pt idx="272">
                  <c:v>45390</c:v>
                </c:pt>
                <c:pt idx="273">
                  <c:v>45391</c:v>
                </c:pt>
                <c:pt idx="274">
                  <c:v>45392</c:v>
                </c:pt>
                <c:pt idx="275">
                  <c:v>45393</c:v>
                </c:pt>
                <c:pt idx="276">
                  <c:v>45394</c:v>
                </c:pt>
                <c:pt idx="277">
                  <c:v>45397</c:v>
                </c:pt>
                <c:pt idx="278">
                  <c:v>45398</c:v>
                </c:pt>
                <c:pt idx="279">
                  <c:v>45399</c:v>
                </c:pt>
                <c:pt idx="280">
                  <c:v>45401</c:v>
                </c:pt>
                <c:pt idx="281">
                  <c:v>45404</c:v>
                </c:pt>
                <c:pt idx="282">
                  <c:v>45405</c:v>
                </c:pt>
                <c:pt idx="283">
                  <c:v>45406</c:v>
                </c:pt>
                <c:pt idx="284">
                  <c:v>45407</c:v>
                </c:pt>
                <c:pt idx="285">
                  <c:v>45408</c:v>
                </c:pt>
                <c:pt idx="286">
                  <c:v>45414</c:v>
                </c:pt>
                <c:pt idx="287">
                  <c:v>45415</c:v>
                </c:pt>
                <c:pt idx="288">
                  <c:v>45418</c:v>
                </c:pt>
                <c:pt idx="289">
                  <c:v>45419</c:v>
                </c:pt>
                <c:pt idx="290">
                  <c:v>45420</c:v>
                </c:pt>
                <c:pt idx="291">
                  <c:v>45421</c:v>
                </c:pt>
                <c:pt idx="292">
                  <c:v>45422</c:v>
                </c:pt>
                <c:pt idx="293">
                  <c:v>45425</c:v>
                </c:pt>
                <c:pt idx="294">
                  <c:v>45426</c:v>
                </c:pt>
                <c:pt idx="295">
                  <c:v>45427</c:v>
                </c:pt>
                <c:pt idx="296">
                  <c:v>45428</c:v>
                </c:pt>
                <c:pt idx="297">
                  <c:v>45429</c:v>
                </c:pt>
                <c:pt idx="298">
                  <c:v>45432</c:v>
                </c:pt>
                <c:pt idx="299">
                  <c:v>45433</c:v>
                </c:pt>
                <c:pt idx="300">
                  <c:v>45434</c:v>
                </c:pt>
                <c:pt idx="301">
                  <c:v>45435</c:v>
                </c:pt>
                <c:pt idx="302">
                  <c:v>45436</c:v>
                </c:pt>
                <c:pt idx="303">
                  <c:v>45439</c:v>
                </c:pt>
                <c:pt idx="304">
                  <c:v>45440</c:v>
                </c:pt>
                <c:pt idx="305">
                  <c:v>45441</c:v>
                </c:pt>
                <c:pt idx="306">
                  <c:v>45442</c:v>
                </c:pt>
                <c:pt idx="307">
                  <c:v>45443</c:v>
                </c:pt>
                <c:pt idx="308">
                  <c:v>45446</c:v>
                </c:pt>
                <c:pt idx="309">
                  <c:v>45447</c:v>
                </c:pt>
                <c:pt idx="310">
                  <c:v>45448</c:v>
                </c:pt>
                <c:pt idx="311">
                  <c:v>45449</c:v>
                </c:pt>
                <c:pt idx="312">
                  <c:v>45450</c:v>
                </c:pt>
                <c:pt idx="313">
                  <c:v>45453</c:v>
                </c:pt>
                <c:pt idx="314">
                  <c:v>45454</c:v>
                </c:pt>
                <c:pt idx="315">
                  <c:v>45455</c:v>
                </c:pt>
                <c:pt idx="316">
                  <c:v>45456</c:v>
                </c:pt>
                <c:pt idx="317">
                  <c:v>45457</c:v>
                </c:pt>
                <c:pt idx="318">
                  <c:v>45460</c:v>
                </c:pt>
                <c:pt idx="319">
                  <c:v>45461</c:v>
                </c:pt>
                <c:pt idx="320">
                  <c:v>45462</c:v>
                </c:pt>
                <c:pt idx="321">
                  <c:v>45463</c:v>
                </c:pt>
                <c:pt idx="322">
                  <c:v>45464</c:v>
                </c:pt>
                <c:pt idx="323">
                  <c:v>45467</c:v>
                </c:pt>
                <c:pt idx="324">
                  <c:v>45468</c:v>
                </c:pt>
                <c:pt idx="325">
                  <c:v>45469</c:v>
                </c:pt>
                <c:pt idx="326">
                  <c:v>45470</c:v>
                </c:pt>
                <c:pt idx="327">
                  <c:v>45471</c:v>
                </c:pt>
                <c:pt idx="328">
                  <c:v>45474</c:v>
                </c:pt>
                <c:pt idx="329">
                  <c:v>45475</c:v>
                </c:pt>
                <c:pt idx="330">
                  <c:v>45476</c:v>
                </c:pt>
                <c:pt idx="331">
                  <c:v>45477</c:v>
                </c:pt>
                <c:pt idx="332">
                  <c:v>45478</c:v>
                </c:pt>
                <c:pt idx="333">
                  <c:v>45481</c:v>
                </c:pt>
                <c:pt idx="334">
                  <c:v>45482</c:v>
                </c:pt>
                <c:pt idx="335">
                  <c:v>45483</c:v>
                </c:pt>
                <c:pt idx="336">
                  <c:v>45484</c:v>
                </c:pt>
                <c:pt idx="337">
                  <c:v>45485</c:v>
                </c:pt>
                <c:pt idx="338">
                  <c:v>45488</c:v>
                </c:pt>
                <c:pt idx="339">
                  <c:v>45489</c:v>
                </c:pt>
                <c:pt idx="340">
                  <c:v>45490</c:v>
                </c:pt>
                <c:pt idx="341">
                  <c:v>45491</c:v>
                </c:pt>
                <c:pt idx="342">
                  <c:v>45492</c:v>
                </c:pt>
                <c:pt idx="343">
                  <c:v>45495</c:v>
                </c:pt>
                <c:pt idx="344">
                  <c:v>45496</c:v>
                </c:pt>
                <c:pt idx="345">
                  <c:v>45497</c:v>
                </c:pt>
                <c:pt idx="346">
                  <c:v>45498</c:v>
                </c:pt>
                <c:pt idx="347">
                  <c:v>45499</c:v>
                </c:pt>
                <c:pt idx="348">
                  <c:v>45502</c:v>
                </c:pt>
                <c:pt idx="349">
                  <c:v>45503</c:v>
                </c:pt>
                <c:pt idx="350">
                  <c:v>45504</c:v>
                </c:pt>
                <c:pt idx="351">
                  <c:v>45505</c:v>
                </c:pt>
                <c:pt idx="352">
                  <c:v>45506</c:v>
                </c:pt>
                <c:pt idx="353">
                  <c:v>45509</c:v>
                </c:pt>
                <c:pt idx="354">
                  <c:v>45510</c:v>
                </c:pt>
                <c:pt idx="355">
                  <c:v>45511</c:v>
                </c:pt>
                <c:pt idx="356">
                  <c:v>45512</c:v>
                </c:pt>
                <c:pt idx="357">
                  <c:v>45513</c:v>
                </c:pt>
                <c:pt idx="358">
                  <c:v>45516</c:v>
                </c:pt>
                <c:pt idx="359">
                  <c:v>45517</c:v>
                </c:pt>
                <c:pt idx="360">
                  <c:v>45518</c:v>
                </c:pt>
                <c:pt idx="361">
                  <c:v>45519</c:v>
                </c:pt>
                <c:pt idx="362">
                  <c:v>45520</c:v>
                </c:pt>
                <c:pt idx="363">
                  <c:v>45523</c:v>
                </c:pt>
                <c:pt idx="364">
                  <c:v>45524</c:v>
                </c:pt>
                <c:pt idx="365">
                  <c:v>45525</c:v>
                </c:pt>
                <c:pt idx="366">
                  <c:v>45526</c:v>
                </c:pt>
                <c:pt idx="367">
                  <c:v>45527</c:v>
                </c:pt>
                <c:pt idx="368">
                  <c:v>45530</c:v>
                </c:pt>
                <c:pt idx="369">
                  <c:v>45531</c:v>
                </c:pt>
                <c:pt idx="370">
                  <c:v>45532</c:v>
                </c:pt>
                <c:pt idx="371">
                  <c:v>45533</c:v>
                </c:pt>
                <c:pt idx="372">
                  <c:v>45534</c:v>
                </c:pt>
                <c:pt idx="373">
                  <c:v>45539</c:v>
                </c:pt>
                <c:pt idx="374">
                  <c:v>45540</c:v>
                </c:pt>
                <c:pt idx="375">
                  <c:v>45541</c:v>
                </c:pt>
                <c:pt idx="376">
                  <c:v>45544</c:v>
                </c:pt>
                <c:pt idx="377">
                  <c:v>45545</c:v>
                </c:pt>
                <c:pt idx="378">
                  <c:v>45546</c:v>
                </c:pt>
                <c:pt idx="379">
                  <c:v>45547</c:v>
                </c:pt>
                <c:pt idx="380">
                  <c:v>45548</c:v>
                </c:pt>
                <c:pt idx="381">
                  <c:v>45551</c:v>
                </c:pt>
                <c:pt idx="382">
                  <c:v>45552</c:v>
                </c:pt>
                <c:pt idx="383">
                  <c:v>45553</c:v>
                </c:pt>
                <c:pt idx="384">
                  <c:v>45554</c:v>
                </c:pt>
                <c:pt idx="385">
                  <c:v>45555</c:v>
                </c:pt>
                <c:pt idx="386">
                  <c:v>45558</c:v>
                </c:pt>
                <c:pt idx="387">
                  <c:v>45559</c:v>
                </c:pt>
                <c:pt idx="388">
                  <c:v>45560</c:v>
                </c:pt>
                <c:pt idx="389">
                  <c:v>45561</c:v>
                </c:pt>
                <c:pt idx="390">
                  <c:v>45562</c:v>
                </c:pt>
                <c:pt idx="391">
                  <c:v>45565</c:v>
                </c:pt>
                <c:pt idx="392">
                  <c:v>45566</c:v>
                </c:pt>
                <c:pt idx="393">
                  <c:v>45567</c:v>
                </c:pt>
                <c:pt idx="394">
                  <c:v>45568</c:v>
                </c:pt>
                <c:pt idx="395">
                  <c:v>45569</c:v>
                </c:pt>
                <c:pt idx="396">
                  <c:v>45572</c:v>
                </c:pt>
                <c:pt idx="397">
                  <c:v>45573</c:v>
                </c:pt>
                <c:pt idx="398">
                  <c:v>45574</c:v>
                </c:pt>
                <c:pt idx="399">
                  <c:v>45575</c:v>
                </c:pt>
                <c:pt idx="400">
                  <c:v>45576</c:v>
                </c:pt>
                <c:pt idx="401">
                  <c:v>45579</c:v>
                </c:pt>
                <c:pt idx="402">
                  <c:v>45580</c:v>
                </c:pt>
                <c:pt idx="403">
                  <c:v>45581</c:v>
                </c:pt>
                <c:pt idx="404">
                  <c:v>45582</c:v>
                </c:pt>
                <c:pt idx="405">
                  <c:v>45583</c:v>
                </c:pt>
                <c:pt idx="406">
                  <c:v>45586</c:v>
                </c:pt>
                <c:pt idx="407">
                  <c:v>45587</c:v>
                </c:pt>
                <c:pt idx="408">
                  <c:v>45588</c:v>
                </c:pt>
                <c:pt idx="409">
                  <c:v>45589</c:v>
                </c:pt>
                <c:pt idx="410">
                  <c:v>45590</c:v>
                </c:pt>
                <c:pt idx="411">
                  <c:v>45593</c:v>
                </c:pt>
                <c:pt idx="412">
                  <c:v>45594</c:v>
                </c:pt>
                <c:pt idx="413">
                  <c:v>45595</c:v>
                </c:pt>
                <c:pt idx="414">
                  <c:v>45596</c:v>
                </c:pt>
                <c:pt idx="415">
                  <c:v>45597</c:v>
                </c:pt>
                <c:pt idx="416">
                  <c:v>45600</c:v>
                </c:pt>
                <c:pt idx="417">
                  <c:v>45601</c:v>
                </c:pt>
                <c:pt idx="418">
                  <c:v>45602</c:v>
                </c:pt>
                <c:pt idx="419">
                  <c:v>45603</c:v>
                </c:pt>
                <c:pt idx="420">
                  <c:v>45604</c:v>
                </c:pt>
                <c:pt idx="421">
                  <c:v>45607</c:v>
                </c:pt>
                <c:pt idx="422">
                  <c:v>45608</c:v>
                </c:pt>
                <c:pt idx="423">
                  <c:v>45609</c:v>
                </c:pt>
                <c:pt idx="424">
                  <c:v>45610</c:v>
                </c:pt>
                <c:pt idx="425">
                  <c:v>45611</c:v>
                </c:pt>
                <c:pt idx="426">
                  <c:v>45614</c:v>
                </c:pt>
                <c:pt idx="427">
                  <c:v>45615</c:v>
                </c:pt>
                <c:pt idx="428">
                  <c:v>45616</c:v>
                </c:pt>
                <c:pt idx="429">
                  <c:v>45617</c:v>
                </c:pt>
                <c:pt idx="430">
                  <c:v>45618</c:v>
                </c:pt>
                <c:pt idx="431">
                  <c:v>45621</c:v>
                </c:pt>
                <c:pt idx="432">
                  <c:v>45622</c:v>
                </c:pt>
                <c:pt idx="433">
                  <c:v>45623</c:v>
                </c:pt>
                <c:pt idx="434">
                  <c:v>45624</c:v>
                </c:pt>
                <c:pt idx="435">
                  <c:v>45625</c:v>
                </c:pt>
                <c:pt idx="436">
                  <c:v>45628</c:v>
                </c:pt>
                <c:pt idx="437">
                  <c:v>45629</c:v>
                </c:pt>
                <c:pt idx="438">
                  <c:v>45630</c:v>
                </c:pt>
                <c:pt idx="439">
                  <c:v>45631</c:v>
                </c:pt>
                <c:pt idx="440">
                  <c:v>45632</c:v>
                </c:pt>
                <c:pt idx="441">
                  <c:v>45635</c:v>
                </c:pt>
                <c:pt idx="442">
                  <c:v>45636</c:v>
                </c:pt>
                <c:pt idx="443">
                  <c:v>45637</c:v>
                </c:pt>
                <c:pt idx="444">
                  <c:v>45638</c:v>
                </c:pt>
                <c:pt idx="445">
                  <c:v>45639</c:v>
                </c:pt>
                <c:pt idx="446">
                  <c:v>45642</c:v>
                </c:pt>
                <c:pt idx="447">
                  <c:v>45643</c:v>
                </c:pt>
                <c:pt idx="448">
                  <c:v>45644</c:v>
                </c:pt>
                <c:pt idx="449">
                  <c:v>45645</c:v>
                </c:pt>
                <c:pt idx="450">
                  <c:v>45646</c:v>
                </c:pt>
                <c:pt idx="451">
                  <c:v>45649</c:v>
                </c:pt>
                <c:pt idx="452">
                  <c:v>45650</c:v>
                </c:pt>
                <c:pt idx="453">
                  <c:v>45651</c:v>
                </c:pt>
                <c:pt idx="454">
                  <c:v>45652</c:v>
                </c:pt>
                <c:pt idx="455">
                  <c:v>45653</c:v>
                </c:pt>
                <c:pt idx="456">
                  <c:v>45656</c:v>
                </c:pt>
                <c:pt idx="457">
                  <c:v>45657</c:v>
                </c:pt>
                <c:pt idx="458">
                  <c:v>45659</c:v>
                </c:pt>
                <c:pt idx="459">
                  <c:v>45660</c:v>
                </c:pt>
                <c:pt idx="460">
                  <c:v>45663</c:v>
                </c:pt>
                <c:pt idx="461">
                  <c:v>45664</c:v>
                </c:pt>
                <c:pt idx="462">
                  <c:v>45665</c:v>
                </c:pt>
                <c:pt idx="463">
                  <c:v>45666</c:v>
                </c:pt>
                <c:pt idx="464">
                  <c:v>45667</c:v>
                </c:pt>
                <c:pt idx="465">
                  <c:v>45670</c:v>
                </c:pt>
                <c:pt idx="466">
                  <c:v>45671</c:v>
                </c:pt>
                <c:pt idx="467">
                  <c:v>45672</c:v>
                </c:pt>
                <c:pt idx="468">
                  <c:v>45673</c:v>
                </c:pt>
                <c:pt idx="469">
                  <c:v>45674</c:v>
                </c:pt>
                <c:pt idx="470">
                  <c:v>45677</c:v>
                </c:pt>
                <c:pt idx="471">
                  <c:v>45678</c:v>
                </c:pt>
                <c:pt idx="472">
                  <c:v>45679</c:v>
                </c:pt>
                <c:pt idx="473">
                  <c:v>45680</c:v>
                </c:pt>
                <c:pt idx="474">
                  <c:v>45681</c:v>
                </c:pt>
                <c:pt idx="475">
                  <c:v>45691</c:v>
                </c:pt>
                <c:pt idx="476">
                  <c:v>45692</c:v>
                </c:pt>
                <c:pt idx="477">
                  <c:v>45693</c:v>
                </c:pt>
                <c:pt idx="478">
                  <c:v>45694</c:v>
                </c:pt>
                <c:pt idx="479">
                  <c:v>45695</c:v>
                </c:pt>
                <c:pt idx="480">
                  <c:v>45698</c:v>
                </c:pt>
                <c:pt idx="481">
                  <c:v>45699</c:v>
                </c:pt>
                <c:pt idx="482">
                  <c:v>45700</c:v>
                </c:pt>
                <c:pt idx="483">
                  <c:v>45701</c:v>
                </c:pt>
                <c:pt idx="484">
                  <c:v>45702</c:v>
                </c:pt>
                <c:pt idx="485">
                  <c:v>45705</c:v>
                </c:pt>
                <c:pt idx="486">
                  <c:v>45706</c:v>
                </c:pt>
                <c:pt idx="487">
                  <c:v>45707</c:v>
                </c:pt>
                <c:pt idx="488">
                  <c:v>45708</c:v>
                </c:pt>
                <c:pt idx="489">
                  <c:v>45709</c:v>
                </c:pt>
                <c:pt idx="490">
                  <c:v>45712</c:v>
                </c:pt>
                <c:pt idx="491">
                  <c:v>45713</c:v>
                </c:pt>
                <c:pt idx="492">
                  <c:v>45714</c:v>
                </c:pt>
                <c:pt idx="493">
                  <c:v>45715</c:v>
                </c:pt>
                <c:pt idx="494">
                  <c:v>45716</c:v>
                </c:pt>
                <c:pt idx="495">
                  <c:v>45719</c:v>
                </c:pt>
                <c:pt idx="496">
                  <c:v>45720</c:v>
                </c:pt>
                <c:pt idx="497">
                  <c:v>45721</c:v>
                </c:pt>
                <c:pt idx="498">
                  <c:v>45722</c:v>
                </c:pt>
                <c:pt idx="499">
                  <c:v>45723</c:v>
                </c:pt>
                <c:pt idx="500">
                  <c:v>45726</c:v>
                </c:pt>
                <c:pt idx="501">
                  <c:v>45727</c:v>
                </c:pt>
                <c:pt idx="502">
                  <c:v>45728</c:v>
                </c:pt>
                <c:pt idx="503">
                  <c:v>45729</c:v>
                </c:pt>
                <c:pt idx="504">
                  <c:v>45730</c:v>
                </c:pt>
                <c:pt idx="505">
                  <c:v>45733</c:v>
                </c:pt>
                <c:pt idx="506">
                  <c:v>45734</c:v>
                </c:pt>
                <c:pt idx="507">
                  <c:v>45735</c:v>
                </c:pt>
                <c:pt idx="508">
                  <c:v>45736</c:v>
                </c:pt>
                <c:pt idx="509">
                  <c:v>45737</c:v>
                </c:pt>
                <c:pt idx="510">
                  <c:v>45740</c:v>
                </c:pt>
                <c:pt idx="511">
                  <c:v>45741</c:v>
                </c:pt>
                <c:pt idx="512">
                  <c:v>45742</c:v>
                </c:pt>
                <c:pt idx="513">
                  <c:v>45743</c:v>
                </c:pt>
                <c:pt idx="514">
                  <c:v>45744</c:v>
                </c:pt>
                <c:pt idx="515">
                  <c:v>45747</c:v>
                </c:pt>
                <c:pt idx="516">
                  <c:v>45748</c:v>
                </c:pt>
                <c:pt idx="517">
                  <c:v>45749</c:v>
                </c:pt>
                <c:pt idx="518">
                  <c:v>45750</c:v>
                </c:pt>
                <c:pt idx="519">
                  <c:v>45751</c:v>
                </c:pt>
                <c:pt idx="520">
                  <c:v>45755</c:v>
                </c:pt>
                <c:pt idx="521">
                  <c:v>45756</c:v>
                </c:pt>
                <c:pt idx="522">
                  <c:v>45757</c:v>
                </c:pt>
                <c:pt idx="523">
                  <c:v>45758</c:v>
                </c:pt>
                <c:pt idx="524">
                  <c:v>45761</c:v>
                </c:pt>
                <c:pt idx="525">
                  <c:v>45762</c:v>
                </c:pt>
                <c:pt idx="526">
                  <c:v>45763</c:v>
                </c:pt>
                <c:pt idx="527">
                  <c:v>45764</c:v>
                </c:pt>
                <c:pt idx="528">
                  <c:v>45765</c:v>
                </c:pt>
                <c:pt idx="529">
                  <c:v>45768</c:v>
                </c:pt>
                <c:pt idx="530">
                  <c:v>45769</c:v>
                </c:pt>
                <c:pt idx="531">
                  <c:v>45770</c:v>
                </c:pt>
                <c:pt idx="532">
                  <c:v>45771</c:v>
                </c:pt>
                <c:pt idx="533">
                  <c:v>45772</c:v>
                </c:pt>
                <c:pt idx="534">
                  <c:v>45775</c:v>
                </c:pt>
                <c:pt idx="535">
                  <c:v>45776</c:v>
                </c:pt>
                <c:pt idx="536">
                  <c:v>45782</c:v>
                </c:pt>
                <c:pt idx="537">
                  <c:v>45783</c:v>
                </c:pt>
                <c:pt idx="538">
                  <c:v>45784</c:v>
                </c:pt>
                <c:pt idx="539">
                  <c:v>45785</c:v>
                </c:pt>
                <c:pt idx="540">
                  <c:v>45786</c:v>
                </c:pt>
                <c:pt idx="541">
                  <c:v>45789</c:v>
                </c:pt>
                <c:pt idx="542">
                  <c:v>45790</c:v>
                </c:pt>
                <c:pt idx="543">
                  <c:v>45791</c:v>
                </c:pt>
                <c:pt idx="544">
                  <c:v>45792</c:v>
                </c:pt>
                <c:pt idx="545">
                  <c:v>45793</c:v>
                </c:pt>
                <c:pt idx="546">
                  <c:v>45796</c:v>
                </c:pt>
                <c:pt idx="547">
                  <c:v>45797</c:v>
                </c:pt>
                <c:pt idx="548">
                  <c:v>45798</c:v>
                </c:pt>
                <c:pt idx="549">
                  <c:v>45799</c:v>
                </c:pt>
                <c:pt idx="550">
                  <c:v>45800</c:v>
                </c:pt>
                <c:pt idx="551">
                  <c:v>45803</c:v>
                </c:pt>
                <c:pt idx="552">
                  <c:v>45804</c:v>
                </c:pt>
                <c:pt idx="553">
                  <c:v>45805</c:v>
                </c:pt>
                <c:pt idx="554">
                  <c:v>45806</c:v>
                </c:pt>
                <c:pt idx="555">
                  <c:v>45807</c:v>
                </c:pt>
                <c:pt idx="556">
                  <c:v>45810</c:v>
                </c:pt>
                <c:pt idx="557">
                  <c:v>45811</c:v>
                </c:pt>
                <c:pt idx="558">
                  <c:v>45812</c:v>
                </c:pt>
                <c:pt idx="559">
                  <c:v>45813</c:v>
                </c:pt>
                <c:pt idx="560">
                  <c:v>45814</c:v>
                </c:pt>
                <c:pt idx="561">
                  <c:v>45817</c:v>
                </c:pt>
                <c:pt idx="562">
                  <c:v>45818</c:v>
                </c:pt>
                <c:pt idx="563">
                  <c:v>45819</c:v>
                </c:pt>
                <c:pt idx="564">
                  <c:v>45820</c:v>
                </c:pt>
                <c:pt idx="565">
                  <c:v>45821</c:v>
                </c:pt>
                <c:pt idx="566">
                  <c:v>45824</c:v>
                </c:pt>
                <c:pt idx="567">
                  <c:v>45825</c:v>
                </c:pt>
                <c:pt idx="568">
                  <c:v>45826</c:v>
                </c:pt>
                <c:pt idx="569">
                  <c:v>45827</c:v>
                </c:pt>
                <c:pt idx="570">
                  <c:v>45828</c:v>
                </c:pt>
                <c:pt idx="571">
                  <c:v>45831</c:v>
                </c:pt>
                <c:pt idx="572">
                  <c:v>45832</c:v>
                </c:pt>
                <c:pt idx="573">
                  <c:v>45833</c:v>
                </c:pt>
                <c:pt idx="574">
                  <c:v>45834</c:v>
                </c:pt>
                <c:pt idx="575">
                  <c:v>45835</c:v>
                </c:pt>
                <c:pt idx="576">
                  <c:v>45838</c:v>
                </c:pt>
                <c:pt idx="577">
                  <c:v>45839</c:v>
                </c:pt>
                <c:pt idx="578">
                  <c:v>45840</c:v>
                </c:pt>
                <c:pt idx="579">
                  <c:v>45841</c:v>
                </c:pt>
                <c:pt idx="580">
                  <c:v>45842</c:v>
                </c:pt>
                <c:pt idx="581">
                  <c:v>45845</c:v>
                </c:pt>
                <c:pt idx="582">
                  <c:v>45846</c:v>
                </c:pt>
                <c:pt idx="583">
                  <c:v>45847</c:v>
                </c:pt>
                <c:pt idx="584">
                  <c:v>45848</c:v>
                </c:pt>
                <c:pt idx="585">
                  <c:v>45849</c:v>
                </c:pt>
                <c:pt idx="586">
                  <c:v>45852</c:v>
                </c:pt>
                <c:pt idx="587">
                  <c:v>45853</c:v>
                </c:pt>
                <c:pt idx="588">
                  <c:v>45854</c:v>
                </c:pt>
                <c:pt idx="589">
                  <c:v>45855</c:v>
                </c:pt>
                <c:pt idx="590">
                  <c:v>45856</c:v>
                </c:pt>
                <c:pt idx="591">
                  <c:v>45859</c:v>
                </c:pt>
                <c:pt idx="592">
                  <c:v>45860</c:v>
                </c:pt>
                <c:pt idx="593">
                  <c:v>45861</c:v>
                </c:pt>
                <c:pt idx="594">
                  <c:v>45862</c:v>
                </c:pt>
                <c:pt idx="595">
                  <c:v>45863</c:v>
                </c:pt>
                <c:pt idx="596">
                  <c:v>45866</c:v>
                </c:pt>
                <c:pt idx="597">
                  <c:v>45867</c:v>
                </c:pt>
                <c:pt idx="598">
                  <c:v>45868</c:v>
                </c:pt>
                <c:pt idx="599">
                  <c:v>45869</c:v>
                </c:pt>
                <c:pt idx="600">
                  <c:v>45870</c:v>
                </c:pt>
                <c:pt idx="601">
                  <c:v>45873</c:v>
                </c:pt>
                <c:pt idx="602">
                  <c:v>45874</c:v>
                </c:pt>
                <c:pt idx="603">
                  <c:v>45875</c:v>
                </c:pt>
                <c:pt idx="604">
                  <c:v>45876</c:v>
                </c:pt>
                <c:pt idx="605">
                  <c:v>45877</c:v>
                </c:pt>
                <c:pt idx="606">
                  <c:v>45880</c:v>
                </c:pt>
                <c:pt idx="607">
                  <c:v>45881</c:v>
                </c:pt>
                <c:pt idx="608">
                  <c:v>45882</c:v>
                </c:pt>
                <c:pt idx="609">
                  <c:v>45883</c:v>
                </c:pt>
                <c:pt idx="610">
                  <c:v>45884</c:v>
                </c:pt>
                <c:pt idx="611">
                  <c:v>45887</c:v>
                </c:pt>
                <c:pt idx="612">
                  <c:v>45888</c:v>
                </c:pt>
                <c:pt idx="613">
                  <c:v>45889</c:v>
                </c:pt>
                <c:pt idx="614">
                  <c:v>45890</c:v>
                </c:pt>
                <c:pt idx="615">
                  <c:v>45891</c:v>
                </c:pt>
                <c:pt idx="616">
                  <c:v>45894</c:v>
                </c:pt>
                <c:pt idx="617">
                  <c:v>45895</c:v>
                </c:pt>
                <c:pt idx="618">
                  <c:v>45896</c:v>
                </c:pt>
                <c:pt idx="619">
                  <c:v>45897</c:v>
                </c:pt>
                <c:pt idx="620">
                  <c:v>45898</c:v>
                </c:pt>
                <c:pt idx="621">
                  <c:v>45903</c:v>
                </c:pt>
                <c:pt idx="622">
                  <c:v>45904</c:v>
                </c:pt>
                <c:pt idx="623">
                  <c:v>45905</c:v>
                </c:pt>
                <c:pt idx="624">
                  <c:v>45908</c:v>
                </c:pt>
                <c:pt idx="625">
                  <c:v>45909</c:v>
                </c:pt>
                <c:pt idx="626">
                  <c:v>45910</c:v>
                </c:pt>
                <c:pt idx="627">
                  <c:v>45911</c:v>
                </c:pt>
                <c:pt idx="628">
                  <c:v>45912</c:v>
                </c:pt>
                <c:pt idx="629">
                  <c:v>45915</c:v>
                </c:pt>
                <c:pt idx="630">
                  <c:v>45916</c:v>
                </c:pt>
                <c:pt idx="631">
                  <c:v>45917</c:v>
                </c:pt>
                <c:pt idx="632">
                  <c:v>45918</c:v>
                </c:pt>
                <c:pt idx="633">
                  <c:v>45919</c:v>
                </c:pt>
                <c:pt idx="634">
                  <c:v>45922</c:v>
                </c:pt>
                <c:pt idx="635">
                  <c:v>45923</c:v>
                </c:pt>
                <c:pt idx="636">
                  <c:v>45924</c:v>
                </c:pt>
                <c:pt idx="637">
                  <c:v>45925</c:v>
                </c:pt>
                <c:pt idx="638">
                  <c:v>45926</c:v>
                </c:pt>
                <c:pt idx="639">
                  <c:v>45929</c:v>
                </c:pt>
                <c:pt idx="640">
                  <c:v>45930</c:v>
                </c:pt>
                <c:pt idx="641">
                  <c:v>45931</c:v>
                </c:pt>
                <c:pt idx="642">
                  <c:v>45932</c:v>
                </c:pt>
                <c:pt idx="643">
                  <c:v>45933</c:v>
                </c:pt>
                <c:pt idx="644">
                  <c:v>45936</c:v>
                </c:pt>
                <c:pt idx="645">
                  <c:v>45937</c:v>
                </c:pt>
                <c:pt idx="646">
                  <c:v>45938</c:v>
                </c:pt>
                <c:pt idx="647">
                  <c:v>45939</c:v>
                </c:pt>
                <c:pt idx="648">
                  <c:v>45940</c:v>
                </c:pt>
                <c:pt idx="649">
                  <c:v>45943</c:v>
                </c:pt>
                <c:pt idx="650">
                  <c:v>45944</c:v>
                </c:pt>
                <c:pt idx="651">
                  <c:v>45945</c:v>
                </c:pt>
                <c:pt idx="652">
                  <c:v>45946</c:v>
                </c:pt>
                <c:pt idx="653">
                  <c:v>45947</c:v>
                </c:pt>
                <c:pt idx="654">
                  <c:v>45950</c:v>
                </c:pt>
                <c:pt idx="655">
                  <c:v>45951</c:v>
                </c:pt>
                <c:pt idx="656">
                  <c:v>45952</c:v>
                </c:pt>
                <c:pt idx="657">
                  <c:v>45953</c:v>
                </c:pt>
                <c:pt idx="658">
                  <c:v>45954</c:v>
                </c:pt>
                <c:pt idx="659">
                  <c:v>45957</c:v>
                </c:pt>
                <c:pt idx="660">
                  <c:v>45958</c:v>
                </c:pt>
                <c:pt idx="661">
                  <c:v>45959</c:v>
                </c:pt>
                <c:pt idx="662">
                  <c:v>45960</c:v>
                </c:pt>
                <c:pt idx="663">
                  <c:v>45961</c:v>
                </c:pt>
                <c:pt idx="664">
                  <c:v>45964</c:v>
                </c:pt>
                <c:pt idx="665">
                  <c:v>45965</c:v>
                </c:pt>
                <c:pt idx="666">
                  <c:v>45966</c:v>
                </c:pt>
                <c:pt idx="667">
                  <c:v>45967</c:v>
                </c:pt>
                <c:pt idx="668">
                  <c:v>45968</c:v>
                </c:pt>
                <c:pt idx="669">
                  <c:v>45971</c:v>
                </c:pt>
                <c:pt idx="670">
                  <c:v>45972</c:v>
                </c:pt>
                <c:pt idx="671">
                  <c:v>45973</c:v>
                </c:pt>
                <c:pt idx="672">
                  <c:v>45974</c:v>
                </c:pt>
                <c:pt idx="673">
                  <c:v>45975</c:v>
                </c:pt>
                <c:pt idx="674">
                  <c:v>45978</c:v>
                </c:pt>
                <c:pt idx="675">
                  <c:v>45979</c:v>
                </c:pt>
                <c:pt idx="676">
                  <c:v>45980</c:v>
                </c:pt>
                <c:pt idx="677">
                  <c:v>45981</c:v>
                </c:pt>
                <c:pt idx="678">
                  <c:v>45982</c:v>
                </c:pt>
                <c:pt idx="679">
                  <c:v>45985</c:v>
                </c:pt>
                <c:pt idx="680">
                  <c:v>45986</c:v>
                </c:pt>
                <c:pt idx="681">
                  <c:v>45987</c:v>
                </c:pt>
                <c:pt idx="682">
                  <c:v>45988</c:v>
                </c:pt>
                <c:pt idx="683">
                  <c:v>45989</c:v>
                </c:pt>
                <c:pt idx="684">
                  <c:v>45992</c:v>
                </c:pt>
                <c:pt idx="685">
                  <c:v>45993</c:v>
                </c:pt>
                <c:pt idx="686">
                  <c:v>45994</c:v>
                </c:pt>
                <c:pt idx="687">
                  <c:v>45995</c:v>
                </c:pt>
                <c:pt idx="688">
                  <c:v>45996</c:v>
                </c:pt>
                <c:pt idx="689">
                  <c:v>45999</c:v>
                </c:pt>
                <c:pt idx="690">
                  <c:v>46000</c:v>
                </c:pt>
                <c:pt idx="691">
                  <c:v>46001</c:v>
                </c:pt>
                <c:pt idx="692">
                  <c:v>46002</c:v>
                </c:pt>
                <c:pt idx="693">
                  <c:v>46003</c:v>
                </c:pt>
                <c:pt idx="694">
                  <c:v>46006</c:v>
                </c:pt>
                <c:pt idx="695">
                  <c:v>46007</c:v>
                </c:pt>
                <c:pt idx="696">
                  <c:v>46008</c:v>
                </c:pt>
                <c:pt idx="697">
                  <c:v>46009</c:v>
                </c:pt>
                <c:pt idx="698">
                  <c:v>46010</c:v>
                </c:pt>
                <c:pt idx="699">
                  <c:v>46013</c:v>
                </c:pt>
                <c:pt idx="700">
                  <c:v>46014</c:v>
                </c:pt>
                <c:pt idx="701">
                  <c:v>46015</c:v>
                </c:pt>
                <c:pt idx="702">
                  <c:v>46016</c:v>
                </c:pt>
                <c:pt idx="703">
                  <c:v>46017</c:v>
                </c:pt>
                <c:pt idx="704">
                  <c:v>46020</c:v>
                </c:pt>
                <c:pt idx="705">
                  <c:v>46021</c:v>
                </c:pt>
                <c:pt idx="706">
                  <c:v>46022</c:v>
                </c:pt>
                <c:pt idx="707">
                  <c:v>46027</c:v>
                </c:pt>
                <c:pt idx="708">
                  <c:v>46028</c:v>
                </c:pt>
                <c:pt idx="709">
                  <c:v>46029</c:v>
                </c:pt>
                <c:pt idx="710">
                  <c:v>46030</c:v>
                </c:pt>
                <c:pt idx="711">
                  <c:v>46031</c:v>
                </c:pt>
                <c:pt idx="712">
                  <c:v>46034</c:v>
                </c:pt>
                <c:pt idx="713">
                  <c:v>46035</c:v>
                </c:pt>
                <c:pt idx="714">
                  <c:v>46036</c:v>
                </c:pt>
                <c:pt idx="715">
                  <c:v>46037</c:v>
                </c:pt>
                <c:pt idx="716">
                  <c:v>46038</c:v>
                </c:pt>
                <c:pt idx="717">
                  <c:v>46041</c:v>
                </c:pt>
                <c:pt idx="718">
                  <c:v>46042</c:v>
                </c:pt>
                <c:pt idx="719">
                  <c:v>46043</c:v>
                </c:pt>
                <c:pt idx="720">
                  <c:v>46044</c:v>
                </c:pt>
                <c:pt idx="721">
                  <c:v>46045</c:v>
                </c:pt>
                <c:pt idx="722">
                  <c:v>46048</c:v>
                </c:pt>
                <c:pt idx="723">
                  <c:v>46049</c:v>
                </c:pt>
                <c:pt idx="724">
                  <c:v>46050</c:v>
                </c:pt>
                <c:pt idx="725">
                  <c:v>46051</c:v>
                </c:pt>
                <c:pt idx="726">
                  <c:v>46052</c:v>
                </c:pt>
                <c:pt idx="727">
                  <c:v>46055</c:v>
                </c:pt>
                <c:pt idx="728">
                  <c:v>46056</c:v>
                </c:pt>
                <c:pt idx="729">
                  <c:v>46057</c:v>
                </c:pt>
                <c:pt idx="730">
                  <c:v>46058</c:v>
                </c:pt>
                <c:pt idx="731">
                  <c:v>46059</c:v>
                </c:pt>
                <c:pt idx="732">
                  <c:v>46062</c:v>
                </c:pt>
                <c:pt idx="733">
                  <c:v>46063</c:v>
                </c:pt>
                <c:pt idx="734">
                  <c:v>46064</c:v>
                </c:pt>
                <c:pt idx="735">
                  <c:v>46065</c:v>
                </c:pt>
                <c:pt idx="736">
                  <c:v>46066</c:v>
                </c:pt>
                <c:pt idx="737">
                  <c:v>46076</c:v>
                </c:pt>
                <c:pt idx="738">
                  <c:v>46077</c:v>
                </c:pt>
                <c:pt idx="739">
                  <c:v>46078</c:v>
                </c:pt>
                <c:pt idx="740">
                  <c:v>46079</c:v>
                </c:pt>
                <c:pt idx="741">
                  <c:v>46080</c:v>
                </c:pt>
                <c:pt idx="742">
                  <c:v>46083</c:v>
                </c:pt>
                <c:pt idx="743">
                  <c:v>46084</c:v>
                </c:pt>
                <c:pt idx="744">
                  <c:v>46085</c:v>
                </c:pt>
                <c:pt idx="745">
                  <c:v>46086</c:v>
                </c:pt>
                <c:pt idx="746">
                  <c:v>46087</c:v>
                </c:pt>
                <c:pt idx="747">
                  <c:v>45968</c:v>
                </c:pt>
              </c:numCache>
            </c:numRef>
          </c:cat>
          <c:val>
            <c:numRef>
              <c:f>'FX Data'!$E$1462:$E$2860</c:f>
              <c:numCache>
                <c:formatCode>0.0</c:formatCode>
                <c:ptCount val="1399"/>
                <c:pt idx="0">
                  <c:v>20.496540945512795</c:v>
                </c:pt>
                <c:pt idx="1">
                  <c:v>20.496540945512795</c:v>
                </c:pt>
                <c:pt idx="2">
                  <c:v>20.496540945512795</c:v>
                </c:pt>
                <c:pt idx="3">
                  <c:v>20.496540945512795</c:v>
                </c:pt>
                <c:pt idx="4">
                  <c:v>20.496540945512795</c:v>
                </c:pt>
                <c:pt idx="5">
                  <c:v>20.496540945512795</c:v>
                </c:pt>
                <c:pt idx="6">
                  <c:v>20.496540945512795</c:v>
                </c:pt>
                <c:pt idx="7">
                  <c:v>20.496540945512795</c:v>
                </c:pt>
                <c:pt idx="8">
                  <c:v>20.496540945512795</c:v>
                </c:pt>
                <c:pt idx="9">
                  <c:v>20.496540945512795</c:v>
                </c:pt>
                <c:pt idx="10">
                  <c:v>20.496540945512795</c:v>
                </c:pt>
                <c:pt idx="11">
                  <c:v>20.496540945512795</c:v>
                </c:pt>
                <c:pt idx="12">
                  <c:v>20.496540945512795</c:v>
                </c:pt>
                <c:pt idx="13">
                  <c:v>20.496540945512795</c:v>
                </c:pt>
                <c:pt idx="14">
                  <c:v>20.496540945512795</c:v>
                </c:pt>
                <c:pt idx="15">
                  <c:v>20.496540945512795</c:v>
                </c:pt>
                <c:pt idx="16">
                  <c:v>20.496540945512795</c:v>
                </c:pt>
                <c:pt idx="17">
                  <c:v>20.496540945512795</c:v>
                </c:pt>
                <c:pt idx="18">
                  <c:v>20.496540945512795</c:v>
                </c:pt>
                <c:pt idx="19">
                  <c:v>20.496540945512795</c:v>
                </c:pt>
                <c:pt idx="20">
                  <c:v>20.496540945512795</c:v>
                </c:pt>
                <c:pt idx="21">
                  <c:v>20.496540945512795</c:v>
                </c:pt>
                <c:pt idx="22">
                  <c:v>20.496540945512795</c:v>
                </c:pt>
                <c:pt idx="23">
                  <c:v>20.496540945512795</c:v>
                </c:pt>
                <c:pt idx="24">
                  <c:v>20.496540945512795</c:v>
                </c:pt>
                <c:pt idx="25">
                  <c:v>20.496540945512795</c:v>
                </c:pt>
                <c:pt idx="26">
                  <c:v>20.496540945512795</c:v>
                </c:pt>
                <c:pt idx="27">
                  <c:v>20.496540945512795</c:v>
                </c:pt>
                <c:pt idx="28">
                  <c:v>20.496540945512795</c:v>
                </c:pt>
                <c:pt idx="29">
                  <c:v>20.496540945512795</c:v>
                </c:pt>
                <c:pt idx="30">
                  <c:v>20.496540945512795</c:v>
                </c:pt>
                <c:pt idx="31">
                  <c:v>20.496540945512795</c:v>
                </c:pt>
                <c:pt idx="32">
                  <c:v>20.496540945512795</c:v>
                </c:pt>
                <c:pt idx="33">
                  <c:v>20.496540945512795</c:v>
                </c:pt>
                <c:pt idx="34">
                  <c:v>20.496540945512795</c:v>
                </c:pt>
                <c:pt idx="35">
                  <c:v>20.496540945512795</c:v>
                </c:pt>
                <c:pt idx="36">
                  <c:v>20.496540945512795</c:v>
                </c:pt>
                <c:pt idx="37">
                  <c:v>20.496540945512795</c:v>
                </c:pt>
                <c:pt idx="38">
                  <c:v>20.496540945512795</c:v>
                </c:pt>
                <c:pt idx="39">
                  <c:v>20.496540945512795</c:v>
                </c:pt>
                <c:pt idx="40">
                  <c:v>20.496540945512795</c:v>
                </c:pt>
                <c:pt idx="41">
                  <c:v>20.496540945512795</c:v>
                </c:pt>
                <c:pt idx="42">
                  <c:v>20.496540945512795</c:v>
                </c:pt>
                <c:pt idx="43">
                  <c:v>20.496540945512795</c:v>
                </c:pt>
                <c:pt idx="44">
                  <c:v>20.496540945512795</c:v>
                </c:pt>
                <c:pt idx="45">
                  <c:v>20.496540945512795</c:v>
                </c:pt>
                <c:pt idx="46">
                  <c:v>20.496540945512795</c:v>
                </c:pt>
                <c:pt idx="47">
                  <c:v>20.496540945512795</c:v>
                </c:pt>
                <c:pt idx="48">
                  <c:v>20.496540945512795</c:v>
                </c:pt>
                <c:pt idx="49">
                  <c:v>20.496540945512795</c:v>
                </c:pt>
                <c:pt idx="50">
                  <c:v>20.496540945512795</c:v>
                </c:pt>
                <c:pt idx="51">
                  <c:v>20.496540945512795</c:v>
                </c:pt>
                <c:pt idx="52">
                  <c:v>20.496540945512795</c:v>
                </c:pt>
                <c:pt idx="53">
                  <c:v>20.496540945512795</c:v>
                </c:pt>
                <c:pt idx="54">
                  <c:v>20.496540945512795</c:v>
                </c:pt>
                <c:pt idx="55">
                  <c:v>20.496540945512795</c:v>
                </c:pt>
                <c:pt idx="56">
                  <c:v>20.496540945512795</c:v>
                </c:pt>
                <c:pt idx="57">
                  <c:v>20.496540945512795</c:v>
                </c:pt>
                <c:pt idx="58">
                  <c:v>20.496540945512795</c:v>
                </c:pt>
                <c:pt idx="59">
                  <c:v>20.496540945512795</c:v>
                </c:pt>
                <c:pt idx="60">
                  <c:v>20.496540945512795</c:v>
                </c:pt>
                <c:pt idx="61">
                  <c:v>20.496540945512795</c:v>
                </c:pt>
                <c:pt idx="62">
                  <c:v>20.496540945512795</c:v>
                </c:pt>
                <c:pt idx="63">
                  <c:v>20.496540945512795</c:v>
                </c:pt>
                <c:pt idx="64">
                  <c:v>20.496540945512795</c:v>
                </c:pt>
                <c:pt idx="65">
                  <c:v>20.496540945512795</c:v>
                </c:pt>
                <c:pt idx="66">
                  <c:v>20.496540945512795</c:v>
                </c:pt>
                <c:pt idx="67">
                  <c:v>20.496540945512795</c:v>
                </c:pt>
                <c:pt idx="68">
                  <c:v>20.496540945512795</c:v>
                </c:pt>
                <c:pt idx="69">
                  <c:v>20.496540945512795</c:v>
                </c:pt>
                <c:pt idx="70">
                  <c:v>20.496540945512795</c:v>
                </c:pt>
                <c:pt idx="71">
                  <c:v>20.496540945512795</c:v>
                </c:pt>
                <c:pt idx="72">
                  <c:v>20.496540945512795</c:v>
                </c:pt>
                <c:pt idx="73">
                  <c:v>20.496540945512795</c:v>
                </c:pt>
                <c:pt idx="74">
                  <c:v>20.496540945512795</c:v>
                </c:pt>
                <c:pt idx="75">
                  <c:v>20.496540945512795</c:v>
                </c:pt>
                <c:pt idx="76">
                  <c:v>20.496540945512795</c:v>
                </c:pt>
                <c:pt idx="77">
                  <c:v>20.496540945512795</c:v>
                </c:pt>
                <c:pt idx="78">
                  <c:v>20.496540945512795</c:v>
                </c:pt>
                <c:pt idx="79">
                  <c:v>20.496540945512795</c:v>
                </c:pt>
                <c:pt idx="80">
                  <c:v>20.496540945512795</c:v>
                </c:pt>
                <c:pt idx="81">
                  <c:v>20.496540945512795</c:v>
                </c:pt>
                <c:pt idx="82">
                  <c:v>20.496540945512795</c:v>
                </c:pt>
                <c:pt idx="83">
                  <c:v>20.496540945512795</c:v>
                </c:pt>
                <c:pt idx="84">
                  <c:v>20.496540945512795</c:v>
                </c:pt>
                <c:pt idx="85">
                  <c:v>20.496540945512795</c:v>
                </c:pt>
                <c:pt idx="86">
                  <c:v>20.496540945512795</c:v>
                </c:pt>
                <c:pt idx="87">
                  <c:v>20.496540945512795</c:v>
                </c:pt>
                <c:pt idx="88">
                  <c:v>20.496540945512795</c:v>
                </c:pt>
                <c:pt idx="89">
                  <c:v>20.496540945512795</c:v>
                </c:pt>
                <c:pt idx="90">
                  <c:v>20.496540945512795</c:v>
                </c:pt>
                <c:pt idx="91">
                  <c:v>20.496540945512795</c:v>
                </c:pt>
                <c:pt idx="92">
                  <c:v>20.496540945512795</c:v>
                </c:pt>
                <c:pt idx="93">
                  <c:v>20.496540945512795</c:v>
                </c:pt>
                <c:pt idx="94">
                  <c:v>20.496540945512795</c:v>
                </c:pt>
                <c:pt idx="95">
                  <c:v>20.496540945512795</c:v>
                </c:pt>
                <c:pt idx="96">
                  <c:v>20.496540945512795</c:v>
                </c:pt>
                <c:pt idx="97">
                  <c:v>20.496540945512795</c:v>
                </c:pt>
                <c:pt idx="98">
                  <c:v>20.496540945512795</c:v>
                </c:pt>
                <c:pt idx="99">
                  <c:v>20.496540945512795</c:v>
                </c:pt>
                <c:pt idx="100">
                  <c:v>20.496540945512795</c:v>
                </c:pt>
                <c:pt idx="101">
                  <c:v>20.496540945512795</c:v>
                </c:pt>
                <c:pt idx="102">
                  <c:v>20.496540945512795</c:v>
                </c:pt>
                <c:pt idx="103">
                  <c:v>20.496540945512795</c:v>
                </c:pt>
                <c:pt idx="104">
                  <c:v>20.496540945512795</c:v>
                </c:pt>
                <c:pt idx="105">
                  <c:v>20.496540945512795</c:v>
                </c:pt>
                <c:pt idx="106">
                  <c:v>20.496540945512795</c:v>
                </c:pt>
                <c:pt idx="107">
                  <c:v>20.496540945512795</c:v>
                </c:pt>
                <c:pt idx="108">
                  <c:v>20.496540945512795</c:v>
                </c:pt>
                <c:pt idx="109">
                  <c:v>20.496540945512795</c:v>
                </c:pt>
                <c:pt idx="110">
                  <c:v>20.496540945512795</c:v>
                </c:pt>
                <c:pt idx="111">
                  <c:v>20.496540945512795</c:v>
                </c:pt>
                <c:pt idx="112">
                  <c:v>20.496540945512795</c:v>
                </c:pt>
                <c:pt idx="113">
                  <c:v>20.496540945512795</c:v>
                </c:pt>
                <c:pt idx="114">
                  <c:v>20.496540945512795</c:v>
                </c:pt>
                <c:pt idx="115">
                  <c:v>20.496540945512795</c:v>
                </c:pt>
                <c:pt idx="116">
                  <c:v>20.496540945512795</c:v>
                </c:pt>
                <c:pt idx="117">
                  <c:v>20.496540945512795</c:v>
                </c:pt>
                <c:pt idx="118">
                  <c:v>20.496540945512795</c:v>
                </c:pt>
                <c:pt idx="119">
                  <c:v>20.496540945512795</c:v>
                </c:pt>
                <c:pt idx="120">
                  <c:v>20.496540945512795</c:v>
                </c:pt>
                <c:pt idx="121">
                  <c:v>20.496540945512795</c:v>
                </c:pt>
                <c:pt idx="122">
                  <c:v>20.496540945512795</c:v>
                </c:pt>
                <c:pt idx="123">
                  <c:v>20.496540945512795</c:v>
                </c:pt>
                <c:pt idx="124">
                  <c:v>20.496540945512795</c:v>
                </c:pt>
                <c:pt idx="125">
                  <c:v>20.496540945512795</c:v>
                </c:pt>
                <c:pt idx="126">
                  <c:v>20.496540945512795</c:v>
                </c:pt>
                <c:pt idx="127">
                  <c:v>20.496540945512795</c:v>
                </c:pt>
                <c:pt idx="128">
                  <c:v>20.496540945512795</c:v>
                </c:pt>
                <c:pt idx="129">
                  <c:v>20.496540945512795</c:v>
                </c:pt>
                <c:pt idx="130">
                  <c:v>20.496540945512795</c:v>
                </c:pt>
                <c:pt idx="131">
                  <c:v>20.496540945512795</c:v>
                </c:pt>
                <c:pt idx="132">
                  <c:v>20.496540945512795</c:v>
                </c:pt>
                <c:pt idx="133">
                  <c:v>20.496540945512795</c:v>
                </c:pt>
                <c:pt idx="134">
                  <c:v>20.496540945512795</c:v>
                </c:pt>
                <c:pt idx="135">
                  <c:v>20.496540945512795</c:v>
                </c:pt>
                <c:pt idx="136">
                  <c:v>20.496540945512795</c:v>
                </c:pt>
                <c:pt idx="137">
                  <c:v>20.496540945512795</c:v>
                </c:pt>
                <c:pt idx="138">
                  <c:v>20.496540945512795</c:v>
                </c:pt>
                <c:pt idx="139">
                  <c:v>20.496540945512795</c:v>
                </c:pt>
                <c:pt idx="140">
                  <c:v>20.496540945512795</c:v>
                </c:pt>
                <c:pt idx="141">
                  <c:v>20.496540945512795</c:v>
                </c:pt>
                <c:pt idx="142">
                  <c:v>20.496540945512795</c:v>
                </c:pt>
                <c:pt idx="143">
                  <c:v>20.496540945512795</c:v>
                </c:pt>
                <c:pt idx="144">
                  <c:v>20.496540945512795</c:v>
                </c:pt>
                <c:pt idx="145">
                  <c:v>20.496540945512795</c:v>
                </c:pt>
                <c:pt idx="146">
                  <c:v>20.496540945512795</c:v>
                </c:pt>
                <c:pt idx="147">
                  <c:v>20.496540945512795</c:v>
                </c:pt>
                <c:pt idx="148">
                  <c:v>20.496540945512795</c:v>
                </c:pt>
                <c:pt idx="149">
                  <c:v>20.496540945512795</c:v>
                </c:pt>
                <c:pt idx="150">
                  <c:v>20.496540945512795</c:v>
                </c:pt>
                <c:pt idx="151">
                  <c:v>20.496540945512795</c:v>
                </c:pt>
                <c:pt idx="152">
                  <c:v>20.496540945512795</c:v>
                </c:pt>
                <c:pt idx="153">
                  <c:v>20.496540945512795</c:v>
                </c:pt>
                <c:pt idx="154">
                  <c:v>20.496540945512795</c:v>
                </c:pt>
                <c:pt idx="155">
                  <c:v>20.496540945512795</c:v>
                </c:pt>
                <c:pt idx="156">
                  <c:v>20.496540945512795</c:v>
                </c:pt>
                <c:pt idx="157">
                  <c:v>20.496540945512795</c:v>
                </c:pt>
                <c:pt idx="158">
                  <c:v>20.496540945512795</c:v>
                </c:pt>
                <c:pt idx="159">
                  <c:v>20.496540945512795</c:v>
                </c:pt>
                <c:pt idx="160">
                  <c:v>20.496540945512795</c:v>
                </c:pt>
                <c:pt idx="161">
                  <c:v>20.496540945512795</c:v>
                </c:pt>
                <c:pt idx="162">
                  <c:v>20.496540945512795</c:v>
                </c:pt>
                <c:pt idx="163">
                  <c:v>20.496540945512795</c:v>
                </c:pt>
                <c:pt idx="164">
                  <c:v>20.496540945512795</c:v>
                </c:pt>
                <c:pt idx="165">
                  <c:v>20.496540945512795</c:v>
                </c:pt>
                <c:pt idx="166">
                  <c:v>20.496540945512795</c:v>
                </c:pt>
                <c:pt idx="167">
                  <c:v>20.496540945512795</c:v>
                </c:pt>
                <c:pt idx="168">
                  <c:v>20.496540945512795</c:v>
                </c:pt>
                <c:pt idx="169">
                  <c:v>20.496540945512795</c:v>
                </c:pt>
                <c:pt idx="170">
                  <c:v>20.496540945512795</c:v>
                </c:pt>
                <c:pt idx="171">
                  <c:v>20.496540945512795</c:v>
                </c:pt>
                <c:pt idx="172">
                  <c:v>20.496540945512795</c:v>
                </c:pt>
                <c:pt idx="173">
                  <c:v>20.496540945512795</c:v>
                </c:pt>
                <c:pt idx="174">
                  <c:v>20.496540945512795</c:v>
                </c:pt>
                <c:pt idx="175">
                  <c:v>20.496540945512795</c:v>
                </c:pt>
                <c:pt idx="176">
                  <c:v>20.496540945512795</c:v>
                </c:pt>
                <c:pt idx="177">
                  <c:v>20.496540945512795</c:v>
                </c:pt>
                <c:pt idx="178">
                  <c:v>20.496540945512795</c:v>
                </c:pt>
                <c:pt idx="179">
                  <c:v>20.496540945512795</c:v>
                </c:pt>
                <c:pt idx="180">
                  <c:v>20.496540945512795</c:v>
                </c:pt>
                <c:pt idx="181">
                  <c:v>20.496540945512795</c:v>
                </c:pt>
                <c:pt idx="182">
                  <c:v>20.496540945512795</c:v>
                </c:pt>
                <c:pt idx="183">
                  <c:v>20.496540945512795</c:v>
                </c:pt>
                <c:pt idx="184">
                  <c:v>20.496540945512795</c:v>
                </c:pt>
                <c:pt idx="185">
                  <c:v>20.496540945512795</c:v>
                </c:pt>
                <c:pt idx="186">
                  <c:v>20.496540945512795</c:v>
                </c:pt>
                <c:pt idx="187">
                  <c:v>20.496540945512795</c:v>
                </c:pt>
                <c:pt idx="188">
                  <c:v>20.496540945512795</c:v>
                </c:pt>
                <c:pt idx="189">
                  <c:v>20.496540945512795</c:v>
                </c:pt>
                <c:pt idx="190">
                  <c:v>20.496540945512795</c:v>
                </c:pt>
                <c:pt idx="191">
                  <c:v>20.496540945512795</c:v>
                </c:pt>
                <c:pt idx="192">
                  <c:v>20.496540945512795</c:v>
                </c:pt>
                <c:pt idx="193">
                  <c:v>20.496540945512795</c:v>
                </c:pt>
                <c:pt idx="194">
                  <c:v>20.496540945512795</c:v>
                </c:pt>
                <c:pt idx="195">
                  <c:v>20.496540945512795</c:v>
                </c:pt>
                <c:pt idx="196">
                  <c:v>20.496540945512795</c:v>
                </c:pt>
                <c:pt idx="197">
                  <c:v>20.496540945512795</c:v>
                </c:pt>
                <c:pt idx="198">
                  <c:v>20.496540945512795</c:v>
                </c:pt>
                <c:pt idx="199">
                  <c:v>20.496540945512795</c:v>
                </c:pt>
                <c:pt idx="200">
                  <c:v>20.496540945512795</c:v>
                </c:pt>
                <c:pt idx="201">
                  <c:v>20.496540945512795</c:v>
                </c:pt>
                <c:pt idx="202">
                  <c:v>20.496540945512795</c:v>
                </c:pt>
                <c:pt idx="203">
                  <c:v>20.496540945512795</c:v>
                </c:pt>
                <c:pt idx="204">
                  <c:v>20.496540945512795</c:v>
                </c:pt>
                <c:pt idx="205">
                  <c:v>20.496540945512795</c:v>
                </c:pt>
                <c:pt idx="206">
                  <c:v>20.496540945512795</c:v>
                </c:pt>
                <c:pt idx="207">
                  <c:v>20.496540945512795</c:v>
                </c:pt>
                <c:pt idx="208">
                  <c:v>20.496540945512795</c:v>
                </c:pt>
                <c:pt idx="209">
                  <c:v>20.496540945512795</c:v>
                </c:pt>
                <c:pt idx="210">
                  <c:v>20.496540945512795</c:v>
                </c:pt>
                <c:pt idx="211">
                  <c:v>20.496540945512795</c:v>
                </c:pt>
                <c:pt idx="212">
                  <c:v>20.496540945512795</c:v>
                </c:pt>
                <c:pt idx="213">
                  <c:v>20.496540945512795</c:v>
                </c:pt>
                <c:pt idx="214">
                  <c:v>20.496540945512795</c:v>
                </c:pt>
                <c:pt idx="215">
                  <c:v>20.496540945512795</c:v>
                </c:pt>
                <c:pt idx="216">
                  <c:v>20.496540945512795</c:v>
                </c:pt>
                <c:pt idx="217">
                  <c:v>20.496540945512795</c:v>
                </c:pt>
                <c:pt idx="218">
                  <c:v>20.496540945512795</c:v>
                </c:pt>
                <c:pt idx="219">
                  <c:v>20.496540945512795</c:v>
                </c:pt>
                <c:pt idx="220">
                  <c:v>20.496540945512795</c:v>
                </c:pt>
                <c:pt idx="221">
                  <c:v>20.496540945512795</c:v>
                </c:pt>
                <c:pt idx="222">
                  <c:v>20.496540945512795</c:v>
                </c:pt>
                <c:pt idx="223">
                  <c:v>20.496540945512795</c:v>
                </c:pt>
                <c:pt idx="224">
                  <c:v>20.496540945512795</c:v>
                </c:pt>
                <c:pt idx="225">
                  <c:v>20.496540945512795</c:v>
                </c:pt>
                <c:pt idx="226">
                  <c:v>20.496540945512795</c:v>
                </c:pt>
                <c:pt idx="227">
                  <c:v>20.496540945512795</c:v>
                </c:pt>
                <c:pt idx="228">
                  <c:v>20.496540945512795</c:v>
                </c:pt>
                <c:pt idx="229">
                  <c:v>20.496540945512795</c:v>
                </c:pt>
                <c:pt idx="230">
                  <c:v>20.496540945512795</c:v>
                </c:pt>
                <c:pt idx="231">
                  <c:v>20.496540945512795</c:v>
                </c:pt>
                <c:pt idx="232">
                  <c:v>20.496540945512795</c:v>
                </c:pt>
                <c:pt idx="233">
                  <c:v>20.496540945512795</c:v>
                </c:pt>
                <c:pt idx="234">
                  <c:v>20.496540945512795</c:v>
                </c:pt>
                <c:pt idx="235">
                  <c:v>20.496540945512795</c:v>
                </c:pt>
                <c:pt idx="236">
                  <c:v>20.496540945512795</c:v>
                </c:pt>
                <c:pt idx="237">
                  <c:v>20.496540945512795</c:v>
                </c:pt>
                <c:pt idx="238">
                  <c:v>20.496540945512795</c:v>
                </c:pt>
                <c:pt idx="239">
                  <c:v>20.496540945512795</c:v>
                </c:pt>
                <c:pt idx="240">
                  <c:v>20.496540945512795</c:v>
                </c:pt>
                <c:pt idx="241">
                  <c:v>20.496540945512795</c:v>
                </c:pt>
                <c:pt idx="242">
                  <c:v>20.496540945512795</c:v>
                </c:pt>
                <c:pt idx="243">
                  <c:v>20.496540945512795</c:v>
                </c:pt>
                <c:pt idx="244">
                  <c:v>20.496540945512795</c:v>
                </c:pt>
                <c:pt idx="245">
                  <c:v>20.496540945512795</c:v>
                </c:pt>
                <c:pt idx="246">
                  <c:v>20.496540945512795</c:v>
                </c:pt>
                <c:pt idx="247">
                  <c:v>20.496540945512795</c:v>
                </c:pt>
                <c:pt idx="248">
                  <c:v>20.496540945512795</c:v>
                </c:pt>
                <c:pt idx="249">
                  <c:v>20.496540945512795</c:v>
                </c:pt>
                <c:pt idx="250">
                  <c:v>20.496540945512795</c:v>
                </c:pt>
                <c:pt idx="251">
                  <c:v>20.496540945512795</c:v>
                </c:pt>
                <c:pt idx="252">
                  <c:v>20.496540945512795</c:v>
                </c:pt>
                <c:pt idx="253">
                  <c:v>20.496540945512795</c:v>
                </c:pt>
                <c:pt idx="254">
                  <c:v>20.496540945512795</c:v>
                </c:pt>
                <c:pt idx="255">
                  <c:v>20.496540945512795</c:v>
                </c:pt>
                <c:pt idx="256">
                  <c:v>20.496540945512795</c:v>
                </c:pt>
                <c:pt idx="257">
                  <c:v>20.496540945512795</c:v>
                </c:pt>
                <c:pt idx="258">
                  <c:v>20.496540945512795</c:v>
                </c:pt>
                <c:pt idx="259">
                  <c:v>20.496540945512795</c:v>
                </c:pt>
                <c:pt idx="260">
                  <c:v>20.496540945512795</c:v>
                </c:pt>
                <c:pt idx="261">
                  <c:v>20.496540945512795</c:v>
                </c:pt>
                <c:pt idx="262">
                  <c:v>20.496540945512795</c:v>
                </c:pt>
                <c:pt idx="263">
                  <c:v>20.496540945512795</c:v>
                </c:pt>
                <c:pt idx="264">
                  <c:v>20.496540945512795</c:v>
                </c:pt>
                <c:pt idx="265">
                  <c:v>20.496540945512795</c:v>
                </c:pt>
                <c:pt idx="266">
                  <c:v>20.496540945512795</c:v>
                </c:pt>
                <c:pt idx="267">
                  <c:v>20.496540945512795</c:v>
                </c:pt>
                <c:pt idx="268">
                  <c:v>20.496540945512795</c:v>
                </c:pt>
                <c:pt idx="269">
                  <c:v>20.496540945512795</c:v>
                </c:pt>
                <c:pt idx="270">
                  <c:v>20.496540945512795</c:v>
                </c:pt>
                <c:pt idx="271">
                  <c:v>20.496540945512795</c:v>
                </c:pt>
                <c:pt idx="272">
                  <c:v>20.496540945512795</c:v>
                </c:pt>
                <c:pt idx="273">
                  <c:v>20.496540945512795</c:v>
                </c:pt>
                <c:pt idx="274">
                  <c:v>20.496540945512795</c:v>
                </c:pt>
                <c:pt idx="275">
                  <c:v>20.496540945512795</c:v>
                </c:pt>
                <c:pt idx="276">
                  <c:v>20.496540945512795</c:v>
                </c:pt>
                <c:pt idx="277">
                  <c:v>20.496540945512795</c:v>
                </c:pt>
                <c:pt idx="278">
                  <c:v>20.496540945512795</c:v>
                </c:pt>
                <c:pt idx="279">
                  <c:v>20.496540945512795</c:v>
                </c:pt>
                <c:pt idx="280">
                  <c:v>20.496540945512795</c:v>
                </c:pt>
                <c:pt idx="281">
                  <c:v>20.496540945512795</c:v>
                </c:pt>
                <c:pt idx="282">
                  <c:v>20.496540945512795</c:v>
                </c:pt>
                <c:pt idx="283">
                  <c:v>20.496540945512795</c:v>
                </c:pt>
                <c:pt idx="284">
                  <c:v>20.496540945512795</c:v>
                </c:pt>
                <c:pt idx="285">
                  <c:v>20.496540945512795</c:v>
                </c:pt>
                <c:pt idx="286">
                  <c:v>20.496540945512795</c:v>
                </c:pt>
                <c:pt idx="287">
                  <c:v>20.496540945512795</c:v>
                </c:pt>
                <c:pt idx="288">
                  <c:v>20.496540945512795</c:v>
                </c:pt>
                <c:pt idx="289">
                  <c:v>20.496540945512795</c:v>
                </c:pt>
                <c:pt idx="290">
                  <c:v>20.496540945512795</c:v>
                </c:pt>
                <c:pt idx="291">
                  <c:v>20.496540945512795</c:v>
                </c:pt>
                <c:pt idx="292">
                  <c:v>20.496540945512795</c:v>
                </c:pt>
                <c:pt idx="293">
                  <c:v>20.496540945512795</c:v>
                </c:pt>
                <c:pt idx="294">
                  <c:v>20.496540945512795</c:v>
                </c:pt>
                <c:pt idx="295">
                  <c:v>20.496540945512795</c:v>
                </c:pt>
                <c:pt idx="296">
                  <c:v>20.496540945512795</c:v>
                </c:pt>
                <c:pt idx="297">
                  <c:v>20.496540945512795</c:v>
                </c:pt>
                <c:pt idx="298">
                  <c:v>20.496540945512795</c:v>
                </c:pt>
                <c:pt idx="299">
                  <c:v>20.496540945512795</c:v>
                </c:pt>
                <c:pt idx="300">
                  <c:v>20.496540945512795</c:v>
                </c:pt>
                <c:pt idx="301">
                  <c:v>20.496540945512795</c:v>
                </c:pt>
                <c:pt idx="302">
                  <c:v>20.496540945512795</c:v>
                </c:pt>
                <c:pt idx="303">
                  <c:v>20.496540945512795</c:v>
                </c:pt>
                <c:pt idx="304">
                  <c:v>20.496540945512795</c:v>
                </c:pt>
                <c:pt idx="305">
                  <c:v>20.496540945512795</c:v>
                </c:pt>
                <c:pt idx="306">
                  <c:v>20.496540945512795</c:v>
                </c:pt>
                <c:pt idx="307">
                  <c:v>20.496540945512795</c:v>
                </c:pt>
                <c:pt idx="308">
                  <c:v>20.496540945512795</c:v>
                </c:pt>
                <c:pt idx="309">
                  <c:v>20.496540945512795</c:v>
                </c:pt>
                <c:pt idx="310">
                  <c:v>20.496540945512795</c:v>
                </c:pt>
                <c:pt idx="311">
                  <c:v>20.496540945512795</c:v>
                </c:pt>
                <c:pt idx="312">
                  <c:v>20.496540945512795</c:v>
                </c:pt>
                <c:pt idx="313">
                  <c:v>20.496540945512795</c:v>
                </c:pt>
                <c:pt idx="314">
                  <c:v>20.496540945512795</c:v>
                </c:pt>
                <c:pt idx="315">
                  <c:v>20.496540945512795</c:v>
                </c:pt>
                <c:pt idx="316">
                  <c:v>20.496540945512795</c:v>
                </c:pt>
                <c:pt idx="317">
                  <c:v>20.496540945512795</c:v>
                </c:pt>
                <c:pt idx="318">
                  <c:v>20.496540945512795</c:v>
                </c:pt>
                <c:pt idx="319">
                  <c:v>20.496540945512795</c:v>
                </c:pt>
                <c:pt idx="320">
                  <c:v>20.496540945512795</c:v>
                </c:pt>
                <c:pt idx="321">
                  <c:v>20.496540945512795</c:v>
                </c:pt>
                <c:pt idx="322">
                  <c:v>20.496540945512795</c:v>
                </c:pt>
                <c:pt idx="323">
                  <c:v>20.496540945512795</c:v>
                </c:pt>
                <c:pt idx="324">
                  <c:v>20.496540945512795</c:v>
                </c:pt>
                <c:pt idx="325">
                  <c:v>20.496540945512795</c:v>
                </c:pt>
                <c:pt idx="326">
                  <c:v>20.496540945512795</c:v>
                </c:pt>
                <c:pt idx="327">
                  <c:v>20.496540945512795</c:v>
                </c:pt>
                <c:pt idx="328">
                  <c:v>20.496540945512795</c:v>
                </c:pt>
                <c:pt idx="329">
                  <c:v>20.496540945512795</c:v>
                </c:pt>
                <c:pt idx="330">
                  <c:v>20.496540945512795</c:v>
                </c:pt>
                <c:pt idx="331">
                  <c:v>20.496540945512795</c:v>
                </c:pt>
                <c:pt idx="332">
                  <c:v>20.496540945512795</c:v>
                </c:pt>
                <c:pt idx="333">
                  <c:v>20.496540945512795</c:v>
                </c:pt>
                <c:pt idx="334">
                  <c:v>20.496540945512795</c:v>
                </c:pt>
                <c:pt idx="335">
                  <c:v>20.496540945512795</c:v>
                </c:pt>
                <c:pt idx="336">
                  <c:v>20.496540945512795</c:v>
                </c:pt>
                <c:pt idx="337">
                  <c:v>20.496540945512795</c:v>
                </c:pt>
                <c:pt idx="338">
                  <c:v>20.496540945512795</c:v>
                </c:pt>
                <c:pt idx="339">
                  <c:v>20.496540945512795</c:v>
                </c:pt>
                <c:pt idx="340">
                  <c:v>20.496540945512795</c:v>
                </c:pt>
                <c:pt idx="341">
                  <c:v>20.496540945512795</c:v>
                </c:pt>
                <c:pt idx="342">
                  <c:v>20.496540945512795</c:v>
                </c:pt>
                <c:pt idx="343">
                  <c:v>20.496540945512795</c:v>
                </c:pt>
                <c:pt idx="344">
                  <c:v>20.496540945512795</c:v>
                </c:pt>
                <c:pt idx="345">
                  <c:v>20.496540945512795</c:v>
                </c:pt>
                <c:pt idx="346">
                  <c:v>20.496540945512795</c:v>
                </c:pt>
                <c:pt idx="347">
                  <c:v>20.496540945512795</c:v>
                </c:pt>
                <c:pt idx="348">
                  <c:v>20.496540945512795</c:v>
                </c:pt>
                <c:pt idx="349">
                  <c:v>20.496540945512795</c:v>
                </c:pt>
                <c:pt idx="350">
                  <c:v>20.496540945512795</c:v>
                </c:pt>
                <c:pt idx="351">
                  <c:v>20.496540945512795</c:v>
                </c:pt>
                <c:pt idx="352">
                  <c:v>20.496540945512795</c:v>
                </c:pt>
                <c:pt idx="353">
                  <c:v>20.496540945512795</c:v>
                </c:pt>
                <c:pt idx="354">
                  <c:v>20.496540945512795</c:v>
                </c:pt>
                <c:pt idx="355">
                  <c:v>20.496540945512795</c:v>
                </c:pt>
                <c:pt idx="356">
                  <c:v>20.496540945512795</c:v>
                </c:pt>
                <c:pt idx="357">
                  <c:v>20.496540945512795</c:v>
                </c:pt>
                <c:pt idx="358">
                  <c:v>20.496540945512795</c:v>
                </c:pt>
                <c:pt idx="359">
                  <c:v>20.496540945512795</c:v>
                </c:pt>
                <c:pt idx="360">
                  <c:v>20.496540945512795</c:v>
                </c:pt>
                <c:pt idx="361">
                  <c:v>20.496540945512795</c:v>
                </c:pt>
                <c:pt idx="362">
                  <c:v>20.496540945512795</c:v>
                </c:pt>
                <c:pt idx="363">
                  <c:v>20.496540945512795</c:v>
                </c:pt>
                <c:pt idx="364">
                  <c:v>20.496540945512795</c:v>
                </c:pt>
                <c:pt idx="365">
                  <c:v>20.496540945512795</c:v>
                </c:pt>
                <c:pt idx="366">
                  <c:v>20.496540945512795</c:v>
                </c:pt>
                <c:pt idx="367">
                  <c:v>20.496540945512795</c:v>
                </c:pt>
                <c:pt idx="368">
                  <c:v>20.496540945512795</c:v>
                </c:pt>
                <c:pt idx="369">
                  <c:v>20.496540945512795</c:v>
                </c:pt>
                <c:pt idx="370">
                  <c:v>20.496540945512795</c:v>
                </c:pt>
                <c:pt idx="371">
                  <c:v>20.496540945512795</c:v>
                </c:pt>
                <c:pt idx="372">
                  <c:v>20.496540945512795</c:v>
                </c:pt>
                <c:pt idx="373">
                  <c:v>20.496540945512795</c:v>
                </c:pt>
                <c:pt idx="374">
                  <c:v>20.496540945512795</c:v>
                </c:pt>
                <c:pt idx="375">
                  <c:v>20.496540945512795</c:v>
                </c:pt>
                <c:pt idx="376">
                  <c:v>20.496540945512795</c:v>
                </c:pt>
                <c:pt idx="377">
                  <c:v>20.496540945512795</c:v>
                </c:pt>
                <c:pt idx="378">
                  <c:v>20.496540945512795</c:v>
                </c:pt>
                <c:pt idx="379">
                  <c:v>20.496540945512795</c:v>
                </c:pt>
                <c:pt idx="380">
                  <c:v>20.496540945512795</c:v>
                </c:pt>
                <c:pt idx="381">
                  <c:v>20.496540945512795</c:v>
                </c:pt>
                <c:pt idx="382">
                  <c:v>20.496540945512795</c:v>
                </c:pt>
                <c:pt idx="383">
                  <c:v>20.496540945512795</c:v>
                </c:pt>
                <c:pt idx="384">
                  <c:v>20.496540945512795</c:v>
                </c:pt>
                <c:pt idx="385">
                  <c:v>20.496540945512795</c:v>
                </c:pt>
                <c:pt idx="386">
                  <c:v>20.496540945512795</c:v>
                </c:pt>
                <c:pt idx="387">
                  <c:v>20.496540945512795</c:v>
                </c:pt>
                <c:pt idx="388">
                  <c:v>20.496540945512795</c:v>
                </c:pt>
                <c:pt idx="389">
                  <c:v>20.496540945512795</c:v>
                </c:pt>
                <c:pt idx="390">
                  <c:v>20.496540945512795</c:v>
                </c:pt>
                <c:pt idx="391">
                  <c:v>20.496540945512795</c:v>
                </c:pt>
                <c:pt idx="392">
                  <c:v>20.496540945512795</c:v>
                </c:pt>
                <c:pt idx="393">
                  <c:v>20.496540945512795</c:v>
                </c:pt>
                <c:pt idx="394">
                  <c:v>20.496540945512795</c:v>
                </c:pt>
                <c:pt idx="395">
                  <c:v>20.496540945512795</c:v>
                </c:pt>
                <c:pt idx="396">
                  <c:v>20.496540945512795</c:v>
                </c:pt>
                <c:pt idx="397">
                  <c:v>20.496540945512795</c:v>
                </c:pt>
                <c:pt idx="398">
                  <c:v>20.496540945512795</c:v>
                </c:pt>
                <c:pt idx="399">
                  <c:v>20.496540945512795</c:v>
                </c:pt>
                <c:pt idx="400">
                  <c:v>20.496540945512795</c:v>
                </c:pt>
                <c:pt idx="401">
                  <c:v>20.496540945512795</c:v>
                </c:pt>
                <c:pt idx="402">
                  <c:v>20.496540945512795</c:v>
                </c:pt>
                <c:pt idx="403">
                  <c:v>20.496540945512795</c:v>
                </c:pt>
                <c:pt idx="404">
                  <c:v>20.496540945512795</c:v>
                </c:pt>
                <c:pt idx="405">
                  <c:v>20.496540945512795</c:v>
                </c:pt>
                <c:pt idx="406">
                  <c:v>20.496540945512795</c:v>
                </c:pt>
                <c:pt idx="407">
                  <c:v>20.496540945512795</c:v>
                </c:pt>
                <c:pt idx="408">
                  <c:v>20.496540945512795</c:v>
                </c:pt>
                <c:pt idx="409">
                  <c:v>20.496540945512795</c:v>
                </c:pt>
                <c:pt idx="410">
                  <c:v>20.496540945512795</c:v>
                </c:pt>
                <c:pt idx="411">
                  <c:v>20.496540945512795</c:v>
                </c:pt>
                <c:pt idx="412">
                  <c:v>20.496540945512795</c:v>
                </c:pt>
                <c:pt idx="413">
                  <c:v>20.496540945512795</c:v>
                </c:pt>
                <c:pt idx="414">
                  <c:v>20.496540945512795</c:v>
                </c:pt>
                <c:pt idx="415">
                  <c:v>20.496540945512795</c:v>
                </c:pt>
                <c:pt idx="416">
                  <c:v>20.496540945512795</c:v>
                </c:pt>
                <c:pt idx="417">
                  <c:v>20.496540945512795</c:v>
                </c:pt>
                <c:pt idx="418">
                  <c:v>20.496540945512795</c:v>
                </c:pt>
                <c:pt idx="419">
                  <c:v>20.496540945512795</c:v>
                </c:pt>
                <c:pt idx="420">
                  <c:v>20.496540945512795</c:v>
                </c:pt>
                <c:pt idx="421">
                  <c:v>20.496540945512795</c:v>
                </c:pt>
                <c:pt idx="422">
                  <c:v>20.496540945512795</c:v>
                </c:pt>
                <c:pt idx="423">
                  <c:v>20.496540945512795</c:v>
                </c:pt>
                <c:pt idx="424">
                  <c:v>20.496540945512795</c:v>
                </c:pt>
                <c:pt idx="425">
                  <c:v>20.496540945512795</c:v>
                </c:pt>
                <c:pt idx="426">
                  <c:v>20.496540945512795</c:v>
                </c:pt>
                <c:pt idx="427">
                  <c:v>20.496540945512795</c:v>
                </c:pt>
                <c:pt idx="428">
                  <c:v>20.496540945512795</c:v>
                </c:pt>
                <c:pt idx="429">
                  <c:v>20.496540945512795</c:v>
                </c:pt>
                <c:pt idx="430">
                  <c:v>20.496540945512795</c:v>
                </c:pt>
                <c:pt idx="431">
                  <c:v>20.496540945512795</c:v>
                </c:pt>
                <c:pt idx="432">
                  <c:v>20.496540945512795</c:v>
                </c:pt>
                <c:pt idx="433">
                  <c:v>20.496540945512795</c:v>
                </c:pt>
                <c:pt idx="434">
                  <c:v>20.496540945512795</c:v>
                </c:pt>
                <c:pt idx="435">
                  <c:v>20.496540945512795</c:v>
                </c:pt>
                <c:pt idx="436">
                  <c:v>20.496540945512795</c:v>
                </c:pt>
                <c:pt idx="437">
                  <c:v>20.496540945512795</c:v>
                </c:pt>
                <c:pt idx="438">
                  <c:v>20.496540945512795</c:v>
                </c:pt>
                <c:pt idx="439">
                  <c:v>20.496540945512795</c:v>
                </c:pt>
                <c:pt idx="440">
                  <c:v>20.496540945512795</c:v>
                </c:pt>
                <c:pt idx="441">
                  <c:v>20.496540945512795</c:v>
                </c:pt>
                <c:pt idx="442">
                  <c:v>20.496540945512795</c:v>
                </c:pt>
                <c:pt idx="443">
                  <c:v>20.496540945512795</c:v>
                </c:pt>
                <c:pt idx="444">
                  <c:v>20.496540945512795</c:v>
                </c:pt>
                <c:pt idx="445">
                  <c:v>20.496540945512795</c:v>
                </c:pt>
                <c:pt idx="446">
                  <c:v>20.496540945512795</c:v>
                </c:pt>
                <c:pt idx="447">
                  <c:v>20.496540945512795</c:v>
                </c:pt>
                <c:pt idx="448">
                  <c:v>20.496540945512795</c:v>
                </c:pt>
                <c:pt idx="449">
                  <c:v>20.496540945512795</c:v>
                </c:pt>
                <c:pt idx="450">
                  <c:v>20.496540945512795</c:v>
                </c:pt>
                <c:pt idx="451">
                  <c:v>20.496540945512795</c:v>
                </c:pt>
                <c:pt idx="452">
                  <c:v>20.496540945512795</c:v>
                </c:pt>
                <c:pt idx="453">
                  <c:v>20.496540945512795</c:v>
                </c:pt>
                <c:pt idx="454">
                  <c:v>20.496540945512795</c:v>
                </c:pt>
                <c:pt idx="455">
                  <c:v>20.496540945512795</c:v>
                </c:pt>
                <c:pt idx="456">
                  <c:v>20.496540945512795</c:v>
                </c:pt>
                <c:pt idx="457">
                  <c:v>20.496540945512795</c:v>
                </c:pt>
                <c:pt idx="458">
                  <c:v>20.496540945512795</c:v>
                </c:pt>
                <c:pt idx="459">
                  <c:v>20.496540945512795</c:v>
                </c:pt>
                <c:pt idx="460">
                  <c:v>20.496540945512795</c:v>
                </c:pt>
                <c:pt idx="461">
                  <c:v>20.496540945512795</c:v>
                </c:pt>
                <c:pt idx="462">
                  <c:v>20.496540945512795</c:v>
                </c:pt>
                <c:pt idx="463">
                  <c:v>20.496540945512795</c:v>
                </c:pt>
                <c:pt idx="464">
                  <c:v>20.496540945512795</c:v>
                </c:pt>
                <c:pt idx="465">
                  <c:v>20.496540945512795</c:v>
                </c:pt>
                <c:pt idx="466">
                  <c:v>20.496540945512795</c:v>
                </c:pt>
                <c:pt idx="467">
                  <c:v>20.496540945512795</c:v>
                </c:pt>
                <c:pt idx="468">
                  <c:v>20.496540945512795</c:v>
                </c:pt>
                <c:pt idx="469">
                  <c:v>20.496540945512795</c:v>
                </c:pt>
                <c:pt idx="470">
                  <c:v>20.496540945512795</c:v>
                </c:pt>
                <c:pt idx="471">
                  <c:v>20.496540945512795</c:v>
                </c:pt>
                <c:pt idx="472">
                  <c:v>20.496540945512795</c:v>
                </c:pt>
                <c:pt idx="473">
                  <c:v>20.496540945512795</c:v>
                </c:pt>
                <c:pt idx="474">
                  <c:v>20.496540945512795</c:v>
                </c:pt>
                <c:pt idx="475">
                  <c:v>20.496540945512795</c:v>
                </c:pt>
                <c:pt idx="476">
                  <c:v>20.496540945512795</c:v>
                </c:pt>
                <c:pt idx="477">
                  <c:v>20.496540945512795</c:v>
                </c:pt>
                <c:pt idx="478">
                  <c:v>20.496540945512795</c:v>
                </c:pt>
                <c:pt idx="479">
                  <c:v>20.496540945512795</c:v>
                </c:pt>
                <c:pt idx="480">
                  <c:v>20.496540945512795</c:v>
                </c:pt>
                <c:pt idx="481">
                  <c:v>20.496540945512795</c:v>
                </c:pt>
                <c:pt idx="482">
                  <c:v>20.496540945512795</c:v>
                </c:pt>
                <c:pt idx="483">
                  <c:v>20.496540945512795</c:v>
                </c:pt>
                <c:pt idx="484">
                  <c:v>20.496540945512795</c:v>
                </c:pt>
                <c:pt idx="485">
                  <c:v>20.496540945512795</c:v>
                </c:pt>
                <c:pt idx="486">
                  <c:v>20.496540945512795</c:v>
                </c:pt>
                <c:pt idx="487">
                  <c:v>20.496540945512795</c:v>
                </c:pt>
                <c:pt idx="488">
                  <c:v>20.496540945512795</c:v>
                </c:pt>
                <c:pt idx="489">
                  <c:v>20.496540945512795</c:v>
                </c:pt>
                <c:pt idx="490">
                  <c:v>20.496540945512795</c:v>
                </c:pt>
                <c:pt idx="491">
                  <c:v>20.496540945512795</c:v>
                </c:pt>
                <c:pt idx="492">
                  <c:v>20.496540945512795</c:v>
                </c:pt>
                <c:pt idx="493">
                  <c:v>20.496540945512795</c:v>
                </c:pt>
                <c:pt idx="494">
                  <c:v>20.496540945512795</c:v>
                </c:pt>
                <c:pt idx="495">
                  <c:v>20.496540945512795</c:v>
                </c:pt>
                <c:pt idx="496">
                  <c:v>20.496540945512795</c:v>
                </c:pt>
                <c:pt idx="497">
                  <c:v>20.496540945512795</c:v>
                </c:pt>
                <c:pt idx="498">
                  <c:v>20.496540945512795</c:v>
                </c:pt>
                <c:pt idx="499">
                  <c:v>20.496540945512795</c:v>
                </c:pt>
                <c:pt idx="500">
                  <c:v>20.496540945512795</c:v>
                </c:pt>
                <c:pt idx="501">
                  <c:v>20.496540945512795</c:v>
                </c:pt>
                <c:pt idx="502">
                  <c:v>20.496540945512795</c:v>
                </c:pt>
                <c:pt idx="503">
                  <c:v>20.496540945512795</c:v>
                </c:pt>
                <c:pt idx="504">
                  <c:v>20.496540945512795</c:v>
                </c:pt>
                <c:pt idx="505">
                  <c:v>20.496540945512795</c:v>
                </c:pt>
                <c:pt idx="506">
                  <c:v>20.496540945512795</c:v>
                </c:pt>
                <c:pt idx="507">
                  <c:v>20.496540945512795</c:v>
                </c:pt>
                <c:pt idx="508">
                  <c:v>20.496540945512795</c:v>
                </c:pt>
                <c:pt idx="509">
                  <c:v>20.496540945512795</c:v>
                </c:pt>
                <c:pt idx="510">
                  <c:v>20.496540945512795</c:v>
                </c:pt>
                <c:pt idx="511">
                  <c:v>20.496540945512795</c:v>
                </c:pt>
                <c:pt idx="512">
                  <c:v>20.496540945512795</c:v>
                </c:pt>
                <c:pt idx="513">
                  <c:v>20.496540945512795</c:v>
                </c:pt>
                <c:pt idx="514">
                  <c:v>20.496540945512795</c:v>
                </c:pt>
                <c:pt idx="515">
                  <c:v>20.496540945512795</c:v>
                </c:pt>
                <c:pt idx="516">
                  <c:v>20.496540945512795</c:v>
                </c:pt>
                <c:pt idx="517">
                  <c:v>20.496540945512795</c:v>
                </c:pt>
                <c:pt idx="518">
                  <c:v>20.496540945512795</c:v>
                </c:pt>
                <c:pt idx="519">
                  <c:v>20.496540945512795</c:v>
                </c:pt>
                <c:pt idx="520">
                  <c:v>20.496540945512795</c:v>
                </c:pt>
                <c:pt idx="521">
                  <c:v>20.496540945512795</c:v>
                </c:pt>
                <c:pt idx="522">
                  <c:v>20.496540945512795</c:v>
                </c:pt>
                <c:pt idx="523">
                  <c:v>20.496540945512795</c:v>
                </c:pt>
                <c:pt idx="524">
                  <c:v>20.496540945512795</c:v>
                </c:pt>
                <c:pt idx="525">
                  <c:v>20.496540945512795</c:v>
                </c:pt>
                <c:pt idx="526">
                  <c:v>20.496540945512795</c:v>
                </c:pt>
                <c:pt idx="527">
                  <c:v>20.496540945512795</c:v>
                </c:pt>
                <c:pt idx="528">
                  <c:v>20.496540945512795</c:v>
                </c:pt>
                <c:pt idx="529">
                  <c:v>20.496540945512795</c:v>
                </c:pt>
                <c:pt idx="530">
                  <c:v>20.496540945512795</c:v>
                </c:pt>
                <c:pt idx="531">
                  <c:v>20.496540945512795</c:v>
                </c:pt>
                <c:pt idx="532">
                  <c:v>20.496540945512795</c:v>
                </c:pt>
                <c:pt idx="533">
                  <c:v>20.496540945512795</c:v>
                </c:pt>
                <c:pt idx="534">
                  <c:v>20.496540945512795</c:v>
                </c:pt>
                <c:pt idx="535">
                  <c:v>20.496540945512795</c:v>
                </c:pt>
                <c:pt idx="536">
                  <c:v>20.496540945512795</c:v>
                </c:pt>
                <c:pt idx="537">
                  <c:v>20.496540945512795</c:v>
                </c:pt>
                <c:pt idx="538">
                  <c:v>20.496540945512795</c:v>
                </c:pt>
                <c:pt idx="539">
                  <c:v>20.496540945512795</c:v>
                </c:pt>
                <c:pt idx="540">
                  <c:v>20.496540945512795</c:v>
                </c:pt>
                <c:pt idx="541">
                  <c:v>20.496540945512795</c:v>
                </c:pt>
                <c:pt idx="542">
                  <c:v>20.496540945512795</c:v>
                </c:pt>
                <c:pt idx="543">
                  <c:v>20.496540945512795</c:v>
                </c:pt>
                <c:pt idx="544">
                  <c:v>20.496540945512795</c:v>
                </c:pt>
                <c:pt idx="545">
                  <c:v>20.496540945512795</c:v>
                </c:pt>
                <c:pt idx="546">
                  <c:v>20.496540945512795</c:v>
                </c:pt>
                <c:pt idx="547">
                  <c:v>20.496540945512795</c:v>
                </c:pt>
                <c:pt idx="548">
                  <c:v>20.496540945512795</c:v>
                </c:pt>
                <c:pt idx="549">
                  <c:v>20.496540945512795</c:v>
                </c:pt>
                <c:pt idx="550">
                  <c:v>20.496540945512795</c:v>
                </c:pt>
                <c:pt idx="551">
                  <c:v>20.496540945512795</c:v>
                </c:pt>
                <c:pt idx="552">
                  <c:v>20.496540945512795</c:v>
                </c:pt>
                <c:pt idx="553">
                  <c:v>20.496540945512795</c:v>
                </c:pt>
                <c:pt idx="554">
                  <c:v>20.496540945512795</c:v>
                </c:pt>
                <c:pt idx="555">
                  <c:v>20.496540945512795</c:v>
                </c:pt>
                <c:pt idx="556">
                  <c:v>20.496540945512795</c:v>
                </c:pt>
                <c:pt idx="557">
                  <c:v>20.496540945512795</c:v>
                </c:pt>
                <c:pt idx="558">
                  <c:v>20.496540945512795</c:v>
                </c:pt>
                <c:pt idx="559">
                  <c:v>20.496540945512795</c:v>
                </c:pt>
                <c:pt idx="560">
                  <c:v>20.496540945512795</c:v>
                </c:pt>
                <c:pt idx="561">
                  <c:v>20.496540945512795</c:v>
                </c:pt>
                <c:pt idx="562">
                  <c:v>20.496540945512795</c:v>
                </c:pt>
                <c:pt idx="563">
                  <c:v>20.496540945512795</c:v>
                </c:pt>
                <c:pt idx="564">
                  <c:v>20.496540945512795</c:v>
                </c:pt>
                <c:pt idx="565">
                  <c:v>20.496540945512795</c:v>
                </c:pt>
                <c:pt idx="566">
                  <c:v>20.496540945512795</c:v>
                </c:pt>
                <c:pt idx="567">
                  <c:v>20.496540945512795</c:v>
                </c:pt>
                <c:pt idx="568">
                  <c:v>20.496540945512795</c:v>
                </c:pt>
                <c:pt idx="569">
                  <c:v>20.496540945512795</c:v>
                </c:pt>
                <c:pt idx="570">
                  <c:v>20.496540945512795</c:v>
                </c:pt>
                <c:pt idx="571">
                  <c:v>20.496540945512795</c:v>
                </c:pt>
                <c:pt idx="572">
                  <c:v>20.496540945512795</c:v>
                </c:pt>
                <c:pt idx="573">
                  <c:v>20.496540945512795</c:v>
                </c:pt>
                <c:pt idx="574">
                  <c:v>20.496540945512795</c:v>
                </c:pt>
                <c:pt idx="575">
                  <c:v>20.496540945512795</c:v>
                </c:pt>
                <c:pt idx="576">
                  <c:v>20.496540945512795</c:v>
                </c:pt>
                <c:pt idx="577">
                  <c:v>20.496540945512795</c:v>
                </c:pt>
                <c:pt idx="578">
                  <c:v>20.496540945512795</c:v>
                </c:pt>
                <c:pt idx="579">
                  <c:v>20.496540945512795</c:v>
                </c:pt>
                <c:pt idx="580">
                  <c:v>20.496540945512795</c:v>
                </c:pt>
                <c:pt idx="581">
                  <c:v>20.496540945512795</c:v>
                </c:pt>
                <c:pt idx="582">
                  <c:v>20.496540945512795</c:v>
                </c:pt>
                <c:pt idx="583">
                  <c:v>20.496540945512795</c:v>
                </c:pt>
                <c:pt idx="584">
                  <c:v>20.496540945512795</c:v>
                </c:pt>
                <c:pt idx="585">
                  <c:v>20.496540945512795</c:v>
                </c:pt>
                <c:pt idx="586">
                  <c:v>20.496540945512795</c:v>
                </c:pt>
                <c:pt idx="587">
                  <c:v>20.496540945512795</c:v>
                </c:pt>
                <c:pt idx="588">
                  <c:v>20.496540945512795</c:v>
                </c:pt>
                <c:pt idx="589">
                  <c:v>20.496540945512795</c:v>
                </c:pt>
                <c:pt idx="590">
                  <c:v>20.496540945512795</c:v>
                </c:pt>
                <c:pt idx="591">
                  <c:v>20.496540945512795</c:v>
                </c:pt>
                <c:pt idx="592">
                  <c:v>20.496540945512795</c:v>
                </c:pt>
                <c:pt idx="593">
                  <c:v>20.496540945512795</c:v>
                </c:pt>
                <c:pt idx="594">
                  <c:v>20.496540945512795</c:v>
                </c:pt>
                <c:pt idx="595">
                  <c:v>20.496540945512795</c:v>
                </c:pt>
                <c:pt idx="596">
                  <c:v>20.496540945512795</c:v>
                </c:pt>
                <c:pt idx="597">
                  <c:v>20.496540945512795</c:v>
                </c:pt>
                <c:pt idx="598">
                  <c:v>20.496540945512795</c:v>
                </c:pt>
                <c:pt idx="599">
                  <c:v>20.496540945512795</c:v>
                </c:pt>
                <c:pt idx="600">
                  <c:v>20.496540945512795</c:v>
                </c:pt>
                <c:pt idx="601">
                  <c:v>20.496540945512795</c:v>
                </c:pt>
                <c:pt idx="602">
                  <c:v>20.496540945512795</c:v>
                </c:pt>
                <c:pt idx="603">
                  <c:v>20.496540945512795</c:v>
                </c:pt>
                <c:pt idx="604">
                  <c:v>20.496540945512795</c:v>
                </c:pt>
                <c:pt idx="605">
                  <c:v>20.496540945512795</c:v>
                </c:pt>
                <c:pt idx="606">
                  <c:v>20.496540945512795</c:v>
                </c:pt>
                <c:pt idx="607">
                  <c:v>20.496540945512795</c:v>
                </c:pt>
                <c:pt idx="608">
                  <c:v>20.496540945512795</c:v>
                </c:pt>
                <c:pt idx="609">
                  <c:v>20.496540945512795</c:v>
                </c:pt>
                <c:pt idx="610">
                  <c:v>20.496540945512795</c:v>
                </c:pt>
                <c:pt idx="611">
                  <c:v>20.496540945512795</c:v>
                </c:pt>
                <c:pt idx="612">
                  <c:v>20.496540945512795</c:v>
                </c:pt>
                <c:pt idx="613">
                  <c:v>20.496540945512795</c:v>
                </c:pt>
                <c:pt idx="614">
                  <c:v>20.496540945512795</c:v>
                </c:pt>
                <c:pt idx="615">
                  <c:v>20.496540945512795</c:v>
                </c:pt>
                <c:pt idx="616">
                  <c:v>20.496540945512795</c:v>
                </c:pt>
                <c:pt idx="617">
                  <c:v>20.496540945512795</c:v>
                </c:pt>
                <c:pt idx="618">
                  <c:v>20.496540945512795</c:v>
                </c:pt>
                <c:pt idx="619">
                  <c:v>20.496540945512795</c:v>
                </c:pt>
                <c:pt idx="620">
                  <c:v>20.496540945512795</c:v>
                </c:pt>
                <c:pt idx="621">
                  <c:v>20.496540945512795</c:v>
                </c:pt>
                <c:pt idx="622">
                  <c:v>20.496540945512795</c:v>
                </c:pt>
                <c:pt idx="623">
                  <c:v>20.496540945512795</c:v>
                </c:pt>
                <c:pt idx="624">
                  <c:v>20.496540945512795</c:v>
                </c:pt>
                <c:pt idx="625">
                  <c:v>20.496540945512795</c:v>
                </c:pt>
                <c:pt idx="626">
                  <c:v>20.496540945512795</c:v>
                </c:pt>
                <c:pt idx="627">
                  <c:v>20.496540945512795</c:v>
                </c:pt>
                <c:pt idx="628">
                  <c:v>20.496540945512795</c:v>
                </c:pt>
                <c:pt idx="629">
                  <c:v>20.496540945512795</c:v>
                </c:pt>
                <c:pt idx="630">
                  <c:v>20.496540945512795</c:v>
                </c:pt>
                <c:pt idx="631">
                  <c:v>20.496540945512795</c:v>
                </c:pt>
                <c:pt idx="632">
                  <c:v>20.496540945512795</c:v>
                </c:pt>
                <c:pt idx="633">
                  <c:v>20.496540945512795</c:v>
                </c:pt>
                <c:pt idx="634">
                  <c:v>20.496540945512795</c:v>
                </c:pt>
                <c:pt idx="635">
                  <c:v>20.496540945512795</c:v>
                </c:pt>
                <c:pt idx="636">
                  <c:v>20.496540945512795</c:v>
                </c:pt>
                <c:pt idx="637">
                  <c:v>20.496540945512795</c:v>
                </c:pt>
                <c:pt idx="638">
                  <c:v>20.496540945512795</c:v>
                </c:pt>
                <c:pt idx="639">
                  <c:v>20.496540945512795</c:v>
                </c:pt>
                <c:pt idx="640">
                  <c:v>20.496540945512795</c:v>
                </c:pt>
                <c:pt idx="641">
                  <c:v>20.496540945512795</c:v>
                </c:pt>
                <c:pt idx="642">
                  <c:v>20.496540945512795</c:v>
                </c:pt>
                <c:pt idx="643">
                  <c:v>20.496540945512795</c:v>
                </c:pt>
                <c:pt idx="644">
                  <c:v>20.496540945512795</c:v>
                </c:pt>
                <c:pt idx="645">
                  <c:v>20.496540945512795</c:v>
                </c:pt>
                <c:pt idx="646">
                  <c:v>20.496540945512795</c:v>
                </c:pt>
                <c:pt idx="647">
                  <c:v>20.496540945512795</c:v>
                </c:pt>
                <c:pt idx="648">
                  <c:v>20.496540945512795</c:v>
                </c:pt>
                <c:pt idx="649">
                  <c:v>20.496540945512795</c:v>
                </c:pt>
                <c:pt idx="650">
                  <c:v>20.496540945512795</c:v>
                </c:pt>
                <c:pt idx="651">
                  <c:v>20.496540945512795</c:v>
                </c:pt>
                <c:pt idx="652">
                  <c:v>20.496540945512795</c:v>
                </c:pt>
                <c:pt idx="653">
                  <c:v>20.496540945512795</c:v>
                </c:pt>
                <c:pt idx="654">
                  <c:v>20.496540945512795</c:v>
                </c:pt>
                <c:pt idx="655">
                  <c:v>20.496540945512795</c:v>
                </c:pt>
                <c:pt idx="656">
                  <c:v>20.496540945512795</c:v>
                </c:pt>
                <c:pt idx="657">
                  <c:v>20.496540945512795</c:v>
                </c:pt>
                <c:pt idx="658">
                  <c:v>20.496540945512795</c:v>
                </c:pt>
                <c:pt idx="659">
                  <c:v>20.496540945512795</c:v>
                </c:pt>
                <c:pt idx="660">
                  <c:v>20.496540945512795</c:v>
                </c:pt>
                <c:pt idx="661">
                  <c:v>20.496540945512795</c:v>
                </c:pt>
                <c:pt idx="662">
                  <c:v>20.496540945512795</c:v>
                </c:pt>
                <c:pt idx="663">
                  <c:v>20.496540945512795</c:v>
                </c:pt>
                <c:pt idx="664">
                  <c:v>20.496540945512795</c:v>
                </c:pt>
                <c:pt idx="665">
                  <c:v>20.496540945512795</c:v>
                </c:pt>
                <c:pt idx="666">
                  <c:v>20.496540945512795</c:v>
                </c:pt>
                <c:pt idx="667">
                  <c:v>20.496540945512795</c:v>
                </c:pt>
                <c:pt idx="668">
                  <c:v>20.496540945512795</c:v>
                </c:pt>
                <c:pt idx="669">
                  <c:v>20.496540945512795</c:v>
                </c:pt>
                <c:pt idx="670">
                  <c:v>20.496540945512795</c:v>
                </c:pt>
                <c:pt idx="671">
                  <c:v>20.496540945512795</c:v>
                </c:pt>
                <c:pt idx="672">
                  <c:v>20.496540945512795</c:v>
                </c:pt>
                <c:pt idx="673">
                  <c:v>20.496540945512795</c:v>
                </c:pt>
                <c:pt idx="674">
                  <c:v>20.496540945512795</c:v>
                </c:pt>
                <c:pt idx="675">
                  <c:v>20.496540945512795</c:v>
                </c:pt>
                <c:pt idx="676">
                  <c:v>20.496540945512795</c:v>
                </c:pt>
                <c:pt idx="677">
                  <c:v>20.496540945512795</c:v>
                </c:pt>
                <c:pt idx="678">
                  <c:v>20.496540945512795</c:v>
                </c:pt>
                <c:pt idx="679">
                  <c:v>20.496540945512795</c:v>
                </c:pt>
                <c:pt idx="680">
                  <c:v>20.496540945512795</c:v>
                </c:pt>
                <c:pt idx="681">
                  <c:v>20.496540945512795</c:v>
                </c:pt>
                <c:pt idx="682">
                  <c:v>20.496540945512795</c:v>
                </c:pt>
                <c:pt idx="683">
                  <c:v>20.496540945512795</c:v>
                </c:pt>
                <c:pt idx="684">
                  <c:v>20.496540945512795</c:v>
                </c:pt>
                <c:pt idx="685">
                  <c:v>20.496540945512795</c:v>
                </c:pt>
                <c:pt idx="686">
                  <c:v>20.496540945512795</c:v>
                </c:pt>
                <c:pt idx="687">
                  <c:v>20.496540945512795</c:v>
                </c:pt>
                <c:pt idx="688">
                  <c:v>20.496540945512795</c:v>
                </c:pt>
                <c:pt idx="689">
                  <c:v>20.496540945512795</c:v>
                </c:pt>
                <c:pt idx="690">
                  <c:v>20.496540945512795</c:v>
                </c:pt>
                <c:pt idx="691">
                  <c:v>20.496540945512795</c:v>
                </c:pt>
                <c:pt idx="692">
                  <c:v>20.496540945512795</c:v>
                </c:pt>
                <c:pt idx="693">
                  <c:v>20.496540945512795</c:v>
                </c:pt>
                <c:pt idx="694">
                  <c:v>20.496540945512795</c:v>
                </c:pt>
                <c:pt idx="695">
                  <c:v>20.496540945512795</c:v>
                </c:pt>
                <c:pt idx="696">
                  <c:v>20.496540945512795</c:v>
                </c:pt>
                <c:pt idx="697">
                  <c:v>20.496540945512795</c:v>
                </c:pt>
                <c:pt idx="698">
                  <c:v>20.496540945512795</c:v>
                </c:pt>
                <c:pt idx="699">
                  <c:v>20.496540945512795</c:v>
                </c:pt>
                <c:pt idx="700">
                  <c:v>20.496540945512795</c:v>
                </c:pt>
                <c:pt idx="701">
                  <c:v>20.496540945512795</c:v>
                </c:pt>
                <c:pt idx="702">
                  <c:v>20.496540945512795</c:v>
                </c:pt>
                <c:pt idx="703">
                  <c:v>20.496540945512795</c:v>
                </c:pt>
                <c:pt idx="704">
                  <c:v>20.496540945512795</c:v>
                </c:pt>
                <c:pt idx="705">
                  <c:v>20.496540945512795</c:v>
                </c:pt>
                <c:pt idx="706">
                  <c:v>20.496540945512795</c:v>
                </c:pt>
                <c:pt idx="707">
                  <c:v>20.496540945512795</c:v>
                </c:pt>
                <c:pt idx="708">
                  <c:v>20.496540945512795</c:v>
                </c:pt>
                <c:pt idx="709">
                  <c:v>20.496540945512795</c:v>
                </c:pt>
                <c:pt idx="710">
                  <c:v>20.496540945512795</c:v>
                </c:pt>
                <c:pt idx="711">
                  <c:v>20.496540945512795</c:v>
                </c:pt>
                <c:pt idx="712">
                  <c:v>20.496540945512795</c:v>
                </c:pt>
                <c:pt idx="713">
                  <c:v>20.496540945512795</c:v>
                </c:pt>
                <c:pt idx="714">
                  <c:v>20.496540945512795</c:v>
                </c:pt>
                <c:pt idx="715">
                  <c:v>20.496540945512795</c:v>
                </c:pt>
                <c:pt idx="716">
                  <c:v>20.496540945512795</c:v>
                </c:pt>
                <c:pt idx="717">
                  <c:v>20.496540945512795</c:v>
                </c:pt>
                <c:pt idx="718">
                  <c:v>20.496540945512795</c:v>
                </c:pt>
                <c:pt idx="719">
                  <c:v>20.496540945512795</c:v>
                </c:pt>
                <c:pt idx="720">
                  <c:v>20.496540945512795</c:v>
                </c:pt>
                <c:pt idx="721">
                  <c:v>20.496540945512795</c:v>
                </c:pt>
                <c:pt idx="722">
                  <c:v>20.496540945512795</c:v>
                </c:pt>
                <c:pt idx="723">
                  <c:v>20.496540945512795</c:v>
                </c:pt>
                <c:pt idx="724">
                  <c:v>20.496540945512795</c:v>
                </c:pt>
                <c:pt idx="725">
                  <c:v>20.496540945512795</c:v>
                </c:pt>
                <c:pt idx="726">
                  <c:v>20.496540945512795</c:v>
                </c:pt>
                <c:pt idx="727">
                  <c:v>20.496540945512795</c:v>
                </c:pt>
                <c:pt idx="728">
                  <c:v>20.496540945512795</c:v>
                </c:pt>
                <c:pt idx="729">
                  <c:v>20.496540945512795</c:v>
                </c:pt>
                <c:pt idx="730">
                  <c:v>20.496540945512795</c:v>
                </c:pt>
                <c:pt idx="731">
                  <c:v>20.496540945512795</c:v>
                </c:pt>
                <c:pt idx="732">
                  <c:v>20.496540945512795</c:v>
                </c:pt>
                <c:pt idx="733">
                  <c:v>20.496540945512795</c:v>
                </c:pt>
                <c:pt idx="734">
                  <c:v>20.496540945512795</c:v>
                </c:pt>
                <c:pt idx="735">
                  <c:v>20.496540945512795</c:v>
                </c:pt>
                <c:pt idx="736">
                  <c:v>20.496540945512795</c:v>
                </c:pt>
                <c:pt idx="737">
                  <c:v>20.496540945512795</c:v>
                </c:pt>
                <c:pt idx="738">
                  <c:v>20.496540945512795</c:v>
                </c:pt>
                <c:pt idx="739">
                  <c:v>20.496540945512795</c:v>
                </c:pt>
                <c:pt idx="740">
                  <c:v>20.496540945512795</c:v>
                </c:pt>
                <c:pt idx="741">
                  <c:v>20.496540945512795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30C-4C09-8815-39EBA7ADE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4353871"/>
        <c:axId val="1384354351"/>
      </c:lineChart>
      <c:dateAx>
        <c:axId val="1384353871"/>
        <c:scaling>
          <c:orientation val="minMax"/>
          <c:max val="45533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384354351"/>
        <c:crosses val="autoZero"/>
        <c:auto val="1"/>
        <c:lblOffset val="100"/>
        <c:baseTimeUnit val="days"/>
        <c:majorUnit val="6"/>
        <c:majorTimeUnit val="months"/>
      </c:dateAx>
      <c:valAx>
        <c:axId val="1384354351"/>
        <c:scaling>
          <c:orientation val="minMax"/>
          <c:max val="30"/>
          <c:min val="10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353871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371642069331493E-2"/>
          <c:y val="0.10304045131151059"/>
          <c:w val="0.85942981512556837"/>
          <c:h val="0.82013362716452898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[177]PE!$B$2:$B$1249</c:f>
              <c:numCache>
                <c:formatCode>_(* #,##0_);_(* \(#,##0\);_(* "-"??_);_(@_)</c:formatCode>
                <c:ptCount val="1248"/>
                <c:pt idx="0">
                  <c:v>11.483700000000001</c:v>
                </c:pt>
                <c:pt idx="1">
                  <c:v>11.518800000000001</c:v>
                </c:pt>
                <c:pt idx="2">
                  <c:v>11.6823</c:v>
                </c:pt>
                <c:pt idx="3">
                  <c:v>11.799200000000001</c:v>
                </c:pt>
                <c:pt idx="4">
                  <c:v>11.6823</c:v>
                </c:pt>
                <c:pt idx="5">
                  <c:v>11.9627</c:v>
                </c:pt>
                <c:pt idx="6">
                  <c:v>11.9627</c:v>
                </c:pt>
                <c:pt idx="7">
                  <c:v>11.9861</c:v>
                </c:pt>
                <c:pt idx="8">
                  <c:v>11.939299999999999</c:v>
                </c:pt>
                <c:pt idx="9">
                  <c:v>11.799200000000001</c:v>
                </c:pt>
                <c:pt idx="10">
                  <c:v>11.869199999999999</c:v>
                </c:pt>
                <c:pt idx="11">
                  <c:v>11.939299999999999</c:v>
                </c:pt>
                <c:pt idx="12">
                  <c:v>11.729100000000001</c:v>
                </c:pt>
                <c:pt idx="13">
                  <c:v>11.8033</c:v>
                </c:pt>
                <c:pt idx="14">
                  <c:v>11.9922</c:v>
                </c:pt>
                <c:pt idx="15">
                  <c:v>11.8742</c:v>
                </c:pt>
                <c:pt idx="16">
                  <c:v>11.9214</c:v>
                </c:pt>
                <c:pt idx="17">
                  <c:v>11.9214</c:v>
                </c:pt>
                <c:pt idx="18">
                  <c:v>11.8978</c:v>
                </c:pt>
                <c:pt idx="19">
                  <c:v>12.063000000000001</c:v>
                </c:pt>
                <c:pt idx="20">
                  <c:v>11.9922</c:v>
                </c:pt>
                <c:pt idx="21">
                  <c:v>12.0158</c:v>
                </c:pt>
                <c:pt idx="22">
                  <c:v>11.9686</c:v>
                </c:pt>
                <c:pt idx="23">
                  <c:v>12.039400000000001</c:v>
                </c:pt>
                <c:pt idx="24">
                  <c:v>12.086600000000001</c:v>
                </c:pt>
                <c:pt idx="25">
                  <c:v>12.5588</c:v>
                </c:pt>
                <c:pt idx="26">
                  <c:v>12.5824</c:v>
                </c:pt>
                <c:pt idx="27">
                  <c:v>12.5588</c:v>
                </c:pt>
                <c:pt idx="28">
                  <c:v>12.4643</c:v>
                </c:pt>
                <c:pt idx="29">
                  <c:v>12.7476</c:v>
                </c:pt>
                <c:pt idx="30">
                  <c:v>12.724</c:v>
                </c:pt>
                <c:pt idx="31">
                  <c:v>12.4643</c:v>
                </c:pt>
                <c:pt idx="32">
                  <c:v>12.299099999999999</c:v>
                </c:pt>
                <c:pt idx="33">
                  <c:v>11.9686</c:v>
                </c:pt>
                <c:pt idx="34">
                  <c:v>12.0158</c:v>
                </c:pt>
                <c:pt idx="35">
                  <c:v>12.157400000000001</c:v>
                </c:pt>
                <c:pt idx="36">
                  <c:v>12.204700000000001</c:v>
                </c:pt>
                <c:pt idx="37">
                  <c:v>12.4643</c:v>
                </c:pt>
                <c:pt idx="38">
                  <c:v>12.5115</c:v>
                </c:pt>
                <c:pt idx="39">
                  <c:v>12.275499999999999</c:v>
                </c:pt>
                <c:pt idx="40">
                  <c:v>12.369899999999999</c:v>
                </c:pt>
                <c:pt idx="41">
                  <c:v>12.606</c:v>
                </c:pt>
                <c:pt idx="42">
                  <c:v>12.5115</c:v>
                </c:pt>
                <c:pt idx="43">
                  <c:v>12.5115</c:v>
                </c:pt>
                <c:pt idx="44">
                  <c:v>12.6296</c:v>
                </c:pt>
                <c:pt idx="45">
                  <c:v>12.7004</c:v>
                </c:pt>
                <c:pt idx="46">
                  <c:v>12.5824</c:v>
                </c:pt>
                <c:pt idx="47">
                  <c:v>12.7476</c:v>
                </c:pt>
                <c:pt idx="48">
                  <c:v>12.7476</c:v>
                </c:pt>
                <c:pt idx="49">
                  <c:v>13.007300000000001</c:v>
                </c:pt>
                <c:pt idx="50">
                  <c:v>13.030900000000001</c:v>
                </c:pt>
                <c:pt idx="51">
                  <c:v>13.196099999999999</c:v>
                </c:pt>
                <c:pt idx="52">
                  <c:v>13.125299999999999</c:v>
                </c:pt>
                <c:pt idx="53">
                  <c:v>13.030900000000001</c:v>
                </c:pt>
                <c:pt idx="54">
                  <c:v>13.148899999999999</c:v>
                </c:pt>
                <c:pt idx="55">
                  <c:v>13.266999999999999</c:v>
                </c:pt>
                <c:pt idx="56">
                  <c:v>13.078099999999999</c:v>
                </c:pt>
                <c:pt idx="57">
                  <c:v>13.030900000000001</c:v>
                </c:pt>
                <c:pt idx="58">
                  <c:v>13.125299999999999</c:v>
                </c:pt>
                <c:pt idx="59">
                  <c:v>13.125299999999999</c:v>
                </c:pt>
                <c:pt idx="60">
                  <c:v>13.148899999999999</c:v>
                </c:pt>
                <c:pt idx="61">
                  <c:v>13.148899999999999</c:v>
                </c:pt>
                <c:pt idx="62">
                  <c:v>13.266999999999999</c:v>
                </c:pt>
                <c:pt idx="63">
                  <c:v>13.5738</c:v>
                </c:pt>
                <c:pt idx="64">
                  <c:v>13.3378</c:v>
                </c:pt>
                <c:pt idx="65">
                  <c:v>13.4558</c:v>
                </c:pt>
                <c:pt idx="66">
                  <c:v>13.503</c:v>
                </c:pt>
                <c:pt idx="67">
                  <c:v>13.385</c:v>
                </c:pt>
                <c:pt idx="68">
                  <c:v>13.4794</c:v>
                </c:pt>
                <c:pt idx="69">
                  <c:v>13.3378</c:v>
                </c:pt>
                <c:pt idx="70">
                  <c:v>13.4322</c:v>
                </c:pt>
                <c:pt idx="71">
                  <c:v>13.5738</c:v>
                </c:pt>
                <c:pt idx="72">
                  <c:v>13.7155</c:v>
                </c:pt>
                <c:pt idx="73">
                  <c:v>13.5738</c:v>
                </c:pt>
                <c:pt idx="74">
                  <c:v>13.4558</c:v>
                </c:pt>
                <c:pt idx="75">
                  <c:v>13.5975</c:v>
                </c:pt>
                <c:pt idx="76">
                  <c:v>13.6683</c:v>
                </c:pt>
                <c:pt idx="77">
                  <c:v>13.833500000000001</c:v>
                </c:pt>
                <c:pt idx="78">
                  <c:v>13.7155</c:v>
                </c:pt>
                <c:pt idx="79">
                  <c:v>13.0761</c:v>
                </c:pt>
                <c:pt idx="80">
                  <c:v>13.3195</c:v>
                </c:pt>
                <c:pt idx="81">
                  <c:v>13.8726</c:v>
                </c:pt>
                <c:pt idx="82">
                  <c:v>13.8062</c:v>
                </c:pt>
                <c:pt idx="83">
                  <c:v>13.8284</c:v>
                </c:pt>
                <c:pt idx="84">
                  <c:v>14.0054</c:v>
                </c:pt>
                <c:pt idx="85">
                  <c:v>14.315099999999999</c:v>
                </c:pt>
                <c:pt idx="86">
                  <c:v>14.5585</c:v>
                </c:pt>
                <c:pt idx="87">
                  <c:v>14.7134</c:v>
                </c:pt>
                <c:pt idx="88">
                  <c:v>14.6912</c:v>
                </c:pt>
                <c:pt idx="89">
                  <c:v>14.7355</c:v>
                </c:pt>
                <c:pt idx="90">
                  <c:v>14.6691</c:v>
                </c:pt>
                <c:pt idx="91">
                  <c:v>13.717700000000001</c:v>
                </c:pt>
                <c:pt idx="92">
                  <c:v>14.0054</c:v>
                </c:pt>
                <c:pt idx="93">
                  <c:v>14.514200000000001</c:v>
                </c:pt>
                <c:pt idx="94">
                  <c:v>14.8019</c:v>
                </c:pt>
                <c:pt idx="95">
                  <c:v>14.824</c:v>
                </c:pt>
                <c:pt idx="96">
                  <c:v>14.6027</c:v>
                </c:pt>
                <c:pt idx="97">
                  <c:v>13.939</c:v>
                </c:pt>
                <c:pt idx="98">
                  <c:v>12.9655</c:v>
                </c:pt>
                <c:pt idx="99">
                  <c:v>13.8726</c:v>
                </c:pt>
                <c:pt idx="100">
                  <c:v>14.0496</c:v>
                </c:pt>
                <c:pt idx="101">
                  <c:v>14.6027</c:v>
                </c:pt>
                <c:pt idx="102">
                  <c:v>15.4878</c:v>
                </c:pt>
                <c:pt idx="103">
                  <c:v>16.040900000000001</c:v>
                </c:pt>
                <c:pt idx="104">
                  <c:v>16.1294</c:v>
                </c:pt>
                <c:pt idx="105">
                  <c:v>15.775399999999999</c:v>
                </c:pt>
                <c:pt idx="106">
                  <c:v>16.505500000000001</c:v>
                </c:pt>
                <c:pt idx="107">
                  <c:v>17.235700000000001</c:v>
                </c:pt>
                <c:pt idx="108">
                  <c:v>17.302</c:v>
                </c:pt>
                <c:pt idx="109">
                  <c:v>16.948</c:v>
                </c:pt>
                <c:pt idx="110">
                  <c:v>16.9923</c:v>
                </c:pt>
                <c:pt idx="111">
                  <c:v>16.704699999999999</c:v>
                </c:pt>
                <c:pt idx="112">
                  <c:v>16.682500000000001</c:v>
                </c:pt>
                <c:pt idx="113">
                  <c:v>16.859500000000001</c:v>
                </c:pt>
                <c:pt idx="114">
                  <c:v>16.859500000000001</c:v>
                </c:pt>
                <c:pt idx="115">
                  <c:v>17.235700000000001</c:v>
                </c:pt>
                <c:pt idx="116">
                  <c:v>17.235700000000001</c:v>
                </c:pt>
                <c:pt idx="117">
                  <c:v>17.191400000000002</c:v>
                </c:pt>
                <c:pt idx="118">
                  <c:v>16.793199999999999</c:v>
                </c:pt>
                <c:pt idx="119">
                  <c:v>16.793199999999999</c:v>
                </c:pt>
                <c:pt idx="120">
                  <c:v>16.771000000000001</c:v>
                </c:pt>
                <c:pt idx="121">
                  <c:v>16.594000000000001</c:v>
                </c:pt>
                <c:pt idx="122">
                  <c:v>16.881699999999999</c:v>
                </c:pt>
                <c:pt idx="123">
                  <c:v>16.970199999999998</c:v>
                </c:pt>
                <c:pt idx="124">
                  <c:v>16.925899999999999</c:v>
                </c:pt>
                <c:pt idx="125">
                  <c:v>16.925899999999999</c:v>
                </c:pt>
                <c:pt idx="126">
                  <c:v>17.921600000000002</c:v>
                </c:pt>
                <c:pt idx="127">
                  <c:v>17.877300000000002</c:v>
                </c:pt>
                <c:pt idx="128">
                  <c:v>17.921600000000002</c:v>
                </c:pt>
                <c:pt idx="129">
                  <c:v>17.655999999999999</c:v>
                </c:pt>
                <c:pt idx="130">
                  <c:v>17.412700000000001</c:v>
                </c:pt>
                <c:pt idx="131">
                  <c:v>17.434799999999999</c:v>
                </c:pt>
                <c:pt idx="132">
                  <c:v>17.0365</c:v>
                </c:pt>
                <c:pt idx="133">
                  <c:v>16.948</c:v>
                </c:pt>
                <c:pt idx="134">
                  <c:v>16.837399999999999</c:v>
                </c:pt>
                <c:pt idx="135">
                  <c:v>17.1693</c:v>
                </c:pt>
                <c:pt idx="136">
                  <c:v>17.058700000000002</c:v>
                </c:pt>
                <c:pt idx="137">
                  <c:v>16.4678</c:v>
                </c:pt>
                <c:pt idx="138">
                  <c:v>16.8917</c:v>
                </c:pt>
                <c:pt idx="139">
                  <c:v>16.912800000000001</c:v>
                </c:pt>
                <c:pt idx="140">
                  <c:v>16.8705</c:v>
                </c:pt>
                <c:pt idx="141">
                  <c:v>16.828099999999999</c:v>
                </c:pt>
                <c:pt idx="142">
                  <c:v>16.8705</c:v>
                </c:pt>
                <c:pt idx="143">
                  <c:v>16.8705</c:v>
                </c:pt>
                <c:pt idx="144">
                  <c:v>17.400300000000001</c:v>
                </c:pt>
                <c:pt idx="145">
                  <c:v>17.400300000000001</c:v>
                </c:pt>
                <c:pt idx="146">
                  <c:v>17.1036</c:v>
                </c:pt>
                <c:pt idx="147">
                  <c:v>17.167200000000001</c:v>
                </c:pt>
                <c:pt idx="148">
                  <c:v>16.955200000000001</c:v>
                </c:pt>
                <c:pt idx="149">
                  <c:v>16.8917</c:v>
                </c:pt>
                <c:pt idx="150">
                  <c:v>17.273099999999999</c:v>
                </c:pt>
                <c:pt idx="151">
                  <c:v>17.569900000000001</c:v>
                </c:pt>
                <c:pt idx="152">
                  <c:v>16.955200000000001</c:v>
                </c:pt>
                <c:pt idx="153">
                  <c:v>17.591100000000001</c:v>
                </c:pt>
                <c:pt idx="154">
                  <c:v>17.167200000000001</c:v>
                </c:pt>
                <c:pt idx="155">
                  <c:v>17.1036</c:v>
                </c:pt>
                <c:pt idx="156">
                  <c:v>17.1248</c:v>
                </c:pt>
                <c:pt idx="157">
                  <c:v>17.146000000000001</c:v>
                </c:pt>
                <c:pt idx="158">
                  <c:v>17.569900000000001</c:v>
                </c:pt>
                <c:pt idx="159">
                  <c:v>17.569900000000001</c:v>
                </c:pt>
                <c:pt idx="160">
                  <c:v>17.5275</c:v>
                </c:pt>
                <c:pt idx="161">
                  <c:v>17.591100000000001</c:v>
                </c:pt>
                <c:pt idx="162">
                  <c:v>18.1845</c:v>
                </c:pt>
                <c:pt idx="163">
                  <c:v>18.057300000000001</c:v>
                </c:pt>
                <c:pt idx="164">
                  <c:v>18.099699999999999</c:v>
                </c:pt>
                <c:pt idx="165">
                  <c:v>17.803000000000001</c:v>
                </c:pt>
                <c:pt idx="166">
                  <c:v>17.9726</c:v>
                </c:pt>
                <c:pt idx="167">
                  <c:v>18.1633</c:v>
                </c:pt>
                <c:pt idx="168">
                  <c:v>18.438800000000001</c:v>
                </c:pt>
                <c:pt idx="169">
                  <c:v>19.244199999999999</c:v>
                </c:pt>
                <c:pt idx="170">
                  <c:v>20.240300000000001</c:v>
                </c:pt>
                <c:pt idx="171">
                  <c:v>19.88</c:v>
                </c:pt>
                <c:pt idx="172">
                  <c:v>19.816400000000002</c:v>
                </c:pt>
                <c:pt idx="173">
                  <c:v>19.88</c:v>
                </c:pt>
                <c:pt idx="174">
                  <c:v>20.197900000000001</c:v>
                </c:pt>
                <c:pt idx="175">
                  <c:v>19.88</c:v>
                </c:pt>
                <c:pt idx="176">
                  <c:v>20.091999999999999</c:v>
                </c:pt>
                <c:pt idx="177">
                  <c:v>20.748999999999999</c:v>
                </c:pt>
                <c:pt idx="178">
                  <c:v>21.228999999999999</c:v>
                </c:pt>
                <c:pt idx="179">
                  <c:v>20.838999999999999</c:v>
                </c:pt>
                <c:pt idx="180">
                  <c:v>20.765899999999998</c:v>
                </c:pt>
                <c:pt idx="181">
                  <c:v>20.644100000000002</c:v>
                </c:pt>
                <c:pt idx="182">
                  <c:v>20.156600000000001</c:v>
                </c:pt>
                <c:pt idx="183">
                  <c:v>19.6935</c:v>
                </c:pt>
                <c:pt idx="184">
                  <c:v>19.9129</c:v>
                </c:pt>
                <c:pt idx="185">
                  <c:v>19.961600000000001</c:v>
                </c:pt>
                <c:pt idx="186">
                  <c:v>20.351600000000001</c:v>
                </c:pt>
                <c:pt idx="187">
                  <c:v>20.424700000000001</c:v>
                </c:pt>
                <c:pt idx="188">
                  <c:v>20.278500000000001</c:v>
                </c:pt>
                <c:pt idx="189">
                  <c:v>20.254100000000001</c:v>
                </c:pt>
                <c:pt idx="190">
                  <c:v>20.132200000000001</c:v>
                </c:pt>
                <c:pt idx="191">
                  <c:v>20.424700000000001</c:v>
                </c:pt>
                <c:pt idx="192">
                  <c:v>20.863399999999999</c:v>
                </c:pt>
                <c:pt idx="193">
                  <c:v>20.814699999999998</c:v>
                </c:pt>
                <c:pt idx="194">
                  <c:v>20.692799999999998</c:v>
                </c:pt>
                <c:pt idx="195">
                  <c:v>20.644100000000002</c:v>
                </c:pt>
                <c:pt idx="196">
                  <c:v>20.765899999999998</c:v>
                </c:pt>
                <c:pt idx="197">
                  <c:v>20.887799999999999</c:v>
                </c:pt>
                <c:pt idx="198">
                  <c:v>21.5946</c:v>
                </c:pt>
                <c:pt idx="199">
                  <c:v>20.7865</c:v>
                </c:pt>
                <c:pt idx="200">
                  <c:v>20.999099999999999</c:v>
                </c:pt>
                <c:pt idx="201">
                  <c:v>21.707799999999999</c:v>
                </c:pt>
                <c:pt idx="202">
                  <c:v>21.896699999999999</c:v>
                </c:pt>
                <c:pt idx="203">
                  <c:v>20.5503</c:v>
                </c:pt>
                <c:pt idx="204">
                  <c:v>21.377099999999999</c:v>
                </c:pt>
                <c:pt idx="205">
                  <c:v>21.2117</c:v>
                </c:pt>
                <c:pt idx="206">
                  <c:v>21.188099999999999</c:v>
                </c:pt>
                <c:pt idx="207">
                  <c:v>20.337700000000002</c:v>
                </c:pt>
                <c:pt idx="208">
                  <c:v>20.5503</c:v>
                </c:pt>
                <c:pt idx="209">
                  <c:v>20.1251</c:v>
                </c:pt>
                <c:pt idx="210">
                  <c:v>20.1724</c:v>
                </c:pt>
                <c:pt idx="211">
                  <c:v>20.5031</c:v>
                </c:pt>
                <c:pt idx="212">
                  <c:v>20.007000000000001</c:v>
                </c:pt>
                <c:pt idx="213">
                  <c:v>20.5031</c:v>
                </c:pt>
                <c:pt idx="214">
                  <c:v>20.4558</c:v>
                </c:pt>
                <c:pt idx="215">
                  <c:v>21.1172</c:v>
                </c:pt>
                <c:pt idx="216">
                  <c:v>21.377099999999999</c:v>
                </c:pt>
                <c:pt idx="217">
                  <c:v>22.132899999999999</c:v>
                </c:pt>
                <c:pt idx="218">
                  <c:v>22.014800000000001</c:v>
                </c:pt>
                <c:pt idx="219">
                  <c:v>21.731400000000001</c:v>
                </c:pt>
                <c:pt idx="220">
                  <c:v>22.062100000000001</c:v>
                </c:pt>
                <c:pt idx="221">
                  <c:v>22.203800000000001</c:v>
                </c:pt>
                <c:pt idx="222">
                  <c:v>22.581700000000001</c:v>
                </c:pt>
                <c:pt idx="223">
                  <c:v>22.629000000000001</c:v>
                </c:pt>
                <c:pt idx="224">
                  <c:v>22.581700000000001</c:v>
                </c:pt>
                <c:pt idx="225">
                  <c:v>22.817900000000002</c:v>
                </c:pt>
                <c:pt idx="226">
                  <c:v>22.817900000000002</c:v>
                </c:pt>
                <c:pt idx="227">
                  <c:v>23.0305</c:v>
                </c:pt>
                <c:pt idx="228">
                  <c:v>23.101400000000002</c:v>
                </c:pt>
                <c:pt idx="229">
                  <c:v>22.6998</c:v>
                </c:pt>
                <c:pt idx="230">
                  <c:v>22.156600000000001</c:v>
                </c:pt>
                <c:pt idx="231">
                  <c:v>22.44</c:v>
                </c:pt>
                <c:pt idx="232">
                  <c:v>22.345500000000001</c:v>
                </c:pt>
                <c:pt idx="233">
                  <c:v>22.156600000000001</c:v>
                </c:pt>
                <c:pt idx="234">
                  <c:v>22.203800000000001</c:v>
                </c:pt>
                <c:pt idx="235">
                  <c:v>22.321899999999999</c:v>
                </c:pt>
                <c:pt idx="236">
                  <c:v>21.920300000000001</c:v>
                </c:pt>
                <c:pt idx="237">
                  <c:v>21.495200000000001</c:v>
                </c:pt>
                <c:pt idx="238">
                  <c:v>21.707799999999999</c:v>
                </c:pt>
                <c:pt idx="239">
                  <c:v>21.707799999999999</c:v>
                </c:pt>
                <c:pt idx="240">
                  <c:v>21.589600000000001</c:v>
                </c:pt>
                <c:pt idx="241">
                  <c:v>21.731400000000001</c:v>
                </c:pt>
                <c:pt idx="242">
                  <c:v>21.778600000000001</c:v>
                </c:pt>
                <c:pt idx="243">
                  <c:v>21.825900000000001</c:v>
                </c:pt>
                <c:pt idx="244">
                  <c:v>21.825900000000001</c:v>
                </c:pt>
                <c:pt idx="245">
                  <c:v>22.416399999999999</c:v>
                </c:pt>
                <c:pt idx="246">
                  <c:v>22.085699999999999</c:v>
                </c:pt>
                <c:pt idx="247">
                  <c:v>21.991199999999999</c:v>
                </c:pt>
                <c:pt idx="248">
                  <c:v>22.014800000000001</c:v>
                </c:pt>
                <c:pt idx="249">
                  <c:v>22.085699999999999</c:v>
                </c:pt>
                <c:pt idx="250">
                  <c:v>21.967600000000001</c:v>
                </c:pt>
                <c:pt idx="251">
                  <c:v>22.156600000000001</c:v>
                </c:pt>
                <c:pt idx="252">
                  <c:v>22.227399999999999</c:v>
                </c:pt>
                <c:pt idx="253">
                  <c:v>22.3691</c:v>
                </c:pt>
                <c:pt idx="254">
                  <c:v>22.605399999999999</c:v>
                </c:pt>
                <c:pt idx="255">
                  <c:v>22.298300000000001</c:v>
                </c:pt>
                <c:pt idx="256">
                  <c:v>22.085699999999999</c:v>
                </c:pt>
                <c:pt idx="257">
                  <c:v>22.014800000000001</c:v>
                </c:pt>
                <c:pt idx="258">
                  <c:v>21.991199999999999</c:v>
                </c:pt>
                <c:pt idx="259">
                  <c:v>21.896699999999999</c:v>
                </c:pt>
                <c:pt idx="260">
                  <c:v>21.754999999999999</c:v>
                </c:pt>
                <c:pt idx="261">
                  <c:v>21.967600000000001</c:v>
                </c:pt>
                <c:pt idx="262">
                  <c:v>22.014800000000001</c:v>
                </c:pt>
                <c:pt idx="263">
                  <c:v>20.930199999999999</c:v>
                </c:pt>
                <c:pt idx="264">
                  <c:v>20.907699999999998</c:v>
                </c:pt>
                <c:pt idx="265">
                  <c:v>21.290299999999998</c:v>
                </c:pt>
                <c:pt idx="266">
                  <c:v>21.2453</c:v>
                </c:pt>
                <c:pt idx="267">
                  <c:v>21.2453</c:v>
                </c:pt>
                <c:pt idx="268">
                  <c:v>21.222799999999999</c:v>
                </c:pt>
                <c:pt idx="269">
                  <c:v>22.257999999999999</c:v>
                </c:pt>
                <c:pt idx="270">
                  <c:v>22.325600000000001</c:v>
                </c:pt>
                <c:pt idx="271">
                  <c:v>22.2806</c:v>
                </c:pt>
                <c:pt idx="272">
                  <c:v>22.3706</c:v>
                </c:pt>
                <c:pt idx="273">
                  <c:v>22.235499999999998</c:v>
                </c:pt>
                <c:pt idx="274">
                  <c:v>22.257999999999999</c:v>
                </c:pt>
                <c:pt idx="275">
                  <c:v>22.2806</c:v>
                </c:pt>
                <c:pt idx="276">
                  <c:v>22.1905</c:v>
                </c:pt>
                <c:pt idx="277">
                  <c:v>21.965499999999999</c:v>
                </c:pt>
                <c:pt idx="278">
                  <c:v>21.762899999999998</c:v>
                </c:pt>
                <c:pt idx="279">
                  <c:v>21.650400000000001</c:v>
                </c:pt>
                <c:pt idx="280">
                  <c:v>21.357800000000001</c:v>
                </c:pt>
                <c:pt idx="281">
                  <c:v>21.8079</c:v>
                </c:pt>
                <c:pt idx="282">
                  <c:v>22.1005</c:v>
                </c:pt>
                <c:pt idx="283">
                  <c:v>22.055499999999999</c:v>
                </c:pt>
                <c:pt idx="284">
                  <c:v>21.8079</c:v>
                </c:pt>
                <c:pt idx="285">
                  <c:v>21.560400000000001</c:v>
                </c:pt>
                <c:pt idx="286">
                  <c:v>21.6279</c:v>
                </c:pt>
                <c:pt idx="287">
                  <c:v>21.6279</c:v>
                </c:pt>
                <c:pt idx="288">
                  <c:v>21.605399999999999</c:v>
                </c:pt>
                <c:pt idx="289">
                  <c:v>21.965499999999999</c:v>
                </c:pt>
                <c:pt idx="290">
                  <c:v>21.920500000000001</c:v>
                </c:pt>
                <c:pt idx="291">
                  <c:v>21.695399999999999</c:v>
                </c:pt>
                <c:pt idx="292">
                  <c:v>21.830400000000001</c:v>
                </c:pt>
                <c:pt idx="293">
                  <c:v>21.605399999999999</c:v>
                </c:pt>
                <c:pt idx="294">
                  <c:v>22.055499999999999</c:v>
                </c:pt>
                <c:pt idx="295">
                  <c:v>21.898</c:v>
                </c:pt>
                <c:pt idx="296">
                  <c:v>22.123000000000001</c:v>
                </c:pt>
                <c:pt idx="297">
                  <c:v>22.123000000000001</c:v>
                </c:pt>
                <c:pt idx="298">
                  <c:v>21.7179</c:v>
                </c:pt>
                <c:pt idx="299">
                  <c:v>21.447800000000001</c:v>
                </c:pt>
                <c:pt idx="300">
                  <c:v>21.380299999999998</c:v>
                </c:pt>
                <c:pt idx="301">
                  <c:v>21.740400000000001</c:v>
                </c:pt>
                <c:pt idx="302">
                  <c:v>22.033000000000001</c:v>
                </c:pt>
                <c:pt idx="303">
                  <c:v>22.505600000000001</c:v>
                </c:pt>
                <c:pt idx="304">
                  <c:v>22.257999999999999</c:v>
                </c:pt>
                <c:pt idx="305">
                  <c:v>22.077999999999999</c:v>
                </c:pt>
                <c:pt idx="306">
                  <c:v>21.852900000000002</c:v>
                </c:pt>
                <c:pt idx="307">
                  <c:v>22.1005</c:v>
                </c:pt>
                <c:pt idx="308">
                  <c:v>21.875499999999999</c:v>
                </c:pt>
                <c:pt idx="309">
                  <c:v>21.492899999999999</c:v>
                </c:pt>
                <c:pt idx="310">
                  <c:v>21.267800000000001</c:v>
                </c:pt>
                <c:pt idx="311">
                  <c:v>21.605399999999999</c:v>
                </c:pt>
                <c:pt idx="312">
                  <c:v>21.5154</c:v>
                </c:pt>
                <c:pt idx="313">
                  <c:v>21.830400000000001</c:v>
                </c:pt>
                <c:pt idx="314">
                  <c:v>21.560400000000001</c:v>
                </c:pt>
                <c:pt idx="315">
                  <c:v>21.605399999999999</c:v>
                </c:pt>
                <c:pt idx="316">
                  <c:v>21.5379</c:v>
                </c:pt>
                <c:pt idx="317">
                  <c:v>21.582899999999999</c:v>
                </c:pt>
                <c:pt idx="318">
                  <c:v>21.492899999999999</c:v>
                </c:pt>
                <c:pt idx="319">
                  <c:v>21.695399999999999</c:v>
                </c:pt>
                <c:pt idx="320">
                  <c:v>21.560400000000001</c:v>
                </c:pt>
                <c:pt idx="321">
                  <c:v>21.4253</c:v>
                </c:pt>
                <c:pt idx="322">
                  <c:v>21.380299999999998</c:v>
                </c:pt>
                <c:pt idx="323">
                  <c:v>20.975200000000001</c:v>
                </c:pt>
                <c:pt idx="324">
                  <c:v>21.110299999999999</c:v>
                </c:pt>
                <c:pt idx="325">
                  <c:v>21.267800000000001</c:v>
                </c:pt>
                <c:pt idx="326">
                  <c:v>21.267800000000001</c:v>
                </c:pt>
                <c:pt idx="327">
                  <c:v>21.065300000000001</c:v>
                </c:pt>
                <c:pt idx="328">
                  <c:v>21.065300000000001</c:v>
                </c:pt>
                <c:pt idx="329">
                  <c:v>19.406600000000001</c:v>
                </c:pt>
                <c:pt idx="330">
                  <c:v>19.510899999999999</c:v>
                </c:pt>
                <c:pt idx="331">
                  <c:v>19.5318</c:v>
                </c:pt>
                <c:pt idx="332">
                  <c:v>19.510899999999999</c:v>
                </c:pt>
                <c:pt idx="333">
                  <c:v>19.489999999999998</c:v>
                </c:pt>
                <c:pt idx="334">
                  <c:v>19.197900000000001</c:v>
                </c:pt>
                <c:pt idx="335">
                  <c:v>18.676200000000001</c:v>
                </c:pt>
                <c:pt idx="336">
                  <c:v>18.697099999999999</c:v>
                </c:pt>
                <c:pt idx="337">
                  <c:v>19.218800000000002</c:v>
                </c:pt>
                <c:pt idx="338">
                  <c:v>19.0518</c:v>
                </c:pt>
                <c:pt idx="339">
                  <c:v>18.571899999999999</c:v>
                </c:pt>
                <c:pt idx="340">
                  <c:v>18.3841</c:v>
                </c:pt>
                <c:pt idx="341">
                  <c:v>18.425799999999999</c:v>
                </c:pt>
                <c:pt idx="342">
                  <c:v>18.530100000000001</c:v>
                </c:pt>
                <c:pt idx="343">
                  <c:v>18.404900000000001</c:v>
                </c:pt>
                <c:pt idx="344">
                  <c:v>17.799800000000001</c:v>
                </c:pt>
                <c:pt idx="345">
                  <c:v>18.0502</c:v>
                </c:pt>
                <c:pt idx="346">
                  <c:v>17.945900000000002</c:v>
                </c:pt>
                <c:pt idx="347">
                  <c:v>17.925000000000001</c:v>
                </c:pt>
                <c:pt idx="348">
                  <c:v>18.676200000000001</c:v>
                </c:pt>
                <c:pt idx="349">
                  <c:v>18.676200000000001</c:v>
                </c:pt>
                <c:pt idx="350">
                  <c:v>18.905799999999999</c:v>
                </c:pt>
                <c:pt idx="351">
                  <c:v>18.926600000000001</c:v>
                </c:pt>
                <c:pt idx="352">
                  <c:v>19.197900000000001</c:v>
                </c:pt>
                <c:pt idx="353">
                  <c:v>19.1144</c:v>
                </c:pt>
                <c:pt idx="354">
                  <c:v>18.9892</c:v>
                </c:pt>
                <c:pt idx="355">
                  <c:v>19.010100000000001</c:v>
                </c:pt>
                <c:pt idx="356">
                  <c:v>19.0518</c:v>
                </c:pt>
                <c:pt idx="357">
                  <c:v>19.364799999999999</c:v>
                </c:pt>
                <c:pt idx="358">
                  <c:v>19.239599999999999</c:v>
                </c:pt>
                <c:pt idx="359">
                  <c:v>19.510899999999999</c:v>
                </c:pt>
                <c:pt idx="360">
                  <c:v>19.3857</c:v>
                </c:pt>
                <c:pt idx="361">
                  <c:v>19.406600000000001</c:v>
                </c:pt>
                <c:pt idx="362">
                  <c:v>19.197900000000001</c:v>
                </c:pt>
                <c:pt idx="363">
                  <c:v>19.2605</c:v>
                </c:pt>
                <c:pt idx="364">
                  <c:v>19.469200000000001</c:v>
                </c:pt>
                <c:pt idx="365">
                  <c:v>19.489999999999998</c:v>
                </c:pt>
                <c:pt idx="366">
                  <c:v>19.427399999999999</c:v>
                </c:pt>
                <c:pt idx="367">
                  <c:v>19.489999999999998</c:v>
                </c:pt>
                <c:pt idx="368">
                  <c:v>19.510899999999999</c:v>
                </c:pt>
                <c:pt idx="369">
                  <c:v>19.573499999999999</c:v>
                </c:pt>
                <c:pt idx="370">
                  <c:v>19.7822</c:v>
                </c:pt>
                <c:pt idx="371">
                  <c:v>19.9283</c:v>
                </c:pt>
                <c:pt idx="372">
                  <c:v>19.740400000000001</c:v>
                </c:pt>
                <c:pt idx="373">
                  <c:v>19.4483</c:v>
                </c:pt>
                <c:pt idx="374">
                  <c:v>19.156199999999998</c:v>
                </c:pt>
                <c:pt idx="375">
                  <c:v>18.9892</c:v>
                </c:pt>
                <c:pt idx="376">
                  <c:v>19.1144</c:v>
                </c:pt>
                <c:pt idx="377">
                  <c:v>19.197900000000001</c:v>
                </c:pt>
                <c:pt idx="378">
                  <c:v>19.844799999999999</c:v>
                </c:pt>
                <c:pt idx="379">
                  <c:v>19.886500000000002</c:v>
                </c:pt>
                <c:pt idx="380">
                  <c:v>20.116099999999999</c:v>
                </c:pt>
                <c:pt idx="381">
                  <c:v>20.136900000000001</c:v>
                </c:pt>
                <c:pt idx="382">
                  <c:v>20.032599999999999</c:v>
                </c:pt>
                <c:pt idx="383">
                  <c:v>19.97</c:v>
                </c:pt>
                <c:pt idx="384">
                  <c:v>20.470800000000001</c:v>
                </c:pt>
                <c:pt idx="385">
                  <c:v>21.889800000000001</c:v>
                </c:pt>
                <c:pt idx="386">
                  <c:v>22.119299999999999</c:v>
                </c:pt>
                <c:pt idx="387">
                  <c:v>20.768699999999999</c:v>
                </c:pt>
                <c:pt idx="388">
                  <c:v>21.545100000000001</c:v>
                </c:pt>
                <c:pt idx="389">
                  <c:v>21.215199999999999</c:v>
                </c:pt>
                <c:pt idx="390">
                  <c:v>21.1569</c:v>
                </c:pt>
                <c:pt idx="391">
                  <c:v>21.933299999999999</c:v>
                </c:pt>
                <c:pt idx="392">
                  <c:v>21.991599999999998</c:v>
                </c:pt>
                <c:pt idx="393">
                  <c:v>21.059899999999999</c:v>
                </c:pt>
                <c:pt idx="394">
                  <c:v>21.312200000000001</c:v>
                </c:pt>
                <c:pt idx="395">
                  <c:v>22.341000000000001</c:v>
                </c:pt>
                <c:pt idx="396">
                  <c:v>22.632100000000001</c:v>
                </c:pt>
                <c:pt idx="397">
                  <c:v>22.3215</c:v>
                </c:pt>
                <c:pt idx="398">
                  <c:v>22.418600000000001</c:v>
                </c:pt>
                <c:pt idx="399">
                  <c:v>21.7392</c:v>
                </c:pt>
                <c:pt idx="400">
                  <c:v>21.7392</c:v>
                </c:pt>
                <c:pt idx="401">
                  <c:v>21.7392</c:v>
                </c:pt>
                <c:pt idx="402">
                  <c:v>21.564599999999999</c:v>
                </c:pt>
                <c:pt idx="403">
                  <c:v>20.07</c:v>
                </c:pt>
                <c:pt idx="404">
                  <c:v>20.244700000000002</c:v>
                </c:pt>
                <c:pt idx="405">
                  <c:v>19.9923</c:v>
                </c:pt>
                <c:pt idx="406">
                  <c:v>20.477599999999999</c:v>
                </c:pt>
                <c:pt idx="407">
                  <c:v>20.380500000000001</c:v>
                </c:pt>
                <c:pt idx="408">
                  <c:v>20.2835</c:v>
                </c:pt>
                <c:pt idx="409">
                  <c:v>20.322299999999998</c:v>
                </c:pt>
                <c:pt idx="410">
                  <c:v>19.448899999999998</c:v>
                </c:pt>
                <c:pt idx="411">
                  <c:v>18.2454</c:v>
                </c:pt>
                <c:pt idx="412">
                  <c:v>19.099499999999999</c:v>
                </c:pt>
                <c:pt idx="413">
                  <c:v>19.7788</c:v>
                </c:pt>
                <c:pt idx="414">
                  <c:v>18.556000000000001</c:v>
                </c:pt>
                <c:pt idx="415">
                  <c:v>18.1678</c:v>
                </c:pt>
                <c:pt idx="416">
                  <c:v>18.090199999999999</c:v>
                </c:pt>
                <c:pt idx="417">
                  <c:v>19.351800000000001</c:v>
                </c:pt>
                <c:pt idx="418">
                  <c:v>18.9636</c:v>
                </c:pt>
                <c:pt idx="419">
                  <c:v>18.8277</c:v>
                </c:pt>
                <c:pt idx="420">
                  <c:v>18.924800000000001</c:v>
                </c:pt>
                <c:pt idx="421">
                  <c:v>18.730699999999999</c:v>
                </c:pt>
                <c:pt idx="422">
                  <c:v>19.060700000000001</c:v>
                </c:pt>
                <c:pt idx="423">
                  <c:v>20.380500000000001</c:v>
                </c:pt>
                <c:pt idx="424">
                  <c:v>20.497</c:v>
                </c:pt>
                <c:pt idx="425">
                  <c:v>21.700399999999998</c:v>
                </c:pt>
                <c:pt idx="426">
                  <c:v>21.603400000000001</c:v>
                </c:pt>
                <c:pt idx="427">
                  <c:v>21.331600000000002</c:v>
                </c:pt>
                <c:pt idx="428">
                  <c:v>21.700399999999998</c:v>
                </c:pt>
                <c:pt idx="429">
                  <c:v>21.642199999999999</c:v>
                </c:pt>
                <c:pt idx="430">
                  <c:v>22.127400000000002</c:v>
                </c:pt>
                <c:pt idx="431">
                  <c:v>21.933299999999999</c:v>
                </c:pt>
                <c:pt idx="432">
                  <c:v>22.437999999999999</c:v>
                </c:pt>
                <c:pt idx="433">
                  <c:v>22.3215</c:v>
                </c:pt>
                <c:pt idx="434">
                  <c:v>22.379799999999999</c:v>
                </c:pt>
                <c:pt idx="435">
                  <c:v>21.350999999999999</c:v>
                </c:pt>
                <c:pt idx="436">
                  <c:v>20.0777</c:v>
                </c:pt>
                <c:pt idx="437">
                  <c:v>20.7532</c:v>
                </c:pt>
                <c:pt idx="438">
                  <c:v>21.0793</c:v>
                </c:pt>
                <c:pt idx="439">
                  <c:v>21.428699999999999</c:v>
                </c:pt>
                <c:pt idx="440">
                  <c:v>21.428699999999999</c:v>
                </c:pt>
                <c:pt idx="441">
                  <c:v>21.428699999999999</c:v>
                </c:pt>
                <c:pt idx="442">
                  <c:v>20.7532</c:v>
                </c:pt>
                <c:pt idx="443">
                  <c:v>19.681799999999999</c:v>
                </c:pt>
                <c:pt idx="444">
                  <c:v>19.9147</c:v>
                </c:pt>
                <c:pt idx="445">
                  <c:v>19.9147</c:v>
                </c:pt>
                <c:pt idx="446">
                  <c:v>20.147600000000001</c:v>
                </c:pt>
                <c:pt idx="447">
                  <c:v>20.893000000000001</c:v>
                </c:pt>
                <c:pt idx="448">
                  <c:v>20.962800000000001</c:v>
                </c:pt>
                <c:pt idx="449">
                  <c:v>19.103100000000001</c:v>
                </c:pt>
                <c:pt idx="450">
                  <c:v>19.501999999999999</c:v>
                </c:pt>
                <c:pt idx="451">
                  <c:v>19.213899999999999</c:v>
                </c:pt>
                <c:pt idx="452">
                  <c:v>18.925799999999999</c:v>
                </c:pt>
                <c:pt idx="453">
                  <c:v>18.5047</c:v>
                </c:pt>
                <c:pt idx="454">
                  <c:v>18.4161</c:v>
                </c:pt>
                <c:pt idx="455">
                  <c:v>18.526900000000001</c:v>
                </c:pt>
                <c:pt idx="456">
                  <c:v>18.349599999999999</c:v>
                </c:pt>
                <c:pt idx="457">
                  <c:v>18.5047</c:v>
                </c:pt>
                <c:pt idx="458">
                  <c:v>18.283100000000001</c:v>
                </c:pt>
                <c:pt idx="459">
                  <c:v>18.349599999999999</c:v>
                </c:pt>
                <c:pt idx="460">
                  <c:v>18.2166</c:v>
                </c:pt>
                <c:pt idx="461">
                  <c:v>18.393899999999999</c:v>
                </c:pt>
                <c:pt idx="462">
                  <c:v>18.393899999999999</c:v>
                </c:pt>
                <c:pt idx="463">
                  <c:v>18.815000000000001</c:v>
                </c:pt>
                <c:pt idx="464">
                  <c:v>18.8371</c:v>
                </c:pt>
                <c:pt idx="465">
                  <c:v>18.859300000000001</c:v>
                </c:pt>
                <c:pt idx="466">
                  <c:v>18.925799999999999</c:v>
                </c:pt>
                <c:pt idx="467">
                  <c:v>18.7928</c:v>
                </c:pt>
                <c:pt idx="468">
                  <c:v>18.881499999999999</c:v>
                </c:pt>
                <c:pt idx="469">
                  <c:v>18.815000000000001</c:v>
                </c:pt>
                <c:pt idx="470">
                  <c:v>18.5047</c:v>
                </c:pt>
                <c:pt idx="471">
                  <c:v>18.615500000000001</c:v>
                </c:pt>
                <c:pt idx="472">
                  <c:v>18.8371</c:v>
                </c:pt>
                <c:pt idx="473">
                  <c:v>18.7928</c:v>
                </c:pt>
                <c:pt idx="474">
                  <c:v>19.0809</c:v>
                </c:pt>
                <c:pt idx="475">
                  <c:v>19.014399999999998</c:v>
                </c:pt>
                <c:pt idx="476">
                  <c:v>19.058700000000002</c:v>
                </c:pt>
                <c:pt idx="477">
                  <c:v>19.103100000000001</c:v>
                </c:pt>
                <c:pt idx="478">
                  <c:v>19.058700000000002</c:v>
                </c:pt>
                <c:pt idx="479">
                  <c:v>19.058700000000002</c:v>
                </c:pt>
                <c:pt idx="480">
                  <c:v>19.169499999999999</c:v>
                </c:pt>
                <c:pt idx="481">
                  <c:v>19.7014</c:v>
                </c:pt>
                <c:pt idx="482">
                  <c:v>19.6571</c:v>
                </c:pt>
                <c:pt idx="483">
                  <c:v>19.5685</c:v>
                </c:pt>
                <c:pt idx="484">
                  <c:v>19.5685</c:v>
                </c:pt>
                <c:pt idx="485">
                  <c:v>19.258199999999999</c:v>
                </c:pt>
                <c:pt idx="486">
                  <c:v>19.236000000000001</c:v>
                </c:pt>
                <c:pt idx="487">
                  <c:v>19.2804</c:v>
                </c:pt>
                <c:pt idx="488">
                  <c:v>19.103100000000001</c:v>
                </c:pt>
                <c:pt idx="489">
                  <c:v>19.1252</c:v>
                </c:pt>
                <c:pt idx="490">
                  <c:v>19.3247</c:v>
                </c:pt>
                <c:pt idx="491">
                  <c:v>19.169499999999999</c:v>
                </c:pt>
                <c:pt idx="492">
                  <c:v>19.147400000000001</c:v>
                </c:pt>
                <c:pt idx="493">
                  <c:v>19.191700000000001</c:v>
                </c:pt>
                <c:pt idx="494">
                  <c:v>19.103100000000001</c:v>
                </c:pt>
                <c:pt idx="495">
                  <c:v>19.014399999999998</c:v>
                </c:pt>
                <c:pt idx="496">
                  <c:v>18.615500000000001</c:v>
                </c:pt>
                <c:pt idx="497">
                  <c:v>18.681999999999999</c:v>
                </c:pt>
                <c:pt idx="498">
                  <c:v>18.681999999999999</c:v>
                </c:pt>
                <c:pt idx="499">
                  <c:v>18.7485</c:v>
                </c:pt>
                <c:pt idx="500">
                  <c:v>18.7485</c:v>
                </c:pt>
                <c:pt idx="501">
                  <c:v>18.615500000000001</c:v>
                </c:pt>
                <c:pt idx="502">
                  <c:v>18.548999999999999</c:v>
                </c:pt>
                <c:pt idx="503">
                  <c:v>18.283100000000001</c:v>
                </c:pt>
                <c:pt idx="504">
                  <c:v>18.4161</c:v>
                </c:pt>
                <c:pt idx="505">
                  <c:v>18.482500000000002</c:v>
                </c:pt>
                <c:pt idx="506">
                  <c:v>18.238800000000001</c:v>
                </c:pt>
                <c:pt idx="507">
                  <c:v>18.371700000000001</c:v>
                </c:pt>
                <c:pt idx="508">
                  <c:v>18.260899999999999</c:v>
                </c:pt>
                <c:pt idx="509">
                  <c:v>18.061499999999999</c:v>
                </c:pt>
                <c:pt idx="510">
                  <c:v>17.8399</c:v>
                </c:pt>
                <c:pt idx="511">
                  <c:v>17.285799999999998</c:v>
                </c:pt>
                <c:pt idx="512">
                  <c:v>17.0642</c:v>
                </c:pt>
                <c:pt idx="513">
                  <c:v>16.7621</c:v>
                </c:pt>
                <c:pt idx="514">
                  <c:v>16.033300000000001</c:v>
                </c:pt>
                <c:pt idx="515">
                  <c:v>16.1374</c:v>
                </c:pt>
                <c:pt idx="516">
                  <c:v>16.3248</c:v>
                </c:pt>
                <c:pt idx="517">
                  <c:v>15.9292</c:v>
                </c:pt>
                <c:pt idx="518">
                  <c:v>15.4086</c:v>
                </c:pt>
                <c:pt idx="519">
                  <c:v>15.4086</c:v>
                </c:pt>
                <c:pt idx="520">
                  <c:v>14.783899999999999</c:v>
                </c:pt>
                <c:pt idx="521">
                  <c:v>15.0755</c:v>
                </c:pt>
                <c:pt idx="522">
                  <c:v>15.2004</c:v>
                </c:pt>
                <c:pt idx="523">
                  <c:v>15.4086</c:v>
                </c:pt>
                <c:pt idx="524">
                  <c:v>15.367000000000001</c:v>
                </c:pt>
                <c:pt idx="525">
                  <c:v>15.596</c:v>
                </c:pt>
                <c:pt idx="526">
                  <c:v>15.721</c:v>
                </c:pt>
                <c:pt idx="527">
                  <c:v>16.1999</c:v>
                </c:pt>
                <c:pt idx="528">
                  <c:v>15.3878</c:v>
                </c:pt>
                <c:pt idx="529">
                  <c:v>14.8048</c:v>
                </c:pt>
                <c:pt idx="530">
                  <c:v>15.242000000000001</c:v>
                </c:pt>
                <c:pt idx="531">
                  <c:v>15.367000000000001</c:v>
                </c:pt>
                <c:pt idx="532">
                  <c:v>15.7834</c:v>
                </c:pt>
                <c:pt idx="533">
                  <c:v>15.6168</c:v>
                </c:pt>
                <c:pt idx="534">
                  <c:v>15.7418</c:v>
                </c:pt>
                <c:pt idx="535">
                  <c:v>15.721</c:v>
                </c:pt>
                <c:pt idx="536">
                  <c:v>15.4086</c:v>
                </c:pt>
                <c:pt idx="537">
                  <c:v>15.429399999999999</c:v>
                </c:pt>
                <c:pt idx="538">
                  <c:v>15.179600000000001</c:v>
                </c:pt>
                <c:pt idx="539">
                  <c:v>15.117100000000001</c:v>
                </c:pt>
                <c:pt idx="540">
                  <c:v>15.2629</c:v>
                </c:pt>
                <c:pt idx="541">
                  <c:v>15.4086</c:v>
                </c:pt>
                <c:pt idx="542">
                  <c:v>15.2004</c:v>
                </c:pt>
                <c:pt idx="543">
                  <c:v>15.1587</c:v>
                </c:pt>
                <c:pt idx="544">
                  <c:v>14.7423</c:v>
                </c:pt>
                <c:pt idx="545">
                  <c:v>13.722</c:v>
                </c:pt>
                <c:pt idx="546">
                  <c:v>14.43</c:v>
                </c:pt>
                <c:pt idx="547">
                  <c:v>14.783899999999999</c:v>
                </c:pt>
                <c:pt idx="548">
                  <c:v>14.8881</c:v>
                </c:pt>
                <c:pt idx="549">
                  <c:v>14.596500000000001</c:v>
                </c:pt>
                <c:pt idx="550">
                  <c:v>14.6798</c:v>
                </c:pt>
                <c:pt idx="551">
                  <c:v>14.6798</c:v>
                </c:pt>
                <c:pt idx="552">
                  <c:v>14.6798</c:v>
                </c:pt>
                <c:pt idx="553">
                  <c:v>14.9922</c:v>
                </c:pt>
                <c:pt idx="554">
                  <c:v>15.4711</c:v>
                </c:pt>
                <c:pt idx="555">
                  <c:v>15.4711</c:v>
                </c:pt>
                <c:pt idx="556">
                  <c:v>15.5336</c:v>
                </c:pt>
                <c:pt idx="557">
                  <c:v>15.554399999999999</c:v>
                </c:pt>
                <c:pt idx="558">
                  <c:v>16.116599999999998</c:v>
                </c:pt>
                <c:pt idx="559">
                  <c:v>16.303999999999998</c:v>
                </c:pt>
                <c:pt idx="560">
                  <c:v>15.825100000000001</c:v>
                </c:pt>
                <c:pt idx="561">
                  <c:v>15.9292</c:v>
                </c:pt>
                <c:pt idx="562">
                  <c:v>16.033300000000001</c:v>
                </c:pt>
                <c:pt idx="563">
                  <c:v>16.241499999999998</c:v>
                </c:pt>
                <c:pt idx="564">
                  <c:v>16.033300000000001</c:v>
                </c:pt>
                <c:pt idx="565">
                  <c:v>16.0749</c:v>
                </c:pt>
                <c:pt idx="566">
                  <c:v>15.887499999999999</c:v>
                </c:pt>
                <c:pt idx="567">
                  <c:v>16.178999999999998</c:v>
                </c:pt>
                <c:pt idx="568">
                  <c:v>16.220700000000001</c:v>
                </c:pt>
                <c:pt idx="569">
                  <c:v>15.95</c:v>
                </c:pt>
                <c:pt idx="570">
                  <c:v>15.95</c:v>
                </c:pt>
                <c:pt idx="571">
                  <c:v>16.0749</c:v>
                </c:pt>
                <c:pt idx="572">
                  <c:v>16.0749</c:v>
                </c:pt>
                <c:pt idx="573">
                  <c:v>16.241499999999998</c:v>
                </c:pt>
                <c:pt idx="574">
                  <c:v>15.9084</c:v>
                </c:pt>
                <c:pt idx="575">
                  <c:v>15.9292</c:v>
                </c:pt>
                <c:pt idx="576">
                  <c:v>15.970800000000001</c:v>
                </c:pt>
                <c:pt idx="577">
                  <c:v>15.8667</c:v>
                </c:pt>
                <c:pt idx="578">
                  <c:v>15.860099999999999</c:v>
                </c:pt>
                <c:pt idx="579">
                  <c:v>16.499400000000001</c:v>
                </c:pt>
                <c:pt idx="580">
                  <c:v>16.499400000000001</c:v>
                </c:pt>
                <c:pt idx="581">
                  <c:v>16.623200000000001</c:v>
                </c:pt>
                <c:pt idx="582">
                  <c:v>16.561299999999999</c:v>
                </c:pt>
                <c:pt idx="583">
                  <c:v>16.561299999999999</c:v>
                </c:pt>
                <c:pt idx="584">
                  <c:v>16.581900000000001</c:v>
                </c:pt>
                <c:pt idx="585">
                  <c:v>16.685099999999998</c:v>
                </c:pt>
                <c:pt idx="586">
                  <c:v>16.643799999999999</c:v>
                </c:pt>
                <c:pt idx="587">
                  <c:v>16.499400000000001</c:v>
                </c:pt>
                <c:pt idx="588">
                  <c:v>16.664400000000001</c:v>
                </c:pt>
                <c:pt idx="589">
                  <c:v>16.911899999999999</c:v>
                </c:pt>
                <c:pt idx="590">
                  <c:v>17.200700000000001</c:v>
                </c:pt>
                <c:pt idx="591">
                  <c:v>17.303799999999999</c:v>
                </c:pt>
                <c:pt idx="592">
                  <c:v>17.324400000000001</c:v>
                </c:pt>
                <c:pt idx="593">
                  <c:v>17.262499999999999</c:v>
                </c:pt>
                <c:pt idx="594">
                  <c:v>17.221299999999999</c:v>
                </c:pt>
                <c:pt idx="595">
                  <c:v>16.911899999999999</c:v>
                </c:pt>
                <c:pt idx="596">
                  <c:v>16.891300000000001</c:v>
                </c:pt>
                <c:pt idx="597">
                  <c:v>16.520099999999999</c:v>
                </c:pt>
                <c:pt idx="598">
                  <c:v>16.602599999999999</c:v>
                </c:pt>
                <c:pt idx="599">
                  <c:v>16.643799999999999</c:v>
                </c:pt>
                <c:pt idx="600">
                  <c:v>16.7469</c:v>
                </c:pt>
                <c:pt idx="601">
                  <c:v>16.643799999999999</c:v>
                </c:pt>
                <c:pt idx="602">
                  <c:v>16.643799999999999</c:v>
                </c:pt>
                <c:pt idx="603">
                  <c:v>16.643799999999999</c:v>
                </c:pt>
                <c:pt idx="604">
                  <c:v>16.664400000000001</c:v>
                </c:pt>
                <c:pt idx="605">
                  <c:v>16.8294</c:v>
                </c:pt>
                <c:pt idx="606">
                  <c:v>16.8294</c:v>
                </c:pt>
                <c:pt idx="607">
                  <c:v>16.8294</c:v>
                </c:pt>
                <c:pt idx="608">
                  <c:v>17.076899999999998</c:v>
                </c:pt>
                <c:pt idx="609">
                  <c:v>17.076899999999998</c:v>
                </c:pt>
                <c:pt idx="610">
                  <c:v>16.870699999999999</c:v>
                </c:pt>
                <c:pt idx="611">
                  <c:v>16.7882</c:v>
                </c:pt>
                <c:pt idx="612">
                  <c:v>16.664400000000001</c:v>
                </c:pt>
                <c:pt idx="613">
                  <c:v>16.561299999999999</c:v>
                </c:pt>
                <c:pt idx="614">
                  <c:v>16.602599999999999</c:v>
                </c:pt>
                <c:pt idx="615">
                  <c:v>16.602599999999999</c:v>
                </c:pt>
                <c:pt idx="616">
                  <c:v>16.499400000000001</c:v>
                </c:pt>
                <c:pt idx="617">
                  <c:v>16.190100000000001</c:v>
                </c:pt>
                <c:pt idx="618">
                  <c:v>16.1282</c:v>
                </c:pt>
                <c:pt idx="619">
                  <c:v>16.251899999999999</c:v>
                </c:pt>
                <c:pt idx="620">
                  <c:v>16.3963</c:v>
                </c:pt>
                <c:pt idx="621">
                  <c:v>16.623200000000001</c:v>
                </c:pt>
                <c:pt idx="622">
                  <c:v>16.3963</c:v>
                </c:pt>
                <c:pt idx="623">
                  <c:v>16.272600000000001</c:v>
                </c:pt>
                <c:pt idx="624">
                  <c:v>16.231300000000001</c:v>
                </c:pt>
                <c:pt idx="625">
                  <c:v>16.602599999999999</c:v>
                </c:pt>
                <c:pt idx="626">
                  <c:v>16.334399999999999</c:v>
                </c:pt>
                <c:pt idx="627">
                  <c:v>16.293199999999999</c:v>
                </c:pt>
                <c:pt idx="628">
                  <c:v>16.0045</c:v>
                </c:pt>
                <c:pt idx="629">
                  <c:v>16.107600000000001</c:v>
                </c:pt>
                <c:pt idx="630">
                  <c:v>16.190100000000001</c:v>
                </c:pt>
                <c:pt idx="631">
                  <c:v>16.087</c:v>
                </c:pt>
                <c:pt idx="632">
                  <c:v>16.210699999999999</c:v>
                </c:pt>
                <c:pt idx="633">
                  <c:v>16.313800000000001</c:v>
                </c:pt>
                <c:pt idx="634">
                  <c:v>16.334399999999999</c:v>
                </c:pt>
                <c:pt idx="635">
                  <c:v>16.293199999999999</c:v>
                </c:pt>
                <c:pt idx="636">
                  <c:v>16.313800000000001</c:v>
                </c:pt>
                <c:pt idx="637">
                  <c:v>15.595000000000001</c:v>
                </c:pt>
                <c:pt idx="638">
                  <c:v>15.9498</c:v>
                </c:pt>
                <c:pt idx="639">
                  <c:v>15.871</c:v>
                </c:pt>
                <c:pt idx="640">
                  <c:v>15.890700000000001</c:v>
                </c:pt>
                <c:pt idx="641">
                  <c:v>15.8316</c:v>
                </c:pt>
                <c:pt idx="642">
                  <c:v>15.871</c:v>
                </c:pt>
                <c:pt idx="643">
                  <c:v>15.8316</c:v>
                </c:pt>
                <c:pt idx="644">
                  <c:v>15.8316</c:v>
                </c:pt>
                <c:pt idx="645">
                  <c:v>15.8316</c:v>
                </c:pt>
                <c:pt idx="646">
                  <c:v>15.6935</c:v>
                </c:pt>
                <c:pt idx="647">
                  <c:v>15.6935</c:v>
                </c:pt>
                <c:pt idx="648">
                  <c:v>15.6935</c:v>
                </c:pt>
                <c:pt idx="649">
                  <c:v>15.6541</c:v>
                </c:pt>
                <c:pt idx="650">
                  <c:v>15.634399999999999</c:v>
                </c:pt>
                <c:pt idx="651">
                  <c:v>15.6541</c:v>
                </c:pt>
                <c:pt idx="652">
                  <c:v>15.634399999999999</c:v>
                </c:pt>
                <c:pt idx="653">
                  <c:v>15.595000000000001</c:v>
                </c:pt>
                <c:pt idx="654">
                  <c:v>15.457000000000001</c:v>
                </c:pt>
                <c:pt idx="655">
                  <c:v>15.437200000000001</c:v>
                </c:pt>
                <c:pt idx="656">
                  <c:v>15.437200000000001</c:v>
                </c:pt>
                <c:pt idx="657">
                  <c:v>15.279500000000001</c:v>
                </c:pt>
                <c:pt idx="658">
                  <c:v>15.476699999999999</c:v>
                </c:pt>
                <c:pt idx="659">
                  <c:v>15.457000000000001</c:v>
                </c:pt>
                <c:pt idx="660">
                  <c:v>15.476699999999999</c:v>
                </c:pt>
                <c:pt idx="661">
                  <c:v>15.5555</c:v>
                </c:pt>
                <c:pt idx="662">
                  <c:v>15.5753</c:v>
                </c:pt>
                <c:pt idx="663">
                  <c:v>15.595000000000001</c:v>
                </c:pt>
                <c:pt idx="664">
                  <c:v>15.871</c:v>
                </c:pt>
                <c:pt idx="665">
                  <c:v>15.9696</c:v>
                </c:pt>
                <c:pt idx="666">
                  <c:v>16.068100000000001</c:v>
                </c:pt>
                <c:pt idx="667">
                  <c:v>16.068100000000001</c:v>
                </c:pt>
                <c:pt idx="668">
                  <c:v>16.344200000000001</c:v>
                </c:pt>
                <c:pt idx="669">
                  <c:v>16.324400000000001</c:v>
                </c:pt>
                <c:pt idx="670">
                  <c:v>16.2653</c:v>
                </c:pt>
                <c:pt idx="671">
                  <c:v>16.166699999999999</c:v>
                </c:pt>
                <c:pt idx="672">
                  <c:v>16.028700000000001</c:v>
                </c:pt>
                <c:pt idx="673">
                  <c:v>16.403300000000002</c:v>
                </c:pt>
                <c:pt idx="674">
                  <c:v>16.383600000000001</c:v>
                </c:pt>
                <c:pt idx="675">
                  <c:v>16.383600000000001</c:v>
                </c:pt>
                <c:pt idx="676">
                  <c:v>16.561</c:v>
                </c:pt>
                <c:pt idx="677">
                  <c:v>16.5807</c:v>
                </c:pt>
                <c:pt idx="678">
                  <c:v>16.462399999999999</c:v>
                </c:pt>
                <c:pt idx="679">
                  <c:v>16.521599999999999</c:v>
                </c:pt>
                <c:pt idx="680">
                  <c:v>16.758199999999999</c:v>
                </c:pt>
                <c:pt idx="681">
                  <c:v>16.817299999999999</c:v>
                </c:pt>
                <c:pt idx="682">
                  <c:v>16.758199999999999</c:v>
                </c:pt>
                <c:pt idx="683">
                  <c:v>16.482199999999999</c:v>
                </c:pt>
                <c:pt idx="684">
                  <c:v>16.679300000000001</c:v>
                </c:pt>
                <c:pt idx="685">
                  <c:v>16.738499999999998</c:v>
                </c:pt>
                <c:pt idx="686">
                  <c:v>16.639900000000001</c:v>
                </c:pt>
                <c:pt idx="687">
                  <c:v>16.6005</c:v>
                </c:pt>
                <c:pt idx="688">
                  <c:v>16.5807</c:v>
                </c:pt>
                <c:pt idx="689">
                  <c:v>16.659600000000001</c:v>
                </c:pt>
                <c:pt idx="690">
                  <c:v>16.699000000000002</c:v>
                </c:pt>
                <c:pt idx="691">
                  <c:v>16.8568</c:v>
                </c:pt>
                <c:pt idx="692">
                  <c:v>16.915900000000001</c:v>
                </c:pt>
                <c:pt idx="693">
                  <c:v>16.8568</c:v>
                </c:pt>
                <c:pt idx="694">
                  <c:v>16.777899999999999</c:v>
                </c:pt>
                <c:pt idx="695">
                  <c:v>16.915900000000001</c:v>
                </c:pt>
                <c:pt idx="696">
                  <c:v>17.211600000000001</c:v>
                </c:pt>
                <c:pt idx="697">
                  <c:v>17.1525</c:v>
                </c:pt>
                <c:pt idx="698">
                  <c:v>17.053899999999999</c:v>
                </c:pt>
                <c:pt idx="699">
                  <c:v>16.211300000000001</c:v>
                </c:pt>
                <c:pt idx="700">
                  <c:v>16.2867</c:v>
                </c:pt>
                <c:pt idx="701">
                  <c:v>16.399799999999999</c:v>
                </c:pt>
                <c:pt idx="702">
                  <c:v>16.215</c:v>
                </c:pt>
                <c:pt idx="703">
                  <c:v>16.171700000000001</c:v>
                </c:pt>
                <c:pt idx="704">
                  <c:v>16.323399999999999</c:v>
                </c:pt>
                <c:pt idx="705">
                  <c:v>16.323399999999999</c:v>
                </c:pt>
                <c:pt idx="706">
                  <c:v>16.258400000000002</c:v>
                </c:pt>
                <c:pt idx="707">
                  <c:v>16.323399999999999</c:v>
                </c:pt>
                <c:pt idx="708">
                  <c:v>16.431799999999999</c:v>
                </c:pt>
                <c:pt idx="709">
                  <c:v>16.973700000000001</c:v>
                </c:pt>
                <c:pt idx="710">
                  <c:v>17.125499999999999</c:v>
                </c:pt>
                <c:pt idx="711">
                  <c:v>17.060500000000001</c:v>
                </c:pt>
                <c:pt idx="712">
                  <c:v>17.017099999999999</c:v>
                </c:pt>
                <c:pt idx="713">
                  <c:v>17.407299999999999</c:v>
                </c:pt>
                <c:pt idx="714">
                  <c:v>17.559000000000001</c:v>
                </c:pt>
                <c:pt idx="715">
                  <c:v>17.559000000000001</c:v>
                </c:pt>
                <c:pt idx="716">
                  <c:v>17.624099999999999</c:v>
                </c:pt>
                <c:pt idx="717">
                  <c:v>17.927600000000002</c:v>
                </c:pt>
                <c:pt idx="718">
                  <c:v>18.144300000000001</c:v>
                </c:pt>
                <c:pt idx="719">
                  <c:v>18.296099999999999</c:v>
                </c:pt>
                <c:pt idx="720">
                  <c:v>18.5562</c:v>
                </c:pt>
                <c:pt idx="721">
                  <c:v>18.317799999999998</c:v>
                </c:pt>
                <c:pt idx="722">
                  <c:v>18.100999999999999</c:v>
                </c:pt>
                <c:pt idx="723">
                  <c:v>18.144300000000001</c:v>
                </c:pt>
                <c:pt idx="724">
                  <c:v>18.057600000000001</c:v>
                </c:pt>
                <c:pt idx="725">
                  <c:v>18.317799999999998</c:v>
                </c:pt>
                <c:pt idx="726">
                  <c:v>18.252700000000001</c:v>
                </c:pt>
                <c:pt idx="727">
                  <c:v>18.014299999999999</c:v>
                </c:pt>
                <c:pt idx="728">
                  <c:v>17.819199999999999</c:v>
                </c:pt>
                <c:pt idx="729">
                  <c:v>17.7758</c:v>
                </c:pt>
                <c:pt idx="730">
                  <c:v>17.905899999999999</c:v>
                </c:pt>
                <c:pt idx="731">
                  <c:v>18.209399999999999</c:v>
                </c:pt>
                <c:pt idx="732">
                  <c:v>18.447800000000001</c:v>
                </c:pt>
                <c:pt idx="733">
                  <c:v>18.642900000000001</c:v>
                </c:pt>
                <c:pt idx="734">
                  <c:v>18.534600000000001</c:v>
                </c:pt>
                <c:pt idx="735">
                  <c:v>18.621300000000002</c:v>
                </c:pt>
                <c:pt idx="736">
                  <c:v>18.751300000000001</c:v>
                </c:pt>
                <c:pt idx="737">
                  <c:v>18.751300000000001</c:v>
                </c:pt>
                <c:pt idx="738">
                  <c:v>19.510100000000001</c:v>
                </c:pt>
                <c:pt idx="739">
                  <c:v>19.6401</c:v>
                </c:pt>
                <c:pt idx="740">
                  <c:v>20.377199999999998</c:v>
                </c:pt>
                <c:pt idx="741">
                  <c:v>20.290500000000002</c:v>
                </c:pt>
                <c:pt idx="742">
                  <c:v>20.940799999999999</c:v>
                </c:pt>
                <c:pt idx="743">
                  <c:v>20.962499999999999</c:v>
                </c:pt>
                <c:pt idx="744">
                  <c:v>20.984100000000002</c:v>
                </c:pt>
                <c:pt idx="745">
                  <c:v>21.461099999999998</c:v>
                </c:pt>
                <c:pt idx="746">
                  <c:v>21.2226</c:v>
                </c:pt>
                <c:pt idx="747">
                  <c:v>21.157599999999999</c:v>
                </c:pt>
                <c:pt idx="748">
                  <c:v>21.1142</c:v>
                </c:pt>
                <c:pt idx="749">
                  <c:v>21.439399999999999</c:v>
                </c:pt>
                <c:pt idx="750">
                  <c:v>21.244299999999999</c:v>
                </c:pt>
                <c:pt idx="751">
                  <c:v>20.789000000000001</c:v>
                </c:pt>
                <c:pt idx="752">
                  <c:v>21.135899999999999</c:v>
                </c:pt>
                <c:pt idx="753">
                  <c:v>21.005800000000001</c:v>
                </c:pt>
                <c:pt idx="754">
                  <c:v>21.331</c:v>
                </c:pt>
                <c:pt idx="755">
                  <c:v>21.352699999999999</c:v>
                </c:pt>
                <c:pt idx="756">
                  <c:v>20.984100000000002</c:v>
                </c:pt>
                <c:pt idx="757">
                  <c:v>20.962499999999999</c:v>
                </c:pt>
                <c:pt idx="758">
                  <c:v>20.4422</c:v>
                </c:pt>
                <c:pt idx="759">
                  <c:v>20.268799999999999</c:v>
                </c:pt>
                <c:pt idx="760">
                  <c:v>20.4422</c:v>
                </c:pt>
                <c:pt idx="761">
                  <c:v>20.377199999999998</c:v>
                </c:pt>
                <c:pt idx="762">
                  <c:v>19.2121</c:v>
                </c:pt>
                <c:pt idx="763">
                  <c:v>19.294899999999998</c:v>
                </c:pt>
                <c:pt idx="764">
                  <c:v>19.087800000000001</c:v>
                </c:pt>
                <c:pt idx="765">
                  <c:v>19.149899999999999</c:v>
                </c:pt>
                <c:pt idx="766">
                  <c:v>18.9636</c:v>
                </c:pt>
                <c:pt idx="767">
                  <c:v>19.191299999999998</c:v>
                </c:pt>
                <c:pt idx="768">
                  <c:v>19.791699999999999</c:v>
                </c:pt>
                <c:pt idx="769">
                  <c:v>19.936599999999999</c:v>
                </c:pt>
                <c:pt idx="770">
                  <c:v>20.081600000000002</c:v>
                </c:pt>
                <c:pt idx="771">
                  <c:v>19.9573</c:v>
                </c:pt>
                <c:pt idx="772">
                  <c:v>19.895199999999999</c:v>
                </c:pt>
                <c:pt idx="773">
                  <c:v>20.040199999999999</c:v>
                </c:pt>
                <c:pt idx="774">
                  <c:v>19.2742</c:v>
                </c:pt>
                <c:pt idx="775">
                  <c:v>19.253499999999999</c:v>
                </c:pt>
                <c:pt idx="776">
                  <c:v>19.046399999999998</c:v>
                </c:pt>
                <c:pt idx="777">
                  <c:v>19.232800000000001</c:v>
                </c:pt>
                <c:pt idx="778">
                  <c:v>18.839400000000001</c:v>
                </c:pt>
                <c:pt idx="779">
                  <c:v>19.046399999999998</c:v>
                </c:pt>
                <c:pt idx="780">
                  <c:v>18.8187</c:v>
                </c:pt>
                <c:pt idx="781">
                  <c:v>17.969899999999999</c:v>
                </c:pt>
                <c:pt idx="782">
                  <c:v>18.011299999999999</c:v>
                </c:pt>
                <c:pt idx="783">
                  <c:v>17.597200000000001</c:v>
                </c:pt>
                <c:pt idx="784">
                  <c:v>17.183199999999999</c:v>
                </c:pt>
                <c:pt idx="785">
                  <c:v>17.680099999999999</c:v>
                </c:pt>
                <c:pt idx="786">
                  <c:v>18.4253</c:v>
                </c:pt>
                <c:pt idx="787">
                  <c:v>18.011299999999999</c:v>
                </c:pt>
                <c:pt idx="788">
                  <c:v>18.3218</c:v>
                </c:pt>
                <c:pt idx="789">
                  <c:v>18.2804</c:v>
                </c:pt>
                <c:pt idx="790">
                  <c:v>19.1706</c:v>
                </c:pt>
                <c:pt idx="791">
                  <c:v>19.149899999999999</c:v>
                </c:pt>
                <c:pt idx="792">
                  <c:v>18.942900000000002</c:v>
                </c:pt>
                <c:pt idx="793">
                  <c:v>18.9222</c:v>
                </c:pt>
                <c:pt idx="794">
                  <c:v>19.1706</c:v>
                </c:pt>
                <c:pt idx="795">
                  <c:v>19.129200000000001</c:v>
                </c:pt>
                <c:pt idx="796">
                  <c:v>19.253499999999999</c:v>
                </c:pt>
                <c:pt idx="797">
                  <c:v>18.839400000000001</c:v>
                </c:pt>
                <c:pt idx="798">
                  <c:v>18.7773</c:v>
                </c:pt>
                <c:pt idx="799">
                  <c:v>19.025700000000001</c:v>
                </c:pt>
                <c:pt idx="800">
                  <c:v>19.253499999999999</c:v>
                </c:pt>
                <c:pt idx="801">
                  <c:v>18.797999999999998</c:v>
                </c:pt>
                <c:pt idx="802">
                  <c:v>18.880800000000001</c:v>
                </c:pt>
                <c:pt idx="803">
                  <c:v>18.7773</c:v>
                </c:pt>
                <c:pt idx="804">
                  <c:v>18.860099999999999</c:v>
                </c:pt>
                <c:pt idx="805">
                  <c:v>18.984300000000001</c:v>
                </c:pt>
                <c:pt idx="806">
                  <c:v>19.025700000000001</c:v>
                </c:pt>
                <c:pt idx="807">
                  <c:v>19.129200000000001</c:v>
                </c:pt>
                <c:pt idx="808">
                  <c:v>19.377700000000001</c:v>
                </c:pt>
                <c:pt idx="809">
                  <c:v>19.626100000000001</c:v>
                </c:pt>
                <c:pt idx="810">
                  <c:v>19.6675</c:v>
                </c:pt>
                <c:pt idx="811">
                  <c:v>19.522600000000001</c:v>
                </c:pt>
                <c:pt idx="812">
                  <c:v>19.501899999999999</c:v>
                </c:pt>
                <c:pt idx="813">
                  <c:v>19.6675</c:v>
                </c:pt>
                <c:pt idx="814">
                  <c:v>20.040199999999999</c:v>
                </c:pt>
                <c:pt idx="815">
                  <c:v>19.7089</c:v>
                </c:pt>
                <c:pt idx="816">
                  <c:v>19.915900000000001</c:v>
                </c:pt>
                <c:pt idx="817">
                  <c:v>19.915900000000001</c:v>
                </c:pt>
                <c:pt idx="818">
                  <c:v>19.4605</c:v>
                </c:pt>
                <c:pt idx="819">
                  <c:v>19.584700000000002</c:v>
                </c:pt>
                <c:pt idx="820">
                  <c:v>19.605399999999999</c:v>
                </c:pt>
                <c:pt idx="821">
                  <c:v>19.688199999999998</c:v>
                </c:pt>
                <c:pt idx="822">
                  <c:v>19.584700000000002</c:v>
                </c:pt>
                <c:pt idx="823">
                  <c:v>19.874500000000001</c:v>
                </c:pt>
                <c:pt idx="824">
                  <c:v>20.123000000000001</c:v>
                </c:pt>
                <c:pt idx="825">
                  <c:v>20.0609</c:v>
                </c:pt>
                <c:pt idx="826">
                  <c:v>19.998799999999999</c:v>
                </c:pt>
                <c:pt idx="827">
                  <c:v>18.8292</c:v>
                </c:pt>
                <c:pt idx="828">
                  <c:v>18.790099999999999</c:v>
                </c:pt>
                <c:pt idx="829">
                  <c:v>18.868400000000001</c:v>
                </c:pt>
                <c:pt idx="830">
                  <c:v>19.044799999999999</c:v>
                </c:pt>
                <c:pt idx="831">
                  <c:v>19.084</c:v>
                </c:pt>
                <c:pt idx="832">
                  <c:v>19.064399999999999</c:v>
                </c:pt>
                <c:pt idx="833">
                  <c:v>18.927199999999999</c:v>
                </c:pt>
                <c:pt idx="834">
                  <c:v>18.5549</c:v>
                </c:pt>
                <c:pt idx="835">
                  <c:v>18.613700000000001</c:v>
                </c:pt>
                <c:pt idx="836">
                  <c:v>18.5549</c:v>
                </c:pt>
                <c:pt idx="837">
                  <c:v>18.6921</c:v>
                </c:pt>
                <c:pt idx="838">
                  <c:v>18.750900000000001</c:v>
                </c:pt>
                <c:pt idx="839">
                  <c:v>18.750900000000001</c:v>
                </c:pt>
                <c:pt idx="840">
                  <c:v>18.731300000000001</c:v>
                </c:pt>
                <c:pt idx="841">
                  <c:v>18.868400000000001</c:v>
                </c:pt>
                <c:pt idx="842">
                  <c:v>18.888000000000002</c:v>
                </c:pt>
                <c:pt idx="843">
                  <c:v>18.731300000000001</c:v>
                </c:pt>
                <c:pt idx="844">
                  <c:v>18.613700000000001</c:v>
                </c:pt>
                <c:pt idx="845">
                  <c:v>18.633299999999998</c:v>
                </c:pt>
                <c:pt idx="846">
                  <c:v>18.790099999999999</c:v>
                </c:pt>
                <c:pt idx="847">
                  <c:v>18.790099999999999</c:v>
                </c:pt>
                <c:pt idx="848">
                  <c:v>18.731300000000001</c:v>
                </c:pt>
                <c:pt idx="849">
                  <c:v>18.750900000000001</c:v>
                </c:pt>
                <c:pt idx="850">
                  <c:v>19.573799999999999</c:v>
                </c:pt>
                <c:pt idx="851">
                  <c:v>19.985299999999999</c:v>
                </c:pt>
                <c:pt idx="852">
                  <c:v>20.279199999999999</c:v>
                </c:pt>
                <c:pt idx="853">
                  <c:v>20.396699999999999</c:v>
                </c:pt>
                <c:pt idx="854">
                  <c:v>20.5535</c:v>
                </c:pt>
                <c:pt idx="855">
                  <c:v>20.377099999999999</c:v>
                </c:pt>
                <c:pt idx="856">
                  <c:v>20.592600000000001</c:v>
                </c:pt>
                <c:pt idx="857">
                  <c:v>20.5731</c:v>
                </c:pt>
                <c:pt idx="858">
                  <c:v>20.4359</c:v>
                </c:pt>
                <c:pt idx="859">
                  <c:v>20.749400000000001</c:v>
                </c:pt>
                <c:pt idx="860">
                  <c:v>20.494700000000002</c:v>
                </c:pt>
                <c:pt idx="861">
                  <c:v>20.357500000000002</c:v>
                </c:pt>
                <c:pt idx="862">
                  <c:v>21.160900000000002</c:v>
                </c:pt>
                <c:pt idx="863">
                  <c:v>21.141300000000001</c:v>
                </c:pt>
                <c:pt idx="864">
                  <c:v>21.258800000000001</c:v>
                </c:pt>
                <c:pt idx="865">
                  <c:v>21.3568</c:v>
                </c:pt>
                <c:pt idx="866">
                  <c:v>21.709499999999998</c:v>
                </c:pt>
                <c:pt idx="867">
                  <c:v>21.827000000000002</c:v>
                </c:pt>
                <c:pt idx="868">
                  <c:v>21.689900000000002</c:v>
                </c:pt>
                <c:pt idx="869">
                  <c:v>21.3764</c:v>
                </c:pt>
                <c:pt idx="870">
                  <c:v>21.807400000000001</c:v>
                </c:pt>
                <c:pt idx="871">
                  <c:v>21.552700000000002</c:v>
                </c:pt>
                <c:pt idx="872">
                  <c:v>21.552700000000002</c:v>
                </c:pt>
                <c:pt idx="873">
                  <c:v>21.925000000000001</c:v>
                </c:pt>
                <c:pt idx="874">
                  <c:v>22.924299999999999</c:v>
                </c:pt>
                <c:pt idx="875">
                  <c:v>22.924299999999999</c:v>
                </c:pt>
                <c:pt idx="876">
                  <c:v>22.728300000000001</c:v>
                </c:pt>
                <c:pt idx="877">
                  <c:v>22.140499999999999</c:v>
                </c:pt>
                <c:pt idx="878">
                  <c:v>21.944600000000001</c:v>
                </c:pt>
                <c:pt idx="879">
                  <c:v>22.4344</c:v>
                </c:pt>
                <c:pt idx="880">
                  <c:v>22.767499999999998</c:v>
                </c:pt>
                <c:pt idx="881">
                  <c:v>22.512799999999999</c:v>
                </c:pt>
                <c:pt idx="882">
                  <c:v>22.336500000000001</c:v>
                </c:pt>
                <c:pt idx="883">
                  <c:v>22.532399999999999</c:v>
                </c:pt>
                <c:pt idx="884">
                  <c:v>22.5716</c:v>
                </c:pt>
                <c:pt idx="885">
                  <c:v>22.943899999999999</c:v>
                </c:pt>
                <c:pt idx="886">
                  <c:v>21.831700000000001</c:v>
                </c:pt>
                <c:pt idx="887">
                  <c:v>21.887899999999998</c:v>
                </c:pt>
                <c:pt idx="888">
                  <c:v>21.9254</c:v>
                </c:pt>
                <c:pt idx="889">
                  <c:v>21.569299999999998</c:v>
                </c:pt>
                <c:pt idx="890">
                  <c:v>21.363199999999999</c:v>
                </c:pt>
                <c:pt idx="891">
                  <c:v>21.306999999999999</c:v>
                </c:pt>
                <c:pt idx="892">
                  <c:v>21.1008</c:v>
                </c:pt>
                <c:pt idx="893">
                  <c:v>21.175799999999999</c:v>
                </c:pt>
                <c:pt idx="894">
                  <c:v>21.325700000000001</c:v>
                </c:pt>
                <c:pt idx="895">
                  <c:v>21.5318</c:v>
                </c:pt>
                <c:pt idx="896">
                  <c:v>21.644300000000001</c:v>
                </c:pt>
                <c:pt idx="897">
                  <c:v>20.913399999999999</c:v>
                </c:pt>
                <c:pt idx="898">
                  <c:v>21.175799999999999</c:v>
                </c:pt>
                <c:pt idx="899">
                  <c:v>20.950900000000001</c:v>
                </c:pt>
                <c:pt idx="900">
                  <c:v>20.426200000000001</c:v>
                </c:pt>
                <c:pt idx="901">
                  <c:v>20.669799999999999</c:v>
                </c:pt>
                <c:pt idx="902">
                  <c:v>21.044599999999999</c:v>
                </c:pt>
                <c:pt idx="903">
                  <c:v>22.5063</c:v>
                </c:pt>
                <c:pt idx="904">
                  <c:v>23.087199999999999</c:v>
                </c:pt>
                <c:pt idx="905">
                  <c:v>23.087199999999999</c:v>
                </c:pt>
                <c:pt idx="906">
                  <c:v>23.855499999999999</c:v>
                </c:pt>
                <c:pt idx="907">
                  <c:v>23.5932</c:v>
                </c:pt>
                <c:pt idx="908">
                  <c:v>23.911799999999999</c:v>
                </c:pt>
                <c:pt idx="909">
                  <c:v>24.6051</c:v>
                </c:pt>
                <c:pt idx="910">
                  <c:v>24.5489</c:v>
                </c:pt>
                <c:pt idx="911">
                  <c:v>24.4177</c:v>
                </c:pt>
                <c:pt idx="912">
                  <c:v>24.5489</c:v>
                </c:pt>
                <c:pt idx="913">
                  <c:v>24.305299999999999</c:v>
                </c:pt>
                <c:pt idx="914">
                  <c:v>24.455200000000001</c:v>
                </c:pt>
                <c:pt idx="915">
                  <c:v>25.129799999999999</c:v>
                </c:pt>
                <c:pt idx="916">
                  <c:v>25.3735</c:v>
                </c:pt>
                <c:pt idx="917">
                  <c:v>25.204799999999999</c:v>
                </c:pt>
                <c:pt idx="918">
                  <c:v>24.9237</c:v>
                </c:pt>
                <c:pt idx="919">
                  <c:v>25.485900000000001</c:v>
                </c:pt>
                <c:pt idx="920">
                  <c:v>25.860700000000001</c:v>
                </c:pt>
                <c:pt idx="921">
                  <c:v>25.766999999999999</c:v>
                </c:pt>
                <c:pt idx="922">
                  <c:v>24.717600000000001</c:v>
                </c:pt>
                <c:pt idx="923">
                  <c:v>24.886199999999999</c:v>
                </c:pt>
                <c:pt idx="924">
                  <c:v>25.673300000000001</c:v>
                </c:pt>
                <c:pt idx="925">
                  <c:v>25.4297</c:v>
                </c:pt>
                <c:pt idx="926">
                  <c:v>25.298500000000001</c:v>
                </c:pt>
                <c:pt idx="927">
                  <c:v>25.223500000000001</c:v>
                </c:pt>
                <c:pt idx="928">
                  <c:v>25.654499999999999</c:v>
                </c:pt>
                <c:pt idx="929">
                  <c:v>26.066800000000001</c:v>
                </c:pt>
                <c:pt idx="930">
                  <c:v>26.254200000000001</c:v>
                </c:pt>
                <c:pt idx="931">
                  <c:v>26.160499999999999</c:v>
                </c:pt>
                <c:pt idx="932">
                  <c:v>26.610299999999999</c:v>
                </c:pt>
                <c:pt idx="933">
                  <c:v>26.985099999999999</c:v>
                </c:pt>
                <c:pt idx="934">
                  <c:v>27.453600000000002</c:v>
                </c:pt>
                <c:pt idx="935">
                  <c:v>28.4468</c:v>
                </c:pt>
                <c:pt idx="936">
                  <c:v>28.015699999999999</c:v>
                </c:pt>
                <c:pt idx="937">
                  <c:v>28.231200000000001</c:v>
                </c:pt>
                <c:pt idx="938">
                  <c:v>27.757100000000001</c:v>
                </c:pt>
                <c:pt idx="939">
                  <c:v>27.584700000000002</c:v>
                </c:pt>
                <c:pt idx="940">
                  <c:v>28.338999999999999</c:v>
                </c:pt>
                <c:pt idx="941">
                  <c:v>28.726900000000001</c:v>
                </c:pt>
                <c:pt idx="942">
                  <c:v>29.330300000000001</c:v>
                </c:pt>
                <c:pt idx="943">
                  <c:v>28.468299999999999</c:v>
                </c:pt>
                <c:pt idx="944">
                  <c:v>28.015699999999999</c:v>
                </c:pt>
                <c:pt idx="945">
                  <c:v>28.403700000000001</c:v>
                </c:pt>
                <c:pt idx="946">
                  <c:v>28.619199999999999</c:v>
                </c:pt>
                <c:pt idx="947">
                  <c:v>26.7088</c:v>
                </c:pt>
                <c:pt idx="948">
                  <c:v>26.32</c:v>
                </c:pt>
                <c:pt idx="949">
                  <c:v>26.197199999999999</c:v>
                </c:pt>
                <c:pt idx="950">
                  <c:v>26.811199999999999</c:v>
                </c:pt>
                <c:pt idx="951">
                  <c:v>27.793600000000001</c:v>
                </c:pt>
                <c:pt idx="952">
                  <c:v>28.3871</c:v>
                </c:pt>
                <c:pt idx="953">
                  <c:v>28.571300000000001</c:v>
                </c:pt>
                <c:pt idx="954">
                  <c:v>28.141500000000001</c:v>
                </c:pt>
                <c:pt idx="955">
                  <c:v>27.4252</c:v>
                </c:pt>
                <c:pt idx="956">
                  <c:v>27.220500000000001</c:v>
                </c:pt>
                <c:pt idx="957">
                  <c:v>27.3842</c:v>
                </c:pt>
                <c:pt idx="958">
                  <c:v>27.159099999999999</c:v>
                </c:pt>
                <c:pt idx="959">
                  <c:v>27.4252</c:v>
                </c:pt>
                <c:pt idx="960">
                  <c:v>26.9954</c:v>
                </c:pt>
                <c:pt idx="961">
                  <c:v>26.1767</c:v>
                </c:pt>
                <c:pt idx="962">
                  <c:v>25.787800000000001</c:v>
                </c:pt>
                <c:pt idx="963">
                  <c:v>25.399000000000001</c:v>
                </c:pt>
                <c:pt idx="964">
                  <c:v>25.685500000000001</c:v>
                </c:pt>
                <c:pt idx="965">
                  <c:v>25.787800000000001</c:v>
                </c:pt>
                <c:pt idx="966">
                  <c:v>25.583200000000001</c:v>
                </c:pt>
                <c:pt idx="967">
                  <c:v>26.197199999999999</c:v>
                </c:pt>
                <c:pt idx="968">
                  <c:v>26.401800000000001</c:v>
                </c:pt>
                <c:pt idx="969">
                  <c:v>26.197199999999999</c:v>
                </c:pt>
                <c:pt idx="970">
                  <c:v>26.32</c:v>
                </c:pt>
                <c:pt idx="971">
                  <c:v>25.542200000000001</c:v>
                </c:pt>
                <c:pt idx="972">
                  <c:v>25.2148</c:v>
                </c:pt>
                <c:pt idx="973">
                  <c:v>24.273299999999999</c:v>
                </c:pt>
                <c:pt idx="974">
                  <c:v>24.723600000000001</c:v>
                </c:pt>
                <c:pt idx="975">
                  <c:v>24.969200000000001</c:v>
                </c:pt>
                <c:pt idx="976">
                  <c:v>24.846399999999999</c:v>
                </c:pt>
                <c:pt idx="977">
                  <c:v>25.972000000000001</c:v>
                </c:pt>
                <c:pt idx="978">
                  <c:v>26.6065</c:v>
                </c:pt>
                <c:pt idx="979">
                  <c:v>26.545100000000001</c:v>
                </c:pt>
                <c:pt idx="980">
                  <c:v>26.504200000000001</c:v>
                </c:pt>
                <c:pt idx="981">
                  <c:v>26.340399999999999</c:v>
                </c:pt>
                <c:pt idx="982">
                  <c:v>26.729299999999999</c:v>
                </c:pt>
                <c:pt idx="983">
                  <c:v>26.7088</c:v>
                </c:pt>
                <c:pt idx="984">
                  <c:v>26.913499999999999</c:v>
                </c:pt>
                <c:pt idx="985">
                  <c:v>27.322800000000001</c:v>
                </c:pt>
                <c:pt idx="986">
                  <c:v>27.3842</c:v>
                </c:pt>
                <c:pt idx="987">
                  <c:v>27.241</c:v>
                </c:pt>
                <c:pt idx="988">
                  <c:v>26.913499999999999</c:v>
                </c:pt>
                <c:pt idx="989">
                  <c:v>27.118200000000002</c:v>
                </c:pt>
                <c:pt idx="990">
                  <c:v>27.2819</c:v>
                </c:pt>
                <c:pt idx="991">
                  <c:v>27.363800000000001</c:v>
                </c:pt>
                <c:pt idx="992">
                  <c:v>27.588899999999999</c:v>
                </c:pt>
                <c:pt idx="993">
                  <c:v>27.220500000000001</c:v>
                </c:pt>
                <c:pt idx="994">
                  <c:v>26.729299999999999</c:v>
                </c:pt>
                <c:pt idx="995">
                  <c:v>27.036300000000001</c:v>
                </c:pt>
                <c:pt idx="996">
                  <c:v>26.872599999999998</c:v>
                </c:pt>
                <c:pt idx="997">
                  <c:v>26.6065</c:v>
                </c:pt>
                <c:pt idx="998">
                  <c:v>26.729299999999999</c:v>
                </c:pt>
                <c:pt idx="999">
                  <c:v>27.077200000000001</c:v>
                </c:pt>
                <c:pt idx="1000">
                  <c:v>27.220500000000001</c:v>
                </c:pt>
                <c:pt idx="1001">
                  <c:v>26.831600000000002</c:v>
                </c:pt>
                <c:pt idx="1002">
                  <c:v>27.2</c:v>
                </c:pt>
                <c:pt idx="1003">
                  <c:v>27.547999999999998</c:v>
                </c:pt>
                <c:pt idx="1004">
                  <c:v>27.6708</c:v>
                </c:pt>
                <c:pt idx="1005">
                  <c:v>27.691199999999998</c:v>
                </c:pt>
                <c:pt idx="1006">
                  <c:v>27.4252</c:v>
                </c:pt>
                <c:pt idx="1007">
                  <c:v>27.5275</c:v>
                </c:pt>
                <c:pt idx="1008">
                  <c:v>27.588899999999999</c:v>
                </c:pt>
                <c:pt idx="1009">
                  <c:v>27.486599999999999</c:v>
                </c:pt>
                <c:pt idx="1010">
                  <c:v>27.466100000000001</c:v>
                </c:pt>
                <c:pt idx="1011">
                  <c:v>26.243500000000001</c:v>
                </c:pt>
                <c:pt idx="1012">
                  <c:v>26.5167</c:v>
                </c:pt>
                <c:pt idx="1013">
                  <c:v>26.4191</c:v>
                </c:pt>
                <c:pt idx="1014">
                  <c:v>26.146000000000001</c:v>
                </c:pt>
                <c:pt idx="1015">
                  <c:v>26.165500000000002</c:v>
                </c:pt>
                <c:pt idx="1016">
                  <c:v>26.165500000000002</c:v>
                </c:pt>
                <c:pt idx="1017">
                  <c:v>26.1069</c:v>
                </c:pt>
                <c:pt idx="1018">
                  <c:v>26.4191</c:v>
                </c:pt>
                <c:pt idx="1019">
                  <c:v>27.648399999999999</c:v>
                </c:pt>
                <c:pt idx="1020">
                  <c:v>27.238600000000002</c:v>
                </c:pt>
                <c:pt idx="1021">
                  <c:v>26.848400000000002</c:v>
                </c:pt>
                <c:pt idx="1022">
                  <c:v>26.731300000000001</c:v>
                </c:pt>
                <c:pt idx="1023">
                  <c:v>26.5947</c:v>
                </c:pt>
                <c:pt idx="1024">
                  <c:v>26.731300000000001</c:v>
                </c:pt>
                <c:pt idx="1025">
                  <c:v>26.731300000000001</c:v>
                </c:pt>
                <c:pt idx="1026">
                  <c:v>26.438600000000001</c:v>
                </c:pt>
                <c:pt idx="1027">
                  <c:v>25.970400000000001</c:v>
                </c:pt>
                <c:pt idx="1028">
                  <c:v>26.184999999999999</c:v>
                </c:pt>
                <c:pt idx="1029">
                  <c:v>26.204499999999999</c:v>
                </c:pt>
                <c:pt idx="1030">
                  <c:v>26.146000000000001</c:v>
                </c:pt>
                <c:pt idx="1031">
                  <c:v>26.3216</c:v>
                </c:pt>
                <c:pt idx="1032">
                  <c:v>26.4191</c:v>
                </c:pt>
                <c:pt idx="1033">
                  <c:v>26.5167</c:v>
                </c:pt>
                <c:pt idx="1034">
                  <c:v>26.5167</c:v>
                </c:pt>
                <c:pt idx="1035">
                  <c:v>26.263000000000002</c:v>
                </c:pt>
                <c:pt idx="1036">
                  <c:v>25.911799999999999</c:v>
                </c:pt>
                <c:pt idx="1037">
                  <c:v>25.872800000000002</c:v>
                </c:pt>
                <c:pt idx="1038">
                  <c:v>26.263000000000002</c:v>
                </c:pt>
                <c:pt idx="1039">
                  <c:v>26.360600000000002</c:v>
                </c:pt>
                <c:pt idx="1040">
                  <c:v>26.497199999999999</c:v>
                </c:pt>
                <c:pt idx="1041">
                  <c:v>26.984999999999999</c:v>
                </c:pt>
                <c:pt idx="1042">
                  <c:v>26.692299999999999</c:v>
                </c:pt>
                <c:pt idx="1043">
                  <c:v>26.8874</c:v>
                </c:pt>
                <c:pt idx="1044">
                  <c:v>26.536200000000001</c:v>
                </c:pt>
                <c:pt idx="1045">
                  <c:v>26.1265</c:v>
                </c:pt>
                <c:pt idx="1046">
                  <c:v>26.146000000000001</c:v>
                </c:pt>
                <c:pt idx="1047">
                  <c:v>25.365500000000001</c:v>
                </c:pt>
                <c:pt idx="1048">
                  <c:v>25.8338</c:v>
                </c:pt>
                <c:pt idx="1049">
                  <c:v>25.950800000000001</c:v>
                </c:pt>
                <c:pt idx="1050">
                  <c:v>26.1265</c:v>
                </c:pt>
                <c:pt idx="1051">
                  <c:v>26.1265</c:v>
                </c:pt>
                <c:pt idx="1052">
                  <c:v>26.380099999999999</c:v>
                </c:pt>
                <c:pt idx="1053">
                  <c:v>27.102</c:v>
                </c:pt>
                <c:pt idx="1054">
                  <c:v>27.1996</c:v>
                </c:pt>
                <c:pt idx="1055">
                  <c:v>28.1557</c:v>
                </c:pt>
                <c:pt idx="1056">
                  <c:v>27.745899999999999</c:v>
                </c:pt>
                <c:pt idx="1057">
                  <c:v>28.292300000000001</c:v>
                </c:pt>
                <c:pt idx="1058">
                  <c:v>27.999600000000001</c:v>
                </c:pt>
                <c:pt idx="1059">
                  <c:v>28.975200000000001</c:v>
                </c:pt>
                <c:pt idx="1060">
                  <c:v>29.170300000000001</c:v>
                </c:pt>
                <c:pt idx="1061">
                  <c:v>28.682500000000001</c:v>
                </c:pt>
                <c:pt idx="1062">
                  <c:v>29.170300000000001</c:v>
                </c:pt>
                <c:pt idx="1063">
                  <c:v>29.365400000000001</c:v>
                </c:pt>
                <c:pt idx="1064">
                  <c:v>29.306899999999999</c:v>
                </c:pt>
                <c:pt idx="1065">
                  <c:v>29.170300000000001</c:v>
                </c:pt>
                <c:pt idx="1066">
                  <c:v>29.2484</c:v>
                </c:pt>
                <c:pt idx="1067">
                  <c:v>28.877600000000001</c:v>
                </c:pt>
                <c:pt idx="1068">
                  <c:v>29.014199999999999</c:v>
                </c:pt>
                <c:pt idx="1069">
                  <c:v>28.897099999999998</c:v>
                </c:pt>
                <c:pt idx="1070">
                  <c:v>29.170300000000001</c:v>
                </c:pt>
                <c:pt idx="1071">
                  <c:v>29.2288</c:v>
                </c:pt>
                <c:pt idx="1072">
                  <c:v>29.3459</c:v>
                </c:pt>
                <c:pt idx="1073">
                  <c:v>29.423999999999999</c:v>
                </c:pt>
                <c:pt idx="1074">
                  <c:v>29.2288</c:v>
                </c:pt>
                <c:pt idx="1075">
                  <c:v>29.189800000000002</c:v>
                </c:pt>
                <c:pt idx="1076">
                  <c:v>29.365400000000001</c:v>
                </c:pt>
                <c:pt idx="1077">
                  <c:v>28.3934</c:v>
                </c:pt>
                <c:pt idx="1078">
                  <c:v>28.3004</c:v>
                </c:pt>
                <c:pt idx="1079">
                  <c:v>27.741800000000001</c:v>
                </c:pt>
                <c:pt idx="1080">
                  <c:v>27.797699999999999</c:v>
                </c:pt>
                <c:pt idx="1081">
                  <c:v>27.9466</c:v>
                </c:pt>
                <c:pt idx="1082">
                  <c:v>27.611499999999999</c:v>
                </c:pt>
                <c:pt idx="1083">
                  <c:v>27.704599999999999</c:v>
                </c:pt>
                <c:pt idx="1084">
                  <c:v>27.4253</c:v>
                </c:pt>
                <c:pt idx="1085">
                  <c:v>27.481100000000001</c:v>
                </c:pt>
                <c:pt idx="1086">
                  <c:v>27.015699999999999</c:v>
                </c:pt>
                <c:pt idx="1087">
                  <c:v>27.0901</c:v>
                </c:pt>
                <c:pt idx="1088">
                  <c:v>27.276299999999999</c:v>
                </c:pt>
                <c:pt idx="1089">
                  <c:v>27.741800000000001</c:v>
                </c:pt>
                <c:pt idx="1090">
                  <c:v>27.928000000000001</c:v>
                </c:pt>
                <c:pt idx="1091">
                  <c:v>27.909400000000002</c:v>
                </c:pt>
                <c:pt idx="1092">
                  <c:v>27.8721</c:v>
                </c:pt>
                <c:pt idx="1093">
                  <c:v>28.7286</c:v>
                </c:pt>
                <c:pt idx="1094">
                  <c:v>28.561</c:v>
                </c:pt>
                <c:pt idx="1095">
                  <c:v>27.0901</c:v>
                </c:pt>
                <c:pt idx="1096">
                  <c:v>27.220500000000001</c:v>
                </c:pt>
                <c:pt idx="1097">
                  <c:v>27.239100000000001</c:v>
                </c:pt>
                <c:pt idx="1098">
                  <c:v>27.276299999999999</c:v>
                </c:pt>
                <c:pt idx="1099">
                  <c:v>27.201899999999998</c:v>
                </c:pt>
                <c:pt idx="1100">
                  <c:v>26.438500000000001</c:v>
                </c:pt>
                <c:pt idx="1101">
                  <c:v>27.0715</c:v>
                </c:pt>
                <c:pt idx="1102">
                  <c:v>26.997</c:v>
                </c:pt>
                <c:pt idx="1103">
                  <c:v>26.6433</c:v>
                </c:pt>
                <c:pt idx="1104">
                  <c:v>26.978400000000001</c:v>
                </c:pt>
                <c:pt idx="1105">
                  <c:v>26.7364</c:v>
                </c:pt>
                <c:pt idx="1106">
                  <c:v>26.792200000000001</c:v>
                </c:pt>
                <c:pt idx="1107">
                  <c:v>26.8109</c:v>
                </c:pt>
                <c:pt idx="1108">
                  <c:v>26.624700000000001</c:v>
                </c:pt>
                <c:pt idx="1109">
                  <c:v>26.438500000000001</c:v>
                </c:pt>
                <c:pt idx="1110">
                  <c:v>26.159199999999998</c:v>
                </c:pt>
                <c:pt idx="1111">
                  <c:v>25.879899999999999</c:v>
                </c:pt>
                <c:pt idx="1112">
                  <c:v>26.401299999999999</c:v>
                </c:pt>
                <c:pt idx="1113">
                  <c:v>26.308199999999999</c:v>
                </c:pt>
                <c:pt idx="1114">
                  <c:v>26.122</c:v>
                </c:pt>
                <c:pt idx="1115">
                  <c:v>26.159199999999998</c:v>
                </c:pt>
                <c:pt idx="1116">
                  <c:v>26.066099999999999</c:v>
                </c:pt>
                <c:pt idx="1117">
                  <c:v>25.898499999999999</c:v>
                </c:pt>
                <c:pt idx="1118">
                  <c:v>26.364000000000001</c:v>
                </c:pt>
                <c:pt idx="1119">
                  <c:v>26.326799999999999</c:v>
                </c:pt>
                <c:pt idx="1120">
                  <c:v>25.9358</c:v>
                </c:pt>
                <c:pt idx="1121">
                  <c:v>25.6007</c:v>
                </c:pt>
                <c:pt idx="1122">
                  <c:v>25.302800000000001</c:v>
                </c:pt>
                <c:pt idx="1123">
                  <c:v>25.4145</c:v>
                </c:pt>
                <c:pt idx="1124">
                  <c:v>24.4649</c:v>
                </c:pt>
                <c:pt idx="1125">
                  <c:v>24.2043</c:v>
                </c:pt>
                <c:pt idx="1126">
                  <c:v>24.2043</c:v>
                </c:pt>
                <c:pt idx="1127">
                  <c:v>23.198799999999999</c:v>
                </c:pt>
                <c:pt idx="1128">
                  <c:v>23.273299999999999</c:v>
                </c:pt>
                <c:pt idx="1129">
                  <c:v>23.831900000000001</c:v>
                </c:pt>
                <c:pt idx="1130">
                  <c:v>24.0181</c:v>
                </c:pt>
                <c:pt idx="1131">
                  <c:v>23.552600000000002</c:v>
                </c:pt>
                <c:pt idx="1132">
                  <c:v>22.9009</c:v>
                </c:pt>
                <c:pt idx="1133">
                  <c:v>23.496700000000001</c:v>
                </c:pt>
                <c:pt idx="1134">
                  <c:v>23.0871</c:v>
                </c:pt>
                <c:pt idx="1135">
                  <c:v>21.539200000000001</c:v>
                </c:pt>
                <c:pt idx="1136">
                  <c:v>21.450199999999999</c:v>
                </c:pt>
                <c:pt idx="1137">
                  <c:v>21.717300000000002</c:v>
                </c:pt>
                <c:pt idx="1138">
                  <c:v>20.2042</c:v>
                </c:pt>
                <c:pt idx="1139">
                  <c:v>20.115200000000002</c:v>
                </c:pt>
                <c:pt idx="1140">
                  <c:v>18.7089</c:v>
                </c:pt>
                <c:pt idx="1141">
                  <c:v>18.744499999999999</c:v>
                </c:pt>
                <c:pt idx="1142">
                  <c:v>20.044</c:v>
                </c:pt>
                <c:pt idx="1143">
                  <c:v>21.094200000000001</c:v>
                </c:pt>
                <c:pt idx="1144">
                  <c:v>21.094200000000001</c:v>
                </c:pt>
                <c:pt idx="1145">
                  <c:v>20.6492</c:v>
                </c:pt>
                <c:pt idx="1146">
                  <c:v>19.2073</c:v>
                </c:pt>
                <c:pt idx="1147">
                  <c:v>19.474299999999999</c:v>
                </c:pt>
                <c:pt idx="1148">
                  <c:v>19.8659</c:v>
                </c:pt>
                <c:pt idx="1149">
                  <c:v>19.883700000000001</c:v>
                </c:pt>
                <c:pt idx="1150">
                  <c:v>19.6523</c:v>
                </c:pt>
                <c:pt idx="1151">
                  <c:v>19.6523</c:v>
                </c:pt>
                <c:pt idx="1152">
                  <c:v>19.937200000000001</c:v>
                </c:pt>
                <c:pt idx="1153">
                  <c:v>20.008400000000002</c:v>
                </c:pt>
                <c:pt idx="1154">
                  <c:v>19.492100000000001</c:v>
                </c:pt>
                <c:pt idx="1155">
                  <c:v>19.474299999999999</c:v>
                </c:pt>
                <c:pt idx="1156">
                  <c:v>19.331900000000001</c:v>
                </c:pt>
                <c:pt idx="1157">
                  <c:v>19.527699999999999</c:v>
                </c:pt>
                <c:pt idx="1158">
                  <c:v>19.527699999999999</c:v>
                </c:pt>
                <c:pt idx="1159">
                  <c:v>20.346599999999999</c:v>
                </c:pt>
                <c:pt idx="1160">
                  <c:v>20.6492</c:v>
                </c:pt>
                <c:pt idx="1161">
                  <c:v>21.058599999999998</c:v>
                </c:pt>
                <c:pt idx="1162">
                  <c:v>21.272200000000002</c:v>
                </c:pt>
                <c:pt idx="1163">
                  <c:v>22.482700000000001</c:v>
                </c:pt>
                <c:pt idx="1164">
                  <c:v>22.251300000000001</c:v>
                </c:pt>
                <c:pt idx="1165">
                  <c:v>21.539200000000001</c:v>
                </c:pt>
                <c:pt idx="1166">
                  <c:v>21.040800000000001</c:v>
                </c:pt>
                <c:pt idx="1167">
                  <c:v>21.218800000000002</c:v>
                </c:pt>
                <c:pt idx="1168">
                  <c:v>21.058599999999998</c:v>
                </c:pt>
                <c:pt idx="1169">
                  <c:v>20.791599999999999</c:v>
                </c:pt>
                <c:pt idx="1170">
                  <c:v>20.844999999999999</c:v>
                </c:pt>
                <c:pt idx="1171">
                  <c:v>20.880600000000001</c:v>
                </c:pt>
                <c:pt idx="1172">
                  <c:v>21.183199999999999</c:v>
                </c:pt>
                <c:pt idx="1173">
                  <c:v>21.0764</c:v>
                </c:pt>
                <c:pt idx="1174">
                  <c:v>20.844999999999999</c:v>
                </c:pt>
                <c:pt idx="1175">
                  <c:v>20.738199999999999</c:v>
                </c:pt>
                <c:pt idx="1176">
                  <c:v>20.667000000000002</c:v>
                </c:pt>
                <c:pt idx="1177">
                  <c:v>20.898399999999999</c:v>
                </c:pt>
                <c:pt idx="1178">
                  <c:v>20.844999999999999</c:v>
                </c:pt>
                <c:pt idx="1179">
                  <c:v>20.791599999999999</c:v>
                </c:pt>
                <c:pt idx="1180">
                  <c:v>20.4712</c:v>
                </c:pt>
                <c:pt idx="1181">
                  <c:v>20.684799999999999</c:v>
                </c:pt>
                <c:pt idx="1182">
                  <c:v>20.595800000000001</c:v>
                </c:pt>
                <c:pt idx="1183">
                  <c:v>20.987400000000001</c:v>
                </c:pt>
                <c:pt idx="1184">
                  <c:v>20.827200000000001</c:v>
                </c:pt>
                <c:pt idx="1185">
                  <c:v>20.542400000000001</c:v>
                </c:pt>
                <c:pt idx="1186">
                  <c:v>21.183199999999999</c:v>
                </c:pt>
                <c:pt idx="1187">
                  <c:v>21.147600000000001</c:v>
                </c:pt>
                <c:pt idx="1188">
                  <c:v>20.827200000000001</c:v>
                </c:pt>
                <c:pt idx="1189">
                  <c:v>20.6492</c:v>
                </c:pt>
                <c:pt idx="1190">
                  <c:v>20.667000000000002</c:v>
                </c:pt>
                <c:pt idx="1191">
                  <c:v>20.631399999999999</c:v>
                </c:pt>
                <c:pt idx="1192">
                  <c:v>20.738199999999999</c:v>
                </c:pt>
                <c:pt idx="1193">
                  <c:v>20.844999999999999</c:v>
                </c:pt>
                <c:pt idx="1194">
                  <c:v>20.827200000000001</c:v>
                </c:pt>
                <c:pt idx="1195">
                  <c:v>20.880600000000001</c:v>
                </c:pt>
                <c:pt idx="1196">
                  <c:v>20.178799999999999</c:v>
                </c:pt>
                <c:pt idx="1197">
                  <c:v>20.281199999999998</c:v>
                </c:pt>
                <c:pt idx="1198">
                  <c:v>20.2471</c:v>
                </c:pt>
                <c:pt idx="1199">
                  <c:v>20.1447</c:v>
                </c:pt>
                <c:pt idx="1200">
                  <c:v>20.9129</c:v>
                </c:pt>
                <c:pt idx="1201">
                  <c:v>21.134799999999998</c:v>
                </c:pt>
                <c:pt idx="1202">
                  <c:v>21.254300000000001</c:v>
                </c:pt>
                <c:pt idx="1203">
                  <c:v>20.964099999999998</c:v>
                </c:pt>
                <c:pt idx="1204">
                  <c:v>21.151900000000001</c:v>
                </c:pt>
                <c:pt idx="1205">
                  <c:v>21.6128</c:v>
                </c:pt>
                <c:pt idx="1206">
                  <c:v>21.6982</c:v>
                </c:pt>
                <c:pt idx="1207">
                  <c:v>21.510400000000001</c:v>
                </c:pt>
                <c:pt idx="1208">
                  <c:v>21.561599999999999</c:v>
                </c:pt>
                <c:pt idx="1209">
                  <c:v>21.681100000000001</c:v>
                </c:pt>
                <c:pt idx="1210">
                  <c:v>21.510400000000001</c:v>
                </c:pt>
                <c:pt idx="1211">
                  <c:v>21.654599999999999</c:v>
                </c:pt>
                <c:pt idx="1212">
                  <c:v>22.007999999999999</c:v>
                </c:pt>
                <c:pt idx="1213">
                  <c:v>21.949100000000001</c:v>
                </c:pt>
                <c:pt idx="1214">
                  <c:v>21.811699999999998</c:v>
                </c:pt>
                <c:pt idx="1215">
                  <c:v>21.7332</c:v>
                </c:pt>
                <c:pt idx="1216">
                  <c:v>21.850999999999999</c:v>
                </c:pt>
                <c:pt idx="1217">
                  <c:v>20.810400000000001</c:v>
                </c:pt>
                <c:pt idx="1218">
                  <c:v>20.830100000000002</c:v>
                </c:pt>
                <c:pt idx="1219">
                  <c:v>20.4178</c:v>
                </c:pt>
                <c:pt idx="1220">
                  <c:v>21.006799999999998</c:v>
                </c:pt>
                <c:pt idx="1221">
                  <c:v>20.9282</c:v>
                </c:pt>
                <c:pt idx="1222">
                  <c:v>20.7712</c:v>
                </c:pt>
                <c:pt idx="1223">
                  <c:v>20.5945</c:v>
                </c:pt>
                <c:pt idx="1224">
                  <c:v>20.849699999999999</c:v>
                </c:pt>
                <c:pt idx="1225">
                  <c:v>20.7319</c:v>
                </c:pt>
                <c:pt idx="1226">
                  <c:v>20.888999999999999</c:v>
                </c:pt>
                <c:pt idx="1227">
                  <c:v>21.104900000000001</c:v>
                </c:pt>
                <c:pt idx="1228">
                  <c:v>20.633800000000001</c:v>
                </c:pt>
                <c:pt idx="1229">
                  <c:v>20.378499999999999</c:v>
                </c:pt>
                <c:pt idx="1230">
                  <c:v>19.907399999999999</c:v>
                </c:pt>
                <c:pt idx="1231">
                  <c:v>19.730699999999999</c:v>
                </c:pt>
                <c:pt idx="1232">
                  <c:v>19.691400000000002</c:v>
                </c:pt>
                <c:pt idx="1233">
                  <c:v>19.181000000000001</c:v>
                </c:pt>
                <c:pt idx="1234">
                  <c:v>19.9663</c:v>
                </c:pt>
                <c:pt idx="1235">
                  <c:v>19.436199999999999</c:v>
                </c:pt>
                <c:pt idx="1236">
                  <c:v>19.396899999999999</c:v>
                </c:pt>
                <c:pt idx="1237">
                  <c:v>19.6325</c:v>
                </c:pt>
                <c:pt idx="1238">
                  <c:v>20.614100000000001</c:v>
                </c:pt>
                <c:pt idx="1239">
                  <c:v>20.515999999999998</c:v>
                </c:pt>
                <c:pt idx="1240">
                  <c:v>19.9466</c:v>
                </c:pt>
                <c:pt idx="1241">
                  <c:v>20.2607</c:v>
                </c:pt>
                <c:pt idx="1242">
                  <c:v>20.614100000000001</c:v>
                </c:pt>
                <c:pt idx="1243">
                  <c:v>20.3</c:v>
                </c:pt>
                <c:pt idx="1244">
                  <c:v>20.005500000000001</c:v>
                </c:pt>
                <c:pt idx="1245">
                  <c:v>20.044799999999999</c:v>
                </c:pt>
                <c:pt idx="1246">
                  <c:v>19.868099999999998</c:v>
                </c:pt>
                <c:pt idx="1247">
                  <c:v>20.025099999999998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[177]PE!$B$1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[177]PE!$A$2:$A$1249</c15:sqref>
                        </c15:formulaRef>
                      </c:ext>
                    </c:extLst>
                    <c:numCache>
                      <c:formatCode>m/d/yyyy</c:formatCode>
                      <c:ptCount val="1248"/>
                      <c:pt idx="0">
                        <c:v>44085</c:v>
                      </c:pt>
                      <c:pt idx="1">
                        <c:v>44088</c:v>
                      </c:pt>
                      <c:pt idx="2">
                        <c:v>44089</c:v>
                      </c:pt>
                      <c:pt idx="3">
                        <c:v>44090</c:v>
                      </c:pt>
                      <c:pt idx="4">
                        <c:v>44091</c:v>
                      </c:pt>
                      <c:pt idx="5">
                        <c:v>44092</c:v>
                      </c:pt>
                      <c:pt idx="6">
                        <c:v>44095</c:v>
                      </c:pt>
                      <c:pt idx="7">
                        <c:v>44096</c:v>
                      </c:pt>
                      <c:pt idx="8">
                        <c:v>44097</c:v>
                      </c:pt>
                      <c:pt idx="9">
                        <c:v>44098</c:v>
                      </c:pt>
                      <c:pt idx="10">
                        <c:v>44099</c:v>
                      </c:pt>
                      <c:pt idx="11">
                        <c:v>44102</c:v>
                      </c:pt>
                      <c:pt idx="12">
                        <c:v>44103</c:v>
                      </c:pt>
                      <c:pt idx="13">
                        <c:v>44104</c:v>
                      </c:pt>
                      <c:pt idx="14">
                        <c:v>44105</c:v>
                      </c:pt>
                      <c:pt idx="15">
                        <c:v>44106</c:v>
                      </c:pt>
                      <c:pt idx="16">
                        <c:v>44109</c:v>
                      </c:pt>
                      <c:pt idx="17">
                        <c:v>44110</c:v>
                      </c:pt>
                      <c:pt idx="18">
                        <c:v>44111</c:v>
                      </c:pt>
                      <c:pt idx="19">
                        <c:v>44112</c:v>
                      </c:pt>
                      <c:pt idx="20">
                        <c:v>44113</c:v>
                      </c:pt>
                      <c:pt idx="21">
                        <c:v>44116</c:v>
                      </c:pt>
                      <c:pt idx="22">
                        <c:v>44117</c:v>
                      </c:pt>
                      <c:pt idx="23">
                        <c:v>44118</c:v>
                      </c:pt>
                      <c:pt idx="24">
                        <c:v>44119</c:v>
                      </c:pt>
                      <c:pt idx="25">
                        <c:v>44120</c:v>
                      </c:pt>
                      <c:pt idx="26">
                        <c:v>44123</c:v>
                      </c:pt>
                      <c:pt idx="27">
                        <c:v>44124</c:v>
                      </c:pt>
                      <c:pt idx="28">
                        <c:v>44125</c:v>
                      </c:pt>
                      <c:pt idx="29">
                        <c:v>44126</c:v>
                      </c:pt>
                      <c:pt idx="30">
                        <c:v>44127</c:v>
                      </c:pt>
                      <c:pt idx="31">
                        <c:v>44130</c:v>
                      </c:pt>
                      <c:pt idx="32">
                        <c:v>44131</c:v>
                      </c:pt>
                      <c:pt idx="33">
                        <c:v>44132</c:v>
                      </c:pt>
                      <c:pt idx="34">
                        <c:v>44133</c:v>
                      </c:pt>
                      <c:pt idx="35">
                        <c:v>44134</c:v>
                      </c:pt>
                      <c:pt idx="36">
                        <c:v>44137</c:v>
                      </c:pt>
                      <c:pt idx="37">
                        <c:v>44138</c:v>
                      </c:pt>
                      <c:pt idx="38">
                        <c:v>44139</c:v>
                      </c:pt>
                      <c:pt idx="39">
                        <c:v>44140</c:v>
                      </c:pt>
                      <c:pt idx="40">
                        <c:v>44141</c:v>
                      </c:pt>
                      <c:pt idx="41">
                        <c:v>44144</c:v>
                      </c:pt>
                      <c:pt idx="42">
                        <c:v>44145</c:v>
                      </c:pt>
                      <c:pt idx="43">
                        <c:v>44146</c:v>
                      </c:pt>
                      <c:pt idx="44">
                        <c:v>44147</c:v>
                      </c:pt>
                      <c:pt idx="45">
                        <c:v>44148</c:v>
                      </c:pt>
                      <c:pt idx="46">
                        <c:v>44151</c:v>
                      </c:pt>
                      <c:pt idx="47">
                        <c:v>44152</c:v>
                      </c:pt>
                      <c:pt idx="48">
                        <c:v>44153</c:v>
                      </c:pt>
                      <c:pt idx="49">
                        <c:v>44154</c:v>
                      </c:pt>
                      <c:pt idx="50">
                        <c:v>44155</c:v>
                      </c:pt>
                      <c:pt idx="51">
                        <c:v>44158</c:v>
                      </c:pt>
                      <c:pt idx="52">
                        <c:v>44159</c:v>
                      </c:pt>
                      <c:pt idx="53">
                        <c:v>44160</c:v>
                      </c:pt>
                      <c:pt idx="54">
                        <c:v>44161</c:v>
                      </c:pt>
                      <c:pt idx="55">
                        <c:v>44162</c:v>
                      </c:pt>
                      <c:pt idx="56">
                        <c:v>44165</c:v>
                      </c:pt>
                      <c:pt idx="57">
                        <c:v>44166</c:v>
                      </c:pt>
                      <c:pt idx="58">
                        <c:v>44167</c:v>
                      </c:pt>
                      <c:pt idx="59">
                        <c:v>44168</c:v>
                      </c:pt>
                      <c:pt idx="60">
                        <c:v>44169</c:v>
                      </c:pt>
                      <c:pt idx="61">
                        <c:v>44172</c:v>
                      </c:pt>
                      <c:pt idx="62">
                        <c:v>44173</c:v>
                      </c:pt>
                      <c:pt idx="63">
                        <c:v>44174</c:v>
                      </c:pt>
                      <c:pt idx="64">
                        <c:v>44175</c:v>
                      </c:pt>
                      <c:pt idx="65">
                        <c:v>44176</c:v>
                      </c:pt>
                      <c:pt idx="66">
                        <c:v>44179</c:v>
                      </c:pt>
                      <c:pt idx="67">
                        <c:v>44180</c:v>
                      </c:pt>
                      <c:pt idx="68">
                        <c:v>44181</c:v>
                      </c:pt>
                      <c:pt idx="69">
                        <c:v>44182</c:v>
                      </c:pt>
                      <c:pt idx="70">
                        <c:v>44183</c:v>
                      </c:pt>
                      <c:pt idx="71">
                        <c:v>44186</c:v>
                      </c:pt>
                      <c:pt idx="72">
                        <c:v>44187</c:v>
                      </c:pt>
                      <c:pt idx="73">
                        <c:v>44188</c:v>
                      </c:pt>
                      <c:pt idx="74">
                        <c:v>44189</c:v>
                      </c:pt>
                      <c:pt idx="75">
                        <c:v>44190</c:v>
                      </c:pt>
                      <c:pt idx="76">
                        <c:v>44193</c:v>
                      </c:pt>
                      <c:pt idx="77">
                        <c:v>44194</c:v>
                      </c:pt>
                      <c:pt idx="78">
                        <c:v>44195</c:v>
                      </c:pt>
                      <c:pt idx="79">
                        <c:v>44196</c:v>
                      </c:pt>
                      <c:pt idx="80">
                        <c:v>44200</c:v>
                      </c:pt>
                      <c:pt idx="81">
                        <c:v>44201</c:v>
                      </c:pt>
                      <c:pt idx="82">
                        <c:v>44202</c:v>
                      </c:pt>
                      <c:pt idx="83">
                        <c:v>44203</c:v>
                      </c:pt>
                      <c:pt idx="84">
                        <c:v>44204</c:v>
                      </c:pt>
                      <c:pt idx="85">
                        <c:v>44207</c:v>
                      </c:pt>
                      <c:pt idx="86">
                        <c:v>44208</c:v>
                      </c:pt>
                      <c:pt idx="87">
                        <c:v>44209</c:v>
                      </c:pt>
                      <c:pt idx="88">
                        <c:v>44210</c:v>
                      </c:pt>
                      <c:pt idx="89">
                        <c:v>44211</c:v>
                      </c:pt>
                      <c:pt idx="90">
                        <c:v>44214</c:v>
                      </c:pt>
                      <c:pt idx="91">
                        <c:v>44215</c:v>
                      </c:pt>
                      <c:pt idx="92">
                        <c:v>44216</c:v>
                      </c:pt>
                      <c:pt idx="93">
                        <c:v>44217</c:v>
                      </c:pt>
                      <c:pt idx="94">
                        <c:v>44218</c:v>
                      </c:pt>
                      <c:pt idx="95">
                        <c:v>44221</c:v>
                      </c:pt>
                      <c:pt idx="96">
                        <c:v>44222</c:v>
                      </c:pt>
                      <c:pt idx="97">
                        <c:v>44223</c:v>
                      </c:pt>
                      <c:pt idx="98">
                        <c:v>44224</c:v>
                      </c:pt>
                      <c:pt idx="99">
                        <c:v>44225</c:v>
                      </c:pt>
                      <c:pt idx="100">
                        <c:v>44228</c:v>
                      </c:pt>
                      <c:pt idx="101">
                        <c:v>44229</c:v>
                      </c:pt>
                      <c:pt idx="102">
                        <c:v>44230</c:v>
                      </c:pt>
                      <c:pt idx="103">
                        <c:v>44231</c:v>
                      </c:pt>
                      <c:pt idx="104">
                        <c:v>44232</c:v>
                      </c:pt>
                      <c:pt idx="105">
                        <c:v>44235</c:v>
                      </c:pt>
                      <c:pt idx="106">
                        <c:v>44236</c:v>
                      </c:pt>
                      <c:pt idx="107">
                        <c:v>44244</c:v>
                      </c:pt>
                      <c:pt idx="108">
                        <c:v>44245</c:v>
                      </c:pt>
                      <c:pt idx="109">
                        <c:v>44246</c:v>
                      </c:pt>
                      <c:pt idx="110">
                        <c:v>44249</c:v>
                      </c:pt>
                      <c:pt idx="111">
                        <c:v>44250</c:v>
                      </c:pt>
                      <c:pt idx="112">
                        <c:v>44251</c:v>
                      </c:pt>
                      <c:pt idx="113">
                        <c:v>44252</c:v>
                      </c:pt>
                      <c:pt idx="114">
                        <c:v>44253</c:v>
                      </c:pt>
                      <c:pt idx="115">
                        <c:v>44256</c:v>
                      </c:pt>
                      <c:pt idx="116">
                        <c:v>44257</c:v>
                      </c:pt>
                      <c:pt idx="117">
                        <c:v>44258</c:v>
                      </c:pt>
                      <c:pt idx="118">
                        <c:v>44259</c:v>
                      </c:pt>
                      <c:pt idx="119">
                        <c:v>44260</c:v>
                      </c:pt>
                      <c:pt idx="120">
                        <c:v>44263</c:v>
                      </c:pt>
                      <c:pt idx="121">
                        <c:v>44264</c:v>
                      </c:pt>
                      <c:pt idx="122">
                        <c:v>44265</c:v>
                      </c:pt>
                      <c:pt idx="123">
                        <c:v>44266</c:v>
                      </c:pt>
                      <c:pt idx="124">
                        <c:v>44267</c:v>
                      </c:pt>
                      <c:pt idx="125">
                        <c:v>44270</c:v>
                      </c:pt>
                      <c:pt idx="126">
                        <c:v>44271</c:v>
                      </c:pt>
                      <c:pt idx="127">
                        <c:v>44272</c:v>
                      </c:pt>
                      <c:pt idx="128">
                        <c:v>44273</c:v>
                      </c:pt>
                      <c:pt idx="129">
                        <c:v>44274</c:v>
                      </c:pt>
                      <c:pt idx="130">
                        <c:v>44277</c:v>
                      </c:pt>
                      <c:pt idx="131">
                        <c:v>44278</c:v>
                      </c:pt>
                      <c:pt idx="132">
                        <c:v>44279</c:v>
                      </c:pt>
                      <c:pt idx="133">
                        <c:v>44280</c:v>
                      </c:pt>
                      <c:pt idx="134">
                        <c:v>44281</c:v>
                      </c:pt>
                      <c:pt idx="135">
                        <c:v>44284</c:v>
                      </c:pt>
                      <c:pt idx="136">
                        <c:v>44285</c:v>
                      </c:pt>
                      <c:pt idx="137">
                        <c:v>44286</c:v>
                      </c:pt>
                      <c:pt idx="138">
                        <c:v>44287</c:v>
                      </c:pt>
                      <c:pt idx="139">
                        <c:v>44288</c:v>
                      </c:pt>
                      <c:pt idx="140">
                        <c:v>44291</c:v>
                      </c:pt>
                      <c:pt idx="141">
                        <c:v>44292</c:v>
                      </c:pt>
                      <c:pt idx="142">
                        <c:v>44293</c:v>
                      </c:pt>
                      <c:pt idx="143">
                        <c:v>44294</c:v>
                      </c:pt>
                      <c:pt idx="144">
                        <c:v>44295</c:v>
                      </c:pt>
                      <c:pt idx="145">
                        <c:v>44298</c:v>
                      </c:pt>
                      <c:pt idx="146">
                        <c:v>44299</c:v>
                      </c:pt>
                      <c:pt idx="147">
                        <c:v>44300</c:v>
                      </c:pt>
                      <c:pt idx="148">
                        <c:v>44301</c:v>
                      </c:pt>
                      <c:pt idx="149">
                        <c:v>44302</c:v>
                      </c:pt>
                      <c:pt idx="150">
                        <c:v>44305</c:v>
                      </c:pt>
                      <c:pt idx="151">
                        <c:v>44306</c:v>
                      </c:pt>
                      <c:pt idx="152">
                        <c:v>44308</c:v>
                      </c:pt>
                      <c:pt idx="153">
                        <c:v>44309</c:v>
                      </c:pt>
                      <c:pt idx="154">
                        <c:v>44312</c:v>
                      </c:pt>
                      <c:pt idx="155">
                        <c:v>44313</c:v>
                      </c:pt>
                      <c:pt idx="156">
                        <c:v>44314</c:v>
                      </c:pt>
                      <c:pt idx="157">
                        <c:v>44315</c:v>
                      </c:pt>
                      <c:pt idx="158">
                        <c:v>44320</c:v>
                      </c:pt>
                      <c:pt idx="159">
                        <c:v>44321</c:v>
                      </c:pt>
                      <c:pt idx="160">
                        <c:v>44322</c:v>
                      </c:pt>
                      <c:pt idx="161">
                        <c:v>44323</c:v>
                      </c:pt>
                      <c:pt idx="162">
                        <c:v>44326</c:v>
                      </c:pt>
                      <c:pt idx="163">
                        <c:v>44327</c:v>
                      </c:pt>
                      <c:pt idx="164">
                        <c:v>44328</c:v>
                      </c:pt>
                      <c:pt idx="165">
                        <c:v>44329</c:v>
                      </c:pt>
                      <c:pt idx="166">
                        <c:v>44330</c:v>
                      </c:pt>
                      <c:pt idx="167">
                        <c:v>44333</c:v>
                      </c:pt>
                      <c:pt idx="168">
                        <c:v>44334</c:v>
                      </c:pt>
                      <c:pt idx="169">
                        <c:v>44335</c:v>
                      </c:pt>
                      <c:pt idx="170">
                        <c:v>44336</c:v>
                      </c:pt>
                      <c:pt idx="171">
                        <c:v>44337</c:v>
                      </c:pt>
                      <c:pt idx="172">
                        <c:v>44340</c:v>
                      </c:pt>
                      <c:pt idx="173">
                        <c:v>44341</c:v>
                      </c:pt>
                      <c:pt idx="174">
                        <c:v>44342</c:v>
                      </c:pt>
                      <c:pt idx="175">
                        <c:v>44343</c:v>
                      </c:pt>
                      <c:pt idx="176">
                        <c:v>44344</c:v>
                      </c:pt>
                      <c:pt idx="177">
                        <c:v>44347</c:v>
                      </c:pt>
                      <c:pt idx="178">
                        <c:v>44348</c:v>
                      </c:pt>
                      <c:pt idx="179">
                        <c:v>44349</c:v>
                      </c:pt>
                      <c:pt idx="180">
                        <c:v>44350</c:v>
                      </c:pt>
                      <c:pt idx="181">
                        <c:v>44351</c:v>
                      </c:pt>
                      <c:pt idx="182">
                        <c:v>44354</c:v>
                      </c:pt>
                      <c:pt idx="183">
                        <c:v>44355</c:v>
                      </c:pt>
                      <c:pt idx="184">
                        <c:v>44356</c:v>
                      </c:pt>
                      <c:pt idx="185">
                        <c:v>44357</c:v>
                      </c:pt>
                      <c:pt idx="186">
                        <c:v>44358</c:v>
                      </c:pt>
                      <c:pt idx="187">
                        <c:v>44361</c:v>
                      </c:pt>
                      <c:pt idx="188">
                        <c:v>44362</c:v>
                      </c:pt>
                      <c:pt idx="189">
                        <c:v>44363</c:v>
                      </c:pt>
                      <c:pt idx="190">
                        <c:v>44364</c:v>
                      </c:pt>
                      <c:pt idx="191">
                        <c:v>44365</c:v>
                      </c:pt>
                      <c:pt idx="192">
                        <c:v>44368</c:v>
                      </c:pt>
                      <c:pt idx="193">
                        <c:v>44369</c:v>
                      </c:pt>
                      <c:pt idx="194">
                        <c:v>44370</c:v>
                      </c:pt>
                      <c:pt idx="195">
                        <c:v>44371</c:v>
                      </c:pt>
                      <c:pt idx="196">
                        <c:v>44372</c:v>
                      </c:pt>
                      <c:pt idx="197">
                        <c:v>44375</c:v>
                      </c:pt>
                      <c:pt idx="198">
                        <c:v>44376</c:v>
                      </c:pt>
                      <c:pt idx="199">
                        <c:v>44377</c:v>
                      </c:pt>
                      <c:pt idx="200">
                        <c:v>44378</c:v>
                      </c:pt>
                      <c:pt idx="201">
                        <c:v>44379</c:v>
                      </c:pt>
                      <c:pt idx="202">
                        <c:v>44382</c:v>
                      </c:pt>
                      <c:pt idx="203">
                        <c:v>44383</c:v>
                      </c:pt>
                      <c:pt idx="204">
                        <c:v>44384</c:v>
                      </c:pt>
                      <c:pt idx="205">
                        <c:v>44385</c:v>
                      </c:pt>
                      <c:pt idx="206">
                        <c:v>44386</c:v>
                      </c:pt>
                      <c:pt idx="207">
                        <c:v>44389</c:v>
                      </c:pt>
                      <c:pt idx="208">
                        <c:v>44390</c:v>
                      </c:pt>
                      <c:pt idx="209">
                        <c:v>44391</c:v>
                      </c:pt>
                      <c:pt idx="210">
                        <c:v>44392</c:v>
                      </c:pt>
                      <c:pt idx="211">
                        <c:v>44393</c:v>
                      </c:pt>
                      <c:pt idx="212">
                        <c:v>44396</c:v>
                      </c:pt>
                      <c:pt idx="213">
                        <c:v>44397</c:v>
                      </c:pt>
                      <c:pt idx="214">
                        <c:v>44398</c:v>
                      </c:pt>
                      <c:pt idx="215">
                        <c:v>44399</c:v>
                      </c:pt>
                      <c:pt idx="216">
                        <c:v>44400</c:v>
                      </c:pt>
                      <c:pt idx="217">
                        <c:v>44403</c:v>
                      </c:pt>
                      <c:pt idx="218">
                        <c:v>44404</c:v>
                      </c:pt>
                      <c:pt idx="219">
                        <c:v>44405</c:v>
                      </c:pt>
                      <c:pt idx="220">
                        <c:v>44406</c:v>
                      </c:pt>
                      <c:pt idx="221">
                        <c:v>44407</c:v>
                      </c:pt>
                      <c:pt idx="222">
                        <c:v>44410</c:v>
                      </c:pt>
                      <c:pt idx="223">
                        <c:v>44411</c:v>
                      </c:pt>
                      <c:pt idx="224">
                        <c:v>44412</c:v>
                      </c:pt>
                      <c:pt idx="225">
                        <c:v>44413</c:v>
                      </c:pt>
                      <c:pt idx="226">
                        <c:v>44414</c:v>
                      </c:pt>
                      <c:pt idx="227">
                        <c:v>44417</c:v>
                      </c:pt>
                      <c:pt idx="228">
                        <c:v>44418</c:v>
                      </c:pt>
                      <c:pt idx="229">
                        <c:v>44419</c:v>
                      </c:pt>
                      <c:pt idx="230">
                        <c:v>44420</c:v>
                      </c:pt>
                      <c:pt idx="231">
                        <c:v>44421</c:v>
                      </c:pt>
                      <c:pt idx="232">
                        <c:v>44424</c:v>
                      </c:pt>
                      <c:pt idx="233">
                        <c:v>44425</c:v>
                      </c:pt>
                      <c:pt idx="234">
                        <c:v>44426</c:v>
                      </c:pt>
                      <c:pt idx="235">
                        <c:v>44427</c:v>
                      </c:pt>
                      <c:pt idx="236">
                        <c:v>44428</c:v>
                      </c:pt>
                      <c:pt idx="237">
                        <c:v>44431</c:v>
                      </c:pt>
                      <c:pt idx="238">
                        <c:v>44432</c:v>
                      </c:pt>
                      <c:pt idx="239">
                        <c:v>44433</c:v>
                      </c:pt>
                      <c:pt idx="240">
                        <c:v>44434</c:v>
                      </c:pt>
                      <c:pt idx="241">
                        <c:v>44435</c:v>
                      </c:pt>
                      <c:pt idx="242">
                        <c:v>44438</c:v>
                      </c:pt>
                      <c:pt idx="243">
                        <c:v>44439</c:v>
                      </c:pt>
                      <c:pt idx="244">
                        <c:v>44440</c:v>
                      </c:pt>
                      <c:pt idx="245">
                        <c:v>44445</c:v>
                      </c:pt>
                      <c:pt idx="246">
                        <c:v>44446</c:v>
                      </c:pt>
                      <c:pt idx="247">
                        <c:v>44447</c:v>
                      </c:pt>
                      <c:pt idx="248">
                        <c:v>44448</c:v>
                      </c:pt>
                      <c:pt idx="249">
                        <c:v>44449</c:v>
                      </c:pt>
                      <c:pt idx="250">
                        <c:v>44452</c:v>
                      </c:pt>
                      <c:pt idx="251">
                        <c:v>44453</c:v>
                      </c:pt>
                      <c:pt idx="252">
                        <c:v>44454</c:v>
                      </c:pt>
                      <c:pt idx="253">
                        <c:v>44455</c:v>
                      </c:pt>
                      <c:pt idx="254">
                        <c:v>44456</c:v>
                      </c:pt>
                      <c:pt idx="255">
                        <c:v>44459</c:v>
                      </c:pt>
                      <c:pt idx="256">
                        <c:v>44460</c:v>
                      </c:pt>
                      <c:pt idx="257">
                        <c:v>44461</c:v>
                      </c:pt>
                      <c:pt idx="258">
                        <c:v>44462</c:v>
                      </c:pt>
                      <c:pt idx="259">
                        <c:v>44463</c:v>
                      </c:pt>
                      <c:pt idx="260">
                        <c:v>44466</c:v>
                      </c:pt>
                      <c:pt idx="261">
                        <c:v>44467</c:v>
                      </c:pt>
                      <c:pt idx="262">
                        <c:v>44468</c:v>
                      </c:pt>
                      <c:pt idx="263">
                        <c:v>44469</c:v>
                      </c:pt>
                      <c:pt idx="264">
                        <c:v>44470</c:v>
                      </c:pt>
                      <c:pt idx="265">
                        <c:v>44473</c:v>
                      </c:pt>
                      <c:pt idx="266">
                        <c:v>44474</c:v>
                      </c:pt>
                      <c:pt idx="267">
                        <c:v>44475</c:v>
                      </c:pt>
                      <c:pt idx="268">
                        <c:v>44476</c:v>
                      </c:pt>
                      <c:pt idx="269">
                        <c:v>44477</c:v>
                      </c:pt>
                      <c:pt idx="270">
                        <c:v>44480</c:v>
                      </c:pt>
                      <c:pt idx="271">
                        <c:v>44481</c:v>
                      </c:pt>
                      <c:pt idx="272">
                        <c:v>44482</c:v>
                      </c:pt>
                      <c:pt idx="273">
                        <c:v>44483</c:v>
                      </c:pt>
                      <c:pt idx="274">
                        <c:v>44484</c:v>
                      </c:pt>
                      <c:pt idx="275">
                        <c:v>44487</c:v>
                      </c:pt>
                      <c:pt idx="276">
                        <c:v>44488</c:v>
                      </c:pt>
                      <c:pt idx="277">
                        <c:v>44489</c:v>
                      </c:pt>
                      <c:pt idx="278">
                        <c:v>44490</c:v>
                      </c:pt>
                      <c:pt idx="279">
                        <c:v>44491</c:v>
                      </c:pt>
                      <c:pt idx="280">
                        <c:v>44494</c:v>
                      </c:pt>
                      <c:pt idx="281">
                        <c:v>44495</c:v>
                      </c:pt>
                      <c:pt idx="282">
                        <c:v>44496</c:v>
                      </c:pt>
                      <c:pt idx="283">
                        <c:v>44497</c:v>
                      </c:pt>
                      <c:pt idx="284">
                        <c:v>44498</c:v>
                      </c:pt>
                      <c:pt idx="285">
                        <c:v>44501</c:v>
                      </c:pt>
                      <c:pt idx="286">
                        <c:v>44502</c:v>
                      </c:pt>
                      <c:pt idx="287">
                        <c:v>44503</c:v>
                      </c:pt>
                      <c:pt idx="288">
                        <c:v>44504</c:v>
                      </c:pt>
                      <c:pt idx="289">
                        <c:v>44505</c:v>
                      </c:pt>
                      <c:pt idx="290">
                        <c:v>44508</c:v>
                      </c:pt>
                      <c:pt idx="291">
                        <c:v>44509</c:v>
                      </c:pt>
                      <c:pt idx="292">
                        <c:v>44510</c:v>
                      </c:pt>
                      <c:pt idx="293">
                        <c:v>44511</c:v>
                      </c:pt>
                      <c:pt idx="294">
                        <c:v>44512</c:v>
                      </c:pt>
                      <c:pt idx="295">
                        <c:v>44515</c:v>
                      </c:pt>
                      <c:pt idx="296">
                        <c:v>44516</c:v>
                      </c:pt>
                      <c:pt idx="297">
                        <c:v>44517</c:v>
                      </c:pt>
                      <c:pt idx="298">
                        <c:v>44518</c:v>
                      </c:pt>
                      <c:pt idx="299">
                        <c:v>44519</c:v>
                      </c:pt>
                      <c:pt idx="300">
                        <c:v>44522</c:v>
                      </c:pt>
                      <c:pt idx="301">
                        <c:v>44523</c:v>
                      </c:pt>
                      <c:pt idx="302">
                        <c:v>44524</c:v>
                      </c:pt>
                      <c:pt idx="303">
                        <c:v>44525</c:v>
                      </c:pt>
                      <c:pt idx="304">
                        <c:v>44526</c:v>
                      </c:pt>
                      <c:pt idx="305">
                        <c:v>44529</c:v>
                      </c:pt>
                      <c:pt idx="306">
                        <c:v>44530</c:v>
                      </c:pt>
                      <c:pt idx="307">
                        <c:v>44531</c:v>
                      </c:pt>
                      <c:pt idx="308">
                        <c:v>44532</c:v>
                      </c:pt>
                      <c:pt idx="309">
                        <c:v>44533</c:v>
                      </c:pt>
                      <c:pt idx="310">
                        <c:v>44536</c:v>
                      </c:pt>
                      <c:pt idx="311">
                        <c:v>44537</c:v>
                      </c:pt>
                      <c:pt idx="312">
                        <c:v>44538</c:v>
                      </c:pt>
                      <c:pt idx="313">
                        <c:v>44539</c:v>
                      </c:pt>
                      <c:pt idx="314">
                        <c:v>44540</c:v>
                      </c:pt>
                      <c:pt idx="315">
                        <c:v>44543</c:v>
                      </c:pt>
                      <c:pt idx="316">
                        <c:v>44544</c:v>
                      </c:pt>
                      <c:pt idx="317">
                        <c:v>44545</c:v>
                      </c:pt>
                      <c:pt idx="318">
                        <c:v>44546</c:v>
                      </c:pt>
                      <c:pt idx="319">
                        <c:v>44547</c:v>
                      </c:pt>
                      <c:pt idx="320">
                        <c:v>44550</c:v>
                      </c:pt>
                      <c:pt idx="321">
                        <c:v>44551</c:v>
                      </c:pt>
                      <c:pt idx="322">
                        <c:v>44552</c:v>
                      </c:pt>
                      <c:pt idx="323">
                        <c:v>44553</c:v>
                      </c:pt>
                      <c:pt idx="324">
                        <c:v>44554</c:v>
                      </c:pt>
                      <c:pt idx="325">
                        <c:v>44557</c:v>
                      </c:pt>
                      <c:pt idx="326">
                        <c:v>44558</c:v>
                      </c:pt>
                      <c:pt idx="327">
                        <c:v>44559</c:v>
                      </c:pt>
                      <c:pt idx="328">
                        <c:v>44560</c:v>
                      </c:pt>
                      <c:pt idx="329">
                        <c:v>44561</c:v>
                      </c:pt>
                      <c:pt idx="330">
                        <c:v>44565</c:v>
                      </c:pt>
                      <c:pt idx="331">
                        <c:v>44566</c:v>
                      </c:pt>
                      <c:pt idx="332">
                        <c:v>44567</c:v>
                      </c:pt>
                      <c:pt idx="333">
                        <c:v>44568</c:v>
                      </c:pt>
                      <c:pt idx="334">
                        <c:v>44571</c:v>
                      </c:pt>
                      <c:pt idx="335">
                        <c:v>44572</c:v>
                      </c:pt>
                      <c:pt idx="336">
                        <c:v>44573</c:v>
                      </c:pt>
                      <c:pt idx="337">
                        <c:v>44574</c:v>
                      </c:pt>
                      <c:pt idx="338">
                        <c:v>44575</c:v>
                      </c:pt>
                      <c:pt idx="339">
                        <c:v>44578</c:v>
                      </c:pt>
                      <c:pt idx="340">
                        <c:v>44579</c:v>
                      </c:pt>
                      <c:pt idx="341">
                        <c:v>44580</c:v>
                      </c:pt>
                      <c:pt idx="342">
                        <c:v>44581</c:v>
                      </c:pt>
                      <c:pt idx="343">
                        <c:v>44582</c:v>
                      </c:pt>
                      <c:pt idx="344">
                        <c:v>44585</c:v>
                      </c:pt>
                      <c:pt idx="345">
                        <c:v>44586</c:v>
                      </c:pt>
                      <c:pt idx="346">
                        <c:v>44587</c:v>
                      </c:pt>
                      <c:pt idx="347">
                        <c:v>44588</c:v>
                      </c:pt>
                      <c:pt idx="348">
                        <c:v>44589</c:v>
                      </c:pt>
                      <c:pt idx="349">
                        <c:v>44599</c:v>
                      </c:pt>
                      <c:pt idx="350">
                        <c:v>44600</c:v>
                      </c:pt>
                      <c:pt idx="351">
                        <c:v>44601</c:v>
                      </c:pt>
                      <c:pt idx="352">
                        <c:v>44602</c:v>
                      </c:pt>
                      <c:pt idx="353">
                        <c:v>44603</c:v>
                      </c:pt>
                      <c:pt idx="354">
                        <c:v>44606</c:v>
                      </c:pt>
                      <c:pt idx="355">
                        <c:v>44607</c:v>
                      </c:pt>
                      <c:pt idx="356">
                        <c:v>44608</c:v>
                      </c:pt>
                      <c:pt idx="357">
                        <c:v>44609</c:v>
                      </c:pt>
                      <c:pt idx="358">
                        <c:v>44610</c:v>
                      </c:pt>
                      <c:pt idx="359">
                        <c:v>44613</c:v>
                      </c:pt>
                      <c:pt idx="360">
                        <c:v>44614</c:v>
                      </c:pt>
                      <c:pt idx="361">
                        <c:v>44615</c:v>
                      </c:pt>
                      <c:pt idx="362">
                        <c:v>44616</c:v>
                      </c:pt>
                      <c:pt idx="363">
                        <c:v>44617</c:v>
                      </c:pt>
                      <c:pt idx="364">
                        <c:v>44620</c:v>
                      </c:pt>
                      <c:pt idx="365">
                        <c:v>44621</c:v>
                      </c:pt>
                      <c:pt idx="366">
                        <c:v>44622</c:v>
                      </c:pt>
                      <c:pt idx="367">
                        <c:v>44623</c:v>
                      </c:pt>
                      <c:pt idx="368">
                        <c:v>44624</c:v>
                      </c:pt>
                      <c:pt idx="369">
                        <c:v>44627</c:v>
                      </c:pt>
                      <c:pt idx="370">
                        <c:v>44628</c:v>
                      </c:pt>
                      <c:pt idx="371">
                        <c:v>44629</c:v>
                      </c:pt>
                      <c:pt idx="372">
                        <c:v>44630</c:v>
                      </c:pt>
                      <c:pt idx="373">
                        <c:v>44631</c:v>
                      </c:pt>
                      <c:pt idx="374">
                        <c:v>44634</c:v>
                      </c:pt>
                      <c:pt idx="375">
                        <c:v>44635</c:v>
                      </c:pt>
                      <c:pt idx="376">
                        <c:v>44636</c:v>
                      </c:pt>
                      <c:pt idx="377">
                        <c:v>44637</c:v>
                      </c:pt>
                      <c:pt idx="378">
                        <c:v>44638</c:v>
                      </c:pt>
                      <c:pt idx="379">
                        <c:v>44641</c:v>
                      </c:pt>
                      <c:pt idx="380">
                        <c:v>44642</c:v>
                      </c:pt>
                      <c:pt idx="381">
                        <c:v>44643</c:v>
                      </c:pt>
                      <c:pt idx="382">
                        <c:v>44644</c:v>
                      </c:pt>
                      <c:pt idx="383">
                        <c:v>44645</c:v>
                      </c:pt>
                      <c:pt idx="384">
                        <c:v>44648</c:v>
                      </c:pt>
                      <c:pt idx="385">
                        <c:v>44649</c:v>
                      </c:pt>
                      <c:pt idx="386">
                        <c:v>44650</c:v>
                      </c:pt>
                      <c:pt idx="387">
                        <c:v>44651</c:v>
                      </c:pt>
                      <c:pt idx="388">
                        <c:v>44652</c:v>
                      </c:pt>
                      <c:pt idx="389">
                        <c:v>44655</c:v>
                      </c:pt>
                      <c:pt idx="390">
                        <c:v>44656</c:v>
                      </c:pt>
                      <c:pt idx="391">
                        <c:v>44657</c:v>
                      </c:pt>
                      <c:pt idx="392">
                        <c:v>44658</c:v>
                      </c:pt>
                      <c:pt idx="393">
                        <c:v>44659</c:v>
                      </c:pt>
                      <c:pt idx="394">
                        <c:v>44663</c:v>
                      </c:pt>
                      <c:pt idx="395">
                        <c:v>44664</c:v>
                      </c:pt>
                      <c:pt idx="396">
                        <c:v>44665</c:v>
                      </c:pt>
                      <c:pt idx="397">
                        <c:v>44666</c:v>
                      </c:pt>
                      <c:pt idx="398">
                        <c:v>44669</c:v>
                      </c:pt>
                      <c:pt idx="399">
                        <c:v>44670</c:v>
                      </c:pt>
                      <c:pt idx="400">
                        <c:v>44671</c:v>
                      </c:pt>
                      <c:pt idx="401">
                        <c:v>44672</c:v>
                      </c:pt>
                      <c:pt idx="402">
                        <c:v>44673</c:v>
                      </c:pt>
                      <c:pt idx="403">
                        <c:v>44676</c:v>
                      </c:pt>
                      <c:pt idx="404">
                        <c:v>44677</c:v>
                      </c:pt>
                      <c:pt idx="405">
                        <c:v>44678</c:v>
                      </c:pt>
                      <c:pt idx="406">
                        <c:v>44679</c:v>
                      </c:pt>
                      <c:pt idx="407">
                        <c:v>44680</c:v>
                      </c:pt>
                      <c:pt idx="408">
                        <c:v>44685</c:v>
                      </c:pt>
                      <c:pt idx="409">
                        <c:v>44686</c:v>
                      </c:pt>
                      <c:pt idx="410">
                        <c:v>44687</c:v>
                      </c:pt>
                      <c:pt idx="411">
                        <c:v>44690</c:v>
                      </c:pt>
                      <c:pt idx="412">
                        <c:v>44691</c:v>
                      </c:pt>
                      <c:pt idx="413">
                        <c:v>44692</c:v>
                      </c:pt>
                      <c:pt idx="414">
                        <c:v>44693</c:v>
                      </c:pt>
                      <c:pt idx="415">
                        <c:v>44694</c:v>
                      </c:pt>
                      <c:pt idx="416">
                        <c:v>44697</c:v>
                      </c:pt>
                      <c:pt idx="417">
                        <c:v>44698</c:v>
                      </c:pt>
                      <c:pt idx="418">
                        <c:v>44699</c:v>
                      </c:pt>
                      <c:pt idx="419">
                        <c:v>44700</c:v>
                      </c:pt>
                      <c:pt idx="420">
                        <c:v>44701</c:v>
                      </c:pt>
                      <c:pt idx="421">
                        <c:v>44704</c:v>
                      </c:pt>
                      <c:pt idx="422">
                        <c:v>44705</c:v>
                      </c:pt>
                      <c:pt idx="423">
                        <c:v>44706</c:v>
                      </c:pt>
                      <c:pt idx="424">
                        <c:v>44707</c:v>
                      </c:pt>
                      <c:pt idx="425">
                        <c:v>44708</c:v>
                      </c:pt>
                      <c:pt idx="426">
                        <c:v>44711</c:v>
                      </c:pt>
                      <c:pt idx="427">
                        <c:v>44712</c:v>
                      </c:pt>
                      <c:pt idx="428">
                        <c:v>44713</c:v>
                      </c:pt>
                      <c:pt idx="429">
                        <c:v>44714</c:v>
                      </c:pt>
                      <c:pt idx="430">
                        <c:v>44715</c:v>
                      </c:pt>
                      <c:pt idx="431">
                        <c:v>44718</c:v>
                      </c:pt>
                      <c:pt idx="432">
                        <c:v>44719</c:v>
                      </c:pt>
                      <c:pt idx="433">
                        <c:v>44720</c:v>
                      </c:pt>
                      <c:pt idx="434">
                        <c:v>44721</c:v>
                      </c:pt>
                      <c:pt idx="435">
                        <c:v>44722</c:v>
                      </c:pt>
                      <c:pt idx="436">
                        <c:v>44725</c:v>
                      </c:pt>
                      <c:pt idx="437">
                        <c:v>44726</c:v>
                      </c:pt>
                      <c:pt idx="438">
                        <c:v>44727</c:v>
                      </c:pt>
                      <c:pt idx="439">
                        <c:v>44728</c:v>
                      </c:pt>
                      <c:pt idx="440">
                        <c:v>44729</c:v>
                      </c:pt>
                      <c:pt idx="441">
                        <c:v>44732</c:v>
                      </c:pt>
                      <c:pt idx="442">
                        <c:v>44733</c:v>
                      </c:pt>
                      <c:pt idx="443">
                        <c:v>44734</c:v>
                      </c:pt>
                      <c:pt idx="444">
                        <c:v>44735</c:v>
                      </c:pt>
                      <c:pt idx="445">
                        <c:v>44736</c:v>
                      </c:pt>
                      <c:pt idx="446">
                        <c:v>44739</c:v>
                      </c:pt>
                      <c:pt idx="447">
                        <c:v>44740</c:v>
                      </c:pt>
                      <c:pt idx="448">
                        <c:v>44741</c:v>
                      </c:pt>
                      <c:pt idx="449">
                        <c:v>44742</c:v>
                      </c:pt>
                      <c:pt idx="450">
                        <c:v>44743</c:v>
                      </c:pt>
                      <c:pt idx="451">
                        <c:v>44746</c:v>
                      </c:pt>
                      <c:pt idx="452">
                        <c:v>44747</c:v>
                      </c:pt>
                      <c:pt idx="453">
                        <c:v>44748</c:v>
                      </c:pt>
                      <c:pt idx="454">
                        <c:v>44749</c:v>
                      </c:pt>
                      <c:pt idx="455">
                        <c:v>44750</c:v>
                      </c:pt>
                      <c:pt idx="456">
                        <c:v>44753</c:v>
                      </c:pt>
                      <c:pt idx="457">
                        <c:v>44754</c:v>
                      </c:pt>
                      <c:pt idx="458">
                        <c:v>44755</c:v>
                      </c:pt>
                      <c:pt idx="459">
                        <c:v>44756</c:v>
                      </c:pt>
                      <c:pt idx="460">
                        <c:v>44757</c:v>
                      </c:pt>
                      <c:pt idx="461">
                        <c:v>44760</c:v>
                      </c:pt>
                      <c:pt idx="462">
                        <c:v>44761</c:v>
                      </c:pt>
                      <c:pt idx="463">
                        <c:v>44762</c:v>
                      </c:pt>
                      <c:pt idx="464">
                        <c:v>44763</c:v>
                      </c:pt>
                      <c:pt idx="465">
                        <c:v>44764</c:v>
                      </c:pt>
                      <c:pt idx="466">
                        <c:v>44767</c:v>
                      </c:pt>
                      <c:pt idx="467">
                        <c:v>44768</c:v>
                      </c:pt>
                      <c:pt idx="468">
                        <c:v>44769</c:v>
                      </c:pt>
                      <c:pt idx="469">
                        <c:v>44770</c:v>
                      </c:pt>
                      <c:pt idx="470">
                        <c:v>44771</c:v>
                      </c:pt>
                      <c:pt idx="471">
                        <c:v>44774</c:v>
                      </c:pt>
                      <c:pt idx="472">
                        <c:v>44775</c:v>
                      </c:pt>
                      <c:pt idx="473">
                        <c:v>44776</c:v>
                      </c:pt>
                      <c:pt idx="474">
                        <c:v>44777</c:v>
                      </c:pt>
                      <c:pt idx="475">
                        <c:v>44778</c:v>
                      </c:pt>
                      <c:pt idx="476">
                        <c:v>44781</c:v>
                      </c:pt>
                      <c:pt idx="477">
                        <c:v>44782</c:v>
                      </c:pt>
                      <c:pt idx="478">
                        <c:v>44783</c:v>
                      </c:pt>
                      <c:pt idx="479">
                        <c:v>44784</c:v>
                      </c:pt>
                      <c:pt idx="480">
                        <c:v>44785</c:v>
                      </c:pt>
                      <c:pt idx="481">
                        <c:v>44788</c:v>
                      </c:pt>
                      <c:pt idx="482">
                        <c:v>44789</c:v>
                      </c:pt>
                      <c:pt idx="483">
                        <c:v>44790</c:v>
                      </c:pt>
                      <c:pt idx="484">
                        <c:v>44791</c:v>
                      </c:pt>
                      <c:pt idx="485">
                        <c:v>44792</c:v>
                      </c:pt>
                      <c:pt idx="486">
                        <c:v>44795</c:v>
                      </c:pt>
                      <c:pt idx="487">
                        <c:v>44796</c:v>
                      </c:pt>
                      <c:pt idx="488">
                        <c:v>44797</c:v>
                      </c:pt>
                      <c:pt idx="489">
                        <c:v>44798</c:v>
                      </c:pt>
                      <c:pt idx="490">
                        <c:v>44799</c:v>
                      </c:pt>
                      <c:pt idx="491">
                        <c:v>44802</c:v>
                      </c:pt>
                      <c:pt idx="492">
                        <c:v>44803</c:v>
                      </c:pt>
                      <c:pt idx="493">
                        <c:v>44804</c:v>
                      </c:pt>
                      <c:pt idx="494">
                        <c:v>44809</c:v>
                      </c:pt>
                      <c:pt idx="495">
                        <c:v>44810</c:v>
                      </c:pt>
                      <c:pt idx="496">
                        <c:v>44811</c:v>
                      </c:pt>
                      <c:pt idx="497">
                        <c:v>44812</c:v>
                      </c:pt>
                      <c:pt idx="498">
                        <c:v>44813</c:v>
                      </c:pt>
                      <c:pt idx="499">
                        <c:v>44816</c:v>
                      </c:pt>
                      <c:pt idx="500">
                        <c:v>44817</c:v>
                      </c:pt>
                      <c:pt idx="501">
                        <c:v>44818</c:v>
                      </c:pt>
                      <c:pt idx="502">
                        <c:v>44819</c:v>
                      </c:pt>
                      <c:pt idx="503">
                        <c:v>44820</c:v>
                      </c:pt>
                      <c:pt idx="504">
                        <c:v>44823</c:v>
                      </c:pt>
                      <c:pt idx="505">
                        <c:v>44824</c:v>
                      </c:pt>
                      <c:pt idx="506">
                        <c:v>44825</c:v>
                      </c:pt>
                      <c:pt idx="507">
                        <c:v>44826</c:v>
                      </c:pt>
                      <c:pt idx="508">
                        <c:v>44827</c:v>
                      </c:pt>
                      <c:pt idx="509">
                        <c:v>44830</c:v>
                      </c:pt>
                      <c:pt idx="510">
                        <c:v>44831</c:v>
                      </c:pt>
                      <c:pt idx="511">
                        <c:v>44832</c:v>
                      </c:pt>
                      <c:pt idx="512">
                        <c:v>44833</c:v>
                      </c:pt>
                      <c:pt idx="513">
                        <c:v>44834</c:v>
                      </c:pt>
                      <c:pt idx="514">
                        <c:v>44837</c:v>
                      </c:pt>
                      <c:pt idx="515">
                        <c:v>44838</c:v>
                      </c:pt>
                      <c:pt idx="516">
                        <c:v>44839</c:v>
                      </c:pt>
                      <c:pt idx="517">
                        <c:v>44840</c:v>
                      </c:pt>
                      <c:pt idx="518">
                        <c:v>44841</c:v>
                      </c:pt>
                      <c:pt idx="519">
                        <c:v>44844</c:v>
                      </c:pt>
                      <c:pt idx="520">
                        <c:v>44845</c:v>
                      </c:pt>
                      <c:pt idx="521">
                        <c:v>44846</c:v>
                      </c:pt>
                      <c:pt idx="522">
                        <c:v>44847</c:v>
                      </c:pt>
                      <c:pt idx="523">
                        <c:v>44848</c:v>
                      </c:pt>
                      <c:pt idx="524">
                        <c:v>44851</c:v>
                      </c:pt>
                      <c:pt idx="525">
                        <c:v>44852</c:v>
                      </c:pt>
                      <c:pt idx="526">
                        <c:v>44853</c:v>
                      </c:pt>
                      <c:pt idx="527">
                        <c:v>44854</c:v>
                      </c:pt>
                      <c:pt idx="528">
                        <c:v>44855</c:v>
                      </c:pt>
                      <c:pt idx="529">
                        <c:v>44858</c:v>
                      </c:pt>
                      <c:pt idx="530">
                        <c:v>44859</c:v>
                      </c:pt>
                      <c:pt idx="531">
                        <c:v>44860</c:v>
                      </c:pt>
                      <c:pt idx="532">
                        <c:v>44861</c:v>
                      </c:pt>
                      <c:pt idx="533">
                        <c:v>44862</c:v>
                      </c:pt>
                      <c:pt idx="534">
                        <c:v>44865</c:v>
                      </c:pt>
                      <c:pt idx="535">
                        <c:v>44866</c:v>
                      </c:pt>
                      <c:pt idx="536">
                        <c:v>44867</c:v>
                      </c:pt>
                      <c:pt idx="537">
                        <c:v>44868</c:v>
                      </c:pt>
                      <c:pt idx="538">
                        <c:v>44869</c:v>
                      </c:pt>
                      <c:pt idx="539">
                        <c:v>44872</c:v>
                      </c:pt>
                      <c:pt idx="540">
                        <c:v>44873</c:v>
                      </c:pt>
                      <c:pt idx="541">
                        <c:v>44874</c:v>
                      </c:pt>
                      <c:pt idx="542">
                        <c:v>44875</c:v>
                      </c:pt>
                      <c:pt idx="543">
                        <c:v>44876</c:v>
                      </c:pt>
                      <c:pt idx="544">
                        <c:v>44879</c:v>
                      </c:pt>
                      <c:pt idx="545">
                        <c:v>44880</c:v>
                      </c:pt>
                      <c:pt idx="546">
                        <c:v>44881</c:v>
                      </c:pt>
                      <c:pt idx="547">
                        <c:v>44882</c:v>
                      </c:pt>
                      <c:pt idx="548">
                        <c:v>44883</c:v>
                      </c:pt>
                      <c:pt idx="549">
                        <c:v>44886</c:v>
                      </c:pt>
                      <c:pt idx="550">
                        <c:v>44887</c:v>
                      </c:pt>
                      <c:pt idx="551">
                        <c:v>44888</c:v>
                      </c:pt>
                      <c:pt idx="552">
                        <c:v>44889</c:v>
                      </c:pt>
                      <c:pt idx="553">
                        <c:v>44890</c:v>
                      </c:pt>
                      <c:pt idx="554">
                        <c:v>44893</c:v>
                      </c:pt>
                      <c:pt idx="555">
                        <c:v>44894</c:v>
                      </c:pt>
                      <c:pt idx="556">
                        <c:v>44895</c:v>
                      </c:pt>
                      <c:pt idx="557">
                        <c:v>44896</c:v>
                      </c:pt>
                      <c:pt idx="558">
                        <c:v>44897</c:v>
                      </c:pt>
                      <c:pt idx="559">
                        <c:v>44900</c:v>
                      </c:pt>
                      <c:pt idx="560">
                        <c:v>44901</c:v>
                      </c:pt>
                      <c:pt idx="561">
                        <c:v>44902</c:v>
                      </c:pt>
                      <c:pt idx="562">
                        <c:v>44903</c:v>
                      </c:pt>
                      <c:pt idx="563">
                        <c:v>44904</c:v>
                      </c:pt>
                      <c:pt idx="564">
                        <c:v>44907</c:v>
                      </c:pt>
                      <c:pt idx="565">
                        <c:v>44908</c:v>
                      </c:pt>
                      <c:pt idx="566">
                        <c:v>44909</c:v>
                      </c:pt>
                      <c:pt idx="567">
                        <c:v>44910</c:v>
                      </c:pt>
                      <c:pt idx="568">
                        <c:v>44911</c:v>
                      </c:pt>
                      <c:pt idx="569">
                        <c:v>44914</c:v>
                      </c:pt>
                      <c:pt idx="570">
                        <c:v>44915</c:v>
                      </c:pt>
                      <c:pt idx="571">
                        <c:v>44916</c:v>
                      </c:pt>
                      <c:pt idx="572">
                        <c:v>44917</c:v>
                      </c:pt>
                      <c:pt idx="573">
                        <c:v>44918</c:v>
                      </c:pt>
                      <c:pt idx="574">
                        <c:v>44921</c:v>
                      </c:pt>
                      <c:pt idx="575">
                        <c:v>44922</c:v>
                      </c:pt>
                      <c:pt idx="576">
                        <c:v>44923</c:v>
                      </c:pt>
                      <c:pt idx="577">
                        <c:v>44924</c:v>
                      </c:pt>
                      <c:pt idx="578">
                        <c:v>44925</c:v>
                      </c:pt>
                      <c:pt idx="579">
                        <c:v>44929</c:v>
                      </c:pt>
                      <c:pt idx="580">
                        <c:v>44930</c:v>
                      </c:pt>
                      <c:pt idx="581">
                        <c:v>44931</c:v>
                      </c:pt>
                      <c:pt idx="582">
                        <c:v>44932</c:v>
                      </c:pt>
                      <c:pt idx="583">
                        <c:v>44935</c:v>
                      </c:pt>
                      <c:pt idx="584">
                        <c:v>44936</c:v>
                      </c:pt>
                      <c:pt idx="585">
                        <c:v>44937</c:v>
                      </c:pt>
                      <c:pt idx="586">
                        <c:v>44938</c:v>
                      </c:pt>
                      <c:pt idx="587">
                        <c:v>44939</c:v>
                      </c:pt>
                      <c:pt idx="588">
                        <c:v>44942</c:v>
                      </c:pt>
                      <c:pt idx="589">
                        <c:v>44943</c:v>
                      </c:pt>
                      <c:pt idx="590">
                        <c:v>44944</c:v>
                      </c:pt>
                      <c:pt idx="591">
                        <c:v>44945</c:v>
                      </c:pt>
                      <c:pt idx="592">
                        <c:v>44953</c:v>
                      </c:pt>
                      <c:pt idx="593">
                        <c:v>44956</c:v>
                      </c:pt>
                      <c:pt idx="594">
                        <c:v>44957</c:v>
                      </c:pt>
                      <c:pt idx="595">
                        <c:v>44958</c:v>
                      </c:pt>
                      <c:pt idx="596">
                        <c:v>44959</c:v>
                      </c:pt>
                      <c:pt idx="597">
                        <c:v>44960</c:v>
                      </c:pt>
                      <c:pt idx="598">
                        <c:v>44963</c:v>
                      </c:pt>
                      <c:pt idx="599">
                        <c:v>44964</c:v>
                      </c:pt>
                      <c:pt idx="600">
                        <c:v>44965</c:v>
                      </c:pt>
                      <c:pt idx="601">
                        <c:v>44966</c:v>
                      </c:pt>
                      <c:pt idx="602">
                        <c:v>44967</c:v>
                      </c:pt>
                      <c:pt idx="603">
                        <c:v>44970</c:v>
                      </c:pt>
                      <c:pt idx="604">
                        <c:v>44971</c:v>
                      </c:pt>
                      <c:pt idx="605">
                        <c:v>44972</c:v>
                      </c:pt>
                      <c:pt idx="606">
                        <c:v>44973</c:v>
                      </c:pt>
                      <c:pt idx="607">
                        <c:v>44974</c:v>
                      </c:pt>
                      <c:pt idx="608">
                        <c:v>44977</c:v>
                      </c:pt>
                      <c:pt idx="609">
                        <c:v>44978</c:v>
                      </c:pt>
                      <c:pt idx="610">
                        <c:v>44979</c:v>
                      </c:pt>
                      <c:pt idx="611">
                        <c:v>44980</c:v>
                      </c:pt>
                      <c:pt idx="612">
                        <c:v>44981</c:v>
                      </c:pt>
                      <c:pt idx="613">
                        <c:v>44984</c:v>
                      </c:pt>
                      <c:pt idx="614">
                        <c:v>44985</c:v>
                      </c:pt>
                      <c:pt idx="615">
                        <c:v>44986</c:v>
                      </c:pt>
                      <c:pt idx="616">
                        <c:v>44987</c:v>
                      </c:pt>
                      <c:pt idx="617">
                        <c:v>44988</c:v>
                      </c:pt>
                      <c:pt idx="618">
                        <c:v>44991</c:v>
                      </c:pt>
                      <c:pt idx="619">
                        <c:v>44992</c:v>
                      </c:pt>
                      <c:pt idx="620">
                        <c:v>44993</c:v>
                      </c:pt>
                      <c:pt idx="621">
                        <c:v>44994</c:v>
                      </c:pt>
                      <c:pt idx="622">
                        <c:v>44995</c:v>
                      </c:pt>
                      <c:pt idx="623">
                        <c:v>44998</c:v>
                      </c:pt>
                      <c:pt idx="624">
                        <c:v>44999</c:v>
                      </c:pt>
                      <c:pt idx="625">
                        <c:v>45000</c:v>
                      </c:pt>
                      <c:pt idx="626">
                        <c:v>45001</c:v>
                      </c:pt>
                      <c:pt idx="627">
                        <c:v>45002</c:v>
                      </c:pt>
                      <c:pt idx="628">
                        <c:v>45005</c:v>
                      </c:pt>
                      <c:pt idx="629">
                        <c:v>45006</c:v>
                      </c:pt>
                      <c:pt idx="630">
                        <c:v>45007</c:v>
                      </c:pt>
                      <c:pt idx="631">
                        <c:v>45008</c:v>
                      </c:pt>
                      <c:pt idx="632">
                        <c:v>45009</c:v>
                      </c:pt>
                      <c:pt idx="633">
                        <c:v>45012</c:v>
                      </c:pt>
                      <c:pt idx="634">
                        <c:v>45013</c:v>
                      </c:pt>
                      <c:pt idx="635">
                        <c:v>45014</c:v>
                      </c:pt>
                      <c:pt idx="636">
                        <c:v>45015</c:v>
                      </c:pt>
                      <c:pt idx="637">
                        <c:v>45016</c:v>
                      </c:pt>
                      <c:pt idx="638">
                        <c:v>45019</c:v>
                      </c:pt>
                      <c:pt idx="639">
                        <c:v>45020</c:v>
                      </c:pt>
                      <c:pt idx="640">
                        <c:v>45021</c:v>
                      </c:pt>
                      <c:pt idx="641">
                        <c:v>45022</c:v>
                      </c:pt>
                      <c:pt idx="642">
                        <c:v>45023</c:v>
                      </c:pt>
                      <c:pt idx="643">
                        <c:v>45026</c:v>
                      </c:pt>
                      <c:pt idx="644">
                        <c:v>45027</c:v>
                      </c:pt>
                      <c:pt idx="645">
                        <c:v>45028</c:v>
                      </c:pt>
                      <c:pt idx="646">
                        <c:v>45029</c:v>
                      </c:pt>
                      <c:pt idx="647">
                        <c:v>45030</c:v>
                      </c:pt>
                      <c:pt idx="648">
                        <c:v>45033</c:v>
                      </c:pt>
                      <c:pt idx="649">
                        <c:v>45034</c:v>
                      </c:pt>
                      <c:pt idx="650">
                        <c:v>45035</c:v>
                      </c:pt>
                      <c:pt idx="651">
                        <c:v>45036</c:v>
                      </c:pt>
                      <c:pt idx="652">
                        <c:v>45037</c:v>
                      </c:pt>
                      <c:pt idx="653">
                        <c:v>45040</c:v>
                      </c:pt>
                      <c:pt idx="654">
                        <c:v>45041</c:v>
                      </c:pt>
                      <c:pt idx="655">
                        <c:v>45042</c:v>
                      </c:pt>
                      <c:pt idx="656">
                        <c:v>45043</c:v>
                      </c:pt>
                      <c:pt idx="657">
                        <c:v>45044</c:v>
                      </c:pt>
                      <c:pt idx="658">
                        <c:v>45050</c:v>
                      </c:pt>
                      <c:pt idx="659">
                        <c:v>45051</c:v>
                      </c:pt>
                      <c:pt idx="660">
                        <c:v>45054</c:v>
                      </c:pt>
                      <c:pt idx="661">
                        <c:v>45055</c:v>
                      </c:pt>
                      <c:pt idx="662">
                        <c:v>45056</c:v>
                      </c:pt>
                      <c:pt idx="663">
                        <c:v>45057</c:v>
                      </c:pt>
                      <c:pt idx="664">
                        <c:v>45058</c:v>
                      </c:pt>
                      <c:pt idx="665">
                        <c:v>45061</c:v>
                      </c:pt>
                      <c:pt idx="666">
                        <c:v>45062</c:v>
                      </c:pt>
                      <c:pt idx="667">
                        <c:v>45063</c:v>
                      </c:pt>
                      <c:pt idx="668">
                        <c:v>45064</c:v>
                      </c:pt>
                      <c:pt idx="669">
                        <c:v>45065</c:v>
                      </c:pt>
                      <c:pt idx="670">
                        <c:v>45068</c:v>
                      </c:pt>
                      <c:pt idx="671">
                        <c:v>45069</c:v>
                      </c:pt>
                      <c:pt idx="672">
                        <c:v>45070</c:v>
                      </c:pt>
                      <c:pt idx="673">
                        <c:v>45071</c:v>
                      </c:pt>
                      <c:pt idx="674">
                        <c:v>45072</c:v>
                      </c:pt>
                      <c:pt idx="675">
                        <c:v>45075</c:v>
                      </c:pt>
                      <c:pt idx="676">
                        <c:v>45076</c:v>
                      </c:pt>
                      <c:pt idx="677">
                        <c:v>45077</c:v>
                      </c:pt>
                      <c:pt idx="678">
                        <c:v>45078</c:v>
                      </c:pt>
                      <c:pt idx="679">
                        <c:v>45079</c:v>
                      </c:pt>
                      <c:pt idx="680">
                        <c:v>45082</c:v>
                      </c:pt>
                      <c:pt idx="681">
                        <c:v>45083</c:v>
                      </c:pt>
                      <c:pt idx="682">
                        <c:v>45084</c:v>
                      </c:pt>
                      <c:pt idx="683">
                        <c:v>45085</c:v>
                      </c:pt>
                      <c:pt idx="684">
                        <c:v>45086</c:v>
                      </c:pt>
                      <c:pt idx="685">
                        <c:v>45089</c:v>
                      </c:pt>
                      <c:pt idx="686">
                        <c:v>45090</c:v>
                      </c:pt>
                      <c:pt idx="687">
                        <c:v>45091</c:v>
                      </c:pt>
                      <c:pt idx="688">
                        <c:v>45092</c:v>
                      </c:pt>
                      <c:pt idx="689">
                        <c:v>45093</c:v>
                      </c:pt>
                      <c:pt idx="690">
                        <c:v>45096</c:v>
                      </c:pt>
                      <c:pt idx="691">
                        <c:v>45097</c:v>
                      </c:pt>
                      <c:pt idx="692">
                        <c:v>45098</c:v>
                      </c:pt>
                      <c:pt idx="693">
                        <c:v>45099</c:v>
                      </c:pt>
                      <c:pt idx="694">
                        <c:v>45100</c:v>
                      </c:pt>
                      <c:pt idx="695">
                        <c:v>45103</c:v>
                      </c:pt>
                      <c:pt idx="696">
                        <c:v>45104</c:v>
                      </c:pt>
                      <c:pt idx="697">
                        <c:v>45105</c:v>
                      </c:pt>
                      <c:pt idx="698">
                        <c:v>45106</c:v>
                      </c:pt>
                      <c:pt idx="699">
                        <c:v>45107</c:v>
                      </c:pt>
                      <c:pt idx="700">
                        <c:v>45110</c:v>
                      </c:pt>
                      <c:pt idx="701">
                        <c:v>45111</c:v>
                      </c:pt>
                      <c:pt idx="702">
                        <c:v>45112</c:v>
                      </c:pt>
                      <c:pt idx="703">
                        <c:v>45113</c:v>
                      </c:pt>
                      <c:pt idx="704">
                        <c:v>45114</c:v>
                      </c:pt>
                      <c:pt idx="705">
                        <c:v>45117</c:v>
                      </c:pt>
                      <c:pt idx="706">
                        <c:v>45118</c:v>
                      </c:pt>
                      <c:pt idx="707">
                        <c:v>45119</c:v>
                      </c:pt>
                      <c:pt idx="708">
                        <c:v>45120</c:v>
                      </c:pt>
                      <c:pt idx="709">
                        <c:v>45121</c:v>
                      </c:pt>
                      <c:pt idx="710">
                        <c:v>45124</c:v>
                      </c:pt>
                      <c:pt idx="711">
                        <c:v>45125</c:v>
                      </c:pt>
                      <c:pt idx="712">
                        <c:v>45126</c:v>
                      </c:pt>
                      <c:pt idx="713">
                        <c:v>45127</c:v>
                      </c:pt>
                      <c:pt idx="714">
                        <c:v>45128</c:v>
                      </c:pt>
                      <c:pt idx="715">
                        <c:v>45131</c:v>
                      </c:pt>
                      <c:pt idx="716">
                        <c:v>45132</c:v>
                      </c:pt>
                      <c:pt idx="717">
                        <c:v>45133</c:v>
                      </c:pt>
                      <c:pt idx="718">
                        <c:v>45134</c:v>
                      </c:pt>
                      <c:pt idx="719">
                        <c:v>45135</c:v>
                      </c:pt>
                      <c:pt idx="720">
                        <c:v>45138</c:v>
                      </c:pt>
                      <c:pt idx="721">
                        <c:v>45139</c:v>
                      </c:pt>
                      <c:pt idx="722">
                        <c:v>45140</c:v>
                      </c:pt>
                      <c:pt idx="723">
                        <c:v>45141</c:v>
                      </c:pt>
                      <c:pt idx="724">
                        <c:v>45142</c:v>
                      </c:pt>
                      <c:pt idx="725">
                        <c:v>45145</c:v>
                      </c:pt>
                      <c:pt idx="726">
                        <c:v>45146</c:v>
                      </c:pt>
                      <c:pt idx="727">
                        <c:v>45147</c:v>
                      </c:pt>
                      <c:pt idx="728">
                        <c:v>45148</c:v>
                      </c:pt>
                      <c:pt idx="729">
                        <c:v>45149</c:v>
                      </c:pt>
                      <c:pt idx="730">
                        <c:v>45152</c:v>
                      </c:pt>
                      <c:pt idx="731">
                        <c:v>45153</c:v>
                      </c:pt>
                      <c:pt idx="732">
                        <c:v>45154</c:v>
                      </c:pt>
                      <c:pt idx="733">
                        <c:v>45155</c:v>
                      </c:pt>
                      <c:pt idx="734">
                        <c:v>45156</c:v>
                      </c:pt>
                      <c:pt idx="735">
                        <c:v>45159</c:v>
                      </c:pt>
                      <c:pt idx="736">
                        <c:v>45160</c:v>
                      </c:pt>
                      <c:pt idx="737">
                        <c:v>45161</c:v>
                      </c:pt>
                      <c:pt idx="738">
                        <c:v>45162</c:v>
                      </c:pt>
                      <c:pt idx="739">
                        <c:v>45163</c:v>
                      </c:pt>
                      <c:pt idx="740">
                        <c:v>45166</c:v>
                      </c:pt>
                      <c:pt idx="741">
                        <c:v>45167</c:v>
                      </c:pt>
                      <c:pt idx="742">
                        <c:v>45168</c:v>
                      </c:pt>
                      <c:pt idx="743">
                        <c:v>45169</c:v>
                      </c:pt>
                      <c:pt idx="744">
                        <c:v>45174</c:v>
                      </c:pt>
                      <c:pt idx="745">
                        <c:v>45175</c:v>
                      </c:pt>
                      <c:pt idx="746">
                        <c:v>45176</c:v>
                      </c:pt>
                      <c:pt idx="747">
                        <c:v>45177</c:v>
                      </c:pt>
                      <c:pt idx="748">
                        <c:v>45180</c:v>
                      </c:pt>
                      <c:pt idx="749">
                        <c:v>45181</c:v>
                      </c:pt>
                      <c:pt idx="750">
                        <c:v>45182</c:v>
                      </c:pt>
                      <c:pt idx="751">
                        <c:v>45183</c:v>
                      </c:pt>
                      <c:pt idx="752">
                        <c:v>45184</c:v>
                      </c:pt>
                      <c:pt idx="753">
                        <c:v>45187</c:v>
                      </c:pt>
                      <c:pt idx="754">
                        <c:v>45188</c:v>
                      </c:pt>
                      <c:pt idx="755">
                        <c:v>45189</c:v>
                      </c:pt>
                      <c:pt idx="756">
                        <c:v>45190</c:v>
                      </c:pt>
                      <c:pt idx="757">
                        <c:v>45191</c:v>
                      </c:pt>
                      <c:pt idx="758">
                        <c:v>45194</c:v>
                      </c:pt>
                      <c:pt idx="759">
                        <c:v>45195</c:v>
                      </c:pt>
                      <c:pt idx="760">
                        <c:v>45196</c:v>
                      </c:pt>
                      <c:pt idx="761">
                        <c:v>45197</c:v>
                      </c:pt>
                      <c:pt idx="762">
                        <c:v>45198</c:v>
                      </c:pt>
                      <c:pt idx="763">
                        <c:v>45201</c:v>
                      </c:pt>
                      <c:pt idx="764">
                        <c:v>45202</c:v>
                      </c:pt>
                      <c:pt idx="765">
                        <c:v>45203</c:v>
                      </c:pt>
                      <c:pt idx="766">
                        <c:v>45204</c:v>
                      </c:pt>
                      <c:pt idx="767">
                        <c:v>45205</c:v>
                      </c:pt>
                      <c:pt idx="768">
                        <c:v>45208</c:v>
                      </c:pt>
                      <c:pt idx="769">
                        <c:v>45209</c:v>
                      </c:pt>
                      <c:pt idx="770">
                        <c:v>45210</c:v>
                      </c:pt>
                      <c:pt idx="771">
                        <c:v>45211</c:v>
                      </c:pt>
                      <c:pt idx="772">
                        <c:v>45212</c:v>
                      </c:pt>
                      <c:pt idx="773">
                        <c:v>45215</c:v>
                      </c:pt>
                      <c:pt idx="774">
                        <c:v>45216</c:v>
                      </c:pt>
                      <c:pt idx="775">
                        <c:v>45217</c:v>
                      </c:pt>
                      <c:pt idx="776">
                        <c:v>45218</c:v>
                      </c:pt>
                      <c:pt idx="777">
                        <c:v>45219</c:v>
                      </c:pt>
                      <c:pt idx="778">
                        <c:v>45222</c:v>
                      </c:pt>
                      <c:pt idx="779">
                        <c:v>45223</c:v>
                      </c:pt>
                      <c:pt idx="780">
                        <c:v>45224</c:v>
                      </c:pt>
                      <c:pt idx="781">
                        <c:v>45225</c:v>
                      </c:pt>
                      <c:pt idx="782">
                        <c:v>45226</c:v>
                      </c:pt>
                      <c:pt idx="783">
                        <c:v>45229</c:v>
                      </c:pt>
                      <c:pt idx="784">
                        <c:v>45230</c:v>
                      </c:pt>
                      <c:pt idx="785">
                        <c:v>45231</c:v>
                      </c:pt>
                      <c:pt idx="786">
                        <c:v>45232</c:v>
                      </c:pt>
                      <c:pt idx="787">
                        <c:v>45233</c:v>
                      </c:pt>
                      <c:pt idx="788">
                        <c:v>45236</c:v>
                      </c:pt>
                      <c:pt idx="789">
                        <c:v>45237</c:v>
                      </c:pt>
                      <c:pt idx="790">
                        <c:v>45238</c:v>
                      </c:pt>
                      <c:pt idx="791">
                        <c:v>45239</c:v>
                      </c:pt>
                      <c:pt idx="792">
                        <c:v>45240</c:v>
                      </c:pt>
                      <c:pt idx="793">
                        <c:v>45243</c:v>
                      </c:pt>
                      <c:pt idx="794">
                        <c:v>45244</c:v>
                      </c:pt>
                      <c:pt idx="795">
                        <c:v>45245</c:v>
                      </c:pt>
                      <c:pt idx="796">
                        <c:v>45246</c:v>
                      </c:pt>
                      <c:pt idx="797">
                        <c:v>45247</c:v>
                      </c:pt>
                      <c:pt idx="798">
                        <c:v>45250</c:v>
                      </c:pt>
                      <c:pt idx="799">
                        <c:v>45251</c:v>
                      </c:pt>
                      <c:pt idx="800">
                        <c:v>45252</c:v>
                      </c:pt>
                      <c:pt idx="801">
                        <c:v>45253</c:v>
                      </c:pt>
                      <c:pt idx="802">
                        <c:v>45254</c:v>
                      </c:pt>
                      <c:pt idx="803">
                        <c:v>45257</c:v>
                      </c:pt>
                      <c:pt idx="804">
                        <c:v>45258</c:v>
                      </c:pt>
                      <c:pt idx="805">
                        <c:v>45259</c:v>
                      </c:pt>
                      <c:pt idx="806">
                        <c:v>45260</c:v>
                      </c:pt>
                      <c:pt idx="807">
                        <c:v>45261</c:v>
                      </c:pt>
                      <c:pt idx="808">
                        <c:v>45264</c:v>
                      </c:pt>
                      <c:pt idx="809">
                        <c:v>45265</c:v>
                      </c:pt>
                      <c:pt idx="810">
                        <c:v>45266</c:v>
                      </c:pt>
                      <c:pt idx="811">
                        <c:v>45267</c:v>
                      </c:pt>
                      <c:pt idx="812">
                        <c:v>45268</c:v>
                      </c:pt>
                      <c:pt idx="813">
                        <c:v>45271</c:v>
                      </c:pt>
                      <c:pt idx="814">
                        <c:v>45272</c:v>
                      </c:pt>
                      <c:pt idx="815">
                        <c:v>45273</c:v>
                      </c:pt>
                      <c:pt idx="816">
                        <c:v>45274</c:v>
                      </c:pt>
                      <c:pt idx="817">
                        <c:v>45275</c:v>
                      </c:pt>
                      <c:pt idx="818">
                        <c:v>45278</c:v>
                      </c:pt>
                      <c:pt idx="819">
                        <c:v>45279</c:v>
                      </c:pt>
                      <c:pt idx="820">
                        <c:v>45280</c:v>
                      </c:pt>
                      <c:pt idx="821">
                        <c:v>45281</c:v>
                      </c:pt>
                      <c:pt idx="822">
                        <c:v>45282</c:v>
                      </c:pt>
                      <c:pt idx="823">
                        <c:v>45285</c:v>
                      </c:pt>
                      <c:pt idx="824">
                        <c:v>45286</c:v>
                      </c:pt>
                      <c:pt idx="825">
                        <c:v>45287</c:v>
                      </c:pt>
                      <c:pt idx="826">
                        <c:v>45288</c:v>
                      </c:pt>
                      <c:pt idx="827">
                        <c:v>45289</c:v>
                      </c:pt>
                      <c:pt idx="828">
                        <c:v>45293</c:v>
                      </c:pt>
                      <c:pt idx="829">
                        <c:v>45294</c:v>
                      </c:pt>
                      <c:pt idx="830">
                        <c:v>45295</c:v>
                      </c:pt>
                      <c:pt idx="831">
                        <c:v>45296</c:v>
                      </c:pt>
                      <c:pt idx="832">
                        <c:v>45299</c:v>
                      </c:pt>
                      <c:pt idx="833">
                        <c:v>45300</c:v>
                      </c:pt>
                      <c:pt idx="834">
                        <c:v>45301</c:v>
                      </c:pt>
                      <c:pt idx="835">
                        <c:v>45302</c:v>
                      </c:pt>
                      <c:pt idx="836">
                        <c:v>45303</c:v>
                      </c:pt>
                      <c:pt idx="837">
                        <c:v>45306</c:v>
                      </c:pt>
                      <c:pt idx="838">
                        <c:v>45307</c:v>
                      </c:pt>
                      <c:pt idx="839">
                        <c:v>45308</c:v>
                      </c:pt>
                      <c:pt idx="840">
                        <c:v>45309</c:v>
                      </c:pt>
                      <c:pt idx="841">
                        <c:v>45310</c:v>
                      </c:pt>
                      <c:pt idx="842">
                        <c:v>45313</c:v>
                      </c:pt>
                      <c:pt idx="843">
                        <c:v>45314</c:v>
                      </c:pt>
                      <c:pt idx="844">
                        <c:v>45315</c:v>
                      </c:pt>
                      <c:pt idx="845">
                        <c:v>45316</c:v>
                      </c:pt>
                      <c:pt idx="846">
                        <c:v>45317</c:v>
                      </c:pt>
                      <c:pt idx="847">
                        <c:v>45320</c:v>
                      </c:pt>
                      <c:pt idx="848">
                        <c:v>45321</c:v>
                      </c:pt>
                      <c:pt idx="849">
                        <c:v>45322</c:v>
                      </c:pt>
                      <c:pt idx="850">
                        <c:v>45323</c:v>
                      </c:pt>
                      <c:pt idx="851">
                        <c:v>45324</c:v>
                      </c:pt>
                      <c:pt idx="852">
                        <c:v>45327</c:v>
                      </c:pt>
                      <c:pt idx="853">
                        <c:v>45328</c:v>
                      </c:pt>
                      <c:pt idx="854">
                        <c:v>45329</c:v>
                      </c:pt>
                      <c:pt idx="855">
                        <c:v>45337</c:v>
                      </c:pt>
                      <c:pt idx="856">
                        <c:v>45338</c:v>
                      </c:pt>
                      <c:pt idx="857">
                        <c:v>45341</c:v>
                      </c:pt>
                      <c:pt idx="858">
                        <c:v>45342</c:v>
                      </c:pt>
                      <c:pt idx="859">
                        <c:v>45343</c:v>
                      </c:pt>
                      <c:pt idx="860">
                        <c:v>45344</c:v>
                      </c:pt>
                      <c:pt idx="861">
                        <c:v>45345</c:v>
                      </c:pt>
                      <c:pt idx="862">
                        <c:v>45348</c:v>
                      </c:pt>
                      <c:pt idx="863">
                        <c:v>45349</c:v>
                      </c:pt>
                      <c:pt idx="864">
                        <c:v>45350</c:v>
                      </c:pt>
                      <c:pt idx="865">
                        <c:v>45351</c:v>
                      </c:pt>
                      <c:pt idx="866">
                        <c:v>45352</c:v>
                      </c:pt>
                      <c:pt idx="867">
                        <c:v>45355</c:v>
                      </c:pt>
                      <c:pt idx="868">
                        <c:v>45356</c:v>
                      </c:pt>
                      <c:pt idx="869">
                        <c:v>45357</c:v>
                      </c:pt>
                      <c:pt idx="870">
                        <c:v>45358</c:v>
                      </c:pt>
                      <c:pt idx="871">
                        <c:v>45359</c:v>
                      </c:pt>
                      <c:pt idx="872">
                        <c:v>45362</c:v>
                      </c:pt>
                      <c:pt idx="873">
                        <c:v>45363</c:v>
                      </c:pt>
                      <c:pt idx="874">
                        <c:v>45364</c:v>
                      </c:pt>
                      <c:pt idx="875">
                        <c:v>45365</c:v>
                      </c:pt>
                      <c:pt idx="876">
                        <c:v>45366</c:v>
                      </c:pt>
                      <c:pt idx="877">
                        <c:v>45369</c:v>
                      </c:pt>
                      <c:pt idx="878">
                        <c:v>45370</c:v>
                      </c:pt>
                      <c:pt idx="879">
                        <c:v>45371</c:v>
                      </c:pt>
                      <c:pt idx="880">
                        <c:v>45372</c:v>
                      </c:pt>
                      <c:pt idx="881">
                        <c:v>45373</c:v>
                      </c:pt>
                      <c:pt idx="882">
                        <c:v>45376</c:v>
                      </c:pt>
                      <c:pt idx="883">
                        <c:v>45377</c:v>
                      </c:pt>
                      <c:pt idx="884">
                        <c:v>45378</c:v>
                      </c:pt>
                      <c:pt idx="885">
                        <c:v>45379</c:v>
                      </c:pt>
                      <c:pt idx="886">
                        <c:v>45380</c:v>
                      </c:pt>
                      <c:pt idx="887">
                        <c:v>45383</c:v>
                      </c:pt>
                      <c:pt idx="888">
                        <c:v>45384</c:v>
                      </c:pt>
                      <c:pt idx="889">
                        <c:v>45385</c:v>
                      </c:pt>
                      <c:pt idx="890">
                        <c:v>45386</c:v>
                      </c:pt>
                      <c:pt idx="891">
                        <c:v>45387</c:v>
                      </c:pt>
                      <c:pt idx="892">
                        <c:v>45390</c:v>
                      </c:pt>
                      <c:pt idx="893">
                        <c:v>45391</c:v>
                      </c:pt>
                      <c:pt idx="894">
                        <c:v>45392</c:v>
                      </c:pt>
                      <c:pt idx="895">
                        <c:v>45393</c:v>
                      </c:pt>
                      <c:pt idx="896">
                        <c:v>45394</c:v>
                      </c:pt>
                      <c:pt idx="897">
                        <c:v>45397</c:v>
                      </c:pt>
                      <c:pt idx="898">
                        <c:v>45398</c:v>
                      </c:pt>
                      <c:pt idx="899">
                        <c:v>45399</c:v>
                      </c:pt>
                      <c:pt idx="900">
                        <c:v>45401</c:v>
                      </c:pt>
                      <c:pt idx="901">
                        <c:v>45404</c:v>
                      </c:pt>
                      <c:pt idx="902">
                        <c:v>45405</c:v>
                      </c:pt>
                      <c:pt idx="903">
                        <c:v>45406</c:v>
                      </c:pt>
                      <c:pt idx="904">
                        <c:v>45407</c:v>
                      </c:pt>
                      <c:pt idx="905">
                        <c:v>45408</c:v>
                      </c:pt>
                      <c:pt idx="906">
                        <c:v>45414</c:v>
                      </c:pt>
                      <c:pt idx="907">
                        <c:v>45415</c:v>
                      </c:pt>
                      <c:pt idx="908">
                        <c:v>45418</c:v>
                      </c:pt>
                      <c:pt idx="909">
                        <c:v>45419</c:v>
                      </c:pt>
                      <c:pt idx="910">
                        <c:v>45420</c:v>
                      </c:pt>
                      <c:pt idx="911">
                        <c:v>45421</c:v>
                      </c:pt>
                      <c:pt idx="912">
                        <c:v>45422</c:v>
                      </c:pt>
                      <c:pt idx="913">
                        <c:v>45425</c:v>
                      </c:pt>
                      <c:pt idx="914">
                        <c:v>45426</c:v>
                      </c:pt>
                      <c:pt idx="915">
                        <c:v>45427</c:v>
                      </c:pt>
                      <c:pt idx="916">
                        <c:v>45428</c:v>
                      </c:pt>
                      <c:pt idx="917">
                        <c:v>45429</c:v>
                      </c:pt>
                      <c:pt idx="918">
                        <c:v>45432</c:v>
                      </c:pt>
                      <c:pt idx="919">
                        <c:v>45433</c:v>
                      </c:pt>
                      <c:pt idx="920">
                        <c:v>45434</c:v>
                      </c:pt>
                      <c:pt idx="921">
                        <c:v>45435</c:v>
                      </c:pt>
                      <c:pt idx="922">
                        <c:v>45436</c:v>
                      </c:pt>
                      <c:pt idx="923">
                        <c:v>45439</c:v>
                      </c:pt>
                      <c:pt idx="924">
                        <c:v>45440</c:v>
                      </c:pt>
                      <c:pt idx="925">
                        <c:v>45441</c:v>
                      </c:pt>
                      <c:pt idx="926">
                        <c:v>45442</c:v>
                      </c:pt>
                      <c:pt idx="927">
                        <c:v>45443</c:v>
                      </c:pt>
                      <c:pt idx="928">
                        <c:v>45446</c:v>
                      </c:pt>
                      <c:pt idx="929">
                        <c:v>45447</c:v>
                      </c:pt>
                      <c:pt idx="930">
                        <c:v>45448</c:v>
                      </c:pt>
                      <c:pt idx="931">
                        <c:v>45449</c:v>
                      </c:pt>
                      <c:pt idx="932">
                        <c:v>45450</c:v>
                      </c:pt>
                      <c:pt idx="933">
                        <c:v>45453</c:v>
                      </c:pt>
                      <c:pt idx="934">
                        <c:v>45454</c:v>
                      </c:pt>
                      <c:pt idx="935">
                        <c:v>45455</c:v>
                      </c:pt>
                      <c:pt idx="936">
                        <c:v>45456</c:v>
                      </c:pt>
                      <c:pt idx="937">
                        <c:v>45457</c:v>
                      </c:pt>
                      <c:pt idx="938">
                        <c:v>45460</c:v>
                      </c:pt>
                      <c:pt idx="939">
                        <c:v>45461</c:v>
                      </c:pt>
                      <c:pt idx="940">
                        <c:v>45462</c:v>
                      </c:pt>
                      <c:pt idx="941">
                        <c:v>45463</c:v>
                      </c:pt>
                      <c:pt idx="942">
                        <c:v>45464</c:v>
                      </c:pt>
                      <c:pt idx="943">
                        <c:v>45467</c:v>
                      </c:pt>
                      <c:pt idx="944">
                        <c:v>45468</c:v>
                      </c:pt>
                      <c:pt idx="945">
                        <c:v>45469</c:v>
                      </c:pt>
                      <c:pt idx="946">
                        <c:v>45470</c:v>
                      </c:pt>
                      <c:pt idx="947">
                        <c:v>45471</c:v>
                      </c:pt>
                      <c:pt idx="948">
                        <c:v>45474</c:v>
                      </c:pt>
                      <c:pt idx="949">
                        <c:v>45475</c:v>
                      </c:pt>
                      <c:pt idx="950">
                        <c:v>45476</c:v>
                      </c:pt>
                      <c:pt idx="951">
                        <c:v>45477</c:v>
                      </c:pt>
                      <c:pt idx="952">
                        <c:v>45478</c:v>
                      </c:pt>
                      <c:pt idx="953">
                        <c:v>45481</c:v>
                      </c:pt>
                      <c:pt idx="954">
                        <c:v>45482</c:v>
                      </c:pt>
                      <c:pt idx="955">
                        <c:v>45483</c:v>
                      </c:pt>
                      <c:pt idx="956">
                        <c:v>45484</c:v>
                      </c:pt>
                      <c:pt idx="957">
                        <c:v>45485</c:v>
                      </c:pt>
                      <c:pt idx="958">
                        <c:v>45488</c:v>
                      </c:pt>
                      <c:pt idx="959">
                        <c:v>45489</c:v>
                      </c:pt>
                      <c:pt idx="960">
                        <c:v>45490</c:v>
                      </c:pt>
                      <c:pt idx="961">
                        <c:v>45491</c:v>
                      </c:pt>
                      <c:pt idx="962">
                        <c:v>45492</c:v>
                      </c:pt>
                      <c:pt idx="963">
                        <c:v>45495</c:v>
                      </c:pt>
                      <c:pt idx="964">
                        <c:v>45496</c:v>
                      </c:pt>
                      <c:pt idx="965">
                        <c:v>45497</c:v>
                      </c:pt>
                      <c:pt idx="966">
                        <c:v>45498</c:v>
                      </c:pt>
                      <c:pt idx="967">
                        <c:v>45499</c:v>
                      </c:pt>
                      <c:pt idx="968">
                        <c:v>45502</c:v>
                      </c:pt>
                      <c:pt idx="969">
                        <c:v>45503</c:v>
                      </c:pt>
                      <c:pt idx="970">
                        <c:v>45504</c:v>
                      </c:pt>
                      <c:pt idx="971">
                        <c:v>45505</c:v>
                      </c:pt>
                      <c:pt idx="972">
                        <c:v>45506</c:v>
                      </c:pt>
                      <c:pt idx="973">
                        <c:v>45509</c:v>
                      </c:pt>
                      <c:pt idx="974">
                        <c:v>45510</c:v>
                      </c:pt>
                      <c:pt idx="975">
                        <c:v>45511</c:v>
                      </c:pt>
                      <c:pt idx="976">
                        <c:v>45512</c:v>
                      </c:pt>
                      <c:pt idx="977">
                        <c:v>45513</c:v>
                      </c:pt>
                      <c:pt idx="978">
                        <c:v>45516</c:v>
                      </c:pt>
                      <c:pt idx="979">
                        <c:v>45517</c:v>
                      </c:pt>
                      <c:pt idx="980">
                        <c:v>45518</c:v>
                      </c:pt>
                      <c:pt idx="981">
                        <c:v>45519</c:v>
                      </c:pt>
                      <c:pt idx="982">
                        <c:v>45520</c:v>
                      </c:pt>
                      <c:pt idx="983">
                        <c:v>45523</c:v>
                      </c:pt>
                      <c:pt idx="984">
                        <c:v>45524</c:v>
                      </c:pt>
                      <c:pt idx="985">
                        <c:v>45525</c:v>
                      </c:pt>
                      <c:pt idx="986">
                        <c:v>45526</c:v>
                      </c:pt>
                      <c:pt idx="987">
                        <c:v>45527</c:v>
                      </c:pt>
                      <c:pt idx="988">
                        <c:v>45530</c:v>
                      </c:pt>
                      <c:pt idx="989">
                        <c:v>45531</c:v>
                      </c:pt>
                      <c:pt idx="990">
                        <c:v>45532</c:v>
                      </c:pt>
                      <c:pt idx="991">
                        <c:v>45533</c:v>
                      </c:pt>
                      <c:pt idx="992">
                        <c:v>45534</c:v>
                      </c:pt>
                      <c:pt idx="993">
                        <c:v>45539</c:v>
                      </c:pt>
                      <c:pt idx="994">
                        <c:v>45540</c:v>
                      </c:pt>
                      <c:pt idx="995">
                        <c:v>45541</c:v>
                      </c:pt>
                      <c:pt idx="996">
                        <c:v>45544</c:v>
                      </c:pt>
                      <c:pt idx="997">
                        <c:v>45545</c:v>
                      </c:pt>
                      <c:pt idx="998">
                        <c:v>45546</c:v>
                      </c:pt>
                      <c:pt idx="999">
                        <c:v>45547</c:v>
                      </c:pt>
                      <c:pt idx="1000">
                        <c:v>45548</c:v>
                      </c:pt>
                      <c:pt idx="1001">
                        <c:v>45551</c:v>
                      </c:pt>
                      <c:pt idx="1002">
                        <c:v>45552</c:v>
                      </c:pt>
                      <c:pt idx="1003">
                        <c:v>45553</c:v>
                      </c:pt>
                      <c:pt idx="1004">
                        <c:v>45554</c:v>
                      </c:pt>
                      <c:pt idx="1005">
                        <c:v>45555</c:v>
                      </c:pt>
                      <c:pt idx="1006">
                        <c:v>45558</c:v>
                      </c:pt>
                      <c:pt idx="1007">
                        <c:v>45559</c:v>
                      </c:pt>
                      <c:pt idx="1008">
                        <c:v>45560</c:v>
                      </c:pt>
                      <c:pt idx="1009">
                        <c:v>45561</c:v>
                      </c:pt>
                      <c:pt idx="1010">
                        <c:v>45562</c:v>
                      </c:pt>
                      <c:pt idx="1011">
                        <c:v>45565</c:v>
                      </c:pt>
                      <c:pt idx="1012">
                        <c:v>45566</c:v>
                      </c:pt>
                      <c:pt idx="1013">
                        <c:v>45567</c:v>
                      </c:pt>
                      <c:pt idx="1014">
                        <c:v>45568</c:v>
                      </c:pt>
                      <c:pt idx="1015">
                        <c:v>45569</c:v>
                      </c:pt>
                      <c:pt idx="1016">
                        <c:v>45572</c:v>
                      </c:pt>
                      <c:pt idx="1017">
                        <c:v>45573</c:v>
                      </c:pt>
                      <c:pt idx="1018">
                        <c:v>45574</c:v>
                      </c:pt>
                      <c:pt idx="1019">
                        <c:v>45575</c:v>
                      </c:pt>
                      <c:pt idx="1020">
                        <c:v>45576</c:v>
                      </c:pt>
                      <c:pt idx="1021">
                        <c:v>45579</c:v>
                      </c:pt>
                      <c:pt idx="1022">
                        <c:v>45580</c:v>
                      </c:pt>
                      <c:pt idx="1023">
                        <c:v>45581</c:v>
                      </c:pt>
                      <c:pt idx="1024">
                        <c:v>45582</c:v>
                      </c:pt>
                      <c:pt idx="1025">
                        <c:v>45583</c:v>
                      </c:pt>
                      <c:pt idx="1026">
                        <c:v>45586</c:v>
                      </c:pt>
                      <c:pt idx="1027">
                        <c:v>45587</c:v>
                      </c:pt>
                      <c:pt idx="1028">
                        <c:v>45588</c:v>
                      </c:pt>
                      <c:pt idx="1029">
                        <c:v>45589</c:v>
                      </c:pt>
                      <c:pt idx="1030">
                        <c:v>45590</c:v>
                      </c:pt>
                      <c:pt idx="1031">
                        <c:v>45593</c:v>
                      </c:pt>
                      <c:pt idx="1032">
                        <c:v>45594</c:v>
                      </c:pt>
                      <c:pt idx="1033">
                        <c:v>45595</c:v>
                      </c:pt>
                      <c:pt idx="1034">
                        <c:v>45596</c:v>
                      </c:pt>
                      <c:pt idx="1035">
                        <c:v>45597</c:v>
                      </c:pt>
                      <c:pt idx="1036">
                        <c:v>45600</c:v>
                      </c:pt>
                      <c:pt idx="1037">
                        <c:v>45601</c:v>
                      </c:pt>
                      <c:pt idx="1038">
                        <c:v>45602</c:v>
                      </c:pt>
                      <c:pt idx="1039">
                        <c:v>45603</c:v>
                      </c:pt>
                      <c:pt idx="1040">
                        <c:v>45604</c:v>
                      </c:pt>
                      <c:pt idx="1041">
                        <c:v>45607</c:v>
                      </c:pt>
                      <c:pt idx="1042">
                        <c:v>45608</c:v>
                      </c:pt>
                      <c:pt idx="1043">
                        <c:v>45609</c:v>
                      </c:pt>
                      <c:pt idx="1044">
                        <c:v>45610</c:v>
                      </c:pt>
                      <c:pt idx="1045">
                        <c:v>45611</c:v>
                      </c:pt>
                      <c:pt idx="1046">
                        <c:v>45614</c:v>
                      </c:pt>
                      <c:pt idx="1047">
                        <c:v>45615</c:v>
                      </c:pt>
                      <c:pt idx="1048">
                        <c:v>45616</c:v>
                      </c:pt>
                      <c:pt idx="1049">
                        <c:v>45617</c:v>
                      </c:pt>
                      <c:pt idx="1050">
                        <c:v>45618</c:v>
                      </c:pt>
                      <c:pt idx="1051">
                        <c:v>45621</c:v>
                      </c:pt>
                      <c:pt idx="1052">
                        <c:v>45622</c:v>
                      </c:pt>
                      <c:pt idx="1053">
                        <c:v>45623</c:v>
                      </c:pt>
                      <c:pt idx="1054">
                        <c:v>45624</c:v>
                      </c:pt>
                      <c:pt idx="1055">
                        <c:v>45625</c:v>
                      </c:pt>
                      <c:pt idx="1056">
                        <c:v>45628</c:v>
                      </c:pt>
                      <c:pt idx="1057">
                        <c:v>45629</c:v>
                      </c:pt>
                      <c:pt idx="1058">
                        <c:v>45630</c:v>
                      </c:pt>
                      <c:pt idx="1059">
                        <c:v>45631</c:v>
                      </c:pt>
                      <c:pt idx="1060">
                        <c:v>45632</c:v>
                      </c:pt>
                      <c:pt idx="1061">
                        <c:v>45635</c:v>
                      </c:pt>
                      <c:pt idx="1062">
                        <c:v>45636</c:v>
                      </c:pt>
                      <c:pt idx="1063">
                        <c:v>45637</c:v>
                      </c:pt>
                      <c:pt idx="1064">
                        <c:v>45638</c:v>
                      </c:pt>
                      <c:pt idx="1065">
                        <c:v>45639</c:v>
                      </c:pt>
                      <c:pt idx="1066">
                        <c:v>45642</c:v>
                      </c:pt>
                      <c:pt idx="1067">
                        <c:v>45643</c:v>
                      </c:pt>
                      <c:pt idx="1068">
                        <c:v>45644</c:v>
                      </c:pt>
                      <c:pt idx="1069">
                        <c:v>45645</c:v>
                      </c:pt>
                      <c:pt idx="1070">
                        <c:v>45646</c:v>
                      </c:pt>
                      <c:pt idx="1071">
                        <c:v>45649</c:v>
                      </c:pt>
                      <c:pt idx="1072">
                        <c:v>45650</c:v>
                      </c:pt>
                      <c:pt idx="1073">
                        <c:v>45651</c:v>
                      </c:pt>
                      <c:pt idx="1074">
                        <c:v>45652</c:v>
                      </c:pt>
                      <c:pt idx="1075">
                        <c:v>45653</c:v>
                      </c:pt>
                      <c:pt idx="1076">
                        <c:v>45656</c:v>
                      </c:pt>
                      <c:pt idx="1077">
                        <c:v>45657</c:v>
                      </c:pt>
                      <c:pt idx="1078">
                        <c:v>45659</c:v>
                      </c:pt>
                      <c:pt idx="1079">
                        <c:v>45660</c:v>
                      </c:pt>
                      <c:pt idx="1080">
                        <c:v>45663</c:v>
                      </c:pt>
                      <c:pt idx="1081">
                        <c:v>45664</c:v>
                      </c:pt>
                      <c:pt idx="1082">
                        <c:v>45665</c:v>
                      </c:pt>
                      <c:pt idx="1083">
                        <c:v>45666</c:v>
                      </c:pt>
                      <c:pt idx="1084">
                        <c:v>45667</c:v>
                      </c:pt>
                      <c:pt idx="1085">
                        <c:v>45670</c:v>
                      </c:pt>
                      <c:pt idx="1086">
                        <c:v>45671</c:v>
                      </c:pt>
                      <c:pt idx="1087">
                        <c:v>45672</c:v>
                      </c:pt>
                      <c:pt idx="1088">
                        <c:v>45673</c:v>
                      </c:pt>
                      <c:pt idx="1089">
                        <c:v>45674</c:v>
                      </c:pt>
                      <c:pt idx="1090">
                        <c:v>45677</c:v>
                      </c:pt>
                      <c:pt idx="1091">
                        <c:v>45678</c:v>
                      </c:pt>
                      <c:pt idx="1092">
                        <c:v>45679</c:v>
                      </c:pt>
                      <c:pt idx="1093">
                        <c:v>45680</c:v>
                      </c:pt>
                      <c:pt idx="1094">
                        <c:v>45681</c:v>
                      </c:pt>
                      <c:pt idx="1095">
                        <c:v>45691</c:v>
                      </c:pt>
                      <c:pt idx="1096">
                        <c:v>45692</c:v>
                      </c:pt>
                      <c:pt idx="1097">
                        <c:v>45693</c:v>
                      </c:pt>
                      <c:pt idx="1098">
                        <c:v>45694</c:v>
                      </c:pt>
                      <c:pt idx="1099">
                        <c:v>45695</c:v>
                      </c:pt>
                      <c:pt idx="1100">
                        <c:v>45698</c:v>
                      </c:pt>
                      <c:pt idx="1101">
                        <c:v>45699</c:v>
                      </c:pt>
                      <c:pt idx="1102">
                        <c:v>45700</c:v>
                      </c:pt>
                      <c:pt idx="1103">
                        <c:v>45701</c:v>
                      </c:pt>
                      <c:pt idx="1104">
                        <c:v>45702</c:v>
                      </c:pt>
                      <c:pt idx="1105">
                        <c:v>45705</c:v>
                      </c:pt>
                      <c:pt idx="1106">
                        <c:v>45706</c:v>
                      </c:pt>
                      <c:pt idx="1107">
                        <c:v>45707</c:v>
                      </c:pt>
                      <c:pt idx="1108">
                        <c:v>45708</c:v>
                      </c:pt>
                      <c:pt idx="1109">
                        <c:v>45709</c:v>
                      </c:pt>
                      <c:pt idx="1110">
                        <c:v>45712</c:v>
                      </c:pt>
                      <c:pt idx="1111">
                        <c:v>45713</c:v>
                      </c:pt>
                      <c:pt idx="1112">
                        <c:v>45714</c:v>
                      </c:pt>
                      <c:pt idx="1113">
                        <c:v>45715</c:v>
                      </c:pt>
                      <c:pt idx="1114">
                        <c:v>45716</c:v>
                      </c:pt>
                      <c:pt idx="1115">
                        <c:v>45719</c:v>
                      </c:pt>
                      <c:pt idx="1116">
                        <c:v>45720</c:v>
                      </c:pt>
                      <c:pt idx="1117">
                        <c:v>45721</c:v>
                      </c:pt>
                      <c:pt idx="1118">
                        <c:v>45722</c:v>
                      </c:pt>
                      <c:pt idx="1119">
                        <c:v>45723</c:v>
                      </c:pt>
                      <c:pt idx="1120">
                        <c:v>45726</c:v>
                      </c:pt>
                      <c:pt idx="1121">
                        <c:v>45727</c:v>
                      </c:pt>
                      <c:pt idx="1122">
                        <c:v>45728</c:v>
                      </c:pt>
                      <c:pt idx="1123">
                        <c:v>45729</c:v>
                      </c:pt>
                      <c:pt idx="1124">
                        <c:v>45730</c:v>
                      </c:pt>
                      <c:pt idx="1125">
                        <c:v>45733</c:v>
                      </c:pt>
                      <c:pt idx="1126">
                        <c:v>45734</c:v>
                      </c:pt>
                      <c:pt idx="1127">
                        <c:v>45735</c:v>
                      </c:pt>
                      <c:pt idx="1128">
                        <c:v>45736</c:v>
                      </c:pt>
                      <c:pt idx="1129">
                        <c:v>45737</c:v>
                      </c:pt>
                      <c:pt idx="1130">
                        <c:v>45740</c:v>
                      </c:pt>
                      <c:pt idx="1131">
                        <c:v>45741</c:v>
                      </c:pt>
                      <c:pt idx="1132">
                        <c:v>45742</c:v>
                      </c:pt>
                      <c:pt idx="1133">
                        <c:v>45743</c:v>
                      </c:pt>
                      <c:pt idx="1134">
                        <c:v>45744</c:v>
                      </c:pt>
                      <c:pt idx="1135">
                        <c:v>45747</c:v>
                      </c:pt>
                      <c:pt idx="1136">
                        <c:v>45748</c:v>
                      </c:pt>
                      <c:pt idx="1137">
                        <c:v>45749</c:v>
                      </c:pt>
                      <c:pt idx="1138">
                        <c:v>45750</c:v>
                      </c:pt>
                      <c:pt idx="1139">
                        <c:v>45751</c:v>
                      </c:pt>
                      <c:pt idx="1140">
                        <c:v>45755</c:v>
                      </c:pt>
                      <c:pt idx="1141">
                        <c:v>45756</c:v>
                      </c:pt>
                      <c:pt idx="1142">
                        <c:v>45757</c:v>
                      </c:pt>
                      <c:pt idx="1143">
                        <c:v>45758</c:v>
                      </c:pt>
                      <c:pt idx="1144">
                        <c:v>45761</c:v>
                      </c:pt>
                      <c:pt idx="1145">
                        <c:v>45762</c:v>
                      </c:pt>
                      <c:pt idx="1146">
                        <c:v>45763</c:v>
                      </c:pt>
                      <c:pt idx="1147">
                        <c:v>45764</c:v>
                      </c:pt>
                      <c:pt idx="1148">
                        <c:v>45765</c:v>
                      </c:pt>
                      <c:pt idx="1149">
                        <c:v>45768</c:v>
                      </c:pt>
                      <c:pt idx="1150">
                        <c:v>45769</c:v>
                      </c:pt>
                      <c:pt idx="1151">
                        <c:v>45770</c:v>
                      </c:pt>
                      <c:pt idx="1152">
                        <c:v>45771</c:v>
                      </c:pt>
                      <c:pt idx="1153">
                        <c:v>45772</c:v>
                      </c:pt>
                      <c:pt idx="1154">
                        <c:v>45775</c:v>
                      </c:pt>
                      <c:pt idx="1155">
                        <c:v>45776</c:v>
                      </c:pt>
                      <c:pt idx="1156">
                        <c:v>45782</c:v>
                      </c:pt>
                      <c:pt idx="1157">
                        <c:v>45783</c:v>
                      </c:pt>
                      <c:pt idx="1158">
                        <c:v>45784</c:v>
                      </c:pt>
                      <c:pt idx="1159">
                        <c:v>45785</c:v>
                      </c:pt>
                      <c:pt idx="1160">
                        <c:v>45786</c:v>
                      </c:pt>
                      <c:pt idx="1161">
                        <c:v>45789</c:v>
                      </c:pt>
                      <c:pt idx="1162">
                        <c:v>45790</c:v>
                      </c:pt>
                      <c:pt idx="1163">
                        <c:v>45791</c:v>
                      </c:pt>
                      <c:pt idx="1164">
                        <c:v>45792</c:v>
                      </c:pt>
                      <c:pt idx="1165">
                        <c:v>45793</c:v>
                      </c:pt>
                      <c:pt idx="1166">
                        <c:v>45796</c:v>
                      </c:pt>
                      <c:pt idx="1167">
                        <c:v>45797</c:v>
                      </c:pt>
                      <c:pt idx="1168">
                        <c:v>45798</c:v>
                      </c:pt>
                      <c:pt idx="1169">
                        <c:v>45799</c:v>
                      </c:pt>
                      <c:pt idx="1170">
                        <c:v>45800</c:v>
                      </c:pt>
                      <c:pt idx="1171">
                        <c:v>45803</c:v>
                      </c:pt>
                      <c:pt idx="1172">
                        <c:v>45804</c:v>
                      </c:pt>
                      <c:pt idx="1173">
                        <c:v>45805</c:v>
                      </c:pt>
                      <c:pt idx="1174">
                        <c:v>45806</c:v>
                      </c:pt>
                      <c:pt idx="1175">
                        <c:v>45807</c:v>
                      </c:pt>
                      <c:pt idx="1176">
                        <c:v>45810</c:v>
                      </c:pt>
                      <c:pt idx="1177">
                        <c:v>45811</c:v>
                      </c:pt>
                      <c:pt idx="1178">
                        <c:v>45812</c:v>
                      </c:pt>
                      <c:pt idx="1179">
                        <c:v>45813</c:v>
                      </c:pt>
                      <c:pt idx="1180">
                        <c:v>45814</c:v>
                      </c:pt>
                      <c:pt idx="1181">
                        <c:v>45817</c:v>
                      </c:pt>
                      <c:pt idx="1182">
                        <c:v>45818</c:v>
                      </c:pt>
                      <c:pt idx="1183">
                        <c:v>45819</c:v>
                      </c:pt>
                      <c:pt idx="1184">
                        <c:v>45820</c:v>
                      </c:pt>
                      <c:pt idx="1185">
                        <c:v>45821</c:v>
                      </c:pt>
                      <c:pt idx="1186">
                        <c:v>45824</c:v>
                      </c:pt>
                      <c:pt idx="1187">
                        <c:v>45825</c:v>
                      </c:pt>
                      <c:pt idx="1188">
                        <c:v>45826</c:v>
                      </c:pt>
                      <c:pt idx="1189">
                        <c:v>45827</c:v>
                      </c:pt>
                      <c:pt idx="1190">
                        <c:v>45828</c:v>
                      </c:pt>
                      <c:pt idx="1191">
                        <c:v>45831</c:v>
                      </c:pt>
                      <c:pt idx="1192">
                        <c:v>45832</c:v>
                      </c:pt>
                      <c:pt idx="1193">
                        <c:v>45833</c:v>
                      </c:pt>
                      <c:pt idx="1194">
                        <c:v>45834</c:v>
                      </c:pt>
                      <c:pt idx="1195">
                        <c:v>45835</c:v>
                      </c:pt>
                      <c:pt idx="1196">
                        <c:v>45838</c:v>
                      </c:pt>
                      <c:pt idx="1197">
                        <c:v>45839</c:v>
                      </c:pt>
                      <c:pt idx="1198">
                        <c:v>45840</c:v>
                      </c:pt>
                      <c:pt idx="1199">
                        <c:v>45841</c:v>
                      </c:pt>
                      <c:pt idx="1200">
                        <c:v>45842</c:v>
                      </c:pt>
                      <c:pt idx="1201">
                        <c:v>45845</c:v>
                      </c:pt>
                      <c:pt idx="1202">
                        <c:v>45846</c:v>
                      </c:pt>
                      <c:pt idx="1203">
                        <c:v>45847</c:v>
                      </c:pt>
                      <c:pt idx="1204">
                        <c:v>45848</c:v>
                      </c:pt>
                      <c:pt idx="1205">
                        <c:v>45849</c:v>
                      </c:pt>
                      <c:pt idx="1206">
                        <c:v>45852</c:v>
                      </c:pt>
                      <c:pt idx="1207">
                        <c:v>45853</c:v>
                      </c:pt>
                      <c:pt idx="1208">
                        <c:v>45854</c:v>
                      </c:pt>
                      <c:pt idx="1209">
                        <c:v>45855</c:v>
                      </c:pt>
                      <c:pt idx="1210">
                        <c:v>45856</c:v>
                      </c:pt>
                      <c:pt idx="1211">
                        <c:v>45859</c:v>
                      </c:pt>
                      <c:pt idx="1212">
                        <c:v>45860</c:v>
                      </c:pt>
                      <c:pt idx="1213">
                        <c:v>45861</c:v>
                      </c:pt>
                      <c:pt idx="1214">
                        <c:v>45862</c:v>
                      </c:pt>
                      <c:pt idx="1215">
                        <c:v>45863</c:v>
                      </c:pt>
                      <c:pt idx="1216">
                        <c:v>45866</c:v>
                      </c:pt>
                      <c:pt idx="1217">
                        <c:v>45867</c:v>
                      </c:pt>
                      <c:pt idx="1218">
                        <c:v>45868</c:v>
                      </c:pt>
                      <c:pt idx="1219">
                        <c:v>45869</c:v>
                      </c:pt>
                      <c:pt idx="1220">
                        <c:v>45870</c:v>
                      </c:pt>
                      <c:pt idx="1221">
                        <c:v>45873</c:v>
                      </c:pt>
                      <c:pt idx="1222">
                        <c:v>45874</c:v>
                      </c:pt>
                      <c:pt idx="1223">
                        <c:v>45875</c:v>
                      </c:pt>
                      <c:pt idx="1224">
                        <c:v>45876</c:v>
                      </c:pt>
                      <c:pt idx="1225">
                        <c:v>45877</c:v>
                      </c:pt>
                      <c:pt idx="1226">
                        <c:v>45880</c:v>
                      </c:pt>
                      <c:pt idx="1227">
                        <c:v>45881</c:v>
                      </c:pt>
                      <c:pt idx="1228">
                        <c:v>45882</c:v>
                      </c:pt>
                      <c:pt idx="1229">
                        <c:v>45883</c:v>
                      </c:pt>
                      <c:pt idx="1230">
                        <c:v>45884</c:v>
                      </c:pt>
                      <c:pt idx="1231">
                        <c:v>45887</c:v>
                      </c:pt>
                      <c:pt idx="1232">
                        <c:v>45888</c:v>
                      </c:pt>
                      <c:pt idx="1233">
                        <c:v>45889</c:v>
                      </c:pt>
                      <c:pt idx="1234">
                        <c:v>45890</c:v>
                      </c:pt>
                      <c:pt idx="1235">
                        <c:v>45891</c:v>
                      </c:pt>
                      <c:pt idx="1236">
                        <c:v>45894</c:v>
                      </c:pt>
                      <c:pt idx="1237">
                        <c:v>45895</c:v>
                      </c:pt>
                      <c:pt idx="1238">
                        <c:v>45896</c:v>
                      </c:pt>
                      <c:pt idx="1239">
                        <c:v>45897</c:v>
                      </c:pt>
                      <c:pt idx="1240">
                        <c:v>45898</c:v>
                      </c:pt>
                      <c:pt idx="1241">
                        <c:v>45903</c:v>
                      </c:pt>
                      <c:pt idx="1242">
                        <c:v>45904</c:v>
                      </c:pt>
                      <c:pt idx="1243">
                        <c:v>45905</c:v>
                      </c:pt>
                      <c:pt idx="1244">
                        <c:v>45908</c:v>
                      </c:pt>
                      <c:pt idx="1245">
                        <c:v>45909</c:v>
                      </c:pt>
                      <c:pt idx="1246">
                        <c:v>45910</c:v>
                      </c:pt>
                      <c:pt idx="1247">
                        <c:v>45911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BCE2-4596-9C03-87507E966139}"/>
            </c:ext>
          </c:extLst>
        </c:ser>
        <c:ser>
          <c:idx val="1"/>
          <c:order val="1"/>
          <c:spPr>
            <a:ln w="22225" cap="rnd">
              <a:solidFill>
                <a:schemeClr val="dk1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[177]PE!$C$2:$C$1249</c:f>
              <c:numCache>
                <c:formatCode>_(* #,##0_);_(* \(#,##0\);_(* "-"??_);_(@_)</c:formatCode>
                <c:ptCount val="1248"/>
                <c:pt idx="0">
                  <c:v>11.888800382883652</c:v>
                </c:pt>
                <c:pt idx="1">
                  <c:v>11.888800382883652</c:v>
                </c:pt>
                <c:pt idx="2">
                  <c:v>11.888800382883652</c:v>
                </c:pt>
                <c:pt idx="3">
                  <c:v>11.888800382883652</c:v>
                </c:pt>
                <c:pt idx="4">
                  <c:v>11.888800382883652</c:v>
                </c:pt>
                <c:pt idx="5">
                  <c:v>11.888800382883652</c:v>
                </c:pt>
                <c:pt idx="6">
                  <c:v>11.888800382883652</c:v>
                </c:pt>
                <c:pt idx="7">
                  <c:v>11.888800382883652</c:v>
                </c:pt>
                <c:pt idx="8">
                  <c:v>11.888800382883652</c:v>
                </c:pt>
                <c:pt idx="9">
                  <c:v>11.888800382883652</c:v>
                </c:pt>
                <c:pt idx="10">
                  <c:v>11.888800382883652</c:v>
                </c:pt>
                <c:pt idx="11">
                  <c:v>11.888800382883652</c:v>
                </c:pt>
                <c:pt idx="12">
                  <c:v>11.888800382883652</c:v>
                </c:pt>
                <c:pt idx="13">
                  <c:v>11.888800382883652</c:v>
                </c:pt>
                <c:pt idx="14">
                  <c:v>11.888800382883652</c:v>
                </c:pt>
                <c:pt idx="15">
                  <c:v>11.888800382883652</c:v>
                </c:pt>
                <c:pt idx="16">
                  <c:v>11.888800382883652</c:v>
                </c:pt>
                <c:pt idx="17">
                  <c:v>11.888800382883652</c:v>
                </c:pt>
                <c:pt idx="18">
                  <c:v>11.888800382883652</c:v>
                </c:pt>
                <c:pt idx="19">
                  <c:v>11.888800382883652</c:v>
                </c:pt>
                <c:pt idx="20">
                  <c:v>11.888800382883652</c:v>
                </c:pt>
                <c:pt idx="21">
                  <c:v>11.888800382883652</c:v>
                </c:pt>
                <c:pt idx="22">
                  <c:v>11.888800382883652</c:v>
                </c:pt>
                <c:pt idx="23">
                  <c:v>11.888800382883652</c:v>
                </c:pt>
                <c:pt idx="24">
                  <c:v>11.888800382883652</c:v>
                </c:pt>
                <c:pt idx="25">
                  <c:v>11.888800382883652</c:v>
                </c:pt>
                <c:pt idx="26">
                  <c:v>11.888800382883652</c:v>
                </c:pt>
                <c:pt idx="27">
                  <c:v>11.888800382883652</c:v>
                </c:pt>
                <c:pt idx="28">
                  <c:v>11.888800382883652</c:v>
                </c:pt>
                <c:pt idx="29">
                  <c:v>11.888800382883652</c:v>
                </c:pt>
                <c:pt idx="30">
                  <c:v>11.888800382883652</c:v>
                </c:pt>
                <c:pt idx="31">
                  <c:v>11.888800382883652</c:v>
                </c:pt>
                <c:pt idx="32">
                  <c:v>11.888800382883652</c:v>
                </c:pt>
                <c:pt idx="33">
                  <c:v>11.888800382883652</c:v>
                </c:pt>
                <c:pt idx="34">
                  <c:v>11.888800382883652</c:v>
                </c:pt>
                <c:pt idx="35">
                  <c:v>11.888800382883652</c:v>
                </c:pt>
                <c:pt idx="36">
                  <c:v>11.888800382883652</c:v>
                </c:pt>
                <c:pt idx="37">
                  <c:v>11.888800382883652</c:v>
                </c:pt>
                <c:pt idx="38">
                  <c:v>11.888800382883652</c:v>
                </c:pt>
                <c:pt idx="39">
                  <c:v>11.888800382883652</c:v>
                </c:pt>
                <c:pt idx="40">
                  <c:v>11.888800382883652</c:v>
                </c:pt>
                <c:pt idx="41">
                  <c:v>11.888800382883652</c:v>
                </c:pt>
                <c:pt idx="42">
                  <c:v>11.888800382883652</c:v>
                </c:pt>
                <c:pt idx="43">
                  <c:v>11.888800382883652</c:v>
                </c:pt>
                <c:pt idx="44">
                  <c:v>11.888800382883652</c:v>
                </c:pt>
                <c:pt idx="45">
                  <c:v>11.888800382883652</c:v>
                </c:pt>
                <c:pt idx="46">
                  <c:v>11.888800382883652</c:v>
                </c:pt>
                <c:pt idx="47">
                  <c:v>11.888800382883652</c:v>
                </c:pt>
                <c:pt idx="48">
                  <c:v>11.888800382883652</c:v>
                </c:pt>
                <c:pt idx="49">
                  <c:v>11.888800382883652</c:v>
                </c:pt>
                <c:pt idx="50">
                  <c:v>11.888800382883652</c:v>
                </c:pt>
                <c:pt idx="51">
                  <c:v>11.888800382883652</c:v>
                </c:pt>
                <c:pt idx="52">
                  <c:v>11.888800382883652</c:v>
                </c:pt>
                <c:pt idx="53">
                  <c:v>11.888800382883652</c:v>
                </c:pt>
                <c:pt idx="54">
                  <c:v>11.888800382883652</c:v>
                </c:pt>
                <c:pt idx="55">
                  <c:v>11.888800382883652</c:v>
                </c:pt>
                <c:pt idx="56">
                  <c:v>11.888800382883652</c:v>
                </c:pt>
                <c:pt idx="57">
                  <c:v>11.888800382883652</c:v>
                </c:pt>
                <c:pt idx="58">
                  <c:v>11.888800382883652</c:v>
                </c:pt>
                <c:pt idx="59">
                  <c:v>11.888800382883652</c:v>
                </c:pt>
                <c:pt idx="60">
                  <c:v>11.888800382883652</c:v>
                </c:pt>
                <c:pt idx="61">
                  <c:v>11.888800382883652</c:v>
                </c:pt>
                <c:pt idx="62">
                  <c:v>11.888800382883652</c:v>
                </c:pt>
                <c:pt idx="63">
                  <c:v>11.888800382883652</c:v>
                </c:pt>
                <c:pt idx="64">
                  <c:v>11.888800382883652</c:v>
                </c:pt>
                <c:pt idx="65">
                  <c:v>11.888800382883652</c:v>
                </c:pt>
                <c:pt idx="66">
                  <c:v>11.888800382883652</c:v>
                </c:pt>
                <c:pt idx="67">
                  <c:v>11.888800382883652</c:v>
                </c:pt>
                <c:pt idx="68">
                  <c:v>11.888800382883652</c:v>
                </c:pt>
                <c:pt idx="69">
                  <c:v>11.888800382883652</c:v>
                </c:pt>
                <c:pt idx="70">
                  <c:v>11.888800382883652</c:v>
                </c:pt>
                <c:pt idx="71">
                  <c:v>11.888800382883652</c:v>
                </c:pt>
                <c:pt idx="72">
                  <c:v>11.888800382883652</c:v>
                </c:pt>
                <c:pt idx="73">
                  <c:v>11.888800382883652</c:v>
                </c:pt>
                <c:pt idx="74">
                  <c:v>11.888800382883652</c:v>
                </c:pt>
                <c:pt idx="75">
                  <c:v>11.888800382883652</c:v>
                </c:pt>
                <c:pt idx="76">
                  <c:v>11.888800382883652</c:v>
                </c:pt>
                <c:pt idx="77">
                  <c:v>11.888800382883652</c:v>
                </c:pt>
                <c:pt idx="78">
                  <c:v>11.888800382883652</c:v>
                </c:pt>
                <c:pt idx="79">
                  <c:v>11.888800382883652</c:v>
                </c:pt>
                <c:pt idx="80">
                  <c:v>11.888800382883652</c:v>
                </c:pt>
                <c:pt idx="81">
                  <c:v>11.888800382883652</c:v>
                </c:pt>
                <c:pt idx="82">
                  <c:v>11.888800382883652</c:v>
                </c:pt>
                <c:pt idx="83">
                  <c:v>11.888800382883652</c:v>
                </c:pt>
                <c:pt idx="84">
                  <c:v>11.888800382883652</c:v>
                </c:pt>
                <c:pt idx="85">
                  <c:v>11.888800382883652</c:v>
                </c:pt>
                <c:pt idx="86">
                  <c:v>11.888800382883652</c:v>
                </c:pt>
                <c:pt idx="87">
                  <c:v>11.888800382883652</c:v>
                </c:pt>
                <c:pt idx="88">
                  <c:v>11.888800382883652</c:v>
                </c:pt>
                <c:pt idx="89">
                  <c:v>11.888800382883652</c:v>
                </c:pt>
                <c:pt idx="90">
                  <c:v>11.888800382883652</c:v>
                </c:pt>
                <c:pt idx="91">
                  <c:v>11.888800382883652</c:v>
                </c:pt>
                <c:pt idx="92">
                  <c:v>11.888800382883652</c:v>
                </c:pt>
                <c:pt idx="93">
                  <c:v>11.888800382883652</c:v>
                </c:pt>
                <c:pt idx="94">
                  <c:v>11.888800382883652</c:v>
                </c:pt>
                <c:pt idx="95">
                  <c:v>11.888800382883652</c:v>
                </c:pt>
                <c:pt idx="96">
                  <c:v>11.888800382883652</c:v>
                </c:pt>
                <c:pt idx="97">
                  <c:v>11.888800382883652</c:v>
                </c:pt>
                <c:pt idx="98">
                  <c:v>11.888800382883652</c:v>
                </c:pt>
                <c:pt idx="99">
                  <c:v>11.888800382883652</c:v>
                </c:pt>
                <c:pt idx="100">
                  <c:v>11.888800382883652</c:v>
                </c:pt>
                <c:pt idx="101">
                  <c:v>11.888800382883652</c:v>
                </c:pt>
                <c:pt idx="102">
                  <c:v>11.888800382883652</c:v>
                </c:pt>
                <c:pt idx="103">
                  <c:v>11.888800382883652</c:v>
                </c:pt>
                <c:pt idx="104">
                  <c:v>11.888800382883652</c:v>
                </c:pt>
                <c:pt idx="105">
                  <c:v>11.888800382883652</c:v>
                </c:pt>
                <c:pt idx="106">
                  <c:v>11.888800382883652</c:v>
                </c:pt>
                <c:pt idx="107">
                  <c:v>11.888800382883652</c:v>
                </c:pt>
                <c:pt idx="108">
                  <c:v>11.888800382883652</c:v>
                </c:pt>
                <c:pt idx="109">
                  <c:v>11.888800382883652</c:v>
                </c:pt>
                <c:pt idx="110">
                  <c:v>11.888800382883652</c:v>
                </c:pt>
                <c:pt idx="111">
                  <c:v>11.888800382883652</c:v>
                </c:pt>
                <c:pt idx="112">
                  <c:v>11.888800382883652</c:v>
                </c:pt>
                <c:pt idx="113">
                  <c:v>11.888800382883652</c:v>
                </c:pt>
                <c:pt idx="114">
                  <c:v>11.888800382883652</c:v>
                </c:pt>
                <c:pt idx="115">
                  <c:v>11.888800382883652</c:v>
                </c:pt>
                <c:pt idx="116">
                  <c:v>11.888800382883652</c:v>
                </c:pt>
                <c:pt idx="117">
                  <c:v>11.888800382883652</c:v>
                </c:pt>
                <c:pt idx="118">
                  <c:v>11.888800382883652</c:v>
                </c:pt>
                <c:pt idx="119">
                  <c:v>11.888800382883652</c:v>
                </c:pt>
                <c:pt idx="120">
                  <c:v>11.888800382883652</c:v>
                </c:pt>
                <c:pt idx="121">
                  <c:v>11.888800382883652</c:v>
                </c:pt>
                <c:pt idx="122">
                  <c:v>11.888800382883652</c:v>
                </c:pt>
                <c:pt idx="123">
                  <c:v>11.888800382883652</c:v>
                </c:pt>
                <c:pt idx="124">
                  <c:v>11.888800382883652</c:v>
                </c:pt>
                <c:pt idx="125">
                  <c:v>11.888800382883652</c:v>
                </c:pt>
                <c:pt idx="126">
                  <c:v>11.888800382883652</c:v>
                </c:pt>
                <c:pt idx="127">
                  <c:v>11.888800382883652</c:v>
                </c:pt>
                <c:pt idx="128">
                  <c:v>11.888800382883652</c:v>
                </c:pt>
                <c:pt idx="129">
                  <c:v>11.888800382883652</c:v>
                </c:pt>
                <c:pt idx="130">
                  <c:v>11.888800382883652</c:v>
                </c:pt>
                <c:pt idx="131">
                  <c:v>11.888800382883652</c:v>
                </c:pt>
                <c:pt idx="132">
                  <c:v>11.888800382883652</c:v>
                </c:pt>
                <c:pt idx="133">
                  <c:v>11.888800382883652</c:v>
                </c:pt>
                <c:pt idx="134">
                  <c:v>11.888800382883652</c:v>
                </c:pt>
                <c:pt idx="135">
                  <c:v>11.888800382883652</c:v>
                </c:pt>
                <c:pt idx="136">
                  <c:v>11.888800382883652</c:v>
                </c:pt>
                <c:pt idx="137">
                  <c:v>11.888800382883652</c:v>
                </c:pt>
                <c:pt idx="138">
                  <c:v>11.888800382883652</c:v>
                </c:pt>
                <c:pt idx="139">
                  <c:v>11.888800382883652</c:v>
                </c:pt>
                <c:pt idx="140">
                  <c:v>11.888800382883652</c:v>
                </c:pt>
                <c:pt idx="141">
                  <c:v>11.888800382883652</c:v>
                </c:pt>
                <c:pt idx="142">
                  <c:v>11.888800382883652</c:v>
                </c:pt>
                <c:pt idx="143">
                  <c:v>11.888800382883652</c:v>
                </c:pt>
                <c:pt idx="144">
                  <c:v>11.888800382883652</c:v>
                </c:pt>
                <c:pt idx="145">
                  <c:v>11.888800382883652</c:v>
                </c:pt>
                <c:pt idx="146">
                  <c:v>11.888800382883652</c:v>
                </c:pt>
                <c:pt idx="147">
                  <c:v>11.888800382883652</c:v>
                </c:pt>
                <c:pt idx="148">
                  <c:v>11.888800382883652</c:v>
                </c:pt>
                <c:pt idx="149">
                  <c:v>11.888800382883652</c:v>
                </c:pt>
                <c:pt idx="150">
                  <c:v>11.888800382883652</c:v>
                </c:pt>
                <c:pt idx="151">
                  <c:v>11.888800382883652</c:v>
                </c:pt>
                <c:pt idx="152">
                  <c:v>11.888800382883652</c:v>
                </c:pt>
                <c:pt idx="153">
                  <c:v>11.888800382883652</c:v>
                </c:pt>
                <c:pt idx="154">
                  <c:v>11.888800382883652</c:v>
                </c:pt>
                <c:pt idx="155">
                  <c:v>11.888800382883652</c:v>
                </c:pt>
                <c:pt idx="156">
                  <c:v>11.888800382883652</c:v>
                </c:pt>
                <c:pt idx="157">
                  <c:v>11.888800382883652</c:v>
                </c:pt>
                <c:pt idx="158">
                  <c:v>11.888800382883652</c:v>
                </c:pt>
                <c:pt idx="159">
                  <c:v>11.888800382883652</c:v>
                </c:pt>
                <c:pt idx="160">
                  <c:v>11.888800382883652</c:v>
                </c:pt>
                <c:pt idx="161">
                  <c:v>11.888800382883652</c:v>
                </c:pt>
                <c:pt idx="162">
                  <c:v>11.888800382883652</c:v>
                </c:pt>
                <c:pt idx="163">
                  <c:v>11.888800382883652</c:v>
                </c:pt>
                <c:pt idx="164">
                  <c:v>11.888800382883652</c:v>
                </c:pt>
                <c:pt idx="165">
                  <c:v>11.888800382883652</c:v>
                </c:pt>
                <c:pt idx="166">
                  <c:v>11.888800382883652</c:v>
                </c:pt>
                <c:pt idx="167">
                  <c:v>11.888800382883652</c:v>
                </c:pt>
                <c:pt idx="168">
                  <c:v>11.888800382883652</c:v>
                </c:pt>
                <c:pt idx="169">
                  <c:v>11.888800382883652</c:v>
                </c:pt>
                <c:pt idx="170">
                  <c:v>11.888800382883652</c:v>
                </c:pt>
                <c:pt idx="171">
                  <c:v>11.888800382883652</c:v>
                </c:pt>
                <c:pt idx="172">
                  <c:v>11.888800382883652</c:v>
                </c:pt>
                <c:pt idx="173">
                  <c:v>11.888800382883652</c:v>
                </c:pt>
                <c:pt idx="174">
                  <c:v>11.888800382883652</c:v>
                </c:pt>
                <c:pt idx="175">
                  <c:v>11.888800382883652</c:v>
                </c:pt>
                <c:pt idx="176">
                  <c:v>11.888800382883652</c:v>
                </c:pt>
                <c:pt idx="177">
                  <c:v>11.888800382883652</c:v>
                </c:pt>
                <c:pt idx="178">
                  <c:v>11.888800382883652</c:v>
                </c:pt>
                <c:pt idx="179">
                  <c:v>11.888800382883652</c:v>
                </c:pt>
                <c:pt idx="180">
                  <c:v>11.888800382883652</c:v>
                </c:pt>
                <c:pt idx="181">
                  <c:v>11.888800382883652</c:v>
                </c:pt>
                <c:pt idx="182">
                  <c:v>11.888800382883652</c:v>
                </c:pt>
                <c:pt idx="183">
                  <c:v>11.888800382883652</c:v>
                </c:pt>
                <c:pt idx="184">
                  <c:v>11.888800382883652</c:v>
                </c:pt>
                <c:pt idx="185">
                  <c:v>11.888800382883652</c:v>
                </c:pt>
                <c:pt idx="186">
                  <c:v>11.888800382883652</c:v>
                </c:pt>
                <c:pt idx="187">
                  <c:v>11.888800382883652</c:v>
                </c:pt>
                <c:pt idx="188">
                  <c:v>11.888800382883652</c:v>
                </c:pt>
                <c:pt idx="189">
                  <c:v>11.888800382883652</c:v>
                </c:pt>
                <c:pt idx="190">
                  <c:v>11.888800382883652</c:v>
                </c:pt>
                <c:pt idx="191">
                  <c:v>11.888800382883652</c:v>
                </c:pt>
                <c:pt idx="192">
                  <c:v>11.888800382883652</c:v>
                </c:pt>
                <c:pt idx="193">
                  <c:v>11.888800382883652</c:v>
                </c:pt>
                <c:pt idx="194">
                  <c:v>11.888800382883652</c:v>
                </c:pt>
                <c:pt idx="195">
                  <c:v>11.888800382883652</c:v>
                </c:pt>
                <c:pt idx="196">
                  <c:v>11.888800382883652</c:v>
                </c:pt>
                <c:pt idx="197">
                  <c:v>11.888800382883652</c:v>
                </c:pt>
                <c:pt idx="198">
                  <c:v>11.888800382883652</c:v>
                </c:pt>
                <c:pt idx="199">
                  <c:v>11.888800382883652</c:v>
                </c:pt>
                <c:pt idx="200">
                  <c:v>11.888800382883652</c:v>
                </c:pt>
                <c:pt idx="201">
                  <c:v>11.888800382883652</c:v>
                </c:pt>
                <c:pt idx="202">
                  <c:v>11.888800382883652</c:v>
                </c:pt>
                <c:pt idx="203">
                  <c:v>11.888800382883652</c:v>
                </c:pt>
                <c:pt idx="204">
                  <c:v>11.888800382883652</c:v>
                </c:pt>
                <c:pt idx="205">
                  <c:v>11.888800382883652</c:v>
                </c:pt>
                <c:pt idx="206">
                  <c:v>11.888800382883652</c:v>
                </c:pt>
                <c:pt idx="207">
                  <c:v>11.888800382883652</c:v>
                </c:pt>
                <c:pt idx="208">
                  <c:v>11.888800382883652</c:v>
                </c:pt>
                <c:pt idx="209">
                  <c:v>11.888800382883652</c:v>
                </c:pt>
                <c:pt idx="210">
                  <c:v>11.888800382883652</c:v>
                </c:pt>
                <c:pt idx="211">
                  <c:v>11.888800382883652</c:v>
                </c:pt>
                <c:pt idx="212">
                  <c:v>11.888800382883652</c:v>
                </c:pt>
                <c:pt idx="213">
                  <c:v>11.888800382883652</c:v>
                </c:pt>
                <c:pt idx="214">
                  <c:v>11.888800382883652</c:v>
                </c:pt>
                <c:pt idx="215">
                  <c:v>11.888800382883652</c:v>
                </c:pt>
                <c:pt idx="216">
                  <c:v>11.888800382883652</c:v>
                </c:pt>
                <c:pt idx="217">
                  <c:v>11.888800382883652</c:v>
                </c:pt>
                <c:pt idx="218">
                  <c:v>11.888800382883652</c:v>
                </c:pt>
                <c:pt idx="219">
                  <c:v>11.888800382883652</c:v>
                </c:pt>
                <c:pt idx="220">
                  <c:v>11.888800382883652</c:v>
                </c:pt>
                <c:pt idx="221">
                  <c:v>11.888800382883652</c:v>
                </c:pt>
                <c:pt idx="222">
                  <c:v>11.888800382883652</c:v>
                </c:pt>
                <c:pt idx="223">
                  <c:v>11.888800382883652</c:v>
                </c:pt>
                <c:pt idx="224">
                  <c:v>11.888800382883652</c:v>
                </c:pt>
                <c:pt idx="225">
                  <c:v>11.888800382883652</c:v>
                </c:pt>
                <c:pt idx="226">
                  <c:v>11.888800382883652</c:v>
                </c:pt>
                <c:pt idx="227">
                  <c:v>11.888800382883652</c:v>
                </c:pt>
                <c:pt idx="228">
                  <c:v>11.888800382883652</c:v>
                </c:pt>
                <c:pt idx="229">
                  <c:v>11.888800382883652</c:v>
                </c:pt>
                <c:pt idx="230">
                  <c:v>11.888800382883652</c:v>
                </c:pt>
                <c:pt idx="231">
                  <c:v>11.888800382883652</c:v>
                </c:pt>
                <c:pt idx="232">
                  <c:v>11.888800382883652</c:v>
                </c:pt>
                <c:pt idx="233">
                  <c:v>11.888800382883652</c:v>
                </c:pt>
                <c:pt idx="234">
                  <c:v>11.888800382883652</c:v>
                </c:pt>
                <c:pt idx="235">
                  <c:v>11.888800382883652</c:v>
                </c:pt>
                <c:pt idx="236">
                  <c:v>11.888800382883652</c:v>
                </c:pt>
                <c:pt idx="237">
                  <c:v>11.888800382883652</c:v>
                </c:pt>
                <c:pt idx="238">
                  <c:v>11.888800382883652</c:v>
                </c:pt>
                <c:pt idx="239">
                  <c:v>11.888800382883652</c:v>
                </c:pt>
                <c:pt idx="240">
                  <c:v>11.888800382883652</c:v>
                </c:pt>
                <c:pt idx="241">
                  <c:v>11.888800382883652</c:v>
                </c:pt>
                <c:pt idx="242">
                  <c:v>11.888800382883652</c:v>
                </c:pt>
                <c:pt idx="243">
                  <c:v>11.888800382883652</c:v>
                </c:pt>
                <c:pt idx="244">
                  <c:v>11.888800382883652</c:v>
                </c:pt>
                <c:pt idx="245">
                  <c:v>11.888800382883652</c:v>
                </c:pt>
                <c:pt idx="246">
                  <c:v>11.888800382883652</c:v>
                </c:pt>
                <c:pt idx="247">
                  <c:v>11.888800382883652</c:v>
                </c:pt>
                <c:pt idx="248">
                  <c:v>11.888800382883652</c:v>
                </c:pt>
                <c:pt idx="249">
                  <c:v>11.888800382883652</c:v>
                </c:pt>
                <c:pt idx="250">
                  <c:v>11.888800382883652</c:v>
                </c:pt>
                <c:pt idx="251">
                  <c:v>11.888800382883652</c:v>
                </c:pt>
                <c:pt idx="252">
                  <c:v>11.888800382883652</c:v>
                </c:pt>
                <c:pt idx="253">
                  <c:v>11.888800382883652</c:v>
                </c:pt>
                <c:pt idx="254">
                  <c:v>11.888800382883652</c:v>
                </c:pt>
                <c:pt idx="255">
                  <c:v>11.888800382883652</c:v>
                </c:pt>
                <c:pt idx="256">
                  <c:v>11.888800382883652</c:v>
                </c:pt>
                <c:pt idx="257">
                  <c:v>11.888800382883652</c:v>
                </c:pt>
                <c:pt idx="258">
                  <c:v>11.888800382883652</c:v>
                </c:pt>
                <c:pt idx="259">
                  <c:v>11.888800382883652</c:v>
                </c:pt>
                <c:pt idx="260">
                  <c:v>11.888800382883652</c:v>
                </c:pt>
                <c:pt idx="261">
                  <c:v>11.888800382883652</c:v>
                </c:pt>
                <c:pt idx="262">
                  <c:v>11.888800382883652</c:v>
                </c:pt>
                <c:pt idx="263">
                  <c:v>11.888800382883652</c:v>
                </c:pt>
                <c:pt idx="264">
                  <c:v>11.888800382883652</c:v>
                </c:pt>
                <c:pt idx="265">
                  <c:v>11.888800382883652</c:v>
                </c:pt>
                <c:pt idx="266">
                  <c:v>11.888800382883652</c:v>
                </c:pt>
                <c:pt idx="267">
                  <c:v>11.888800382883652</c:v>
                </c:pt>
                <c:pt idx="268">
                  <c:v>11.888800382883652</c:v>
                </c:pt>
                <c:pt idx="269">
                  <c:v>11.888800382883652</c:v>
                </c:pt>
                <c:pt idx="270">
                  <c:v>11.888800382883652</c:v>
                </c:pt>
                <c:pt idx="271">
                  <c:v>11.888800382883652</c:v>
                </c:pt>
                <c:pt idx="272">
                  <c:v>11.888800382883652</c:v>
                </c:pt>
                <c:pt idx="273">
                  <c:v>11.888800382883652</c:v>
                </c:pt>
                <c:pt idx="274">
                  <c:v>11.888800382883652</c:v>
                </c:pt>
                <c:pt idx="275">
                  <c:v>11.888800382883652</c:v>
                </c:pt>
                <c:pt idx="276">
                  <c:v>11.888800382883652</c:v>
                </c:pt>
                <c:pt idx="277">
                  <c:v>11.888800382883652</c:v>
                </c:pt>
                <c:pt idx="278">
                  <c:v>11.888800382883652</c:v>
                </c:pt>
                <c:pt idx="279">
                  <c:v>11.888800382883652</c:v>
                </c:pt>
                <c:pt idx="280">
                  <c:v>11.888800382883652</c:v>
                </c:pt>
                <c:pt idx="281">
                  <c:v>11.888800382883652</c:v>
                </c:pt>
                <c:pt idx="282">
                  <c:v>11.888800382883652</c:v>
                </c:pt>
                <c:pt idx="283">
                  <c:v>11.888800382883652</c:v>
                </c:pt>
                <c:pt idx="284">
                  <c:v>11.888800382883652</c:v>
                </c:pt>
                <c:pt idx="285">
                  <c:v>11.888800382883652</c:v>
                </c:pt>
                <c:pt idx="286">
                  <c:v>11.888800382883652</c:v>
                </c:pt>
                <c:pt idx="287">
                  <c:v>11.888800382883652</c:v>
                </c:pt>
                <c:pt idx="288">
                  <c:v>11.888800382883652</c:v>
                </c:pt>
                <c:pt idx="289">
                  <c:v>11.888800382883652</c:v>
                </c:pt>
                <c:pt idx="290">
                  <c:v>11.888800382883652</c:v>
                </c:pt>
                <c:pt idx="291">
                  <c:v>11.888800382883652</c:v>
                </c:pt>
                <c:pt idx="292">
                  <c:v>11.888800382883652</c:v>
                </c:pt>
                <c:pt idx="293">
                  <c:v>11.888800382883652</c:v>
                </c:pt>
                <c:pt idx="294">
                  <c:v>11.888800382883652</c:v>
                </c:pt>
                <c:pt idx="295">
                  <c:v>11.888800382883652</c:v>
                </c:pt>
                <c:pt idx="296">
                  <c:v>11.888800382883652</c:v>
                </c:pt>
                <c:pt idx="297">
                  <c:v>11.888800382883652</c:v>
                </c:pt>
                <c:pt idx="298">
                  <c:v>11.888800382883652</c:v>
                </c:pt>
                <c:pt idx="299">
                  <c:v>11.888800382883652</c:v>
                </c:pt>
                <c:pt idx="300">
                  <c:v>11.888800382883652</c:v>
                </c:pt>
                <c:pt idx="301">
                  <c:v>11.888800382883652</c:v>
                </c:pt>
                <c:pt idx="302">
                  <c:v>11.888800382883652</c:v>
                </c:pt>
                <c:pt idx="303">
                  <c:v>11.888800382883652</c:v>
                </c:pt>
                <c:pt idx="304">
                  <c:v>11.888800382883652</c:v>
                </c:pt>
                <c:pt idx="305">
                  <c:v>11.888800382883652</c:v>
                </c:pt>
                <c:pt idx="306">
                  <c:v>11.888800382883652</c:v>
                </c:pt>
                <c:pt idx="307">
                  <c:v>11.888800382883652</c:v>
                </c:pt>
                <c:pt idx="308">
                  <c:v>11.888800382883652</c:v>
                </c:pt>
                <c:pt idx="309">
                  <c:v>11.888800382883652</c:v>
                </c:pt>
                <c:pt idx="310">
                  <c:v>11.888800382883652</c:v>
                </c:pt>
                <c:pt idx="311">
                  <c:v>11.888800382883652</c:v>
                </c:pt>
                <c:pt idx="312">
                  <c:v>11.888800382883652</c:v>
                </c:pt>
                <c:pt idx="313">
                  <c:v>11.888800382883652</c:v>
                </c:pt>
                <c:pt idx="314">
                  <c:v>11.888800382883652</c:v>
                </c:pt>
                <c:pt idx="315">
                  <c:v>11.888800382883652</c:v>
                </c:pt>
                <c:pt idx="316">
                  <c:v>11.888800382883652</c:v>
                </c:pt>
                <c:pt idx="317">
                  <c:v>11.888800382883652</c:v>
                </c:pt>
                <c:pt idx="318">
                  <c:v>11.888800382883652</c:v>
                </c:pt>
                <c:pt idx="319">
                  <c:v>11.888800382883652</c:v>
                </c:pt>
                <c:pt idx="320">
                  <c:v>11.888800382883652</c:v>
                </c:pt>
                <c:pt idx="321">
                  <c:v>11.888800382883652</c:v>
                </c:pt>
                <c:pt idx="322">
                  <c:v>11.888800382883652</c:v>
                </c:pt>
                <c:pt idx="323">
                  <c:v>11.888800382883652</c:v>
                </c:pt>
                <c:pt idx="324">
                  <c:v>11.888800382883652</c:v>
                </c:pt>
                <c:pt idx="325">
                  <c:v>11.888800382883652</c:v>
                </c:pt>
                <c:pt idx="326">
                  <c:v>11.888800382883652</c:v>
                </c:pt>
                <c:pt idx="327">
                  <c:v>11.888800382883652</c:v>
                </c:pt>
                <c:pt idx="328">
                  <c:v>11.888800382883652</c:v>
                </c:pt>
                <c:pt idx="329">
                  <c:v>11.888800382883652</c:v>
                </c:pt>
                <c:pt idx="330">
                  <c:v>11.888800382883652</c:v>
                </c:pt>
                <c:pt idx="331">
                  <c:v>11.888800382883652</c:v>
                </c:pt>
                <c:pt idx="332">
                  <c:v>11.888800382883652</c:v>
                </c:pt>
                <c:pt idx="333">
                  <c:v>11.888800382883652</c:v>
                </c:pt>
                <c:pt idx="334">
                  <c:v>11.888800382883652</c:v>
                </c:pt>
                <c:pt idx="335">
                  <c:v>11.888800382883652</c:v>
                </c:pt>
                <c:pt idx="336">
                  <c:v>11.888800382883652</c:v>
                </c:pt>
                <c:pt idx="337">
                  <c:v>11.888800382883652</c:v>
                </c:pt>
                <c:pt idx="338">
                  <c:v>11.888800382883652</c:v>
                </c:pt>
                <c:pt idx="339">
                  <c:v>11.888800382883652</c:v>
                </c:pt>
                <c:pt idx="340">
                  <c:v>11.888800382883652</c:v>
                </c:pt>
                <c:pt idx="341">
                  <c:v>11.888800382883652</c:v>
                </c:pt>
                <c:pt idx="342">
                  <c:v>11.888800382883652</c:v>
                </c:pt>
                <c:pt idx="343">
                  <c:v>11.888800382883652</c:v>
                </c:pt>
                <c:pt idx="344">
                  <c:v>11.888800382883652</c:v>
                </c:pt>
                <c:pt idx="345">
                  <c:v>11.888800382883652</c:v>
                </c:pt>
                <c:pt idx="346">
                  <c:v>11.888800382883652</c:v>
                </c:pt>
                <c:pt idx="347">
                  <c:v>11.888800382883652</c:v>
                </c:pt>
                <c:pt idx="348">
                  <c:v>11.888800382883652</c:v>
                </c:pt>
                <c:pt idx="349">
                  <c:v>11.888800382883652</c:v>
                </c:pt>
                <c:pt idx="350">
                  <c:v>11.888800382883652</c:v>
                </c:pt>
                <c:pt idx="351">
                  <c:v>11.888800382883652</c:v>
                </c:pt>
                <c:pt idx="352">
                  <c:v>11.888800382883652</c:v>
                </c:pt>
                <c:pt idx="353">
                  <c:v>11.888800382883652</c:v>
                </c:pt>
                <c:pt idx="354">
                  <c:v>11.888800382883652</c:v>
                </c:pt>
                <c:pt idx="355">
                  <c:v>11.888800382883652</c:v>
                </c:pt>
                <c:pt idx="356">
                  <c:v>11.888800382883652</c:v>
                </c:pt>
                <c:pt idx="357">
                  <c:v>11.888800382883652</c:v>
                </c:pt>
                <c:pt idx="358">
                  <c:v>11.888800382883652</c:v>
                </c:pt>
                <c:pt idx="359">
                  <c:v>11.888800382883652</c:v>
                </c:pt>
                <c:pt idx="360">
                  <c:v>11.888800382883652</c:v>
                </c:pt>
                <c:pt idx="361">
                  <c:v>11.888800382883652</c:v>
                </c:pt>
                <c:pt idx="362">
                  <c:v>11.888800382883652</c:v>
                </c:pt>
                <c:pt idx="363">
                  <c:v>11.888800382883652</c:v>
                </c:pt>
                <c:pt idx="364">
                  <c:v>11.888800382883652</c:v>
                </c:pt>
                <c:pt idx="365">
                  <c:v>11.888800382883652</c:v>
                </c:pt>
                <c:pt idx="366">
                  <c:v>11.888800382883652</c:v>
                </c:pt>
                <c:pt idx="367">
                  <c:v>11.888800382883652</c:v>
                </c:pt>
                <c:pt idx="368">
                  <c:v>11.888800382883652</c:v>
                </c:pt>
                <c:pt idx="369">
                  <c:v>11.888800382883652</c:v>
                </c:pt>
                <c:pt idx="370">
                  <c:v>11.888800382883652</c:v>
                </c:pt>
                <c:pt idx="371">
                  <c:v>11.888800382883652</c:v>
                </c:pt>
                <c:pt idx="372">
                  <c:v>11.888800382883652</c:v>
                </c:pt>
                <c:pt idx="373">
                  <c:v>11.888800382883652</c:v>
                </c:pt>
                <c:pt idx="374">
                  <c:v>11.888800382883652</c:v>
                </c:pt>
                <c:pt idx="375">
                  <c:v>11.888800382883652</c:v>
                </c:pt>
                <c:pt idx="376">
                  <c:v>11.888800382883652</c:v>
                </c:pt>
                <c:pt idx="377">
                  <c:v>11.888800382883652</c:v>
                </c:pt>
                <c:pt idx="378">
                  <c:v>11.888800382883652</c:v>
                </c:pt>
                <c:pt idx="379">
                  <c:v>11.888800382883652</c:v>
                </c:pt>
                <c:pt idx="380">
                  <c:v>11.888800382883652</c:v>
                </c:pt>
                <c:pt idx="381">
                  <c:v>11.888800382883652</c:v>
                </c:pt>
                <c:pt idx="382">
                  <c:v>11.888800382883652</c:v>
                </c:pt>
                <c:pt idx="383">
                  <c:v>11.888800382883652</c:v>
                </c:pt>
                <c:pt idx="384">
                  <c:v>11.888800382883652</c:v>
                </c:pt>
                <c:pt idx="385">
                  <c:v>11.888800382883652</c:v>
                </c:pt>
                <c:pt idx="386">
                  <c:v>11.888800382883652</c:v>
                </c:pt>
                <c:pt idx="387">
                  <c:v>11.888800382883652</c:v>
                </c:pt>
                <c:pt idx="388">
                  <c:v>11.888800382883652</c:v>
                </c:pt>
                <c:pt idx="389">
                  <c:v>11.888800382883652</c:v>
                </c:pt>
                <c:pt idx="390">
                  <c:v>11.888800382883652</c:v>
                </c:pt>
                <c:pt idx="391">
                  <c:v>11.888800382883652</c:v>
                </c:pt>
                <c:pt idx="392">
                  <c:v>11.888800382883652</c:v>
                </c:pt>
                <c:pt idx="393">
                  <c:v>11.888800382883652</c:v>
                </c:pt>
                <c:pt idx="394">
                  <c:v>11.888800382883652</c:v>
                </c:pt>
                <c:pt idx="395">
                  <c:v>11.888800382883652</c:v>
                </c:pt>
                <c:pt idx="396">
                  <c:v>11.888800382883652</c:v>
                </c:pt>
                <c:pt idx="397">
                  <c:v>11.888800382883652</c:v>
                </c:pt>
                <c:pt idx="398">
                  <c:v>11.888800382883652</c:v>
                </c:pt>
                <c:pt idx="399">
                  <c:v>11.888800382883652</c:v>
                </c:pt>
                <c:pt idx="400">
                  <c:v>11.888800382883652</c:v>
                </c:pt>
                <c:pt idx="401">
                  <c:v>11.888800382883652</c:v>
                </c:pt>
                <c:pt idx="402">
                  <c:v>11.888800382883652</c:v>
                </c:pt>
                <c:pt idx="403">
                  <c:v>11.888800382883652</c:v>
                </c:pt>
                <c:pt idx="404">
                  <c:v>11.888800382883652</c:v>
                </c:pt>
                <c:pt idx="405">
                  <c:v>11.888800382883652</c:v>
                </c:pt>
                <c:pt idx="406">
                  <c:v>11.888800382883652</c:v>
                </c:pt>
                <c:pt idx="407">
                  <c:v>11.888800382883652</c:v>
                </c:pt>
                <c:pt idx="408">
                  <c:v>11.888800382883652</c:v>
                </c:pt>
                <c:pt idx="409">
                  <c:v>11.888800382883652</c:v>
                </c:pt>
                <c:pt idx="410">
                  <c:v>11.888800382883652</c:v>
                </c:pt>
                <c:pt idx="411">
                  <c:v>11.888800382883652</c:v>
                </c:pt>
                <c:pt idx="412">
                  <c:v>11.888800382883652</c:v>
                </c:pt>
                <c:pt idx="413">
                  <c:v>11.888800382883652</c:v>
                </c:pt>
                <c:pt idx="414">
                  <c:v>11.888800382883652</c:v>
                </c:pt>
                <c:pt idx="415">
                  <c:v>11.888800382883652</c:v>
                </c:pt>
                <c:pt idx="416">
                  <c:v>11.888800382883652</c:v>
                </c:pt>
                <c:pt idx="417">
                  <c:v>11.888800382883652</c:v>
                </c:pt>
                <c:pt idx="418">
                  <c:v>11.888800382883652</c:v>
                </c:pt>
                <c:pt idx="419">
                  <c:v>11.888800382883652</c:v>
                </c:pt>
                <c:pt idx="420">
                  <c:v>11.888800382883652</c:v>
                </c:pt>
                <c:pt idx="421">
                  <c:v>11.888800382883652</c:v>
                </c:pt>
                <c:pt idx="422">
                  <c:v>11.888800382883652</c:v>
                </c:pt>
                <c:pt idx="423">
                  <c:v>11.888800382883652</c:v>
                </c:pt>
                <c:pt idx="424">
                  <c:v>11.888800382883652</c:v>
                </c:pt>
                <c:pt idx="425">
                  <c:v>11.888800382883652</c:v>
                </c:pt>
                <c:pt idx="426">
                  <c:v>11.888800382883652</c:v>
                </c:pt>
                <c:pt idx="427">
                  <c:v>11.888800382883652</c:v>
                </c:pt>
                <c:pt idx="428">
                  <c:v>11.888800382883652</c:v>
                </c:pt>
                <c:pt idx="429">
                  <c:v>11.888800382883652</c:v>
                </c:pt>
                <c:pt idx="430">
                  <c:v>11.888800382883652</c:v>
                </c:pt>
                <c:pt idx="431">
                  <c:v>11.888800382883652</c:v>
                </c:pt>
                <c:pt idx="432">
                  <c:v>11.888800382883652</c:v>
                </c:pt>
                <c:pt idx="433">
                  <c:v>11.888800382883652</c:v>
                </c:pt>
                <c:pt idx="434">
                  <c:v>11.888800382883652</c:v>
                </c:pt>
                <c:pt idx="435">
                  <c:v>11.888800382883652</c:v>
                </c:pt>
                <c:pt idx="436">
                  <c:v>11.888800382883652</c:v>
                </c:pt>
                <c:pt idx="437">
                  <c:v>11.888800382883652</c:v>
                </c:pt>
                <c:pt idx="438">
                  <c:v>11.888800382883652</c:v>
                </c:pt>
                <c:pt idx="439">
                  <c:v>11.888800382883652</c:v>
                </c:pt>
                <c:pt idx="440">
                  <c:v>11.888800382883652</c:v>
                </c:pt>
                <c:pt idx="441">
                  <c:v>11.888800382883652</c:v>
                </c:pt>
                <c:pt idx="442">
                  <c:v>11.888800382883652</c:v>
                </c:pt>
                <c:pt idx="443">
                  <c:v>11.888800382883652</c:v>
                </c:pt>
                <c:pt idx="444">
                  <c:v>11.888800382883652</c:v>
                </c:pt>
                <c:pt idx="445">
                  <c:v>11.888800382883652</c:v>
                </c:pt>
                <c:pt idx="446">
                  <c:v>11.888800382883652</c:v>
                </c:pt>
                <c:pt idx="447">
                  <c:v>11.888800382883652</c:v>
                </c:pt>
                <c:pt idx="448">
                  <c:v>11.888800382883652</c:v>
                </c:pt>
                <c:pt idx="449">
                  <c:v>11.888800382883652</c:v>
                </c:pt>
                <c:pt idx="450">
                  <c:v>11.888800382883652</c:v>
                </c:pt>
                <c:pt idx="451">
                  <c:v>11.888800382883652</c:v>
                </c:pt>
                <c:pt idx="452">
                  <c:v>11.888800382883652</c:v>
                </c:pt>
                <c:pt idx="453">
                  <c:v>11.888800382883652</c:v>
                </c:pt>
                <c:pt idx="454">
                  <c:v>11.888800382883652</c:v>
                </c:pt>
                <c:pt idx="455">
                  <c:v>11.888800382883652</c:v>
                </c:pt>
                <c:pt idx="456">
                  <c:v>11.888800382883652</c:v>
                </c:pt>
                <c:pt idx="457">
                  <c:v>11.888800382883652</c:v>
                </c:pt>
                <c:pt idx="458">
                  <c:v>11.888800382883652</c:v>
                </c:pt>
                <c:pt idx="459">
                  <c:v>11.888800382883652</c:v>
                </c:pt>
                <c:pt idx="460">
                  <c:v>11.888800382883652</c:v>
                </c:pt>
                <c:pt idx="461">
                  <c:v>11.888800382883652</c:v>
                </c:pt>
                <c:pt idx="462">
                  <c:v>11.888800382883652</c:v>
                </c:pt>
                <c:pt idx="463">
                  <c:v>11.888800382883652</c:v>
                </c:pt>
                <c:pt idx="464">
                  <c:v>11.888800382883652</c:v>
                </c:pt>
                <c:pt idx="465">
                  <c:v>11.888800382883652</c:v>
                </c:pt>
                <c:pt idx="466">
                  <c:v>11.888800382883652</c:v>
                </c:pt>
                <c:pt idx="467">
                  <c:v>11.888800382883652</c:v>
                </c:pt>
                <c:pt idx="468">
                  <c:v>11.888800382883652</c:v>
                </c:pt>
                <c:pt idx="469">
                  <c:v>11.888800382883652</c:v>
                </c:pt>
                <c:pt idx="470">
                  <c:v>11.888800382883652</c:v>
                </c:pt>
                <c:pt idx="471">
                  <c:v>11.888800382883652</c:v>
                </c:pt>
                <c:pt idx="472">
                  <c:v>11.888800382883652</c:v>
                </c:pt>
                <c:pt idx="473">
                  <c:v>11.888800382883652</c:v>
                </c:pt>
                <c:pt idx="474">
                  <c:v>11.888800382883652</c:v>
                </c:pt>
                <c:pt idx="475">
                  <c:v>11.888800382883652</c:v>
                </c:pt>
                <c:pt idx="476">
                  <c:v>11.888800382883652</c:v>
                </c:pt>
                <c:pt idx="477">
                  <c:v>11.888800382883652</c:v>
                </c:pt>
                <c:pt idx="478">
                  <c:v>11.888800382883652</c:v>
                </c:pt>
                <c:pt idx="479">
                  <c:v>11.888800382883652</c:v>
                </c:pt>
                <c:pt idx="480">
                  <c:v>11.888800382883652</c:v>
                </c:pt>
                <c:pt idx="481">
                  <c:v>11.888800382883652</c:v>
                </c:pt>
                <c:pt idx="482">
                  <c:v>11.888800382883652</c:v>
                </c:pt>
                <c:pt idx="483">
                  <c:v>11.888800382883652</c:v>
                </c:pt>
                <c:pt idx="484">
                  <c:v>11.888800382883652</c:v>
                </c:pt>
                <c:pt idx="485">
                  <c:v>11.888800382883652</c:v>
                </c:pt>
                <c:pt idx="486">
                  <c:v>11.888800382883652</c:v>
                </c:pt>
                <c:pt idx="487">
                  <c:v>11.888800382883652</c:v>
                </c:pt>
                <c:pt idx="488">
                  <c:v>11.888800382883652</c:v>
                </c:pt>
                <c:pt idx="489">
                  <c:v>11.888800382883652</c:v>
                </c:pt>
                <c:pt idx="490">
                  <c:v>11.888800382883652</c:v>
                </c:pt>
                <c:pt idx="491">
                  <c:v>11.888800382883652</c:v>
                </c:pt>
                <c:pt idx="492">
                  <c:v>11.888800382883652</c:v>
                </c:pt>
                <c:pt idx="493">
                  <c:v>11.888800382883652</c:v>
                </c:pt>
                <c:pt idx="494">
                  <c:v>11.888800382883652</c:v>
                </c:pt>
                <c:pt idx="495">
                  <c:v>11.888800382883652</c:v>
                </c:pt>
                <c:pt idx="496">
                  <c:v>11.888800382883652</c:v>
                </c:pt>
                <c:pt idx="497">
                  <c:v>11.888800382883652</c:v>
                </c:pt>
                <c:pt idx="498">
                  <c:v>11.888800382883652</c:v>
                </c:pt>
                <c:pt idx="499">
                  <c:v>11.888800382883652</c:v>
                </c:pt>
                <c:pt idx="500">
                  <c:v>11.888800382883652</c:v>
                </c:pt>
                <c:pt idx="501">
                  <c:v>11.888800382883652</c:v>
                </c:pt>
                <c:pt idx="502">
                  <c:v>11.888800382883652</c:v>
                </c:pt>
                <c:pt idx="503">
                  <c:v>11.888800382883652</c:v>
                </c:pt>
                <c:pt idx="504">
                  <c:v>11.888800382883652</c:v>
                </c:pt>
                <c:pt idx="505">
                  <c:v>11.888800382883652</c:v>
                </c:pt>
                <c:pt idx="506">
                  <c:v>11.888800382883652</c:v>
                </c:pt>
                <c:pt idx="507">
                  <c:v>11.888800382883652</c:v>
                </c:pt>
                <c:pt idx="508">
                  <c:v>11.888800382883652</c:v>
                </c:pt>
                <c:pt idx="509">
                  <c:v>11.888800382883652</c:v>
                </c:pt>
                <c:pt idx="510">
                  <c:v>11.888800382883652</c:v>
                </c:pt>
                <c:pt idx="511">
                  <c:v>11.888800382883652</c:v>
                </c:pt>
                <c:pt idx="512">
                  <c:v>11.888800382883652</c:v>
                </c:pt>
                <c:pt idx="513">
                  <c:v>11.888800382883652</c:v>
                </c:pt>
                <c:pt idx="514">
                  <c:v>11.888800382883652</c:v>
                </c:pt>
                <c:pt idx="515">
                  <c:v>11.888800382883652</c:v>
                </c:pt>
                <c:pt idx="516">
                  <c:v>11.888800382883652</c:v>
                </c:pt>
                <c:pt idx="517">
                  <c:v>11.888800382883652</c:v>
                </c:pt>
                <c:pt idx="518">
                  <c:v>11.888800382883652</c:v>
                </c:pt>
                <c:pt idx="519">
                  <c:v>11.888800382883652</c:v>
                </c:pt>
                <c:pt idx="520">
                  <c:v>11.888800382883652</c:v>
                </c:pt>
                <c:pt idx="521">
                  <c:v>11.888800382883652</c:v>
                </c:pt>
                <c:pt idx="522">
                  <c:v>11.888800382883652</c:v>
                </c:pt>
                <c:pt idx="523">
                  <c:v>11.888800382883652</c:v>
                </c:pt>
                <c:pt idx="524">
                  <c:v>11.888800382883652</c:v>
                </c:pt>
                <c:pt idx="525">
                  <c:v>11.888800382883652</c:v>
                </c:pt>
                <c:pt idx="526">
                  <c:v>11.888800382883652</c:v>
                </c:pt>
                <c:pt idx="527">
                  <c:v>11.888800382883652</c:v>
                </c:pt>
                <c:pt idx="528">
                  <c:v>11.888800382883652</c:v>
                </c:pt>
                <c:pt idx="529">
                  <c:v>11.888800382883652</c:v>
                </c:pt>
                <c:pt idx="530">
                  <c:v>11.888800382883652</c:v>
                </c:pt>
                <c:pt idx="531">
                  <c:v>11.888800382883652</c:v>
                </c:pt>
                <c:pt idx="532">
                  <c:v>11.888800382883652</c:v>
                </c:pt>
                <c:pt idx="533">
                  <c:v>11.888800382883652</c:v>
                </c:pt>
                <c:pt idx="534">
                  <c:v>11.888800382883652</c:v>
                </c:pt>
                <c:pt idx="535">
                  <c:v>11.888800382883652</c:v>
                </c:pt>
                <c:pt idx="536">
                  <c:v>11.888800382883652</c:v>
                </c:pt>
                <c:pt idx="537">
                  <c:v>11.888800382883652</c:v>
                </c:pt>
                <c:pt idx="538">
                  <c:v>11.888800382883652</c:v>
                </c:pt>
                <c:pt idx="539">
                  <c:v>11.888800382883652</c:v>
                </c:pt>
                <c:pt idx="540">
                  <c:v>11.888800382883652</c:v>
                </c:pt>
                <c:pt idx="541">
                  <c:v>11.888800382883652</c:v>
                </c:pt>
                <c:pt idx="542">
                  <c:v>11.888800382883652</c:v>
                </c:pt>
                <c:pt idx="543">
                  <c:v>11.888800382883652</c:v>
                </c:pt>
                <c:pt idx="544">
                  <c:v>11.888800382883652</c:v>
                </c:pt>
                <c:pt idx="545">
                  <c:v>11.888800382883652</c:v>
                </c:pt>
                <c:pt idx="546">
                  <c:v>11.888800382883652</c:v>
                </c:pt>
                <c:pt idx="547">
                  <c:v>11.888800382883652</c:v>
                </c:pt>
                <c:pt idx="548">
                  <c:v>11.888800382883652</c:v>
                </c:pt>
                <c:pt idx="549">
                  <c:v>11.888800382883652</c:v>
                </c:pt>
                <c:pt idx="550">
                  <c:v>11.888800382883652</c:v>
                </c:pt>
                <c:pt idx="551">
                  <c:v>11.888800382883652</c:v>
                </c:pt>
                <c:pt idx="552">
                  <c:v>11.888800382883652</c:v>
                </c:pt>
                <c:pt idx="553">
                  <c:v>11.888800382883652</c:v>
                </c:pt>
                <c:pt idx="554">
                  <c:v>11.888800382883652</c:v>
                </c:pt>
                <c:pt idx="555">
                  <c:v>11.888800382883652</c:v>
                </c:pt>
                <c:pt idx="556">
                  <c:v>11.888800382883652</c:v>
                </c:pt>
                <c:pt idx="557">
                  <c:v>11.888800382883652</c:v>
                </c:pt>
                <c:pt idx="558">
                  <c:v>11.888800382883652</c:v>
                </c:pt>
                <c:pt idx="559">
                  <c:v>11.888800382883652</c:v>
                </c:pt>
                <c:pt idx="560">
                  <c:v>11.888800382883652</c:v>
                </c:pt>
                <c:pt idx="561">
                  <c:v>11.888800382883652</c:v>
                </c:pt>
                <c:pt idx="562">
                  <c:v>11.888800382883652</c:v>
                </c:pt>
                <c:pt idx="563">
                  <c:v>11.888800382883652</c:v>
                </c:pt>
                <c:pt idx="564">
                  <c:v>11.888800382883652</c:v>
                </c:pt>
                <c:pt idx="565">
                  <c:v>11.888800382883652</c:v>
                </c:pt>
                <c:pt idx="566">
                  <c:v>11.888800382883652</c:v>
                </c:pt>
                <c:pt idx="567">
                  <c:v>11.888800382883652</c:v>
                </c:pt>
                <c:pt idx="568">
                  <c:v>11.888800382883652</c:v>
                </c:pt>
                <c:pt idx="569">
                  <c:v>11.888800382883652</c:v>
                </c:pt>
                <c:pt idx="570">
                  <c:v>11.888800382883652</c:v>
                </c:pt>
                <c:pt idx="571">
                  <c:v>11.888800382883652</c:v>
                </c:pt>
                <c:pt idx="572">
                  <c:v>11.888800382883652</c:v>
                </c:pt>
                <c:pt idx="573">
                  <c:v>11.888800382883652</c:v>
                </c:pt>
                <c:pt idx="574">
                  <c:v>11.888800382883652</c:v>
                </c:pt>
                <c:pt idx="575">
                  <c:v>11.888800382883652</c:v>
                </c:pt>
                <c:pt idx="576">
                  <c:v>11.888800382883652</c:v>
                </c:pt>
                <c:pt idx="577">
                  <c:v>11.888800382883652</c:v>
                </c:pt>
                <c:pt idx="578">
                  <c:v>11.888800382883652</c:v>
                </c:pt>
                <c:pt idx="579">
                  <c:v>11.888800382883652</c:v>
                </c:pt>
                <c:pt idx="580">
                  <c:v>11.888800382883652</c:v>
                </c:pt>
                <c:pt idx="581">
                  <c:v>11.888800382883652</c:v>
                </c:pt>
                <c:pt idx="582">
                  <c:v>11.888800382883652</c:v>
                </c:pt>
                <c:pt idx="583">
                  <c:v>11.888800382883652</c:v>
                </c:pt>
                <c:pt idx="584">
                  <c:v>11.888800382883652</c:v>
                </c:pt>
                <c:pt idx="585">
                  <c:v>11.888800382883652</c:v>
                </c:pt>
                <c:pt idx="586">
                  <c:v>11.888800382883652</c:v>
                </c:pt>
                <c:pt idx="587">
                  <c:v>11.888800382883652</c:v>
                </c:pt>
                <c:pt idx="588">
                  <c:v>11.888800382883652</c:v>
                </c:pt>
                <c:pt idx="589">
                  <c:v>11.888800382883652</c:v>
                </c:pt>
                <c:pt idx="590">
                  <c:v>11.888800382883652</c:v>
                </c:pt>
                <c:pt idx="591">
                  <c:v>11.888800382883652</c:v>
                </c:pt>
                <c:pt idx="592">
                  <c:v>11.888800382883652</c:v>
                </c:pt>
                <c:pt idx="593">
                  <c:v>11.888800382883652</c:v>
                </c:pt>
                <c:pt idx="594">
                  <c:v>11.888800382883652</c:v>
                </c:pt>
                <c:pt idx="595">
                  <c:v>11.888800382883652</c:v>
                </c:pt>
                <c:pt idx="596">
                  <c:v>11.888800382883652</c:v>
                </c:pt>
                <c:pt idx="597">
                  <c:v>11.888800382883652</c:v>
                </c:pt>
                <c:pt idx="598">
                  <c:v>11.888800382883652</c:v>
                </c:pt>
                <c:pt idx="599">
                  <c:v>11.888800382883652</c:v>
                </c:pt>
                <c:pt idx="600">
                  <c:v>11.888800382883652</c:v>
                </c:pt>
                <c:pt idx="601">
                  <c:v>11.888800382883652</c:v>
                </c:pt>
                <c:pt idx="602">
                  <c:v>11.888800382883652</c:v>
                </c:pt>
                <c:pt idx="603">
                  <c:v>11.888800382883652</c:v>
                </c:pt>
                <c:pt idx="604">
                  <c:v>11.888800382883652</c:v>
                </c:pt>
                <c:pt idx="605">
                  <c:v>11.888800382883652</c:v>
                </c:pt>
                <c:pt idx="606">
                  <c:v>11.888800382883652</c:v>
                </c:pt>
                <c:pt idx="607">
                  <c:v>11.888800382883652</c:v>
                </c:pt>
                <c:pt idx="608">
                  <c:v>11.888800382883652</c:v>
                </c:pt>
                <c:pt idx="609">
                  <c:v>11.888800382883652</c:v>
                </c:pt>
                <c:pt idx="610">
                  <c:v>11.888800382883652</c:v>
                </c:pt>
                <c:pt idx="611">
                  <c:v>11.888800382883652</c:v>
                </c:pt>
                <c:pt idx="612">
                  <c:v>11.888800382883652</c:v>
                </c:pt>
                <c:pt idx="613">
                  <c:v>11.888800382883652</c:v>
                </c:pt>
                <c:pt idx="614">
                  <c:v>11.888800382883652</c:v>
                </c:pt>
                <c:pt idx="615">
                  <c:v>11.888800382883652</c:v>
                </c:pt>
                <c:pt idx="616">
                  <c:v>11.888800382883652</c:v>
                </c:pt>
                <c:pt idx="617">
                  <c:v>11.888800382883652</c:v>
                </c:pt>
                <c:pt idx="618">
                  <c:v>11.888800382883652</c:v>
                </c:pt>
                <c:pt idx="619">
                  <c:v>11.888800382883652</c:v>
                </c:pt>
                <c:pt idx="620">
                  <c:v>11.888800382883652</c:v>
                </c:pt>
                <c:pt idx="621">
                  <c:v>11.888800382883652</c:v>
                </c:pt>
                <c:pt idx="622">
                  <c:v>11.888800382883652</c:v>
                </c:pt>
                <c:pt idx="623">
                  <c:v>11.888800382883652</c:v>
                </c:pt>
                <c:pt idx="624">
                  <c:v>11.888800382883652</c:v>
                </c:pt>
                <c:pt idx="625">
                  <c:v>11.888800382883652</c:v>
                </c:pt>
                <c:pt idx="626">
                  <c:v>11.888800382883652</c:v>
                </c:pt>
                <c:pt idx="627">
                  <c:v>11.888800382883652</c:v>
                </c:pt>
                <c:pt idx="628">
                  <c:v>11.888800382883652</c:v>
                </c:pt>
                <c:pt idx="629">
                  <c:v>11.888800382883652</c:v>
                </c:pt>
                <c:pt idx="630">
                  <c:v>11.888800382883652</c:v>
                </c:pt>
                <c:pt idx="631">
                  <c:v>11.888800382883652</c:v>
                </c:pt>
                <c:pt idx="632">
                  <c:v>11.888800382883652</c:v>
                </c:pt>
                <c:pt idx="633">
                  <c:v>11.888800382883652</c:v>
                </c:pt>
                <c:pt idx="634">
                  <c:v>11.888800382883652</c:v>
                </c:pt>
                <c:pt idx="635">
                  <c:v>11.888800382883652</c:v>
                </c:pt>
                <c:pt idx="636">
                  <c:v>11.888800382883652</c:v>
                </c:pt>
                <c:pt idx="637">
                  <c:v>11.888800382883652</c:v>
                </c:pt>
                <c:pt idx="638">
                  <c:v>11.888800382883652</c:v>
                </c:pt>
                <c:pt idx="639">
                  <c:v>11.888800382883652</c:v>
                </c:pt>
                <c:pt idx="640">
                  <c:v>11.888800382883652</c:v>
                </c:pt>
                <c:pt idx="641">
                  <c:v>11.888800382883652</c:v>
                </c:pt>
                <c:pt idx="642">
                  <c:v>11.888800382883652</c:v>
                </c:pt>
                <c:pt idx="643">
                  <c:v>11.888800382883652</c:v>
                </c:pt>
                <c:pt idx="644">
                  <c:v>11.888800382883652</c:v>
                </c:pt>
                <c:pt idx="645">
                  <c:v>11.888800382883652</c:v>
                </c:pt>
                <c:pt idx="646">
                  <c:v>11.888800382883652</c:v>
                </c:pt>
                <c:pt idx="647">
                  <c:v>11.888800382883652</c:v>
                </c:pt>
                <c:pt idx="648">
                  <c:v>11.888800382883652</c:v>
                </c:pt>
                <c:pt idx="649">
                  <c:v>11.888800382883652</c:v>
                </c:pt>
                <c:pt idx="650">
                  <c:v>11.888800382883652</c:v>
                </c:pt>
                <c:pt idx="651">
                  <c:v>11.888800382883652</c:v>
                </c:pt>
                <c:pt idx="652">
                  <c:v>11.888800382883652</c:v>
                </c:pt>
                <c:pt idx="653">
                  <c:v>11.888800382883652</c:v>
                </c:pt>
                <c:pt idx="654">
                  <c:v>11.888800382883652</c:v>
                </c:pt>
                <c:pt idx="655">
                  <c:v>11.888800382883652</c:v>
                </c:pt>
                <c:pt idx="656">
                  <c:v>11.888800382883652</c:v>
                </c:pt>
                <c:pt idx="657">
                  <c:v>11.888800382883652</c:v>
                </c:pt>
                <c:pt idx="658">
                  <c:v>11.888800382883652</c:v>
                </c:pt>
                <c:pt idx="659">
                  <c:v>11.888800382883652</c:v>
                </c:pt>
                <c:pt idx="660">
                  <c:v>11.888800382883652</c:v>
                </c:pt>
                <c:pt idx="661">
                  <c:v>11.888800382883652</c:v>
                </c:pt>
                <c:pt idx="662">
                  <c:v>11.888800382883652</c:v>
                </c:pt>
                <c:pt idx="663">
                  <c:v>11.888800382883652</c:v>
                </c:pt>
                <c:pt idx="664">
                  <c:v>11.888800382883652</c:v>
                </c:pt>
                <c:pt idx="665">
                  <c:v>11.888800382883652</c:v>
                </c:pt>
                <c:pt idx="666">
                  <c:v>11.888800382883652</c:v>
                </c:pt>
                <c:pt idx="667">
                  <c:v>11.888800382883652</c:v>
                </c:pt>
                <c:pt idx="668">
                  <c:v>11.888800382883652</c:v>
                </c:pt>
                <c:pt idx="669">
                  <c:v>11.888800382883652</c:v>
                </c:pt>
                <c:pt idx="670">
                  <c:v>11.888800382883652</c:v>
                </c:pt>
                <c:pt idx="671">
                  <c:v>11.888800382883652</c:v>
                </c:pt>
                <c:pt idx="672">
                  <c:v>11.888800382883652</c:v>
                </c:pt>
                <c:pt idx="673">
                  <c:v>11.888800382883652</c:v>
                </c:pt>
                <c:pt idx="674">
                  <c:v>11.888800382883652</c:v>
                </c:pt>
                <c:pt idx="675">
                  <c:v>11.888800382883652</c:v>
                </c:pt>
                <c:pt idx="676">
                  <c:v>11.888800382883652</c:v>
                </c:pt>
                <c:pt idx="677">
                  <c:v>11.888800382883652</c:v>
                </c:pt>
                <c:pt idx="678">
                  <c:v>11.888800382883652</c:v>
                </c:pt>
                <c:pt idx="679">
                  <c:v>11.888800382883652</c:v>
                </c:pt>
                <c:pt idx="680">
                  <c:v>11.888800382883652</c:v>
                </c:pt>
                <c:pt idx="681">
                  <c:v>11.888800382883652</c:v>
                </c:pt>
                <c:pt idx="682">
                  <c:v>11.888800382883652</c:v>
                </c:pt>
                <c:pt idx="683">
                  <c:v>11.888800382883652</c:v>
                </c:pt>
                <c:pt idx="684">
                  <c:v>11.888800382883652</c:v>
                </c:pt>
                <c:pt idx="685">
                  <c:v>11.888800382883652</c:v>
                </c:pt>
                <c:pt idx="686">
                  <c:v>11.888800382883652</c:v>
                </c:pt>
                <c:pt idx="687">
                  <c:v>11.888800382883652</c:v>
                </c:pt>
                <c:pt idx="688">
                  <c:v>11.888800382883652</c:v>
                </c:pt>
                <c:pt idx="689">
                  <c:v>11.888800382883652</c:v>
                </c:pt>
                <c:pt idx="690">
                  <c:v>11.888800382883652</c:v>
                </c:pt>
                <c:pt idx="691">
                  <c:v>11.888800382883652</c:v>
                </c:pt>
                <c:pt idx="692">
                  <c:v>11.888800382883652</c:v>
                </c:pt>
                <c:pt idx="693">
                  <c:v>11.888800382883652</c:v>
                </c:pt>
                <c:pt idx="694">
                  <c:v>11.888800382883652</c:v>
                </c:pt>
                <c:pt idx="695">
                  <c:v>11.888800382883652</c:v>
                </c:pt>
                <c:pt idx="696">
                  <c:v>11.888800382883652</c:v>
                </c:pt>
                <c:pt idx="697">
                  <c:v>11.888800382883652</c:v>
                </c:pt>
                <c:pt idx="698">
                  <c:v>11.888800382883652</c:v>
                </c:pt>
                <c:pt idx="699">
                  <c:v>11.888800382883652</c:v>
                </c:pt>
                <c:pt idx="700">
                  <c:v>11.888800382883652</c:v>
                </c:pt>
                <c:pt idx="701">
                  <c:v>11.888800382883652</c:v>
                </c:pt>
                <c:pt idx="702">
                  <c:v>11.888800382883652</c:v>
                </c:pt>
                <c:pt idx="703">
                  <c:v>11.888800382883652</c:v>
                </c:pt>
                <c:pt idx="704">
                  <c:v>11.888800382883652</c:v>
                </c:pt>
                <c:pt idx="705">
                  <c:v>11.888800382883652</c:v>
                </c:pt>
                <c:pt idx="706">
                  <c:v>11.888800382883652</c:v>
                </c:pt>
                <c:pt idx="707">
                  <c:v>11.888800382883652</c:v>
                </c:pt>
                <c:pt idx="708">
                  <c:v>11.888800382883652</c:v>
                </c:pt>
                <c:pt idx="709">
                  <c:v>11.888800382883652</c:v>
                </c:pt>
                <c:pt idx="710">
                  <c:v>11.888800382883652</c:v>
                </c:pt>
                <c:pt idx="711">
                  <c:v>11.888800382883652</c:v>
                </c:pt>
                <c:pt idx="712">
                  <c:v>11.888800382883652</c:v>
                </c:pt>
                <c:pt idx="713">
                  <c:v>11.888800382883652</c:v>
                </c:pt>
                <c:pt idx="714">
                  <c:v>11.888800382883652</c:v>
                </c:pt>
                <c:pt idx="715">
                  <c:v>11.888800382883652</c:v>
                </c:pt>
                <c:pt idx="716">
                  <c:v>11.888800382883652</c:v>
                </c:pt>
                <c:pt idx="717">
                  <c:v>11.888800382883652</c:v>
                </c:pt>
                <c:pt idx="718">
                  <c:v>11.888800382883652</c:v>
                </c:pt>
                <c:pt idx="719">
                  <c:v>11.888800382883652</c:v>
                </c:pt>
                <c:pt idx="720">
                  <c:v>11.888800382883652</c:v>
                </c:pt>
                <c:pt idx="721">
                  <c:v>11.888800382883652</c:v>
                </c:pt>
                <c:pt idx="722">
                  <c:v>11.888800382883652</c:v>
                </c:pt>
                <c:pt idx="723">
                  <c:v>11.888800382883652</c:v>
                </c:pt>
                <c:pt idx="724">
                  <c:v>11.888800382883652</c:v>
                </c:pt>
                <c:pt idx="725">
                  <c:v>11.888800382883652</c:v>
                </c:pt>
                <c:pt idx="726">
                  <c:v>11.888800382883652</c:v>
                </c:pt>
                <c:pt idx="727">
                  <c:v>11.888800382883652</c:v>
                </c:pt>
                <c:pt idx="728">
                  <c:v>11.888800382883652</c:v>
                </c:pt>
                <c:pt idx="729">
                  <c:v>11.888800382883652</c:v>
                </c:pt>
                <c:pt idx="730">
                  <c:v>11.888800382883652</c:v>
                </c:pt>
                <c:pt idx="731">
                  <c:v>11.888800382883652</c:v>
                </c:pt>
                <c:pt idx="732">
                  <c:v>11.888800382883652</c:v>
                </c:pt>
                <c:pt idx="733">
                  <c:v>11.888800382883652</c:v>
                </c:pt>
                <c:pt idx="734">
                  <c:v>11.888800382883652</c:v>
                </c:pt>
                <c:pt idx="735">
                  <c:v>11.888800382883652</c:v>
                </c:pt>
                <c:pt idx="736">
                  <c:v>11.888800382883652</c:v>
                </c:pt>
                <c:pt idx="737">
                  <c:v>11.888800382883652</c:v>
                </c:pt>
                <c:pt idx="738">
                  <c:v>11.888800382883652</c:v>
                </c:pt>
                <c:pt idx="739">
                  <c:v>11.888800382883652</c:v>
                </c:pt>
                <c:pt idx="740">
                  <c:v>11.888800382883652</c:v>
                </c:pt>
                <c:pt idx="741">
                  <c:v>11.888800382883652</c:v>
                </c:pt>
                <c:pt idx="742">
                  <c:v>11.888800382883652</c:v>
                </c:pt>
                <c:pt idx="743">
                  <c:v>11.888800382883652</c:v>
                </c:pt>
                <c:pt idx="744">
                  <c:v>11.888800382883652</c:v>
                </c:pt>
                <c:pt idx="745">
                  <c:v>11.888800382883652</c:v>
                </c:pt>
                <c:pt idx="746">
                  <c:v>11.888800382883652</c:v>
                </c:pt>
                <c:pt idx="747">
                  <c:v>11.888800382883652</c:v>
                </c:pt>
                <c:pt idx="748">
                  <c:v>11.888800382883652</c:v>
                </c:pt>
                <c:pt idx="749">
                  <c:v>11.888800382883652</c:v>
                </c:pt>
                <c:pt idx="750">
                  <c:v>11.888800382883652</c:v>
                </c:pt>
                <c:pt idx="751">
                  <c:v>11.888800382883652</c:v>
                </c:pt>
                <c:pt idx="752">
                  <c:v>11.888800382883652</c:v>
                </c:pt>
                <c:pt idx="753">
                  <c:v>11.888800382883652</c:v>
                </c:pt>
                <c:pt idx="754">
                  <c:v>11.888800382883652</c:v>
                </c:pt>
                <c:pt idx="755">
                  <c:v>11.888800382883652</c:v>
                </c:pt>
                <c:pt idx="756">
                  <c:v>11.888800382883652</c:v>
                </c:pt>
                <c:pt idx="757">
                  <c:v>11.888800382883652</c:v>
                </c:pt>
                <c:pt idx="758">
                  <c:v>11.888800382883652</c:v>
                </c:pt>
                <c:pt idx="759">
                  <c:v>11.888800382883652</c:v>
                </c:pt>
                <c:pt idx="760">
                  <c:v>11.888800382883652</c:v>
                </c:pt>
                <c:pt idx="761">
                  <c:v>11.888800382883652</c:v>
                </c:pt>
                <c:pt idx="762">
                  <c:v>11.888800382883652</c:v>
                </c:pt>
                <c:pt idx="763">
                  <c:v>11.888800382883652</c:v>
                </c:pt>
                <c:pt idx="764">
                  <c:v>11.888800382883652</c:v>
                </c:pt>
                <c:pt idx="765">
                  <c:v>11.888800382883652</c:v>
                </c:pt>
                <c:pt idx="766">
                  <c:v>11.888800382883652</c:v>
                </c:pt>
                <c:pt idx="767">
                  <c:v>11.888800382883652</c:v>
                </c:pt>
                <c:pt idx="768">
                  <c:v>11.888800382883652</c:v>
                </c:pt>
                <c:pt idx="769">
                  <c:v>11.888800382883652</c:v>
                </c:pt>
                <c:pt idx="770">
                  <c:v>11.888800382883652</c:v>
                </c:pt>
                <c:pt idx="771">
                  <c:v>11.888800382883652</c:v>
                </c:pt>
                <c:pt idx="772">
                  <c:v>11.888800382883652</c:v>
                </c:pt>
                <c:pt idx="773">
                  <c:v>11.888800382883652</c:v>
                </c:pt>
                <c:pt idx="774">
                  <c:v>11.888800382883652</c:v>
                </c:pt>
                <c:pt idx="775">
                  <c:v>11.888800382883652</c:v>
                </c:pt>
                <c:pt idx="776">
                  <c:v>11.888800382883652</c:v>
                </c:pt>
                <c:pt idx="777">
                  <c:v>11.888800382883652</c:v>
                </c:pt>
                <c:pt idx="778">
                  <c:v>11.888800382883652</c:v>
                </c:pt>
                <c:pt idx="779">
                  <c:v>11.888800382883652</c:v>
                </c:pt>
                <c:pt idx="780">
                  <c:v>11.888800382883652</c:v>
                </c:pt>
                <c:pt idx="781">
                  <c:v>11.888800382883652</c:v>
                </c:pt>
                <c:pt idx="782">
                  <c:v>11.888800382883652</c:v>
                </c:pt>
                <c:pt idx="783">
                  <c:v>11.888800382883652</c:v>
                </c:pt>
                <c:pt idx="784">
                  <c:v>11.888800382883652</c:v>
                </c:pt>
                <c:pt idx="785">
                  <c:v>11.888800382883652</c:v>
                </c:pt>
                <c:pt idx="786">
                  <c:v>11.888800382883652</c:v>
                </c:pt>
                <c:pt idx="787">
                  <c:v>11.888800382883652</c:v>
                </c:pt>
                <c:pt idx="788">
                  <c:v>11.888800382883652</c:v>
                </c:pt>
                <c:pt idx="789">
                  <c:v>11.888800382883652</c:v>
                </c:pt>
                <c:pt idx="790">
                  <c:v>11.888800382883652</c:v>
                </c:pt>
                <c:pt idx="791">
                  <c:v>11.888800382883652</c:v>
                </c:pt>
                <c:pt idx="792">
                  <c:v>11.888800382883652</c:v>
                </c:pt>
                <c:pt idx="793">
                  <c:v>11.888800382883652</c:v>
                </c:pt>
                <c:pt idx="794">
                  <c:v>11.888800382883652</c:v>
                </c:pt>
                <c:pt idx="795">
                  <c:v>11.888800382883652</c:v>
                </c:pt>
                <c:pt idx="796">
                  <c:v>11.888800382883652</c:v>
                </c:pt>
                <c:pt idx="797">
                  <c:v>11.888800382883652</c:v>
                </c:pt>
                <c:pt idx="798">
                  <c:v>11.888800382883652</c:v>
                </c:pt>
                <c:pt idx="799">
                  <c:v>11.888800382883652</c:v>
                </c:pt>
                <c:pt idx="800">
                  <c:v>11.888800382883652</c:v>
                </c:pt>
                <c:pt idx="801">
                  <c:v>11.888800382883652</c:v>
                </c:pt>
                <c:pt idx="802">
                  <c:v>11.888800382883652</c:v>
                </c:pt>
                <c:pt idx="803">
                  <c:v>11.888800382883652</c:v>
                </c:pt>
                <c:pt idx="804">
                  <c:v>11.888800382883652</c:v>
                </c:pt>
                <c:pt idx="805">
                  <c:v>11.888800382883652</c:v>
                </c:pt>
                <c:pt idx="806">
                  <c:v>11.888800382883652</c:v>
                </c:pt>
                <c:pt idx="807">
                  <c:v>11.888800382883652</c:v>
                </c:pt>
                <c:pt idx="808">
                  <c:v>11.888800382883652</c:v>
                </c:pt>
                <c:pt idx="809">
                  <c:v>11.888800382883652</c:v>
                </c:pt>
                <c:pt idx="810">
                  <c:v>11.888800382883652</c:v>
                </c:pt>
                <c:pt idx="811">
                  <c:v>11.888800382883652</c:v>
                </c:pt>
                <c:pt idx="812">
                  <c:v>11.888800382883652</c:v>
                </c:pt>
                <c:pt idx="813">
                  <c:v>11.888800382883652</c:v>
                </c:pt>
                <c:pt idx="814">
                  <c:v>11.888800382883652</c:v>
                </c:pt>
                <c:pt idx="815">
                  <c:v>11.888800382883652</c:v>
                </c:pt>
                <c:pt idx="816">
                  <c:v>11.888800382883652</c:v>
                </c:pt>
                <c:pt idx="817">
                  <c:v>11.888800382883652</c:v>
                </c:pt>
                <c:pt idx="818">
                  <c:v>11.888800382883652</c:v>
                </c:pt>
                <c:pt idx="819">
                  <c:v>11.888800382883652</c:v>
                </c:pt>
                <c:pt idx="820">
                  <c:v>11.888800382883652</c:v>
                </c:pt>
                <c:pt idx="821">
                  <c:v>11.888800382883652</c:v>
                </c:pt>
                <c:pt idx="822">
                  <c:v>11.888800382883652</c:v>
                </c:pt>
                <c:pt idx="823">
                  <c:v>11.888800382883652</c:v>
                </c:pt>
                <c:pt idx="824">
                  <c:v>11.888800382883652</c:v>
                </c:pt>
                <c:pt idx="825">
                  <c:v>11.888800382883652</c:v>
                </c:pt>
                <c:pt idx="826">
                  <c:v>11.888800382883652</c:v>
                </c:pt>
                <c:pt idx="827">
                  <c:v>11.888800382883652</c:v>
                </c:pt>
                <c:pt idx="828">
                  <c:v>11.888800382883652</c:v>
                </c:pt>
                <c:pt idx="829">
                  <c:v>11.888800382883652</c:v>
                </c:pt>
                <c:pt idx="830">
                  <c:v>11.888800382883652</c:v>
                </c:pt>
                <c:pt idx="831">
                  <c:v>11.888800382883652</c:v>
                </c:pt>
                <c:pt idx="832">
                  <c:v>11.888800382883652</c:v>
                </c:pt>
                <c:pt idx="833">
                  <c:v>11.888800382883652</c:v>
                </c:pt>
                <c:pt idx="834">
                  <c:v>11.888800382883652</c:v>
                </c:pt>
                <c:pt idx="835">
                  <c:v>11.888800382883652</c:v>
                </c:pt>
                <c:pt idx="836">
                  <c:v>11.888800382883652</c:v>
                </c:pt>
                <c:pt idx="837">
                  <c:v>11.888800382883652</c:v>
                </c:pt>
                <c:pt idx="838">
                  <c:v>11.888800382883652</c:v>
                </c:pt>
                <c:pt idx="839">
                  <c:v>11.888800382883652</c:v>
                </c:pt>
                <c:pt idx="840">
                  <c:v>11.888800382883652</c:v>
                </c:pt>
                <c:pt idx="841">
                  <c:v>11.888800382883652</c:v>
                </c:pt>
                <c:pt idx="842">
                  <c:v>11.888800382883652</c:v>
                </c:pt>
                <c:pt idx="843">
                  <c:v>11.888800382883652</c:v>
                </c:pt>
                <c:pt idx="844">
                  <c:v>11.888800382883652</c:v>
                </c:pt>
                <c:pt idx="845">
                  <c:v>11.888800382883652</c:v>
                </c:pt>
                <c:pt idx="846">
                  <c:v>11.888800382883652</c:v>
                </c:pt>
                <c:pt idx="847">
                  <c:v>11.888800382883652</c:v>
                </c:pt>
                <c:pt idx="848">
                  <c:v>11.888800382883652</c:v>
                </c:pt>
                <c:pt idx="849">
                  <c:v>11.888800382883652</c:v>
                </c:pt>
                <c:pt idx="850">
                  <c:v>11.888800382883652</c:v>
                </c:pt>
                <c:pt idx="851">
                  <c:v>11.888800382883652</c:v>
                </c:pt>
                <c:pt idx="852">
                  <c:v>11.888800382883652</c:v>
                </c:pt>
                <c:pt idx="853">
                  <c:v>11.888800382883652</c:v>
                </c:pt>
                <c:pt idx="854">
                  <c:v>11.888800382883652</c:v>
                </c:pt>
                <c:pt idx="855">
                  <c:v>11.888800382883652</c:v>
                </c:pt>
                <c:pt idx="856">
                  <c:v>11.888800382883652</c:v>
                </c:pt>
                <c:pt idx="857">
                  <c:v>11.888800382883652</c:v>
                </c:pt>
                <c:pt idx="858">
                  <c:v>11.888800382883652</c:v>
                </c:pt>
                <c:pt idx="859">
                  <c:v>11.888800382883652</c:v>
                </c:pt>
                <c:pt idx="860">
                  <c:v>11.888800382883652</c:v>
                </c:pt>
                <c:pt idx="861">
                  <c:v>11.888800382883652</c:v>
                </c:pt>
                <c:pt idx="862">
                  <c:v>11.888800382883652</c:v>
                </c:pt>
                <c:pt idx="863">
                  <c:v>11.888800382883652</c:v>
                </c:pt>
                <c:pt idx="864">
                  <c:v>11.888800382883652</c:v>
                </c:pt>
                <c:pt idx="865">
                  <c:v>11.888800382883652</c:v>
                </c:pt>
                <c:pt idx="866">
                  <c:v>11.888800382883652</c:v>
                </c:pt>
                <c:pt idx="867">
                  <c:v>11.888800382883652</c:v>
                </c:pt>
                <c:pt idx="868">
                  <c:v>11.888800382883652</c:v>
                </c:pt>
                <c:pt idx="869">
                  <c:v>11.888800382883652</c:v>
                </c:pt>
                <c:pt idx="870">
                  <c:v>11.888800382883652</c:v>
                </c:pt>
                <c:pt idx="871">
                  <c:v>11.888800382883652</c:v>
                </c:pt>
                <c:pt idx="872">
                  <c:v>11.888800382883652</c:v>
                </c:pt>
                <c:pt idx="873">
                  <c:v>11.888800382883652</c:v>
                </c:pt>
                <c:pt idx="874">
                  <c:v>11.888800382883652</c:v>
                </c:pt>
                <c:pt idx="875">
                  <c:v>11.888800382883652</c:v>
                </c:pt>
                <c:pt idx="876">
                  <c:v>11.888800382883652</c:v>
                </c:pt>
                <c:pt idx="877">
                  <c:v>11.888800382883652</c:v>
                </c:pt>
                <c:pt idx="878">
                  <c:v>11.888800382883652</c:v>
                </c:pt>
                <c:pt idx="879">
                  <c:v>11.888800382883652</c:v>
                </c:pt>
                <c:pt idx="880">
                  <c:v>11.888800382883652</c:v>
                </c:pt>
                <c:pt idx="881">
                  <c:v>11.888800382883652</c:v>
                </c:pt>
                <c:pt idx="882">
                  <c:v>11.888800382883652</c:v>
                </c:pt>
                <c:pt idx="883">
                  <c:v>11.888800382883652</c:v>
                </c:pt>
                <c:pt idx="884">
                  <c:v>11.888800382883652</c:v>
                </c:pt>
                <c:pt idx="885">
                  <c:v>11.888800382883652</c:v>
                </c:pt>
                <c:pt idx="886">
                  <c:v>11.888800382883652</c:v>
                </c:pt>
                <c:pt idx="887">
                  <c:v>11.888800382883652</c:v>
                </c:pt>
                <c:pt idx="888">
                  <c:v>11.888800382883652</c:v>
                </c:pt>
                <c:pt idx="889">
                  <c:v>11.888800382883652</c:v>
                </c:pt>
                <c:pt idx="890">
                  <c:v>11.888800382883652</c:v>
                </c:pt>
                <c:pt idx="891">
                  <c:v>11.888800382883652</c:v>
                </c:pt>
                <c:pt idx="892">
                  <c:v>11.888800382883652</c:v>
                </c:pt>
                <c:pt idx="893">
                  <c:v>11.888800382883652</c:v>
                </c:pt>
                <c:pt idx="894">
                  <c:v>11.888800382883652</c:v>
                </c:pt>
                <c:pt idx="895">
                  <c:v>11.888800382883652</c:v>
                </c:pt>
                <c:pt idx="896">
                  <c:v>11.888800382883652</c:v>
                </c:pt>
                <c:pt idx="897">
                  <c:v>11.888800382883652</c:v>
                </c:pt>
                <c:pt idx="898">
                  <c:v>11.888800382883652</c:v>
                </c:pt>
                <c:pt idx="899">
                  <c:v>11.888800382883652</c:v>
                </c:pt>
                <c:pt idx="900">
                  <c:v>11.888800382883652</c:v>
                </c:pt>
                <c:pt idx="901">
                  <c:v>11.888800382883652</c:v>
                </c:pt>
                <c:pt idx="902">
                  <c:v>11.888800382883652</c:v>
                </c:pt>
                <c:pt idx="903">
                  <c:v>11.888800382883652</c:v>
                </c:pt>
                <c:pt idx="904">
                  <c:v>11.888800382883652</c:v>
                </c:pt>
                <c:pt idx="905">
                  <c:v>11.888800382883652</c:v>
                </c:pt>
                <c:pt idx="906">
                  <c:v>11.888800382883652</c:v>
                </c:pt>
                <c:pt idx="907">
                  <c:v>11.888800382883652</c:v>
                </c:pt>
                <c:pt idx="908">
                  <c:v>11.888800382883652</c:v>
                </c:pt>
                <c:pt idx="909">
                  <c:v>11.888800382883652</c:v>
                </c:pt>
                <c:pt idx="910">
                  <c:v>11.888800382883652</c:v>
                </c:pt>
                <c:pt idx="911">
                  <c:v>11.888800382883652</c:v>
                </c:pt>
                <c:pt idx="912">
                  <c:v>11.888800382883652</c:v>
                </c:pt>
                <c:pt idx="913">
                  <c:v>11.888800382883652</c:v>
                </c:pt>
                <c:pt idx="914">
                  <c:v>11.888800382883652</c:v>
                </c:pt>
                <c:pt idx="915">
                  <c:v>11.888800382883652</c:v>
                </c:pt>
                <c:pt idx="916">
                  <c:v>11.888800382883652</c:v>
                </c:pt>
                <c:pt idx="917">
                  <c:v>11.888800382883652</c:v>
                </c:pt>
                <c:pt idx="918">
                  <c:v>11.888800382883652</c:v>
                </c:pt>
                <c:pt idx="919">
                  <c:v>11.888800382883652</c:v>
                </c:pt>
                <c:pt idx="920">
                  <c:v>11.888800382883652</c:v>
                </c:pt>
                <c:pt idx="921">
                  <c:v>11.888800382883652</c:v>
                </c:pt>
                <c:pt idx="922">
                  <c:v>11.888800382883652</c:v>
                </c:pt>
                <c:pt idx="923">
                  <c:v>11.888800382883652</c:v>
                </c:pt>
                <c:pt idx="924">
                  <c:v>11.888800382883652</c:v>
                </c:pt>
                <c:pt idx="925">
                  <c:v>11.888800382883652</c:v>
                </c:pt>
                <c:pt idx="926">
                  <c:v>11.888800382883652</c:v>
                </c:pt>
                <c:pt idx="927">
                  <c:v>11.888800382883652</c:v>
                </c:pt>
                <c:pt idx="928">
                  <c:v>11.888800382883652</c:v>
                </c:pt>
                <c:pt idx="929">
                  <c:v>11.888800382883652</c:v>
                </c:pt>
                <c:pt idx="930">
                  <c:v>11.888800382883652</c:v>
                </c:pt>
                <c:pt idx="931">
                  <c:v>11.888800382883652</c:v>
                </c:pt>
                <c:pt idx="932">
                  <c:v>11.888800382883652</c:v>
                </c:pt>
                <c:pt idx="933">
                  <c:v>11.888800382883652</c:v>
                </c:pt>
                <c:pt idx="934">
                  <c:v>11.888800382883652</c:v>
                </c:pt>
                <c:pt idx="935">
                  <c:v>11.888800382883652</c:v>
                </c:pt>
                <c:pt idx="936">
                  <c:v>11.888800382883652</c:v>
                </c:pt>
                <c:pt idx="937">
                  <c:v>11.888800382883652</c:v>
                </c:pt>
                <c:pt idx="938">
                  <c:v>11.888800382883652</c:v>
                </c:pt>
                <c:pt idx="939">
                  <c:v>11.888800382883652</c:v>
                </c:pt>
                <c:pt idx="940">
                  <c:v>11.888800382883652</c:v>
                </c:pt>
                <c:pt idx="941">
                  <c:v>11.888800382883652</c:v>
                </c:pt>
                <c:pt idx="942">
                  <c:v>11.888800382883652</c:v>
                </c:pt>
                <c:pt idx="943">
                  <c:v>11.888800382883652</c:v>
                </c:pt>
                <c:pt idx="944">
                  <c:v>11.888800382883652</c:v>
                </c:pt>
                <c:pt idx="945">
                  <c:v>11.888800382883652</c:v>
                </c:pt>
                <c:pt idx="946">
                  <c:v>11.888800382883652</c:v>
                </c:pt>
                <c:pt idx="947">
                  <c:v>11.888800382883652</c:v>
                </c:pt>
                <c:pt idx="948">
                  <c:v>11.888800382883652</c:v>
                </c:pt>
                <c:pt idx="949">
                  <c:v>11.888800382883652</c:v>
                </c:pt>
                <c:pt idx="950">
                  <c:v>11.888800382883652</c:v>
                </c:pt>
                <c:pt idx="951">
                  <c:v>11.888800382883652</c:v>
                </c:pt>
                <c:pt idx="952">
                  <c:v>11.888800382883652</c:v>
                </c:pt>
                <c:pt idx="953">
                  <c:v>11.888800382883652</c:v>
                </c:pt>
                <c:pt idx="954">
                  <c:v>11.888800382883652</c:v>
                </c:pt>
                <c:pt idx="955">
                  <c:v>11.888800382883652</c:v>
                </c:pt>
                <c:pt idx="956">
                  <c:v>11.888800382883652</c:v>
                </c:pt>
                <c:pt idx="957">
                  <c:v>11.888800382883652</c:v>
                </c:pt>
                <c:pt idx="958">
                  <c:v>11.888800382883652</c:v>
                </c:pt>
                <c:pt idx="959">
                  <c:v>11.888800382883652</c:v>
                </c:pt>
                <c:pt idx="960">
                  <c:v>11.888800382883652</c:v>
                </c:pt>
                <c:pt idx="961">
                  <c:v>11.888800382883652</c:v>
                </c:pt>
                <c:pt idx="962">
                  <c:v>11.888800382883652</c:v>
                </c:pt>
                <c:pt idx="963">
                  <c:v>11.888800382883652</c:v>
                </c:pt>
                <c:pt idx="964">
                  <c:v>11.888800382883652</c:v>
                </c:pt>
                <c:pt idx="965">
                  <c:v>11.888800382883652</c:v>
                </c:pt>
                <c:pt idx="966">
                  <c:v>11.888800382883652</c:v>
                </c:pt>
                <c:pt idx="967">
                  <c:v>11.888800382883652</c:v>
                </c:pt>
                <c:pt idx="968">
                  <c:v>11.888800382883652</c:v>
                </c:pt>
                <c:pt idx="969">
                  <c:v>11.888800382883652</c:v>
                </c:pt>
                <c:pt idx="970">
                  <c:v>11.888800382883652</c:v>
                </c:pt>
                <c:pt idx="971">
                  <c:v>11.888800382883652</c:v>
                </c:pt>
                <c:pt idx="972">
                  <c:v>11.888800382883652</c:v>
                </c:pt>
                <c:pt idx="973">
                  <c:v>11.888800382883652</c:v>
                </c:pt>
                <c:pt idx="974">
                  <c:v>11.888800382883652</c:v>
                </c:pt>
                <c:pt idx="975">
                  <c:v>11.888800382883652</c:v>
                </c:pt>
                <c:pt idx="976">
                  <c:v>11.888800382883652</c:v>
                </c:pt>
                <c:pt idx="977">
                  <c:v>11.888800382883652</c:v>
                </c:pt>
                <c:pt idx="978">
                  <c:v>11.888800382883652</c:v>
                </c:pt>
                <c:pt idx="979">
                  <c:v>11.888800382883652</c:v>
                </c:pt>
                <c:pt idx="980">
                  <c:v>11.888800382883652</c:v>
                </c:pt>
                <c:pt idx="981">
                  <c:v>11.888800382883652</c:v>
                </c:pt>
                <c:pt idx="982">
                  <c:v>11.888800382883652</c:v>
                </c:pt>
                <c:pt idx="983">
                  <c:v>11.888800382883652</c:v>
                </c:pt>
                <c:pt idx="984">
                  <c:v>11.888800382883652</c:v>
                </c:pt>
                <c:pt idx="985">
                  <c:v>11.888800382883652</c:v>
                </c:pt>
                <c:pt idx="986">
                  <c:v>11.888800382883652</c:v>
                </c:pt>
                <c:pt idx="987">
                  <c:v>11.888800382883652</c:v>
                </c:pt>
                <c:pt idx="988">
                  <c:v>11.888800382883652</c:v>
                </c:pt>
                <c:pt idx="989">
                  <c:v>11.888800382883652</c:v>
                </c:pt>
                <c:pt idx="990">
                  <c:v>11.888800382883652</c:v>
                </c:pt>
                <c:pt idx="991">
                  <c:v>11.888800382883652</c:v>
                </c:pt>
                <c:pt idx="992">
                  <c:v>11.888800382883652</c:v>
                </c:pt>
                <c:pt idx="993">
                  <c:v>11.888800382883652</c:v>
                </c:pt>
                <c:pt idx="994">
                  <c:v>11.888800382883652</c:v>
                </c:pt>
                <c:pt idx="995">
                  <c:v>11.888800382883652</c:v>
                </c:pt>
                <c:pt idx="996">
                  <c:v>11.888800382883652</c:v>
                </c:pt>
                <c:pt idx="997">
                  <c:v>11.888800382883652</c:v>
                </c:pt>
                <c:pt idx="998">
                  <c:v>11.888800382883652</c:v>
                </c:pt>
                <c:pt idx="999">
                  <c:v>11.888800382883652</c:v>
                </c:pt>
                <c:pt idx="1000">
                  <c:v>11.888800382883652</c:v>
                </c:pt>
                <c:pt idx="1001">
                  <c:v>11.888800382883652</c:v>
                </c:pt>
                <c:pt idx="1002">
                  <c:v>11.888800382883652</c:v>
                </c:pt>
                <c:pt idx="1003">
                  <c:v>11.888800382883652</c:v>
                </c:pt>
                <c:pt idx="1004">
                  <c:v>11.888800382883652</c:v>
                </c:pt>
                <c:pt idx="1005">
                  <c:v>11.888800382883652</c:v>
                </c:pt>
                <c:pt idx="1006">
                  <c:v>11.888800382883652</c:v>
                </c:pt>
                <c:pt idx="1007">
                  <c:v>11.888800382883652</c:v>
                </c:pt>
                <c:pt idx="1008">
                  <c:v>11.888800382883652</c:v>
                </c:pt>
                <c:pt idx="1009">
                  <c:v>11.888800382883652</c:v>
                </c:pt>
                <c:pt idx="1010">
                  <c:v>11.888800382883652</c:v>
                </c:pt>
                <c:pt idx="1011">
                  <c:v>11.888800382883652</c:v>
                </c:pt>
                <c:pt idx="1012">
                  <c:v>11.888800382883652</c:v>
                </c:pt>
                <c:pt idx="1013">
                  <c:v>11.888800382883652</c:v>
                </c:pt>
                <c:pt idx="1014">
                  <c:v>11.888800382883652</c:v>
                </c:pt>
                <c:pt idx="1015">
                  <c:v>11.888800382883652</c:v>
                </c:pt>
                <c:pt idx="1016">
                  <c:v>11.888800382883652</c:v>
                </c:pt>
                <c:pt idx="1017">
                  <c:v>11.888800382883652</c:v>
                </c:pt>
                <c:pt idx="1018">
                  <c:v>11.888800382883652</c:v>
                </c:pt>
                <c:pt idx="1019">
                  <c:v>11.888800382883652</c:v>
                </c:pt>
                <c:pt idx="1020">
                  <c:v>11.888800382883652</c:v>
                </c:pt>
                <c:pt idx="1021">
                  <c:v>11.888800382883652</c:v>
                </c:pt>
                <c:pt idx="1022">
                  <c:v>11.888800382883652</c:v>
                </c:pt>
                <c:pt idx="1023">
                  <c:v>11.888800382883652</c:v>
                </c:pt>
                <c:pt idx="1024">
                  <c:v>11.888800382883652</c:v>
                </c:pt>
                <c:pt idx="1025">
                  <c:v>11.888800382883652</c:v>
                </c:pt>
                <c:pt idx="1026">
                  <c:v>11.888800382883652</c:v>
                </c:pt>
                <c:pt idx="1027">
                  <c:v>11.888800382883652</c:v>
                </c:pt>
                <c:pt idx="1028">
                  <c:v>11.888800382883652</c:v>
                </c:pt>
                <c:pt idx="1029">
                  <c:v>11.888800382883652</c:v>
                </c:pt>
                <c:pt idx="1030">
                  <c:v>11.888800382883652</c:v>
                </c:pt>
                <c:pt idx="1031">
                  <c:v>11.888800382883652</c:v>
                </c:pt>
                <c:pt idx="1032">
                  <c:v>11.888800382883652</c:v>
                </c:pt>
                <c:pt idx="1033">
                  <c:v>11.888800382883652</c:v>
                </c:pt>
                <c:pt idx="1034">
                  <c:v>11.888800382883652</c:v>
                </c:pt>
                <c:pt idx="1035">
                  <c:v>11.888800382883652</c:v>
                </c:pt>
                <c:pt idx="1036">
                  <c:v>11.888800382883652</c:v>
                </c:pt>
                <c:pt idx="1037">
                  <c:v>11.888800382883652</c:v>
                </c:pt>
                <c:pt idx="1038">
                  <c:v>11.888800382883652</c:v>
                </c:pt>
                <c:pt idx="1039">
                  <c:v>11.888800382883652</c:v>
                </c:pt>
                <c:pt idx="1040">
                  <c:v>11.888800382883652</c:v>
                </c:pt>
                <c:pt idx="1041">
                  <c:v>11.888800382883652</c:v>
                </c:pt>
                <c:pt idx="1042">
                  <c:v>11.888800382883652</c:v>
                </c:pt>
                <c:pt idx="1043">
                  <c:v>11.888800382883652</c:v>
                </c:pt>
                <c:pt idx="1044">
                  <c:v>11.888800382883652</c:v>
                </c:pt>
                <c:pt idx="1045">
                  <c:v>11.888800382883652</c:v>
                </c:pt>
                <c:pt idx="1046">
                  <c:v>11.888800382883652</c:v>
                </c:pt>
                <c:pt idx="1047">
                  <c:v>11.888800382883652</c:v>
                </c:pt>
                <c:pt idx="1048">
                  <c:v>11.888800382883652</c:v>
                </c:pt>
                <c:pt idx="1049">
                  <c:v>11.888800382883652</c:v>
                </c:pt>
                <c:pt idx="1050">
                  <c:v>11.888800382883652</c:v>
                </c:pt>
                <c:pt idx="1051">
                  <c:v>11.888800382883652</c:v>
                </c:pt>
                <c:pt idx="1052">
                  <c:v>11.888800382883652</c:v>
                </c:pt>
                <c:pt idx="1053">
                  <c:v>11.888800382883652</c:v>
                </c:pt>
                <c:pt idx="1054">
                  <c:v>11.888800382883652</c:v>
                </c:pt>
                <c:pt idx="1055">
                  <c:v>11.888800382883652</c:v>
                </c:pt>
                <c:pt idx="1056">
                  <c:v>11.888800382883652</c:v>
                </c:pt>
                <c:pt idx="1057">
                  <c:v>11.888800382883652</c:v>
                </c:pt>
                <c:pt idx="1058">
                  <c:v>11.888800382883652</c:v>
                </c:pt>
                <c:pt idx="1059">
                  <c:v>11.888800382883652</c:v>
                </c:pt>
                <c:pt idx="1060">
                  <c:v>11.888800382883652</c:v>
                </c:pt>
                <c:pt idx="1061">
                  <c:v>11.888800382883652</c:v>
                </c:pt>
                <c:pt idx="1062">
                  <c:v>11.888800382883652</c:v>
                </c:pt>
                <c:pt idx="1063">
                  <c:v>11.888800382883652</c:v>
                </c:pt>
                <c:pt idx="1064">
                  <c:v>11.888800382883652</c:v>
                </c:pt>
                <c:pt idx="1065">
                  <c:v>11.888800382883652</c:v>
                </c:pt>
                <c:pt idx="1066">
                  <c:v>11.888800382883652</c:v>
                </c:pt>
                <c:pt idx="1067">
                  <c:v>11.888800382883652</c:v>
                </c:pt>
                <c:pt idx="1068">
                  <c:v>11.888800382883652</c:v>
                </c:pt>
                <c:pt idx="1069">
                  <c:v>11.888800382883652</c:v>
                </c:pt>
                <c:pt idx="1070">
                  <c:v>11.888800382883652</c:v>
                </c:pt>
                <c:pt idx="1071">
                  <c:v>11.888800382883652</c:v>
                </c:pt>
                <c:pt idx="1072">
                  <c:v>11.888800382883652</c:v>
                </c:pt>
                <c:pt idx="1073">
                  <c:v>11.888800382883652</c:v>
                </c:pt>
                <c:pt idx="1074">
                  <c:v>11.888800382883652</c:v>
                </c:pt>
                <c:pt idx="1075">
                  <c:v>11.888800382883652</c:v>
                </c:pt>
                <c:pt idx="1076">
                  <c:v>11.888800382883652</c:v>
                </c:pt>
                <c:pt idx="1077">
                  <c:v>11.888800382883652</c:v>
                </c:pt>
                <c:pt idx="1078">
                  <c:v>11.888800382883652</c:v>
                </c:pt>
                <c:pt idx="1079">
                  <c:v>11.888800382883652</c:v>
                </c:pt>
                <c:pt idx="1080">
                  <c:v>11.888800382883652</c:v>
                </c:pt>
                <c:pt idx="1081">
                  <c:v>11.888800382883652</c:v>
                </c:pt>
                <c:pt idx="1082">
                  <c:v>11.888800382883652</c:v>
                </c:pt>
                <c:pt idx="1083">
                  <c:v>11.888800382883652</c:v>
                </c:pt>
                <c:pt idx="1084">
                  <c:v>11.888800382883652</c:v>
                </c:pt>
                <c:pt idx="1085">
                  <c:v>11.888800382883652</c:v>
                </c:pt>
                <c:pt idx="1086">
                  <c:v>11.888800382883652</c:v>
                </c:pt>
                <c:pt idx="1087">
                  <c:v>11.888800382883652</c:v>
                </c:pt>
                <c:pt idx="1088">
                  <c:v>11.888800382883652</c:v>
                </c:pt>
                <c:pt idx="1089">
                  <c:v>11.888800382883652</c:v>
                </c:pt>
                <c:pt idx="1090">
                  <c:v>11.888800382883652</c:v>
                </c:pt>
                <c:pt idx="1091">
                  <c:v>11.888800382883652</c:v>
                </c:pt>
                <c:pt idx="1092">
                  <c:v>11.888800382883652</c:v>
                </c:pt>
                <c:pt idx="1093">
                  <c:v>11.888800382883652</c:v>
                </c:pt>
                <c:pt idx="1094">
                  <c:v>11.888800382883652</c:v>
                </c:pt>
                <c:pt idx="1095">
                  <c:v>11.888800382883652</c:v>
                </c:pt>
                <c:pt idx="1096">
                  <c:v>11.888800382883652</c:v>
                </c:pt>
                <c:pt idx="1097">
                  <c:v>11.888800382883652</c:v>
                </c:pt>
                <c:pt idx="1098">
                  <c:v>11.888800382883652</c:v>
                </c:pt>
                <c:pt idx="1099">
                  <c:v>11.888800382883652</c:v>
                </c:pt>
                <c:pt idx="1100">
                  <c:v>11.888800382883652</c:v>
                </c:pt>
                <c:pt idx="1101">
                  <c:v>11.888800382883652</c:v>
                </c:pt>
                <c:pt idx="1102">
                  <c:v>11.888800382883652</c:v>
                </c:pt>
                <c:pt idx="1103">
                  <c:v>11.888800382883652</c:v>
                </c:pt>
                <c:pt idx="1104">
                  <c:v>11.888800382883652</c:v>
                </c:pt>
                <c:pt idx="1105">
                  <c:v>11.888800382883652</c:v>
                </c:pt>
                <c:pt idx="1106">
                  <c:v>11.888800382883652</c:v>
                </c:pt>
                <c:pt idx="1107">
                  <c:v>11.888800382883652</c:v>
                </c:pt>
                <c:pt idx="1108">
                  <c:v>11.888800382883652</c:v>
                </c:pt>
                <c:pt idx="1109">
                  <c:v>11.888800382883652</c:v>
                </c:pt>
                <c:pt idx="1110">
                  <c:v>11.888800382883652</c:v>
                </c:pt>
                <c:pt idx="1111">
                  <c:v>11.888800382883652</c:v>
                </c:pt>
                <c:pt idx="1112">
                  <c:v>11.888800382883652</c:v>
                </c:pt>
                <c:pt idx="1113">
                  <c:v>11.888800382883652</c:v>
                </c:pt>
                <c:pt idx="1114">
                  <c:v>11.888800382883652</c:v>
                </c:pt>
                <c:pt idx="1115">
                  <c:v>11.888800382883652</c:v>
                </c:pt>
                <c:pt idx="1116">
                  <c:v>11.888800382883652</c:v>
                </c:pt>
                <c:pt idx="1117">
                  <c:v>11.888800382883652</c:v>
                </c:pt>
                <c:pt idx="1118">
                  <c:v>11.888800382883652</c:v>
                </c:pt>
                <c:pt idx="1119">
                  <c:v>11.888800382883652</c:v>
                </c:pt>
                <c:pt idx="1120">
                  <c:v>11.888800382883652</c:v>
                </c:pt>
                <c:pt idx="1121">
                  <c:v>11.888800382883652</c:v>
                </c:pt>
                <c:pt idx="1122">
                  <c:v>11.888800382883652</c:v>
                </c:pt>
                <c:pt idx="1123">
                  <c:v>11.888800382883652</c:v>
                </c:pt>
                <c:pt idx="1124">
                  <c:v>11.888800382883652</c:v>
                </c:pt>
                <c:pt idx="1125">
                  <c:v>11.888800382883652</c:v>
                </c:pt>
                <c:pt idx="1126">
                  <c:v>11.888800382883652</c:v>
                </c:pt>
                <c:pt idx="1127">
                  <c:v>11.888800382883652</c:v>
                </c:pt>
                <c:pt idx="1128">
                  <c:v>11.888800382883652</c:v>
                </c:pt>
                <c:pt idx="1129">
                  <c:v>11.888800382883652</c:v>
                </c:pt>
                <c:pt idx="1130">
                  <c:v>11.888800382883652</c:v>
                </c:pt>
                <c:pt idx="1131">
                  <c:v>11.888800382883652</c:v>
                </c:pt>
                <c:pt idx="1132">
                  <c:v>11.888800382883652</c:v>
                </c:pt>
                <c:pt idx="1133">
                  <c:v>11.888800382883652</c:v>
                </c:pt>
                <c:pt idx="1134">
                  <c:v>11.888800382883652</c:v>
                </c:pt>
                <c:pt idx="1135">
                  <c:v>11.888800382883652</c:v>
                </c:pt>
                <c:pt idx="1136">
                  <c:v>11.888800382883652</c:v>
                </c:pt>
                <c:pt idx="1137">
                  <c:v>11.888800382883652</c:v>
                </c:pt>
                <c:pt idx="1138">
                  <c:v>11.888800382883652</c:v>
                </c:pt>
                <c:pt idx="1139">
                  <c:v>11.888800382883652</c:v>
                </c:pt>
                <c:pt idx="1140">
                  <c:v>11.888800382883652</c:v>
                </c:pt>
                <c:pt idx="1141">
                  <c:v>11.888800382883652</c:v>
                </c:pt>
                <c:pt idx="1142">
                  <c:v>11.888800382883652</c:v>
                </c:pt>
                <c:pt idx="1143">
                  <c:v>11.888800382883652</c:v>
                </c:pt>
                <c:pt idx="1144">
                  <c:v>11.888800382883652</c:v>
                </c:pt>
                <c:pt idx="1145">
                  <c:v>11.888800382883652</c:v>
                </c:pt>
                <c:pt idx="1146">
                  <c:v>11.888800382883652</c:v>
                </c:pt>
                <c:pt idx="1147">
                  <c:v>11.888800382883652</c:v>
                </c:pt>
                <c:pt idx="1148">
                  <c:v>11.888800382883652</c:v>
                </c:pt>
                <c:pt idx="1149">
                  <c:v>11.888800382883652</c:v>
                </c:pt>
                <c:pt idx="1150">
                  <c:v>11.888800382883652</c:v>
                </c:pt>
                <c:pt idx="1151">
                  <c:v>11.888800382883652</c:v>
                </c:pt>
                <c:pt idx="1152">
                  <c:v>11.888800382883652</c:v>
                </c:pt>
                <c:pt idx="1153">
                  <c:v>11.888800382883652</c:v>
                </c:pt>
                <c:pt idx="1154">
                  <c:v>11.888800382883652</c:v>
                </c:pt>
                <c:pt idx="1155">
                  <c:v>11.888800382883652</c:v>
                </c:pt>
                <c:pt idx="1156">
                  <c:v>11.888800382883652</c:v>
                </c:pt>
                <c:pt idx="1157">
                  <c:v>11.888800382883652</c:v>
                </c:pt>
                <c:pt idx="1158">
                  <c:v>11.888800382883652</c:v>
                </c:pt>
                <c:pt idx="1159">
                  <c:v>11.888800382883652</c:v>
                </c:pt>
                <c:pt idx="1160">
                  <c:v>11.888800382883652</c:v>
                </c:pt>
                <c:pt idx="1161">
                  <c:v>11.888800382883652</c:v>
                </c:pt>
                <c:pt idx="1162">
                  <c:v>11.888800382883652</c:v>
                </c:pt>
                <c:pt idx="1163">
                  <c:v>11.888800382883652</c:v>
                </c:pt>
                <c:pt idx="1164">
                  <c:v>11.888800382883652</c:v>
                </c:pt>
                <c:pt idx="1165">
                  <c:v>11.888800382883652</c:v>
                </c:pt>
                <c:pt idx="1166">
                  <c:v>11.888800382883652</c:v>
                </c:pt>
                <c:pt idx="1167">
                  <c:v>11.888800382883652</c:v>
                </c:pt>
                <c:pt idx="1168">
                  <c:v>11.888800382883652</c:v>
                </c:pt>
                <c:pt idx="1169">
                  <c:v>11.888800382883652</c:v>
                </c:pt>
                <c:pt idx="1170">
                  <c:v>11.888800382883652</c:v>
                </c:pt>
                <c:pt idx="1171">
                  <c:v>11.888800382883652</c:v>
                </c:pt>
                <c:pt idx="1172">
                  <c:v>11.888800382883652</c:v>
                </c:pt>
                <c:pt idx="1173">
                  <c:v>11.888800382883652</c:v>
                </c:pt>
                <c:pt idx="1174">
                  <c:v>11.888800382883652</c:v>
                </c:pt>
                <c:pt idx="1175">
                  <c:v>11.888800382883652</c:v>
                </c:pt>
                <c:pt idx="1176">
                  <c:v>11.888800382883652</c:v>
                </c:pt>
                <c:pt idx="1177">
                  <c:v>11.888800382883652</c:v>
                </c:pt>
                <c:pt idx="1178">
                  <c:v>11.888800382883652</c:v>
                </c:pt>
                <c:pt idx="1179">
                  <c:v>11.888800382883652</c:v>
                </c:pt>
                <c:pt idx="1180">
                  <c:v>11.888800382883652</c:v>
                </c:pt>
                <c:pt idx="1181">
                  <c:v>11.888800382883652</c:v>
                </c:pt>
                <c:pt idx="1182">
                  <c:v>11.888800382883652</c:v>
                </c:pt>
                <c:pt idx="1183">
                  <c:v>11.888800382883652</c:v>
                </c:pt>
                <c:pt idx="1184">
                  <c:v>11.888800382883652</c:v>
                </c:pt>
                <c:pt idx="1185">
                  <c:v>11.888800382883652</c:v>
                </c:pt>
                <c:pt idx="1186">
                  <c:v>11.888800382883652</c:v>
                </c:pt>
                <c:pt idx="1187">
                  <c:v>11.888800382883652</c:v>
                </c:pt>
                <c:pt idx="1188">
                  <c:v>11.888800382883652</c:v>
                </c:pt>
                <c:pt idx="1189">
                  <c:v>11.888800382883652</c:v>
                </c:pt>
                <c:pt idx="1190">
                  <c:v>11.888800382883652</c:v>
                </c:pt>
                <c:pt idx="1191">
                  <c:v>11.888800382883652</c:v>
                </c:pt>
                <c:pt idx="1192">
                  <c:v>11.888800382883652</c:v>
                </c:pt>
                <c:pt idx="1193">
                  <c:v>11.888800382883652</c:v>
                </c:pt>
                <c:pt idx="1194">
                  <c:v>11.888800382883652</c:v>
                </c:pt>
                <c:pt idx="1195">
                  <c:v>11.888800382883652</c:v>
                </c:pt>
                <c:pt idx="1196">
                  <c:v>11.888800382883652</c:v>
                </c:pt>
                <c:pt idx="1197">
                  <c:v>11.888800382883652</c:v>
                </c:pt>
                <c:pt idx="1198">
                  <c:v>11.888800382883652</c:v>
                </c:pt>
                <c:pt idx="1199">
                  <c:v>11.888800382883652</c:v>
                </c:pt>
                <c:pt idx="1200">
                  <c:v>11.888800382883652</c:v>
                </c:pt>
                <c:pt idx="1201">
                  <c:v>11.888800382883652</c:v>
                </c:pt>
                <c:pt idx="1202">
                  <c:v>11.888800382883652</c:v>
                </c:pt>
                <c:pt idx="1203">
                  <c:v>11.888800382883652</c:v>
                </c:pt>
                <c:pt idx="1204">
                  <c:v>11.888800382883652</c:v>
                </c:pt>
                <c:pt idx="1205">
                  <c:v>11.888800382883652</c:v>
                </c:pt>
                <c:pt idx="1206">
                  <c:v>11.888800382883652</c:v>
                </c:pt>
                <c:pt idx="1207">
                  <c:v>11.888800382883652</c:v>
                </c:pt>
                <c:pt idx="1208">
                  <c:v>11.888800382883652</c:v>
                </c:pt>
                <c:pt idx="1209">
                  <c:v>11.888800382883652</c:v>
                </c:pt>
                <c:pt idx="1210">
                  <c:v>11.888800382883652</c:v>
                </c:pt>
                <c:pt idx="1211">
                  <c:v>11.888800382883652</c:v>
                </c:pt>
                <c:pt idx="1212">
                  <c:v>11.888800382883652</c:v>
                </c:pt>
                <c:pt idx="1213">
                  <c:v>11.888800382883652</c:v>
                </c:pt>
                <c:pt idx="1214">
                  <c:v>11.888800382883652</c:v>
                </c:pt>
                <c:pt idx="1215">
                  <c:v>11.888800382883652</c:v>
                </c:pt>
                <c:pt idx="1216">
                  <c:v>11.888800382883652</c:v>
                </c:pt>
                <c:pt idx="1217">
                  <c:v>11.888800382883652</c:v>
                </c:pt>
                <c:pt idx="1218">
                  <c:v>11.888800382883652</c:v>
                </c:pt>
                <c:pt idx="1219">
                  <c:v>11.888800382883652</c:v>
                </c:pt>
                <c:pt idx="1220">
                  <c:v>11.888800382883652</c:v>
                </c:pt>
                <c:pt idx="1221">
                  <c:v>11.888800382883652</c:v>
                </c:pt>
                <c:pt idx="1222">
                  <c:v>11.888800382883652</c:v>
                </c:pt>
                <c:pt idx="1223">
                  <c:v>11.888800382883652</c:v>
                </c:pt>
                <c:pt idx="1224">
                  <c:v>11.888800382883652</c:v>
                </c:pt>
                <c:pt idx="1225">
                  <c:v>11.888800382883652</c:v>
                </c:pt>
                <c:pt idx="1226">
                  <c:v>11.888800382883652</c:v>
                </c:pt>
                <c:pt idx="1227">
                  <c:v>11.888800382883652</c:v>
                </c:pt>
                <c:pt idx="1228">
                  <c:v>11.888800382883652</c:v>
                </c:pt>
                <c:pt idx="1229">
                  <c:v>11.888800382883652</c:v>
                </c:pt>
                <c:pt idx="1230">
                  <c:v>11.888800382883652</c:v>
                </c:pt>
                <c:pt idx="1231">
                  <c:v>11.888800382883652</c:v>
                </c:pt>
                <c:pt idx="1232">
                  <c:v>11.888800382883652</c:v>
                </c:pt>
                <c:pt idx="1233">
                  <c:v>11.888800382883652</c:v>
                </c:pt>
                <c:pt idx="1234">
                  <c:v>11.888800382883652</c:v>
                </c:pt>
                <c:pt idx="1235">
                  <c:v>11.888800382883652</c:v>
                </c:pt>
                <c:pt idx="1236">
                  <c:v>11.888800382883652</c:v>
                </c:pt>
                <c:pt idx="1237">
                  <c:v>11.888800382883652</c:v>
                </c:pt>
                <c:pt idx="1238">
                  <c:v>11.888800382883652</c:v>
                </c:pt>
                <c:pt idx="1239">
                  <c:v>11.888800382883652</c:v>
                </c:pt>
                <c:pt idx="1240">
                  <c:v>11.888800382883652</c:v>
                </c:pt>
                <c:pt idx="1241">
                  <c:v>11.888800382883652</c:v>
                </c:pt>
                <c:pt idx="1242">
                  <c:v>11.888800382883652</c:v>
                </c:pt>
                <c:pt idx="1243">
                  <c:v>11.888800382883652</c:v>
                </c:pt>
                <c:pt idx="1244">
                  <c:v>11.888800382883652</c:v>
                </c:pt>
                <c:pt idx="1245">
                  <c:v>11.888800382883652</c:v>
                </c:pt>
                <c:pt idx="1246">
                  <c:v>11.888800382883652</c:v>
                </c:pt>
                <c:pt idx="1247">
                  <c:v>11.888800382883652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[177]PE!$C$1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[177]PE!$A$2:$A$1249</c15:sqref>
                        </c15:formulaRef>
                      </c:ext>
                    </c:extLst>
                    <c:numCache>
                      <c:formatCode>m/d/yyyy</c:formatCode>
                      <c:ptCount val="1248"/>
                      <c:pt idx="0">
                        <c:v>44085</c:v>
                      </c:pt>
                      <c:pt idx="1">
                        <c:v>44088</c:v>
                      </c:pt>
                      <c:pt idx="2">
                        <c:v>44089</c:v>
                      </c:pt>
                      <c:pt idx="3">
                        <c:v>44090</c:v>
                      </c:pt>
                      <c:pt idx="4">
                        <c:v>44091</c:v>
                      </c:pt>
                      <c:pt idx="5">
                        <c:v>44092</c:v>
                      </c:pt>
                      <c:pt idx="6">
                        <c:v>44095</c:v>
                      </c:pt>
                      <c:pt idx="7">
                        <c:v>44096</c:v>
                      </c:pt>
                      <c:pt idx="8">
                        <c:v>44097</c:v>
                      </c:pt>
                      <c:pt idx="9">
                        <c:v>44098</c:v>
                      </c:pt>
                      <c:pt idx="10">
                        <c:v>44099</c:v>
                      </c:pt>
                      <c:pt idx="11">
                        <c:v>44102</c:v>
                      </c:pt>
                      <c:pt idx="12">
                        <c:v>44103</c:v>
                      </c:pt>
                      <c:pt idx="13">
                        <c:v>44104</c:v>
                      </c:pt>
                      <c:pt idx="14">
                        <c:v>44105</c:v>
                      </c:pt>
                      <c:pt idx="15">
                        <c:v>44106</c:v>
                      </c:pt>
                      <c:pt idx="16">
                        <c:v>44109</c:v>
                      </c:pt>
                      <c:pt idx="17">
                        <c:v>44110</c:v>
                      </c:pt>
                      <c:pt idx="18">
                        <c:v>44111</c:v>
                      </c:pt>
                      <c:pt idx="19">
                        <c:v>44112</c:v>
                      </c:pt>
                      <c:pt idx="20">
                        <c:v>44113</c:v>
                      </c:pt>
                      <c:pt idx="21">
                        <c:v>44116</c:v>
                      </c:pt>
                      <c:pt idx="22">
                        <c:v>44117</c:v>
                      </c:pt>
                      <c:pt idx="23">
                        <c:v>44118</c:v>
                      </c:pt>
                      <c:pt idx="24">
                        <c:v>44119</c:v>
                      </c:pt>
                      <c:pt idx="25">
                        <c:v>44120</c:v>
                      </c:pt>
                      <c:pt idx="26">
                        <c:v>44123</c:v>
                      </c:pt>
                      <c:pt idx="27">
                        <c:v>44124</c:v>
                      </c:pt>
                      <c:pt idx="28">
                        <c:v>44125</c:v>
                      </c:pt>
                      <c:pt idx="29">
                        <c:v>44126</c:v>
                      </c:pt>
                      <c:pt idx="30">
                        <c:v>44127</c:v>
                      </c:pt>
                      <c:pt idx="31">
                        <c:v>44130</c:v>
                      </c:pt>
                      <c:pt idx="32">
                        <c:v>44131</c:v>
                      </c:pt>
                      <c:pt idx="33">
                        <c:v>44132</c:v>
                      </c:pt>
                      <c:pt idx="34">
                        <c:v>44133</c:v>
                      </c:pt>
                      <c:pt idx="35">
                        <c:v>44134</c:v>
                      </c:pt>
                      <c:pt idx="36">
                        <c:v>44137</c:v>
                      </c:pt>
                      <c:pt idx="37">
                        <c:v>44138</c:v>
                      </c:pt>
                      <c:pt idx="38">
                        <c:v>44139</c:v>
                      </c:pt>
                      <c:pt idx="39">
                        <c:v>44140</c:v>
                      </c:pt>
                      <c:pt idx="40">
                        <c:v>44141</c:v>
                      </c:pt>
                      <c:pt idx="41">
                        <c:v>44144</c:v>
                      </c:pt>
                      <c:pt idx="42">
                        <c:v>44145</c:v>
                      </c:pt>
                      <c:pt idx="43">
                        <c:v>44146</c:v>
                      </c:pt>
                      <c:pt idx="44">
                        <c:v>44147</c:v>
                      </c:pt>
                      <c:pt idx="45">
                        <c:v>44148</c:v>
                      </c:pt>
                      <c:pt idx="46">
                        <c:v>44151</c:v>
                      </c:pt>
                      <c:pt idx="47">
                        <c:v>44152</c:v>
                      </c:pt>
                      <c:pt idx="48">
                        <c:v>44153</c:v>
                      </c:pt>
                      <c:pt idx="49">
                        <c:v>44154</c:v>
                      </c:pt>
                      <c:pt idx="50">
                        <c:v>44155</c:v>
                      </c:pt>
                      <c:pt idx="51">
                        <c:v>44158</c:v>
                      </c:pt>
                      <c:pt idx="52">
                        <c:v>44159</c:v>
                      </c:pt>
                      <c:pt idx="53">
                        <c:v>44160</c:v>
                      </c:pt>
                      <c:pt idx="54">
                        <c:v>44161</c:v>
                      </c:pt>
                      <c:pt idx="55">
                        <c:v>44162</c:v>
                      </c:pt>
                      <c:pt idx="56">
                        <c:v>44165</c:v>
                      </c:pt>
                      <c:pt idx="57">
                        <c:v>44166</c:v>
                      </c:pt>
                      <c:pt idx="58">
                        <c:v>44167</c:v>
                      </c:pt>
                      <c:pt idx="59">
                        <c:v>44168</c:v>
                      </c:pt>
                      <c:pt idx="60">
                        <c:v>44169</c:v>
                      </c:pt>
                      <c:pt idx="61">
                        <c:v>44172</c:v>
                      </c:pt>
                      <c:pt idx="62">
                        <c:v>44173</c:v>
                      </c:pt>
                      <c:pt idx="63">
                        <c:v>44174</c:v>
                      </c:pt>
                      <c:pt idx="64">
                        <c:v>44175</c:v>
                      </c:pt>
                      <c:pt idx="65">
                        <c:v>44176</c:v>
                      </c:pt>
                      <c:pt idx="66">
                        <c:v>44179</c:v>
                      </c:pt>
                      <c:pt idx="67">
                        <c:v>44180</c:v>
                      </c:pt>
                      <c:pt idx="68">
                        <c:v>44181</c:v>
                      </c:pt>
                      <c:pt idx="69">
                        <c:v>44182</c:v>
                      </c:pt>
                      <c:pt idx="70">
                        <c:v>44183</c:v>
                      </c:pt>
                      <c:pt idx="71">
                        <c:v>44186</c:v>
                      </c:pt>
                      <c:pt idx="72">
                        <c:v>44187</c:v>
                      </c:pt>
                      <c:pt idx="73">
                        <c:v>44188</c:v>
                      </c:pt>
                      <c:pt idx="74">
                        <c:v>44189</c:v>
                      </c:pt>
                      <c:pt idx="75">
                        <c:v>44190</c:v>
                      </c:pt>
                      <c:pt idx="76">
                        <c:v>44193</c:v>
                      </c:pt>
                      <c:pt idx="77">
                        <c:v>44194</c:v>
                      </c:pt>
                      <c:pt idx="78">
                        <c:v>44195</c:v>
                      </c:pt>
                      <c:pt idx="79">
                        <c:v>44196</c:v>
                      </c:pt>
                      <c:pt idx="80">
                        <c:v>44200</c:v>
                      </c:pt>
                      <c:pt idx="81">
                        <c:v>44201</c:v>
                      </c:pt>
                      <c:pt idx="82">
                        <c:v>44202</c:v>
                      </c:pt>
                      <c:pt idx="83">
                        <c:v>44203</c:v>
                      </c:pt>
                      <c:pt idx="84">
                        <c:v>44204</c:v>
                      </c:pt>
                      <c:pt idx="85">
                        <c:v>44207</c:v>
                      </c:pt>
                      <c:pt idx="86">
                        <c:v>44208</c:v>
                      </c:pt>
                      <c:pt idx="87">
                        <c:v>44209</c:v>
                      </c:pt>
                      <c:pt idx="88">
                        <c:v>44210</c:v>
                      </c:pt>
                      <c:pt idx="89">
                        <c:v>44211</c:v>
                      </c:pt>
                      <c:pt idx="90">
                        <c:v>44214</c:v>
                      </c:pt>
                      <c:pt idx="91">
                        <c:v>44215</c:v>
                      </c:pt>
                      <c:pt idx="92">
                        <c:v>44216</c:v>
                      </c:pt>
                      <c:pt idx="93">
                        <c:v>44217</c:v>
                      </c:pt>
                      <c:pt idx="94">
                        <c:v>44218</c:v>
                      </c:pt>
                      <c:pt idx="95">
                        <c:v>44221</c:v>
                      </c:pt>
                      <c:pt idx="96">
                        <c:v>44222</c:v>
                      </c:pt>
                      <c:pt idx="97">
                        <c:v>44223</c:v>
                      </c:pt>
                      <c:pt idx="98">
                        <c:v>44224</c:v>
                      </c:pt>
                      <c:pt idx="99">
                        <c:v>44225</c:v>
                      </c:pt>
                      <c:pt idx="100">
                        <c:v>44228</c:v>
                      </c:pt>
                      <c:pt idx="101">
                        <c:v>44229</c:v>
                      </c:pt>
                      <c:pt idx="102">
                        <c:v>44230</c:v>
                      </c:pt>
                      <c:pt idx="103">
                        <c:v>44231</c:v>
                      </c:pt>
                      <c:pt idx="104">
                        <c:v>44232</c:v>
                      </c:pt>
                      <c:pt idx="105">
                        <c:v>44235</c:v>
                      </c:pt>
                      <c:pt idx="106">
                        <c:v>44236</c:v>
                      </c:pt>
                      <c:pt idx="107">
                        <c:v>44244</c:v>
                      </c:pt>
                      <c:pt idx="108">
                        <c:v>44245</c:v>
                      </c:pt>
                      <c:pt idx="109">
                        <c:v>44246</c:v>
                      </c:pt>
                      <c:pt idx="110">
                        <c:v>44249</c:v>
                      </c:pt>
                      <c:pt idx="111">
                        <c:v>44250</c:v>
                      </c:pt>
                      <c:pt idx="112">
                        <c:v>44251</c:v>
                      </c:pt>
                      <c:pt idx="113">
                        <c:v>44252</c:v>
                      </c:pt>
                      <c:pt idx="114">
                        <c:v>44253</c:v>
                      </c:pt>
                      <c:pt idx="115">
                        <c:v>44256</c:v>
                      </c:pt>
                      <c:pt idx="116">
                        <c:v>44257</c:v>
                      </c:pt>
                      <c:pt idx="117">
                        <c:v>44258</c:v>
                      </c:pt>
                      <c:pt idx="118">
                        <c:v>44259</c:v>
                      </c:pt>
                      <c:pt idx="119">
                        <c:v>44260</c:v>
                      </c:pt>
                      <c:pt idx="120">
                        <c:v>44263</c:v>
                      </c:pt>
                      <c:pt idx="121">
                        <c:v>44264</c:v>
                      </c:pt>
                      <c:pt idx="122">
                        <c:v>44265</c:v>
                      </c:pt>
                      <c:pt idx="123">
                        <c:v>44266</c:v>
                      </c:pt>
                      <c:pt idx="124">
                        <c:v>44267</c:v>
                      </c:pt>
                      <c:pt idx="125">
                        <c:v>44270</c:v>
                      </c:pt>
                      <c:pt idx="126">
                        <c:v>44271</c:v>
                      </c:pt>
                      <c:pt idx="127">
                        <c:v>44272</c:v>
                      </c:pt>
                      <c:pt idx="128">
                        <c:v>44273</c:v>
                      </c:pt>
                      <c:pt idx="129">
                        <c:v>44274</c:v>
                      </c:pt>
                      <c:pt idx="130">
                        <c:v>44277</c:v>
                      </c:pt>
                      <c:pt idx="131">
                        <c:v>44278</c:v>
                      </c:pt>
                      <c:pt idx="132">
                        <c:v>44279</c:v>
                      </c:pt>
                      <c:pt idx="133">
                        <c:v>44280</c:v>
                      </c:pt>
                      <c:pt idx="134">
                        <c:v>44281</c:v>
                      </c:pt>
                      <c:pt idx="135">
                        <c:v>44284</c:v>
                      </c:pt>
                      <c:pt idx="136">
                        <c:v>44285</c:v>
                      </c:pt>
                      <c:pt idx="137">
                        <c:v>44286</c:v>
                      </c:pt>
                      <c:pt idx="138">
                        <c:v>44287</c:v>
                      </c:pt>
                      <c:pt idx="139">
                        <c:v>44288</c:v>
                      </c:pt>
                      <c:pt idx="140">
                        <c:v>44291</c:v>
                      </c:pt>
                      <c:pt idx="141">
                        <c:v>44292</c:v>
                      </c:pt>
                      <c:pt idx="142">
                        <c:v>44293</c:v>
                      </c:pt>
                      <c:pt idx="143">
                        <c:v>44294</c:v>
                      </c:pt>
                      <c:pt idx="144">
                        <c:v>44295</c:v>
                      </c:pt>
                      <c:pt idx="145">
                        <c:v>44298</c:v>
                      </c:pt>
                      <c:pt idx="146">
                        <c:v>44299</c:v>
                      </c:pt>
                      <c:pt idx="147">
                        <c:v>44300</c:v>
                      </c:pt>
                      <c:pt idx="148">
                        <c:v>44301</c:v>
                      </c:pt>
                      <c:pt idx="149">
                        <c:v>44302</c:v>
                      </c:pt>
                      <c:pt idx="150">
                        <c:v>44305</c:v>
                      </c:pt>
                      <c:pt idx="151">
                        <c:v>44306</c:v>
                      </c:pt>
                      <c:pt idx="152">
                        <c:v>44308</c:v>
                      </c:pt>
                      <c:pt idx="153">
                        <c:v>44309</c:v>
                      </c:pt>
                      <c:pt idx="154">
                        <c:v>44312</c:v>
                      </c:pt>
                      <c:pt idx="155">
                        <c:v>44313</c:v>
                      </c:pt>
                      <c:pt idx="156">
                        <c:v>44314</c:v>
                      </c:pt>
                      <c:pt idx="157">
                        <c:v>44315</c:v>
                      </c:pt>
                      <c:pt idx="158">
                        <c:v>44320</c:v>
                      </c:pt>
                      <c:pt idx="159">
                        <c:v>44321</c:v>
                      </c:pt>
                      <c:pt idx="160">
                        <c:v>44322</c:v>
                      </c:pt>
                      <c:pt idx="161">
                        <c:v>44323</c:v>
                      </c:pt>
                      <c:pt idx="162">
                        <c:v>44326</c:v>
                      </c:pt>
                      <c:pt idx="163">
                        <c:v>44327</c:v>
                      </c:pt>
                      <c:pt idx="164">
                        <c:v>44328</c:v>
                      </c:pt>
                      <c:pt idx="165">
                        <c:v>44329</c:v>
                      </c:pt>
                      <c:pt idx="166">
                        <c:v>44330</c:v>
                      </c:pt>
                      <c:pt idx="167">
                        <c:v>44333</c:v>
                      </c:pt>
                      <c:pt idx="168">
                        <c:v>44334</c:v>
                      </c:pt>
                      <c:pt idx="169">
                        <c:v>44335</c:v>
                      </c:pt>
                      <c:pt idx="170">
                        <c:v>44336</c:v>
                      </c:pt>
                      <c:pt idx="171">
                        <c:v>44337</c:v>
                      </c:pt>
                      <c:pt idx="172">
                        <c:v>44340</c:v>
                      </c:pt>
                      <c:pt idx="173">
                        <c:v>44341</c:v>
                      </c:pt>
                      <c:pt idx="174">
                        <c:v>44342</c:v>
                      </c:pt>
                      <c:pt idx="175">
                        <c:v>44343</c:v>
                      </c:pt>
                      <c:pt idx="176">
                        <c:v>44344</c:v>
                      </c:pt>
                      <c:pt idx="177">
                        <c:v>44347</c:v>
                      </c:pt>
                      <c:pt idx="178">
                        <c:v>44348</c:v>
                      </c:pt>
                      <c:pt idx="179">
                        <c:v>44349</c:v>
                      </c:pt>
                      <c:pt idx="180">
                        <c:v>44350</c:v>
                      </c:pt>
                      <c:pt idx="181">
                        <c:v>44351</c:v>
                      </c:pt>
                      <c:pt idx="182">
                        <c:v>44354</c:v>
                      </c:pt>
                      <c:pt idx="183">
                        <c:v>44355</c:v>
                      </c:pt>
                      <c:pt idx="184">
                        <c:v>44356</c:v>
                      </c:pt>
                      <c:pt idx="185">
                        <c:v>44357</c:v>
                      </c:pt>
                      <c:pt idx="186">
                        <c:v>44358</c:v>
                      </c:pt>
                      <c:pt idx="187">
                        <c:v>44361</c:v>
                      </c:pt>
                      <c:pt idx="188">
                        <c:v>44362</c:v>
                      </c:pt>
                      <c:pt idx="189">
                        <c:v>44363</c:v>
                      </c:pt>
                      <c:pt idx="190">
                        <c:v>44364</c:v>
                      </c:pt>
                      <c:pt idx="191">
                        <c:v>44365</c:v>
                      </c:pt>
                      <c:pt idx="192">
                        <c:v>44368</c:v>
                      </c:pt>
                      <c:pt idx="193">
                        <c:v>44369</c:v>
                      </c:pt>
                      <c:pt idx="194">
                        <c:v>44370</c:v>
                      </c:pt>
                      <c:pt idx="195">
                        <c:v>44371</c:v>
                      </c:pt>
                      <c:pt idx="196">
                        <c:v>44372</c:v>
                      </c:pt>
                      <c:pt idx="197">
                        <c:v>44375</c:v>
                      </c:pt>
                      <c:pt idx="198">
                        <c:v>44376</c:v>
                      </c:pt>
                      <c:pt idx="199">
                        <c:v>44377</c:v>
                      </c:pt>
                      <c:pt idx="200">
                        <c:v>44378</c:v>
                      </c:pt>
                      <c:pt idx="201">
                        <c:v>44379</c:v>
                      </c:pt>
                      <c:pt idx="202">
                        <c:v>44382</c:v>
                      </c:pt>
                      <c:pt idx="203">
                        <c:v>44383</c:v>
                      </c:pt>
                      <c:pt idx="204">
                        <c:v>44384</c:v>
                      </c:pt>
                      <c:pt idx="205">
                        <c:v>44385</c:v>
                      </c:pt>
                      <c:pt idx="206">
                        <c:v>44386</c:v>
                      </c:pt>
                      <c:pt idx="207">
                        <c:v>44389</c:v>
                      </c:pt>
                      <c:pt idx="208">
                        <c:v>44390</c:v>
                      </c:pt>
                      <c:pt idx="209">
                        <c:v>44391</c:v>
                      </c:pt>
                      <c:pt idx="210">
                        <c:v>44392</c:v>
                      </c:pt>
                      <c:pt idx="211">
                        <c:v>44393</c:v>
                      </c:pt>
                      <c:pt idx="212">
                        <c:v>44396</c:v>
                      </c:pt>
                      <c:pt idx="213">
                        <c:v>44397</c:v>
                      </c:pt>
                      <c:pt idx="214">
                        <c:v>44398</c:v>
                      </c:pt>
                      <c:pt idx="215">
                        <c:v>44399</c:v>
                      </c:pt>
                      <c:pt idx="216">
                        <c:v>44400</c:v>
                      </c:pt>
                      <c:pt idx="217">
                        <c:v>44403</c:v>
                      </c:pt>
                      <c:pt idx="218">
                        <c:v>44404</c:v>
                      </c:pt>
                      <c:pt idx="219">
                        <c:v>44405</c:v>
                      </c:pt>
                      <c:pt idx="220">
                        <c:v>44406</c:v>
                      </c:pt>
                      <c:pt idx="221">
                        <c:v>44407</c:v>
                      </c:pt>
                      <c:pt idx="222">
                        <c:v>44410</c:v>
                      </c:pt>
                      <c:pt idx="223">
                        <c:v>44411</c:v>
                      </c:pt>
                      <c:pt idx="224">
                        <c:v>44412</c:v>
                      </c:pt>
                      <c:pt idx="225">
                        <c:v>44413</c:v>
                      </c:pt>
                      <c:pt idx="226">
                        <c:v>44414</c:v>
                      </c:pt>
                      <c:pt idx="227">
                        <c:v>44417</c:v>
                      </c:pt>
                      <c:pt idx="228">
                        <c:v>44418</c:v>
                      </c:pt>
                      <c:pt idx="229">
                        <c:v>44419</c:v>
                      </c:pt>
                      <c:pt idx="230">
                        <c:v>44420</c:v>
                      </c:pt>
                      <c:pt idx="231">
                        <c:v>44421</c:v>
                      </c:pt>
                      <c:pt idx="232">
                        <c:v>44424</c:v>
                      </c:pt>
                      <c:pt idx="233">
                        <c:v>44425</c:v>
                      </c:pt>
                      <c:pt idx="234">
                        <c:v>44426</c:v>
                      </c:pt>
                      <c:pt idx="235">
                        <c:v>44427</c:v>
                      </c:pt>
                      <c:pt idx="236">
                        <c:v>44428</c:v>
                      </c:pt>
                      <c:pt idx="237">
                        <c:v>44431</c:v>
                      </c:pt>
                      <c:pt idx="238">
                        <c:v>44432</c:v>
                      </c:pt>
                      <c:pt idx="239">
                        <c:v>44433</c:v>
                      </c:pt>
                      <c:pt idx="240">
                        <c:v>44434</c:v>
                      </c:pt>
                      <c:pt idx="241">
                        <c:v>44435</c:v>
                      </c:pt>
                      <c:pt idx="242">
                        <c:v>44438</c:v>
                      </c:pt>
                      <c:pt idx="243">
                        <c:v>44439</c:v>
                      </c:pt>
                      <c:pt idx="244">
                        <c:v>44440</c:v>
                      </c:pt>
                      <c:pt idx="245">
                        <c:v>44445</c:v>
                      </c:pt>
                      <c:pt idx="246">
                        <c:v>44446</c:v>
                      </c:pt>
                      <c:pt idx="247">
                        <c:v>44447</c:v>
                      </c:pt>
                      <c:pt idx="248">
                        <c:v>44448</c:v>
                      </c:pt>
                      <c:pt idx="249">
                        <c:v>44449</c:v>
                      </c:pt>
                      <c:pt idx="250">
                        <c:v>44452</c:v>
                      </c:pt>
                      <c:pt idx="251">
                        <c:v>44453</c:v>
                      </c:pt>
                      <c:pt idx="252">
                        <c:v>44454</c:v>
                      </c:pt>
                      <c:pt idx="253">
                        <c:v>44455</c:v>
                      </c:pt>
                      <c:pt idx="254">
                        <c:v>44456</c:v>
                      </c:pt>
                      <c:pt idx="255">
                        <c:v>44459</c:v>
                      </c:pt>
                      <c:pt idx="256">
                        <c:v>44460</c:v>
                      </c:pt>
                      <c:pt idx="257">
                        <c:v>44461</c:v>
                      </c:pt>
                      <c:pt idx="258">
                        <c:v>44462</c:v>
                      </c:pt>
                      <c:pt idx="259">
                        <c:v>44463</c:v>
                      </c:pt>
                      <c:pt idx="260">
                        <c:v>44466</c:v>
                      </c:pt>
                      <c:pt idx="261">
                        <c:v>44467</c:v>
                      </c:pt>
                      <c:pt idx="262">
                        <c:v>44468</c:v>
                      </c:pt>
                      <c:pt idx="263">
                        <c:v>44469</c:v>
                      </c:pt>
                      <c:pt idx="264">
                        <c:v>44470</c:v>
                      </c:pt>
                      <c:pt idx="265">
                        <c:v>44473</c:v>
                      </c:pt>
                      <c:pt idx="266">
                        <c:v>44474</c:v>
                      </c:pt>
                      <c:pt idx="267">
                        <c:v>44475</c:v>
                      </c:pt>
                      <c:pt idx="268">
                        <c:v>44476</c:v>
                      </c:pt>
                      <c:pt idx="269">
                        <c:v>44477</c:v>
                      </c:pt>
                      <c:pt idx="270">
                        <c:v>44480</c:v>
                      </c:pt>
                      <c:pt idx="271">
                        <c:v>44481</c:v>
                      </c:pt>
                      <c:pt idx="272">
                        <c:v>44482</c:v>
                      </c:pt>
                      <c:pt idx="273">
                        <c:v>44483</c:v>
                      </c:pt>
                      <c:pt idx="274">
                        <c:v>44484</c:v>
                      </c:pt>
                      <c:pt idx="275">
                        <c:v>44487</c:v>
                      </c:pt>
                      <c:pt idx="276">
                        <c:v>44488</c:v>
                      </c:pt>
                      <c:pt idx="277">
                        <c:v>44489</c:v>
                      </c:pt>
                      <c:pt idx="278">
                        <c:v>44490</c:v>
                      </c:pt>
                      <c:pt idx="279">
                        <c:v>44491</c:v>
                      </c:pt>
                      <c:pt idx="280">
                        <c:v>44494</c:v>
                      </c:pt>
                      <c:pt idx="281">
                        <c:v>44495</c:v>
                      </c:pt>
                      <c:pt idx="282">
                        <c:v>44496</c:v>
                      </c:pt>
                      <c:pt idx="283">
                        <c:v>44497</c:v>
                      </c:pt>
                      <c:pt idx="284">
                        <c:v>44498</c:v>
                      </c:pt>
                      <c:pt idx="285">
                        <c:v>44501</c:v>
                      </c:pt>
                      <c:pt idx="286">
                        <c:v>44502</c:v>
                      </c:pt>
                      <c:pt idx="287">
                        <c:v>44503</c:v>
                      </c:pt>
                      <c:pt idx="288">
                        <c:v>44504</c:v>
                      </c:pt>
                      <c:pt idx="289">
                        <c:v>44505</c:v>
                      </c:pt>
                      <c:pt idx="290">
                        <c:v>44508</c:v>
                      </c:pt>
                      <c:pt idx="291">
                        <c:v>44509</c:v>
                      </c:pt>
                      <c:pt idx="292">
                        <c:v>44510</c:v>
                      </c:pt>
                      <c:pt idx="293">
                        <c:v>44511</c:v>
                      </c:pt>
                      <c:pt idx="294">
                        <c:v>44512</c:v>
                      </c:pt>
                      <c:pt idx="295">
                        <c:v>44515</c:v>
                      </c:pt>
                      <c:pt idx="296">
                        <c:v>44516</c:v>
                      </c:pt>
                      <c:pt idx="297">
                        <c:v>44517</c:v>
                      </c:pt>
                      <c:pt idx="298">
                        <c:v>44518</c:v>
                      </c:pt>
                      <c:pt idx="299">
                        <c:v>44519</c:v>
                      </c:pt>
                      <c:pt idx="300">
                        <c:v>44522</c:v>
                      </c:pt>
                      <c:pt idx="301">
                        <c:v>44523</c:v>
                      </c:pt>
                      <c:pt idx="302">
                        <c:v>44524</c:v>
                      </c:pt>
                      <c:pt idx="303">
                        <c:v>44525</c:v>
                      </c:pt>
                      <c:pt idx="304">
                        <c:v>44526</c:v>
                      </c:pt>
                      <c:pt idx="305">
                        <c:v>44529</c:v>
                      </c:pt>
                      <c:pt idx="306">
                        <c:v>44530</c:v>
                      </c:pt>
                      <c:pt idx="307">
                        <c:v>44531</c:v>
                      </c:pt>
                      <c:pt idx="308">
                        <c:v>44532</c:v>
                      </c:pt>
                      <c:pt idx="309">
                        <c:v>44533</c:v>
                      </c:pt>
                      <c:pt idx="310">
                        <c:v>44536</c:v>
                      </c:pt>
                      <c:pt idx="311">
                        <c:v>44537</c:v>
                      </c:pt>
                      <c:pt idx="312">
                        <c:v>44538</c:v>
                      </c:pt>
                      <c:pt idx="313">
                        <c:v>44539</c:v>
                      </c:pt>
                      <c:pt idx="314">
                        <c:v>44540</c:v>
                      </c:pt>
                      <c:pt idx="315">
                        <c:v>44543</c:v>
                      </c:pt>
                      <c:pt idx="316">
                        <c:v>44544</c:v>
                      </c:pt>
                      <c:pt idx="317">
                        <c:v>44545</c:v>
                      </c:pt>
                      <c:pt idx="318">
                        <c:v>44546</c:v>
                      </c:pt>
                      <c:pt idx="319">
                        <c:v>44547</c:v>
                      </c:pt>
                      <c:pt idx="320">
                        <c:v>44550</c:v>
                      </c:pt>
                      <c:pt idx="321">
                        <c:v>44551</c:v>
                      </c:pt>
                      <c:pt idx="322">
                        <c:v>44552</c:v>
                      </c:pt>
                      <c:pt idx="323">
                        <c:v>44553</c:v>
                      </c:pt>
                      <c:pt idx="324">
                        <c:v>44554</c:v>
                      </c:pt>
                      <c:pt idx="325">
                        <c:v>44557</c:v>
                      </c:pt>
                      <c:pt idx="326">
                        <c:v>44558</c:v>
                      </c:pt>
                      <c:pt idx="327">
                        <c:v>44559</c:v>
                      </c:pt>
                      <c:pt idx="328">
                        <c:v>44560</c:v>
                      </c:pt>
                      <c:pt idx="329">
                        <c:v>44561</c:v>
                      </c:pt>
                      <c:pt idx="330">
                        <c:v>44565</c:v>
                      </c:pt>
                      <c:pt idx="331">
                        <c:v>44566</c:v>
                      </c:pt>
                      <c:pt idx="332">
                        <c:v>44567</c:v>
                      </c:pt>
                      <c:pt idx="333">
                        <c:v>44568</c:v>
                      </c:pt>
                      <c:pt idx="334">
                        <c:v>44571</c:v>
                      </c:pt>
                      <c:pt idx="335">
                        <c:v>44572</c:v>
                      </c:pt>
                      <c:pt idx="336">
                        <c:v>44573</c:v>
                      </c:pt>
                      <c:pt idx="337">
                        <c:v>44574</c:v>
                      </c:pt>
                      <c:pt idx="338">
                        <c:v>44575</c:v>
                      </c:pt>
                      <c:pt idx="339">
                        <c:v>44578</c:v>
                      </c:pt>
                      <c:pt idx="340">
                        <c:v>44579</c:v>
                      </c:pt>
                      <c:pt idx="341">
                        <c:v>44580</c:v>
                      </c:pt>
                      <c:pt idx="342">
                        <c:v>44581</c:v>
                      </c:pt>
                      <c:pt idx="343">
                        <c:v>44582</c:v>
                      </c:pt>
                      <c:pt idx="344">
                        <c:v>44585</c:v>
                      </c:pt>
                      <c:pt idx="345">
                        <c:v>44586</c:v>
                      </c:pt>
                      <c:pt idx="346">
                        <c:v>44587</c:v>
                      </c:pt>
                      <c:pt idx="347">
                        <c:v>44588</c:v>
                      </c:pt>
                      <c:pt idx="348">
                        <c:v>44589</c:v>
                      </c:pt>
                      <c:pt idx="349">
                        <c:v>44599</c:v>
                      </c:pt>
                      <c:pt idx="350">
                        <c:v>44600</c:v>
                      </c:pt>
                      <c:pt idx="351">
                        <c:v>44601</c:v>
                      </c:pt>
                      <c:pt idx="352">
                        <c:v>44602</c:v>
                      </c:pt>
                      <c:pt idx="353">
                        <c:v>44603</c:v>
                      </c:pt>
                      <c:pt idx="354">
                        <c:v>44606</c:v>
                      </c:pt>
                      <c:pt idx="355">
                        <c:v>44607</c:v>
                      </c:pt>
                      <c:pt idx="356">
                        <c:v>44608</c:v>
                      </c:pt>
                      <c:pt idx="357">
                        <c:v>44609</c:v>
                      </c:pt>
                      <c:pt idx="358">
                        <c:v>44610</c:v>
                      </c:pt>
                      <c:pt idx="359">
                        <c:v>44613</c:v>
                      </c:pt>
                      <c:pt idx="360">
                        <c:v>44614</c:v>
                      </c:pt>
                      <c:pt idx="361">
                        <c:v>44615</c:v>
                      </c:pt>
                      <c:pt idx="362">
                        <c:v>44616</c:v>
                      </c:pt>
                      <c:pt idx="363">
                        <c:v>44617</c:v>
                      </c:pt>
                      <c:pt idx="364">
                        <c:v>44620</c:v>
                      </c:pt>
                      <c:pt idx="365">
                        <c:v>44621</c:v>
                      </c:pt>
                      <c:pt idx="366">
                        <c:v>44622</c:v>
                      </c:pt>
                      <c:pt idx="367">
                        <c:v>44623</c:v>
                      </c:pt>
                      <c:pt idx="368">
                        <c:v>44624</c:v>
                      </c:pt>
                      <c:pt idx="369">
                        <c:v>44627</c:v>
                      </c:pt>
                      <c:pt idx="370">
                        <c:v>44628</c:v>
                      </c:pt>
                      <c:pt idx="371">
                        <c:v>44629</c:v>
                      </c:pt>
                      <c:pt idx="372">
                        <c:v>44630</c:v>
                      </c:pt>
                      <c:pt idx="373">
                        <c:v>44631</c:v>
                      </c:pt>
                      <c:pt idx="374">
                        <c:v>44634</c:v>
                      </c:pt>
                      <c:pt idx="375">
                        <c:v>44635</c:v>
                      </c:pt>
                      <c:pt idx="376">
                        <c:v>44636</c:v>
                      </c:pt>
                      <c:pt idx="377">
                        <c:v>44637</c:v>
                      </c:pt>
                      <c:pt idx="378">
                        <c:v>44638</c:v>
                      </c:pt>
                      <c:pt idx="379">
                        <c:v>44641</c:v>
                      </c:pt>
                      <c:pt idx="380">
                        <c:v>44642</c:v>
                      </c:pt>
                      <c:pt idx="381">
                        <c:v>44643</c:v>
                      </c:pt>
                      <c:pt idx="382">
                        <c:v>44644</c:v>
                      </c:pt>
                      <c:pt idx="383">
                        <c:v>44645</c:v>
                      </c:pt>
                      <c:pt idx="384">
                        <c:v>44648</c:v>
                      </c:pt>
                      <c:pt idx="385">
                        <c:v>44649</c:v>
                      </c:pt>
                      <c:pt idx="386">
                        <c:v>44650</c:v>
                      </c:pt>
                      <c:pt idx="387">
                        <c:v>44651</c:v>
                      </c:pt>
                      <c:pt idx="388">
                        <c:v>44652</c:v>
                      </c:pt>
                      <c:pt idx="389">
                        <c:v>44655</c:v>
                      </c:pt>
                      <c:pt idx="390">
                        <c:v>44656</c:v>
                      </c:pt>
                      <c:pt idx="391">
                        <c:v>44657</c:v>
                      </c:pt>
                      <c:pt idx="392">
                        <c:v>44658</c:v>
                      </c:pt>
                      <c:pt idx="393">
                        <c:v>44659</c:v>
                      </c:pt>
                      <c:pt idx="394">
                        <c:v>44663</c:v>
                      </c:pt>
                      <c:pt idx="395">
                        <c:v>44664</c:v>
                      </c:pt>
                      <c:pt idx="396">
                        <c:v>44665</c:v>
                      </c:pt>
                      <c:pt idx="397">
                        <c:v>44666</c:v>
                      </c:pt>
                      <c:pt idx="398">
                        <c:v>44669</c:v>
                      </c:pt>
                      <c:pt idx="399">
                        <c:v>44670</c:v>
                      </c:pt>
                      <c:pt idx="400">
                        <c:v>44671</c:v>
                      </c:pt>
                      <c:pt idx="401">
                        <c:v>44672</c:v>
                      </c:pt>
                      <c:pt idx="402">
                        <c:v>44673</c:v>
                      </c:pt>
                      <c:pt idx="403">
                        <c:v>44676</c:v>
                      </c:pt>
                      <c:pt idx="404">
                        <c:v>44677</c:v>
                      </c:pt>
                      <c:pt idx="405">
                        <c:v>44678</c:v>
                      </c:pt>
                      <c:pt idx="406">
                        <c:v>44679</c:v>
                      </c:pt>
                      <c:pt idx="407">
                        <c:v>44680</c:v>
                      </c:pt>
                      <c:pt idx="408">
                        <c:v>44685</c:v>
                      </c:pt>
                      <c:pt idx="409">
                        <c:v>44686</c:v>
                      </c:pt>
                      <c:pt idx="410">
                        <c:v>44687</c:v>
                      </c:pt>
                      <c:pt idx="411">
                        <c:v>44690</c:v>
                      </c:pt>
                      <c:pt idx="412">
                        <c:v>44691</c:v>
                      </c:pt>
                      <c:pt idx="413">
                        <c:v>44692</c:v>
                      </c:pt>
                      <c:pt idx="414">
                        <c:v>44693</c:v>
                      </c:pt>
                      <c:pt idx="415">
                        <c:v>44694</c:v>
                      </c:pt>
                      <c:pt idx="416">
                        <c:v>44697</c:v>
                      </c:pt>
                      <c:pt idx="417">
                        <c:v>44698</c:v>
                      </c:pt>
                      <c:pt idx="418">
                        <c:v>44699</c:v>
                      </c:pt>
                      <c:pt idx="419">
                        <c:v>44700</c:v>
                      </c:pt>
                      <c:pt idx="420">
                        <c:v>44701</c:v>
                      </c:pt>
                      <c:pt idx="421">
                        <c:v>44704</c:v>
                      </c:pt>
                      <c:pt idx="422">
                        <c:v>44705</c:v>
                      </c:pt>
                      <c:pt idx="423">
                        <c:v>44706</c:v>
                      </c:pt>
                      <c:pt idx="424">
                        <c:v>44707</c:v>
                      </c:pt>
                      <c:pt idx="425">
                        <c:v>44708</c:v>
                      </c:pt>
                      <c:pt idx="426">
                        <c:v>44711</c:v>
                      </c:pt>
                      <c:pt idx="427">
                        <c:v>44712</c:v>
                      </c:pt>
                      <c:pt idx="428">
                        <c:v>44713</c:v>
                      </c:pt>
                      <c:pt idx="429">
                        <c:v>44714</c:v>
                      </c:pt>
                      <c:pt idx="430">
                        <c:v>44715</c:v>
                      </c:pt>
                      <c:pt idx="431">
                        <c:v>44718</c:v>
                      </c:pt>
                      <c:pt idx="432">
                        <c:v>44719</c:v>
                      </c:pt>
                      <c:pt idx="433">
                        <c:v>44720</c:v>
                      </c:pt>
                      <c:pt idx="434">
                        <c:v>44721</c:v>
                      </c:pt>
                      <c:pt idx="435">
                        <c:v>44722</c:v>
                      </c:pt>
                      <c:pt idx="436">
                        <c:v>44725</c:v>
                      </c:pt>
                      <c:pt idx="437">
                        <c:v>44726</c:v>
                      </c:pt>
                      <c:pt idx="438">
                        <c:v>44727</c:v>
                      </c:pt>
                      <c:pt idx="439">
                        <c:v>44728</c:v>
                      </c:pt>
                      <c:pt idx="440">
                        <c:v>44729</c:v>
                      </c:pt>
                      <c:pt idx="441">
                        <c:v>44732</c:v>
                      </c:pt>
                      <c:pt idx="442">
                        <c:v>44733</c:v>
                      </c:pt>
                      <c:pt idx="443">
                        <c:v>44734</c:v>
                      </c:pt>
                      <c:pt idx="444">
                        <c:v>44735</c:v>
                      </c:pt>
                      <c:pt idx="445">
                        <c:v>44736</c:v>
                      </c:pt>
                      <c:pt idx="446">
                        <c:v>44739</c:v>
                      </c:pt>
                      <c:pt idx="447">
                        <c:v>44740</c:v>
                      </c:pt>
                      <c:pt idx="448">
                        <c:v>44741</c:v>
                      </c:pt>
                      <c:pt idx="449">
                        <c:v>44742</c:v>
                      </c:pt>
                      <c:pt idx="450">
                        <c:v>44743</c:v>
                      </c:pt>
                      <c:pt idx="451">
                        <c:v>44746</c:v>
                      </c:pt>
                      <c:pt idx="452">
                        <c:v>44747</c:v>
                      </c:pt>
                      <c:pt idx="453">
                        <c:v>44748</c:v>
                      </c:pt>
                      <c:pt idx="454">
                        <c:v>44749</c:v>
                      </c:pt>
                      <c:pt idx="455">
                        <c:v>44750</c:v>
                      </c:pt>
                      <c:pt idx="456">
                        <c:v>44753</c:v>
                      </c:pt>
                      <c:pt idx="457">
                        <c:v>44754</c:v>
                      </c:pt>
                      <c:pt idx="458">
                        <c:v>44755</c:v>
                      </c:pt>
                      <c:pt idx="459">
                        <c:v>44756</c:v>
                      </c:pt>
                      <c:pt idx="460">
                        <c:v>44757</c:v>
                      </c:pt>
                      <c:pt idx="461">
                        <c:v>44760</c:v>
                      </c:pt>
                      <c:pt idx="462">
                        <c:v>44761</c:v>
                      </c:pt>
                      <c:pt idx="463">
                        <c:v>44762</c:v>
                      </c:pt>
                      <c:pt idx="464">
                        <c:v>44763</c:v>
                      </c:pt>
                      <c:pt idx="465">
                        <c:v>44764</c:v>
                      </c:pt>
                      <c:pt idx="466">
                        <c:v>44767</c:v>
                      </c:pt>
                      <c:pt idx="467">
                        <c:v>44768</c:v>
                      </c:pt>
                      <c:pt idx="468">
                        <c:v>44769</c:v>
                      </c:pt>
                      <c:pt idx="469">
                        <c:v>44770</c:v>
                      </c:pt>
                      <c:pt idx="470">
                        <c:v>44771</c:v>
                      </c:pt>
                      <c:pt idx="471">
                        <c:v>44774</c:v>
                      </c:pt>
                      <c:pt idx="472">
                        <c:v>44775</c:v>
                      </c:pt>
                      <c:pt idx="473">
                        <c:v>44776</c:v>
                      </c:pt>
                      <c:pt idx="474">
                        <c:v>44777</c:v>
                      </c:pt>
                      <c:pt idx="475">
                        <c:v>44778</c:v>
                      </c:pt>
                      <c:pt idx="476">
                        <c:v>44781</c:v>
                      </c:pt>
                      <c:pt idx="477">
                        <c:v>44782</c:v>
                      </c:pt>
                      <c:pt idx="478">
                        <c:v>44783</c:v>
                      </c:pt>
                      <c:pt idx="479">
                        <c:v>44784</c:v>
                      </c:pt>
                      <c:pt idx="480">
                        <c:v>44785</c:v>
                      </c:pt>
                      <c:pt idx="481">
                        <c:v>44788</c:v>
                      </c:pt>
                      <c:pt idx="482">
                        <c:v>44789</c:v>
                      </c:pt>
                      <c:pt idx="483">
                        <c:v>44790</c:v>
                      </c:pt>
                      <c:pt idx="484">
                        <c:v>44791</c:v>
                      </c:pt>
                      <c:pt idx="485">
                        <c:v>44792</c:v>
                      </c:pt>
                      <c:pt idx="486">
                        <c:v>44795</c:v>
                      </c:pt>
                      <c:pt idx="487">
                        <c:v>44796</c:v>
                      </c:pt>
                      <c:pt idx="488">
                        <c:v>44797</c:v>
                      </c:pt>
                      <c:pt idx="489">
                        <c:v>44798</c:v>
                      </c:pt>
                      <c:pt idx="490">
                        <c:v>44799</c:v>
                      </c:pt>
                      <c:pt idx="491">
                        <c:v>44802</c:v>
                      </c:pt>
                      <c:pt idx="492">
                        <c:v>44803</c:v>
                      </c:pt>
                      <c:pt idx="493">
                        <c:v>44804</c:v>
                      </c:pt>
                      <c:pt idx="494">
                        <c:v>44809</c:v>
                      </c:pt>
                      <c:pt idx="495">
                        <c:v>44810</c:v>
                      </c:pt>
                      <c:pt idx="496">
                        <c:v>44811</c:v>
                      </c:pt>
                      <c:pt idx="497">
                        <c:v>44812</c:v>
                      </c:pt>
                      <c:pt idx="498">
                        <c:v>44813</c:v>
                      </c:pt>
                      <c:pt idx="499">
                        <c:v>44816</c:v>
                      </c:pt>
                      <c:pt idx="500">
                        <c:v>44817</c:v>
                      </c:pt>
                      <c:pt idx="501">
                        <c:v>44818</c:v>
                      </c:pt>
                      <c:pt idx="502">
                        <c:v>44819</c:v>
                      </c:pt>
                      <c:pt idx="503">
                        <c:v>44820</c:v>
                      </c:pt>
                      <c:pt idx="504">
                        <c:v>44823</c:v>
                      </c:pt>
                      <c:pt idx="505">
                        <c:v>44824</c:v>
                      </c:pt>
                      <c:pt idx="506">
                        <c:v>44825</c:v>
                      </c:pt>
                      <c:pt idx="507">
                        <c:v>44826</c:v>
                      </c:pt>
                      <c:pt idx="508">
                        <c:v>44827</c:v>
                      </c:pt>
                      <c:pt idx="509">
                        <c:v>44830</c:v>
                      </c:pt>
                      <c:pt idx="510">
                        <c:v>44831</c:v>
                      </c:pt>
                      <c:pt idx="511">
                        <c:v>44832</c:v>
                      </c:pt>
                      <c:pt idx="512">
                        <c:v>44833</c:v>
                      </c:pt>
                      <c:pt idx="513">
                        <c:v>44834</c:v>
                      </c:pt>
                      <c:pt idx="514">
                        <c:v>44837</c:v>
                      </c:pt>
                      <c:pt idx="515">
                        <c:v>44838</c:v>
                      </c:pt>
                      <c:pt idx="516">
                        <c:v>44839</c:v>
                      </c:pt>
                      <c:pt idx="517">
                        <c:v>44840</c:v>
                      </c:pt>
                      <c:pt idx="518">
                        <c:v>44841</c:v>
                      </c:pt>
                      <c:pt idx="519">
                        <c:v>44844</c:v>
                      </c:pt>
                      <c:pt idx="520">
                        <c:v>44845</c:v>
                      </c:pt>
                      <c:pt idx="521">
                        <c:v>44846</c:v>
                      </c:pt>
                      <c:pt idx="522">
                        <c:v>44847</c:v>
                      </c:pt>
                      <c:pt idx="523">
                        <c:v>44848</c:v>
                      </c:pt>
                      <c:pt idx="524">
                        <c:v>44851</c:v>
                      </c:pt>
                      <c:pt idx="525">
                        <c:v>44852</c:v>
                      </c:pt>
                      <c:pt idx="526">
                        <c:v>44853</c:v>
                      </c:pt>
                      <c:pt idx="527">
                        <c:v>44854</c:v>
                      </c:pt>
                      <c:pt idx="528">
                        <c:v>44855</c:v>
                      </c:pt>
                      <c:pt idx="529">
                        <c:v>44858</c:v>
                      </c:pt>
                      <c:pt idx="530">
                        <c:v>44859</c:v>
                      </c:pt>
                      <c:pt idx="531">
                        <c:v>44860</c:v>
                      </c:pt>
                      <c:pt idx="532">
                        <c:v>44861</c:v>
                      </c:pt>
                      <c:pt idx="533">
                        <c:v>44862</c:v>
                      </c:pt>
                      <c:pt idx="534">
                        <c:v>44865</c:v>
                      </c:pt>
                      <c:pt idx="535">
                        <c:v>44866</c:v>
                      </c:pt>
                      <c:pt idx="536">
                        <c:v>44867</c:v>
                      </c:pt>
                      <c:pt idx="537">
                        <c:v>44868</c:v>
                      </c:pt>
                      <c:pt idx="538">
                        <c:v>44869</c:v>
                      </c:pt>
                      <c:pt idx="539">
                        <c:v>44872</c:v>
                      </c:pt>
                      <c:pt idx="540">
                        <c:v>44873</c:v>
                      </c:pt>
                      <c:pt idx="541">
                        <c:v>44874</c:v>
                      </c:pt>
                      <c:pt idx="542">
                        <c:v>44875</c:v>
                      </c:pt>
                      <c:pt idx="543">
                        <c:v>44876</c:v>
                      </c:pt>
                      <c:pt idx="544">
                        <c:v>44879</c:v>
                      </c:pt>
                      <c:pt idx="545">
                        <c:v>44880</c:v>
                      </c:pt>
                      <c:pt idx="546">
                        <c:v>44881</c:v>
                      </c:pt>
                      <c:pt idx="547">
                        <c:v>44882</c:v>
                      </c:pt>
                      <c:pt idx="548">
                        <c:v>44883</c:v>
                      </c:pt>
                      <c:pt idx="549">
                        <c:v>44886</c:v>
                      </c:pt>
                      <c:pt idx="550">
                        <c:v>44887</c:v>
                      </c:pt>
                      <c:pt idx="551">
                        <c:v>44888</c:v>
                      </c:pt>
                      <c:pt idx="552">
                        <c:v>44889</c:v>
                      </c:pt>
                      <c:pt idx="553">
                        <c:v>44890</c:v>
                      </c:pt>
                      <c:pt idx="554">
                        <c:v>44893</c:v>
                      </c:pt>
                      <c:pt idx="555">
                        <c:v>44894</c:v>
                      </c:pt>
                      <c:pt idx="556">
                        <c:v>44895</c:v>
                      </c:pt>
                      <c:pt idx="557">
                        <c:v>44896</c:v>
                      </c:pt>
                      <c:pt idx="558">
                        <c:v>44897</c:v>
                      </c:pt>
                      <c:pt idx="559">
                        <c:v>44900</c:v>
                      </c:pt>
                      <c:pt idx="560">
                        <c:v>44901</c:v>
                      </c:pt>
                      <c:pt idx="561">
                        <c:v>44902</c:v>
                      </c:pt>
                      <c:pt idx="562">
                        <c:v>44903</c:v>
                      </c:pt>
                      <c:pt idx="563">
                        <c:v>44904</c:v>
                      </c:pt>
                      <c:pt idx="564">
                        <c:v>44907</c:v>
                      </c:pt>
                      <c:pt idx="565">
                        <c:v>44908</c:v>
                      </c:pt>
                      <c:pt idx="566">
                        <c:v>44909</c:v>
                      </c:pt>
                      <c:pt idx="567">
                        <c:v>44910</c:v>
                      </c:pt>
                      <c:pt idx="568">
                        <c:v>44911</c:v>
                      </c:pt>
                      <c:pt idx="569">
                        <c:v>44914</c:v>
                      </c:pt>
                      <c:pt idx="570">
                        <c:v>44915</c:v>
                      </c:pt>
                      <c:pt idx="571">
                        <c:v>44916</c:v>
                      </c:pt>
                      <c:pt idx="572">
                        <c:v>44917</c:v>
                      </c:pt>
                      <c:pt idx="573">
                        <c:v>44918</c:v>
                      </c:pt>
                      <c:pt idx="574">
                        <c:v>44921</c:v>
                      </c:pt>
                      <c:pt idx="575">
                        <c:v>44922</c:v>
                      </c:pt>
                      <c:pt idx="576">
                        <c:v>44923</c:v>
                      </c:pt>
                      <c:pt idx="577">
                        <c:v>44924</c:v>
                      </c:pt>
                      <c:pt idx="578">
                        <c:v>44925</c:v>
                      </c:pt>
                      <c:pt idx="579">
                        <c:v>44929</c:v>
                      </c:pt>
                      <c:pt idx="580">
                        <c:v>44930</c:v>
                      </c:pt>
                      <c:pt idx="581">
                        <c:v>44931</c:v>
                      </c:pt>
                      <c:pt idx="582">
                        <c:v>44932</c:v>
                      </c:pt>
                      <c:pt idx="583">
                        <c:v>44935</c:v>
                      </c:pt>
                      <c:pt idx="584">
                        <c:v>44936</c:v>
                      </c:pt>
                      <c:pt idx="585">
                        <c:v>44937</c:v>
                      </c:pt>
                      <c:pt idx="586">
                        <c:v>44938</c:v>
                      </c:pt>
                      <c:pt idx="587">
                        <c:v>44939</c:v>
                      </c:pt>
                      <c:pt idx="588">
                        <c:v>44942</c:v>
                      </c:pt>
                      <c:pt idx="589">
                        <c:v>44943</c:v>
                      </c:pt>
                      <c:pt idx="590">
                        <c:v>44944</c:v>
                      </c:pt>
                      <c:pt idx="591">
                        <c:v>44945</c:v>
                      </c:pt>
                      <c:pt idx="592">
                        <c:v>44953</c:v>
                      </c:pt>
                      <c:pt idx="593">
                        <c:v>44956</c:v>
                      </c:pt>
                      <c:pt idx="594">
                        <c:v>44957</c:v>
                      </c:pt>
                      <c:pt idx="595">
                        <c:v>44958</c:v>
                      </c:pt>
                      <c:pt idx="596">
                        <c:v>44959</c:v>
                      </c:pt>
                      <c:pt idx="597">
                        <c:v>44960</c:v>
                      </c:pt>
                      <c:pt idx="598">
                        <c:v>44963</c:v>
                      </c:pt>
                      <c:pt idx="599">
                        <c:v>44964</c:v>
                      </c:pt>
                      <c:pt idx="600">
                        <c:v>44965</c:v>
                      </c:pt>
                      <c:pt idx="601">
                        <c:v>44966</c:v>
                      </c:pt>
                      <c:pt idx="602">
                        <c:v>44967</c:v>
                      </c:pt>
                      <c:pt idx="603">
                        <c:v>44970</c:v>
                      </c:pt>
                      <c:pt idx="604">
                        <c:v>44971</c:v>
                      </c:pt>
                      <c:pt idx="605">
                        <c:v>44972</c:v>
                      </c:pt>
                      <c:pt idx="606">
                        <c:v>44973</c:v>
                      </c:pt>
                      <c:pt idx="607">
                        <c:v>44974</c:v>
                      </c:pt>
                      <c:pt idx="608">
                        <c:v>44977</c:v>
                      </c:pt>
                      <c:pt idx="609">
                        <c:v>44978</c:v>
                      </c:pt>
                      <c:pt idx="610">
                        <c:v>44979</c:v>
                      </c:pt>
                      <c:pt idx="611">
                        <c:v>44980</c:v>
                      </c:pt>
                      <c:pt idx="612">
                        <c:v>44981</c:v>
                      </c:pt>
                      <c:pt idx="613">
                        <c:v>44984</c:v>
                      </c:pt>
                      <c:pt idx="614">
                        <c:v>44985</c:v>
                      </c:pt>
                      <c:pt idx="615">
                        <c:v>44986</c:v>
                      </c:pt>
                      <c:pt idx="616">
                        <c:v>44987</c:v>
                      </c:pt>
                      <c:pt idx="617">
                        <c:v>44988</c:v>
                      </c:pt>
                      <c:pt idx="618">
                        <c:v>44991</c:v>
                      </c:pt>
                      <c:pt idx="619">
                        <c:v>44992</c:v>
                      </c:pt>
                      <c:pt idx="620">
                        <c:v>44993</c:v>
                      </c:pt>
                      <c:pt idx="621">
                        <c:v>44994</c:v>
                      </c:pt>
                      <c:pt idx="622">
                        <c:v>44995</c:v>
                      </c:pt>
                      <c:pt idx="623">
                        <c:v>44998</c:v>
                      </c:pt>
                      <c:pt idx="624">
                        <c:v>44999</c:v>
                      </c:pt>
                      <c:pt idx="625">
                        <c:v>45000</c:v>
                      </c:pt>
                      <c:pt idx="626">
                        <c:v>45001</c:v>
                      </c:pt>
                      <c:pt idx="627">
                        <c:v>45002</c:v>
                      </c:pt>
                      <c:pt idx="628">
                        <c:v>45005</c:v>
                      </c:pt>
                      <c:pt idx="629">
                        <c:v>45006</c:v>
                      </c:pt>
                      <c:pt idx="630">
                        <c:v>45007</c:v>
                      </c:pt>
                      <c:pt idx="631">
                        <c:v>45008</c:v>
                      </c:pt>
                      <c:pt idx="632">
                        <c:v>45009</c:v>
                      </c:pt>
                      <c:pt idx="633">
                        <c:v>45012</c:v>
                      </c:pt>
                      <c:pt idx="634">
                        <c:v>45013</c:v>
                      </c:pt>
                      <c:pt idx="635">
                        <c:v>45014</c:v>
                      </c:pt>
                      <c:pt idx="636">
                        <c:v>45015</c:v>
                      </c:pt>
                      <c:pt idx="637">
                        <c:v>45016</c:v>
                      </c:pt>
                      <c:pt idx="638">
                        <c:v>45019</c:v>
                      </c:pt>
                      <c:pt idx="639">
                        <c:v>45020</c:v>
                      </c:pt>
                      <c:pt idx="640">
                        <c:v>45021</c:v>
                      </c:pt>
                      <c:pt idx="641">
                        <c:v>45022</c:v>
                      </c:pt>
                      <c:pt idx="642">
                        <c:v>45023</c:v>
                      </c:pt>
                      <c:pt idx="643">
                        <c:v>45026</c:v>
                      </c:pt>
                      <c:pt idx="644">
                        <c:v>45027</c:v>
                      </c:pt>
                      <c:pt idx="645">
                        <c:v>45028</c:v>
                      </c:pt>
                      <c:pt idx="646">
                        <c:v>45029</c:v>
                      </c:pt>
                      <c:pt idx="647">
                        <c:v>45030</c:v>
                      </c:pt>
                      <c:pt idx="648">
                        <c:v>45033</c:v>
                      </c:pt>
                      <c:pt idx="649">
                        <c:v>45034</c:v>
                      </c:pt>
                      <c:pt idx="650">
                        <c:v>45035</c:v>
                      </c:pt>
                      <c:pt idx="651">
                        <c:v>45036</c:v>
                      </c:pt>
                      <c:pt idx="652">
                        <c:v>45037</c:v>
                      </c:pt>
                      <c:pt idx="653">
                        <c:v>45040</c:v>
                      </c:pt>
                      <c:pt idx="654">
                        <c:v>45041</c:v>
                      </c:pt>
                      <c:pt idx="655">
                        <c:v>45042</c:v>
                      </c:pt>
                      <c:pt idx="656">
                        <c:v>45043</c:v>
                      </c:pt>
                      <c:pt idx="657">
                        <c:v>45044</c:v>
                      </c:pt>
                      <c:pt idx="658">
                        <c:v>45050</c:v>
                      </c:pt>
                      <c:pt idx="659">
                        <c:v>45051</c:v>
                      </c:pt>
                      <c:pt idx="660">
                        <c:v>45054</c:v>
                      </c:pt>
                      <c:pt idx="661">
                        <c:v>45055</c:v>
                      </c:pt>
                      <c:pt idx="662">
                        <c:v>45056</c:v>
                      </c:pt>
                      <c:pt idx="663">
                        <c:v>45057</c:v>
                      </c:pt>
                      <c:pt idx="664">
                        <c:v>45058</c:v>
                      </c:pt>
                      <c:pt idx="665">
                        <c:v>45061</c:v>
                      </c:pt>
                      <c:pt idx="666">
                        <c:v>45062</c:v>
                      </c:pt>
                      <c:pt idx="667">
                        <c:v>45063</c:v>
                      </c:pt>
                      <c:pt idx="668">
                        <c:v>45064</c:v>
                      </c:pt>
                      <c:pt idx="669">
                        <c:v>45065</c:v>
                      </c:pt>
                      <c:pt idx="670">
                        <c:v>45068</c:v>
                      </c:pt>
                      <c:pt idx="671">
                        <c:v>45069</c:v>
                      </c:pt>
                      <c:pt idx="672">
                        <c:v>45070</c:v>
                      </c:pt>
                      <c:pt idx="673">
                        <c:v>45071</c:v>
                      </c:pt>
                      <c:pt idx="674">
                        <c:v>45072</c:v>
                      </c:pt>
                      <c:pt idx="675">
                        <c:v>45075</c:v>
                      </c:pt>
                      <c:pt idx="676">
                        <c:v>45076</c:v>
                      </c:pt>
                      <c:pt idx="677">
                        <c:v>45077</c:v>
                      </c:pt>
                      <c:pt idx="678">
                        <c:v>45078</c:v>
                      </c:pt>
                      <c:pt idx="679">
                        <c:v>45079</c:v>
                      </c:pt>
                      <c:pt idx="680">
                        <c:v>45082</c:v>
                      </c:pt>
                      <c:pt idx="681">
                        <c:v>45083</c:v>
                      </c:pt>
                      <c:pt idx="682">
                        <c:v>45084</c:v>
                      </c:pt>
                      <c:pt idx="683">
                        <c:v>45085</c:v>
                      </c:pt>
                      <c:pt idx="684">
                        <c:v>45086</c:v>
                      </c:pt>
                      <c:pt idx="685">
                        <c:v>45089</c:v>
                      </c:pt>
                      <c:pt idx="686">
                        <c:v>45090</c:v>
                      </c:pt>
                      <c:pt idx="687">
                        <c:v>45091</c:v>
                      </c:pt>
                      <c:pt idx="688">
                        <c:v>45092</c:v>
                      </c:pt>
                      <c:pt idx="689">
                        <c:v>45093</c:v>
                      </c:pt>
                      <c:pt idx="690">
                        <c:v>45096</c:v>
                      </c:pt>
                      <c:pt idx="691">
                        <c:v>45097</c:v>
                      </c:pt>
                      <c:pt idx="692">
                        <c:v>45098</c:v>
                      </c:pt>
                      <c:pt idx="693">
                        <c:v>45099</c:v>
                      </c:pt>
                      <c:pt idx="694">
                        <c:v>45100</c:v>
                      </c:pt>
                      <c:pt idx="695">
                        <c:v>45103</c:v>
                      </c:pt>
                      <c:pt idx="696">
                        <c:v>45104</c:v>
                      </c:pt>
                      <c:pt idx="697">
                        <c:v>45105</c:v>
                      </c:pt>
                      <c:pt idx="698">
                        <c:v>45106</c:v>
                      </c:pt>
                      <c:pt idx="699">
                        <c:v>45107</c:v>
                      </c:pt>
                      <c:pt idx="700">
                        <c:v>45110</c:v>
                      </c:pt>
                      <c:pt idx="701">
                        <c:v>45111</c:v>
                      </c:pt>
                      <c:pt idx="702">
                        <c:v>45112</c:v>
                      </c:pt>
                      <c:pt idx="703">
                        <c:v>45113</c:v>
                      </c:pt>
                      <c:pt idx="704">
                        <c:v>45114</c:v>
                      </c:pt>
                      <c:pt idx="705">
                        <c:v>45117</c:v>
                      </c:pt>
                      <c:pt idx="706">
                        <c:v>45118</c:v>
                      </c:pt>
                      <c:pt idx="707">
                        <c:v>45119</c:v>
                      </c:pt>
                      <c:pt idx="708">
                        <c:v>45120</c:v>
                      </c:pt>
                      <c:pt idx="709">
                        <c:v>45121</c:v>
                      </c:pt>
                      <c:pt idx="710">
                        <c:v>45124</c:v>
                      </c:pt>
                      <c:pt idx="711">
                        <c:v>45125</c:v>
                      </c:pt>
                      <c:pt idx="712">
                        <c:v>45126</c:v>
                      </c:pt>
                      <c:pt idx="713">
                        <c:v>45127</c:v>
                      </c:pt>
                      <c:pt idx="714">
                        <c:v>45128</c:v>
                      </c:pt>
                      <c:pt idx="715">
                        <c:v>45131</c:v>
                      </c:pt>
                      <c:pt idx="716">
                        <c:v>45132</c:v>
                      </c:pt>
                      <c:pt idx="717">
                        <c:v>45133</c:v>
                      </c:pt>
                      <c:pt idx="718">
                        <c:v>45134</c:v>
                      </c:pt>
                      <c:pt idx="719">
                        <c:v>45135</c:v>
                      </c:pt>
                      <c:pt idx="720">
                        <c:v>45138</c:v>
                      </c:pt>
                      <c:pt idx="721">
                        <c:v>45139</c:v>
                      </c:pt>
                      <c:pt idx="722">
                        <c:v>45140</c:v>
                      </c:pt>
                      <c:pt idx="723">
                        <c:v>45141</c:v>
                      </c:pt>
                      <c:pt idx="724">
                        <c:v>45142</c:v>
                      </c:pt>
                      <c:pt idx="725">
                        <c:v>45145</c:v>
                      </c:pt>
                      <c:pt idx="726">
                        <c:v>45146</c:v>
                      </c:pt>
                      <c:pt idx="727">
                        <c:v>45147</c:v>
                      </c:pt>
                      <c:pt idx="728">
                        <c:v>45148</c:v>
                      </c:pt>
                      <c:pt idx="729">
                        <c:v>45149</c:v>
                      </c:pt>
                      <c:pt idx="730">
                        <c:v>45152</c:v>
                      </c:pt>
                      <c:pt idx="731">
                        <c:v>45153</c:v>
                      </c:pt>
                      <c:pt idx="732">
                        <c:v>45154</c:v>
                      </c:pt>
                      <c:pt idx="733">
                        <c:v>45155</c:v>
                      </c:pt>
                      <c:pt idx="734">
                        <c:v>45156</c:v>
                      </c:pt>
                      <c:pt idx="735">
                        <c:v>45159</c:v>
                      </c:pt>
                      <c:pt idx="736">
                        <c:v>45160</c:v>
                      </c:pt>
                      <c:pt idx="737">
                        <c:v>45161</c:v>
                      </c:pt>
                      <c:pt idx="738">
                        <c:v>45162</c:v>
                      </c:pt>
                      <c:pt idx="739">
                        <c:v>45163</c:v>
                      </c:pt>
                      <c:pt idx="740">
                        <c:v>45166</c:v>
                      </c:pt>
                      <c:pt idx="741">
                        <c:v>45167</c:v>
                      </c:pt>
                      <c:pt idx="742">
                        <c:v>45168</c:v>
                      </c:pt>
                      <c:pt idx="743">
                        <c:v>45169</c:v>
                      </c:pt>
                      <c:pt idx="744">
                        <c:v>45174</c:v>
                      </c:pt>
                      <c:pt idx="745">
                        <c:v>45175</c:v>
                      </c:pt>
                      <c:pt idx="746">
                        <c:v>45176</c:v>
                      </c:pt>
                      <c:pt idx="747">
                        <c:v>45177</c:v>
                      </c:pt>
                      <c:pt idx="748">
                        <c:v>45180</c:v>
                      </c:pt>
                      <c:pt idx="749">
                        <c:v>45181</c:v>
                      </c:pt>
                      <c:pt idx="750">
                        <c:v>45182</c:v>
                      </c:pt>
                      <c:pt idx="751">
                        <c:v>45183</c:v>
                      </c:pt>
                      <c:pt idx="752">
                        <c:v>45184</c:v>
                      </c:pt>
                      <c:pt idx="753">
                        <c:v>45187</c:v>
                      </c:pt>
                      <c:pt idx="754">
                        <c:v>45188</c:v>
                      </c:pt>
                      <c:pt idx="755">
                        <c:v>45189</c:v>
                      </c:pt>
                      <c:pt idx="756">
                        <c:v>45190</c:v>
                      </c:pt>
                      <c:pt idx="757">
                        <c:v>45191</c:v>
                      </c:pt>
                      <c:pt idx="758">
                        <c:v>45194</c:v>
                      </c:pt>
                      <c:pt idx="759">
                        <c:v>45195</c:v>
                      </c:pt>
                      <c:pt idx="760">
                        <c:v>45196</c:v>
                      </c:pt>
                      <c:pt idx="761">
                        <c:v>45197</c:v>
                      </c:pt>
                      <c:pt idx="762">
                        <c:v>45198</c:v>
                      </c:pt>
                      <c:pt idx="763">
                        <c:v>45201</c:v>
                      </c:pt>
                      <c:pt idx="764">
                        <c:v>45202</c:v>
                      </c:pt>
                      <c:pt idx="765">
                        <c:v>45203</c:v>
                      </c:pt>
                      <c:pt idx="766">
                        <c:v>45204</c:v>
                      </c:pt>
                      <c:pt idx="767">
                        <c:v>45205</c:v>
                      </c:pt>
                      <c:pt idx="768">
                        <c:v>45208</c:v>
                      </c:pt>
                      <c:pt idx="769">
                        <c:v>45209</c:v>
                      </c:pt>
                      <c:pt idx="770">
                        <c:v>45210</c:v>
                      </c:pt>
                      <c:pt idx="771">
                        <c:v>45211</c:v>
                      </c:pt>
                      <c:pt idx="772">
                        <c:v>45212</c:v>
                      </c:pt>
                      <c:pt idx="773">
                        <c:v>45215</c:v>
                      </c:pt>
                      <c:pt idx="774">
                        <c:v>45216</c:v>
                      </c:pt>
                      <c:pt idx="775">
                        <c:v>45217</c:v>
                      </c:pt>
                      <c:pt idx="776">
                        <c:v>45218</c:v>
                      </c:pt>
                      <c:pt idx="777">
                        <c:v>45219</c:v>
                      </c:pt>
                      <c:pt idx="778">
                        <c:v>45222</c:v>
                      </c:pt>
                      <c:pt idx="779">
                        <c:v>45223</c:v>
                      </c:pt>
                      <c:pt idx="780">
                        <c:v>45224</c:v>
                      </c:pt>
                      <c:pt idx="781">
                        <c:v>45225</c:v>
                      </c:pt>
                      <c:pt idx="782">
                        <c:v>45226</c:v>
                      </c:pt>
                      <c:pt idx="783">
                        <c:v>45229</c:v>
                      </c:pt>
                      <c:pt idx="784">
                        <c:v>45230</c:v>
                      </c:pt>
                      <c:pt idx="785">
                        <c:v>45231</c:v>
                      </c:pt>
                      <c:pt idx="786">
                        <c:v>45232</c:v>
                      </c:pt>
                      <c:pt idx="787">
                        <c:v>45233</c:v>
                      </c:pt>
                      <c:pt idx="788">
                        <c:v>45236</c:v>
                      </c:pt>
                      <c:pt idx="789">
                        <c:v>45237</c:v>
                      </c:pt>
                      <c:pt idx="790">
                        <c:v>45238</c:v>
                      </c:pt>
                      <c:pt idx="791">
                        <c:v>45239</c:v>
                      </c:pt>
                      <c:pt idx="792">
                        <c:v>45240</c:v>
                      </c:pt>
                      <c:pt idx="793">
                        <c:v>45243</c:v>
                      </c:pt>
                      <c:pt idx="794">
                        <c:v>45244</c:v>
                      </c:pt>
                      <c:pt idx="795">
                        <c:v>45245</c:v>
                      </c:pt>
                      <c:pt idx="796">
                        <c:v>45246</c:v>
                      </c:pt>
                      <c:pt idx="797">
                        <c:v>45247</c:v>
                      </c:pt>
                      <c:pt idx="798">
                        <c:v>45250</c:v>
                      </c:pt>
                      <c:pt idx="799">
                        <c:v>45251</c:v>
                      </c:pt>
                      <c:pt idx="800">
                        <c:v>45252</c:v>
                      </c:pt>
                      <c:pt idx="801">
                        <c:v>45253</c:v>
                      </c:pt>
                      <c:pt idx="802">
                        <c:v>45254</c:v>
                      </c:pt>
                      <c:pt idx="803">
                        <c:v>45257</c:v>
                      </c:pt>
                      <c:pt idx="804">
                        <c:v>45258</c:v>
                      </c:pt>
                      <c:pt idx="805">
                        <c:v>45259</c:v>
                      </c:pt>
                      <c:pt idx="806">
                        <c:v>45260</c:v>
                      </c:pt>
                      <c:pt idx="807">
                        <c:v>45261</c:v>
                      </c:pt>
                      <c:pt idx="808">
                        <c:v>45264</c:v>
                      </c:pt>
                      <c:pt idx="809">
                        <c:v>45265</c:v>
                      </c:pt>
                      <c:pt idx="810">
                        <c:v>45266</c:v>
                      </c:pt>
                      <c:pt idx="811">
                        <c:v>45267</c:v>
                      </c:pt>
                      <c:pt idx="812">
                        <c:v>45268</c:v>
                      </c:pt>
                      <c:pt idx="813">
                        <c:v>45271</c:v>
                      </c:pt>
                      <c:pt idx="814">
                        <c:v>45272</c:v>
                      </c:pt>
                      <c:pt idx="815">
                        <c:v>45273</c:v>
                      </c:pt>
                      <c:pt idx="816">
                        <c:v>45274</c:v>
                      </c:pt>
                      <c:pt idx="817">
                        <c:v>45275</c:v>
                      </c:pt>
                      <c:pt idx="818">
                        <c:v>45278</c:v>
                      </c:pt>
                      <c:pt idx="819">
                        <c:v>45279</c:v>
                      </c:pt>
                      <c:pt idx="820">
                        <c:v>45280</c:v>
                      </c:pt>
                      <c:pt idx="821">
                        <c:v>45281</c:v>
                      </c:pt>
                      <c:pt idx="822">
                        <c:v>45282</c:v>
                      </c:pt>
                      <c:pt idx="823">
                        <c:v>45285</c:v>
                      </c:pt>
                      <c:pt idx="824">
                        <c:v>45286</c:v>
                      </c:pt>
                      <c:pt idx="825">
                        <c:v>45287</c:v>
                      </c:pt>
                      <c:pt idx="826">
                        <c:v>45288</c:v>
                      </c:pt>
                      <c:pt idx="827">
                        <c:v>45289</c:v>
                      </c:pt>
                      <c:pt idx="828">
                        <c:v>45293</c:v>
                      </c:pt>
                      <c:pt idx="829">
                        <c:v>45294</c:v>
                      </c:pt>
                      <c:pt idx="830">
                        <c:v>45295</c:v>
                      </c:pt>
                      <c:pt idx="831">
                        <c:v>45296</c:v>
                      </c:pt>
                      <c:pt idx="832">
                        <c:v>45299</c:v>
                      </c:pt>
                      <c:pt idx="833">
                        <c:v>45300</c:v>
                      </c:pt>
                      <c:pt idx="834">
                        <c:v>45301</c:v>
                      </c:pt>
                      <c:pt idx="835">
                        <c:v>45302</c:v>
                      </c:pt>
                      <c:pt idx="836">
                        <c:v>45303</c:v>
                      </c:pt>
                      <c:pt idx="837">
                        <c:v>45306</c:v>
                      </c:pt>
                      <c:pt idx="838">
                        <c:v>45307</c:v>
                      </c:pt>
                      <c:pt idx="839">
                        <c:v>45308</c:v>
                      </c:pt>
                      <c:pt idx="840">
                        <c:v>45309</c:v>
                      </c:pt>
                      <c:pt idx="841">
                        <c:v>45310</c:v>
                      </c:pt>
                      <c:pt idx="842">
                        <c:v>45313</c:v>
                      </c:pt>
                      <c:pt idx="843">
                        <c:v>45314</c:v>
                      </c:pt>
                      <c:pt idx="844">
                        <c:v>45315</c:v>
                      </c:pt>
                      <c:pt idx="845">
                        <c:v>45316</c:v>
                      </c:pt>
                      <c:pt idx="846">
                        <c:v>45317</c:v>
                      </c:pt>
                      <c:pt idx="847">
                        <c:v>45320</c:v>
                      </c:pt>
                      <c:pt idx="848">
                        <c:v>45321</c:v>
                      </c:pt>
                      <c:pt idx="849">
                        <c:v>45322</c:v>
                      </c:pt>
                      <c:pt idx="850">
                        <c:v>45323</c:v>
                      </c:pt>
                      <c:pt idx="851">
                        <c:v>45324</c:v>
                      </c:pt>
                      <c:pt idx="852">
                        <c:v>45327</c:v>
                      </c:pt>
                      <c:pt idx="853">
                        <c:v>45328</c:v>
                      </c:pt>
                      <c:pt idx="854">
                        <c:v>45329</c:v>
                      </c:pt>
                      <c:pt idx="855">
                        <c:v>45337</c:v>
                      </c:pt>
                      <c:pt idx="856">
                        <c:v>45338</c:v>
                      </c:pt>
                      <c:pt idx="857">
                        <c:v>45341</c:v>
                      </c:pt>
                      <c:pt idx="858">
                        <c:v>45342</c:v>
                      </c:pt>
                      <c:pt idx="859">
                        <c:v>45343</c:v>
                      </c:pt>
                      <c:pt idx="860">
                        <c:v>45344</c:v>
                      </c:pt>
                      <c:pt idx="861">
                        <c:v>45345</c:v>
                      </c:pt>
                      <c:pt idx="862">
                        <c:v>45348</c:v>
                      </c:pt>
                      <c:pt idx="863">
                        <c:v>45349</c:v>
                      </c:pt>
                      <c:pt idx="864">
                        <c:v>45350</c:v>
                      </c:pt>
                      <c:pt idx="865">
                        <c:v>45351</c:v>
                      </c:pt>
                      <c:pt idx="866">
                        <c:v>45352</c:v>
                      </c:pt>
                      <c:pt idx="867">
                        <c:v>45355</c:v>
                      </c:pt>
                      <c:pt idx="868">
                        <c:v>45356</c:v>
                      </c:pt>
                      <c:pt idx="869">
                        <c:v>45357</c:v>
                      </c:pt>
                      <c:pt idx="870">
                        <c:v>45358</c:v>
                      </c:pt>
                      <c:pt idx="871">
                        <c:v>45359</c:v>
                      </c:pt>
                      <c:pt idx="872">
                        <c:v>45362</c:v>
                      </c:pt>
                      <c:pt idx="873">
                        <c:v>45363</c:v>
                      </c:pt>
                      <c:pt idx="874">
                        <c:v>45364</c:v>
                      </c:pt>
                      <c:pt idx="875">
                        <c:v>45365</c:v>
                      </c:pt>
                      <c:pt idx="876">
                        <c:v>45366</c:v>
                      </c:pt>
                      <c:pt idx="877">
                        <c:v>45369</c:v>
                      </c:pt>
                      <c:pt idx="878">
                        <c:v>45370</c:v>
                      </c:pt>
                      <c:pt idx="879">
                        <c:v>45371</c:v>
                      </c:pt>
                      <c:pt idx="880">
                        <c:v>45372</c:v>
                      </c:pt>
                      <c:pt idx="881">
                        <c:v>45373</c:v>
                      </c:pt>
                      <c:pt idx="882">
                        <c:v>45376</c:v>
                      </c:pt>
                      <c:pt idx="883">
                        <c:v>45377</c:v>
                      </c:pt>
                      <c:pt idx="884">
                        <c:v>45378</c:v>
                      </c:pt>
                      <c:pt idx="885">
                        <c:v>45379</c:v>
                      </c:pt>
                      <c:pt idx="886">
                        <c:v>45380</c:v>
                      </c:pt>
                      <c:pt idx="887">
                        <c:v>45383</c:v>
                      </c:pt>
                      <c:pt idx="888">
                        <c:v>45384</c:v>
                      </c:pt>
                      <c:pt idx="889">
                        <c:v>45385</c:v>
                      </c:pt>
                      <c:pt idx="890">
                        <c:v>45386</c:v>
                      </c:pt>
                      <c:pt idx="891">
                        <c:v>45387</c:v>
                      </c:pt>
                      <c:pt idx="892">
                        <c:v>45390</c:v>
                      </c:pt>
                      <c:pt idx="893">
                        <c:v>45391</c:v>
                      </c:pt>
                      <c:pt idx="894">
                        <c:v>45392</c:v>
                      </c:pt>
                      <c:pt idx="895">
                        <c:v>45393</c:v>
                      </c:pt>
                      <c:pt idx="896">
                        <c:v>45394</c:v>
                      </c:pt>
                      <c:pt idx="897">
                        <c:v>45397</c:v>
                      </c:pt>
                      <c:pt idx="898">
                        <c:v>45398</c:v>
                      </c:pt>
                      <c:pt idx="899">
                        <c:v>45399</c:v>
                      </c:pt>
                      <c:pt idx="900">
                        <c:v>45401</c:v>
                      </c:pt>
                      <c:pt idx="901">
                        <c:v>45404</c:v>
                      </c:pt>
                      <c:pt idx="902">
                        <c:v>45405</c:v>
                      </c:pt>
                      <c:pt idx="903">
                        <c:v>45406</c:v>
                      </c:pt>
                      <c:pt idx="904">
                        <c:v>45407</c:v>
                      </c:pt>
                      <c:pt idx="905">
                        <c:v>45408</c:v>
                      </c:pt>
                      <c:pt idx="906">
                        <c:v>45414</c:v>
                      </c:pt>
                      <c:pt idx="907">
                        <c:v>45415</c:v>
                      </c:pt>
                      <c:pt idx="908">
                        <c:v>45418</c:v>
                      </c:pt>
                      <c:pt idx="909">
                        <c:v>45419</c:v>
                      </c:pt>
                      <c:pt idx="910">
                        <c:v>45420</c:v>
                      </c:pt>
                      <c:pt idx="911">
                        <c:v>45421</c:v>
                      </c:pt>
                      <c:pt idx="912">
                        <c:v>45422</c:v>
                      </c:pt>
                      <c:pt idx="913">
                        <c:v>45425</c:v>
                      </c:pt>
                      <c:pt idx="914">
                        <c:v>45426</c:v>
                      </c:pt>
                      <c:pt idx="915">
                        <c:v>45427</c:v>
                      </c:pt>
                      <c:pt idx="916">
                        <c:v>45428</c:v>
                      </c:pt>
                      <c:pt idx="917">
                        <c:v>45429</c:v>
                      </c:pt>
                      <c:pt idx="918">
                        <c:v>45432</c:v>
                      </c:pt>
                      <c:pt idx="919">
                        <c:v>45433</c:v>
                      </c:pt>
                      <c:pt idx="920">
                        <c:v>45434</c:v>
                      </c:pt>
                      <c:pt idx="921">
                        <c:v>45435</c:v>
                      </c:pt>
                      <c:pt idx="922">
                        <c:v>45436</c:v>
                      </c:pt>
                      <c:pt idx="923">
                        <c:v>45439</c:v>
                      </c:pt>
                      <c:pt idx="924">
                        <c:v>45440</c:v>
                      </c:pt>
                      <c:pt idx="925">
                        <c:v>45441</c:v>
                      </c:pt>
                      <c:pt idx="926">
                        <c:v>45442</c:v>
                      </c:pt>
                      <c:pt idx="927">
                        <c:v>45443</c:v>
                      </c:pt>
                      <c:pt idx="928">
                        <c:v>45446</c:v>
                      </c:pt>
                      <c:pt idx="929">
                        <c:v>45447</c:v>
                      </c:pt>
                      <c:pt idx="930">
                        <c:v>45448</c:v>
                      </c:pt>
                      <c:pt idx="931">
                        <c:v>45449</c:v>
                      </c:pt>
                      <c:pt idx="932">
                        <c:v>45450</c:v>
                      </c:pt>
                      <c:pt idx="933">
                        <c:v>45453</c:v>
                      </c:pt>
                      <c:pt idx="934">
                        <c:v>45454</c:v>
                      </c:pt>
                      <c:pt idx="935">
                        <c:v>45455</c:v>
                      </c:pt>
                      <c:pt idx="936">
                        <c:v>45456</c:v>
                      </c:pt>
                      <c:pt idx="937">
                        <c:v>45457</c:v>
                      </c:pt>
                      <c:pt idx="938">
                        <c:v>45460</c:v>
                      </c:pt>
                      <c:pt idx="939">
                        <c:v>45461</c:v>
                      </c:pt>
                      <c:pt idx="940">
                        <c:v>45462</c:v>
                      </c:pt>
                      <c:pt idx="941">
                        <c:v>45463</c:v>
                      </c:pt>
                      <c:pt idx="942">
                        <c:v>45464</c:v>
                      </c:pt>
                      <c:pt idx="943">
                        <c:v>45467</c:v>
                      </c:pt>
                      <c:pt idx="944">
                        <c:v>45468</c:v>
                      </c:pt>
                      <c:pt idx="945">
                        <c:v>45469</c:v>
                      </c:pt>
                      <c:pt idx="946">
                        <c:v>45470</c:v>
                      </c:pt>
                      <c:pt idx="947">
                        <c:v>45471</c:v>
                      </c:pt>
                      <c:pt idx="948">
                        <c:v>45474</c:v>
                      </c:pt>
                      <c:pt idx="949">
                        <c:v>45475</c:v>
                      </c:pt>
                      <c:pt idx="950">
                        <c:v>45476</c:v>
                      </c:pt>
                      <c:pt idx="951">
                        <c:v>45477</c:v>
                      </c:pt>
                      <c:pt idx="952">
                        <c:v>45478</c:v>
                      </c:pt>
                      <c:pt idx="953">
                        <c:v>45481</c:v>
                      </c:pt>
                      <c:pt idx="954">
                        <c:v>45482</c:v>
                      </c:pt>
                      <c:pt idx="955">
                        <c:v>45483</c:v>
                      </c:pt>
                      <c:pt idx="956">
                        <c:v>45484</c:v>
                      </c:pt>
                      <c:pt idx="957">
                        <c:v>45485</c:v>
                      </c:pt>
                      <c:pt idx="958">
                        <c:v>45488</c:v>
                      </c:pt>
                      <c:pt idx="959">
                        <c:v>45489</c:v>
                      </c:pt>
                      <c:pt idx="960">
                        <c:v>45490</c:v>
                      </c:pt>
                      <c:pt idx="961">
                        <c:v>45491</c:v>
                      </c:pt>
                      <c:pt idx="962">
                        <c:v>45492</c:v>
                      </c:pt>
                      <c:pt idx="963">
                        <c:v>45495</c:v>
                      </c:pt>
                      <c:pt idx="964">
                        <c:v>45496</c:v>
                      </c:pt>
                      <c:pt idx="965">
                        <c:v>45497</c:v>
                      </c:pt>
                      <c:pt idx="966">
                        <c:v>45498</c:v>
                      </c:pt>
                      <c:pt idx="967">
                        <c:v>45499</c:v>
                      </c:pt>
                      <c:pt idx="968">
                        <c:v>45502</c:v>
                      </c:pt>
                      <c:pt idx="969">
                        <c:v>45503</c:v>
                      </c:pt>
                      <c:pt idx="970">
                        <c:v>45504</c:v>
                      </c:pt>
                      <c:pt idx="971">
                        <c:v>45505</c:v>
                      </c:pt>
                      <c:pt idx="972">
                        <c:v>45506</c:v>
                      </c:pt>
                      <c:pt idx="973">
                        <c:v>45509</c:v>
                      </c:pt>
                      <c:pt idx="974">
                        <c:v>45510</c:v>
                      </c:pt>
                      <c:pt idx="975">
                        <c:v>45511</c:v>
                      </c:pt>
                      <c:pt idx="976">
                        <c:v>45512</c:v>
                      </c:pt>
                      <c:pt idx="977">
                        <c:v>45513</c:v>
                      </c:pt>
                      <c:pt idx="978">
                        <c:v>45516</c:v>
                      </c:pt>
                      <c:pt idx="979">
                        <c:v>45517</c:v>
                      </c:pt>
                      <c:pt idx="980">
                        <c:v>45518</c:v>
                      </c:pt>
                      <c:pt idx="981">
                        <c:v>45519</c:v>
                      </c:pt>
                      <c:pt idx="982">
                        <c:v>45520</c:v>
                      </c:pt>
                      <c:pt idx="983">
                        <c:v>45523</c:v>
                      </c:pt>
                      <c:pt idx="984">
                        <c:v>45524</c:v>
                      </c:pt>
                      <c:pt idx="985">
                        <c:v>45525</c:v>
                      </c:pt>
                      <c:pt idx="986">
                        <c:v>45526</c:v>
                      </c:pt>
                      <c:pt idx="987">
                        <c:v>45527</c:v>
                      </c:pt>
                      <c:pt idx="988">
                        <c:v>45530</c:v>
                      </c:pt>
                      <c:pt idx="989">
                        <c:v>45531</c:v>
                      </c:pt>
                      <c:pt idx="990">
                        <c:v>45532</c:v>
                      </c:pt>
                      <c:pt idx="991">
                        <c:v>45533</c:v>
                      </c:pt>
                      <c:pt idx="992">
                        <c:v>45534</c:v>
                      </c:pt>
                      <c:pt idx="993">
                        <c:v>45539</c:v>
                      </c:pt>
                      <c:pt idx="994">
                        <c:v>45540</c:v>
                      </c:pt>
                      <c:pt idx="995">
                        <c:v>45541</c:v>
                      </c:pt>
                      <c:pt idx="996">
                        <c:v>45544</c:v>
                      </c:pt>
                      <c:pt idx="997">
                        <c:v>45545</c:v>
                      </c:pt>
                      <c:pt idx="998">
                        <c:v>45546</c:v>
                      </c:pt>
                      <c:pt idx="999">
                        <c:v>45547</c:v>
                      </c:pt>
                      <c:pt idx="1000">
                        <c:v>45548</c:v>
                      </c:pt>
                      <c:pt idx="1001">
                        <c:v>45551</c:v>
                      </c:pt>
                      <c:pt idx="1002">
                        <c:v>45552</c:v>
                      </c:pt>
                      <c:pt idx="1003">
                        <c:v>45553</c:v>
                      </c:pt>
                      <c:pt idx="1004">
                        <c:v>45554</c:v>
                      </c:pt>
                      <c:pt idx="1005">
                        <c:v>45555</c:v>
                      </c:pt>
                      <c:pt idx="1006">
                        <c:v>45558</c:v>
                      </c:pt>
                      <c:pt idx="1007">
                        <c:v>45559</c:v>
                      </c:pt>
                      <c:pt idx="1008">
                        <c:v>45560</c:v>
                      </c:pt>
                      <c:pt idx="1009">
                        <c:v>45561</c:v>
                      </c:pt>
                      <c:pt idx="1010">
                        <c:v>45562</c:v>
                      </c:pt>
                      <c:pt idx="1011">
                        <c:v>45565</c:v>
                      </c:pt>
                      <c:pt idx="1012">
                        <c:v>45566</c:v>
                      </c:pt>
                      <c:pt idx="1013">
                        <c:v>45567</c:v>
                      </c:pt>
                      <c:pt idx="1014">
                        <c:v>45568</c:v>
                      </c:pt>
                      <c:pt idx="1015">
                        <c:v>45569</c:v>
                      </c:pt>
                      <c:pt idx="1016">
                        <c:v>45572</c:v>
                      </c:pt>
                      <c:pt idx="1017">
                        <c:v>45573</c:v>
                      </c:pt>
                      <c:pt idx="1018">
                        <c:v>45574</c:v>
                      </c:pt>
                      <c:pt idx="1019">
                        <c:v>45575</c:v>
                      </c:pt>
                      <c:pt idx="1020">
                        <c:v>45576</c:v>
                      </c:pt>
                      <c:pt idx="1021">
                        <c:v>45579</c:v>
                      </c:pt>
                      <c:pt idx="1022">
                        <c:v>45580</c:v>
                      </c:pt>
                      <c:pt idx="1023">
                        <c:v>45581</c:v>
                      </c:pt>
                      <c:pt idx="1024">
                        <c:v>45582</c:v>
                      </c:pt>
                      <c:pt idx="1025">
                        <c:v>45583</c:v>
                      </c:pt>
                      <c:pt idx="1026">
                        <c:v>45586</c:v>
                      </c:pt>
                      <c:pt idx="1027">
                        <c:v>45587</c:v>
                      </c:pt>
                      <c:pt idx="1028">
                        <c:v>45588</c:v>
                      </c:pt>
                      <c:pt idx="1029">
                        <c:v>45589</c:v>
                      </c:pt>
                      <c:pt idx="1030">
                        <c:v>45590</c:v>
                      </c:pt>
                      <c:pt idx="1031">
                        <c:v>45593</c:v>
                      </c:pt>
                      <c:pt idx="1032">
                        <c:v>45594</c:v>
                      </c:pt>
                      <c:pt idx="1033">
                        <c:v>45595</c:v>
                      </c:pt>
                      <c:pt idx="1034">
                        <c:v>45596</c:v>
                      </c:pt>
                      <c:pt idx="1035">
                        <c:v>45597</c:v>
                      </c:pt>
                      <c:pt idx="1036">
                        <c:v>45600</c:v>
                      </c:pt>
                      <c:pt idx="1037">
                        <c:v>45601</c:v>
                      </c:pt>
                      <c:pt idx="1038">
                        <c:v>45602</c:v>
                      </c:pt>
                      <c:pt idx="1039">
                        <c:v>45603</c:v>
                      </c:pt>
                      <c:pt idx="1040">
                        <c:v>45604</c:v>
                      </c:pt>
                      <c:pt idx="1041">
                        <c:v>45607</c:v>
                      </c:pt>
                      <c:pt idx="1042">
                        <c:v>45608</c:v>
                      </c:pt>
                      <c:pt idx="1043">
                        <c:v>45609</c:v>
                      </c:pt>
                      <c:pt idx="1044">
                        <c:v>45610</c:v>
                      </c:pt>
                      <c:pt idx="1045">
                        <c:v>45611</c:v>
                      </c:pt>
                      <c:pt idx="1046">
                        <c:v>45614</c:v>
                      </c:pt>
                      <c:pt idx="1047">
                        <c:v>45615</c:v>
                      </c:pt>
                      <c:pt idx="1048">
                        <c:v>45616</c:v>
                      </c:pt>
                      <c:pt idx="1049">
                        <c:v>45617</c:v>
                      </c:pt>
                      <c:pt idx="1050">
                        <c:v>45618</c:v>
                      </c:pt>
                      <c:pt idx="1051">
                        <c:v>45621</c:v>
                      </c:pt>
                      <c:pt idx="1052">
                        <c:v>45622</c:v>
                      </c:pt>
                      <c:pt idx="1053">
                        <c:v>45623</c:v>
                      </c:pt>
                      <c:pt idx="1054">
                        <c:v>45624</c:v>
                      </c:pt>
                      <c:pt idx="1055">
                        <c:v>45625</c:v>
                      </c:pt>
                      <c:pt idx="1056">
                        <c:v>45628</c:v>
                      </c:pt>
                      <c:pt idx="1057">
                        <c:v>45629</c:v>
                      </c:pt>
                      <c:pt idx="1058">
                        <c:v>45630</c:v>
                      </c:pt>
                      <c:pt idx="1059">
                        <c:v>45631</c:v>
                      </c:pt>
                      <c:pt idx="1060">
                        <c:v>45632</c:v>
                      </c:pt>
                      <c:pt idx="1061">
                        <c:v>45635</c:v>
                      </c:pt>
                      <c:pt idx="1062">
                        <c:v>45636</c:v>
                      </c:pt>
                      <c:pt idx="1063">
                        <c:v>45637</c:v>
                      </c:pt>
                      <c:pt idx="1064">
                        <c:v>45638</c:v>
                      </c:pt>
                      <c:pt idx="1065">
                        <c:v>45639</c:v>
                      </c:pt>
                      <c:pt idx="1066">
                        <c:v>45642</c:v>
                      </c:pt>
                      <c:pt idx="1067">
                        <c:v>45643</c:v>
                      </c:pt>
                      <c:pt idx="1068">
                        <c:v>45644</c:v>
                      </c:pt>
                      <c:pt idx="1069">
                        <c:v>45645</c:v>
                      </c:pt>
                      <c:pt idx="1070">
                        <c:v>45646</c:v>
                      </c:pt>
                      <c:pt idx="1071">
                        <c:v>45649</c:v>
                      </c:pt>
                      <c:pt idx="1072">
                        <c:v>45650</c:v>
                      </c:pt>
                      <c:pt idx="1073">
                        <c:v>45651</c:v>
                      </c:pt>
                      <c:pt idx="1074">
                        <c:v>45652</c:v>
                      </c:pt>
                      <c:pt idx="1075">
                        <c:v>45653</c:v>
                      </c:pt>
                      <c:pt idx="1076">
                        <c:v>45656</c:v>
                      </c:pt>
                      <c:pt idx="1077">
                        <c:v>45657</c:v>
                      </c:pt>
                      <c:pt idx="1078">
                        <c:v>45659</c:v>
                      </c:pt>
                      <c:pt idx="1079">
                        <c:v>45660</c:v>
                      </c:pt>
                      <c:pt idx="1080">
                        <c:v>45663</c:v>
                      </c:pt>
                      <c:pt idx="1081">
                        <c:v>45664</c:v>
                      </c:pt>
                      <c:pt idx="1082">
                        <c:v>45665</c:v>
                      </c:pt>
                      <c:pt idx="1083">
                        <c:v>45666</c:v>
                      </c:pt>
                      <c:pt idx="1084">
                        <c:v>45667</c:v>
                      </c:pt>
                      <c:pt idx="1085">
                        <c:v>45670</c:v>
                      </c:pt>
                      <c:pt idx="1086">
                        <c:v>45671</c:v>
                      </c:pt>
                      <c:pt idx="1087">
                        <c:v>45672</c:v>
                      </c:pt>
                      <c:pt idx="1088">
                        <c:v>45673</c:v>
                      </c:pt>
                      <c:pt idx="1089">
                        <c:v>45674</c:v>
                      </c:pt>
                      <c:pt idx="1090">
                        <c:v>45677</c:v>
                      </c:pt>
                      <c:pt idx="1091">
                        <c:v>45678</c:v>
                      </c:pt>
                      <c:pt idx="1092">
                        <c:v>45679</c:v>
                      </c:pt>
                      <c:pt idx="1093">
                        <c:v>45680</c:v>
                      </c:pt>
                      <c:pt idx="1094">
                        <c:v>45681</c:v>
                      </c:pt>
                      <c:pt idx="1095">
                        <c:v>45691</c:v>
                      </c:pt>
                      <c:pt idx="1096">
                        <c:v>45692</c:v>
                      </c:pt>
                      <c:pt idx="1097">
                        <c:v>45693</c:v>
                      </c:pt>
                      <c:pt idx="1098">
                        <c:v>45694</c:v>
                      </c:pt>
                      <c:pt idx="1099">
                        <c:v>45695</c:v>
                      </c:pt>
                      <c:pt idx="1100">
                        <c:v>45698</c:v>
                      </c:pt>
                      <c:pt idx="1101">
                        <c:v>45699</c:v>
                      </c:pt>
                      <c:pt idx="1102">
                        <c:v>45700</c:v>
                      </c:pt>
                      <c:pt idx="1103">
                        <c:v>45701</c:v>
                      </c:pt>
                      <c:pt idx="1104">
                        <c:v>45702</c:v>
                      </c:pt>
                      <c:pt idx="1105">
                        <c:v>45705</c:v>
                      </c:pt>
                      <c:pt idx="1106">
                        <c:v>45706</c:v>
                      </c:pt>
                      <c:pt idx="1107">
                        <c:v>45707</c:v>
                      </c:pt>
                      <c:pt idx="1108">
                        <c:v>45708</c:v>
                      </c:pt>
                      <c:pt idx="1109">
                        <c:v>45709</c:v>
                      </c:pt>
                      <c:pt idx="1110">
                        <c:v>45712</c:v>
                      </c:pt>
                      <c:pt idx="1111">
                        <c:v>45713</c:v>
                      </c:pt>
                      <c:pt idx="1112">
                        <c:v>45714</c:v>
                      </c:pt>
                      <c:pt idx="1113">
                        <c:v>45715</c:v>
                      </c:pt>
                      <c:pt idx="1114">
                        <c:v>45716</c:v>
                      </c:pt>
                      <c:pt idx="1115">
                        <c:v>45719</c:v>
                      </c:pt>
                      <c:pt idx="1116">
                        <c:v>45720</c:v>
                      </c:pt>
                      <c:pt idx="1117">
                        <c:v>45721</c:v>
                      </c:pt>
                      <c:pt idx="1118">
                        <c:v>45722</c:v>
                      </c:pt>
                      <c:pt idx="1119">
                        <c:v>45723</c:v>
                      </c:pt>
                      <c:pt idx="1120">
                        <c:v>45726</c:v>
                      </c:pt>
                      <c:pt idx="1121">
                        <c:v>45727</c:v>
                      </c:pt>
                      <c:pt idx="1122">
                        <c:v>45728</c:v>
                      </c:pt>
                      <c:pt idx="1123">
                        <c:v>45729</c:v>
                      </c:pt>
                      <c:pt idx="1124">
                        <c:v>45730</c:v>
                      </c:pt>
                      <c:pt idx="1125">
                        <c:v>45733</c:v>
                      </c:pt>
                      <c:pt idx="1126">
                        <c:v>45734</c:v>
                      </c:pt>
                      <c:pt idx="1127">
                        <c:v>45735</c:v>
                      </c:pt>
                      <c:pt idx="1128">
                        <c:v>45736</c:v>
                      </c:pt>
                      <c:pt idx="1129">
                        <c:v>45737</c:v>
                      </c:pt>
                      <c:pt idx="1130">
                        <c:v>45740</c:v>
                      </c:pt>
                      <c:pt idx="1131">
                        <c:v>45741</c:v>
                      </c:pt>
                      <c:pt idx="1132">
                        <c:v>45742</c:v>
                      </c:pt>
                      <c:pt idx="1133">
                        <c:v>45743</c:v>
                      </c:pt>
                      <c:pt idx="1134">
                        <c:v>45744</c:v>
                      </c:pt>
                      <c:pt idx="1135">
                        <c:v>45747</c:v>
                      </c:pt>
                      <c:pt idx="1136">
                        <c:v>45748</c:v>
                      </c:pt>
                      <c:pt idx="1137">
                        <c:v>45749</c:v>
                      </c:pt>
                      <c:pt idx="1138">
                        <c:v>45750</c:v>
                      </c:pt>
                      <c:pt idx="1139">
                        <c:v>45751</c:v>
                      </c:pt>
                      <c:pt idx="1140">
                        <c:v>45755</c:v>
                      </c:pt>
                      <c:pt idx="1141">
                        <c:v>45756</c:v>
                      </c:pt>
                      <c:pt idx="1142">
                        <c:v>45757</c:v>
                      </c:pt>
                      <c:pt idx="1143">
                        <c:v>45758</c:v>
                      </c:pt>
                      <c:pt idx="1144">
                        <c:v>45761</c:v>
                      </c:pt>
                      <c:pt idx="1145">
                        <c:v>45762</c:v>
                      </c:pt>
                      <c:pt idx="1146">
                        <c:v>45763</c:v>
                      </c:pt>
                      <c:pt idx="1147">
                        <c:v>45764</c:v>
                      </c:pt>
                      <c:pt idx="1148">
                        <c:v>45765</c:v>
                      </c:pt>
                      <c:pt idx="1149">
                        <c:v>45768</c:v>
                      </c:pt>
                      <c:pt idx="1150">
                        <c:v>45769</c:v>
                      </c:pt>
                      <c:pt idx="1151">
                        <c:v>45770</c:v>
                      </c:pt>
                      <c:pt idx="1152">
                        <c:v>45771</c:v>
                      </c:pt>
                      <c:pt idx="1153">
                        <c:v>45772</c:v>
                      </c:pt>
                      <c:pt idx="1154">
                        <c:v>45775</c:v>
                      </c:pt>
                      <c:pt idx="1155">
                        <c:v>45776</c:v>
                      </c:pt>
                      <c:pt idx="1156">
                        <c:v>45782</c:v>
                      </c:pt>
                      <c:pt idx="1157">
                        <c:v>45783</c:v>
                      </c:pt>
                      <c:pt idx="1158">
                        <c:v>45784</c:v>
                      </c:pt>
                      <c:pt idx="1159">
                        <c:v>45785</c:v>
                      </c:pt>
                      <c:pt idx="1160">
                        <c:v>45786</c:v>
                      </c:pt>
                      <c:pt idx="1161">
                        <c:v>45789</c:v>
                      </c:pt>
                      <c:pt idx="1162">
                        <c:v>45790</c:v>
                      </c:pt>
                      <c:pt idx="1163">
                        <c:v>45791</c:v>
                      </c:pt>
                      <c:pt idx="1164">
                        <c:v>45792</c:v>
                      </c:pt>
                      <c:pt idx="1165">
                        <c:v>45793</c:v>
                      </c:pt>
                      <c:pt idx="1166">
                        <c:v>45796</c:v>
                      </c:pt>
                      <c:pt idx="1167">
                        <c:v>45797</c:v>
                      </c:pt>
                      <c:pt idx="1168">
                        <c:v>45798</c:v>
                      </c:pt>
                      <c:pt idx="1169">
                        <c:v>45799</c:v>
                      </c:pt>
                      <c:pt idx="1170">
                        <c:v>45800</c:v>
                      </c:pt>
                      <c:pt idx="1171">
                        <c:v>45803</c:v>
                      </c:pt>
                      <c:pt idx="1172">
                        <c:v>45804</c:v>
                      </c:pt>
                      <c:pt idx="1173">
                        <c:v>45805</c:v>
                      </c:pt>
                      <c:pt idx="1174">
                        <c:v>45806</c:v>
                      </c:pt>
                      <c:pt idx="1175">
                        <c:v>45807</c:v>
                      </c:pt>
                      <c:pt idx="1176">
                        <c:v>45810</c:v>
                      </c:pt>
                      <c:pt idx="1177">
                        <c:v>45811</c:v>
                      </c:pt>
                      <c:pt idx="1178">
                        <c:v>45812</c:v>
                      </c:pt>
                      <c:pt idx="1179">
                        <c:v>45813</c:v>
                      </c:pt>
                      <c:pt idx="1180">
                        <c:v>45814</c:v>
                      </c:pt>
                      <c:pt idx="1181">
                        <c:v>45817</c:v>
                      </c:pt>
                      <c:pt idx="1182">
                        <c:v>45818</c:v>
                      </c:pt>
                      <c:pt idx="1183">
                        <c:v>45819</c:v>
                      </c:pt>
                      <c:pt idx="1184">
                        <c:v>45820</c:v>
                      </c:pt>
                      <c:pt idx="1185">
                        <c:v>45821</c:v>
                      </c:pt>
                      <c:pt idx="1186">
                        <c:v>45824</c:v>
                      </c:pt>
                      <c:pt idx="1187">
                        <c:v>45825</c:v>
                      </c:pt>
                      <c:pt idx="1188">
                        <c:v>45826</c:v>
                      </c:pt>
                      <c:pt idx="1189">
                        <c:v>45827</c:v>
                      </c:pt>
                      <c:pt idx="1190">
                        <c:v>45828</c:v>
                      </c:pt>
                      <c:pt idx="1191">
                        <c:v>45831</c:v>
                      </c:pt>
                      <c:pt idx="1192">
                        <c:v>45832</c:v>
                      </c:pt>
                      <c:pt idx="1193">
                        <c:v>45833</c:v>
                      </c:pt>
                      <c:pt idx="1194">
                        <c:v>45834</c:v>
                      </c:pt>
                      <c:pt idx="1195">
                        <c:v>45835</c:v>
                      </c:pt>
                      <c:pt idx="1196">
                        <c:v>45838</c:v>
                      </c:pt>
                      <c:pt idx="1197">
                        <c:v>45839</c:v>
                      </c:pt>
                      <c:pt idx="1198">
                        <c:v>45840</c:v>
                      </c:pt>
                      <c:pt idx="1199">
                        <c:v>45841</c:v>
                      </c:pt>
                      <c:pt idx="1200">
                        <c:v>45842</c:v>
                      </c:pt>
                      <c:pt idx="1201">
                        <c:v>45845</c:v>
                      </c:pt>
                      <c:pt idx="1202">
                        <c:v>45846</c:v>
                      </c:pt>
                      <c:pt idx="1203">
                        <c:v>45847</c:v>
                      </c:pt>
                      <c:pt idx="1204">
                        <c:v>45848</c:v>
                      </c:pt>
                      <c:pt idx="1205">
                        <c:v>45849</c:v>
                      </c:pt>
                      <c:pt idx="1206">
                        <c:v>45852</c:v>
                      </c:pt>
                      <c:pt idx="1207">
                        <c:v>45853</c:v>
                      </c:pt>
                      <c:pt idx="1208">
                        <c:v>45854</c:v>
                      </c:pt>
                      <c:pt idx="1209">
                        <c:v>45855</c:v>
                      </c:pt>
                      <c:pt idx="1210">
                        <c:v>45856</c:v>
                      </c:pt>
                      <c:pt idx="1211">
                        <c:v>45859</c:v>
                      </c:pt>
                      <c:pt idx="1212">
                        <c:v>45860</c:v>
                      </c:pt>
                      <c:pt idx="1213">
                        <c:v>45861</c:v>
                      </c:pt>
                      <c:pt idx="1214">
                        <c:v>45862</c:v>
                      </c:pt>
                      <c:pt idx="1215">
                        <c:v>45863</c:v>
                      </c:pt>
                      <c:pt idx="1216">
                        <c:v>45866</c:v>
                      </c:pt>
                      <c:pt idx="1217">
                        <c:v>45867</c:v>
                      </c:pt>
                      <c:pt idx="1218">
                        <c:v>45868</c:v>
                      </c:pt>
                      <c:pt idx="1219">
                        <c:v>45869</c:v>
                      </c:pt>
                      <c:pt idx="1220">
                        <c:v>45870</c:v>
                      </c:pt>
                      <c:pt idx="1221">
                        <c:v>45873</c:v>
                      </c:pt>
                      <c:pt idx="1222">
                        <c:v>45874</c:v>
                      </c:pt>
                      <c:pt idx="1223">
                        <c:v>45875</c:v>
                      </c:pt>
                      <c:pt idx="1224">
                        <c:v>45876</c:v>
                      </c:pt>
                      <c:pt idx="1225">
                        <c:v>45877</c:v>
                      </c:pt>
                      <c:pt idx="1226">
                        <c:v>45880</c:v>
                      </c:pt>
                      <c:pt idx="1227">
                        <c:v>45881</c:v>
                      </c:pt>
                      <c:pt idx="1228">
                        <c:v>45882</c:v>
                      </c:pt>
                      <c:pt idx="1229">
                        <c:v>45883</c:v>
                      </c:pt>
                      <c:pt idx="1230">
                        <c:v>45884</c:v>
                      </c:pt>
                      <c:pt idx="1231">
                        <c:v>45887</c:v>
                      </c:pt>
                      <c:pt idx="1232">
                        <c:v>45888</c:v>
                      </c:pt>
                      <c:pt idx="1233">
                        <c:v>45889</c:v>
                      </c:pt>
                      <c:pt idx="1234">
                        <c:v>45890</c:v>
                      </c:pt>
                      <c:pt idx="1235">
                        <c:v>45891</c:v>
                      </c:pt>
                      <c:pt idx="1236">
                        <c:v>45894</c:v>
                      </c:pt>
                      <c:pt idx="1237">
                        <c:v>45895</c:v>
                      </c:pt>
                      <c:pt idx="1238">
                        <c:v>45896</c:v>
                      </c:pt>
                      <c:pt idx="1239">
                        <c:v>45897</c:v>
                      </c:pt>
                      <c:pt idx="1240">
                        <c:v>45898</c:v>
                      </c:pt>
                      <c:pt idx="1241">
                        <c:v>45903</c:v>
                      </c:pt>
                      <c:pt idx="1242">
                        <c:v>45904</c:v>
                      </c:pt>
                      <c:pt idx="1243">
                        <c:v>45905</c:v>
                      </c:pt>
                      <c:pt idx="1244">
                        <c:v>45908</c:v>
                      </c:pt>
                      <c:pt idx="1245">
                        <c:v>45909</c:v>
                      </c:pt>
                      <c:pt idx="1246">
                        <c:v>45910</c:v>
                      </c:pt>
                      <c:pt idx="1247">
                        <c:v>45911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BCE2-4596-9C03-87507E966139}"/>
            </c:ext>
          </c:extLst>
        </c:ser>
        <c:ser>
          <c:idx val="2"/>
          <c:order val="2"/>
          <c:spPr>
            <a:ln w="22225" cap="rnd">
              <a:solidFill>
                <a:schemeClr val="dk1">
                  <a:tint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[177]PE!$D$2:$D$1249</c:f>
              <c:numCache>
                <c:formatCode>_(* #,##0_);_(* \(#,##0\);_(* "-"??_);_(@_)</c:formatCode>
                <c:ptCount val="1248"/>
                <c:pt idx="0">
                  <c:v>15.966326152980287</c:v>
                </c:pt>
                <c:pt idx="1">
                  <c:v>15.966326152980287</c:v>
                </c:pt>
                <c:pt idx="2">
                  <c:v>15.966326152980287</c:v>
                </c:pt>
                <c:pt idx="3">
                  <c:v>15.966326152980287</c:v>
                </c:pt>
                <c:pt idx="4">
                  <c:v>15.966326152980287</c:v>
                </c:pt>
                <c:pt idx="5">
                  <c:v>15.966326152980287</c:v>
                </c:pt>
                <c:pt idx="6">
                  <c:v>15.966326152980287</c:v>
                </c:pt>
                <c:pt idx="7">
                  <c:v>15.966326152980287</c:v>
                </c:pt>
                <c:pt idx="8">
                  <c:v>15.966326152980287</c:v>
                </c:pt>
                <c:pt idx="9">
                  <c:v>15.966326152980287</c:v>
                </c:pt>
                <c:pt idx="10">
                  <c:v>15.966326152980287</c:v>
                </c:pt>
                <c:pt idx="11">
                  <c:v>15.966326152980287</c:v>
                </c:pt>
                <c:pt idx="12">
                  <c:v>15.966326152980287</c:v>
                </c:pt>
                <c:pt idx="13">
                  <c:v>15.966326152980287</c:v>
                </c:pt>
                <c:pt idx="14">
                  <c:v>15.966326152980287</c:v>
                </c:pt>
                <c:pt idx="15">
                  <c:v>15.966326152980287</c:v>
                </c:pt>
                <c:pt idx="16">
                  <c:v>15.966326152980287</c:v>
                </c:pt>
                <c:pt idx="17">
                  <c:v>15.966326152980287</c:v>
                </c:pt>
                <c:pt idx="18">
                  <c:v>15.966326152980287</c:v>
                </c:pt>
                <c:pt idx="19">
                  <c:v>15.966326152980287</c:v>
                </c:pt>
                <c:pt idx="20">
                  <c:v>15.966326152980287</c:v>
                </c:pt>
                <c:pt idx="21">
                  <c:v>15.966326152980287</c:v>
                </c:pt>
                <c:pt idx="22">
                  <c:v>15.966326152980287</c:v>
                </c:pt>
                <c:pt idx="23">
                  <c:v>15.966326152980287</c:v>
                </c:pt>
                <c:pt idx="24">
                  <c:v>15.966326152980287</c:v>
                </c:pt>
                <c:pt idx="25">
                  <c:v>15.966326152980287</c:v>
                </c:pt>
                <c:pt idx="26">
                  <c:v>15.966326152980287</c:v>
                </c:pt>
                <c:pt idx="27">
                  <c:v>15.966326152980287</c:v>
                </c:pt>
                <c:pt idx="28">
                  <c:v>15.966326152980287</c:v>
                </c:pt>
                <c:pt idx="29">
                  <c:v>15.966326152980287</c:v>
                </c:pt>
                <c:pt idx="30">
                  <c:v>15.966326152980287</c:v>
                </c:pt>
                <c:pt idx="31">
                  <c:v>15.966326152980287</c:v>
                </c:pt>
                <c:pt idx="32">
                  <c:v>15.966326152980287</c:v>
                </c:pt>
                <c:pt idx="33">
                  <c:v>15.966326152980287</c:v>
                </c:pt>
                <c:pt idx="34">
                  <c:v>15.966326152980287</c:v>
                </c:pt>
                <c:pt idx="35">
                  <c:v>15.966326152980287</c:v>
                </c:pt>
                <c:pt idx="36">
                  <c:v>15.966326152980287</c:v>
                </c:pt>
                <c:pt idx="37">
                  <c:v>15.966326152980287</c:v>
                </c:pt>
                <c:pt idx="38">
                  <c:v>15.966326152980287</c:v>
                </c:pt>
                <c:pt idx="39">
                  <c:v>15.966326152980287</c:v>
                </c:pt>
                <c:pt idx="40">
                  <c:v>15.966326152980287</c:v>
                </c:pt>
                <c:pt idx="41">
                  <c:v>15.966326152980287</c:v>
                </c:pt>
                <c:pt idx="42">
                  <c:v>15.966326152980287</c:v>
                </c:pt>
                <c:pt idx="43">
                  <c:v>15.966326152980287</c:v>
                </c:pt>
                <c:pt idx="44">
                  <c:v>15.966326152980287</c:v>
                </c:pt>
                <c:pt idx="45">
                  <c:v>15.966326152980287</c:v>
                </c:pt>
                <c:pt idx="46">
                  <c:v>15.966326152980287</c:v>
                </c:pt>
                <c:pt idx="47">
                  <c:v>15.966326152980287</c:v>
                </c:pt>
                <c:pt idx="48">
                  <c:v>15.966326152980287</c:v>
                </c:pt>
                <c:pt idx="49">
                  <c:v>15.966326152980287</c:v>
                </c:pt>
                <c:pt idx="50">
                  <c:v>15.966326152980287</c:v>
                </c:pt>
                <c:pt idx="51">
                  <c:v>15.966326152980287</c:v>
                </c:pt>
                <c:pt idx="52">
                  <c:v>15.966326152980287</c:v>
                </c:pt>
                <c:pt idx="53">
                  <c:v>15.966326152980287</c:v>
                </c:pt>
                <c:pt idx="54">
                  <c:v>15.966326152980287</c:v>
                </c:pt>
                <c:pt idx="55">
                  <c:v>15.966326152980287</c:v>
                </c:pt>
                <c:pt idx="56">
                  <c:v>15.966326152980287</c:v>
                </c:pt>
                <c:pt idx="57">
                  <c:v>15.966326152980287</c:v>
                </c:pt>
                <c:pt idx="58">
                  <c:v>15.966326152980287</c:v>
                </c:pt>
                <c:pt idx="59">
                  <c:v>15.966326152980287</c:v>
                </c:pt>
                <c:pt idx="60">
                  <c:v>15.966326152980287</c:v>
                </c:pt>
                <c:pt idx="61">
                  <c:v>15.966326152980287</c:v>
                </c:pt>
                <c:pt idx="62">
                  <c:v>15.966326152980287</c:v>
                </c:pt>
                <c:pt idx="63">
                  <c:v>15.966326152980287</c:v>
                </c:pt>
                <c:pt idx="64">
                  <c:v>15.966326152980287</c:v>
                </c:pt>
                <c:pt idx="65">
                  <c:v>15.966326152980287</c:v>
                </c:pt>
                <c:pt idx="66">
                  <c:v>15.966326152980287</c:v>
                </c:pt>
                <c:pt idx="67">
                  <c:v>15.966326152980287</c:v>
                </c:pt>
                <c:pt idx="68">
                  <c:v>15.966326152980287</c:v>
                </c:pt>
                <c:pt idx="69">
                  <c:v>15.966326152980287</c:v>
                </c:pt>
                <c:pt idx="70">
                  <c:v>15.966326152980287</c:v>
                </c:pt>
                <c:pt idx="71">
                  <c:v>15.966326152980287</c:v>
                </c:pt>
                <c:pt idx="72">
                  <c:v>15.966326152980287</c:v>
                </c:pt>
                <c:pt idx="73">
                  <c:v>15.966326152980287</c:v>
                </c:pt>
                <c:pt idx="74">
                  <c:v>15.966326152980287</c:v>
                </c:pt>
                <c:pt idx="75">
                  <c:v>15.966326152980287</c:v>
                </c:pt>
                <c:pt idx="76">
                  <c:v>15.966326152980287</c:v>
                </c:pt>
                <c:pt idx="77">
                  <c:v>15.966326152980287</c:v>
                </c:pt>
                <c:pt idx="78">
                  <c:v>15.966326152980287</c:v>
                </c:pt>
                <c:pt idx="79">
                  <c:v>15.966326152980287</c:v>
                </c:pt>
                <c:pt idx="80">
                  <c:v>15.966326152980287</c:v>
                </c:pt>
                <c:pt idx="81">
                  <c:v>15.966326152980287</c:v>
                </c:pt>
                <c:pt idx="82">
                  <c:v>15.966326152980287</c:v>
                </c:pt>
                <c:pt idx="83">
                  <c:v>15.966326152980287</c:v>
                </c:pt>
                <c:pt idx="84">
                  <c:v>15.966326152980287</c:v>
                </c:pt>
                <c:pt idx="85">
                  <c:v>15.966326152980287</c:v>
                </c:pt>
                <c:pt idx="86">
                  <c:v>15.966326152980287</c:v>
                </c:pt>
                <c:pt idx="87">
                  <c:v>15.966326152980287</c:v>
                </c:pt>
                <c:pt idx="88">
                  <c:v>15.966326152980287</c:v>
                </c:pt>
                <c:pt idx="89">
                  <c:v>15.966326152980287</c:v>
                </c:pt>
                <c:pt idx="90">
                  <c:v>15.966326152980287</c:v>
                </c:pt>
                <c:pt idx="91">
                  <c:v>15.966326152980287</c:v>
                </c:pt>
                <c:pt idx="92">
                  <c:v>15.966326152980287</c:v>
                </c:pt>
                <c:pt idx="93">
                  <c:v>15.966326152980287</c:v>
                </c:pt>
                <c:pt idx="94">
                  <c:v>15.966326152980287</c:v>
                </c:pt>
                <c:pt idx="95">
                  <c:v>15.966326152980287</c:v>
                </c:pt>
                <c:pt idx="96">
                  <c:v>15.966326152980287</c:v>
                </c:pt>
                <c:pt idx="97">
                  <c:v>15.966326152980287</c:v>
                </c:pt>
                <c:pt idx="98">
                  <c:v>15.966326152980287</c:v>
                </c:pt>
                <c:pt idx="99">
                  <c:v>15.966326152980287</c:v>
                </c:pt>
                <c:pt idx="100">
                  <c:v>15.966326152980287</c:v>
                </c:pt>
                <c:pt idx="101">
                  <c:v>15.966326152980287</c:v>
                </c:pt>
                <c:pt idx="102">
                  <c:v>15.966326152980287</c:v>
                </c:pt>
                <c:pt idx="103">
                  <c:v>15.966326152980287</c:v>
                </c:pt>
                <c:pt idx="104">
                  <c:v>15.966326152980287</c:v>
                </c:pt>
                <c:pt idx="105">
                  <c:v>15.966326152980287</c:v>
                </c:pt>
                <c:pt idx="106">
                  <c:v>15.966326152980287</c:v>
                </c:pt>
                <c:pt idx="107">
                  <c:v>15.966326152980287</c:v>
                </c:pt>
                <c:pt idx="108">
                  <c:v>15.966326152980287</c:v>
                </c:pt>
                <c:pt idx="109">
                  <c:v>15.966326152980287</c:v>
                </c:pt>
                <c:pt idx="110">
                  <c:v>15.966326152980287</c:v>
                </c:pt>
                <c:pt idx="111">
                  <c:v>15.966326152980287</c:v>
                </c:pt>
                <c:pt idx="112">
                  <c:v>15.966326152980287</c:v>
                </c:pt>
                <c:pt idx="113">
                  <c:v>15.966326152980287</c:v>
                </c:pt>
                <c:pt idx="114">
                  <c:v>15.966326152980287</c:v>
                </c:pt>
                <c:pt idx="115">
                  <c:v>15.966326152980287</c:v>
                </c:pt>
                <c:pt idx="116">
                  <c:v>15.966326152980287</c:v>
                </c:pt>
                <c:pt idx="117">
                  <c:v>15.966326152980287</c:v>
                </c:pt>
                <c:pt idx="118">
                  <c:v>15.966326152980287</c:v>
                </c:pt>
                <c:pt idx="119">
                  <c:v>15.966326152980287</c:v>
                </c:pt>
                <c:pt idx="120">
                  <c:v>15.966326152980287</c:v>
                </c:pt>
                <c:pt idx="121">
                  <c:v>15.966326152980287</c:v>
                </c:pt>
                <c:pt idx="122">
                  <c:v>15.966326152980287</c:v>
                </c:pt>
                <c:pt idx="123">
                  <c:v>15.966326152980287</c:v>
                </c:pt>
                <c:pt idx="124">
                  <c:v>15.966326152980287</c:v>
                </c:pt>
                <c:pt idx="125">
                  <c:v>15.966326152980287</c:v>
                </c:pt>
                <c:pt idx="126">
                  <c:v>15.966326152980287</c:v>
                </c:pt>
                <c:pt idx="127">
                  <c:v>15.966326152980287</c:v>
                </c:pt>
                <c:pt idx="128">
                  <c:v>15.966326152980287</c:v>
                </c:pt>
                <c:pt idx="129">
                  <c:v>15.966326152980287</c:v>
                </c:pt>
                <c:pt idx="130">
                  <c:v>15.966326152980287</c:v>
                </c:pt>
                <c:pt idx="131">
                  <c:v>15.966326152980287</c:v>
                </c:pt>
                <c:pt idx="132">
                  <c:v>15.966326152980287</c:v>
                </c:pt>
                <c:pt idx="133">
                  <c:v>15.966326152980287</c:v>
                </c:pt>
                <c:pt idx="134">
                  <c:v>15.966326152980287</c:v>
                </c:pt>
                <c:pt idx="135">
                  <c:v>15.966326152980287</c:v>
                </c:pt>
                <c:pt idx="136">
                  <c:v>15.966326152980287</c:v>
                </c:pt>
                <c:pt idx="137">
                  <c:v>15.966326152980287</c:v>
                </c:pt>
                <c:pt idx="138">
                  <c:v>15.966326152980287</c:v>
                </c:pt>
                <c:pt idx="139">
                  <c:v>15.966326152980287</c:v>
                </c:pt>
                <c:pt idx="140">
                  <c:v>15.966326152980287</c:v>
                </c:pt>
                <c:pt idx="141">
                  <c:v>15.966326152980287</c:v>
                </c:pt>
                <c:pt idx="142">
                  <c:v>15.966326152980287</c:v>
                </c:pt>
                <c:pt idx="143">
                  <c:v>15.966326152980287</c:v>
                </c:pt>
                <c:pt idx="144">
                  <c:v>15.966326152980287</c:v>
                </c:pt>
                <c:pt idx="145">
                  <c:v>15.966326152980287</c:v>
                </c:pt>
                <c:pt idx="146">
                  <c:v>15.966326152980287</c:v>
                </c:pt>
                <c:pt idx="147">
                  <c:v>15.966326152980287</c:v>
                </c:pt>
                <c:pt idx="148">
                  <c:v>15.966326152980287</c:v>
                </c:pt>
                <c:pt idx="149">
                  <c:v>15.966326152980287</c:v>
                </c:pt>
                <c:pt idx="150">
                  <c:v>15.966326152980287</c:v>
                </c:pt>
                <c:pt idx="151">
                  <c:v>15.966326152980287</c:v>
                </c:pt>
                <c:pt idx="152">
                  <c:v>15.966326152980287</c:v>
                </c:pt>
                <c:pt idx="153">
                  <c:v>15.966326152980287</c:v>
                </c:pt>
                <c:pt idx="154">
                  <c:v>15.966326152980287</c:v>
                </c:pt>
                <c:pt idx="155">
                  <c:v>15.966326152980287</c:v>
                </c:pt>
                <c:pt idx="156">
                  <c:v>15.966326152980287</c:v>
                </c:pt>
                <c:pt idx="157">
                  <c:v>15.966326152980287</c:v>
                </c:pt>
                <c:pt idx="158">
                  <c:v>15.966326152980287</c:v>
                </c:pt>
                <c:pt idx="159">
                  <c:v>15.966326152980287</c:v>
                </c:pt>
                <c:pt idx="160">
                  <c:v>15.966326152980287</c:v>
                </c:pt>
                <c:pt idx="161">
                  <c:v>15.966326152980287</c:v>
                </c:pt>
                <c:pt idx="162">
                  <c:v>15.966326152980287</c:v>
                </c:pt>
                <c:pt idx="163">
                  <c:v>15.966326152980287</c:v>
                </c:pt>
                <c:pt idx="164">
                  <c:v>15.966326152980287</c:v>
                </c:pt>
                <c:pt idx="165">
                  <c:v>15.966326152980287</c:v>
                </c:pt>
                <c:pt idx="166">
                  <c:v>15.966326152980287</c:v>
                </c:pt>
                <c:pt idx="167">
                  <c:v>15.966326152980287</c:v>
                </c:pt>
                <c:pt idx="168">
                  <c:v>15.966326152980287</c:v>
                </c:pt>
                <c:pt idx="169">
                  <c:v>15.966326152980287</c:v>
                </c:pt>
                <c:pt idx="170">
                  <c:v>15.966326152980287</c:v>
                </c:pt>
                <c:pt idx="171">
                  <c:v>15.966326152980287</c:v>
                </c:pt>
                <c:pt idx="172">
                  <c:v>15.966326152980287</c:v>
                </c:pt>
                <c:pt idx="173">
                  <c:v>15.966326152980287</c:v>
                </c:pt>
                <c:pt idx="174">
                  <c:v>15.966326152980287</c:v>
                </c:pt>
                <c:pt idx="175">
                  <c:v>15.966326152980287</c:v>
                </c:pt>
                <c:pt idx="176">
                  <c:v>15.966326152980287</c:v>
                </c:pt>
                <c:pt idx="177">
                  <c:v>15.966326152980287</c:v>
                </c:pt>
                <c:pt idx="178">
                  <c:v>15.966326152980287</c:v>
                </c:pt>
                <c:pt idx="179">
                  <c:v>15.966326152980287</c:v>
                </c:pt>
                <c:pt idx="180">
                  <c:v>15.966326152980287</c:v>
                </c:pt>
                <c:pt idx="181">
                  <c:v>15.966326152980287</c:v>
                </c:pt>
                <c:pt idx="182">
                  <c:v>15.966326152980287</c:v>
                </c:pt>
                <c:pt idx="183">
                  <c:v>15.966326152980287</c:v>
                </c:pt>
                <c:pt idx="184">
                  <c:v>15.966326152980287</c:v>
                </c:pt>
                <c:pt idx="185">
                  <c:v>15.966326152980287</c:v>
                </c:pt>
                <c:pt idx="186">
                  <c:v>15.966326152980287</c:v>
                </c:pt>
                <c:pt idx="187">
                  <c:v>15.966326152980287</c:v>
                </c:pt>
                <c:pt idx="188">
                  <c:v>15.966326152980287</c:v>
                </c:pt>
                <c:pt idx="189">
                  <c:v>15.966326152980287</c:v>
                </c:pt>
                <c:pt idx="190">
                  <c:v>15.966326152980287</c:v>
                </c:pt>
                <c:pt idx="191">
                  <c:v>15.966326152980287</c:v>
                </c:pt>
                <c:pt idx="192">
                  <c:v>15.966326152980287</c:v>
                </c:pt>
                <c:pt idx="193">
                  <c:v>15.966326152980287</c:v>
                </c:pt>
                <c:pt idx="194">
                  <c:v>15.966326152980287</c:v>
                </c:pt>
                <c:pt idx="195">
                  <c:v>15.966326152980287</c:v>
                </c:pt>
                <c:pt idx="196">
                  <c:v>15.966326152980287</c:v>
                </c:pt>
                <c:pt idx="197">
                  <c:v>15.966326152980287</c:v>
                </c:pt>
                <c:pt idx="198">
                  <c:v>15.966326152980287</c:v>
                </c:pt>
                <c:pt idx="199">
                  <c:v>15.966326152980287</c:v>
                </c:pt>
                <c:pt idx="200">
                  <c:v>15.966326152980287</c:v>
                </c:pt>
                <c:pt idx="201">
                  <c:v>15.966326152980287</c:v>
                </c:pt>
                <c:pt idx="202">
                  <c:v>15.966326152980287</c:v>
                </c:pt>
                <c:pt idx="203">
                  <c:v>15.966326152980287</c:v>
                </c:pt>
                <c:pt idx="204">
                  <c:v>15.966326152980287</c:v>
                </c:pt>
                <c:pt idx="205">
                  <c:v>15.966326152980287</c:v>
                </c:pt>
                <c:pt idx="206">
                  <c:v>15.966326152980287</c:v>
                </c:pt>
                <c:pt idx="207">
                  <c:v>15.966326152980287</c:v>
                </c:pt>
                <c:pt idx="208">
                  <c:v>15.966326152980287</c:v>
                </c:pt>
                <c:pt idx="209">
                  <c:v>15.966326152980287</c:v>
                </c:pt>
                <c:pt idx="210">
                  <c:v>15.966326152980287</c:v>
                </c:pt>
                <c:pt idx="211">
                  <c:v>15.966326152980287</c:v>
                </c:pt>
                <c:pt idx="212">
                  <c:v>15.966326152980287</c:v>
                </c:pt>
                <c:pt idx="213">
                  <c:v>15.966326152980287</c:v>
                </c:pt>
                <c:pt idx="214">
                  <c:v>15.966326152980287</c:v>
                </c:pt>
                <c:pt idx="215">
                  <c:v>15.966326152980287</c:v>
                </c:pt>
                <c:pt idx="216">
                  <c:v>15.966326152980287</c:v>
                </c:pt>
                <c:pt idx="217">
                  <c:v>15.966326152980287</c:v>
                </c:pt>
                <c:pt idx="218">
                  <c:v>15.966326152980287</c:v>
                </c:pt>
                <c:pt idx="219">
                  <c:v>15.966326152980287</c:v>
                </c:pt>
                <c:pt idx="220">
                  <c:v>15.966326152980287</c:v>
                </c:pt>
                <c:pt idx="221">
                  <c:v>15.966326152980287</c:v>
                </c:pt>
                <c:pt idx="222">
                  <c:v>15.966326152980287</c:v>
                </c:pt>
                <c:pt idx="223">
                  <c:v>15.966326152980287</c:v>
                </c:pt>
                <c:pt idx="224">
                  <c:v>15.966326152980287</c:v>
                </c:pt>
                <c:pt idx="225">
                  <c:v>15.966326152980287</c:v>
                </c:pt>
                <c:pt idx="226">
                  <c:v>15.966326152980287</c:v>
                </c:pt>
                <c:pt idx="227">
                  <c:v>15.966326152980287</c:v>
                </c:pt>
                <c:pt idx="228">
                  <c:v>15.966326152980287</c:v>
                </c:pt>
                <c:pt idx="229">
                  <c:v>15.966326152980287</c:v>
                </c:pt>
                <c:pt idx="230">
                  <c:v>15.966326152980287</c:v>
                </c:pt>
                <c:pt idx="231">
                  <c:v>15.966326152980287</c:v>
                </c:pt>
                <c:pt idx="232">
                  <c:v>15.966326152980287</c:v>
                </c:pt>
                <c:pt idx="233">
                  <c:v>15.966326152980287</c:v>
                </c:pt>
                <c:pt idx="234">
                  <c:v>15.966326152980287</c:v>
                </c:pt>
                <c:pt idx="235">
                  <c:v>15.966326152980287</c:v>
                </c:pt>
                <c:pt idx="236">
                  <c:v>15.966326152980287</c:v>
                </c:pt>
                <c:pt idx="237">
                  <c:v>15.966326152980287</c:v>
                </c:pt>
                <c:pt idx="238">
                  <c:v>15.966326152980287</c:v>
                </c:pt>
                <c:pt idx="239">
                  <c:v>15.966326152980287</c:v>
                </c:pt>
                <c:pt idx="240">
                  <c:v>15.966326152980287</c:v>
                </c:pt>
                <c:pt idx="241">
                  <c:v>15.966326152980287</c:v>
                </c:pt>
                <c:pt idx="242">
                  <c:v>15.966326152980287</c:v>
                </c:pt>
                <c:pt idx="243">
                  <c:v>15.966326152980287</c:v>
                </c:pt>
                <c:pt idx="244">
                  <c:v>15.966326152980287</c:v>
                </c:pt>
                <c:pt idx="245">
                  <c:v>15.966326152980287</c:v>
                </c:pt>
                <c:pt idx="246">
                  <c:v>15.966326152980287</c:v>
                </c:pt>
                <c:pt idx="247">
                  <c:v>15.966326152980287</c:v>
                </c:pt>
                <c:pt idx="248">
                  <c:v>15.966326152980287</c:v>
                </c:pt>
                <c:pt idx="249">
                  <c:v>15.966326152980287</c:v>
                </c:pt>
                <c:pt idx="250">
                  <c:v>15.966326152980287</c:v>
                </c:pt>
                <c:pt idx="251">
                  <c:v>15.966326152980287</c:v>
                </c:pt>
                <c:pt idx="252">
                  <c:v>15.966326152980287</c:v>
                </c:pt>
                <c:pt idx="253">
                  <c:v>15.966326152980287</c:v>
                </c:pt>
                <c:pt idx="254">
                  <c:v>15.966326152980287</c:v>
                </c:pt>
                <c:pt idx="255">
                  <c:v>15.966326152980287</c:v>
                </c:pt>
                <c:pt idx="256">
                  <c:v>15.966326152980287</c:v>
                </c:pt>
                <c:pt idx="257">
                  <c:v>15.966326152980287</c:v>
                </c:pt>
                <c:pt idx="258">
                  <c:v>15.966326152980287</c:v>
                </c:pt>
                <c:pt idx="259">
                  <c:v>15.966326152980287</c:v>
                </c:pt>
                <c:pt idx="260">
                  <c:v>15.966326152980287</c:v>
                </c:pt>
                <c:pt idx="261">
                  <c:v>15.966326152980287</c:v>
                </c:pt>
                <c:pt idx="262">
                  <c:v>15.966326152980287</c:v>
                </c:pt>
                <c:pt idx="263">
                  <c:v>15.966326152980287</c:v>
                </c:pt>
                <c:pt idx="264">
                  <c:v>15.966326152980287</c:v>
                </c:pt>
                <c:pt idx="265">
                  <c:v>15.966326152980287</c:v>
                </c:pt>
                <c:pt idx="266">
                  <c:v>15.966326152980287</c:v>
                </c:pt>
                <c:pt idx="267">
                  <c:v>15.966326152980287</c:v>
                </c:pt>
                <c:pt idx="268">
                  <c:v>15.966326152980287</c:v>
                </c:pt>
                <c:pt idx="269">
                  <c:v>15.966326152980287</c:v>
                </c:pt>
                <c:pt idx="270">
                  <c:v>15.966326152980287</c:v>
                </c:pt>
                <c:pt idx="271">
                  <c:v>15.966326152980287</c:v>
                </c:pt>
                <c:pt idx="272">
                  <c:v>15.966326152980287</c:v>
                </c:pt>
                <c:pt idx="273">
                  <c:v>15.966326152980287</c:v>
                </c:pt>
                <c:pt idx="274">
                  <c:v>15.966326152980287</c:v>
                </c:pt>
                <c:pt idx="275">
                  <c:v>15.966326152980287</c:v>
                </c:pt>
                <c:pt idx="276">
                  <c:v>15.966326152980287</c:v>
                </c:pt>
                <c:pt idx="277">
                  <c:v>15.966326152980287</c:v>
                </c:pt>
                <c:pt idx="278">
                  <c:v>15.966326152980287</c:v>
                </c:pt>
                <c:pt idx="279">
                  <c:v>15.966326152980287</c:v>
                </c:pt>
                <c:pt idx="280">
                  <c:v>15.966326152980287</c:v>
                </c:pt>
                <c:pt idx="281">
                  <c:v>15.966326152980287</c:v>
                </c:pt>
                <c:pt idx="282">
                  <c:v>15.966326152980287</c:v>
                </c:pt>
                <c:pt idx="283">
                  <c:v>15.966326152980287</c:v>
                </c:pt>
                <c:pt idx="284">
                  <c:v>15.966326152980287</c:v>
                </c:pt>
                <c:pt idx="285">
                  <c:v>15.966326152980287</c:v>
                </c:pt>
                <c:pt idx="286">
                  <c:v>15.966326152980287</c:v>
                </c:pt>
                <c:pt idx="287">
                  <c:v>15.966326152980287</c:v>
                </c:pt>
                <c:pt idx="288">
                  <c:v>15.966326152980287</c:v>
                </c:pt>
                <c:pt idx="289">
                  <c:v>15.966326152980287</c:v>
                </c:pt>
                <c:pt idx="290">
                  <c:v>15.966326152980287</c:v>
                </c:pt>
                <c:pt idx="291">
                  <c:v>15.966326152980287</c:v>
                </c:pt>
                <c:pt idx="292">
                  <c:v>15.966326152980287</c:v>
                </c:pt>
                <c:pt idx="293">
                  <c:v>15.966326152980287</c:v>
                </c:pt>
                <c:pt idx="294">
                  <c:v>15.966326152980287</c:v>
                </c:pt>
                <c:pt idx="295">
                  <c:v>15.966326152980287</c:v>
                </c:pt>
                <c:pt idx="296">
                  <c:v>15.966326152980287</c:v>
                </c:pt>
                <c:pt idx="297">
                  <c:v>15.966326152980287</c:v>
                </c:pt>
                <c:pt idx="298">
                  <c:v>15.966326152980287</c:v>
                </c:pt>
                <c:pt idx="299">
                  <c:v>15.966326152980287</c:v>
                </c:pt>
                <c:pt idx="300">
                  <c:v>15.966326152980287</c:v>
                </c:pt>
                <c:pt idx="301">
                  <c:v>15.966326152980287</c:v>
                </c:pt>
                <c:pt idx="302">
                  <c:v>15.966326152980287</c:v>
                </c:pt>
                <c:pt idx="303">
                  <c:v>15.966326152980287</c:v>
                </c:pt>
                <c:pt idx="304">
                  <c:v>15.966326152980287</c:v>
                </c:pt>
                <c:pt idx="305">
                  <c:v>15.966326152980287</c:v>
                </c:pt>
                <c:pt idx="306">
                  <c:v>15.966326152980287</c:v>
                </c:pt>
                <c:pt idx="307">
                  <c:v>15.966326152980287</c:v>
                </c:pt>
                <c:pt idx="308">
                  <c:v>15.966326152980287</c:v>
                </c:pt>
                <c:pt idx="309">
                  <c:v>15.966326152980287</c:v>
                </c:pt>
                <c:pt idx="310">
                  <c:v>15.966326152980287</c:v>
                </c:pt>
                <c:pt idx="311">
                  <c:v>15.966326152980287</c:v>
                </c:pt>
                <c:pt idx="312">
                  <c:v>15.966326152980287</c:v>
                </c:pt>
                <c:pt idx="313">
                  <c:v>15.966326152980287</c:v>
                </c:pt>
                <c:pt idx="314">
                  <c:v>15.966326152980287</c:v>
                </c:pt>
                <c:pt idx="315">
                  <c:v>15.966326152980287</c:v>
                </c:pt>
                <c:pt idx="316">
                  <c:v>15.966326152980287</c:v>
                </c:pt>
                <c:pt idx="317">
                  <c:v>15.966326152980287</c:v>
                </c:pt>
                <c:pt idx="318">
                  <c:v>15.966326152980287</c:v>
                </c:pt>
                <c:pt idx="319">
                  <c:v>15.966326152980287</c:v>
                </c:pt>
                <c:pt idx="320">
                  <c:v>15.966326152980287</c:v>
                </c:pt>
                <c:pt idx="321">
                  <c:v>15.966326152980287</c:v>
                </c:pt>
                <c:pt idx="322">
                  <c:v>15.966326152980287</c:v>
                </c:pt>
                <c:pt idx="323">
                  <c:v>15.966326152980287</c:v>
                </c:pt>
                <c:pt idx="324">
                  <c:v>15.966326152980287</c:v>
                </c:pt>
                <c:pt idx="325">
                  <c:v>15.966326152980287</c:v>
                </c:pt>
                <c:pt idx="326">
                  <c:v>15.966326152980287</c:v>
                </c:pt>
                <c:pt idx="327">
                  <c:v>15.966326152980287</c:v>
                </c:pt>
                <c:pt idx="328">
                  <c:v>15.966326152980287</c:v>
                </c:pt>
                <c:pt idx="329">
                  <c:v>15.966326152980287</c:v>
                </c:pt>
                <c:pt idx="330">
                  <c:v>15.966326152980287</c:v>
                </c:pt>
                <c:pt idx="331">
                  <c:v>15.966326152980287</c:v>
                </c:pt>
                <c:pt idx="332">
                  <c:v>15.966326152980287</c:v>
                </c:pt>
                <c:pt idx="333">
                  <c:v>15.966326152980287</c:v>
                </c:pt>
                <c:pt idx="334">
                  <c:v>15.966326152980287</c:v>
                </c:pt>
                <c:pt idx="335">
                  <c:v>15.966326152980287</c:v>
                </c:pt>
                <c:pt idx="336">
                  <c:v>15.966326152980287</c:v>
                </c:pt>
                <c:pt idx="337">
                  <c:v>15.966326152980287</c:v>
                </c:pt>
                <c:pt idx="338">
                  <c:v>15.966326152980287</c:v>
                </c:pt>
                <c:pt idx="339">
                  <c:v>15.966326152980287</c:v>
                </c:pt>
                <c:pt idx="340">
                  <c:v>15.966326152980287</c:v>
                </c:pt>
                <c:pt idx="341">
                  <c:v>15.966326152980287</c:v>
                </c:pt>
                <c:pt idx="342">
                  <c:v>15.966326152980287</c:v>
                </c:pt>
                <c:pt idx="343">
                  <c:v>15.966326152980287</c:v>
                </c:pt>
                <c:pt idx="344">
                  <c:v>15.966326152980287</c:v>
                </c:pt>
                <c:pt idx="345">
                  <c:v>15.966326152980287</c:v>
                </c:pt>
                <c:pt idx="346">
                  <c:v>15.966326152980287</c:v>
                </c:pt>
                <c:pt idx="347">
                  <c:v>15.966326152980287</c:v>
                </c:pt>
                <c:pt idx="348">
                  <c:v>15.966326152980287</c:v>
                </c:pt>
                <c:pt idx="349">
                  <c:v>15.966326152980287</c:v>
                </c:pt>
                <c:pt idx="350">
                  <c:v>15.966326152980287</c:v>
                </c:pt>
                <c:pt idx="351">
                  <c:v>15.966326152980287</c:v>
                </c:pt>
                <c:pt idx="352">
                  <c:v>15.966326152980287</c:v>
                </c:pt>
                <c:pt idx="353">
                  <c:v>15.966326152980287</c:v>
                </c:pt>
                <c:pt idx="354">
                  <c:v>15.966326152980287</c:v>
                </c:pt>
                <c:pt idx="355">
                  <c:v>15.966326152980287</c:v>
                </c:pt>
                <c:pt idx="356">
                  <c:v>15.966326152980287</c:v>
                </c:pt>
                <c:pt idx="357">
                  <c:v>15.966326152980287</c:v>
                </c:pt>
                <c:pt idx="358">
                  <c:v>15.966326152980287</c:v>
                </c:pt>
                <c:pt idx="359">
                  <c:v>15.966326152980287</c:v>
                </c:pt>
                <c:pt idx="360">
                  <c:v>15.966326152980287</c:v>
                </c:pt>
                <c:pt idx="361">
                  <c:v>15.966326152980287</c:v>
                </c:pt>
                <c:pt idx="362">
                  <c:v>15.966326152980287</c:v>
                </c:pt>
                <c:pt idx="363">
                  <c:v>15.966326152980287</c:v>
                </c:pt>
                <c:pt idx="364">
                  <c:v>15.966326152980287</c:v>
                </c:pt>
                <c:pt idx="365">
                  <c:v>15.966326152980287</c:v>
                </c:pt>
                <c:pt idx="366">
                  <c:v>15.966326152980287</c:v>
                </c:pt>
                <c:pt idx="367">
                  <c:v>15.966326152980287</c:v>
                </c:pt>
                <c:pt idx="368">
                  <c:v>15.966326152980287</c:v>
                </c:pt>
                <c:pt idx="369">
                  <c:v>15.966326152980287</c:v>
                </c:pt>
                <c:pt idx="370">
                  <c:v>15.966326152980287</c:v>
                </c:pt>
                <c:pt idx="371">
                  <c:v>15.966326152980287</c:v>
                </c:pt>
                <c:pt idx="372">
                  <c:v>15.966326152980287</c:v>
                </c:pt>
                <c:pt idx="373">
                  <c:v>15.966326152980287</c:v>
                </c:pt>
                <c:pt idx="374">
                  <c:v>15.966326152980287</c:v>
                </c:pt>
                <c:pt idx="375">
                  <c:v>15.966326152980287</c:v>
                </c:pt>
                <c:pt idx="376">
                  <c:v>15.966326152980287</c:v>
                </c:pt>
                <c:pt idx="377">
                  <c:v>15.966326152980287</c:v>
                </c:pt>
                <c:pt idx="378">
                  <c:v>15.966326152980287</c:v>
                </c:pt>
                <c:pt idx="379">
                  <c:v>15.966326152980287</c:v>
                </c:pt>
                <c:pt idx="380">
                  <c:v>15.966326152980287</c:v>
                </c:pt>
                <c:pt idx="381">
                  <c:v>15.966326152980287</c:v>
                </c:pt>
                <c:pt idx="382">
                  <c:v>15.966326152980287</c:v>
                </c:pt>
                <c:pt idx="383">
                  <c:v>15.966326152980287</c:v>
                </c:pt>
                <c:pt idx="384">
                  <c:v>15.966326152980287</c:v>
                </c:pt>
                <c:pt idx="385">
                  <c:v>15.966326152980287</c:v>
                </c:pt>
                <c:pt idx="386">
                  <c:v>15.966326152980287</c:v>
                </c:pt>
                <c:pt idx="387">
                  <c:v>15.966326152980287</c:v>
                </c:pt>
                <c:pt idx="388">
                  <c:v>15.966326152980287</c:v>
                </c:pt>
                <c:pt idx="389">
                  <c:v>15.966326152980287</c:v>
                </c:pt>
                <c:pt idx="390">
                  <c:v>15.966326152980287</c:v>
                </c:pt>
                <c:pt idx="391">
                  <c:v>15.966326152980287</c:v>
                </c:pt>
                <c:pt idx="392">
                  <c:v>15.966326152980287</c:v>
                </c:pt>
                <c:pt idx="393">
                  <c:v>15.966326152980287</c:v>
                </c:pt>
                <c:pt idx="394">
                  <c:v>15.966326152980287</c:v>
                </c:pt>
                <c:pt idx="395">
                  <c:v>15.966326152980287</c:v>
                </c:pt>
                <c:pt idx="396">
                  <c:v>15.966326152980287</c:v>
                </c:pt>
                <c:pt idx="397">
                  <c:v>15.966326152980287</c:v>
                </c:pt>
                <c:pt idx="398">
                  <c:v>15.966326152980287</c:v>
                </c:pt>
                <c:pt idx="399">
                  <c:v>15.966326152980287</c:v>
                </c:pt>
                <c:pt idx="400">
                  <c:v>15.966326152980287</c:v>
                </c:pt>
                <c:pt idx="401">
                  <c:v>15.966326152980287</c:v>
                </c:pt>
                <c:pt idx="402">
                  <c:v>15.966326152980287</c:v>
                </c:pt>
                <c:pt idx="403">
                  <c:v>15.966326152980287</c:v>
                </c:pt>
                <c:pt idx="404">
                  <c:v>15.966326152980287</c:v>
                </c:pt>
                <c:pt idx="405">
                  <c:v>15.966326152980287</c:v>
                </c:pt>
                <c:pt idx="406">
                  <c:v>15.966326152980287</c:v>
                </c:pt>
                <c:pt idx="407">
                  <c:v>15.966326152980287</c:v>
                </c:pt>
                <c:pt idx="408">
                  <c:v>15.966326152980287</c:v>
                </c:pt>
                <c:pt idx="409">
                  <c:v>15.966326152980287</c:v>
                </c:pt>
                <c:pt idx="410">
                  <c:v>15.966326152980287</c:v>
                </c:pt>
                <c:pt idx="411">
                  <c:v>15.966326152980287</c:v>
                </c:pt>
                <c:pt idx="412">
                  <c:v>15.966326152980287</c:v>
                </c:pt>
                <c:pt idx="413">
                  <c:v>15.966326152980287</c:v>
                </c:pt>
                <c:pt idx="414">
                  <c:v>15.966326152980287</c:v>
                </c:pt>
                <c:pt idx="415">
                  <c:v>15.966326152980287</c:v>
                </c:pt>
                <c:pt idx="416">
                  <c:v>15.966326152980287</c:v>
                </c:pt>
                <c:pt idx="417">
                  <c:v>15.966326152980287</c:v>
                </c:pt>
                <c:pt idx="418">
                  <c:v>15.966326152980287</c:v>
                </c:pt>
                <c:pt idx="419">
                  <c:v>15.966326152980287</c:v>
                </c:pt>
                <c:pt idx="420">
                  <c:v>15.966326152980287</c:v>
                </c:pt>
                <c:pt idx="421">
                  <c:v>15.966326152980287</c:v>
                </c:pt>
                <c:pt idx="422">
                  <c:v>15.966326152980287</c:v>
                </c:pt>
                <c:pt idx="423">
                  <c:v>15.966326152980287</c:v>
                </c:pt>
                <c:pt idx="424">
                  <c:v>15.966326152980287</c:v>
                </c:pt>
                <c:pt idx="425">
                  <c:v>15.966326152980287</c:v>
                </c:pt>
                <c:pt idx="426">
                  <c:v>15.966326152980287</c:v>
                </c:pt>
                <c:pt idx="427">
                  <c:v>15.966326152980287</c:v>
                </c:pt>
                <c:pt idx="428">
                  <c:v>15.966326152980287</c:v>
                </c:pt>
                <c:pt idx="429">
                  <c:v>15.966326152980287</c:v>
                </c:pt>
                <c:pt idx="430">
                  <c:v>15.966326152980287</c:v>
                </c:pt>
                <c:pt idx="431">
                  <c:v>15.966326152980287</c:v>
                </c:pt>
                <c:pt idx="432">
                  <c:v>15.966326152980287</c:v>
                </c:pt>
                <c:pt idx="433">
                  <c:v>15.966326152980287</c:v>
                </c:pt>
                <c:pt idx="434">
                  <c:v>15.966326152980287</c:v>
                </c:pt>
                <c:pt idx="435">
                  <c:v>15.966326152980287</c:v>
                </c:pt>
                <c:pt idx="436">
                  <c:v>15.966326152980287</c:v>
                </c:pt>
                <c:pt idx="437">
                  <c:v>15.966326152980287</c:v>
                </c:pt>
                <c:pt idx="438">
                  <c:v>15.966326152980287</c:v>
                </c:pt>
                <c:pt idx="439">
                  <c:v>15.966326152980287</c:v>
                </c:pt>
                <c:pt idx="440">
                  <c:v>15.966326152980287</c:v>
                </c:pt>
                <c:pt idx="441">
                  <c:v>15.966326152980287</c:v>
                </c:pt>
                <c:pt idx="442">
                  <c:v>15.966326152980287</c:v>
                </c:pt>
                <c:pt idx="443">
                  <c:v>15.966326152980287</c:v>
                </c:pt>
                <c:pt idx="444">
                  <c:v>15.966326152980287</c:v>
                </c:pt>
                <c:pt idx="445">
                  <c:v>15.966326152980287</c:v>
                </c:pt>
                <c:pt idx="446">
                  <c:v>15.966326152980287</c:v>
                </c:pt>
                <c:pt idx="447">
                  <c:v>15.966326152980287</c:v>
                </c:pt>
                <c:pt idx="448">
                  <c:v>15.966326152980287</c:v>
                </c:pt>
                <c:pt idx="449">
                  <c:v>15.966326152980287</c:v>
                </c:pt>
                <c:pt idx="450">
                  <c:v>15.966326152980287</c:v>
                </c:pt>
                <c:pt idx="451">
                  <c:v>15.966326152980287</c:v>
                </c:pt>
                <c:pt idx="452">
                  <c:v>15.966326152980287</c:v>
                </c:pt>
                <c:pt idx="453">
                  <c:v>15.966326152980287</c:v>
                </c:pt>
                <c:pt idx="454">
                  <c:v>15.966326152980287</c:v>
                </c:pt>
                <c:pt idx="455">
                  <c:v>15.966326152980287</c:v>
                </c:pt>
                <c:pt idx="456">
                  <c:v>15.966326152980287</c:v>
                </c:pt>
                <c:pt idx="457">
                  <c:v>15.966326152980287</c:v>
                </c:pt>
                <c:pt idx="458">
                  <c:v>15.966326152980287</c:v>
                </c:pt>
                <c:pt idx="459">
                  <c:v>15.966326152980287</c:v>
                </c:pt>
                <c:pt idx="460">
                  <c:v>15.966326152980287</c:v>
                </c:pt>
                <c:pt idx="461">
                  <c:v>15.966326152980287</c:v>
                </c:pt>
                <c:pt idx="462">
                  <c:v>15.966326152980287</c:v>
                </c:pt>
                <c:pt idx="463">
                  <c:v>15.966326152980287</c:v>
                </c:pt>
                <c:pt idx="464">
                  <c:v>15.966326152980287</c:v>
                </c:pt>
                <c:pt idx="465">
                  <c:v>15.966326152980287</c:v>
                </c:pt>
                <c:pt idx="466">
                  <c:v>15.966326152980287</c:v>
                </c:pt>
                <c:pt idx="467">
                  <c:v>15.966326152980287</c:v>
                </c:pt>
                <c:pt idx="468">
                  <c:v>15.966326152980287</c:v>
                </c:pt>
                <c:pt idx="469">
                  <c:v>15.966326152980287</c:v>
                </c:pt>
                <c:pt idx="470">
                  <c:v>15.966326152980287</c:v>
                </c:pt>
                <c:pt idx="471">
                  <c:v>15.966326152980287</c:v>
                </c:pt>
                <c:pt idx="472">
                  <c:v>15.966326152980287</c:v>
                </c:pt>
                <c:pt idx="473">
                  <c:v>15.966326152980287</c:v>
                </c:pt>
                <c:pt idx="474">
                  <c:v>15.966326152980287</c:v>
                </c:pt>
                <c:pt idx="475">
                  <c:v>15.966326152980287</c:v>
                </c:pt>
                <c:pt idx="476">
                  <c:v>15.966326152980287</c:v>
                </c:pt>
                <c:pt idx="477">
                  <c:v>15.966326152980287</c:v>
                </c:pt>
                <c:pt idx="478">
                  <c:v>15.966326152980287</c:v>
                </c:pt>
                <c:pt idx="479">
                  <c:v>15.966326152980287</c:v>
                </c:pt>
                <c:pt idx="480">
                  <c:v>15.966326152980287</c:v>
                </c:pt>
                <c:pt idx="481">
                  <c:v>15.966326152980287</c:v>
                </c:pt>
                <c:pt idx="482">
                  <c:v>15.966326152980287</c:v>
                </c:pt>
                <c:pt idx="483">
                  <c:v>15.966326152980287</c:v>
                </c:pt>
                <c:pt idx="484">
                  <c:v>15.966326152980287</c:v>
                </c:pt>
                <c:pt idx="485">
                  <c:v>15.966326152980287</c:v>
                </c:pt>
                <c:pt idx="486">
                  <c:v>15.966326152980287</c:v>
                </c:pt>
                <c:pt idx="487">
                  <c:v>15.966326152980287</c:v>
                </c:pt>
                <c:pt idx="488">
                  <c:v>15.966326152980287</c:v>
                </c:pt>
                <c:pt idx="489">
                  <c:v>15.966326152980287</c:v>
                </c:pt>
                <c:pt idx="490">
                  <c:v>15.966326152980287</c:v>
                </c:pt>
                <c:pt idx="491">
                  <c:v>15.966326152980287</c:v>
                </c:pt>
                <c:pt idx="492">
                  <c:v>15.966326152980287</c:v>
                </c:pt>
                <c:pt idx="493">
                  <c:v>15.966326152980287</c:v>
                </c:pt>
                <c:pt idx="494">
                  <c:v>15.966326152980287</c:v>
                </c:pt>
                <c:pt idx="495">
                  <c:v>15.966326152980287</c:v>
                </c:pt>
                <c:pt idx="496">
                  <c:v>15.966326152980287</c:v>
                </c:pt>
                <c:pt idx="497">
                  <c:v>15.966326152980287</c:v>
                </c:pt>
                <c:pt idx="498">
                  <c:v>15.966326152980287</c:v>
                </c:pt>
                <c:pt idx="499">
                  <c:v>15.966326152980287</c:v>
                </c:pt>
                <c:pt idx="500">
                  <c:v>15.966326152980287</c:v>
                </c:pt>
                <c:pt idx="501">
                  <c:v>15.966326152980287</c:v>
                </c:pt>
                <c:pt idx="502">
                  <c:v>15.966326152980287</c:v>
                </c:pt>
                <c:pt idx="503">
                  <c:v>15.966326152980287</c:v>
                </c:pt>
                <c:pt idx="504">
                  <c:v>15.966326152980287</c:v>
                </c:pt>
                <c:pt idx="505">
                  <c:v>15.966326152980287</c:v>
                </c:pt>
                <c:pt idx="506">
                  <c:v>15.966326152980287</c:v>
                </c:pt>
                <c:pt idx="507">
                  <c:v>15.966326152980287</c:v>
                </c:pt>
                <c:pt idx="508">
                  <c:v>15.966326152980287</c:v>
                </c:pt>
                <c:pt idx="509">
                  <c:v>15.966326152980287</c:v>
                </c:pt>
                <c:pt idx="510">
                  <c:v>15.966326152980287</c:v>
                </c:pt>
                <c:pt idx="511">
                  <c:v>15.966326152980287</c:v>
                </c:pt>
                <c:pt idx="512">
                  <c:v>15.966326152980287</c:v>
                </c:pt>
                <c:pt idx="513">
                  <c:v>15.966326152980287</c:v>
                </c:pt>
                <c:pt idx="514">
                  <c:v>15.966326152980287</c:v>
                </c:pt>
                <c:pt idx="515">
                  <c:v>15.966326152980287</c:v>
                </c:pt>
                <c:pt idx="516">
                  <c:v>15.966326152980287</c:v>
                </c:pt>
                <c:pt idx="517">
                  <c:v>15.966326152980287</c:v>
                </c:pt>
                <c:pt idx="518">
                  <c:v>15.966326152980287</c:v>
                </c:pt>
                <c:pt idx="519">
                  <c:v>15.966326152980287</c:v>
                </c:pt>
                <c:pt idx="520">
                  <c:v>15.966326152980287</c:v>
                </c:pt>
                <c:pt idx="521">
                  <c:v>15.966326152980287</c:v>
                </c:pt>
                <c:pt idx="522">
                  <c:v>15.966326152980287</c:v>
                </c:pt>
                <c:pt idx="523">
                  <c:v>15.966326152980287</c:v>
                </c:pt>
                <c:pt idx="524">
                  <c:v>15.966326152980287</c:v>
                </c:pt>
                <c:pt idx="525">
                  <c:v>15.966326152980287</c:v>
                </c:pt>
                <c:pt idx="526">
                  <c:v>15.966326152980287</c:v>
                </c:pt>
                <c:pt idx="527">
                  <c:v>15.966326152980287</c:v>
                </c:pt>
                <c:pt idx="528">
                  <c:v>15.966326152980287</c:v>
                </c:pt>
                <c:pt idx="529">
                  <c:v>15.966326152980287</c:v>
                </c:pt>
                <c:pt idx="530">
                  <c:v>15.966326152980287</c:v>
                </c:pt>
                <c:pt idx="531">
                  <c:v>15.966326152980287</c:v>
                </c:pt>
                <c:pt idx="532">
                  <c:v>15.966326152980287</c:v>
                </c:pt>
                <c:pt idx="533">
                  <c:v>15.966326152980287</c:v>
                </c:pt>
                <c:pt idx="534">
                  <c:v>15.966326152980287</c:v>
                </c:pt>
                <c:pt idx="535">
                  <c:v>15.966326152980287</c:v>
                </c:pt>
                <c:pt idx="536">
                  <c:v>15.966326152980287</c:v>
                </c:pt>
                <c:pt idx="537">
                  <c:v>15.966326152980287</c:v>
                </c:pt>
                <c:pt idx="538">
                  <c:v>15.966326152980287</c:v>
                </c:pt>
                <c:pt idx="539">
                  <c:v>15.966326152980287</c:v>
                </c:pt>
                <c:pt idx="540">
                  <c:v>15.966326152980287</c:v>
                </c:pt>
                <c:pt idx="541">
                  <c:v>15.966326152980287</c:v>
                </c:pt>
                <c:pt idx="542">
                  <c:v>15.966326152980287</c:v>
                </c:pt>
                <c:pt idx="543">
                  <c:v>15.966326152980287</c:v>
                </c:pt>
                <c:pt idx="544">
                  <c:v>15.966326152980287</c:v>
                </c:pt>
                <c:pt idx="545">
                  <c:v>15.966326152980287</c:v>
                </c:pt>
                <c:pt idx="546">
                  <c:v>15.966326152980287</c:v>
                </c:pt>
                <c:pt idx="547">
                  <c:v>15.966326152980287</c:v>
                </c:pt>
                <c:pt idx="548">
                  <c:v>15.966326152980287</c:v>
                </c:pt>
                <c:pt idx="549">
                  <c:v>15.966326152980287</c:v>
                </c:pt>
                <c:pt idx="550">
                  <c:v>15.966326152980287</c:v>
                </c:pt>
                <c:pt idx="551">
                  <c:v>15.966326152980287</c:v>
                </c:pt>
                <c:pt idx="552">
                  <c:v>15.966326152980287</c:v>
                </c:pt>
                <c:pt idx="553">
                  <c:v>15.966326152980287</c:v>
                </c:pt>
                <c:pt idx="554">
                  <c:v>15.966326152980287</c:v>
                </c:pt>
                <c:pt idx="555">
                  <c:v>15.966326152980287</c:v>
                </c:pt>
                <c:pt idx="556">
                  <c:v>15.966326152980287</c:v>
                </c:pt>
                <c:pt idx="557">
                  <c:v>15.966326152980287</c:v>
                </c:pt>
                <c:pt idx="558">
                  <c:v>15.966326152980287</c:v>
                </c:pt>
                <c:pt idx="559">
                  <c:v>15.966326152980287</c:v>
                </c:pt>
                <c:pt idx="560">
                  <c:v>15.966326152980287</c:v>
                </c:pt>
                <c:pt idx="561">
                  <c:v>15.966326152980287</c:v>
                </c:pt>
                <c:pt idx="562">
                  <c:v>15.966326152980287</c:v>
                </c:pt>
                <c:pt idx="563">
                  <c:v>15.966326152980287</c:v>
                </c:pt>
                <c:pt idx="564">
                  <c:v>15.966326152980287</c:v>
                </c:pt>
                <c:pt idx="565">
                  <c:v>15.966326152980287</c:v>
                </c:pt>
                <c:pt idx="566">
                  <c:v>15.966326152980287</c:v>
                </c:pt>
                <c:pt idx="567">
                  <c:v>15.966326152980287</c:v>
                </c:pt>
                <c:pt idx="568">
                  <c:v>15.966326152980287</c:v>
                </c:pt>
                <c:pt idx="569">
                  <c:v>15.966326152980287</c:v>
                </c:pt>
                <c:pt idx="570">
                  <c:v>15.966326152980287</c:v>
                </c:pt>
                <c:pt idx="571">
                  <c:v>15.966326152980287</c:v>
                </c:pt>
                <c:pt idx="572">
                  <c:v>15.966326152980287</c:v>
                </c:pt>
                <c:pt idx="573">
                  <c:v>15.966326152980287</c:v>
                </c:pt>
                <c:pt idx="574">
                  <c:v>15.966326152980287</c:v>
                </c:pt>
                <c:pt idx="575">
                  <c:v>15.966326152980287</c:v>
                </c:pt>
                <c:pt idx="576">
                  <c:v>15.966326152980287</c:v>
                </c:pt>
                <c:pt idx="577">
                  <c:v>15.966326152980287</c:v>
                </c:pt>
                <c:pt idx="578">
                  <c:v>15.966326152980287</c:v>
                </c:pt>
                <c:pt idx="579">
                  <c:v>15.966326152980287</c:v>
                </c:pt>
                <c:pt idx="580">
                  <c:v>15.966326152980287</c:v>
                </c:pt>
                <c:pt idx="581">
                  <c:v>15.966326152980287</c:v>
                </c:pt>
                <c:pt idx="582">
                  <c:v>15.966326152980287</c:v>
                </c:pt>
                <c:pt idx="583">
                  <c:v>15.966326152980287</c:v>
                </c:pt>
                <c:pt idx="584">
                  <c:v>15.966326152980287</c:v>
                </c:pt>
                <c:pt idx="585">
                  <c:v>15.966326152980287</c:v>
                </c:pt>
                <c:pt idx="586">
                  <c:v>15.966326152980287</c:v>
                </c:pt>
                <c:pt idx="587">
                  <c:v>15.966326152980287</c:v>
                </c:pt>
                <c:pt idx="588">
                  <c:v>15.966326152980287</c:v>
                </c:pt>
                <c:pt idx="589">
                  <c:v>15.966326152980287</c:v>
                </c:pt>
                <c:pt idx="590">
                  <c:v>15.966326152980287</c:v>
                </c:pt>
                <c:pt idx="591">
                  <c:v>15.966326152980287</c:v>
                </c:pt>
                <c:pt idx="592">
                  <c:v>15.966326152980287</c:v>
                </c:pt>
                <c:pt idx="593">
                  <c:v>15.966326152980287</c:v>
                </c:pt>
                <c:pt idx="594">
                  <c:v>15.966326152980287</c:v>
                </c:pt>
                <c:pt idx="595">
                  <c:v>15.966326152980287</c:v>
                </c:pt>
                <c:pt idx="596">
                  <c:v>15.966326152980287</c:v>
                </c:pt>
                <c:pt idx="597">
                  <c:v>15.966326152980287</c:v>
                </c:pt>
                <c:pt idx="598">
                  <c:v>15.966326152980287</c:v>
                </c:pt>
                <c:pt idx="599">
                  <c:v>15.966326152980287</c:v>
                </c:pt>
                <c:pt idx="600">
                  <c:v>15.966326152980287</c:v>
                </c:pt>
                <c:pt idx="601">
                  <c:v>15.966326152980287</c:v>
                </c:pt>
                <c:pt idx="602">
                  <c:v>15.966326152980287</c:v>
                </c:pt>
                <c:pt idx="603">
                  <c:v>15.966326152980287</c:v>
                </c:pt>
                <c:pt idx="604">
                  <c:v>15.966326152980287</c:v>
                </c:pt>
                <c:pt idx="605">
                  <c:v>15.966326152980287</c:v>
                </c:pt>
                <c:pt idx="606">
                  <c:v>15.966326152980287</c:v>
                </c:pt>
                <c:pt idx="607">
                  <c:v>15.966326152980287</c:v>
                </c:pt>
                <c:pt idx="608">
                  <c:v>15.966326152980287</c:v>
                </c:pt>
                <c:pt idx="609">
                  <c:v>15.966326152980287</c:v>
                </c:pt>
                <c:pt idx="610">
                  <c:v>15.966326152980287</c:v>
                </c:pt>
                <c:pt idx="611">
                  <c:v>15.966326152980287</c:v>
                </c:pt>
                <c:pt idx="612">
                  <c:v>15.966326152980287</c:v>
                </c:pt>
                <c:pt idx="613">
                  <c:v>15.966326152980287</c:v>
                </c:pt>
                <c:pt idx="614">
                  <c:v>15.966326152980287</c:v>
                </c:pt>
                <c:pt idx="615">
                  <c:v>15.966326152980287</c:v>
                </c:pt>
                <c:pt idx="616">
                  <c:v>15.966326152980287</c:v>
                </c:pt>
                <c:pt idx="617">
                  <c:v>15.966326152980287</c:v>
                </c:pt>
                <c:pt idx="618">
                  <c:v>15.966326152980287</c:v>
                </c:pt>
                <c:pt idx="619">
                  <c:v>15.966326152980287</c:v>
                </c:pt>
                <c:pt idx="620">
                  <c:v>15.966326152980287</c:v>
                </c:pt>
                <c:pt idx="621">
                  <c:v>15.966326152980287</c:v>
                </c:pt>
                <c:pt idx="622">
                  <c:v>15.966326152980287</c:v>
                </c:pt>
                <c:pt idx="623">
                  <c:v>15.966326152980287</c:v>
                </c:pt>
                <c:pt idx="624">
                  <c:v>15.966326152980287</c:v>
                </c:pt>
                <c:pt idx="625">
                  <c:v>15.966326152980287</c:v>
                </c:pt>
                <c:pt idx="626">
                  <c:v>15.966326152980287</c:v>
                </c:pt>
                <c:pt idx="627">
                  <c:v>15.966326152980287</c:v>
                </c:pt>
                <c:pt idx="628">
                  <c:v>15.966326152980287</c:v>
                </c:pt>
                <c:pt idx="629">
                  <c:v>15.966326152980287</c:v>
                </c:pt>
                <c:pt idx="630">
                  <c:v>15.966326152980287</c:v>
                </c:pt>
                <c:pt idx="631">
                  <c:v>15.966326152980287</c:v>
                </c:pt>
                <c:pt idx="632">
                  <c:v>15.966326152980287</c:v>
                </c:pt>
                <c:pt idx="633">
                  <c:v>15.966326152980287</c:v>
                </c:pt>
                <c:pt idx="634">
                  <c:v>15.966326152980287</c:v>
                </c:pt>
                <c:pt idx="635">
                  <c:v>15.966326152980287</c:v>
                </c:pt>
                <c:pt idx="636">
                  <c:v>15.966326152980287</c:v>
                </c:pt>
                <c:pt idx="637">
                  <c:v>15.966326152980287</c:v>
                </c:pt>
                <c:pt idx="638">
                  <c:v>15.966326152980287</c:v>
                </c:pt>
                <c:pt idx="639">
                  <c:v>15.966326152980287</c:v>
                </c:pt>
                <c:pt idx="640">
                  <c:v>15.966326152980287</c:v>
                </c:pt>
                <c:pt idx="641">
                  <c:v>15.966326152980287</c:v>
                </c:pt>
                <c:pt idx="642">
                  <c:v>15.966326152980287</c:v>
                </c:pt>
                <c:pt idx="643">
                  <c:v>15.966326152980287</c:v>
                </c:pt>
                <c:pt idx="644">
                  <c:v>15.966326152980287</c:v>
                </c:pt>
                <c:pt idx="645">
                  <c:v>15.966326152980287</c:v>
                </c:pt>
                <c:pt idx="646">
                  <c:v>15.966326152980287</c:v>
                </c:pt>
                <c:pt idx="647">
                  <c:v>15.966326152980287</c:v>
                </c:pt>
                <c:pt idx="648">
                  <c:v>15.966326152980287</c:v>
                </c:pt>
                <c:pt idx="649">
                  <c:v>15.966326152980287</c:v>
                </c:pt>
                <c:pt idx="650">
                  <c:v>15.966326152980287</c:v>
                </c:pt>
                <c:pt idx="651">
                  <c:v>15.966326152980287</c:v>
                </c:pt>
                <c:pt idx="652">
                  <c:v>15.966326152980287</c:v>
                </c:pt>
                <c:pt idx="653">
                  <c:v>15.966326152980287</c:v>
                </c:pt>
                <c:pt idx="654">
                  <c:v>15.966326152980287</c:v>
                </c:pt>
                <c:pt idx="655">
                  <c:v>15.966326152980287</c:v>
                </c:pt>
                <c:pt idx="656">
                  <c:v>15.966326152980287</c:v>
                </c:pt>
                <c:pt idx="657">
                  <c:v>15.966326152980287</c:v>
                </c:pt>
                <c:pt idx="658">
                  <c:v>15.966326152980287</c:v>
                </c:pt>
                <c:pt idx="659">
                  <c:v>15.966326152980287</c:v>
                </c:pt>
                <c:pt idx="660">
                  <c:v>15.966326152980287</c:v>
                </c:pt>
                <c:pt idx="661">
                  <c:v>15.966326152980287</c:v>
                </c:pt>
                <c:pt idx="662">
                  <c:v>15.966326152980287</c:v>
                </c:pt>
                <c:pt idx="663">
                  <c:v>15.966326152980287</c:v>
                </c:pt>
                <c:pt idx="664">
                  <c:v>15.966326152980287</c:v>
                </c:pt>
                <c:pt idx="665">
                  <c:v>15.966326152980287</c:v>
                </c:pt>
                <c:pt idx="666">
                  <c:v>15.966326152980287</c:v>
                </c:pt>
                <c:pt idx="667">
                  <c:v>15.966326152980287</c:v>
                </c:pt>
                <c:pt idx="668">
                  <c:v>15.966326152980287</c:v>
                </c:pt>
                <c:pt idx="669">
                  <c:v>15.966326152980287</c:v>
                </c:pt>
                <c:pt idx="670">
                  <c:v>15.966326152980287</c:v>
                </c:pt>
                <c:pt idx="671">
                  <c:v>15.966326152980287</c:v>
                </c:pt>
                <c:pt idx="672">
                  <c:v>15.966326152980287</c:v>
                </c:pt>
                <c:pt idx="673">
                  <c:v>15.966326152980287</c:v>
                </c:pt>
                <c:pt idx="674">
                  <c:v>15.966326152980287</c:v>
                </c:pt>
                <c:pt idx="675">
                  <c:v>15.966326152980287</c:v>
                </c:pt>
                <c:pt idx="676">
                  <c:v>15.966326152980287</c:v>
                </c:pt>
                <c:pt idx="677">
                  <c:v>15.966326152980287</c:v>
                </c:pt>
                <c:pt idx="678">
                  <c:v>15.966326152980287</c:v>
                </c:pt>
                <c:pt idx="679">
                  <c:v>15.966326152980287</c:v>
                </c:pt>
                <c:pt idx="680">
                  <c:v>15.966326152980287</c:v>
                </c:pt>
                <c:pt idx="681">
                  <c:v>15.966326152980287</c:v>
                </c:pt>
                <c:pt idx="682">
                  <c:v>15.966326152980287</c:v>
                </c:pt>
                <c:pt idx="683">
                  <c:v>15.966326152980287</c:v>
                </c:pt>
                <c:pt idx="684">
                  <c:v>15.966326152980287</c:v>
                </c:pt>
                <c:pt idx="685">
                  <c:v>15.966326152980287</c:v>
                </c:pt>
                <c:pt idx="686">
                  <c:v>15.966326152980287</c:v>
                </c:pt>
                <c:pt idx="687">
                  <c:v>15.966326152980287</c:v>
                </c:pt>
                <c:pt idx="688">
                  <c:v>15.966326152980287</c:v>
                </c:pt>
                <c:pt idx="689">
                  <c:v>15.966326152980287</c:v>
                </c:pt>
                <c:pt idx="690">
                  <c:v>15.966326152980287</c:v>
                </c:pt>
                <c:pt idx="691">
                  <c:v>15.966326152980287</c:v>
                </c:pt>
                <c:pt idx="692">
                  <c:v>15.966326152980287</c:v>
                </c:pt>
                <c:pt idx="693">
                  <c:v>15.966326152980287</c:v>
                </c:pt>
                <c:pt idx="694">
                  <c:v>15.966326152980287</c:v>
                </c:pt>
                <c:pt idx="695">
                  <c:v>15.966326152980287</c:v>
                </c:pt>
                <c:pt idx="696">
                  <c:v>15.966326152980287</c:v>
                </c:pt>
                <c:pt idx="697">
                  <c:v>15.966326152980287</c:v>
                </c:pt>
                <c:pt idx="698">
                  <c:v>15.966326152980287</c:v>
                </c:pt>
                <c:pt idx="699">
                  <c:v>15.966326152980287</c:v>
                </c:pt>
                <c:pt idx="700">
                  <c:v>15.966326152980287</c:v>
                </c:pt>
                <c:pt idx="701">
                  <c:v>15.966326152980287</c:v>
                </c:pt>
                <c:pt idx="702">
                  <c:v>15.966326152980287</c:v>
                </c:pt>
                <c:pt idx="703">
                  <c:v>15.966326152980287</c:v>
                </c:pt>
                <c:pt idx="704">
                  <c:v>15.966326152980287</c:v>
                </c:pt>
                <c:pt idx="705">
                  <c:v>15.966326152980287</c:v>
                </c:pt>
                <c:pt idx="706">
                  <c:v>15.966326152980287</c:v>
                </c:pt>
                <c:pt idx="707">
                  <c:v>15.966326152980287</c:v>
                </c:pt>
                <c:pt idx="708">
                  <c:v>15.966326152980287</c:v>
                </c:pt>
                <c:pt idx="709">
                  <c:v>15.966326152980287</c:v>
                </c:pt>
                <c:pt idx="710">
                  <c:v>15.966326152980287</c:v>
                </c:pt>
                <c:pt idx="711">
                  <c:v>15.966326152980287</c:v>
                </c:pt>
                <c:pt idx="712">
                  <c:v>15.966326152980287</c:v>
                </c:pt>
                <c:pt idx="713">
                  <c:v>15.966326152980287</c:v>
                </c:pt>
                <c:pt idx="714">
                  <c:v>15.966326152980287</c:v>
                </c:pt>
                <c:pt idx="715">
                  <c:v>15.966326152980287</c:v>
                </c:pt>
                <c:pt idx="716">
                  <c:v>15.966326152980287</c:v>
                </c:pt>
                <c:pt idx="717">
                  <c:v>15.966326152980287</c:v>
                </c:pt>
                <c:pt idx="718">
                  <c:v>15.966326152980287</c:v>
                </c:pt>
                <c:pt idx="719">
                  <c:v>15.966326152980287</c:v>
                </c:pt>
                <c:pt idx="720">
                  <c:v>15.966326152980287</c:v>
                </c:pt>
                <c:pt idx="721">
                  <c:v>15.966326152980287</c:v>
                </c:pt>
                <c:pt idx="722">
                  <c:v>15.966326152980287</c:v>
                </c:pt>
                <c:pt idx="723">
                  <c:v>15.966326152980287</c:v>
                </c:pt>
                <c:pt idx="724">
                  <c:v>15.966326152980287</c:v>
                </c:pt>
                <c:pt idx="725">
                  <c:v>15.966326152980287</c:v>
                </c:pt>
                <c:pt idx="726">
                  <c:v>15.966326152980287</c:v>
                </c:pt>
                <c:pt idx="727">
                  <c:v>15.966326152980287</c:v>
                </c:pt>
                <c:pt idx="728">
                  <c:v>15.966326152980287</c:v>
                </c:pt>
                <c:pt idx="729">
                  <c:v>15.966326152980287</c:v>
                </c:pt>
                <c:pt idx="730">
                  <c:v>15.966326152980287</c:v>
                </c:pt>
                <c:pt idx="731">
                  <c:v>15.966326152980287</c:v>
                </c:pt>
                <c:pt idx="732">
                  <c:v>15.966326152980287</c:v>
                </c:pt>
                <c:pt idx="733">
                  <c:v>15.966326152980287</c:v>
                </c:pt>
                <c:pt idx="734">
                  <c:v>15.966326152980287</c:v>
                </c:pt>
                <c:pt idx="735">
                  <c:v>15.966326152980287</c:v>
                </c:pt>
                <c:pt idx="736">
                  <c:v>15.966326152980287</c:v>
                </c:pt>
                <c:pt idx="737">
                  <c:v>15.966326152980287</c:v>
                </c:pt>
                <c:pt idx="738">
                  <c:v>15.966326152980287</c:v>
                </c:pt>
                <c:pt idx="739">
                  <c:v>15.966326152980287</c:v>
                </c:pt>
                <c:pt idx="740">
                  <c:v>15.966326152980287</c:v>
                </c:pt>
                <c:pt idx="741">
                  <c:v>15.966326152980287</c:v>
                </c:pt>
                <c:pt idx="742">
                  <c:v>15.966326152980287</c:v>
                </c:pt>
                <c:pt idx="743">
                  <c:v>15.966326152980287</c:v>
                </c:pt>
                <c:pt idx="744">
                  <c:v>15.966326152980287</c:v>
                </c:pt>
                <c:pt idx="745">
                  <c:v>15.966326152980287</c:v>
                </c:pt>
                <c:pt idx="746">
                  <c:v>15.966326152980287</c:v>
                </c:pt>
                <c:pt idx="747">
                  <c:v>15.966326152980287</c:v>
                </c:pt>
                <c:pt idx="748">
                  <c:v>15.966326152980287</c:v>
                </c:pt>
                <c:pt idx="749">
                  <c:v>15.966326152980287</c:v>
                </c:pt>
                <c:pt idx="750">
                  <c:v>15.966326152980287</c:v>
                </c:pt>
                <c:pt idx="751">
                  <c:v>15.966326152980287</c:v>
                </c:pt>
                <c:pt idx="752">
                  <c:v>15.966326152980287</c:v>
                </c:pt>
                <c:pt idx="753">
                  <c:v>15.966326152980287</c:v>
                </c:pt>
                <c:pt idx="754">
                  <c:v>15.966326152980287</c:v>
                </c:pt>
                <c:pt idx="755">
                  <c:v>15.966326152980287</c:v>
                </c:pt>
                <c:pt idx="756">
                  <c:v>15.966326152980287</c:v>
                </c:pt>
                <c:pt idx="757">
                  <c:v>15.966326152980287</c:v>
                </c:pt>
                <c:pt idx="758">
                  <c:v>15.966326152980287</c:v>
                </c:pt>
                <c:pt idx="759">
                  <c:v>15.966326152980287</c:v>
                </c:pt>
                <c:pt idx="760">
                  <c:v>15.966326152980287</c:v>
                </c:pt>
                <c:pt idx="761">
                  <c:v>15.966326152980287</c:v>
                </c:pt>
                <c:pt idx="762">
                  <c:v>15.966326152980287</c:v>
                </c:pt>
                <c:pt idx="763">
                  <c:v>15.966326152980287</c:v>
                </c:pt>
                <c:pt idx="764">
                  <c:v>15.966326152980287</c:v>
                </c:pt>
                <c:pt idx="765">
                  <c:v>15.966326152980287</c:v>
                </c:pt>
                <c:pt idx="766">
                  <c:v>15.966326152980287</c:v>
                </c:pt>
                <c:pt idx="767">
                  <c:v>15.966326152980287</c:v>
                </c:pt>
                <c:pt idx="768">
                  <c:v>15.966326152980287</c:v>
                </c:pt>
                <c:pt idx="769">
                  <c:v>15.966326152980287</c:v>
                </c:pt>
                <c:pt idx="770">
                  <c:v>15.966326152980287</c:v>
                </c:pt>
                <c:pt idx="771">
                  <c:v>15.966326152980287</c:v>
                </c:pt>
                <c:pt idx="772">
                  <c:v>15.966326152980287</c:v>
                </c:pt>
                <c:pt idx="773">
                  <c:v>15.966326152980287</c:v>
                </c:pt>
                <c:pt idx="774">
                  <c:v>15.966326152980287</c:v>
                </c:pt>
                <c:pt idx="775">
                  <c:v>15.966326152980287</c:v>
                </c:pt>
                <c:pt idx="776">
                  <c:v>15.966326152980287</c:v>
                </c:pt>
                <c:pt idx="777">
                  <c:v>15.966326152980287</c:v>
                </c:pt>
                <c:pt idx="778">
                  <c:v>15.966326152980287</c:v>
                </c:pt>
                <c:pt idx="779">
                  <c:v>15.966326152980287</c:v>
                </c:pt>
                <c:pt idx="780">
                  <c:v>15.966326152980287</c:v>
                </c:pt>
                <c:pt idx="781">
                  <c:v>15.966326152980287</c:v>
                </c:pt>
                <c:pt idx="782">
                  <c:v>15.966326152980287</c:v>
                </c:pt>
                <c:pt idx="783">
                  <c:v>15.966326152980287</c:v>
                </c:pt>
                <c:pt idx="784">
                  <c:v>15.966326152980287</c:v>
                </c:pt>
                <c:pt idx="785">
                  <c:v>15.966326152980287</c:v>
                </c:pt>
                <c:pt idx="786">
                  <c:v>15.966326152980287</c:v>
                </c:pt>
                <c:pt idx="787">
                  <c:v>15.966326152980287</c:v>
                </c:pt>
                <c:pt idx="788">
                  <c:v>15.966326152980287</c:v>
                </c:pt>
                <c:pt idx="789">
                  <c:v>15.966326152980287</c:v>
                </c:pt>
                <c:pt idx="790">
                  <c:v>15.966326152980287</c:v>
                </c:pt>
                <c:pt idx="791">
                  <c:v>15.966326152980287</c:v>
                </c:pt>
                <c:pt idx="792">
                  <c:v>15.966326152980287</c:v>
                </c:pt>
                <c:pt idx="793">
                  <c:v>15.966326152980287</c:v>
                </c:pt>
                <c:pt idx="794">
                  <c:v>15.966326152980287</c:v>
                </c:pt>
                <c:pt idx="795">
                  <c:v>15.966326152980287</c:v>
                </c:pt>
                <c:pt idx="796">
                  <c:v>15.966326152980287</c:v>
                </c:pt>
                <c:pt idx="797">
                  <c:v>15.966326152980287</c:v>
                </c:pt>
                <c:pt idx="798">
                  <c:v>15.966326152980287</c:v>
                </c:pt>
                <c:pt idx="799">
                  <c:v>15.966326152980287</c:v>
                </c:pt>
                <c:pt idx="800">
                  <c:v>15.966326152980287</c:v>
                </c:pt>
                <c:pt idx="801">
                  <c:v>15.966326152980287</c:v>
                </c:pt>
                <c:pt idx="802">
                  <c:v>15.966326152980287</c:v>
                </c:pt>
                <c:pt idx="803">
                  <c:v>15.966326152980287</c:v>
                </c:pt>
                <c:pt idx="804">
                  <c:v>15.966326152980287</c:v>
                </c:pt>
                <c:pt idx="805">
                  <c:v>15.966326152980287</c:v>
                </c:pt>
                <c:pt idx="806">
                  <c:v>15.966326152980287</c:v>
                </c:pt>
                <c:pt idx="807">
                  <c:v>15.966326152980287</c:v>
                </c:pt>
                <c:pt idx="808">
                  <c:v>15.966326152980287</c:v>
                </c:pt>
                <c:pt idx="809">
                  <c:v>15.966326152980287</c:v>
                </c:pt>
                <c:pt idx="810">
                  <c:v>15.966326152980287</c:v>
                </c:pt>
                <c:pt idx="811">
                  <c:v>15.966326152980287</c:v>
                </c:pt>
                <c:pt idx="812">
                  <c:v>15.966326152980287</c:v>
                </c:pt>
                <c:pt idx="813">
                  <c:v>15.966326152980287</c:v>
                </c:pt>
                <c:pt idx="814">
                  <c:v>15.966326152980287</c:v>
                </c:pt>
                <c:pt idx="815">
                  <c:v>15.966326152980287</c:v>
                </c:pt>
                <c:pt idx="816">
                  <c:v>15.966326152980287</c:v>
                </c:pt>
                <c:pt idx="817">
                  <c:v>15.966326152980287</c:v>
                </c:pt>
                <c:pt idx="818">
                  <c:v>15.966326152980287</c:v>
                </c:pt>
                <c:pt idx="819">
                  <c:v>15.966326152980287</c:v>
                </c:pt>
                <c:pt idx="820">
                  <c:v>15.966326152980287</c:v>
                </c:pt>
                <c:pt idx="821">
                  <c:v>15.966326152980287</c:v>
                </c:pt>
                <c:pt idx="822">
                  <c:v>15.966326152980287</c:v>
                </c:pt>
                <c:pt idx="823">
                  <c:v>15.966326152980287</c:v>
                </c:pt>
                <c:pt idx="824">
                  <c:v>15.966326152980287</c:v>
                </c:pt>
                <c:pt idx="825">
                  <c:v>15.966326152980287</c:v>
                </c:pt>
                <c:pt idx="826">
                  <c:v>15.966326152980287</c:v>
                </c:pt>
                <c:pt idx="827">
                  <c:v>15.966326152980287</c:v>
                </c:pt>
                <c:pt idx="828">
                  <c:v>15.966326152980287</c:v>
                </c:pt>
                <c:pt idx="829">
                  <c:v>15.966326152980287</c:v>
                </c:pt>
                <c:pt idx="830">
                  <c:v>15.966326152980287</c:v>
                </c:pt>
                <c:pt idx="831">
                  <c:v>15.966326152980287</c:v>
                </c:pt>
                <c:pt idx="832">
                  <c:v>15.966326152980287</c:v>
                </c:pt>
                <c:pt idx="833">
                  <c:v>15.966326152980287</c:v>
                </c:pt>
                <c:pt idx="834">
                  <c:v>15.966326152980287</c:v>
                </c:pt>
                <c:pt idx="835">
                  <c:v>15.966326152980287</c:v>
                </c:pt>
                <c:pt idx="836">
                  <c:v>15.966326152980287</c:v>
                </c:pt>
                <c:pt idx="837">
                  <c:v>15.966326152980287</c:v>
                </c:pt>
                <c:pt idx="838">
                  <c:v>15.966326152980287</c:v>
                </c:pt>
                <c:pt idx="839">
                  <c:v>15.966326152980287</c:v>
                </c:pt>
                <c:pt idx="840">
                  <c:v>15.966326152980287</c:v>
                </c:pt>
                <c:pt idx="841">
                  <c:v>15.966326152980287</c:v>
                </c:pt>
                <c:pt idx="842">
                  <c:v>15.966326152980287</c:v>
                </c:pt>
                <c:pt idx="843">
                  <c:v>15.966326152980287</c:v>
                </c:pt>
                <c:pt idx="844">
                  <c:v>15.966326152980287</c:v>
                </c:pt>
                <c:pt idx="845">
                  <c:v>15.966326152980287</c:v>
                </c:pt>
                <c:pt idx="846">
                  <c:v>15.966326152980287</c:v>
                </c:pt>
                <c:pt idx="847">
                  <c:v>15.966326152980287</c:v>
                </c:pt>
                <c:pt idx="848">
                  <c:v>15.966326152980287</c:v>
                </c:pt>
                <c:pt idx="849">
                  <c:v>15.966326152980287</c:v>
                </c:pt>
                <c:pt idx="850">
                  <c:v>15.966326152980287</c:v>
                </c:pt>
                <c:pt idx="851">
                  <c:v>15.966326152980287</c:v>
                </c:pt>
                <c:pt idx="852">
                  <c:v>15.966326152980287</c:v>
                </c:pt>
                <c:pt idx="853">
                  <c:v>15.966326152980287</c:v>
                </c:pt>
                <c:pt idx="854">
                  <c:v>15.966326152980287</c:v>
                </c:pt>
                <c:pt idx="855">
                  <c:v>15.966326152980287</c:v>
                </c:pt>
                <c:pt idx="856">
                  <c:v>15.966326152980287</c:v>
                </c:pt>
                <c:pt idx="857">
                  <c:v>15.966326152980287</c:v>
                </c:pt>
                <c:pt idx="858">
                  <c:v>15.966326152980287</c:v>
                </c:pt>
                <c:pt idx="859">
                  <c:v>15.966326152980287</c:v>
                </c:pt>
                <c:pt idx="860">
                  <c:v>15.966326152980287</c:v>
                </c:pt>
                <c:pt idx="861">
                  <c:v>15.966326152980287</c:v>
                </c:pt>
                <c:pt idx="862">
                  <c:v>15.966326152980287</c:v>
                </c:pt>
                <c:pt idx="863">
                  <c:v>15.966326152980287</c:v>
                </c:pt>
                <c:pt idx="864">
                  <c:v>15.966326152980287</c:v>
                </c:pt>
                <c:pt idx="865">
                  <c:v>15.966326152980287</c:v>
                </c:pt>
                <c:pt idx="866">
                  <c:v>15.966326152980287</c:v>
                </c:pt>
                <c:pt idx="867">
                  <c:v>15.966326152980287</c:v>
                </c:pt>
                <c:pt idx="868">
                  <c:v>15.966326152980287</c:v>
                </c:pt>
                <c:pt idx="869">
                  <c:v>15.966326152980287</c:v>
                </c:pt>
                <c:pt idx="870">
                  <c:v>15.966326152980287</c:v>
                </c:pt>
                <c:pt idx="871">
                  <c:v>15.966326152980287</c:v>
                </c:pt>
                <c:pt idx="872">
                  <c:v>15.966326152980287</c:v>
                </c:pt>
                <c:pt idx="873">
                  <c:v>15.966326152980287</c:v>
                </c:pt>
                <c:pt idx="874">
                  <c:v>15.966326152980287</c:v>
                </c:pt>
                <c:pt idx="875">
                  <c:v>15.966326152980287</c:v>
                </c:pt>
                <c:pt idx="876">
                  <c:v>15.966326152980287</c:v>
                </c:pt>
                <c:pt idx="877">
                  <c:v>15.966326152980287</c:v>
                </c:pt>
                <c:pt idx="878">
                  <c:v>15.966326152980287</c:v>
                </c:pt>
                <c:pt idx="879">
                  <c:v>15.966326152980287</c:v>
                </c:pt>
                <c:pt idx="880">
                  <c:v>15.966326152980287</c:v>
                </c:pt>
                <c:pt idx="881">
                  <c:v>15.966326152980287</c:v>
                </c:pt>
                <c:pt idx="882">
                  <c:v>15.966326152980287</c:v>
                </c:pt>
                <c:pt idx="883">
                  <c:v>15.966326152980287</c:v>
                </c:pt>
                <c:pt idx="884">
                  <c:v>15.966326152980287</c:v>
                </c:pt>
                <c:pt idx="885">
                  <c:v>15.966326152980287</c:v>
                </c:pt>
                <c:pt idx="886">
                  <c:v>15.966326152980287</c:v>
                </c:pt>
                <c:pt idx="887">
                  <c:v>15.966326152980287</c:v>
                </c:pt>
                <c:pt idx="888">
                  <c:v>15.966326152980287</c:v>
                </c:pt>
                <c:pt idx="889">
                  <c:v>15.966326152980287</c:v>
                </c:pt>
                <c:pt idx="890">
                  <c:v>15.966326152980287</c:v>
                </c:pt>
                <c:pt idx="891">
                  <c:v>15.966326152980287</c:v>
                </c:pt>
                <c:pt idx="892">
                  <c:v>15.966326152980287</c:v>
                </c:pt>
                <c:pt idx="893">
                  <c:v>15.966326152980287</c:v>
                </c:pt>
                <c:pt idx="894">
                  <c:v>15.966326152980287</c:v>
                </c:pt>
                <c:pt idx="895">
                  <c:v>15.966326152980287</c:v>
                </c:pt>
                <c:pt idx="896">
                  <c:v>15.966326152980287</c:v>
                </c:pt>
                <c:pt idx="897">
                  <c:v>15.966326152980287</c:v>
                </c:pt>
                <c:pt idx="898">
                  <c:v>15.966326152980287</c:v>
                </c:pt>
                <c:pt idx="899">
                  <c:v>15.966326152980287</c:v>
                </c:pt>
                <c:pt idx="900">
                  <c:v>15.966326152980287</c:v>
                </c:pt>
                <c:pt idx="901">
                  <c:v>15.966326152980287</c:v>
                </c:pt>
                <c:pt idx="902">
                  <c:v>15.966326152980287</c:v>
                </c:pt>
                <c:pt idx="903">
                  <c:v>15.966326152980287</c:v>
                </c:pt>
                <c:pt idx="904">
                  <c:v>15.966326152980287</c:v>
                </c:pt>
                <c:pt idx="905">
                  <c:v>15.966326152980287</c:v>
                </c:pt>
                <c:pt idx="906">
                  <c:v>15.966326152980287</c:v>
                </c:pt>
                <c:pt idx="907">
                  <c:v>15.966326152980287</c:v>
                </c:pt>
                <c:pt idx="908">
                  <c:v>15.966326152980287</c:v>
                </c:pt>
                <c:pt idx="909">
                  <c:v>15.966326152980287</c:v>
                </c:pt>
                <c:pt idx="910">
                  <c:v>15.966326152980287</c:v>
                </c:pt>
                <c:pt idx="911">
                  <c:v>15.966326152980287</c:v>
                </c:pt>
                <c:pt idx="912">
                  <c:v>15.966326152980287</c:v>
                </c:pt>
                <c:pt idx="913">
                  <c:v>15.966326152980287</c:v>
                </c:pt>
                <c:pt idx="914">
                  <c:v>15.966326152980287</c:v>
                </c:pt>
                <c:pt idx="915">
                  <c:v>15.966326152980287</c:v>
                </c:pt>
                <c:pt idx="916">
                  <c:v>15.966326152980287</c:v>
                </c:pt>
                <c:pt idx="917">
                  <c:v>15.966326152980287</c:v>
                </c:pt>
                <c:pt idx="918">
                  <c:v>15.966326152980287</c:v>
                </c:pt>
                <c:pt idx="919">
                  <c:v>15.966326152980287</c:v>
                </c:pt>
                <c:pt idx="920">
                  <c:v>15.966326152980287</c:v>
                </c:pt>
                <c:pt idx="921">
                  <c:v>15.966326152980287</c:v>
                </c:pt>
                <c:pt idx="922">
                  <c:v>15.966326152980287</c:v>
                </c:pt>
                <c:pt idx="923">
                  <c:v>15.966326152980287</c:v>
                </c:pt>
                <c:pt idx="924">
                  <c:v>15.966326152980287</c:v>
                </c:pt>
                <c:pt idx="925">
                  <c:v>15.966326152980287</c:v>
                </c:pt>
                <c:pt idx="926">
                  <c:v>15.966326152980287</c:v>
                </c:pt>
                <c:pt idx="927">
                  <c:v>15.966326152980287</c:v>
                </c:pt>
                <c:pt idx="928">
                  <c:v>15.966326152980287</c:v>
                </c:pt>
                <c:pt idx="929">
                  <c:v>15.966326152980287</c:v>
                </c:pt>
                <c:pt idx="930">
                  <c:v>15.966326152980287</c:v>
                </c:pt>
                <c:pt idx="931">
                  <c:v>15.966326152980287</c:v>
                </c:pt>
                <c:pt idx="932">
                  <c:v>15.966326152980287</c:v>
                </c:pt>
                <c:pt idx="933">
                  <c:v>15.966326152980287</c:v>
                </c:pt>
                <c:pt idx="934">
                  <c:v>15.966326152980287</c:v>
                </c:pt>
                <c:pt idx="935">
                  <c:v>15.966326152980287</c:v>
                </c:pt>
                <c:pt idx="936">
                  <c:v>15.966326152980287</c:v>
                </c:pt>
                <c:pt idx="937">
                  <c:v>15.966326152980287</c:v>
                </c:pt>
                <c:pt idx="938">
                  <c:v>15.966326152980287</c:v>
                </c:pt>
                <c:pt idx="939">
                  <c:v>15.966326152980287</c:v>
                </c:pt>
                <c:pt idx="940">
                  <c:v>15.966326152980287</c:v>
                </c:pt>
                <c:pt idx="941">
                  <c:v>15.966326152980287</c:v>
                </c:pt>
                <c:pt idx="942">
                  <c:v>15.966326152980287</c:v>
                </c:pt>
                <c:pt idx="943">
                  <c:v>15.966326152980287</c:v>
                </c:pt>
                <c:pt idx="944">
                  <c:v>15.966326152980287</c:v>
                </c:pt>
                <c:pt idx="945">
                  <c:v>15.966326152980287</c:v>
                </c:pt>
                <c:pt idx="946">
                  <c:v>15.966326152980287</c:v>
                </c:pt>
                <c:pt idx="947">
                  <c:v>15.966326152980287</c:v>
                </c:pt>
                <c:pt idx="948">
                  <c:v>15.966326152980287</c:v>
                </c:pt>
                <c:pt idx="949">
                  <c:v>15.966326152980287</c:v>
                </c:pt>
                <c:pt idx="950">
                  <c:v>15.966326152980287</c:v>
                </c:pt>
                <c:pt idx="951">
                  <c:v>15.966326152980287</c:v>
                </c:pt>
                <c:pt idx="952">
                  <c:v>15.966326152980287</c:v>
                </c:pt>
                <c:pt idx="953">
                  <c:v>15.966326152980287</c:v>
                </c:pt>
                <c:pt idx="954">
                  <c:v>15.966326152980287</c:v>
                </c:pt>
                <c:pt idx="955">
                  <c:v>15.966326152980287</c:v>
                </c:pt>
                <c:pt idx="956">
                  <c:v>15.966326152980287</c:v>
                </c:pt>
                <c:pt idx="957">
                  <c:v>15.966326152980287</c:v>
                </c:pt>
                <c:pt idx="958">
                  <c:v>15.966326152980287</c:v>
                </c:pt>
                <c:pt idx="959">
                  <c:v>15.966326152980287</c:v>
                </c:pt>
                <c:pt idx="960">
                  <c:v>15.966326152980287</c:v>
                </c:pt>
                <c:pt idx="961">
                  <c:v>15.966326152980287</c:v>
                </c:pt>
                <c:pt idx="962">
                  <c:v>15.966326152980287</c:v>
                </c:pt>
                <c:pt idx="963">
                  <c:v>15.966326152980287</c:v>
                </c:pt>
                <c:pt idx="964">
                  <c:v>15.966326152980287</c:v>
                </c:pt>
                <c:pt idx="965">
                  <c:v>15.966326152980287</c:v>
                </c:pt>
                <c:pt idx="966">
                  <c:v>15.966326152980287</c:v>
                </c:pt>
                <c:pt idx="967">
                  <c:v>15.966326152980287</c:v>
                </c:pt>
                <c:pt idx="968">
                  <c:v>15.966326152980287</c:v>
                </c:pt>
                <c:pt idx="969">
                  <c:v>15.966326152980287</c:v>
                </c:pt>
                <c:pt idx="970">
                  <c:v>15.966326152980287</c:v>
                </c:pt>
                <c:pt idx="971">
                  <c:v>15.966326152980287</c:v>
                </c:pt>
                <c:pt idx="972">
                  <c:v>15.966326152980287</c:v>
                </c:pt>
                <c:pt idx="973">
                  <c:v>15.966326152980287</c:v>
                </c:pt>
                <c:pt idx="974">
                  <c:v>15.966326152980287</c:v>
                </c:pt>
                <c:pt idx="975">
                  <c:v>15.966326152980287</c:v>
                </c:pt>
                <c:pt idx="976">
                  <c:v>15.966326152980287</c:v>
                </c:pt>
                <c:pt idx="977">
                  <c:v>15.966326152980287</c:v>
                </c:pt>
                <c:pt idx="978">
                  <c:v>15.966326152980287</c:v>
                </c:pt>
                <c:pt idx="979">
                  <c:v>15.966326152980287</c:v>
                </c:pt>
                <c:pt idx="980">
                  <c:v>15.966326152980287</c:v>
                </c:pt>
                <c:pt idx="981">
                  <c:v>15.966326152980287</c:v>
                </c:pt>
                <c:pt idx="982">
                  <c:v>15.966326152980287</c:v>
                </c:pt>
                <c:pt idx="983">
                  <c:v>15.966326152980287</c:v>
                </c:pt>
                <c:pt idx="984">
                  <c:v>15.966326152980287</c:v>
                </c:pt>
                <c:pt idx="985">
                  <c:v>15.966326152980287</c:v>
                </c:pt>
                <c:pt idx="986">
                  <c:v>15.966326152980287</c:v>
                </c:pt>
                <c:pt idx="987">
                  <c:v>15.966326152980287</c:v>
                </c:pt>
                <c:pt idx="988">
                  <c:v>15.966326152980287</c:v>
                </c:pt>
                <c:pt idx="989">
                  <c:v>15.966326152980287</c:v>
                </c:pt>
                <c:pt idx="990">
                  <c:v>15.966326152980287</c:v>
                </c:pt>
                <c:pt idx="991">
                  <c:v>15.966326152980287</c:v>
                </c:pt>
                <c:pt idx="992">
                  <c:v>15.966326152980287</c:v>
                </c:pt>
                <c:pt idx="993">
                  <c:v>15.966326152980287</c:v>
                </c:pt>
                <c:pt idx="994">
                  <c:v>15.966326152980287</c:v>
                </c:pt>
                <c:pt idx="995">
                  <c:v>15.966326152980287</c:v>
                </c:pt>
                <c:pt idx="996">
                  <c:v>15.966326152980287</c:v>
                </c:pt>
                <c:pt idx="997">
                  <c:v>15.966326152980287</c:v>
                </c:pt>
                <c:pt idx="998">
                  <c:v>15.966326152980287</c:v>
                </c:pt>
                <c:pt idx="999">
                  <c:v>15.966326152980287</c:v>
                </c:pt>
                <c:pt idx="1000">
                  <c:v>15.966326152980287</c:v>
                </c:pt>
                <c:pt idx="1001">
                  <c:v>15.966326152980287</c:v>
                </c:pt>
                <c:pt idx="1002">
                  <c:v>15.966326152980287</c:v>
                </c:pt>
                <c:pt idx="1003">
                  <c:v>15.966326152980287</c:v>
                </c:pt>
                <c:pt idx="1004">
                  <c:v>15.966326152980287</c:v>
                </c:pt>
                <c:pt idx="1005">
                  <c:v>15.966326152980287</c:v>
                </c:pt>
                <c:pt idx="1006">
                  <c:v>15.966326152980287</c:v>
                </c:pt>
                <c:pt idx="1007">
                  <c:v>15.966326152980287</c:v>
                </c:pt>
                <c:pt idx="1008">
                  <c:v>15.966326152980287</c:v>
                </c:pt>
                <c:pt idx="1009">
                  <c:v>15.966326152980287</c:v>
                </c:pt>
                <c:pt idx="1010">
                  <c:v>15.966326152980287</c:v>
                </c:pt>
                <c:pt idx="1011">
                  <c:v>15.966326152980287</c:v>
                </c:pt>
                <c:pt idx="1012">
                  <c:v>15.966326152980287</c:v>
                </c:pt>
                <c:pt idx="1013">
                  <c:v>15.966326152980287</c:v>
                </c:pt>
                <c:pt idx="1014">
                  <c:v>15.966326152980287</c:v>
                </c:pt>
                <c:pt idx="1015">
                  <c:v>15.966326152980287</c:v>
                </c:pt>
                <c:pt idx="1016">
                  <c:v>15.966326152980287</c:v>
                </c:pt>
                <c:pt idx="1017">
                  <c:v>15.966326152980287</c:v>
                </c:pt>
                <c:pt idx="1018">
                  <c:v>15.966326152980287</c:v>
                </c:pt>
                <c:pt idx="1019">
                  <c:v>15.966326152980287</c:v>
                </c:pt>
                <c:pt idx="1020">
                  <c:v>15.966326152980287</c:v>
                </c:pt>
                <c:pt idx="1021">
                  <c:v>15.966326152980287</c:v>
                </c:pt>
                <c:pt idx="1022">
                  <c:v>15.966326152980287</c:v>
                </c:pt>
                <c:pt idx="1023">
                  <c:v>15.966326152980287</c:v>
                </c:pt>
                <c:pt idx="1024">
                  <c:v>15.966326152980287</c:v>
                </c:pt>
                <c:pt idx="1025">
                  <c:v>15.966326152980287</c:v>
                </c:pt>
                <c:pt idx="1026">
                  <c:v>15.966326152980287</c:v>
                </c:pt>
                <c:pt idx="1027">
                  <c:v>15.966326152980287</c:v>
                </c:pt>
                <c:pt idx="1028">
                  <c:v>15.966326152980287</c:v>
                </c:pt>
                <c:pt idx="1029">
                  <c:v>15.966326152980287</c:v>
                </c:pt>
                <c:pt idx="1030">
                  <c:v>15.966326152980287</c:v>
                </c:pt>
                <c:pt idx="1031">
                  <c:v>15.966326152980287</c:v>
                </c:pt>
                <c:pt idx="1032">
                  <c:v>15.966326152980287</c:v>
                </c:pt>
                <c:pt idx="1033">
                  <c:v>15.966326152980287</c:v>
                </c:pt>
                <c:pt idx="1034">
                  <c:v>15.966326152980287</c:v>
                </c:pt>
                <c:pt idx="1035">
                  <c:v>15.966326152980287</c:v>
                </c:pt>
                <c:pt idx="1036">
                  <c:v>15.966326152980287</c:v>
                </c:pt>
                <c:pt idx="1037">
                  <c:v>15.966326152980287</c:v>
                </c:pt>
                <c:pt idx="1038">
                  <c:v>15.966326152980287</c:v>
                </c:pt>
                <c:pt idx="1039">
                  <c:v>15.966326152980287</c:v>
                </c:pt>
                <c:pt idx="1040">
                  <c:v>15.966326152980287</c:v>
                </c:pt>
                <c:pt idx="1041">
                  <c:v>15.966326152980287</c:v>
                </c:pt>
                <c:pt idx="1042">
                  <c:v>15.966326152980287</c:v>
                </c:pt>
                <c:pt idx="1043">
                  <c:v>15.966326152980287</c:v>
                </c:pt>
                <c:pt idx="1044">
                  <c:v>15.966326152980287</c:v>
                </c:pt>
                <c:pt idx="1045">
                  <c:v>15.966326152980287</c:v>
                </c:pt>
                <c:pt idx="1046">
                  <c:v>15.966326152980287</c:v>
                </c:pt>
                <c:pt idx="1047">
                  <c:v>15.966326152980287</c:v>
                </c:pt>
                <c:pt idx="1048">
                  <c:v>15.966326152980287</c:v>
                </c:pt>
                <c:pt idx="1049">
                  <c:v>15.966326152980287</c:v>
                </c:pt>
                <c:pt idx="1050">
                  <c:v>15.966326152980287</c:v>
                </c:pt>
                <c:pt idx="1051">
                  <c:v>15.966326152980287</c:v>
                </c:pt>
                <c:pt idx="1052">
                  <c:v>15.966326152980287</c:v>
                </c:pt>
                <c:pt idx="1053">
                  <c:v>15.966326152980287</c:v>
                </c:pt>
                <c:pt idx="1054">
                  <c:v>15.966326152980287</c:v>
                </c:pt>
                <c:pt idx="1055">
                  <c:v>15.966326152980287</c:v>
                </c:pt>
                <c:pt idx="1056">
                  <c:v>15.966326152980287</c:v>
                </c:pt>
                <c:pt idx="1057">
                  <c:v>15.966326152980287</c:v>
                </c:pt>
                <c:pt idx="1058">
                  <c:v>15.966326152980287</c:v>
                </c:pt>
                <c:pt idx="1059">
                  <c:v>15.966326152980287</c:v>
                </c:pt>
                <c:pt idx="1060">
                  <c:v>15.966326152980287</c:v>
                </c:pt>
                <c:pt idx="1061">
                  <c:v>15.966326152980287</c:v>
                </c:pt>
                <c:pt idx="1062">
                  <c:v>15.966326152980287</c:v>
                </c:pt>
                <c:pt idx="1063">
                  <c:v>15.966326152980287</c:v>
                </c:pt>
                <c:pt idx="1064">
                  <c:v>15.966326152980287</c:v>
                </c:pt>
                <c:pt idx="1065">
                  <c:v>15.966326152980287</c:v>
                </c:pt>
                <c:pt idx="1066">
                  <c:v>15.966326152980287</c:v>
                </c:pt>
                <c:pt idx="1067">
                  <c:v>15.966326152980287</c:v>
                </c:pt>
                <c:pt idx="1068">
                  <c:v>15.966326152980287</c:v>
                </c:pt>
                <c:pt idx="1069">
                  <c:v>15.966326152980287</c:v>
                </c:pt>
                <c:pt idx="1070">
                  <c:v>15.966326152980287</c:v>
                </c:pt>
                <c:pt idx="1071">
                  <c:v>15.966326152980287</c:v>
                </c:pt>
                <c:pt idx="1072">
                  <c:v>15.966326152980287</c:v>
                </c:pt>
                <c:pt idx="1073">
                  <c:v>15.966326152980287</c:v>
                </c:pt>
                <c:pt idx="1074">
                  <c:v>15.966326152980287</c:v>
                </c:pt>
                <c:pt idx="1075">
                  <c:v>15.966326152980287</c:v>
                </c:pt>
                <c:pt idx="1076">
                  <c:v>15.966326152980287</c:v>
                </c:pt>
                <c:pt idx="1077">
                  <c:v>15.966326152980287</c:v>
                </c:pt>
                <c:pt idx="1078">
                  <c:v>15.966326152980287</c:v>
                </c:pt>
                <c:pt idx="1079">
                  <c:v>15.966326152980287</c:v>
                </c:pt>
                <c:pt idx="1080">
                  <c:v>15.966326152980287</c:v>
                </c:pt>
                <c:pt idx="1081">
                  <c:v>15.966326152980287</c:v>
                </c:pt>
                <c:pt idx="1082">
                  <c:v>15.966326152980287</c:v>
                </c:pt>
                <c:pt idx="1083">
                  <c:v>15.966326152980287</c:v>
                </c:pt>
                <c:pt idx="1084">
                  <c:v>15.966326152980287</c:v>
                </c:pt>
                <c:pt idx="1085">
                  <c:v>15.966326152980287</c:v>
                </c:pt>
                <c:pt idx="1086">
                  <c:v>15.966326152980287</c:v>
                </c:pt>
                <c:pt idx="1087">
                  <c:v>15.966326152980287</c:v>
                </c:pt>
                <c:pt idx="1088">
                  <c:v>15.966326152980287</c:v>
                </c:pt>
                <c:pt idx="1089">
                  <c:v>15.966326152980287</c:v>
                </c:pt>
                <c:pt idx="1090">
                  <c:v>15.966326152980287</c:v>
                </c:pt>
                <c:pt idx="1091">
                  <c:v>15.966326152980287</c:v>
                </c:pt>
                <c:pt idx="1092">
                  <c:v>15.966326152980287</c:v>
                </c:pt>
                <c:pt idx="1093">
                  <c:v>15.966326152980287</c:v>
                </c:pt>
                <c:pt idx="1094">
                  <c:v>15.966326152980287</c:v>
                </c:pt>
                <c:pt idx="1095">
                  <c:v>15.966326152980287</c:v>
                </c:pt>
                <c:pt idx="1096">
                  <c:v>15.966326152980287</c:v>
                </c:pt>
                <c:pt idx="1097">
                  <c:v>15.966326152980287</c:v>
                </c:pt>
                <c:pt idx="1098">
                  <c:v>15.966326152980287</c:v>
                </c:pt>
                <c:pt idx="1099">
                  <c:v>15.966326152980287</c:v>
                </c:pt>
                <c:pt idx="1100">
                  <c:v>15.966326152980287</c:v>
                </c:pt>
                <c:pt idx="1101">
                  <c:v>15.966326152980287</c:v>
                </c:pt>
                <c:pt idx="1102">
                  <c:v>15.966326152980287</c:v>
                </c:pt>
                <c:pt idx="1103">
                  <c:v>15.966326152980287</c:v>
                </c:pt>
                <c:pt idx="1104">
                  <c:v>15.966326152980287</c:v>
                </c:pt>
                <c:pt idx="1105">
                  <c:v>15.966326152980287</c:v>
                </c:pt>
                <c:pt idx="1106">
                  <c:v>15.966326152980287</c:v>
                </c:pt>
                <c:pt idx="1107">
                  <c:v>15.966326152980287</c:v>
                </c:pt>
                <c:pt idx="1108">
                  <c:v>15.966326152980287</c:v>
                </c:pt>
                <c:pt idx="1109">
                  <c:v>15.966326152980287</c:v>
                </c:pt>
                <c:pt idx="1110">
                  <c:v>15.966326152980287</c:v>
                </c:pt>
                <c:pt idx="1111">
                  <c:v>15.966326152980287</c:v>
                </c:pt>
                <c:pt idx="1112">
                  <c:v>15.966326152980287</c:v>
                </c:pt>
                <c:pt idx="1113">
                  <c:v>15.966326152980287</c:v>
                </c:pt>
                <c:pt idx="1114">
                  <c:v>15.966326152980287</c:v>
                </c:pt>
                <c:pt idx="1115">
                  <c:v>15.966326152980287</c:v>
                </c:pt>
                <c:pt idx="1116">
                  <c:v>15.966326152980287</c:v>
                </c:pt>
                <c:pt idx="1117">
                  <c:v>15.966326152980287</c:v>
                </c:pt>
                <c:pt idx="1118">
                  <c:v>15.966326152980287</c:v>
                </c:pt>
                <c:pt idx="1119">
                  <c:v>15.966326152980287</c:v>
                </c:pt>
                <c:pt idx="1120">
                  <c:v>15.966326152980287</c:v>
                </c:pt>
                <c:pt idx="1121">
                  <c:v>15.966326152980287</c:v>
                </c:pt>
                <c:pt idx="1122">
                  <c:v>15.966326152980287</c:v>
                </c:pt>
                <c:pt idx="1123">
                  <c:v>15.966326152980287</c:v>
                </c:pt>
                <c:pt idx="1124">
                  <c:v>15.966326152980287</c:v>
                </c:pt>
                <c:pt idx="1125">
                  <c:v>15.966326152980287</c:v>
                </c:pt>
                <c:pt idx="1126">
                  <c:v>15.966326152980287</c:v>
                </c:pt>
                <c:pt idx="1127">
                  <c:v>15.966326152980287</c:v>
                </c:pt>
                <c:pt idx="1128">
                  <c:v>15.966326152980287</c:v>
                </c:pt>
                <c:pt idx="1129">
                  <c:v>15.966326152980287</c:v>
                </c:pt>
                <c:pt idx="1130">
                  <c:v>15.966326152980287</c:v>
                </c:pt>
                <c:pt idx="1131">
                  <c:v>15.966326152980287</c:v>
                </c:pt>
                <c:pt idx="1132">
                  <c:v>15.966326152980287</c:v>
                </c:pt>
                <c:pt idx="1133">
                  <c:v>15.966326152980287</c:v>
                </c:pt>
                <c:pt idx="1134">
                  <c:v>15.966326152980287</c:v>
                </c:pt>
                <c:pt idx="1135">
                  <c:v>15.966326152980287</c:v>
                </c:pt>
                <c:pt idx="1136">
                  <c:v>15.966326152980287</c:v>
                </c:pt>
                <c:pt idx="1137">
                  <c:v>15.966326152980287</c:v>
                </c:pt>
                <c:pt idx="1138">
                  <c:v>15.966326152980287</c:v>
                </c:pt>
                <c:pt idx="1139">
                  <c:v>15.966326152980287</c:v>
                </c:pt>
                <c:pt idx="1140">
                  <c:v>15.966326152980287</c:v>
                </c:pt>
                <c:pt idx="1141">
                  <c:v>15.966326152980287</c:v>
                </c:pt>
                <c:pt idx="1142">
                  <c:v>15.966326152980287</c:v>
                </c:pt>
                <c:pt idx="1143">
                  <c:v>15.966326152980287</c:v>
                </c:pt>
                <c:pt idx="1144">
                  <c:v>15.966326152980287</c:v>
                </c:pt>
                <c:pt idx="1145">
                  <c:v>15.966326152980287</c:v>
                </c:pt>
                <c:pt idx="1146">
                  <c:v>15.966326152980287</c:v>
                </c:pt>
                <c:pt idx="1147">
                  <c:v>15.966326152980287</c:v>
                </c:pt>
                <c:pt idx="1148">
                  <c:v>15.966326152980287</c:v>
                </c:pt>
                <c:pt idx="1149">
                  <c:v>15.966326152980287</c:v>
                </c:pt>
                <c:pt idx="1150">
                  <c:v>15.966326152980287</c:v>
                </c:pt>
                <c:pt idx="1151">
                  <c:v>15.966326152980287</c:v>
                </c:pt>
                <c:pt idx="1152">
                  <c:v>15.966326152980287</c:v>
                </c:pt>
                <c:pt idx="1153">
                  <c:v>15.966326152980287</c:v>
                </c:pt>
                <c:pt idx="1154">
                  <c:v>15.966326152980287</c:v>
                </c:pt>
                <c:pt idx="1155">
                  <c:v>15.966326152980287</c:v>
                </c:pt>
                <c:pt idx="1156">
                  <c:v>15.966326152980287</c:v>
                </c:pt>
                <c:pt idx="1157">
                  <c:v>15.966326152980287</c:v>
                </c:pt>
                <c:pt idx="1158">
                  <c:v>15.966326152980287</c:v>
                </c:pt>
                <c:pt idx="1159">
                  <c:v>15.966326152980287</c:v>
                </c:pt>
                <c:pt idx="1160">
                  <c:v>15.966326152980287</c:v>
                </c:pt>
                <c:pt idx="1161">
                  <c:v>15.966326152980287</c:v>
                </c:pt>
                <c:pt idx="1162">
                  <c:v>15.966326152980287</c:v>
                </c:pt>
                <c:pt idx="1163">
                  <c:v>15.966326152980287</c:v>
                </c:pt>
                <c:pt idx="1164">
                  <c:v>15.966326152980287</c:v>
                </c:pt>
                <c:pt idx="1165">
                  <c:v>15.966326152980287</c:v>
                </c:pt>
                <c:pt idx="1166">
                  <c:v>15.966326152980287</c:v>
                </c:pt>
                <c:pt idx="1167">
                  <c:v>15.966326152980287</c:v>
                </c:pt>
                <c:pt idx="1168">
                  <c:v>15.966326152980287</c:v>
                </c:pt>
                <c:pt idx="1169">
                  <c:v>15.966326152980287</c:v>
                </c:pt>
                <c:pt idx="1170">
                  <c:v>15.966326152980287</c:v>
                </c:pt>
                <c:pt idx="1171">
                  <c:v>15.966326152980287</c:v>
                </c:pt>
                <c:pt idx="1172">
                  <c:v>15.966326152980287</c:v>
                </c:pt>
                <c:pt idx="1173">
                  <c:v>15.966326152980287</c:v>
                </c:pt>
                <c:pt idx="1174">
                  <c:v>15.966326152980287</c:v>
                </c:pt>
                <c:pt idx="1175">
                  <c:v>15.966326152980287</c:v>
                </c:pt>
                <c:pt idx="1176">
                  <c:v>15.966326152980287</c:v>
                </c:pt>
                <c:pt idx="1177">
                  <c:v>15.966326152980287</c:v>
                </c:pt>
                <c:pt idx="1178">
                  <c:v>15.966326152980287</c:v>
                </c:pt>
                <c:pt idx="1179">
                  <c:v>15.966326152980287</c:v>
                </c:pt>
                <c:pt idx="1180">
                  <c:v>15.966326152980287</c:v>
                </c:pt>
                <c:pt idx="1181">
                  <c:v>15.966326152980287</c:v>
                </c:pt>
                <c:pt idx="1182">
                  <c:v>15.966326152980287</c:v>
                </c:pt>
                <c:pt idx="1183">
                  <c:v>15.966326152980287</c:v>
                </c:pt>
                <c:pt idx="1184">
                  <c:v>15.966326152980287</c:v>
                </c:pt>
                <c:pt idx="1185">
                  <c:v>15.966326152980287</c:v>
                </c:pt>
                <c:pt idx="1186">
                  <c:v>15.966326152980287</c:v>
                </c:pt>
                <c:pt idx="1187">
                  <c:v>15.966326152980287</c:v>
                </c:pt>
                <c:pt idx="1188">
                  <c:v>15.966326152980287</c:v>
                </c:pt>
                <c:pt idx="1189">
                  <c:v>15.966326152980287</c:v>
                </c:pt>
                <c:pt idx="1190">
                  <c:v>15.966326152980287</c:v>
                </c:pt>
                <c:pt idx="1191">
                  <c:v>15.966326152980287</c:v>
                </c:pt>
                <c:pt idx="1192">
                  <c:v>15.966326152980287</c:v>
                </c:pt>
                <c:pt idx="1193">
                  <c:v>15.966326152980287</c:v>
                </c:pt>
                <c:pt idx="1194">
                  <c:v>15.966326152980287</c:v>
                </c:pt>
                <c:pt idx="1195">
                  <c:v>15.966326152980287</c:v>
                </c:pt>
                <c:pt idx="1196">
                  <c:v>15.966326152980287</c:v>
                </c:pt>
                <c:pt idx="1197">
                  <c:v>15.966326152980287</c:v>
                </c:pt>
                <c:pt idx="1198">
                  <c:v>15.966326152980287</c:v>
                </c:pt>
                <c:pt idx="1199">
                  <c:v>15.966326152980287</c:v>
                </c:pt>
                <c:pt idx="1200">
                  <c:v>15.966326152980287</c:v>
                </c:pt>
                <c:pt idx="1201">
                  <c:v>15.966326152980287</c:v>
                </c:pt>
                <c:pt idx="1202">
                  <c:v>15.966326152980287</c:v>
                </c:pt>
                <c:pt idx="1203">
                  <c:v>15.966326152980287</c:v>
                </c:pt>
                <c:pt idx="1204">
                  <c:v>15.966326152980287</c:v>
                </c:pt>
                <c:pt idx="1205">
                  <c:v>15.966326152980287</c:v>
                </c:pt>
                <c:pt idx="1206">
                  <c:v>15.966326152980287</c:v>
                </c:pt>
                <c:pt idx="1207">
                  <c:v>15.966326152980287</c:v>
                </c:pt>
                <c:pt idx="1208">
                  <c:v>15.966326152980287</c:v>
                </c:pt>
                <c:pt idx="1209">
                  <c:v>15.966326152980287</c:v>
                </c:pt>
                <c:pt idx="1210">
                  <c:v>15.966326152980287</c:v>
                </c:pt>
                <c:pt idx="1211">
                  <c:v>15.966326152980287</c:v>
                </c:pt>
                <c:pt idx="1212">
                  <c:v>15.966326152980287</c:v>
                </c:pt>
                <c:pt idx="1213">
                  <c:v>15.966326152980287</c:v>
                </c:pt>
                <c:pt idx="1214">
                  <c:v>15.966326152980287</c:v>
                </c:pt>
                <c:pt idx="1215">
                  <c:v>15.966326152980287</c:v>
                </c:pt>
                <c:pt idx="1216">
                  <c:v>15.966326152980287</c:v>
                </c:pt>
                <c:pt idx="1217">
                  <c:v>15.966326152980287</c:v>
                </c:pt>
                <c:pt idx="1218">
                  <c:v>15.966326152980287</c:v>
                </c:pt>
                <c:pt idx="1219">
                  <c:v>15.966326152980287</c:v>
                </c:pt>
                <c:pt idx="1220">
                  <c:v>15.966326152980287</c:v>
                </c:pt>
                <c:pt idx="1221">
                  <c:v>15.966326152980287</c:v>
                </c:pt>
                <c:pt idx="1222">
                  <c:v>15.966326152980287</c:v>
                </c:pt>
                <c:pt idx="1223">
                  <c:v>15.966326152980287</c:v>
                </c:pt>
                <c:pt idx="1224">
                  <c:v>15.966326152980287</c:v>
                </c:pt>
                <c:pt idx="1225">
                  <c:v>15.966326152980287</c:v>
                </c:pt>
                <c:pt idx="1226">
                  <c:v>15.966326152980287</c:v>
                </c:pt>
                <c:pt idx="1227">
                  <c:v>15.966326152980287</c:v>
                </c:pt>
                <c:pt idx="1228">
                  <c:v>15.966326152980287</c:v>
                </c:pt>
                <c:pt idx="1229">
                  <c:v>15.966326152980287</c:v>
                </c:pt>
                <c:pt idx="1230">
                  <c:v>15.966326152980287</c:v>
                </c:pt>
                <c:pt idx="1231">
                  <c:v>15.966326152980287</c:v>
                </c:pt>
                <c:pt idx="1232">
                  <c:v>15.966326152980287</c:v>
                </c:pt>
                <c:pt idx="1233">
                  <c:v>15.966326152980287</c:v>
                </c:pt>
                <c:pt idx="1234">
                  <c:v>15.966326152980287</c:v>
                </c:pt>
                <c:pt idx="1235">
                  <c:v>15.966326152980287</c:v>
                </c:pt>
                <c:pt idx="1236">
                  <c:v>15.966326152980287</c:v>
                </c:pt>
                <c:pt idx="1237">
                  <c:v>15.966326152980287</c:v>
                </c:pt>
                <c:pt idx="1238">
                  <c:v>15.966326152980287</c:v>
                </c:pt>
                <c:pt idx="1239">
                  <c:v>15.966326152980287</c:v>
                </c:pt>
                <c:pt idx="1240">
                  <c:v>15.966326152980287</c:v>
                </c:pt>
                <c:pt idx="1241">
                  <c:v>15.966326152980287</c:v>
                </c:pt>
                <c:pt idx="1242">
                  <c:v>15.966326152980287</c:v>
                </c:pt>
                <c:pt idx="1243">
                  <c:v>15.966326152980287</c:v>
                </c:pt>
                <c:pt idx="1244">
                  <c:v>15.966326152980287</c:v>
                </c:pt>
                <c:pt idx="1245">
                  <c:v>15.966326152980287</c:v>
                </c:pt>
                <c:pt idx="1246">
                  <c:v>15.966326152980287</c:v>
                </c:pt>
                <c:pt idx="1247">
                  <c:v>15.966326152980287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[177]PE!$D$1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[177]PE!$A$2:$A$1249</c15:sqref>
                        </c15:formulaRef>
                      </c:ext>
                    </c:extLst>
                    <c:numCache>
                      <c:formatCode>m/d/yyyy</c:formatCode>
                      <c:ptCount val="1248"/>
                      <c:pt idx="0">
                        <c:v>44085</c:v>
                      </c:pt>
                      <c:pt idx="1">
                        <c:v>44088</c:v>
                      </c:pt>
                      <c:pt idx="2">
                        <c:v>44089</c:v>
                      </c:pt>
                      <c:pt idx="3">
                        <c:v>44090</c:v>
                      </c:pt>
                      <c:pt idx="4">
                        <c:v>44091</c:v>
                      </c:pt>
                      <c:pt idx="5">
                        <c:v>44092</c:v>
                      </c:pt>
                      <c:pt idx="6">
                        <c:v>44095</c:v>
                      </c:pt>
                      <c:pt idx="7">
                        <c:v>44096</c:v>
                      </c:pt>
                      <c:pt idx="8">
                        <c:v>44097</c:v>
                      </c:pt>
                      <c:pt idx="9">
                        <c:v>44098</c:v>
                      </c:pt>
                      <c:pt idx="10">
                        <c:v>44099</c:v>
                      </c:pt>
                      <c:pt idx="11">
                        <c:v>44102</c:v>
                      </c:pt>
                      <c:pt idx="12">
                        <c:v>44103</c:v>
                      </c:pt>
                      <c:pt idx="13">
                        <c:v>44104</c:v>
                      </c:pt>
                      <c:pt idx="14">
                        <c:v>44105</c:v>
                      </c:pt>
                      <c:pt idx="15">
                        <c:v>44106</c:v>
                      </c:pt>
                      <c:pt idx="16">
                        <c:v>44109</c:v>
                      </c:pt>
                      <c:pt idx="17">
                        <c:v>44110</c:v>
                      </c:pt>
                      <c:pt idx="18">
                        <c:v>44111</c:v>
                      </c:pt>
                      <c:pt idx="19">
                        <c:v>44112</c:v>
                      </c:pt>
                      <c:pt idx="20">
                        <c:v>44113</c:v>
                      </c:pt>
                      <c:pt idx="21">
                        <c:v>44116</c:v>
                      </c:pt>
                      <c:pt idx="22">
                        <c:v>44117</c:v>
                      </c:pt>
                      <c:pt idx="23">
                        <c:v>44118</c:v>
                      </c:pt>
                      <c:pt idx="24">
                        <c:v>44119</c:v>
                      </c:pt>
                      <c:pt idx="25">
                        <c:v>44120</c:v>
                      </c:pt>
                      <c:pt idx="26">
                        <c:v>44123</c:v>
                      </c:pt>
                      <c:pt idx="27">
                        <c:v>44124</c:v>
                      </c:pt>
                      <c:pt idx="28">
                        <c:v>44125</c:v>
                      </c:pt>
                      <c:pt idx="29">
                        <c:v>44126</c:v>
                      </c:pt>
                      <c:pt idx="30">
                        <c:v>44127</c:v>
                      </c:pt>
                      <c:pt idx="31">
                        <c:v>44130</c:v>
                      </c:pt>
                      <c:pt idx="32">
                        <c:v>44131</c:v>
                      </c:pt>
                      <c:pt idx="33">
                        <c:v>44132</c:v>
                      </c:pt>
                      <c:pt idx="34">
                        <c:v>44133</c:v>
                      </c:pt>
                      <c:pt idx="35">
                        <c:v>44134</c:v>
                      </c:pt>
                      <c:pt idx="36">
                        <c:v>44137</c:v>
                      </c:pt>
                      <c:pt idx="37">
                        <c:v>44138</c:v>
                      </c:pt>
                      <c:pt idx="38">
                        <c:v>44139</c:v>
                      </c:pt>
                      <c:pt idx="39">
                        <c:v>44140</c:v>
                      </c:pt>
                      <c:pt idx="40">
                        <c:v>44141</c:v>
                      </c:pt>
                      <c:pt idx="41">
                        <c:v>44144</c:v>
                      </c:pt>
                      <c:pt idx="42">
                        <c:v>44145</c:v>
                      </c:pt>
                      <c:pt idx="43">
                        <c:v>44146</c:v>
                      </c:pt>
                      <c:pt idx="44">
                        <c:v>44147</c:v>
                      </c:pt>
                      <c:pt idx="45">
                        <c:v>44148</c:v>
                      </c:pt>
                      <c:pt idx="46">
                        <c:v>44151</c:v>
                      </c:pt>
                      <c:pt idx="47">
                        <c:v>44152</c:v>
                      </c:pt>
                      <c:pt idx="48">
                        <c:v>44153</c:v>
                      </c:pt>
                      <c:pt idx="49">
                        <c:v>44154</c:v>
                      </c:pt>
                      <c:pt idx="50">
                        <c:v>44155</c:v>
                      </c:pt>
                      <c:pt idx="51">
                        <c:v>44158</c:v>
                      </c:pt>
                      <c:pt idx="52">
                        <c:v>44159</c:v>
                      </c:pt>
                      <c:pt idx="53">
                        <c:v>44160</c:v>
                      </c:pt>
                      <c:pt idx="54">
                        <c:v>44161</c:v>
                      </c:pt>
                      <c:pt idx="55">
                        <c:v>44162</c:v>
                      </c:pt>
                      <c:pt idx="56">
                        <c:v>44165</c:v>
                      </c:pt>
                      <c:pt idx="57">
                        <c:v>44166</c:v>
                      </c:pt>
                      <c:pt idx="58">
                        <c:v>44167</c:v>
                      </c:pt>
                      <c:pt idx="59">
                        <c:v>44168</c:v>
                      </c:pt>
                      <c:pt idx="60">
                        <c:v>44169</c:v>
                      </c:pt>
                      <c:pt idx="61">
                        <c:v>44172</c:v>
                      </c:pt>
                      <c:pt idx="62">
                        <c:v>44173</c:v>
                      </c:pt>
                      <c:pt idx="63">
                        <c:v>44174</c:v>
                      </c:pt>
                      <c:pt idx="64">
                        <c:v>44175</c:v>
                      </c:pt>
                      <c:pt idx="65">
                        <c:v>44176</c:v>
                      </c:pt>
                      <c:pt idx="66">
                        <c:v>44179</c:v>
                      </c:pt>
                      <c:pt idx="67">
                        <c:v>44180</c:v>
                      </c:pt>
                      <c:pt idx="68">
                        <c:v>44181</c:v>
                      </c:pt>
                      <c:pt idx="69">
                        <c:v>44182</c:v>
                      </c:pt>
                      <c:pt idx="70">
                        <c:v>44183</c:v>
                      </c:pt>
                      <c:pt idx="71">
                        <c:v>44186</c:v>
                      </c:pt>
                      <c:pt idx="72">
                        <c:v>44187</c:v>
                      </c:pt>
                      <c:pt idx="73">
                        <c:v>44188</c:v>
                      </c:pt>
                      <c:pt idx="74">
                        <c:v>44189</c:v>
                      </c:pt>
                      <c:pt idx="75">
                        <c:v>44190</c:v>
                      </c:pt>
                      <c:pt idx="76">
                        <c:v>44193</c:v>
                      </c:pt>
                      <c:pt idx="77">
                        <c:v>44194</c:v>
                      </c:pt>
                      <c:pt idx="78">
                        <c:v>44195</c:v>
                      </c:pt>
                      <c:pt idx="79">
                        <c:v>44196</c:v>
                      </c:pt>
                      <c:pt idx="80">
                        <c:v>44200</c:v>
                      </c:pt>
                      <c:pt idx="81">
                        <c:v>44201</c:v>
                      </c:pt>
                      <c:pt idx="82">
                        <c:v>44202</c:v>
                      </c:pt>
                      <c:pt idx="83">
                        <c:v>44203</c:v>
                      </c:pt>
                      <c:pt idx="84">
                        <c:v>44204</c:v>
                      </c:pt>
                      <c:pt idx="85">
                        <c:v>44207</c:v>
                      </c:pt>
                      <c:pt idx="86">
                        <c:v>44208</c:v>
                      </c:pt>
                      <c:pt idx="87">
                        <c:v>44209</c:v>
                      </c:pt>
                      <c:pt idx="88">
                        <c:v>44210</c:v>
                      </c:pt>
                      <c:pt idx="89">
                        <c:v>44211</c:v>
                      </c:pt>
                      <c:pt idx="90">
                        <c:v>44214</c:v>
                      </c:pt>
                      <c:pt idx="91">
                        <c:v>44215</c:v>
                      </c:pt>
                      <c:pt idx="92">
                        <c:v>44216</c:v>
                      </c:pt>
                      <c:pt idx="93">
                        <c:v>44217</c:v>
                      </c:pt>
                      <c:pt idx="94">
                        <c:v>44218</c:v>
                      </c:pt>
                      <c:pt idx="95">
                        <c:v>44221</c:v>
                      </c:pt>
                      <c:pt idx="96">
                        <c:v>44222</c:v>
                      </c:pt>
                      <c:pt idx="97">
                        <c:v>44223</c:v>
                      </c:pt>
                      <c:pt idx="98">
                        <c:v>44224</c:v>
                      </c:pt>
                      <c:pt idx="99">
                        <c:v>44225</c:v>
                      </c:pt>
                      <c:pt idx="100">
                        <c:v>44228</c:v>
                      </c:pt>
                      <c:pt idx="101">
                        <c:v>44229</c:v>
                      </c:pt>
                      <c:pt idx="102">
                        <c:v>44230</c:v>
                      </c:pt>
                      <c:pt idx="103">
                        <c:v>44231</c:v>
                      </c:pt>
                      <c:pt idx="104">
                        <c:v>44232</c:v>
                      </c:pt>
                      <c:pt idx="105">
                        <c:v>44235</c:v>
                      </c:pt>
                      <c:pt idx="106">
                        <c:v>44236</c:v>
                      </c:pt>
                      <c:pt idx="107">
                        <c:v>44244</c:v>
                      </c:pt>
                      <c:pt idx="108">
                        <c:v>44245</c:v>
                      </c:pt>
                      <c:pt idx="109">
                        <c:v>44246</c:v>
                      </c:pt>
                      <c:pt idx="110">
                        <c:v>44249</c:v>
                      </c:pt>
                      <c:pt idx="111">
                        <c:v>44250</c:v>
                      </c:pt>
                      <c:pt idx="112">
                        <c:v>44251</c:v>
                      </c:pt>
                      <c:pt idx="113">
                        <c:v>44252</c:v>
                      </c:pt>
                      <c:pt idx="114">
                        <c:v>44253</c:v>
                      </c:pt>
                      <c:pt idx="115">
                        <c:v>44256</c:v>
                      </c:pt>
                      <c:pt idx="116">
                        <c:v>44257</c:v>
                      </c:pt>
                      <c:pt idx="117">
                        <c:v>44258</c:v>
                      </c:pt>
                      <c:pt idx="118">
                        <c:v>44259</c:v>
                      </c:pt>
                      <c:pt idx="119">
                        <c:v>44260</c:v>
                      </c:pt>
                      <c:pt idx="120">
                        <c:v>44263</c:v>
                      </c:pt>
                      <c:pt idx="121">
                        <c:v>44264</c:v>
                      </c:pt>
                      <c:pt idx="122">
                        <c:v>44265</c:v>
                      </c:pt>
                      <c:pt idx="123">
                        <c:v>44266</c:v>
                      </c:pt>
                      <c:pt idx="124">
                        <c:v>44267</c:v>
                      </c:pt>
                      <c:pt idx="125">
                        <c:v>44270</c:v>
                      </c:pt>
                      <c:pt idx="126">
                        <c:v>44271</c:v>
                      </c:pt>
                      <c:pt idx="127">
                        <c:v>44272</c:v>
                      </c:pt>
                      <c:pt idx="128">
                        <c:v>44273</c:v>
                      </c:pt>
                      <c:pt idx="129">
                        <c:v>44274</c:v>
                      </c:pt>
                      <c:pt idx="130">
                        <c:v>44277</c:v>
                      </c:pt>
                      <c:pt idx="131">
                        <c:v>44278</c:v>
                      </c:pt>
                      <c:pt idx="132">
                        <c:v>44279</c:v>
                      </c:pt>
                      <c:pt idx="133">
                        <c:v>44280</c:v>
                      </c:pt>
                      <c:pt idx="134">
                        <c:v>44281</c:v>
                      </c:pt>
                      <c:pt idx="135">
                        <c:v>44284</c:v>
                      </c:pt>
                      <c:pt idx="136">
                        <c:v>44285</c:v>
                      </c:pt>
                      <c:pt idx="137">
                        <c:v>44286</c:v>
                      </c:pt>
                      <c:pt idx="138">
                        <c:v>44287</c:v>
                      </c:pt>
                      <c:pt idx="139">
                        <c:v>44288</c:v>
                      </c:pt>
                      <c:pt idx="140">
                        <c:v>44291</c:v>
                      </c:pt>
                      <c:pt idx="141">
                        <c:v>44292</c:v>
                      </c:pt>
                      <c:pt idx="142">
                        <c:v>44293</c:v>
                      </c:pt>
                      <c:pt idx="143">
                        <c:v>44294</c:v>
                      </c:pt>
                      <c:pt idx="144">
                        <c:v>44295</c:v>
                      </c:pt>
                      <c:pt idx="145">
                        <c:v>44298</c:v>
                      </c:pt>
                      <c:pt idx="146">
                        <c:v>44299</c:v>
                      </c:pt>
                      <c:pt idx="147">
                        <c:v>44300</c:v>
                      </c:pt>
                      <c:pt idx="148">
                        <c:v>44301</c:v>
                      </c:pt>
                      <c:pt idx="149">
                        <c:v>44302</c:v>
                      </c:pt>
                      <c:pt idx="150">
                        <c:v>44305</c:v>
                      </c:pt>
                      <c:pt idx="151">
                        <c:v>44306</c:v>
                      </c:pt>
                      <c:pt idx="152">
                        <c:v>44308</c:v>
                      </c:pt>
                      <c:pt idx="153">
                        <c:v>44309</c:v>
                      </c:pt>
                      <c:pt idx="154">
                        <c:v>44312</c:v>
                      </c:pt>
                      <c:pt idx="155">
                        <c:v>44313</c:v>
                      </c:pt>
                      <c:pt idx="156">
                        <c:v>44314</c:v>
                      </c:pt>
                      <c:pt idx="157">
                        <c:v>44315</c:v>
                      </c:pt>
                      <c:pt idx="158">
                        <c:v>44320</c:v>
                      </c:pt>
                      <c:pt idx="159">
                        <c:v>44321</c:v>
                      </c:pt>
                      <c:pt idx="160">
                        <c:v>44322</c:v>
                      </c:pt>
                      <c:pt idx="161">
                        <c:v>44323</c:v>
                      </c:pt>
                      <c:pt idx="162">
                        <c:v>44326</c:v>
                      </c:pt>
                      <c:pt idx="163">
                        <c:v>44327</c:v>
                      </c:pt>
                      <c:pt idx="164">
                        <c:v>44328</c:v>
                      </c:pt>
                      <c:pt idx="165">
                        <c:v>44329</c:v>
                      </c:pt>
                      <c:pt idx="166">
                        <c:v>44330</c:v>
                      </c:pt>
                      <c:pt idx="167">
                        <c:v>44333</c:v>
                      </c:pt>
                      <c:pt idx="168">
                        <c:v>44334</c:v>
                      </c:pt>
                      <c:pt idx="169">
                        <c:v>44335</c:v>
                      </c:pt>
                      <c:pt idx="170">
                        <c:v>44336</c:v>
                      </c:pt>
                      <c:pt idx="171">
                        <c:v>44337</c:v>
                      </c:pt>
                      <c:pt idx="172">
                        <c:v>44340</c:v>
                      </c:pt>
                      <c:pt idx="173">
                        <c:v>44341</c:v>
                      </c:pt>
                      <c:pt idx="174">
                        <c:v>44342</c:v>
                      </c:pt>
                      <c:pt idx="175">
                        <c:v>44343</c:v>
                      </c:pt>
                      <c:pt idx="176">
                        <c:v>44344</c:v>
                      </c:pt>
                      <c:pt idx="177">
                        <c:v>44347</c:v>
                      </c:pt>
                      <c:pt idx="178">
                        <c:v>44348</c:v>
                      </c:pt>
                      <c:pt idx="179">
                        <c:v>44349</c:v>
                      </c:pt>
                      <c:pt idx="180">
                        <c:v>44350</c:v>
                      </c:pt>
                      <c:pt idx="181">
                        <c:v>44351</c:v>
                      </c:pt>
                      <c:pt idx="182">
                        <c:v>44354</c:v>
                      </c:pt>
                      <c:pt idx="183">
                        <c:v>44355</c:v>
                      </c:pt>
                      <c:pt idx="184">
                        <c:v>44356</c:v>
                      </c:pt>
                      <c:pt idx="185">
                        <c:v>44357</c:v>
                      </c:pt>
                      <c:pt idx="186">
                        <c:v>44358</c:v>
                      </c:pt>
                      <c:pt idx="187">
                        <c:v>44361</c:v>
                      </c:pt>
                      <c:pt idx="188">
                        <c:v>44362</c:v>
                      </c:pt>
                      <c:pt idx="189">
                        <c:v>44363</c:v>
                      </c:pt>
                      <c:pt idx="190">
                        <c:v>44364</c:v>
                      </c:pt>
                      <c:pt idx="191">
                        <c:v>44365</c:v>
                      </c:pt>
                      <c:pt idx="192">
                        <c:v>44368</c:v>
                      </c:pt>
                      <c:pt idx="193">
                        <c:v>44369</c:v>
                      </c:pt>
                      <c:pt idx="194">
                        <c:v>44370</c:v>
                      </c:pt>
                      <c:pt idx="195">
                        <c:v>44371</c:v>
                      </c:pt>
                      <c:pt idx="196">
                        <c:v>44372</c:v>
                      </c:pt>
                      <c:pt idx="197">
                        <c:v>44375</c:v>
                      </c:pt>
                      <c:pt idx="198">
                        <c:v>44376</c:v>
                      </c:pt>
                      <c:pt idx="199">
                        <c:v>44377</c:v>
                      </c:pt>
                      <c:pt idx="200">
                        <c:v>44378</c:v>
                      </c:pt>
                      <c:pt idx="201">
                        <c:v>44379</c:v>
                      </c:pt>
                      <c:pt idx="202">
                        <c:v>44382</c:v>
                      </c:pt>
                      <c:pt idx="203">
                        <c:v>44383</c:v>
                      </c:pt>
                      <c:pt idx="204">
                        <c:v>44384</c:v>
                      </c:pt>
                      <c:pt idx="205">
                        <c:v>44385</c:v>
                      </c:pt>
                      <c:pt idx="206">
                        <c:v>44386</c:v>
                      </c:pt>
                      <c:pt idx="207">
                        <c:v>44389</c:v>
                      </c:pt>
                      <c:pt idx="208">
                        <c:v>44390</c:v>
                      </c:pt>
                      <c:pt idx="209">
                        <c:v>44391</c:v>
                      </c:pt>
                      <c:pt idx="210">
                        <c:v>44392</c:v>
                      </c:pt>
                      <c:pt idx="211">
                        <c:v>44393</c:v>
                      </c:pt>
                      <c:pt idx="212">
                        <c:v>44396</c:v>
                      </c:pt>
                      <c:pt idx="213">
                        <c:v>44397</c:v>
                      </c:pt>
                      <c:pt idx="214">
                        <c:v>44398</c:v>
                      </c:pt>
                      <c:pt idx="215">
                        <c:v>44399</c:v>
                      </c:pt>
                      <c:pt idx="216">
                        <c:v>44400</c:v>
                      </c:pt>
                      <c:pt idx="217">
                        <c:v>44403</c:v>
                      </c:pt>
                      <c:pt idx="218">
                        <c:v>44404</c:v>
                      </c:pt>
                      <c:pt idx="219">
                        <c:v>44405</c:v>
                      </c:pt>
                      <c:pt idx="220">
                        <c:v>44406</c:v>
                      </c:pt>
                      <c:pt idx="221">
                        <c:v>44407</c:v>
                      </c:pt>
                      <c:pt idx="222">
                        <c:v>44410</c:v>
                      </c:pt>
                      <c:pt idx="223">
                        <c:v>44411</c:v>
                      </c:pt>
                      <c:pt idx="224">
                        <c:v>44412</c:v>
                      </c:pt>
                      <c:pt idx="225">
                        <c:v>44413</c:v>
                      </c:pt>
                      <c:pt idx="226">
                        <c:v>44414</c:v>
                      </c:pt>
                      <c:pt idx="227">
                        <c:v>44417</c:v>
                      </c:pt>
                      <c:pt idx="228">
                        <c:v>44418</c:v>
                      </c:pt>
                      <c:pt idx="229">
                        <c:v>44419</c:v>
                      </c:pt>
                      <c:pt idx="230">
                        <c:v>44420</c:v>
                      </c:pt>
                      <c:pt idx="231">
                        <c:v>44421</c:v>
                      </c:pt>
                      <c:pt idx="232">
                        <c:v>44424</c:v>
                      </c:pt>
                      <c:pt idx="233">
                        <c:v>44425</c:v>
                      </c:pt>
                      <c:pt idx="234">
                        <c:v>44426</c:v>
                      </c:pt>
                      <c:pt idx="235">
                        <c:v>44427</c:v>
                      </c:pt>
                      <c:pt idx="236">
                        <c:v>44428</c:v>
                      </c:pt>
                      <c:pt idx="237">
                        <c:v>44431</c:v>
                      </c:pt>
                      <c:pt idx="238">
                        <c:v>44432</c:v>
                      </c:pt>
                      <c:pt idx="239">
                        <c:v>44433</c:v>
                      </c:pt>
                      <c:pt idx="240">
                        <c:v>44434</c:v>
                      </c:pt>
                      <c:pt idx="241">
                        <c:v>44435</c:v>
                      </c:pt>
                      <c:pt idx="242">
                        <c:v>44438</c:v>
                      </c:pt>
                      <c:pt idx="243">
                        <c:v>44439</c:v>
                      </c:pt>
                      <c:pt idx="244">
                        <c:v>44440</c:v>
                      </c:pt>
                      <c:pt idx="245">
                        <c:v>44445</c:v>
                      </c:pt>
                      <c:pt idx="246">
                        <c:v>44446</c:v>
                      </c:pt>
                      <c:pt idx="247">
                        <c:v>44447</c:v>
                      </c:pt>
                      <c:pt idx="248">
                        <c:v>44448</c:v>
                      </c:pt>
                      <c:pt idx="249">
                        <c:v>44449</c:v>
                      </c:pt>
                      <c:pt idx="250">
                        <c:v>44452</c:v>
                      </c:pt>
                      <c:pt idx="251">
                        <c:v>44453</c:v>
                      </c:pt>
                      <c:pt idx="252">
                        <c:v>44454</c:v>
                      </c:pt>
                      <c:pt idx="253">
                        <c:v>44455</c:v>
                      </c:pt>
                      <c:pt idx="254">
                        <c:v>44456</c:v>
                      </c:pt>
                      <c:pt idx="255">
                        <c:v>44459</c:v>
                      </c:pt>
                      <c:pt idx="256">
                        <c:v>44460</c:v>
                      </c:pt>
                      <c:pt idx="257">
                        <c:v>44461</c:v>
                      </c:pt>
                      <c:pt idx="258">
                        <c:v>44462</c:v>
                      </c:pt>
                      <c:pt idx="259">
                        <c:v>44463</c:v>
                      </c:pt>
                      <c:pt idx="260">
                        <c:v>44466</c:v>
                      </c:pt>
                      <c:pt idx="261">
                        <c:v>44467</c:v>
                      </c:pt>
                      <c:pt idx="262">
                        <c:v>44468</c:v>
                      </c:pt>
                      <c:pt idx="263">
                        <c:v>44469</c:v>
                      </c:pt>
                      <c:pt idx="264">
                        <c:v>44470</c:v>
                      </c:pt>
                      <c:pt idx="265">
                        <c:v>44473</c:v>
                      </c:pt>
                      <c:pt idx="266">
                        <c:v>44474</c:v>
                      </c:pt>
                      <c:pt idx="267">
                        <c:v>44475</c:v>
                      </c:pt>
                      <c:pt idx="268">
                        <c:v>44476</c:v>
                      </c:pt>
                      <c:pt idx="269">
                        <c:v>44477</c:v>
                      </c:pt>
                      <c:pt idx="270">
                        <c:v>44480</c:v>
                      </c:pt>
                      <c:pt idx="271">
                        <c:v>44481</c:v>
                      </c:pt>
                      <c:pt idx="272">
                        <c:v>44482</c:v>
                      </c:pt>
                      <c:pt idx="273">
                        <c:v>44483</c:v>
                      </c:pt>
                      <c:pt idx="274">
                        <c:v>44484</c:v>
                      </c:pt>
                      <c:pt idx="275">
                        <c:v>44487</c:v>
                      </c:pt>
                      <c:pt idx="276">
                        <c:v>44488</c:v>
                      </c:pt>
                      <c:pt idx="277">
                        <c:v>44489</c:v>
                      </c:pt>
                      <c:pt idx="278">
                        <c:v>44490</c:v>
                      </c:pt>
                      <c:pt idx="279">
                        <c:v>44491</c:v>
                      </c:pt>
                      <c:pt idx="280">
                        <c:v>44494</c:v>
                      </c:pt>
                      <c:pt idx="281">
                        <c:v>44495</c:v>
                      </c:pt>
                      <c:pt idx="282">
                        <c:v>44496</c:v>
                      </c:pt>
                      <c:pt idx="283">
                        <c:v>44497</c:v>
                      </c:pt>
                      <c:pt idx="284">
                        <c:v>44498</c:v>
                      </c:pt>
                      <c:pt idx="285">
                        <c:v>44501</c:v>
                      </c:pt>
                      <c:pt idx="286">
                        <c:v>44502</c:v>
                      </c:pt>
                      <c:pt idx="287">
                        <c:v>44503</c:v>
                      </c:pt>
                      <c:pt idx="288">
                        <c:v>44504</c:v>
                      </c:pt>
                      <c:pt idx="289">
                        <c:v>44505</c:v>
                      </c:pt>
                      <c:pt idx="290">
                        <c:v>44508</c:v>
                      </c:pt>
                      <c:pt idx="291">
                        <c:v>44509</c:v>
                      </c:pt>
                      <c:pt idx="292">
                        <c:v>44510</c:v>
                      </c:pt>
                      <c:pt idx="293">
                        <c:v>44511</c:v>
                      </c:pt>
                      <c:pt idx="294">
                        <c:v>44512</c:v>
                      </c:pt>
                      <c:pt idx="295">
                        <c:v>44515</c:v>
                      </c:pt>
                      <c:pt idx="296">
                        <c:v>44516</c:v>
                      </c:pt>
                      <c:pt idx="297">
                        <c:v>44517</c:v>
                      </c:pt>
                      <c:pt idx="298">
                        <c:v>44518</c:v>
                      </c:pt>
                      <c:pt idx="299">
                        <c:v>44519</c:v>
                      </c:pt>
                      <c:pt idx="300">
                        <c:v>44522</c:v>
                      </c:pt>
                      <c:pt idx="301">
                        <c:v>44523</c:v>
                      </c:pt>
                      <c:pt idx="302">
                        <c:v>44524</c:v>
                      </c:pt>
                      <c:pt idx="303">
                        <c:v>44525</c:v>
                      </c:pt>
                      <c:pt idx="304">
                        <c:v>44526</c:v>
                      </c:pt>
                      <c:pt idx="305">
                        <c:v>44529</c:v>
                      </c:pt>
                      <c:pt idx="306">
                        <c:v>44530</c:v>
                      </c:pt>
                      <c:pt idx="307">
                        <c:v>44531</c:v>
                      </c:pt>
                      <c:pt idx="308">
                        <c:v>44532</c:v>
                      </c:pt>
                      <c:pt idx="309">
                        <c:v>44533</c:v>
                      </c:pt>
                      <c:pt idx="310">
                        <c:v>44536</c:v>
                      </c:pt>
                      <c:pt idx="311">
                        <c:v>44537</c:v>
                      </c:pt>
                      <c:pt idx="312">
                        <c:v>44538</c:v>
                      </c:pt>
                      <c:pt idx="313">
                        <c:v>44539</c:v>
                      </c:pt>
                      <c:pt idx="314">
                        <c:v>44540</c:v>
                      </c:pt>
                      <c:pt idx="315">
                        <c:v>44543</c:v>
                      </c:pt>
                      <c:pt idx="316">
                        <c:v>44544</c:v>
                      </c:pt>
                      <c:pt idx="317">
                        <c:v>44545</c:v>
                      </c:pt>
                      <c:pt idx="318">
                        <c:v>44546</c:v>
                      </c:pt>
                      <c:pt idx="319">
                        <c:v>44547</c:v>
                      </c:pt>
                      <c:pt idx="320">
                        <c:v>44550</c:v>
                      </c:pt>
                      <c:pt idx="321">
                        <c:v>44551</c:v>
                      </c:pt>
                      <c:pt idx="322">
                        <c:v>44552</c:v>
                      </c:pt>
                      <c:pt idx="323">
                        <c:v>44553</c:v>
                      </c:pt>
                      <c:pt idx="324">
                        <c:v>44554</c:v>
                      </c:pt>
                      <c:pt idx="325">
                        <c:v>44557</c:v>
                      </c:pt>
                      <c:pt idx="326">
                        <c:v>44558</c:v>
                      </c:pt>
                      <c:pt idx="327">
                        <c:v>44559</c:v>
                      </c:pt>
                      <c:pt idx="328">
                        <c:v>44560</c:v>
                      </c:pt>
                      <c:pt idx="329">
                        <c:v>44561</c:v>
                      </c:pt>
                      <c:pt idx="330">
                        <c:v>44565</c:v>
                      </c:pt>
                      <c:pt idx="331">
                        <c:v>44566</c:v>
                      </c:pt>
                      <c:pt idx="332">
                        <c:v>44567</c:v>
                      </c:pt>
                      <c:pt idx="333">
                        <c:v>44568</c:v>
                      </c:pt>
                      <c:pt idx="334">
                        <c:v>44571</c:v>
                      </c:pt>
                      <c:pt idx="335">
                        <c:v>44572</c:v>
                      </c:pt>
                      <c:pt idx="336">
                        <c:v>44573</c:v>
                      </c:pt>
                      <c:pt idx="337">
                        <c:v>44574</c:v>
                      </c:pt>
                      <c:pt idx="338">
                        <c:v>44575</c:v>
                      </c:pt>
                      <c:pt idx="339">
                        <c:v>44578</c:v>
                      </c:pt>
                      <c:pt idx="340">
                        <c:v>44579</c:v>
                      </c:pt>
                      <c:pt idx="341">
                        <c:v>44580</c:v>
                      </c:pt>
                      <c:pt idx="342">
                        <c:v>44581</c:v>
                      </c:pt>
                      <c:pt idx="343">
                        <c:v>44582</c:v>
                      </c:pt>
                      <c:pt idx="344">
                        <c:v>44585</c:v>
                      </c:pt>
                      <c:pt idx="345">
                        <c:v>44586</c:v>
                      </c:pt>
                      <c:pt idx="346">
                        <c:v>44587</c:v>
                      </c:pt>
                      <c:pt idx="347">
                        <c:v>44588</c:v>
                      </c:pt>
                      <c:pt idx="348">
                        <c:v>44589</c:v>
                      </c:pt>
                      <c:pt idx="349">
                        <c:v>44599</c:v>
                      </c:pt>
                      <c:pt idx="350">
                        <c:v>44600</c:v>
                      </c:pt>
                      <c:pt idx="351">
                        <c:v>44601</c:v>
                      </c:pt>
                      <c:pt idx="352">
                        <c:v>44602</c:v>
                      </c:pt>
                      <c:pt idx="353">
                        <c:v>44603</c:v>
                      </c:pt>
                      <c:pt idx="354">
                        <c:v>44606</c:v>
                      </c:pt>
                      <c:pt idx="355">
                        <c:v>44607</c:v>
                      </c:pt>
                      <c:pt idx="356">
                        <c:v>44608</c:v>
                      </c:pt>
                      <c:pt idx="357">
                        <c:v>44609</c:v>
                      </c:pt>
                      <c:pt idx="358">
                        <c:v>44610</c:v>
                      </c:pt>
                      <c:pt idx="359">
                        <c:v>44613</c:v>
                      </c:pt>
                      <c:pt idx="360">
                        <c:v>44614</c:v>
                      </c:pt>
                      <c:pt idx="361">
                        <c:v>44615</c:v>
                      </c:pt>
                      <c:pt idx="362">
                        <c:v>44616</c:v>
                      </c:pt>
                      <c:pt idx="363">
                        <c:v>44617</c:v>
                      </c:pt>
                      <c:pt idx="364">
                        <c:v>44620</c:v>
                      </c:pt>
                      <c:pt idx="365">
                        <c:v>44621</c:v>
                      </c:pt>
                      <c:pt idx="366">
                        <c:v>44622</c:v>
                      </c:pt>
                      <c:pt idx="367">
                        <c:v>44623</c:v>
                      </c:pt>
                      <c:pt idx="368">
                        <c:v>44624</c:v>
                      </c:pt>
                      <c:pt idx="369">
                        <c:v>44627</c:v>
                      </c:pt>
                      <c:pt idx="370">
                        <c:v>44628</c:v>
                      </c:pt>
                      <c:pt idx="371">
                        <c:v>44629</c:v>
                      </c:pt>
                      <c:pt idx="372">
                        <c:v>44630</c:v>
                      </c:pt>
                      <c:pt idx="373">
                        <c:v>44631</c:v>
                      </c:pt>
                      <c:pt idx="374">
                        <c:v>44634</c:v>
                      </c:pt>
                      <c:pt idx="375">
                        <c:v>44635</c:v>
                      </c:pt>
                      <c:pt idx="376">
                        <c:v>44636</c:v>
                      </c:pt>
                      <c:pt idx="377">
                        <c:v>44637</c:v>
                      </c:pt>
                      <c:pt idx="378">
                        <c:v>44638</c:v>
                      </c:pt>
                      <c:pt idx="379">
                        <c:v>44641</c:v>
                      </c:pt>
                      <c:pt idx="380">
                        <c:v>44642</c:v>
                      </c:pt>
                      <c:pt idx="381">
                        <c:v>44643</c:v>
                      </c:pt>
                      <c:pt idx="382">
                        <c:v>44644</c:v>
                      </c:pt>
                      <c:pt idx="383">
                        <c:v>44645</c:v>
                      </c:pt>
                      <c:pt idx="384">
                        <c:v>44648</c:v>
                      </c:pt>
                      <c:pt idx="385">
                        <c:v>44649</c:v>
                      </c:pt>
                      <c:pt idx="386">
                        <c:v>44650</c:v>
                      </c:pt>
                      <c:pt idx="387">
                        <c:v>44651</c:v>
                      </c:pt>
                      <c:pt idx="388">
                        <c:v>44652</c:v>
                      </c:pt>
                      <c:pt idx="389">
                        <c:v>44655</c:v>
                      </c:pt>
                      <c:pt idx="390">
                        <c:v>44656</c:v>
                      </c:pt>
                      <c:pt idx="391">
                        <c:v>44657</c:v>
                      </c:pt>
                      <c:pt idx="392">
                        <c:v>44658</c:v>
                      </c:pt>
                      <c:pt idx="393">
                        <c:v>44659</c:v>
                      </c:pt>
                      <c:pt idx="394">
                        <c:v>44663</c:v>
                      </c:pt>
                      <c:pt idx="395">
                        <c:v>44664</c:v>
                      </c:pt>
                      <c:pt idx="396">
                        <c:v>44665</c:v>
                      </c:pt>
                      <c:pt idx="397">
                        <c:v>44666</c:v>
                      </c:pt>
                      <c:pt idx="398">
                        <c:v>44669</c:v>
                      </c:pt>
                      <c:pt idx="399">
                        <c:v>44670</c:v>
                      </c:pt>
                      <c:pt idx="400">
                        <c:v>44671</c:v>
                      </c:pt>
                      <c:pt idx="401">
                        <c:v>44672</c:v>
                      </c:pt>
                      <c:pt idx="402">
                        <c:v>44673</c:v>
                      </c:pt>
                      <c:pt idx="403">
                        <c:v>44676</c:v>
                      </c:pt>
                      <c:pt idx="404">
                        <c:v>44677</c:v>
                      </c:pt>
                      <c:pt idx="405">
                        <c:v>44678</c:v>
                      </c:pt>
                      <c:pt idx="406">
                        <c:v>44679</c:v>
                      </c:pt>
                      <c:pt idx="407">
                        <c:v>44680</c:v>
                      </c:pt>
                      <c:pt idx="408">
                        <c:v>44685</c:v>
                      </c:pt>
                      <c:pt idx="409">
                        <c:v>44686</c:v>
                      </c:pt>
                      <c:pt idx="410">
                        <c:v>44687</c:v>
                      </c:pt>
                      <c:pt idx="411">
                        <c:v>44690</c:v>
                      </c:pt>
                      <c:pt idx="412">
                        <c:v>44691</c:v>
                      </c:pt>
                      <c:pt idx="413">
                        <c:v>44692</c:v>
                      </c:pt>
                      <c:pt idx="414">
                        <c:v>44693</c:v>
                      </c:pt>
                      <c:pt idx="415">
                        <c:v>44694</c:v>
                      </c:pt>
                      <c:pt idx="416">
                        <c:v>44697</c:v>
                      </c:pt>
                      <c:pt idx="417">
                        <c:v>44698</c:v>
                      </c:pt>
                      <c:pt idx="418">
                        <c:v>44699</c:v>
                      </c:pt>
                      <c:pt idx="419">
                        <c:v>44700</c:v>
                      </c:pt>
                      <c:pt idx="420">
                        <c:v>44701</c:v>
                      </c:pt>
                      <c:pt idx="421">
                        <c:v>44704</c:v>
                      </c:pt>
                      <c:pt idx="422">
                        <c:v>44705</c:v>
                      </c:pt>
                      <c:pt idx="423">
                        <c:v>44706</c:v>
                      </c:pt>
                      <c:pt idx="424">
                        <c:v>44707</c:v>
                      </c:pt>
                      <c:pt idx="425">
                        <c:v>44708</c:v>
                      </c:pt>
                      <c:pt idx="426">
                        <c:v>44711</c:v>
                      </c:pt>
                      <c:pt idx="427">
                        <c:v>44712</c:v>
                      </c:pt>
                      <c:pt idx="428">
                        <c:v>44713</c:v>
                      </c:pt>
                      <c:pt idx="429">
                        <c:v>44714</c:v>
                      </c:pt>
                      <c:pt idx="430">
                        <c:v>44715</c:v>
                      </c:pt>
                      <c:pt idx="431">
                        <c:v>44718</c:v>
                      </c:pt>
                      <c:pt idx="432">
                        <c:v>44719</c:v>
                      </c:pt>
                      <c:pt idx="433">
                        <c:v>44720</c:v>
                      </c:pt>
                      <c:pt idx="434">
                        <c:v>44721</c:v>
                      </c:pt>
                      <c:pt idx="435">
                        <c:v>44722</c:v>
                      </c:pt>
                      <c:pt idx="436">
                        <c:v>44725</c:v>
                      </c:pt>
                      <c:pt idx="437">
                        <c:v>44726</c:v>
                      </c:pt>
                      <c:pt idx="438">
                        <c:v>44727</c:v>
                      </c:pt>
                      <c:pt idx="439">
                        <c:v>44728</c:v>
                      </c:pt>
                      <c:pt idx="440">
                        <c:v>44729</c:v>
                      </c:pt>
                      <c:pt idx="441">
                        <c:v>44732</c:v>
                      </c:pt>
                      <c:pt idx="442">
                        <c:v>44733</c:v>
                      </c:pt>
                      <c:pt idx="443">
                        <c:v>44734</c:v>
                      </c:pt>
                      <c:pt idx="444">
                        <c:v>44735</c:v>
                      </c:pt>
                      <c:pt idx="445">
                        <c:v>44736</c:v>
                      </c:pt>
                      <c:pt idx="446">
                        <c:v>44739</c:v>
                      </c:pt>
                      <c:pt idx="447">
                        <c:v>44740</c:v>
                      </c:pt>
                      <c:pt idx="448">
                        <c:v>44741</c:v>
                      </c:pt>
                      <c:pt idx="449">
                        <c:v>44742</c:v>
                      </c:pt>
                      <c:pt idx="450">
                        <c:v>44743</c:v>
                      </c:pt>
                      <c:pt idx="451">
                        <c:v>44746</c:v>
                      </c:pt>
                      <c:pt idx="452">
                        <c:v>44747</c:v>
                      </c:pt>
                      <c:pt idx="453">
                        <c:v>44748</c:v>
                      </c:pt>
                      <c:pt idx="454">
                        <c:v>44749</c:v>
                      </c:pt>
                      <c:pt idx="455">
                        <c:v>44750</c:v>
                      </c:pt>
                      <c:pt idx="456">
                        <c:v>44753</c:v>
                      </c:pt>
                      <c:pt idx="457">
                        <c:v>44754</c:v>
                      </c:pt>
                      <c:pt idx="458">
                        <c:v>44755</c:v>
                      </c:pt>
                      <c:pt idx="459">
                        <c:v>44756</c:v>
                      </c:pt>
                      <c:pt idx="460">
                        <c:v>44757</c:v>
                      </c:pt>
                      <c:pt idx="461">
                        <c:v>44760</c:v>
                      </c:pt>
                      <c:pt idx="462">
                        <c:v>44761</c:v>
                      </c:pt>
                      <c:pt idx="463">
                        <c:v>44762</c:v>
                      </c:pt>
                      <c:pt idx="464">
                        <c:v>44763</c:v>
                      </c:pt>
                      <c:pt idx="465">
                        <c:v>44764</c:v>
                      </c:pt>
                      <c:pt idx="466">
                        <c:v>44767</c:v>
                      </c:pt>
                      <c:pt idx="467">
                        <c:v>44768</c:v>
                      </c:pt>
                      <c:pt idx="468">
                        <c:v>44769</c:v>
                      </c:pt>
                      <c:pt idx="469">
                        <c:v>44770</c:v>
                      </c:pt>
                      <c:pt idx="470">
                        <c:v>44771</c:v>
                      </c:pt>
                      <c:pt idx="471">
                        <c:v>44774</c:v>
                      </c:pt>
                      <c:pt idx="472">
                        <c:v>44775</c:v>
                      </c:pt>
                      <c:pt idx="473">
                        <c:v>44776</c:v>
                      </c:pt>
                      <c:pt idx="474">
                        <c:v>44777</c:v>
                      </c:pt>
                      <c:pt idx="475">
                        <c:v>44778</c:v>
                      </c:pt>
                      <c:pt idx="476">
                        <c:v>44781</c:v>
                      </c:pt>
                      <c:pt idx="477">
                        <c:v>44782</c:v>
                      </c:pt>
                      <c:pt idx="478">
                        <c:v>44783</c:v>
                      </c:pt>
                      <c:pt idx="479">
                        <c:v>44784</c:v>
                      </c:pt>
                      <c:pt idx="480">
                        <c:v>44785</c:v>
                      </c:pt>
                      <c:pt idx="481">
                        <c:v>44788</c:v>
                      </c:pt>
                      <c:pt idx="482">
                        <c:v>44789</c:v>
                      </c:pt>
                      <c:pt idx="483">
                        <c:v>44790</c:v>
                      </c:pt>
                      <c:pt idx="484">
                        <c:v>44791</c:v>
                      </c:pt>
                      <c:pt idx="485">
                        <c:v>44792</c:v>
                      </c:pt>
                      <c:pt idx="486">
                        <c:v>44795</c:v>
                      </c:pt>
                      <c:pt idx="487">
                        <c:v>44796</c:v>
                      </c:pt>
                      <c:pt idx="488">
                        <c:v>44797</c:v>
                      </c:pt>
                      <c:pt idx="489">
                        <c:v>44798</c:v>
                      </c:pt>
                      <c:pt idx="490">
                        <c:v>44799</c:v>
                      </c:pt>
                      <c:pt idx="491">
                        <c:v>44802</c:v>
                      </c:pt>
                      <c:pt idx="492">
                        <c:v>44803</c:v>
                      </c:pt>
                      <c:pt idx="493">
                        <c:v>44804</c:v>
                      </c:pt>
                      <c:pt idx="494">
                        <c:v>44809</c:v>
                      </c:pt>
                      <c:pt idx="495">
                        <c:v>44810</c:v>
                      </c:pt>
                      <c:pt idx="496">
                        <c:v>44811</c:v>
                      </c:pt>
                      <c:pt idx="497">
                        <c:v>44812</c:v>
                      </c:pt>
                      <c:pt idx="498">
                        <c:v>44813</c:v>
                      </c:pt>
                      <c:pt idx="499">
                        <c:v>44816</c:v>
                      </c:pt>
                      <c:pt idx="500">
                        <c:v>44817</c:v>
                      </c:pt>
                      <c:pt idx="501">
                        <c:v>44818</c:v>
                      </c:pt>
                      <c:pt idx="502">
                        <c:v>44819</c:v>
                      </c:pt>
                      <c:pt idx="503">
                        <c:v>44820</c:v>
                      </c:pt>
                      <c:pt idx="504">
                        <c:v>44823</c:v>
                      </c:pt>
                      <c:pt idx="505">
                        <c:v>44824</c:v>
                      </c:pt>
                      <c:pt idx="506">
                        <c:v>44825</c:v>
                      </c:pt>
                      <c:pt idx="507">
                        <c:v>44826</c:v>
                      </c:pt>
                      <c:pt idx="508">
                        <c:v>44827</c:v>
                      </c:pt>
                      <c:pt idx="509">
                        <c:v>44830</c:v>
                      </c:pt>
                      <c:pt idx="510">
                        <c:v>44831</c:v>
                      </c:pt>
                      <c:pt idx="511">
                        <c:v>44832</c:v>
                      </c:pt>
                      <c:pt idx="512">
                        <c:v>44833</c:v>
                      </c:pt>
                      <c:pt idx="513">
                        <c:v>44834</c:v>
                      </c:pt>
                      <c:pt idx="514">
                        <c:v>44837</c:v>
                      </c:pt>
                      <c:pt idx="515">
                        <c:v>44838</c:v>
                      </c:pt>
                      <c:pt idx="516">
                        <c:v>44839</c:v>
                      </c:pt>
                      <c:pt idx="517">
                        <c:v>44840</c:v>
                      </c:pt>
                      <c:pt idx="518">
                        <c:v>44841</c:v>
                      </c:pt>
                      <c:pt idx="519">
                        <c:v>44844</c:v>
                      </c:pt>
                      <c:pt idx="520">
                        <c:v>44845</c:v>
                      </c:pt>
                      <c:pt idx="521">
                        <c:v>44846</c:v>
                      </c:pt>
                      <c:pt idx="522">
                        <c:v>44847</c:v>
                      </c:pt>
                      <c:pt idx="523">
                        <c:v>44848</c:v>
                      </c:pt>
                      <c:pt idx="524">
                        <c:v>44851</c:v>
                      </c:pt>
                      <c:pt idx="525">
                        <c:v>44852</c:v>
                      </c:pt>
                      <c:pt idx="526">
                        <c:v>44853</c:v>
                      </c:pt>
                      <c:pt idx="527">
                        <c:v>44854</c:v>
                      </c:pt>
                      <c:pt idx="528">
                        <c:v>44855</c:v>
                      </c:pt>
                      <c:pt idx="529">
                        <c:v>44858</c:v>
                      </c:pt>
                      <c:pt idx="530">
                        <c:v>44859</c:v>
                      </c:pt>
                      <c:pt idx="531">
                        <c:v>44860</c:v>
                      </c:pt>
                      <c:pt idx="532">
                        <c:v>44861</c:v>
                      </c:pt>
                      <c:pt idx="533">
                        <c:v>44862</c:v>
                      </c:pt>
                      <c:pt idx="534">
                        <c:v>44865</c:v>
                      </c:pt>
                      <c:pt idx="535">
                        <c:v>44866</c:v>
                      </c:pt>
                      <c:pt idx="536">
                        <c:v>44867</c:v>
                      </c:pt>
                      <c:pt idx="537">
                        <c:v>44868</c:v>
                      </c:pt>
                      <c:pt idx="538">
                        <c:v>44869</c:v>
                      </c:pt>
                      <c:pt idx="539">
                        <c:v>44872</c:v>
                      </c:pt>
                      <c:pt idx="540">
                        <c:v>44873</c:v>
                      </c:pt>
                      <c:pt idx="541">
                        <c:v>44874</c:v>
                      </c:pt>
                      <c:pt idx="542">
                        <c:v>44875</c:v>
                      </c:pt>
                      <c:pt idx="543">
                        <c:v>44876</c:v>
                      </c:pt>
                      <c:pt idx="544">
                        <c:v>44879</c:v>
                      </c:pt>
                      <c:pt idx="545">
                        <c:v>44880</c:v>
                      </c:pt>
                      <c:pt idx="546">
                        <c:v>44881</c:v>
                      </c:pt>
                      <c:pt idx="547">
                        <c:v>44882</c:v>
                      </c:pt>
                      <c:pt idx="548">
                        <c:v>44883</c:v>
                      </c:pt>
                      <c:pt idx="549">
                        <c:v>44886</c:v>
                      </c:pt>
                      <c:pt idx="550">
                        <c:v>44887</c:v>
                      </c:pt>
                      <c:pt idx="551">
                        <c:v>44888</c:v>
                      </c:pt>
                      <c:pt idx="552">
                        <c:v>44889</c:v>
                      </c:pt>
                      <c:pt idx="553">
                        <c:v>44890</c:v>
                      </c:pt>
                      <c:pt idx="554">
                        <c:v>44893</c:v>
                      </c:pt>
                      <c:pt idx="555">
                        <c:v>44894</c:v>
                      </c:pt>
                      <c:pt idx="556">
                        <c:v>44895</c:v>
                      </c:pt>
                      <c:pt idx="557">
                        <c:v>44896</c:v>
                      </c:pt>
                      <c:pt idx="558">
                        <c:v>44897</c:v>
                      </c:pt>
                      <c:pt idx="559">
                        <c:v>44900</c:v>
                      </c:pt>
                      <c:pt idx="560">
                        <c:v>44901</c:v>
                      </c:pt>
                      <c:pt idx="561">
                        <c:v>44902</c:v>
                      </c:pt>
                      <c:pt idx="562">
                        <c:v>44903</c:v>
                      </c:pt>
                      <c:pt idx="563">
                        <c:v>44904</c:v>
                      </c:pt>
                      <c:pt idx="564">
                        <c:v>44907</c:v>
                      </c:pt>
                      <c:pt idx="565">
                        <c:v>44908</c:v>
                      </c:pt>
                      <c:pt idx="566">
                        <c:v>44909</c:v>
                      </c:pt>
                      <c:pt idx="567">
                        <c:v>44910</c:v>
                      </c:pt>
                      <c:pt idx="568">
                        <c:v>44911</c:v>
                      </c:pt>
                      <c:pt idx="569">
                        <c:v>44914</c:v>
                      </c:pt>
                      <c:pt idx="570">
                        <c:v>44915</c:v>
                      </c:pt>
                      <c:pt idx="571">
                        <c:v>44916</c:v>
                      </c:pt>
                      <c:pt idx="572">
                        <c:v>44917</c:v>
                      </c:pt>
                      <c:pt idx="573">
                        <c:v>44918</c:v>
                      </c:pt>
                      <c:pt idx="574">
                        <c:v>44921</c:v>
                      </c:pt>
                      <c:pt idx="575">
                        <c:v>44922</c:v>
                      </c:pt>
                      <c:pt idx="576">
                        <c:v>44923</c:v>
                      </c:pt>
                      <c:pt idx="577">
                        <c:v>44924</c:v>
                      </c:pt>
                      <c:pt idx="578">
                        <c:v>44925</c:v>
                      </c:pt>
                      <c:pt idx="579">
                        <c:v>44929</c:v>
                      </c:pt>
                      <c:pt idx="580">
                        <c:v>44930</c:v>
                      </c:pt>
                      <c:pt idx="581">
                        <c:v>44931</c:v>
                      </c:pt>
                      <c:pt idx="582">
                        <c:v>44932</c:v>
                      </c:pt>
                      <c:pt idx="583">
                        <c:v>44935</c:v>
                      </c:pt>
                      <c:pt idx="584">
                        <c:v>44936</c:v>
                      </c:pt>
                      <c:pt idx="585">
                        <c:v>44937</c:v>
                      </c:pt>
                      <c:pt idx="586">
                        <c:v>44938</c:v>
                      </c:pt>
                      <c:pt idx="587">
                        <c:v>44939</c:v>
                      </c:pt>
                      <c:pt idx="588">
                        <c:v>44942</c:v>
                      </c:pt>
                      <c:pt idx="589">
                        <c:v>44943</c:v>
                      </c:pt>
                      <c:pt idx="590">
                        <c:v>44944</c:v>
                      </c:pt>
                      <c:pt idx="591">
                        <c:v>44945</c:v>
                      </c:pt>
                      <c:pt idx="592">
                        <c:v>44953</c:v>
                      </c:pt>
                      <c:pt idx="593">
                        <c:v>44956</c:v>
                      </c:pt>
                      <c:pt idx="594">
                        <c:v>44957</c:v>
                      </c:pt>
                      <c:pt idx="595">
                        <c:v>44958</c:v>
                      </c:pt>
                      <c:pt idx="596">
                        <c:v>44959</c:v>
                      </c:pt>
                      <c:pt idx="597">
                        <c:v>44960</c:v>
                      </c:pt>
                      <c:pt idx="598">
                        <c:v>44963</c:v>
                      </c:pt>
                      <c:pt idx="599">
                        <c:v>44964</c:v>
                      </c:pt>
                      <c:pt idx="600">
                        <c:v>44965</c:v>
                      </c:pt>
                      <c:pt idx="601">
                        <c:v>44966</c:v>
                      </c:pt>
                      <c:pt idx="602">
                        <c:v>44967</c:v>
                      </c:pt>
                      <c:pt idx="603">
                        <c:v>44970</c:v>
                      </c:pt>
                      <c:pt idx="604">
                        <c:v>44971</c:v>
                      </c:pt>
                      <c:pt idx="605">
                        <c:v>44972</c:v>
                      </c:pt>
                      <c:pt idx="606">
                        <c:v>44973</c:v>
                      </c:pt>
                      <c:pt idx="607">
                        <c:v>44974</c:v>
                      </c:pt>
                      <c:pt idx="608">
                        <c:v>44977</c:v>
                      </c:pt>
                      <c:pt idx="609">
                        <c:v>44978</c:v>
                      </c:pt>
                      <c:pt idx="610">
                        <c:v>44979</c:v>
                      </c:pt>
                      <c:pt idx="611">
                        <c:v>44980</c:v>
                      </c:pt>
                      <c:pt idx="612">
                        <c:v>44981</c:v>
                      </c:pt>
                      <c:pt idx="613">
                        <c:v>44984</c:v>
                      </c:pt>
                      <c:pt idx="614">
                        <c:v>44985</c:v>
                      </c:pt>
                      <c:pt idx="615">
                        <c:v>44986</c:v>
                      </c:pt>
                      <c:pt idx="616">
                        <c:v>44987</c:v>
                      </c:pt>
                      <c:pt idx="617">
                        <c:v>44988</c:v>
                      </c:pt>
                      <c:pt idx="618">
                        <c:v>44991</c:v>
                      </c:pt>
                      <c:pt idx="619">
                        <c:v>44992</c:v>
                      </c:pt>
                      <c:pt idx="620">
                        <c:v>44993</c:v>
                      </c:pt>
                      <c:pt idx="621">
                        <c:v>44994</c:v>
                      </c:pt>
                      <c:pt idx="622">
                        <c:v>44995</c:v>
                      </c:pt>
                      <c:pt idx="623">
                        <c:v>44998</c:v>
                      </c:pt>
                      <c:pt idx="624">
                        <c:v>44999</c:v>
                      </c:pt>
                      <c:pt idx="625">
                        <c:v>45000</c:v>
                      </c:pt>
                      <c:pt idx="626">
                        <c:v>45001</c:v>
                      </c:pt>
                      <c:pt idx="627">
                        <c:v>45002</c:v>
                      </c:pt>
                      <c:pt idx="628">
                        <c:v>45005</c:v>
                      </c:pt>
                      <c:pt idx="629">
                        <c:v>45006</c:v>
                      </c:pt>
                      <c:pt idx="630">
                        <c:v>45007</c:v>
                      </c:pt>
                      <c:pt idx="631">
                        <c:v>45008</c:v>
                      </c:pt>
                      <c:pt idx="632">
                        <c:v>45009</c:v>
                      </c:pt>
                      <c:pt idx="633">
                        <c:v>45012</c:v>
                      </c:pt>
                      <c:pt idx="634">
                        <c:v>45013</c:v>
                      </c:pt>
                      <c:pt idx="635">
                        <c:v>45014</c:v>
                      </c:pt>
                      <c:pt idx="636">
                        <c:v>45015</c:v>
                      </c:pt>
                      <c:pt idx="637">
                        <c:v>45016</c:v>
                      </c:pt>
                      <c:pt idx="638">
                        <c:v>45019</c:v>
                      </c:pt>
                      <c:pt idx="639">
                        <c:v>45020</c:v>
                      </c:pt>
                      <c:pt idx="640">
                        <c:v>45021</c:v>
                      </c:pt>
                      <c:pt idx="641">
                        <c:v>45022</c:v>
                      </c:pt>
                      <c:pt idx="642">
                        <c:v>45023</c:v>
                      </c:pt>
                      <c:pt idx="643">
                        <c:v>45026</c:v>
                      </c:pt>
                      <c:pt idx="644">
                        <c:v>45027</c:v>
                      </c:pt>
                      <c:pt idx="645">
                        <c:v>45028</c:v>
                      </c:pt>
                      <c:pt idx="646">
                        <c:v>45029</c:v>
                      </c:pt>
                      <c:pt idx="647">
                        <c:v>45030</c:v>
                      </c:pt>
                      <c:pt idx="648">
                        <c:v>45033</c:v>
                      </c:pt>
                      <c:pt idx="649">
                        <c:v>45034</c:v>
                      </c:pt>
                      <c:pt idx="650">
                        <c:v>45035</c:v>
                      </c:pt>
                      <c:pt idx="651">
                        <c:v>45036</c:v>
                      </c:pt>
                      <c:pt idx="652">
                        <c:v>45037</c:v>
                      </c:pt>
                      <c:pt idx="653">
                        <c:v>45040</c:v>
                      </c:pt>
                      <c:pt idx="654">
                        <c:v>45041</c:v>
                      </c:pt>
                      <c:pt idx="655">
                        <c:v>45042</c:v>
                      </c:pt>
                      <c:pt idx="656">
                        <c:v>45043</c:v>
                      </c:pt>
                      <c:pt idx="657">
                        <c:v>45044</c:v>
                      </c:pt>
                      <c:pt idx="658">
                        <c:v>45050</c:v>
                      </c:pt>
                      <c:pt idx="659">
                        <c:v>45051</c:v>
                      </c:pt>
                      <c:pt idx="660">
                        <c:v>45054</c:v>
                      </c:pt>
                      <c:pt idx="661">
                        <c:v>45055</c:v>
                      </c:pt>
                      <c:pt idx="662">
                        <c:v>45056</c:v>
                      </c:pt>
                      <c:pt idx="663">
                        <c:v>45057</c:v>
                      </c:pt>
                      <c:pt idx="664">
                        <c:v>45058</c:v>
                      </c:pt>
                      <c:pt idx="665">
                        <c:v>45061</c:v>
                      </c:pt>
                      <c:pt idx="666">
                        <c:v>45062</c:v>
                      </c:pt>
                      <c:pt idx="667">
                        <c:v>45063</c:v>
                      </c:pt>
                      <c:pt idx="668">
                        <c:v>45064</c:v>
                      </c:pt>
                      <c:pt idx="669">
                        <c:v>45065</c:v>
                      </c:pt>
                      <c:pt idx="670">
                        <c:v>45068</c:v>
                      </c:pt>
                      <c:pt idx="671">
                        <c:v>45069</c:v>
                      </c:pt>
                      <c:pt idx="672">
                        <c:v>45070</c:v>
                      </c:pt>
                      <c:pt idx="673">
                        <c:v>45071</c:v>
                      </c:pt>
                      <c:pt idx="674">
                        <c:v>45072</c:v>
                      </c:pt>
                      <c:pt idx="675">
                        <c:v>45075</c:v>
                      </c:pt>
                      <c:pt idx="676">
                        <c:v>45076</c:v>
                      </c:pt>
                      <c:pt idx="677">
                        <c:v>45077</c:v>
                      </c:pt>
                      <c:pt idx="678">
                        <c:v>45078</c:v>
                      </c:pt>
                      <c:pt idx="679">
                        <c:v>45079</c:v>
                      </c:pt>
                      <c:pt idx="680">
                        <c:v>45082</c:v>
                      </c:pt>
                      <c:pt idx="681">
                        <c:v>45083</c:v>
                      </c:pt>
                      <c:pt idx="682">
                        <c:v>45084</c:v>
                      </c:pt>
                      <c:pt idx="683">
                        <c:v>45085</c:v>
                      </c:pt>
                      <c:pt idx="684">
                        <c:v>45086</c:v>
                      </c:pt>
                      <c:pt idx="685">
                        <c:v>45089</c:v>
                      </c:pt>
                      <c:pt idx="686">
                        <c:v>45090</c:v>
                      </c:pt>
                      <c:pt idx="687">
                        <c:v>45091</c:v>
                      </c:pt>
                      <c:pt idx="688">
                        <c:v>45092</c:v>
                      </c:pt>
                      <c:pt idx="689">
                        <c:v>45093</c:v>
                      </c:pt>
                      <c:pt idx="690">
                        <c:v>45096</c:v>
                      </c:pt>
                      <c:pt idx="691">
                        <c:v>45097</c:v>
                      </c:pt>
                      <c:pt idx="692">
                        <c:v>45098</c:v>
                      </c:pt>
                      <c:pt idx="693">
                        <c:v>45099</c:v>
                      </c:pt>
                      <c:pt idx="694">
                        <c:v>45100</c:v>
                      </c:pt>
                      <c:pt idx="695">
                        <c:v>45103</c:v>
                      </c:pt>
                      <c:pt idx="696">
                        <c:v>45104</c:v>
                      </c:pt>
                      <c:pt idx="697">
                        <c:v>45105</c:v>
                      </c:pt>
                      <c:pt idx="698">
                        <c:v>45106</c:v>
                      </c:pt>
                      <c:pt idx="699">
                        <c:v>45107</c:v>
                      </c:pt>
                      <c:pt idx="700">
                        <c:v>45110</c:v>
                      </c:pt>
                      <c:pt idx="701">
                        <c:v>45111</c:v>
                      </c:pt>
                      <c:pt idx="702">
                        <c:v>45112</c:v>
                      </c:pt>
                      <c:pt idx="703">
                        <c:v>45113</c:v>
                      </c:pt>
                      <c:pt idx="704">
                        <c:v>45114</c:v>
                      </c:pt>
                      <c:pt idx="705">
                        <c:v>45117</c:v>
                      </c:pt>
                      <c:pt idx="706">
                        <c:v>45118</c:v>
                      </c:pt>
                      <c:pt idx="707">
                        <c:v>45119</c:v>
                      </c:pt>
                      <c:pt idx="708">
                        <c:v>45120</c:v>
                      </c:pt>
                      <c:pt idx="709">
                        <c:v>45121</c:v>
                      </c:pt>
                      <c:pt idx="710">
                        <c:v>45124</c:v>
                      </c:pt>
                      <c:pt idx="711">
                        <c:v>45125</c:v>
                      </c:pt>
                      <c:pt idx="712">
                        <c:v>45126</c:v>
                      </c:pt>
                      <c:pt idx="713">
                        <c:v>45127</c:v>
                      </c:pt>
                      <c:pt idx="714">
                        <c:v>45128</c:v>
                      </c:pt>
                      <c:pt idx="715">
                        <c:v>45131</c:v>
                      </c:pt>
                      <c:pt idx="716">
                        <c:v>45132</c:v>
                      </c:pt>
                      <c:pt idx="717">
                        <c:v>45133</c:v>
                      </c:pt>
                      <c:pt idx="718">
                        <c:v>45134</c:v>
                      </c:pt>
                      <c:pt idx="719">
                        <c:v>45135</c:v>
                      </c:pt>
                      <c:pt idx="720">
                        <c:v>45138</c:v>
                      </c:pt>
                      <c:pt idx="721">
                        <c:v>45139</c:v>
                      </c:pt>
                      <c:pt idx="722">
                        <c:v>45140</c:v>
                      </c:pt>
                      <c:pt idx="723">
                        <c:v>45141</c:v>
                      </c:pt>
                      <c:pt idx="724">
                        <c:v>45142</c:v>
                      </c:pt>
                      <c:pt idx="725">
                        <c:v>45145</c:v>
                      </c:pt>
                      <c:pt idx="726">
                        <c:v>45146</c:v>
                      </c:pt>
                      <c:pt idx="727">
                        <c:v>45147</c:v>
                      </c:pt>
                      <c:pt idx="728">
                        <c:v>45148</c:v>
                      </c:pt>
                      <c:pt idx="729">
                        <c:v>45149</c:v>
                      </c:pt>
                      <c:pt idx="730">
                        <c:v>45152</c:v>
                      </c:pt>
                      <c:pt idx="731">
                        <c:v>45153</c:v>
                      </c:pt>
                      <c:pt idx="732">
                        <c:v>45154</c:v>
                      </c:pt>
                      <c:pt idx="733">
                        <c:v>45155</c:v>
                      </c:pt>
                      <c:pt idx="734">
                        <c:v>45156</c:v>
                      </c:pt>
                      <c:pt idx="735">
                        <c:v>45159</c:v>
                      </c:pt>
                      <c:pt idx="736">
                        <c:v>45160</c:v>
                      </c:pt>
                      <c:pt idx="737">
                        <c:v>45161</c:v>
                      </c:pt>
                      <c:pt idx="738">
                        <c:v>45162</c:v>
                      </c:pt>
                      <c:pt idx="739">
                        <c:v>45163</c:v>
                      </c:pt>
                      <c:pt idx="740">
                        <c:v>45166</c:v>
                      </c:pt>
                      <c:pt idx="741">
                        <c:v>45167</c:v>
                      </c:pt>
                      <c:pt idx="742">
                        <c:v>45168</c:v>
                      </c:pt>
                      <c:pt idx="743">
                        <c:v>45169</c:v>
                      </c:pt>
                      <c:pt idx="744">
                        <c:v>45174</c:v>
                      </c:pt>
                      <c:pt idx="745">
                        <c:v>45175</c:v>
                      </c:pt>
                      <c:pt idx="746">
                        <c:v>45176</c:v>
                      </c:pt>
                      <c:pt idx="747">
                        <c:v>45177</c:v>
                      </c:pt>
                      <c:pt idx="748">
                        <c:v>45180</c:v>
                      </c:pt>
                      <c:pt idx="749">
                        <c:v>45181</c:v>
                      </c:pt>
                      <c:pt idx="750">
                        <c:v>45182</c:v>
                      </c:pt>
                      <c:pt idx="751">
                        <c:v>45183</c:v>
                      </c:pt>
                      <c:pt idx="752">
                        <c:v>45184</c:v>
                      </c:pt>
                      <c:pt idx="753">
                        <c:v>45187</c:v>
                      </c:pt>
                      <c:pt idx="754">
                        <c:v>45188</c:v>
                      </c:pt>
                      <c:pt idx="755">
                        <c:v>45189</c:v>
                      </c:pt>
                      <c:pt idx="756">
                        <c:v>45190</c:v>
                      </c:pt>
                      <c:pt idx="757">
                        <c:v>45191</c:v>
                      </c:pt>
                      <c:pt idx="758">
                        <c:v>45194</c:v>
                      </c:pt>
                      <c:pt idx="759">
                        <c:v>45195</c:v>
                      </c:pt>
                      <c:pt idx="760">
                        <c:v>45196</c:v>
                      </c:pt>
                      <c:pt idx="761">
                        <c:v>45197</c:v>
                      </c:pt>
                      <c:pt idx="762">
                        <c:v>45198</c:v>
                      </c:pt>
                      <c:pt idx="763">
                        <c:v>45201</c:v>
                      </c:pt>
                      <c:pt idx="764">
                        <c:v>45202</c:v>
                      </c:pt>
                      <c:pt idx="765">
                        <c:v>45203</c:v>
                      </c:pt>
                      <c:pt idx="766">
                        <c:v>45204</c:v>
                      </c:pt>
                      <c:pt idx="767">
                        <c:v>45205</c:v>
                      </c:pt>
                      <c:pt idx="768">
                        <c:v>45208</c:v>
                      </c:pt>
                      <c:pt idx="769">
                        <c:v>45209</c:v>
                      </c:pt>
                      <c:pt idx="770">
                        <c:v>45210</c:v>
                      </c:pt>
                      <c:pt idx="771">
                        <c:v>45211</c:v>
                      </c:pt>
                      <c:pt idx="772">
                        <c:v>45212</c:v>
                      </c:pt>
                      <c:pt idx="773">
                        <c:v>45215</c:v>
                      </c:pt>
                      <c:pt idx="774">
                        <c:v>45216</c:v>
                      </c:pt>
                      <c:pt idx="775">
                        <c:v>45217</c:v>
                      </c:pt>
                      <c:pt idx="776">
                        <c:v>45218</c:v>
                      </c:pt>
                      <c:pt idx="777">
                        <c:v>45219</c:v>
                      </c:pt>
                      <c:pt idx="778">
                        <c:v>45222</c:v>
                      </c:pt>
                      <c:pt idx="779">
                        <c:v>45223</c:v>
                      </c:pt>
                      <c:pt idx="780">
                        <c:v>45224</c:v>
                      </c:pt>
                      <c:pt idx="781">
                        <c:v>45225</c:v>
                      </c:pt>
                      <c:pt idx="782">
                        <c:v>45226</c:v>
                      </c:pt>
                      <c:pt idx="783">
                        <c:v>45229</c:v>
                      </c:pt>
                      <c:pt idx="784">
                        <c:v>45230</c:v>
                      </c:pt>
                      <c:pt idx="785">
                        <c:v>45231</c:v>
                      </c:pt>
                      <c:pt idx="786">
                        <c:v>45232</c:v>
                      </c:pt>
                      <c:pt idx="787">
                        <c:v>45233</c:v>
                      </c:pt>
                      <c:pt idx="788">
                        <c:v>45236</c:v>
                      </c:pt>
                      <c:pt idx="789">
                        <c:v>45237</c:v>
                      </c:pt>
                      <c:pt idx="790">
                        <c:v>45238</c:v>
                      </c:pt>
                      <c:pt idx="791">
                        <c:v>45239</c:v>
                      </c:pt>
                      <c:pt idx="792">
                        <c:v>45240</c:v>
                      </c:pt>
                      <c:pt idx="793">
                        <c:v>45243</c:v>
                      </c:pt>
                      <c:pt idx="794">
                        <c:v>45244</c:v>
                      </c:pt>
                      <c:pt idx="795">
                        <c:v>45245</c:v>
                      </c:pt>
                      <c:pt idx="796">
                        <c:v>45246</c:v>
                      </c:pt>
                      <c:pt idx="797">
                        <c:v>45247</c:v>
                      </c:pt>
                      <c:pt idx="798">
                        <c:v>45250</c:v>
                      </c:pt>
                      <c:pt idx="799">
                        <c:v>45251</c:v>
                      </c:pt>
                      <c:pt idx="800">
                        <c:v>45252</c:v>
                      </c:pt>
                      <c:pt idx="801">
                        <c:v>45253</c:v>
                      </c:pt>
                      <c:pt idx="802">
                        <c:v>45254</c:v>
                      </c:pt>
                      <c:pt idx="803">
                        <c:v>45257</c:v>
                      </c:pt>
                      <c:pt idx="804">
                        <c:v>45258</c:v>
                      </c:pt>
                      <c:pt idx="805">
                        <c:v>45259</c:v>
                      </c:pt>
                      <c:pt idx="806">
                        <c:v>45260</c:v>
                      </c:pt>
                      <c:pt idx="807">
                        <c:v>45261</c:v>
                      </c:pt>
                      <c:pt idx="808">
                        <c:v>45264</c:v>
                      </c:pt>
                      <c:pt idx="809">
                        <c:v>45265</c:v>
                      </c:pt>
                      <c:pt idx="810">
                        <c:v>45266</c:v>
                      </c:pt>
                      <c:pt idx="811">
                        <c:v>45267</c:v>
                      </c:pt>
                      <c:pt idx="812">
                        <c:v>45268</c:v>
                      </c:pt>
                      <c:pt idx="813">
                        <c:v>45271</c:v>
                      </c:pt>
                      <c:pt idx="814">
                        <c:v>45272</c:v>
                      </c:pt>
                      <c:pt idx="815">
                        <c:v>45273</c:v>
                      </c:pt>
                      <c:pt idx="816">
                        <c:v>45274</c:v>
                      </c:pt>
                      <c:pt idx="817">
                        <c:v>45275</c:v>
                      </c:pt>
                      <c:pt idx="818">
                        <c:v>45278</c:v>
                      </c:pt>
                      <c:pt idx="819">
                        <c:v>45279</c:v>
                      </c:pt>
                      <c:pt idx="820">
                        <c:v>45280</c:v>
                      </c:pt>
                      <c:pt idx="821">
                        <c:v>45281</c:v>
                      </c:pt>
                      <c:pt idx="822">
                        <c:v>45282</c:v>
                      </c:pt>
                      <c:pt idx="823">
                        <c:v>45285</c:v>
                      </c:pt>
                      <c:pt idx="824">
                        <c:v>45286</c:v>
                      </c:pt>
                      <c:pt idx="825">
                        <c:v>45287</c:v>
                      </c:pt>
                      <c:pt idx="826">
                        <c:v>45288</c:v>
                      </c:pt>
                      <c:pt idx="827">
                        <c:v>45289</c:v>
                      </c:pt>
                      <c:pt idx="828">
                        <c:v>45293</c:v>
                      </c:pt>
                      <c:pt idx="829">
                        <c:v>45294</c:v>
                      </c:pt>
                      <c:pt idx="830">
                        <c:v>45295</c:v>
                      </c:pt>
                      <c:pt idx="831">
                        <c:v>45296</c:v>
                      </c:pt>
                      <c:pt idx="832">
                        <c:v>45299</c:v>
                      </c:pt>
                      <c:pt idx="833">
                        <c:v>45300</c:v>
                      </c:pt>
                      <c:pt idx="834">
                        <c:v>45301</c:v>
                      </c:pt>
                      <c:pt idx="835">
                        <c:v>45302</c:v>
                      </c:pt>
                      <c:pt idx="836">
                        <c:v>45303</c:v>
                      </c:pt>
                      <c:pt idx="837">
                        <c:v>45306</c:v>
                      </c:pt>
                      <c:pt idx="838">
                        <c:v>45307</c:v>
                      </c:pt>
                      <c:pt idx="839">
                        <c:v>45308</c:v>
                      </c:pt>
                      <c:pt idx="840">
                        <c:v>45309</c:v>
                      </c:pt>
                      <c:pt idx="841">
                        <c:v>45310</c:v>
                      </c:pt>
                      <c:pt idx="842">
                        <c:v>45313</c:v>
                      </c:pt>
                      <c:pt idx="843">
                        <c:v>45314</c:v>
                      </c:pt>
                      <c:pt idx="844">
                        <c:v>45315</c:v>
                      </c:pt>
                      <c:pt idx="845">
                        <c:v>45316</c:v>
                      </c:pt>
                      <c:pt idx="846">
                        <c:v>45317</c:v>
                      </c:pt>
                      <c:pt idx="847">
                        <c:v>45320</c:v>
                      </c:pt>
                      <c:pt idx="848">
                        <c:v>45321</c:v>
                      </c:pt>
                      <c:pt idx="849">
                        <c:v>45322</c:v>
                      </c:pt>
                      <c:pt idx="850">
                        <c:v>45323</c:v>
                      </c:pt>
                      <c:pt idx="851">
                        <c:v>45324</c:v>
                      </c:pt>
                      <c:pt idx="852">
                        <c:v>45327</c:v>
                      </c:pt>
                      <c:pt idx="853">
                        <c:v>45328</c:v>
                      </c:pt>
                      <c:pt idx="854">
                        <c:v>45329</c:v>
                      </c:pt>
                      <c:pt idx="855">
                        <c:v>45337</c:v>
                      </c:pt>
                      <c:pt idx="856">
                        <c:v>45338</c:v>
                      </c:pt>
                      <c:pt idx="857">
                        <c:v>45341</c:v>
                      </c:pt>
                      <c:pt idx="858">
                        <c:v>45342</c:v>
                      </c:pt>
                      <c:pt idx="859">
                        <c:v>45343</c:v>
                      </c:pt>
                      <c:pt idx="860">
                        <c:v>45344</c:v>
                      </c:pt>
                      <c:pt idx="861">
                        <c:v>45345</c:v>
                      </c:pt>
                      <c:pt idx="862">
                        <c:v>45348</c:v>
                      </c:pt>
                      <c:pt idx="863">
                        <c:v>45349</c:v>
                      </c:pt>
                      <c:pt idx="864">
                        <c:v>45350</c:v>
                      </c:pt>
                      <c:pt idx="865">
                        <c:v>45351</c:v>
                      </c:pt>
                      <c:pt idx="866">
                        <c:v>45352</c:v>
                      </c:pt>
                      <c:pt idx="867">
                        <c:v>45355</c:v>
                      </c:pt>
                      <c:pt idx="868">
                        <c:v>45356</c:v>
                      </c:pt>
                      <c:pt idx="869">
                        <c:v>45357</c:v>
                      </c:pt>
                      <c:pt idx="870">
                        <c:v>45358</c:v>
                      </c:pt>
                      <c:pt idx="871">
                        <c:v>45359</c:v>
                      </c:pt>
                      <c:pt idx="872">
                        <c:v>45362</c:v>
                      </c:pt>
                      <c:pt idx="873">
                        <c:v>45363</c:v>
                      </c:pt>
                      <c:pt idx="874">
                        <c:v>45364</c:v>
                      </c:pt>
                      <c:pt idx="875">
                        <c:v>45365</c:v>
                      </c:pt>
                      <c:pt idx="876">
                        <c:v>45366</c:v>
                      </c:pt>
                      <c:pt idx="877">
                        <c:v>45369</c:v>
                      </c:pt>
                      <c:pt idx="878">
                        <c:v>45370</c:v>
                      </c:pt>
                      <c:pt idx="879">
                        <c:v>45371</c:v>
                      </c:pt>
                      <c:pt idx="880">
                        <c:v>45372</c:v>
                      </c:pt>
                      <c:pt idx="881">
                        <c:v>45373</c:v>
                      </c:pt>
                      <c:pt idx="882">
                        <c:v>45376</c:v>
                      </c:pt>
                      <c:pt idx="883">
                        <c:v>45377</c:v>
                      </c:pt>
                      <c:pt idx="884">
                        <c:v>45378</c:v>
                      </c:pt>
                      <c:pt idx="885">
                        <c:v>45379</c:v>
                      </c:pt>
                      <c:pt idx="886">
                        <c:v>45380</c:v>
                      </c:pt>
                      <c:pt idx="887">
                        <c:v>45383</c:v>
                      </c:pt>
                      <c:pt idx="888">
                        <c:v>45384</c:v>
                      </c:pt>
                      <c:pt idx="889">
                        <c:v>45385</c:v>
                      </c:pt>
                      <c:pt idx="890">
                        <c:v>45386</c:v>
                      </c:pt>
                      <c:pt idx="891">
                        <c:v>45387</c:v>
                      </c:pt>
                      <c:pt idx="892">
                        <c:v>45390</c:v>
                      </c:pt>
                      <c:pt idx="893">
                        <c:v>45391</c:v>
                      </c:pt>
                      <c:pt idx="894">
                        <c:v>45392</c:v>
                      </c:pt>
                      <c:pt idx="895">
                        <c:v>45393</c:v>
                      </c:pt>
                      <c:pt idx="896">
                        <c:v>45394</c:v>
                      </c:pt>
                      <c:pt idx="897">
                        <c:v>45397</c:v>
                      </c:pt>
                      <c:pt idx="898">
                        <c:v>45398</c:v>
                      </c:pt>
                      <c:pt idx="899">
                        <c:v>45399</c:v>
                      </c:pt>
                      <c:pt idx="900">
                        <c:v>45401</c:v>
                      </c:pt>
                      <c:pt idx="901">
                        <c:v>45404</c:v>
                      </c:pt>
                      <c:pt idx="902">
                        <c:v>45405</c:v>
                      </c:pt>
                      <c:pt idx="903">
                        <c:v>45406</c:v>
                      </c:pt>
                      <c:pt idx="904">
                        <c:v>45407</c:v>
                      </c:pt>
                      <c:pt idx="905">
                        <c:v>45408</c:v>
                      </c:pt>
                      <c:pt idx="906">
                        <c:v>45414</c:v>
                      </c:pt>
                      <c:pt idx="907">
                        <c:v>45415</c:v>
                      </c:pt>
                      <c:pt idx="908">
                        <c:v>45418</c:v>
                      </c:pt>
                      <c:pt idx="909">
                        <c:v>45419</c:v>
                      </c:pt>
                      <c:pt idx="910">
                        <c:v>45420</c:v>
                      </c:pt>
                      <c:pt idx="911">
                        <c:v>45421</c:v>
                      </c:pt>
                      <c:pt idx="912">
                        <c:v>45422</c:v>
                      </c:pt>
                      <c:pt idx="913">
                        <c:v>45425</c:v>
                      </c:pt>
                      <c:pt idx="914">
                        <c:v>45426</c:v>
                      </c:pt>
                      <c:pt idx="915">
                        <c:v>45427</c:v>
                      </c:pt>
                      <c:pt idx="916">
                        <c:v>45428</c:v>
                      </c:pt>
                      <c:pt idx="917">
                        <c:v>45429</c:v>
                      </c:pt>
                      <c:pt idx="918">
                        <c:v>45432</c:v>
                      </c:pt>
                      <c:pt idx="919">
                        <c:v>45433</c:v>
                      </c:pt>
                      <c:pt idx="920">
                        <c:v>45434</c:v>
                      </c:pt>
                      <c:pt idx="921">
                        <c:v>45435</c:v>
                      </c:pt>
                      <c:pt idx="922">
                        <c:v>45436</c:v>
                      </c:pt>
                      <c:pt idx="923">
                        <c:v>45439</c:v>
                      </c:pt>
                      <c:pt idx="924">
                        <c:v>45440</c:v>
                      </c:pt>
                      <c:pt idx="925">
                        <c:v>45441</c:v>
                      </c:pt>
                      <c:pt idx="926">
                        <c:v>45442</c:v>
                      </c:pt>
                      <c:pt idx="927">
                        <c:v>45443</c:v>
                      </c:pt>
                      <c:pt idx="928">
                        <c:v>45446</c:v>
                      </c:pt>
                      <c:pt idx="929">
                        <c:v>45447</c:v>
                      </c:pt>
                      <c:pt idx="930">
                        <c:v>45448</c:v>
                      </c:pt>
                      <c:pt idx="931">
                        <c:v>45449</c:v>
                      </c:pt>
                      <c:pt idx="932">
                        <c:v>45450</c:v>
                      </c:pt>
                      <c:pt idx="933">
                        <c:v>45453</c:v>
                      </c:pt>
                      <c:pt idx="934">
                        <c:v>45454</c:v>
                      </c:pt>
                      <c:pt idx="935">
                        <c:v>45455</c:v>
                      </c:pt>
                      <c:pt idx="936">
                        <c:v>45456</c:v>
                      </c:pt>
                      <c:pt idx="937">
                        <c:v>45457</c:v>
                      </c:pt>
                      <c:pt idx="938">
                        <c:v>45460</c:v>
                      </c:pt>
                      <c:pt idx="939">
                        <c:v>45461</c:v>
                      </c:pt>
                      <c:pt idx="940">
                        <c:v>45462</c:v>
                      </c:pt>
                      <c:pt idx="941">
                        <c:v>45463</c:v>
                      </c:pt>
                      <c:pt idx="942">
                        <c:v>45464</c:v>
                      </c:pt>
                      <c:pt idx="943">
                        <c:v>45467</c:v>
                      </c:pt>
                      <c:pt idx="944">
                        <c:v>45468</c:v>
                      </c:pt>
                      <c:pt idx="945">
                        <c:v>45469</c:v>
                      </c:pt>
                      <c:pt idx="946">
                        <c:v>45470</c:v>
                      </c:pt>
                      <c:pt idx="947">
                        <c:v>45471</c:v>
                      </c:pt>
                      <c:pt idx="948">
                        <c:v>45474</c:v>
                      </c:pt>
                      <c:pt idx="949">
                        <c:v>45475</c:v>
                      </c:pt>
                      <c:pt idx="950">
                        <c:v>45476</c:v>
                      </c:pt>
                      <c:pt idx="951">
                        <c:v>45477</c:v>
                      </c:pt>
                      <c:pt idx="952">
                        <c:v>45478</c:v>
                      </c:pt>
                      <c:pt idx="953">
                        <c:v>45481</c:v>
                      </c:pt>
                      <c:pt idx="954">
                        <c:v>45482</c:v>
                      </c:pt>
                      <c:pt idx="955">
                        <c:v>45483</c:v>
                      </c:pt>
                      <c:pt idx="956">
                        <c:v>45484</c:v>
                      </c:pt>
                      <c:pt idx="957">
                        <c:v>45485</c:v>
                      </c:pt>
                      <c:pt idx="958">
                        <c:v>45488</c:v>
                      </c:pt>
                      <c:pt idx="959">
                        <c:v>45489</c:v>
                      </c:pt>
                      <c:pt idx="960">
                        <c:v>45490</c:v>
                      </c:pt>
                      <c:pt idx="961">
                        <c:v>45491</c:v>
                      </c:pt>
                      <c:pt idx="962">
                        <c:v>45492</c:v>
                      </c:pt>
                      <c:pt idx="963">
                        <c:v>45495</c:v>
                      </c:pt>
                      <c:pt idx="964">
                        <c:v>45496</c:v>
                      </c:pt>
                      <c:pt idx="965">
                        <c:v>45497</c:v>
                      </c:pt>
                      <c:pt idx="966">
                        <c:v>45498</c:v>
                      </c:pt>
                      <c:pt idx="967">
                        <c:v>45499</c:v>
                      </c:pt>
                      <c:pt idx="968">
                        <c:v>45502</c:v>
                      </c:pt>
                      <c:pt idx="969">
                        <c:v>45503</c:v>
                      </c:pt>
                      <c:pt idx="970">
                        <c:v>45504</c:v>
                      </c:pt>
                      <c:pt idx="971">
                        <c:v>45505</c:v>
                      </c:pt>
                      <c:pt idx="972">
                        <c:v>45506</c:v>
                      </c:pt>
                      <c:pt idx="973">
                        <c:v>45509</c:v>
                      </c:pt>
                      <c:pt idx="974">
                        <c:v>45510</c:v>
                      </c:pt>
                      <c:pt idx="975">
                        <c:v>45511</c:v>
                      </c:pt>
                      <c:pt idx="976">
                        <c:v>45512</c:v>
                      </c:pt>
                      <c:pt idx="977">
                        <c:v>45513</c:v>
                      </c:pt>
                      <c:pt idx="978">
                        <c:v>45516</c:v>
                      </c:pt>
                      <c:pt idx="979">
                        <c:v>45517</c:v>
                      </c:pt>
                      <c:pt idx="980">
                        <c:v>45518</c:v>
                      </c:pt>
                      <c:pt idx="981">
                        <c:v>45519</c:v>
                      </c:pt>
                      <c:pt idx="982">
                        <c:v>45520</c:v>
                      </c:pt>
                      <c:pt idx="983">
                        <c:v>45523</c:v>
                      </c:pt>
                      <c:pt idx="984">
                        <c:v>45524</c:v>
                      </c:pt>
                      <c:pt idx="985">
                        <c:v>45525</c:v>
                      </c:pt>
                      <c:pt idx="986">
                        <c:v>45526</c:v>
                      </c:pt>
                      <c:pt idx="987">
                        <c:v>45527</c:v>
                      </c:pt>
                      <c:pt idx="988">
                        <c:v>45530</c:v>
                      </c:pt>
                      <c:pt idx="989">
                        <c:v>45531</c:v>
                      </c:pt>
                      <c:pt idx="990">
                        <c:v>45532</c:v>
                      </c:pt>
                      <c:pt idx="991">
                        <c:v>45533</c:v>
                      </c:pt>
                      <c:pt idx="992">
                        <c:v>45534</c:v>
                      </c:pt>
                      <c:pt idx="993">
                        <c:v>45539</c:v>
                      </c:pt>
                      <c:pt idx="994">
                        <c:v>45540</c:v>
                      </c:pt>
                      <c:pt idx="995">
                        <c:v>45541</c:v>
                      </c:pt>
                      <c:pt idx="996">
                        <c:v>45544</c:v>
                      </c:pt>
                      <c:pt idx="997">
                        <c:v>45545</c:v>
                      </c:pt>
                      <c:pt idx="998">
                        <c:v>45546</c:v>
                      </c:pt>
                      <c:pt idx="999">
                        <c:v>45547</c:v>
                      </c:pt>
                      <c:pt idx="1000">
                        <c:v>45548</c:v>
                      </c:pt>
                      <c:pt idx="1001">
                        <c:v>45551</c:v>
                      </c:pt>
                      <c:pt idx="1002">
                        <c:v>45552</c:v>
                      </c:pt>
                      <c:pt idx="1003">
                        <c:v>45553</c:v>
                      </c:pt>
                      <c:pt idx="1004">
                        <c:v>45554</c:v>
                      </c:pt>
                      <c:pt idx="1005">
                        <c:v>45555</c:v>
                      </c:pt>
                      <c:pt idx="1006">
                        <c:v>45558</c:v>
                      </c:pt>
                      <c:pt idx="1007">
                        <c:v>45559</c:v>
                      </c:pt>
                      <c:pt idx="1008">
                        <c:v>45560</c:v>
                      </c:pt>
                      <c:pt idx="1009">
                        <c:v>45561</c:v>
                      </c:pt>
                      <c:pt idx="1010">
                        <c:v>45562</c:v>
                      </c:pt>
                      <c:pt idx="1011">
                        <c:v>45565</c:v>
                      </c:pt>
                      <c:pt idx="1012">
                        <c:v>45566</c:v>
                      </c:pt>
                      <c:pt idx="1013">
                        <c:v>45567</c:v>
                      </c:pt>
                      <c:pt idx="1014">
                        <c:v>45568</c:v>
                      </c:pt>
                      <c:pt idx="1015">
                        <c:v>45569</c:v>
                      </c:pt>
                      <c:pt idx="1016">
                        <c:v>45572</c:v>
                      </c:pt>
                      <c:pt idx="1017">
                        <c:v>45573</c:v>
                      </c:pt>
                      <c:pt idx="1018">
                        <c:v>45574</c:v>
                      </c:pt>
                      <c:pt idx="1019">
                        <c:v>45575</c:v>
                      </c:pt>
                      <c:pt idx="1020">
                        <c:v>45576</c:v>
                      </c:pt>
                      <c:pt idx="1021">
                        <c:v>45579</c:v>
                      </c:pt>
                      <c:pt idx="1022">
                        <c:v>45580</c:v>
                      </c:pt>
                      <c:pt idx="1023">
                        <c:v>45581</c:v>
                      </c:pt>
                      <c:pt idx="1024">
                        <c:v>45582</c:v>
                      </c:pt>
                      <c:pt idx="1025">
                        <c:v>45583</c:v>
                      </c:pt>
                      <c:pt idx="1026">
                        <c:v>45586</c:v>
                      </c:pt>
                      <c:pt idx="1027">
                        <c:v>45587</c:v>
                      </c:pt>
                      <c:pt idx="1028">
                        <c:v>45588</c:v>
                      </c:pt>
                      <c:pt idx="1029">
                        <c:v>45589</c:v>
                      </c:pt>
                      <c:pt idx="1030">
                        <c:v>45590</c:v>
                      </c:pt>
                      <c:pt idx="1031">
                        <c:v>45593</c:v>
                      </c:pt>
                      <c:pt idx="1032">
                        <c:v>45594</c:v>
                      </c:pt>
                      <c:pt idx="1033">
                        <c:v>45595</c:v>
                      </c:pt>
                      <c:pt idx="1034">
                        <c:v>45596</c:v>
                      </c:pt>
                      <c:pt idx="1035">
                        <c:v>45597</c:v>
                      </c:pt>
                      <c:pt idx="1036">
                        <c:v>45600</c:v>
                      </c:pt>
                      <c:pt idx="1037">
                        <c:v>45601</c:v>
                      </c:pt>
                      <c:pt idx="1038">
                        <c:v>45602</c:v>
                      </c:pt>
                      <c:pt idx="1039">
                        <c:v>45603</c:v>
                      </c:pt>
                      <c:pt idx="1040">
                        <c:v>45604</c:v>
                      </c:pt>
                      <c:pt idx="1041">
                        <c:v>45607</c:v>
                      </c:pt>
                      <c:pt idx="1042">
                        <c:v>45608</c:v>
                      </c:pt>
                      <c:pt idx="1043">
                        <c:v>45609</c:v>
                      </c:pt>
                      <c:pt idx="1044">
                        <c:v>45610</c:v>
                      </c:pt>
                      <c:pt idx="1045">
                        <c:v>45611</c:v>
                      </c:pt>
                      <c:pt idx="1046">
                        <c:v>45614</c:v>
                      </c:pt>
                      <c:pt idx="1047">
                        <c:v>45615</c:v>
                      </c:pt>
                      <c:pt idx="1048">
                        <c:v>45616</c:v>
                      </c:pt>
                      <c:pt idx="1049">
                        <c:v>45617</c:v>
                      </c:pt>
                      <c:pt idx="1050">
                        <c:v>45618</c:v>
                      </c:pt>
                      <c:pt idx="1051">
                        <c:v>45621</c:v>
                      </c:pt>
                      <c:pt idx="1052">
                        <c:v>45622</c:v>
                      </c:pt>
                      <c:pt idx="1053">
                        <c:v>45623</c:v>
                      </c:pt>
                      <c:pt idx="1054">
                        <c:v>45624</c:v>
                      </c:pt>
                      <c:pt idx="1055">
                        <c:v>45625</c:v>
                      </c:pt>
                      <c:pt idx="1056">
                        <c:v>45628</c:v>
                      </c:pt>
                      <c:pt idx="1057">
                        <c:v>45629</c:v>
                      </c:pt>
                      <c:pt idx="1058">
                        <c:v>45630</c:v>
                      </c:pt>
                      <c:pt idx="1059">
                        <c:v>45631</c:v>
                      </c:pt>
                      <c:pt idx="1060">
                        <c:v>45632</c:v>
                      </c:pt>
                      <c:pt idx="1061">
                        <c:v>45635</c:v>
                      </c:pt>
                      <c:pt idx="1062">
                        <c:v>45636</c:v>
                      </c:pt>
                      <c:pt idx="1063">
                        <c:v>45637</c:v>
                      </c:pt>
                      <c:pt idx="1064">
                        <c:v>45638</c:v>
                      </c:pt>
                      <c:pt idx="1065">
                        <c:v>45639</c:v>
                      </c:pt>
                      <c:pt idx="1066">
                        <c:v>45642</c:v>
                      </c:pt>
                      <c:pt idx="1067">
                        <c:v>45643</c:v>
                      </c:pt>
                      <c:pt idx="1068">
                        <c:v>45644</c:v>
                      </c:pt>
                      <c:pt idx="1069">
                        <c:v>45645</c:v>
                      </c:pt>
                      <c:pt idx="1070">
                        <c:v>45646</c:v>
                      </c:pt>
                      <c:pt idx="1071">
                        <c:v>45649</c:v>
                      </c:pt>
                      <c:pt idx="1072">
                        <c:v>45650</c:v>
                      </c:pt>
                      <c:pt idx="1073">
                        <c:v>45651</c:v>
                      </c:pt>
                      <c:pt idx="1074">
                        <c:v>45652</c:v>
                      </c:pt>
                      <c:pt idx="1075">
                        <c:v>45653</c:v>
                      </c:pt>
                      <c:pt idx="1076">
                        <c:v>45656</c:v>
                      </c:pt>
                      <c:pt idx="1077">
                        <c:v>45657</c:v>
                      </c:pt>
                      <c:pt idx="1078">
                        <c:v>45659</c:v>
                      </c:pt>
                      <c:pt idx="1079">
                        <c:v>45660</c:v>
                      </c:pt>
                      <c:pt idx="1080">
                        <c:v>45663</c:v>
                      </c:pt>
                      <c:pt idx="1081">
                        <c:v>45664</c:v>
                      </c:pt>
                      <c:pt idx="1082">
                        <c:v>45665</c:v>
                      </c:pt>
                      <c:pt idx="1083">
                        <c:v>45666</c:v>
                      </c:pt>
                      <c:pt idx="1084">
                        <c:v>45667</c:v>
                      </c:pt>
                      <c:pt idx="1085">
                        <c:v>45670</c:v>
                      </c:pt>
                      <c:pt idx="1086">
                        <c:v>45671</c:v>
                      </c:pt>
                      <c:pt idx="1087">
                        <c:v>45672</c:v>
                      </c:pt>
                      <c:pt idx="1088">
                        <c:v>45673</c:v>
                      </c:pt>
                      <c:pt idx="1089">
                        <c:v>45674</c:v>
                      </c:pt>
                      <c:pt idx="1090">
                        <c:v>45677</c:v>
                      </c:pt>
                      <c:pt idx="1091">
                        <c:v>45678</c:v>
                      </c:pt>
                      <c:pt idx="1092">
                        <c:v>45679</c:v>
                      </c:pt>
                      <c:pt idx="1093">
                        <c:v>45680</c:v>
                      </c:pt>
                      <c:pt idx="1094">
                        <c:v>45681</c:v>
                      </c:pt>
                      <c:pt idx="1095">
                        <c:v>45691</c:v>
                      </c:pt>
                      <c:pt idx="1096">
                        <c:v>45692</c:v>
                      </c:pt>
                      <c:pt idx="1097">
                        <c:v>45693</c:v>
                      </c:pt>
                      <c:pt idx="1098">
                        <c:v>45694</c:v>
                      </c:pt>
                      <c:pt idx="1099">
                        <c:v>45695</c:v>
                      </c:pt>
                      <c:pt idx="1100">
                        <c:v>45698</c:v>
                      </c:pt>
                      <c:pt idx="1101">
                        <c:v>45699</c:v>
                      </c:pt>
                      <c:pt idx="1102">
                        <c:v>45700</c:v>
                      </c:pt>
                      <c:pt idx="1103">
                        <c:v>45701</c:v>
                      </c:pt>
                      <c:pt idx="1104">
                        <c:v>45702</c:v>
                      </c:pt>
                      <c:pt idx="1105">
                        <c:v>45705</c:v>
                      </c:pt>
                      <c:pt idx="1106">
                        <c:v>45706</c:v>
                      </c:pt>
                      <c:pt idx="1107">
                        <c:v>45707</c:v>
                      </c:pt>
                      <c:pt idx="1108">
                        <c:v>45708</c:v>
                      </c:pt>
                      <c:pt idx="1109">
                        <c:v>45709</c:v>
                      </c:pt>
                      <c:pt idx="1110">
                        <c:v>45712</c:v>
                      </c:pt>
                      <c:pt idx="1111">
                        <c:v>45713</c:v>
                      </c:pt>
                      <c:pt idx="1112">
                        <c:v>45714</c:v>
                      </c:pt>
                      <c:pt idx="1113">
                        <c:v>45715</c:v>
                      </c:pt>
                      <c:pt idx="1114">
                        <c:v>45716</c:v>
                      </c:pt>
                      <c:pt idx="1115">
                        <c:v>45719</c:v>
                      </c:pt>
                      <c:pt idx="1116">
                        <c:v>45720</c:v>
                      </c:pt>
                      <c:pt idx="1117">
                        <c:v>45721</c:v>
                      </c:pt>
                      <c:pt idx="1118">
                        <c:v>45722</c:v>
                      </c:pt>
                      <c:pt idx="1119">
                        <c:v>45723</c:v>
                      </c:pt>
                      <c:pt idx="1120">
                        <c:v>45726</c:v>
                      </c:pt>
                      <c:pt idx="1121">
                        <c:v>45727</c:v>
                      </c:pt>
                      <c:pt idx="1122">
                        <c:v>45728</c:v>
                      </c:pt>
                      <c:pt idx="1123">
                        <c:v>45729</c:v>
                      </c:pt>
                      <c:pt idx="1124">
                        <c:v>45730</c:v>
                      </c:pt>
                      <c:pt idx="1125">
                        <c:v>45733</c:v>
                      </c:pt>
                      <c:pt idx="1126">
                        <c:v>45734</c:v>
                      </c:pt>
                      <c:pt idx="1127">
                        <c:v>45735</c:v>
                      </c:pt>
                      <c:pt idx="1128">
                        <c:v>45736</c:v>
                      </c:pt>
                      <c:pt idx="1129">
                        <c:v>45737</c:v>
                      </c:pt>
                      <c:pt idx="1130">
                        <c:v>45740</c:v>
                      </c:pt>
                      <c:pt idx="1131">
                        <c:v>45741</c:v>
                      </c:pt>
                      <c:pt idx="1132">
                        <c:v>45742</c:v>
                      </c:pt>
                      <c:pt idx="1133">
                        <c:v>45743</c:v>
                      </c:pt>
                      <c:pt idx="1134">
                        <c:v>45744</c:v>
                      </c:pt>
                      <c:pt idx="1135">
                        <c:v>45747</c:v>
                      </c:pt>
                      <c:pt idx="1136">
                        <c:v>45748</c:v>
                      </c:pt>
                      <c:pt idx="1137">
                        <c:v>45749</c:v>
                      </c:pt>
                      <c:pt idx="1138">
                        <c:v>45750</c:v>
                      </c:pt>
                      <c:pt idx="1139">
                        <c:v>45751</c:v>
                      </c:pt>
                      <c:pt idx="1140">
                        <c:v>45755</c:v>
                      </c:pt>
                      <c:pt idx="1141">
                        <c:v>45756</c:v>
                      </c:pt>
                      <c:pt idx="1142">
                        <c:v>45757</c:v>
                      </c:pt>
                      <c:pt idx="1143">
                        <c:v>45758</c:v>
                      </c:pt>
                      <c:pt idx="1144">
                        <c:v>45761</c:v>
                      </c:pt>
                      <c:pt idx="1145">
                        <c:v>45762</c:v>
                      </c:pt>
                      <c:pt idx="1146">
                        <c:v>45763</c:v>
                      </c:pt>
                      <c:pt idx="1147">
                        <c:v>45764</c:v>
                      </c:pt>
                      <c:pt idx="1148">
                        <c:v>45765</c:v>
                      </c:pt>
                      <c:pt idx="1149">
                        <c:v>45768</c:v>
                      </c:pt>
                      <c:pt idx="1150">
                        <c:v>45769</c:v>
                      </c:pt>
                      <c:pt idx="1151">
                        <c:v>45770</c:v>
                      </c:pt>
                      <c:pt idx="1152">
                        <c:v>45771</c:v>
                      </c:pt>
                      <c:pt idx="1153">
                        <c:v>45772</c:v>
                      </c:pt>
                      <c:pt idx="1154">
                        <c:v>45775</c:v>
                      </c:pt>
                      <c:pt idx="1155">
                        <c:v>45776</c:v>
                      </c:pt>
                      <c:pt idx="1156">
                        <c:v>45782</c:v>
                      </c:pt>
                      <c:pt idx="1157">
                        <c:v>45783</c:v>
                      </c:pt>
                      <c:pt idx="1158">
                        <c:v>45784</c:v>
                      </c:pt>
                      <c:pt idx="1159">
                        <c:v>45785</c:v>
                      </c:pt>
                      <c:pt idx="1160">
                        <c:v>45786</c:v>
                      </c:pt>
                      <c:pt idx="1161">
                        <c:v>45789</c:v>
                      </c:pt>
                      <c:pt idx="1162">
                        <c:v>45790</c:v>
                      </c:pt>
                      <c:pt idx="1163">
                        <c:v>45791</c:v>
                      </c:pt>
                      <c:pt idx="1164">
                        <c:v>45792</c:v>
                      </c:pt>
                      <c:pt idx="1165">
                        <c:v>45793</c:v>
                      </c:pt>
                      <c:pt idx="1166">
                        <c:v>45796</c:v>
                      </c:pt>
                      <c:pt idx="1167">
                        <c:v>45797</c:v>
                      </c:pt>
                      <c:pt idx="1168">
                        <c:v>45798</c:v>
                      </c:pt>
                      <c:pt idx="1169">
                        <c:v>45799</c:v>
                      </c:pt>
                      <c:pt idx="1170">
                        <c:v>45800</c:v>
                      </c:pt>
                      <c:pt idx="1171">
                        <c:v>45803</c:v>
                      </c:pt>
                      <c:pt idx="1172">
                        <c:v>45804</c:v>
                      </c:pt>
                      <c:pt idx="1173">
                        <c:v>45805</c:v>
                      </c:pt>
                      <c:pt idx="1174">
                        <c:v>45806</c:v>
                      </c:pt>
                      <c:pt idx="1175">
                        <c:v>45807</c:v>
                      </c:pt>
                      <c:pt idx="1176">
                        <c:v>45810</c:v>
                      </c:pt>
                      <c:pt idx="1177">
                        <c:v>45811</c:v>
                      </c:pt>
                      <c:pt idx="1178">
                        <c:v>45812</c:v>
                      </c:pt>
                      <c:pt idx="1179">
                        <c:v>45813</c:v>
                      </c:pt>
                      <c:pt idx="1180">
                        <c:v>45814</c:v>
                      </c:pt>
                      <c:pt idx="1181">
                        <c:v>45817</c:v>
                      </c:pt>
                      <c:pt idx="1182">
                        <c:v>45818</c:v>
                      </c:pt>
                      <c:pt idx="1183">
                        <c:v>45819</c:v>
                      </c:pt>
                      <c:pt idx="1184">
                        <c:v>45820</c:v>
                      </c:pt>
                      <c:pt idx="1185">
                        <c:v>45821</c:v>
                      </c:pt>
                      <c:pt idx="1186">
                        <c:v>45824</c:v>
                      </c:pt>
                      <c:pt idx="1187">
                        <c:v>45825</c:v>
                      </c:pt>
                      <c:pt idx="1188">
                        <c:v>45826</c:v>
                      </c:pt>
                      <c:pt idx="1189">
                        <c:v>45827</c:v>
                      </c:pt>
                      <c:pt idx="1190">
                        <c:v>45828</c:v>
                      </c:pt>
                      <c:pt idx="1191">
                        <c:v>45831</c:v>
                      </c:pt>
                      <c:pt idx="1192">
                        <c:v>45832</c:v>
                      </c:pt>
                      <c:pt idx="1193">
                        <c:v>45833</c:v>
                      </c:pt>
                      <c:pt idx="1194">
                        <c:v>45834</c:v>
                      </c:pt>
                      <c:pt idx="1195">
                        <c:v>45835</c:v>
                      </c:pt>
                      <c:pt idx="1196">
                        <c:v>45838</c:v>
                      </c:pt>
                      <c:pt idx="1197">
                        <c:v>45839</c:v>
                      </c:pt>
                      <c:pt idx="1198">
                        <c:v>45840</c:v>
                      </c:pt>
                      <c:pt idx="1199">
                        <c:v>45841</c:v>
                      </c:pt>
                      <c:pt idx="1200">
                        <c:v>45842</c:v>
                      </c:pt>
                      <c:pt idx="1201">
                        <c:v>45845</c:v>
                      </c:pt>
                      <c:pt idx="1202">
                        <c:v>45846</c:v>
                      </c:pt>
                      <c:pt idx="1203">
                        <c:v>45847</c:v>
                      </c:pt>
                      <c:pt idx="1204">
                        <c:v>45848</c:v>
                      </c:pt>
                      <c:pt idx="1205">
                        <c:v>45849</c:v>
                      </c:pt>
                      <c:pt idx="1206">
                        <c:v>45852</c:v>
                      </c:pt>
                      <c:pt idx="1207">
                        <c:v>45853</c:v>
                      </c:pt>
                      <c:pt idx="1208">
                        <c:v>45854</c:v>
                      </c:pt>
                      <c:pt idx="1209">
                        <c:v>45855</c:v>
                      </c:pt>
                      <c:pt idx="1210">
                        <c:v>45856</c:v>
                      </c:pt>
                      <c:pt idx="1211">
                        <c:v>45859</c:v>
                      </c:pt>
                      <c:pt idx="1212">
                        <c:v>45860</c:v>
                      </c:pt>
                      <c:pt idx="1213">
                        <c:v>45861</c:v>
                      </c:pt>
                      <c:pt idx="1214">
                        <c:v>45862</c:v>
                      </c:pt>
                      <c:pt idx="1215">
                        <c:v>45863</c:v>
                      </c:pt>
                      <c:pt idx="1216">
                        <c:v>45866</c:v>
                      </c:pt>
                      <c:pt idx="1217">
                        <c:v>45867</c:v>
                      </c:pt>
                      <c:pt idx="1218">
                        <c:v>45868</c:v>
                      </c:pt>
                      <c:pt idx="1219">
                        <c:v>45869</c:v>
                      </c:pt>
                      <c:pt idx="1220">
                        <c:v>45870</c:v>
                      </c:pt>
                      <c:pt idx="1221">
                        <c:v>45873</c:v>
                      </c:pt>
                      <c:pt idx="1222">
                        <c:v>45874</c:v>
                      </c:pt>
                      <c:pt idx="1223">
                        <c:v>45875</c:v>
                      </c:pt>
                      <c:pt idx="1224">
                        <c:v>45876</c:v>
                      </c:pt>
                      <c:pt idx="1225">
                        <c:v>45877</c:v>
                      </c:pt>
                      <c:pt idx="1226">
                        <c:v>45880</c:v>
                      </c:pt>
                      <c:pt idx="1227">
                        <c:v>45881</c:v>
                      </c:pt>
                      <c:pt idx="1228">
                        <c:v>45882</c:v>
                      </c:pt>
                      <c:pt idx="1229">
                        <c:v>45883</c:v>
                      </c:pt>
                      <c:pt idx="1230">
                        <c:v>45884</c:v>
                      </c:pt>
                      <c:pt idx="1231">
                        <c:v>45887</c:v>
                      </c:pt>
                      <c:pt idx="1232">
                        <c:v>45888</c:v>
                      </c:pt>
                      <c:pt idx="1233">
                        <c:v>45889</c:v>
                      </c:pt>
                      <c:pt idx="1234">
                        <c:v>45890</c:v>
                      </c:pt>
                      <c:pt idx="1235">
                        <c:v>45891</c:v>
                      </c:pt>
                      <c:pt idx="1236">
                        <c:v>45894</c:v>
                      </c:pt>
                      <c:pt idx="1237">
                        <c:v>45895</c:v>
                      </c:pt>
                      <c:pt idx="1238">
                        <c:v>45896</c:v>
                      </c:pt>
                      <c:pt idx="1239">
                        <c:v>45897</c:v>
                      </c:pt>
                      <c:pt idx="1240">
                        <c:v>45898</c:v>
                      </c:pt>
                      <c:pt idx="1241">
                        <c:v>45903</c:v>
                      </c:pt>
                      <c:pt idx="1242">
                        <c:v>45904</c:v>
                      </c:pt>
                      <c:pt idx="1243">
                        <c:v>45905</c:v>
                      </c:pt>
                      <c:pt idx="1244">
                        <c:v>45908</c:v>
                      </c:pt>
                      <c:pt idx="1245">
                        <c:v>45909</c:v>
                      </c:pt>
                      <c:pt idx="1246">
                        <c:v>45910</c:v>
                      </c:pt>
                      <c:pt idx="1247">
                        <c:v>45911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BCE2-4596-9C03-87507E966139}"/>
            </c:ext>
          </c:extLst>
        </c:ser>
        <c:ser>
          <c:idx val="3"/>
          <c:order val="3"/>
          <c:spPr>
            <a:ln w="22225" cap="rnd">
              <a:solidFill>
                <a:schemeClr val="dk1">
                  <a:tint val="985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[177]PE!$E$2:$E$1249</c:f>
              <c:numCache>
                <c:formatCode>_(* #,##0_);_(* \(#,##0\);_(* "-"??_);_(@_)</c:formatCode>
                <c:ptCount val="1248"/>
                <c:pt idx="0">
                  <c:v>20.043851923076922</c:v>
                </c:pt>
                <c:pt idx="1">
                  <c:v>20.043851923076922</c:v>
                </c:pt>
                <c:pt idx="2">
                  <c:v>20.043851923076922</c:v>
                </c:pt>
                <c:pt idx="3">
                  <c:v>20.043851923076922</c:v>
                </c:pt>
                <c:pt idx="4">
                  <c:v>20.043851923076922</c:v>
                </c:pt>
                <c:pt idx="5">
                  <c:v>20.043851923076922</c:v>
                </c:pt>
                <c:pt idx="6">
                  <c:v>20.043851923076922</c:v>
                </c:pt>
                <c:pt idx="7">
                  <c:v>20.043851923076922</c:v>
                </c:pt>
                <c:pt idx="8">
                  <c:v>20.043851923076922</c:v>
                </c:pt>
                <c:pt idx="9">
                  <c:v>20.043851923076922</c:v>
                </c:pt>
                <c:pt idx="10">
                  <c:v>20.043851923076922</c:v>
                </c:pt>
                <c:pt idx="11">
                  <c:v>20.043851923076922</c:v>
                </c:pt>
                <c:pt idx="12">
                  <c:v>20.043851923076922</c:v>
                </c:pt>
                <c:pt idx="13">
                  <c:v>20.043851923076922</c:v>
                </c:pt>
                <c:pt idx="14">
                  <c:v>20.043851923076922</c:v>
                </c:pt>
                <c:pt idx="15">
                  <c:v>20.043851923076922</c:v>
                </c:pt>
                <c:pt idx="16">
                  <c:v>20.043851923076922</c:v>
                </c:pt>
                <c:pt idx="17">
                  <c:v>20.043851923076922</c:v>
                </c:pt>
                <c:pt idx="18">
                  <c:v>20.043851923076922</c:v>
                </c:pt>
                <c:pt idx="19">
                  <c:v>20.043851923076922</c:v>
                </c:pt>
                <c:pt idx="20">
                  <c:v>20.043851923076922</c:v>
                </c:pt>
                <c:pt idx="21">
                  <c:v>20.043851923076922</c:v>
                </c:pt>
                <c:pt idx="22">
                  <c:v>20.043851923076922</c:v>
                </c:pt>
                <c:pt idx="23">
                  <c:v>20.043851923076922</c:v>
                </c:pt>
                <c:pt idx="24">
                  <c:v>20.043851923076922</c:v>
                </c:pt>
                <c:pt idx="25">
                  <c:v>20.043851923076922</c:v>
                </c:pt>
                <c:pt idx="26">
                  <c:v>20.043851923076922</c:v>
                </c:pt>
                <c:pt idx="27">
                  <c:v>20.043851923076922</c:v>
                </c:pt>
                <c:pt idx="28">
                  <c:v>20.043851923076922</c:v>
                </c:pt>
                <c:pt idx="29">
                  <c:v>20.043851923076922</c:v>
                </c:pt>
                <c:pt idx="30">
                  <c:v>20.043851923076922</c:v>
                </c:pt>
                <c:pt idx="31">
                  <c:v>20.043851923076922</c:v>
                </c:pt>
                <c:pt idx="32">
                  <c:v>20.043851923076922</c:v>
                </c:pt>
                <c:pt idx="33">
                  <c:v>20.043851923076922</c:v>
                </c:pt>
                <c:pt idx="34">
                  <c:v>20.043851923076922</c:v>
                </c:pt>
                <c:pt idx="35">
                  <c:v>20.043851923076922</c:v>
                </c:pt>
                <c:pt idx="36">
                  <c:v>20.043851923076922</c:v>
                </c:pt>
                <c:pt idx="37">
                  <c:v>20.043851923076922</c:v>
                </c:pt>
                <c:pt idx="38">
                  <c:v>20.043851923076922</c:v>
                </c:pt>
                <c:pt idx="39">
                  <c:v>20.043851923076922</c:v>
                </c:pt>
                <c:pt idx="40">
                  <c:v>20.043851923076922</c:v>
                </c:pt>
                <c:pt idx="41">
                  <c:v>20.043851923076922</c:v>
                </c:pt>
                <c:pt idx="42">
                  <c:v>20.043851923076922</c:v>
                </c:pt>
                <c:pt idx="43">
                  <c:v>20.043851923076922</c:v>
                </c:pt>
                <c:pt idx="44">
                  <c:v>20.043851923076922</c:v>
                </c:pt>
                <c:pt idx="45">
                  <c:v>20.043851923076922</c:v>
                </c:pt>
                <c:pt idx="46">
                  <c:v>20.043851923076922</c:v>
                </c:pt>
                <c:pt idx="47">
                  <c:v>20.043851923076922</c:v>
                </c:pt>
                <c:pt idx="48">
                  <c:v>20.043851923076922</c:v>
                </c:pt>
                <c:pt idx="49">
                  <c:v>20.043851923076922</c:v>
                </c:pt>
                <c:pt idx="50">
                  <c:v>20.043851923076922</c:v>
                </c:pt>
                <c:pt idx="51">
                  <c:v>20.043851923076922</c:v>
                </c:pt>
                <c:pt idx="52">
                  <c:v>20.043851923076922</c:v>
                </c:pt>
                <c:pt idx="53">
                  <c:v>20.043851923076922</c:v>
                </c:pt>
                <c:pt idx="54">
                  <c:v>20.043851923076922</c:v>
                </c:pt>
                <c:pt idx="55">
                  <c:v>20.043851923076922</c:v>
                </c:pt>
                <c:pt idx="56">
                  <c:v>20.043851923076922</c:v>
                </c:pt>
                <c:pt idx="57">
                  <c:v>20.043851923076922</c:v>
                </c:pt>
                <c:pt idx="58">
                  <c:v>20.043851923076922</c:v>
                </c:pt>
                <c:pt idx="59">
                  <c:v>20.043851923076922</c:v>
                </c:pt>
                <c:pt idx="60">
                  <c:v>20.043851923076922</c:v>
                </c:pt>
                <c:pt idx="61">
                  <c:v>20.043851923076922</c:v>
                </c:pt>
                <c:pt idx="62">
                  <c:v>20.043851923076922</c:v>
                </c:pt>
                <c:pt idx="63">
                  <c:v>20.043851923076922</c:v>
                </c:pt>
                <c:pt idx="64">
                  <c:v>20.043851923076922</c:v>
                </c:pt>
                <c:pt idx="65">
                  <c:v>20.043851923076922</c:v>
                </c:pt>
                <c:pt idx="66">
                  <c:v>20.043851923076922</c:v>
                </c:pt>
                <c:pt idx="67">
                  <c:v>20.043851923076922</c:v>
                </c:pt>
                <c:pt idx="68">
                  <c:v>20.043851923076922</c:v>
                </c:pt>
                <c:pt idx="69">
                  <c:v>20.043851923076922</c:v>
                </c:pt>
                <c:pt idx="70">
                  <c:v>20.043851923076922</c:v>
                </c:pt>
                <c:pt idx="71">
                  <c:v>20.043851923076922</c:v>
                </c:pt>
                <c:pt idx="72">
                  <c:v>20.043851923076922</c:v>
                </c:pt>
                <c:pt idx="73">
                  <c:v>20.043851923076922</c:v>
                </c:pt>
                <c:pt idx="74">
                  <c:v>20.043851923076922</c:v>
                </c:pt>
                <c:pt idx="75">
                  <c:v>20.043851923076922</c:v>
                </c:pt>
                <c:pt idx="76">
                  <c:v>20.043851923076922</c:v>
                </c:pt>
                <c:pt idx="77">
                  <c:v>20.043851923076922</c:v>
                </c:pt>
                <c:pt idx="78">
                  <c:v>20.043851923076922</c:v>
                </c:pt>
                <c:pt idx="79">
                  <c:v>20.043851923076922</c:v>
                </c:pt>
                <c:pt idx="80">
                  <c:v>20.043851923076922</c:v>
                </c:pt>
                <c:pt idx="81">
                  <c:v>20.043851923076922</c:v>
                </c:pt>
                <c:pt idx="82">
                  <c:v>20.043851923076922</c:v>
                </c:pt>
                <c:pt idx="83">
                  <c:v>20.043851923076922</c:v>
                </c:pt>
                <c:pt idx="84">
                  <c:v>20.043851923076922</c:v>
                </c:pt>
                <c:pt idx="85">
                  <c:v>20.043851923076922</c:v>
                </c:pt>
                <c:pt idx="86">
                  <c:v>20.043851923076922</c:v>
                </c:pt>
                <c:pt idx="87">
                  <c:v>20.043851923076922</c:v>
                </c:pt>
                <c:pt idx="88">
                  <c:v>20.043851923076922</c:v>
                </c:pt>
                <c:pt idx="89">
                  <c:v>20.043851923076922</c:v>
                </c:pt>
                <c:pt idx="90">
                  <c:v>20.043851923076922</c:v>
                </c:pt>
                <c:pt idx="91">
                  <c:v>20.043851923076922</c:v>
                </c:pt>
                <c:pt idx="92">
                  <c:v>20.043851923076922</c:v>
                </c:pt>
                <c:pt idx="93">
                  <c:v>20.043851923076922</c:v>
                </c:pt>
                <c:pt idx="94">
                  <c:v>20.043851923076922</c:v>
                </c:pt>
                <c:pt idx="95">
                  <c:v>20.043851923076922</c:v>
                </c:pt>
                <c:pt idx="96">
                  <c:v>20.043851923076922</c:v>
                </c:pt>
                <c:pt idx="97">
                  <c:v>20.043851923076922</c:v>
                </c:pt>
                <c:pt idx="98">
                  <c:v>20.043851923076922</c:v>
                </c:pt>
                <c:pt idx="99">
                  <c:v>20.043851923076922</c:v>
                </c:pt>
                <c:pt idx="100">
                  <c:v>20.043851923076922</c:v>
                </c:pt>
                <c:pt idx="101">
                  <c:v>20.043851923076922</c:v>
                </c:pt>
                <c:pt idx="102">
                  <c:v>20.043851923076922</c:v>
                </c:pt>
                <c:pt idx="103">
                  <c:v>20.043851923076922</c:v>
                </c:pt>
                <c:pt idx="104">
                  <c:v>20.043851923076922</c:v>
                </c:pt>
                <c:pt idx="105">
                  <c:v>20.043851923076922</c:v>
                </c:pt>
                <c:pt idx="106">
                  <c:v>20.043851923076922</c:v>
                </c:pt>
                <c:pt idx="107">
                  <c:v>20.043851923076922</c:v>
                </c:pt>
                <c:pt idx="108">
                  <c:v>20.043851923076922</c:v>
                </c:pt>
                <c:pt idx="109">
                  <c:v>20.043851923076922</c:v>
                </c:pt>
                <c:pt idx="110">
                  <c:v>20.043851923076922</c:v>
                </c:pt>
                <c:pt idx="111">
                  <c:v>20.043851923076922</c:v>
                </c:pt>
                <c:pt idx="112">
                  <c:v>20.043851923076922</c:v>
                </c:pt>
                <c:pt idx="113">
                  <c:v>20.043851923076922</c:v>
                </c:pt>
                <c:pt idx="114">
                  <c:v>20.043851923076922</c:v>
                </c:pt>
                <c:pt idx="115">
                  <c:v>20.043851923076922</c:v>
                </c:pt>
                <c:pt idx="116">
                  <c:v>20.043851923076922</c:v>
                </c:pt>
                <c:pt idx="117">
                  <c:v>20.043851923076922</c:v>
                </c:pt>
                <c:pt idx="118">
                  <c:v>20.043851923076922</c:v>
                </c:pt>
                <c:pt idx="119">
                  <c:v>20.043851923076922</c:v>
                </c:pt>
                <c:pt idx="120">
                  <c:v>20.043851923076922</c:v>
                </c:pt>
                <c:pt idx="121">
                  <c:v>20.043851923076922</c:v>
                </c:pt>
                <c:pt idx="122">
                  <c:v>20.043851923076922</c:v>
                </c:pt>
                <c:pt idx="123">
                  <c:v>20.043851923076922</c:v>
                </c:pt>
                <c:pt idx="124">
                  <c:v>20.043851923076922</c:v>
                </c:pt>
                <c:pt idx="125">
                  <c:v>20.043851923076922</c:v>
                </c:pt>
                <c:pt idx="126">
                  <c:v>20.043851923076922</c:v>
                </c:pt>
                <c:pt idx="127">
                  <c:v>20.043851923076922</c:v>
                </c:pt>
                <c:pt idx="128">
                  <c:v>20.043851923076922</c:v>
                </c:pt>
                <c:pt idx="129">
                  <c:v>20.043851923076922</c:v>
                </c:pt>
                <c:pt idx="130">
                  <c:v>20.043851923076922</c:v>
                </c:pt>
                <c:pt idx="131">
                  <c:v>20.043851923076922</c:v>
                </c:pt>
                <c:pt idx="132">
                  <c:v>20.043851923076922</c:v>
                </c:pt>
                <c:pt idx="133">
                  <c:v>20.043851923076922</c:v>
                </c:pt>
                <c:pt idx="134">
                  <c:v>20.043851923076922</c:v>
                </c:pt>
                <c:pt idx="135">
                  <c:v>20.043851923076922</c:v>
                </c:pt>
                <c:pt idx="136">
                  <c:v>20.043851923076922</c:v>
                </c:pt>
                <c:pt idx="137">
                  <c:v>20.043851923076922</c:v>
                </c:pt>
                <c:pt idx="138">
                  <c:v>20.043851923076922</c:v>
                </c:pt>
                <c:pt idx="139">
                  <c:v>20.043851923076922</c:v>
                </c:pt>
                <c:pt idx="140">
                  <c:v>20.043851923076922</c:v>
                </c:pt>
                <c:pt idx="141">
                  <c:v>20.043851923076922</c:v>
                </c:pt>
                <c:pt idx="142">
                  <c:v>20.043851923076922</c:v>
                </c:pt>
                <c:pt idx="143">
                  <c:v>20.043851923076922</c:v>
                </c:pt>
                <c:pt idx="144">
                  <c:v>20.043851923076922</c:v>
                </c:pt>
                <c:pt idx="145">
                  <c:v>20.043851923076922</c:v>
                </c:pt>
                <c:pt idx="146">
                  <c:v>20.043851923076922</c:v>
                </c:pt>
                <c:pt idx="147">
                  <c:v>20.043851923076922</c:v>
                </c:pt>
                <c:pt idx="148">
                  <c:v>20.043851923076922</c:v>
                </c:pt>
                <c:pt idx="149">
                  <c:v>20.043851923076922</c:v>
                </c:pt>
                <c:pt idx="150">
                  <c:v>20.043851923076922</c:v>
                </c:pt>
                <c:pt idx="151">
                  <c:v>20.043851923076922</c:v>
                </c:pt>
                <c:pt idx="152">
                  <c:v>20.043851923076922</c:v>
                </c:pt>
                <c:pt idx="153">
                  <c:v>20.043851923076922</c:v>
                </c:pt>
                <c:pt idx="154">
                  <c:v>20.043851923076922</c:v>
                </c:pt>
                <c:pt idx="155">
                  <c:v>20.043851923076922</c:v>
                </c:pt>
                <c:pt idx="156">
                  <c:v>20.043851923076922</c:v>
                </c:pt>
                <c:pt idx="157">
                  <c:v>20.043851923076922</c:v>
                </c:pt>
                <c:pt idx="158">
                  <c:v>20.043851923076922</c:v>
                </c:pt>
                <c:pt idx="159">
                  <c:v>20.043851923076922</c:v>
                </c:pt>
                <c:pt idx="160">
                  <c:v>20.043851923076922</c:v>
                </c:pt>
                <c:pt idx="161">
                  <c:v>20.043851923076922</c:v>
                </c:pt>
                <c:pt idx="162">
                  <c:v>20.043851923076922</c:v>
                </c:pt>
                <c:pt idx="163">
                  <c:v>20.043851923076922</c:v>
                </c:pt>
                <c:pt idx="164">
                  <c:v>20.043851923076922</c:v>
                </c:pt>
                <c:pt idx="165">
                  <c:v>20.043851923076922</c:v>
                </c:pt>
                <c:pt idx="166">
                  <c:v>20.043851923076922</c:v>
                </c:pt>
                <c:pt idx="167">
                  <c:v>20.043851923076922</c:v>
                </c:pt>
                <c:pt idx="168">
                  <c:v>20.043851923076922</c:v>
                </c:pt>
                <c:pt idx="169">
                  <c:v>20.043851923076922</c:v>
                </c:pt>
                <c:pt idx="170">
                  <c:v>20.043851923076922</c:v>
                </c:pt>
                <c:pt idx="171">
                  <c:v>20.043851923076922</c:v>
                </c:pt>
                <c:pt idx="172">
                  <c:v>20.043851923076922</c:v>
                </c:pt>
                <c:pt idx="173">
                  <c:v>20.043851923076922</c:v>
                </c:pt>
                <c:pt idx="174">
                  <c:v>20.043851923076922</c:v>
                </c:pt>
                <c:pt idx="175">
                  <c:v>20.043851923076922</c:v>
                </c:pt>
                <c:pt idx="176">
                  <c:v>20.043851923076922</c:v>
                </c:pt>
                <c:pt idx="177">
                  <c:v>20.043851923076922</c:v>
                </c:pt>
                <c:pt idx="178">
                  <c:v>20.043851923076922</c:v>
                </c:pt>
                <c:pt idx="179">
                  <c:v>20.043851923076922</c:v>
                </c:pt>
                <c:pt idx="180">
                  <c:v>20.043851923076922</c:v>
                </c:pt>
                <c:pt idx="181">
                  <c:v>20.043851923076922</c:v>
                </c:pt>
                <c:pt idx="182">
                  <c:v>20.043851923076922</c:v>
                </c:pt>
                <c:pt idx="183">
                  <c:v>20.043851923076922</c:v>
                </c:pt>
                <c:pt idx="184">
                  <c:v>20.043851923076922</c:v>
                </c:pt>
                <c:pt idx="185">
                  <c:v>20.043851923076922</c:v>
                </c:pt>
                <c:pt idx="186">
                  <c:v>20.043851923076922</c:v>
                </c:pt>
                <c:pt idx="187">
                  <c:v>20.043851923076922</c:v>
                </c:pt>
                <c:pt idx="188">
                  <c:v>20.043851923076922</c:v>
                </c:pt>
                <c:pt idx="189">
                  <c:v>20.043851923076922</c:v>
                </c:pt>
                <c:pt idx="190">
                  <c:v>20.043851923076922</c:v>
                </c:pt>
                <c:pt idx="191">
                  <c:v>20.043851923076922</c:v>
                </c:pt>
                <c:pt idx="192">
                  <c:v>20.043851923076922</c:v>
                </c:pt>
                <c:pt idx="193">
                  <c:v>20.043851923076922</c:v>
                </c:pt>
                <c:pt idx="194">
                  <c:v>20.043851923076922</c:v>
                </c:pt>
                <c:pt idx="195">
                  <c:v>20.043851923076922</c:v>
                </c:pt>
                <c:pt idx="196">
                  <c:v>20.043851923076922</c:v>
                </c:pt>
                <c:pt idx="197">
                  <c:v>20.043851923076922</c:v>
                </c:pt>
                <c:pt idx="198">
                  <c:v>20.043851923076922</c:v>
                </c:pt>
                <c:pt idx="199">
                  <c:v>20.043851923076922</c:v>
                </c:pt>
                <c:pt idx="200">
                  <c:v>20.043851923076922</c:v>
                </c:pt>
                <c:pt idx="201">
                  <c:v>20.043851923076922</c:v>
                </c:pt>
                <c:pt idx="202">
                  <c:v>20.043851923076922</c:v>
                </c:pt>
                <c:pt idx="203">
                  <c:v>20.043851923076922</c:v>
                </c:pt>
                <c:pt idx="204">
                  <c:v>20.043851923076922</c:v>
                </c:pt>
                <c:pt idx="205">
                  <c:v>20.043851923076922</c:v>
                </c:pt>
                <c:pt idx="206">
                  <c:v>20.043851923076922</c:v>
                </c:pt>
                <c:pt idx="207">
                  <c:v>20.043851923076922</c:v>
                </c:pt>
                <c:pt idx="208">
                  <c:v>20.043851923076922</c:v>
                </c:pt>
                <c:pt idx="209">
                  <c:v>20.043851923076922</c:v>
                </c:pt>
                <c:pt idx="210">
                  <c:v>20.043851923076922</c:v>
                </c:pt>
                <c:pt idx="211">
                  <c:v>20.043851923076922</c:v>
                </c:pt>
                <c:pt idx="212">
                  <c:v>20.043851923076922</c:v>
                </c:pt>
                <c:pt idx="213">
                  <c:v>20.043851923076922</c:v>
                </c:pt>
                <c:pt idx="214">
                  <c:v>20.043851923076922</c:v>
                </c:pt>
                <c:pt idx="215">
                  <c:v>20.043851923076922</c:v>
                </c:pt>
                <c:pt idx="216">
                  <c:v>20.043851923076922</c:v>
                </c:pt>
                <c:pt idx="217">
                  <c:v>20.043851923076922</c:v>
                </c:pt>
                <c:pt idx="218">
                  <c:v>20.043851923076922</c:v>
                </c:pt>
                <c:pt idx="219">
                  <c:v>20.043851923076922</c:v>
                </c:pt>
                <c:pt idx="220">
                  <c:v>20.043851923076922</c:v>
                </c:pt>
                <c:pt idx="221">
                  <c:v>20.043851923076922</c:v>
                </c:pt>
                <c:pt idx="222">
                  <c:v>20.043851923076922</c:v>
                </c:pt>
                <c:pt idx="223">
                  <c:v>20.043851923076922</c:v>
                </c:pt>
                <c:pt idx="224">
                  <c:v>20.043851923076922</c:v>
                </c:pt>
                <c:pt idx="225">
                  <c:v>20.043851923076922</c:v>
                </c:pt>
                <c:pt idx="226">
                  <c:v>20.043851923076922</c:v>
                </c:pt>
                <c:pt idx="227">
                  <c:v>20.043851923076922</c:v>
                </c:pt>
                <c:pt idx="228">
                  <c:v>20.043851923076922</c:v>
                </c:pt>
                <c:pt idx="229">
                  <c:v>20.043851923076922</c:v>
                </c:pt>
                <c:pt idx="230">
                  <c:v>20.043851923076922</c:v>
                </c:pt>
                <c:pt idx="231">
                  <c:v>20.043851923076922</c:v>
                </c:pt>
                <c:pt idx="232">
                  <c:v>20.043851923076922</c:v>
                </c:pt>
                <c:pt idx="233">
                  <c:v>20.043851923076922</c:v>
                </c:pt>
                <c:pt idx="234">
                  <c:v>20.043851923076922</c:v>
                </c:pt>
                <c:pt idx="235">
                  <c:v>20.043851923076922</c:v>
                </c:pt>
                <c:pt idx="236">
                  <c:v>20.043851923076922</c:v>
                </c:pt>
                <c:pt idx="237">
                  <c:v>20.043851923076922</c:v>
                </c:pt>
                <c:pt idx="238">
                  <c:v>20.043851923076922</c:v>
                </c:pt>
                <c:pt idx="239">
                  <c:v>20.043851923076922</c:v>
                </c:pt>
                <c:pt idx="240">
                  <c:v>20.043851923076922</c:v>
                </c:pt>
                <c:pt idx="241">
                  <c:v>20.043851923076922</c:v>
                </c:pt>
                <c:pt idx="242">
                  <c:v>20.043851923076922</c:v>
                </c:pt>
                <c:pt idx="243">
                  <c:v>20.043851923076922</c:v>
                </c:pt>
                <c:pt idx="244">
                  <c:v>20.043851923076922</c:v>
                </c:pt>
                <c:pt idx="245">
                  <c:v>20.043851923076922</c:v>
                </c:pt>
                <c:pt idx="246">
                  <c:v>20.043851923076922</c:v>
                </c:pt>
                <c:pt idx="247">
                  <c:v>20.043851923076922</c:v>
                </c:pt>
                <c:pt idx="248">
                  <c:v>20.043851923076922</c:v>
                </c:pt>
                <c:pt idx="249">
                  <c:v>20.043851923076922</c:v>
                </c:pt>
                <c:pt idx="250">
                  <c:v>20.043851923076922</c:v>
                </c:pt>
                <c:pt idx="251">
                  <c:v>20.043851923076922</c:v>
                </c:pt>
                <c:pt idx="252">
                  <c:v>20.043851923076922</c:v>
                </c:pt>
                <c:pt idx="253">
                  <c:v>20.043851923076922</c:v>
                </c:pt>
                <c:pt idx="254">
                  <c:v>20.043851923076922</c:v>
                </c:pt>
                <c:pt idx="255">
                  <c:v>20.043851923076922</c:v>
                </c:pt>
                <c:pt idx="256">
                  <c:v>20.043851923076922</c:v>
                </c:pt>
                <c:pt idx="257">
                  <c:v>20.043851923076922</c:v>
                </c:pt>
                <c:pt idx="258">
                  <c:v>20.043851923076922</c:v>
                </c:pt>
                <c:pt idx="259">
                  <c:v>20.043851923076922</c:v>
                </c:pt>
                <c:pt idx="260">
                  <c:v>20.043851923076922</c:v>
                </c:pt>
                <c:pt idx="261">
                  <c:v>20.043851923076922</c:v>
                </c:pt>
                <c:pt idx="262">
                  <c:v>20.043851923076922</c:v>
                </c:pt>
                <c:pt idx="263">
                  <c:v>20.043851923076922</c:v>
                </c:pt>
                <c:pt idx="264">
                  <c:v>20.043851923076922</c:v>
                </c:pt>
                <c:pt idx="265">
                  <c:v>20.043851923076922</c:v>
                </c:pt>
                <c:pt idx="266">
                  <c:v>20.043851923076922</c:v>
                </c:pt>
                <c:pt idx="267">
                  <c:v>20.043851923076922</c:v>
                </c:pt>
                <c:pt idx="268">
                  <c:v>20.043851923076922</c:v>
                </c:pt>
                <c:pt idx="269">
                  <c:v>20.043851923076922</c:v>
                </c:pt>
                <c:pt idx="270">
                  <c:v>20.043851923076922</c:v>
                </c:pt>
                <c:pt idx="271">
                  <c:v>20.043851923076922</c:v>
                </c:pt>
                <c:pt idx="272">
                  <c:v>20.043851923076922</c:v>
                </c:pt>
                <c:pt idx="273">
                  <c:v>20.043851923076922</c:v>
                </c:pt>
                <c:pt idx="274">
                  <c:v>20.043851923076922</c:v>
                </c:pt>
                <c:pt idx="275">
                  <c:v>20.043851923076922</c:v>
                </c:pt>
                <c:pt idx="276">
                  <c:v>20.043851923076922</c:v>
                </c:pt>
                <c:pt idx="277">
                  <c:v>20.043851923076922</c:v>
                </c:pt>
                <c:pt idx="278">
                  <c:v>20.043851923076922</c:v>
                </c:pt>
                <c:pt idx="279">
                  <c:v>20.043851923076922</c:v>
                </c:pt>
                <c:pt idx="280">
                  <c:v>20.043851923076922</c:v>
                </c:pt>
                <c:pt idx="281">
                  <c:v>20.043851923076922</c:v>
                </c:pt>
                <c:pt idx="282">
                  <c:v>20.043851923076922</c:v>
                </c:pt>
                <c:pt idx="283">
                  <c:v>20.043851923076922</c:v>
                </c:pt>
                <c:pt idx="284">
                  <c:v>20.043851923076922</c:v>
                </c:pt>
                <c:pt idx="285">
                  <c:v>20.043851923076922</c:v>
                </c:pt>
                <c:pt idx="286">
                  <c:v>20.043851923076922</c:v>
                </c:pt>
                <c:pt idx="287">
                  <c:v>20.043851923076922</c:v>
                </c:pt>
                <c:pt idx="288">
                  <c:v>20.043851923076922</c:v>
                </c:pt>
                <c:pt idx="289">
                  <c:v>20.043851923076922</c:v>
                </c:pt>
                <c:pt idx="290">
                  <c:v>20.043851923076922</c:v>
                </c:pt>
                <c:pt idx="291">
                  <c:v>20.043851923076922</c:v>
                </c:pt>
                <c:pt idx="292">
                  <c:v>20.043851923076922</c:v>
                </c:pt>
                <c:pt idx="293">
                  <c:v>20.043851923076922</c:v>
                </c:pt>
                <c:pt idx="294">
                  <c:v>20.043851923076922</c:v>
                </c:pt>
                <c:pt idx="295">
                  <c:v>20.043851923076922</c:v>
                </c:pt>
                <c:pt idx="296">
                  <c:v>20.043851923076922</c:v>
                </c:pt>
                <c:pt idx="297">
                  <c:v>20.043851923076922</c:v>
                </c:pt>
                <c:pt idx="298">
                  <c:v>20.043851923076922</c:v>
                </c:pt>
                <c:pt idx="299">
                  <c:v>20.043851923076922</c:v>
                </c:pt>
                <c:pt idx="300">
                  <c:v>20.043851923076922</c:v>
                </c:pt>
                <c:pt idx="301">
                  <c:v>20.043851923076922</c:v>
                </c:pt>
                <c:pt idx="302">
                  <c:v>20.043851923076922</c:v>
                </c:pt>
                <c:pt idx="303">
                  <c:v>20.043851923076922</c:v>
                </c:pt>
                <c:pt idx="304">
                  <c:v>20.043851923076922</c:v>
                </c:pt>
                <c:pt idx="305">
                  <c:v>20.043851923076922</c:v>
                </c:pt>
                <c:pt idx="306">
                  <c:v>20.043851923076922</c:v>
                </c:pt>
                <c:pt idx="307">
                  <c:v>20.043851923076922</c:v>
                </c:pt>
                <c:pt idx="308">
                  <c:v>20.043851923076922</c:v>
                </c:pt>
                <c:pt idx="309">
                  <c:v>20.043851923076922</c:v>
                </c:pt>
                <c:pt idx="310">
                  <c:v>20.043851923076922</c:v>
                </c:pt>
                <c:pt idx="311">
                  <c:v>20.043851923076922</c:v>
                </c:pt>
                <c:pt idx="312">
                  <c:v>20.043851923076922</c:v>
                </c:pt>
                <c:pt idx="313">
                  <c:v>20.043851923076922</c:v>
                </c:pt>
                <c:pt idx="314">
                  <c:v>20.043851923076922</c:v>
                </c:pt>
                <c:pt idx="315">
                  <c:v>20.043851923076922</c:v>
                </c:pt>
                <c:pt idx="316">
                  <c:v>20.043851923076922</c:v>
                </c:pt>
                <c:pt idx="317">
                  <c:v>20.043851923076922</c:v>
                </c:pt>
                <c:pt idx="318">
                  <c:v>20.043851923076922</c:v>
                </c:pt>
                <c:pt idx="319">
                  <c:v>20.043851923076922</c:v>
                </c:pt>
                <c:pt idx="320">
                  <c:v>20.043851923076922</c:v>
                </c:pt>
                <c:pt idx="321">
                  <c:v>20.043851923076922</c:v>
                </c:pt>
                <c:pt idx="322">
                  <c:v>20.043851923076922</c:v>
                </c:pt>
                <c:pt idx="323">
                  <c:v>20.043851923076922</c:v>
                </c:pt>
                <c:pt idx="324">
                  <c:v>20.043851923076922</c:v>
                </c:pt>
                <c:pt idx="325">
                  <c:v>20.043851923076922</c:v>
                </c:pt>
                <c:pt idx="326">
                  <c:v>20.043851923076922</c:v>
                </c:pt>
                <c:pt idx="327">
                  <c:v>20.043851923076922</c:v>
                </c:pt>
                <c:pt idx="328">
                  <c:v>20.043851923076922</c:v>
                </c:pt>
                <c:pt idx="329">
                  <c:v>20.043851923076922</c:v>
                </c:pt>
                <c:pt idx="330">
                  <c:v>20.043851923076922</c:v>
                </c:pt>
                <c:pt idx="331">
                  <c:v>20.043851923076922</c:v>
                </c:pt>
                <c:pt idx="332">
                  <c:v>20.043851923076922</c:v>
                </c:pt>
                <c:pt idx="333">
                  <c:v>20.043851923076922</c:v>
                </c:pt>
                <c:pt idx="334">
                  <c:v>20.043851923076922</c:v>
                </c:pt>
                <c:pt idx="335">
                  <c:v>20.043851923076922</c:v>
                </c:pt>
                <c:pt idx="336">
                  <c:v>20.043851923076922</c:v>
                </c:pt>
                <c:pt idx="337">
                  <c:v>20.043851923076922</c:v>
                </c:pt>
                <c:pt idx="338">
                  <c:v>20.043851923076922</c:v>
                </c:pt>
                <c:pt idx="339">
                  <c:v>20.043851923076922</c:v>
                </c:pt>
                <c:pt idx="340">
                  <c:v>20.043851923076922</c:v>
                </c:pt>
                <c:pt idx="341">
                  <c:v>20.043851923076922</c:v>
                </c:pt>
                <c:pt idx="342">
                  <c:v>20.043851923076922</c:v>
                </c:pt>
                <c:pt idx="343">
                  <c:v>20.043851923076922</c:v>
                </c:pt>
                <c:pt idx="344">
                  <c:v>20.043851923076922</c:v>
                </c:pt>
                <c:pt idx="345">
                  <c:v>20.043851923076922</c:v>
                </c:pt>
                <c:pt idx="346">
                  <c:v>20.043851923076922</c:v>
                </c:pt>
                <c:pt idx="347">
                  <c:v>20.043851923076922</c:v>
                </c:pt>
                <c:pt idx="348">
                  <c:v>20.043851923076922</c:v>
                </c:pt>
                <c:pt idx="349">
                  <c:v>20.043851923076922</c:v>
                </c:pt>
                <c:pt idx="350">
                  <c:v>20.043851923076922</c:v>
                </c:pt>
                <c:pt idx="351">
                  <c:v>20.043851923076922</c:v>
                </c:pt>
                <c:pt idx="352">
                  <c:v>20.043851923076922</c:v>
                </c:pt>
                <c:pt idx="353">
                  <c:v>20.043851923076922</c:v>
                </c:pt>
                <c:pt idx="354">
                  <c:v>20.043851923076922</c:v>
                </c:pt>
                <c:pt idx="355">
                  <c:v>20.043851923076922</c:v>
                </c:pt>
                <c:pt idx="356">
                  <c:v>20.043851923076922</c:v>
                </c:pt>
                <c:pt idx="357">
                  <c:v>20.043851923076922</c:v>
                </c:pt>
                <c:pt idx="358">
                  <c:v>20.043851923076922</c:v>
                </c:pt>
                <c:pt idx="359">
                  <c:v>20.043851923076922</c:v>
                </c:pt>
                <c:pt idx="360">
                  <c:v>20.043851923076922</c:v>
                </c:pt>
                <c:pt idx="361">
                  <c:v>20.043851923076922</c:v>
                </c:pt>
                <c:pt idx="362">
                  <c:v>20.043851923076922</c:v>
                </c:pt>
                <c:pt idx="363">
                  <c:v>20.043851923076922</c:v>
                </c:pt>
                <c:pt idx="364">
                  <c:v>20.043851923076922</c:v>
                </c:pt>
                <c:pt idx="365">
                  <c:v>20.043851923076922</c:v>
                </c:pt>
                <c:pt idx="366">
                  <c:v>20.043851923076922</c:v>
                </c:pt>
                <c:pt idx="367">
                  <c:v>20.043851923076922</c:v>
                </c:pt>
                <c:pt idx="368">
                  <c:v>20.043851923076922</c:v>
                </c:pt>
                <c:pt idx="369">
                  <c:v>20.043851923076922</c:v>
                </c:pt>
                <c:pt idx="370">
                  <c:v>20.043851923076922</c:v>
                </c:pt>
                <c:pt idx="371">
                  <c:v>20.043851923076922</c:v>
                </c:pt>
                <c:pt idx="372">
                  <c:v>20.043851923076922</c:v>
                </c:pt>
                <c:pt idx="373">
                  <c:v>20.043851923076922</c:v>
                </c:pt>
                <c:pt idx="374">
                  <c:v>20.043851923076922</c:v>
                </c:pt>
                <c:pt idx="375">
                  <c:v>20.043851923076922</c:v>
                </c:pt>
                <c:pt idx="376">
                  <c:v>20.043851923076922</c:v>
                </c:pt>
                <c:pt idx="377">
                  <c:v>20.043851923076922</c:v>
                </c:pt>
                <c:pt idx="378">
                  <c:v>20.043851923076922</c:v>
                </c:pt>
                <c:pt idx="379">
                  <c:v>20.043851923076922</c:v>
                </c:pt>
                <c:pt idx="380">
                  <c:v>20.043851923076922</c:v>
                </c:pt>
                <c:pt idx="381">
                  <c:v>20.043851923076922</c:v>
                </c:pt>
                <c:pt idx="382">
                  <c:v>20.043851923076922</c:v>
                </c:pt>
                <c:pt idx="383">
                  <c:v>20.043851923076922</c:v>
                </c:pt>
                <c:pt idx="384">
                  <c:v>20.043851923076922</c:v>
                </c:pt>
                <c:pt idx="385">
                  <c:v>20.043851923076922</c:v>
                </c:pt>
                <c:pt idx="386">
                  <c:v>20.043851923076922</c:v>
                </c:pt>
                <c:pt idx="387">
                  <c:v>20.043851923076922</c:v>
                </c:pt>
                <c:pt idx="388">
                  <c:v>20.043851923076922</c:v>
                </c:pt>
                <c:pt idx="389">
                  <c:v>20.043851923076922</c:v>
                </c:pt>
                <c:pt idx="390">
                  <c:v>20.043851923076922</c:v>
                </c:pt>
                <c:pt idx="391">
                  <c:v>20.043851923076922</c:v>
                </c:pt>
                <c:pt idx="392">
                  <c:v>20.043851923076922</c:v>
                </c:pt>
                <c:pt idx="393">
                  <c:v>20.043851923076922</c:v>
                </c:pt>
                <c:pt idx="394">
                  <c:v>20.043851923076922</c:v>
                </c:pt>
                <c:pt idx="395">
                  <c:v>20.043851923076922</c:v>
                </c:pt>
                <c:pt idx="396">
                  <c:v>20.043851923076922</c:v>
                </c:pt>
                <c:pt idx="397">
                  <c:v>20.043851923076922</c:v>
                </c:pt>
                <c:pt idx="398">
                  <c:v>20.043851923076922</c:v>
                </c:pt>
                <c:pt idx="399">
                  <c:v>20.043851923076922</c:v>
                </c:pt>
                <c:pt idx="400">
                  <c:v>20.043851923076922</c:v>
                </c:pt>
                <c:pt idx="401">
                  <c:v>20.043851923076922</c:v>
                </c:pt>
                <c:pt idx="402">
                  <c:v>20.043851923076922</c:v>
                </c:pt>
                <c:pt idx="403">
                  <c:v>20.043851923076922</c:v>
                </c:pt>
                <c:pt idx="404">
                  <c:v>20.043851923076922</c:v>
                </c:pt>
                <c:pt idx="405">
                  <c:v>20.043851923076922</c:v>
                </c:pt>
                <c:pt idx="406">
                  <c:v>20.043851923076922</c:v>
                </c:pt>
                <c:pt idx="407">
                  <c:v>20.043851923076922</c:v>
                </c:pt>
                <c:pt idx="408">
                  <c:v>20.043851923076922</c:v>
                </c:pt>
                <c:pt idx="409">
                  <c:v>20.043851923076922</c:v>
                </c:pt>
                <c:pt idx="410">
                  <c:v>20.043851923076922</c:v>
                </c:pt>
                <c:pt idx="411">
                  <c:v>20.043851923076922</c:v>
                </c:pt>
                <c:pt idx="412">
                  <c:v>20.043851923076922</c:v>
                </c:pt>
                <c:pt idx="413">
                  <c:v>20.043851923076922</c:v>
                </c:pt>
                <c:pt idx="414">
                  <c:v>20.043851923076922</c:v>
                </c:pt>
                <c:pt idx="415">
                  <c:v>20.043851923076922</c:v>
                </c:pt>
                <c:pt idx="416">
                  <c:v>20.043851923076922</c:v>
                </c:pt>
                <c:pt idx="417">
                  <c:v>20.043851923076922</c:v>
                </c:pt>
                <c:pt idx="418">
                  <c:v>20.043851923076922</c:v>
                </c:pt>
                <c:pt idx="419">
                  <c:v>20.043851923076922</c:v>
                </c:pt>
                <c:pt idx="420">
                  <c:v>20.043851923076922</c:v>
                </c:pt>
                <c:pt idx="421">
                  <c:v>20.043851923076922</c:v>
                </c:pt>
                <c:pt idx="422">
                  <c:v>20.043851923076922</c:v>
                </c:pt>
                <c:pt idx="423">
                  <c:v>20.043851923076922</c:v>
                </c:pt>
                <c:pt idx="424">
                  <c:v>20.043851923076922</c:v>
                </c:pt>
                <c:pt idx="425">
                  <c:v>20.043851923076922</c:v>
                </c:pt>
                <c:pt idx="426">
                  <c:v>20.043851923076922</c:v>
                </c:pt>
                <c:pt idx="427">
                  <c:v>20.043851923076922</c:v>
                </c:pt>
                <c:pt idx="428">
                  <c:v>20.043851923076922</c:v>
                </c:pt>
                <c:pt idx="429">
                  <c:v>20.043851923076922</c:v>
                </c:pt>
                <c:pt idx="430">
                  <c:v>20.043851923076922</c:v>
                </c:pt>
                <c:pt idx="431">
                  <c:v>20.043851923076922</c:v>
                </c:pt>
                <c:pt idx="432">
                  <c:v>20.043851923076922</c:v>
                </c:pt>
                <c:pt idx="433">
                  <c:v>20.043851923076922</c:v>
                </c:pt>
                <c:pt idx="434">
                  <c:v>20.043851923076922</c:v>
                </c:pt>
                <c:pt idx="435">
                  <c:v>20.043851923076922</c:v>
                </c:pt>
                <c:pt idx="436">
                  <c:v>20.043851923076922</c:v>
                </c:pt>
                <c:pt idx="437">
                  <c:v>20.043851923076922</c:v>
                </c:pt>
                <c:pt idx="438">
                  <c:v>20.043851923076922</c:v>
                </c:pt>
                <c:pt idx="439">
                  <c:v>20.043851923076922</c:v>
                </c:pt>
                <c:pt idx="440">
                  <c:v>20.043851923076922</c:v>
                </c:pt>
                <c:pt idx="441">
                  <c:v>20.043851923076922</c:v>
                </c:pt>
                <c:pt idx="442">
                  <c:v>20.043851923076922</c:v>
                </c:pt>
                <c:pt idx="443">
                  <c:v>20.043851923076922</c:v>
                </c:pt>
                <c:pt idx="444">
                  <c:v>20.043851923076922</c:v>
                </c:pt>
                <c:pt idx="445">
                  <c:v>20.043851923076922</c:v>
                </c:pt>
                <c:pt idx="446">
                  <c:v>20.043851923076922</c:v>
                </c:pt>
                <c:pt idx="447">
                  <c:v>20.043851923076922</c:v>
                </c:pt>
                <c:pt idx="448">
                  <c:v>20.043851923076922</c:v>
                </c:pt>
                <c:pt idx="449">
                  <c:v>20.043851923076922</c:v>
                </c:pt>
                <c:pt idx="450">
                  <c:v>20.043851923076922</c:v>
                </c:pt>
                <c:pt idx="451">
                  <c:v>20.043851923076922</c:v>
                </c:pt>
                <c:pt idx="452">
                  <c:v>20.043851923076922</c:v>
                </c:pt>
                <c:pt idx="453">
                  <c:v>20.043851923076922</c:v>
                </c:pt>
                <c:pt idx="454">
                  <c:v>20.043851923076922</c:v>
                </c:pt>
                <c:pt idx="455">
                  <c:v>20.043851923076922</c:v>
                </c:pt>
                <c:pt idx="456">
                  <c:v>20.043851923076922</c:v>
                </c:pt>
                <c:pt idx="457">
                  <c:v>20.043851923076922</c:v>
                </c:pt>
                <c:pt idx="458">
                  <c:v>20.043851923076922</c:v>
                </c:pt>
                <c:pt idx="459">
                  <c:v>20.043851923076922</c:v>
                </c:pt>
                <c:pt idx="460">
                  <c:v>20.043851923076922</c:v>
                </c:pt>
                <c:pt idx="461">
                  <c:v>20.043851923076922</c:v>
                </c:pt>
                <c:pt idx="462">
                  <c:v>20.043851923076922</c:v>
                </c:pt>
                <c:pt idx="463">
                  <c:v>20.043851923076922</c:v>
                </c:pt>
                <c:pt idx="464">
                  <c:v>20.043851923076922</c:v>
                </c:pt>
                <c:pt idx="465">
                  <c:v>20.043851923076922</c:v>
                </c:pt>
                <c:pt idx="466">
                  <c:v>20.043851923076922</c:v>
                </c:pt>
                <c:pt idx="467">
                  <c:v>20.043851923076922</c:v>
                </c:pt>
                <c:pt idx="468">
                  <c:v>20.043851923076922</c:v>
                </c:pt>
                <c:pt idx="469">
                  <c:v>20.043851923076922</c:v>
                </c:pt>
                <c:pt idx="470">
                  <c:v>20.043851923076922</c:v>
                </c:pt>
                <c:pt idx="471">
                  <c:v>20.043851923076922</c:v>
                </c:pt>
                <c:pt idx="472">
                  <c:v>20.043851923076922</c:v>
                </c:pt>
                <c:pt idx="473">
                  <c:v>20.043851923076922</c:v>
                </c:pt>
                <c:pt idx="474">
                  <c:v>20.043851923076922</c:v>
                </c:pt>
                <c:pt idx="475">
                  <c:v>20.043851923076922</c:v>
                </c:pt>
                <c:pt idx="476">
                  <c:v>20.043851923076922</c:v>
                </c:pt>
                <c:pt idx="477">
                  <c:v>20.043851923076922</c:v>
                </c:pt>
                <c:pt idx="478">
                  <c:v>20.043851923076922</c:v>
                </c:pt>
                <c:pt idx="479">
                  <c:v>20.043851923076922</c:v>
                </c:pt>
                <c:pt idx="480">
                  <c:v>20.043851923076922</c:v>
                </c:pt>
                <c:pt idx="481">
                  <c:v>20.043851923076922</c:v>
                </c:pt>
                <c:pt idx="482">
                  <c:v>20.043851923076922</c:v>
                </c:pt>
                <c:pt idx="483">
                  <c:v>20.043851923076922</c:v>
                </c:pt>
                <c:pt idx="484">
                  <c:v>20.043851923076922</c:v>
                </c:pt>
                <c:pt idx="485">
                  <c:v>20.043851923076922</c:v>
                </c:pt>
                <c:pt idx="486">
                  <c:v>20.043851923076922</c:v>
                </c:pt>
                <c:pt idx="487">
                  <c:v>20.043851923076922</c:v>
                </c:pt>
                <c:pt idx="488">
                  <c:v>20.043851923076922</c:v>
                </c:pt>
                <c:pt idx="489">
                  <c:v>20.043851923076922</c:v>
                </c:pt>
                <c:pt idx="490">
                  <c:v>20.043851923076922</c:v>
                </c:pt>
                <c:pt idx="491">
                  <c:v>20.043851923076922</c:v>
                </c:pt>
                <c:pt idx="492">
                  <c:v>20.043851923076922</c:v>
                </c:pt>
                <c:pt idx="493">
                  <c:v>20.043851923076922</c:v>
                </c:pt>
                <c:pt idx="494">
                  <c:v>20.043851923076922</c:v>
                </c:pt>
                <c:pt idx="495">
                  <c:v>20.043851923076922</c:v>
                </c:pt>
                <c:pt idx="496">
                  <c:v>20.043851923076922</c:v>
                </c:pt>
                <c:pt idx="497">
                  <c:v>20.043851923076922</c:v>
                </c:pt>
                <c:pt idx="498">
                  <c:v>20.043851923076922</c:v>
                </c:pt>
                <c:pt idx="499">
                  <c:v>20.043851923076922</c:v>
                </c:pt>
                <c:pt idx="500">
                  <c:v>20.043851923076922</c:v>
                </c:pt>
                <c:pt idx="501">
                  <c:v>20.043851923076922</c:v>
                </c:pt>
                <c:pt idx="502">
                  <c:v>20.043851923076922</c:v>
                </c:pt>
                <c:pt idx="503">
                  <c:v>20.043851923076922</c:v>
                </c:pt>
                <c:pt idx="504">
                  <c:v>20.043851923076922</c:v>
                </c:pt>
                <c:pt idx="505">
                  <c:v>20.043851923076922</c:v>
                </c:pt>
                <c:pt idx="506">
                  <c:v>20.043851923076922</c:v>
                </c:pt>
                <c:pt idx="507">
                  <c:v>20.043851923076922</c:v>
                </c:pt>
                <c:pt idx="508">
                  <c:v>20.043851923076922</c:v>
                </c:pt>
                <c:pt idx="509">
                  <c:v>20.043851923076922</c:v>
                </c:pt>
                <c:pt idx="510">
                  <c:v>20.043851923076922</c:v>
                </c:pt>
                <c:pt idx="511">
                  <c:v>20.043851923076922</c:v>
                </c:pt>
                <c:pt idx="512">
                  <c:v>20.043851923076922</c:v>
                </c:pt>
                <c:pt idx="513">
                  <c:v>20.043851923076922</c:v>
                </c:pt>
                <c:pt idx="514">
                  <c:v>20.043851923076922</c:v>
                </c:pt>
                <c:pt idx="515">
                  <c:v>20.043851923076922</c:v>
                </c:pt>
                <c:pt idx="516">
                  <c:v>20.043851923076922</c:v>
                </c:pt>
                <c:pt idx="517">
                  <c:v>20.043851923076922</c:v>
                </c:pt>
                <c:pt idx="518">
                  <c:v>20.043851923076922</c:v>
                </c:pt>
                <c:pt idx="519">
                  <c:v>20.043851923076922</c:v>
                </c:pt>
                <c:pt idx="520">
                  <c:v>20.043851923076922</c:v>
                </c:pt>
                <c:pt idx="521">
                  <c:v>20.043851923076922</c:v>
                </c:pt>
                <c:pt idx="522">
                  <c:v>20.043851923076922</c:v>
                </c:pt>
                <c:pt idx="523">
                  <c:v>20.043851923076922</c:v>
                </c:pt>
                <c:pt idx="524">
                  <c:v>20.043851923076922</c:v>
                </c:pt>
                <c:pt idx="525">
                  <c:v>20.043851923076922</c:v>
                </c:pt>
                <c:pt idx="526">
                  <c:v>20.043851923076922</c:v>
                </c:pt>
                <c:pt idx="527">
                  <c:v>20.043851923076922</c:v>
                </c:pt>
                <c:pt idx="528">
                  <c:v>20.043851923076922</c:v>
                </c:pt>
                <c:pt idx="529">
                  <c:v>20.043851923076922</c:v>
                </c:pt>
                <c:pt idx="530">
                  <c:v>20.043851923076922</c:v>
                </c:pt>
                <c:pt idx="531">
                  <c:v>20.043851923076922</c:v>
                </c:pt>
                <c:pt idx="532">
                  <c:v>20.043851923076922</c:v>
                </c:pt>
                <c:pt idx="533">
                  <c:v>20.043851923076922</c:v>
                </c:pt>
                <c:pt idx="534">
                  <c:v>20.043851923076922</c:v>
                </c:pt>
                <c:pt idx="535">
                  <c:v>20.043851923076922</c:v>
                </c:pt>
                <c:pt idx="536">
                  <c:v>20.043851923076922</c:v>
                </c:pt>
                <c:pt idx="537">
                  <c:v>20.043851923076922</c:v>
                </c:pt>
                <c:pt idx="538">
                  <c:v>20.043851923076922</c:v>
                </c:pt>
                <c:pt idx="539">
                  <c:v>20.043851923076922</c:v>
                </c:pt>
                <c:pt idx="540">
                  <c:v>20.043851923076922</c:v>
                </c:pt>
                <c:pt idx="541">
                  <c:v>20.043851923076922</c:v>
                </c:pt>
                <c:pt idx="542">
                  <c:v>20.043851923076922</c:v>
                </c:pt>
                <c:pt idx="543">
                  <c:v>20.043851923076922</c:v>
                </c:pt>
                <c:pt idx="544">
                  <c:v>20.043851923076922</c:v>
                </c:pt>
                <c:pt idx="545">
                  <c:v>20.043851923076922</c:v>
                </c:pt>
                <c:pt idx="546">
                  <c:v>20.043851923076922</c:v>
                </c:pt>
                <c:pt idx="547">
                  <c:v>20.043851923076922</c:v>
                </c:pt>
                <c:pt idx="548">
                  <c:v>20.043851923076922</c:v>
                </c:pt>
                <c:pt idx="549">
                  <c:v>20.043851923076922</c:v>
                </c:pt>
                <c:pt idx="550">
                  <c:v>20.043851923076922</c:v>
                </c:pt>
                <c:pt idx="551">
                  <c:v>20.043851923076922</c:v>
                </c:pt>
                <c:pt idx="552">
                  <c:v>20.043851923076922</c:v>
                </c:pt>
                <c:pt idx="553">
                  <c:v>20.043851923076922</c:v>
                </c:pt>
                <c:pt idx="554">
                  <c:v>20.043851923076922</c:v>
                </c:pt>
                <c:pt idx="555">
                  <c:v>20.043851923076922</c:v>
                </c:pt>
                <c:pt idx="556">
                  <c:v>20.043851923076922</c:v>
                </c:pt>
                <c:pt idx="557">
                  <c:v>20.043851923076922</c:v>
                </c:pt>
                <c:pt idx="558">
                  <c:v>20.043851923076922</c:v>
                </c:pt>
                <c:pt idx="559">
                  <c:v>20.043851923076922</c:v>
                </c:pt>
                <c:pt idx="560">
                  <c:v>20.043851923076922</c:v>
                </c:pt>
                <c:pt idx="561">
                  <c:v>20.043851923076922</c:v>
                </c:pt>
                <c:pt idx="562">
                  <c:v>20.043851923076922</c:v>
                </c:pt>
                <c:pt idx="563">
                  <c:v>20.043851923076922</c:v>
                </c:pt>
                <c:pt idx="564">
                  <c:v>20.043851923076922</c:v>
                </c:pt>
                <c:pt idx="565">
                  <c:v>20.043851923076922</c:v>
                </c:pt>
                <c:pt idx="566">
                  <c:v>20.043851923076922</c:v>
                </c:pt>
                <c:pt idx="567">
                  <c:v>20.043851923076922</c:v>
                </c:pt>
                <c:pt idx="568">
                  <c:v>20.043851923076922</c:v>
                </c:pt>
                <c:pt idx="569">
                  <c:v>20.043851923076922</c:v>
                </c:pt>
                <c:pt idx="570">
                  <c:v>20.043851923076922</c:v>
                </c:pt>
                <c:pt idx="571">
                  <c:v>20.043851923076922</c:v>
                </c:pt>
                <c:pt idx="572">
                  <c:v>20.043851923076922</c:v>
                </c:pt>
                <c:pt idx="573">
                  <c:v>20.043851923076922</c:v>
                </c:pt>
                <c:pt idx="574">
                  <c:v>20.043851923076922</c:v>
                </c:pt>
                <c:pt idx="575">
                  <c:v>20.043851923076922</c:v>
                </c:pt>
                <c:pt idx="576">
                  <c:v>20.043851923076922</c:v>
                </c:pt>
                <c:pt idx="577">
                  <c:v>20.043851923076922</c:v>
                </c:pt>
                <c:pt idx="578">
                  <c:v>20.043851923076922</c:v>
                </c:pt>
                <c:pt idx="579">
                  <c:v>20.043851923076922</c:v>
                </c:pt>
                <c:pt idx="580">
                  <c:v>20.043851923076922</c:v>
                </c:pt>
                <c:pt idx="581">
                  <c:v>20.043851923076922</c:v>
                </c:pt>
                <c:pt idx="582">
                  <c:v>20.043851923076922</c:v>
                </c:pt>
                <c:pt idx="583">
                  <c:v>20.043851923076922</c:v>
                </c:pt>
                <c:pt idx="584">
                  <c:v>20.043851923076922</c:v>
                </c:pt>
                <c:pt idx="585">
                  <c:v>20.043851923076922</c:v>
                </c:pt>
                <c:pt idx="586">
                  <c:v>20.043851923076922</c:v>
                </c:pt>
                <c:pt idx="587">
                  <c:v>20.043851923076922</c:v>
                </c:pt>
                <c:pt idx="588">
                  <c:v>20.043851923076922</c:v>
                </c:pt>
                <c:pt idx="589">
                  <c:v>20.043851923076922</c:v>
                </c:pt>
                <c:pt idx="590">
                  <c:v>20.043851923076922</c:v>
                </c:pt>
                <c:pt idx="591">
                  <c:v>20.043851923076922</c:v>
                </c:pt>
                <c:pt idx="592">
                  <c:v>20.043851923076922</c:v>
                </c:pt>
                <c:pt idx="593">
                  <c:v>20.043851923076922</c:v>
                </c:pt>
                <c:pt idx="594">
                  <c:v>20.043851923076922</c:v>
                </c:pt>
                <c:pt idx="595">
                  <c:v>20.043851923076922</c:v>
                </c:pt>
                <c:pt idx="596">
                  <c:v>20.043851923076922</c:v>
                </c:pt>
                <c:pt idx="597">
                  <c:v>20.043851923076922</c:v>
                </c:pt>
                <c:pt idx="598">
                  <c:v>20.043851923076922</c:v>
                </c:pt>
                <c:pt idx="599">
                  <c:v>20.043851923076922</c:v>
                </c:pt>
                <c:pt idx="600">
                  <c:v>20.043851923076922</c:v>
                </c:pt>
                <c:pt idx="601">
                  <c:v>20.043851923076922</c:v>
                </c:pt>
                <c:pt idx="602">
                  <c:v>20.043851923076922</c:v>
                </c:pt>
                <c:pt idx="603">
                  <c:v>20.043851923076922</c:v>
                </c:pt>
                <c:pt idx="604">
                  <c:v>20.043851923076922</c:v>
                </c:pt>
                <c:pt idx="605">
                  <c:v>20.043851923076922</c:v>
                </c:pt>
                <c:pt idx="606">
                  <c:v>20.043851923076922</c:v>
                </c:pt>
                <c:pt idx="607">
                  <c:v>20.043851923076922</c:v>
                </c:pt>
                <c:pt idx="608">
                  <c:v>20.043851923076922</c:v>
                </c:pt>
                <c:pt idx="609">
                  <c:v>20.043851923076922</c:v>
                </c:pt>
                <c:pt idx="610">
                  <c:v>20.043851923076922</c:v>
                </c:pt>
                <c:pt idx="611">
                  <c:v>20.043851923076922</c:v>
                </c:pt>
                <c:pt idx="612">
                  <c:v>20.043851923076922</c:v>
                </c:pt>
                <c:pt idx="613">
                  <c:v>20.043851923076922</c:v>
                </c:pt>
                <c:pt idx="614">
                  <c:v>20.043851923076922</c:v>
                </c:pt>
                <c:pt idx="615">
                  <c:v>20.043851923076922</c:v>
                </c:pt>
                <c:pt idx="616">
                  <c:v>20.043851923076922</c:v>
                </c:pt>
                <c:pt idx="617">
                  <c:v>20.043851923076922</c:v>
                </c:pt>
                <c:pt idx="618">
                  <c:v>20.043851923076922</c:v>
                </c:pt>
                <c:pt idx="619">
                  <c:v>20.043851923076922</c:v>
                </c:pt>
                <c:pt idx="620">
                  <c:v>20.043851923076922</c:v>
                </c:pt>
                <c:pt idx="621">
                  <c:v>20.043851923076922</c:v>
                </c:pt>
                <c:pt idx="622">
                  <c:v>20.043851923076922</c:v>
                </c:pt>
                <c:pt idx="623">
                  <c:v>20.043851923076922</c:v>
                </c:pt>
                <c:pt idx="624">
                  <c:v>20.043851923076922</c:v>
                </c:pt>
                <c:pt idx="625">
                  <c:v>20.043851923076922</c:v>
                </c:pt>
                <c:pt idx="626">
                  <c:v>20.043851923076922</c:v>
                </c:pt>
                <c:pt idx="627">
                  <c:v>20.043851923076922</c:v>
                </c:pt>
                <c:pt idx="628">
                  <c:v>20.043851923076922</c:v>
                </c:pt>
                <c:pt idx="629">
                  <c:v>20.043851923076922</c:v>
                </c:pt>
                <c:pt idx="630">
                  <c:v>20.043851923076922</c:v>
                </c:pt>
                <c:pt idx="631">
                  <c:v>20.043851923076922</c:v>
                </c:pt>
                <c:pt idx="632">
                  <c:v>20.043851923076922</c:v>
                </c:pt>
                <c:pt idx="633">
                  <c:v>20.043851923076922</c:v>
                </c:pt>
                <c:pt idx="634">
                  <c:v>20.043851923076922</c:v>
                </c:pt>
                <c:pt idx="635">
                  <c:v>20.043851923076922</c:v>
                </c:pt>
                <c:pt idx="636">
                  <c:v>20.043851923076922</c:v>
                </c:pt>
                <c:pt idx="637">
                  <c:v>20.043851923076922</c:v>
                </c:pt>
                <c:pt idx="638">
                  <c:v>20.043851923076922</c:v>
                </c:pt>
                <c:pt idx="639">
                  <c:v>20.043851923076922</c:v>
                </c:pt>
                <c:pt idx="640">
                  <c:v>20.043851923076922</c:v>
                </c:pt>
                <c:pt idx="641">
                  <c:v>20.043851923076922</c:v>
                </c:pt>
                <c:pt idx="642">
                  <c:v>20.043851923076922</c:v>
                </c:pt>
                <c:pt idx="643">
                  <c:v>20.043851923076922</c:v>
                </c:pt>
                <c:pt idx="644">
                  <c:v>20.043851923076922</c:v>
                </c:pt>
                <c:pt idx="645">
                  <c:v>20.043851923076922</c:v>
                </c:pt>
                <c:pt idx="646">
                  <c:v>20.043851923076922</c:v>
                </c:pt>
                <c:pt idx="647">
                  <c:v>20.043851923076922</c:v>
                </c:pt>
                <c:pt idx="648">
                  <c:v>20.043851923076922</c:v>
                </c:pt>
                <c:pt idx="649">
                  <c:v>20.043851923076922</c:v>
                </c:pt>
                <c:pt idx="650">
                  <c:v>20.043851923076922</c:v>
                </c:pt>
                <c:pt idx="651">
                  <c:v>20.043851923076922</c:v>
                </c:pt>
                <c:pt idx="652">
                  <c:v>20.043851923076922</c:v>
                </c:pt>
                <c:pt idx="653">
                  <c:v>20.043851923076922</c:v>
                </c:pt>
                <c:pt idx="654">
                  <c:v>20.043851923076922</c:v>
                </c:pt>
                <c:pt idx="655">
                  <c:v>20.043851923076922</c:v>
                </c:pt>
                <c:pt idx="656">
                  <c:v>20.043851923076922</c:v>
                </c:pt>
                <c:pt idx="657">
                  <c:v>20.043851923076922</c:v>
                </c:pt>
                <c:pt idx="658">
                  <c:v>20.043851923076922</c:v>
                </c:pt>
                <c:pt idx="659">
                  <c:v>20.043851923076922</c:v>
                </c:pt>
                <c:pt idx="660">
                  <c:v>20.043851923076922</c:v>
                </c:pt>
                <c:pt idx="661">
                  <c:v>20.043851923076922</c:v>
                </c:pt>
                <c:pt idx="662">
                  <c:v>20.043851923076922</c:v>
                </c:pt>
                <c:pt idx="663">
                  <c:v>20.043851923076922</c:v>
                </c:pt>
                <c:pt idx="664">
                  <c:v>20.043851923076922</c:v>
                </c:pt>
                <c:pt idx="665">
                  <c:v>20.043851923076922</c:v>
                </c:pt>
                <c:pt idx="666">
                  <c:v>20.043851923076922</c:v>
                </c:pt>
                <c:pt idx="667">
                  <c:v>20.043851923076922</c:v>
                </c:pt>
                <c:pt idx="668">
                  <c:v>20.043851923076922</c:v>
                </c:pt>
                <c:pt idx="669">
                  <c:v>20.043851923076922</c:v>
                </c:pt>
                <c:pt idx="670">
                  <c:v>20.043851923076922</c:v>
                </c:pt>
                <c:pt idx="671">
                  <c:v>20.043851923076922</c:v>
                </c:pt>
                <c:pt idx="672">
                  <c:v>20.043851923076922</c:v>
                </c:pt>
                <c:pt idx="673">
                  <c:v>20.043851923076922</c:v>
                </c:pt>
                <c:pt idx="674">
                  <c:v>20.043851923076922</c:v>
                </c:pt>
                <c:pt idx="675">
                  <c:v>20.043851923076922</c:v>
                </c:pt>
                <c:pt idx="676">
                  <c:v>20.043851923076922</c:v>
                </c:pt>
                <c:pt idx="677">
                  <c:v>20.043851923076922</c:v>
                </c:pt>
                <c:pt idx="678">
                  <c:v>20.043851923076922</c:v>
                </c:pt>
                <c:pt idx="679">
                  <c:v>20.043851923076922</c:v>
                </c:pt>
                <c:pt idx="680">
                  <c:v>20.043851923076922</c:v>
                </c:pt>
                <c:pt idx="681">
                  <c:v>20.043851923076922</c:v>
                </c:pt>
                <c:pt idx="682">
                  <c:v>20.043851923076922</c:v>
                </c:pt>
                <c:pt idx="683">
                  <c:v>20.043851923076922</c:v>
                </c:pt>
                <c:pt idx="684">
                  <c:v>20.043851923076922</c:v>
                </c:pt>
                <c:pt idx="685">
                  <c:v>20.043851923076922</c:v>
                </c:pt>
                <c:pt idx="686">
                  <c:v>20.043851923076922</c:v>
                </c:pt>
                <c:pt idx="687">
                  <c:v>20.043851923076922</c:v>
                </c:pt>
                <c:pt idx="688">
                  <c:v>20.043851923076922</c:v>
                </c:pt>
                <c:pt idx="689">
                  <c:v>20.043851923076922</c:v>
                </c:pt>
                <c:pt idx="690">
                  <c:v>20.043851923076922</c:v>
                </c:pt>
                <c:pt idx="691">
                  <c:v>20.043851923076922</c:v>
                </c:pt>
                <c:pt idx="692">
                  <c:v>20.043851923076922</c:v>
                </c:pt>
                <c:pt idx="693">
                  <c:v>20.043851923076922</c:v>
                </c:pt>
                <c:pt idx="694">
                  <c:v>20.043851923076922</c:v>
                </c:pt>
                <c:pt idx="695">
                  <c:v>20.043851923076922</c:v>
                </c:pt>
                <c:pt idx="696">
                  <c:v>20.043851923076922</c:v>
                </c:pt>
                <c:pt idx="697">
                  <c:v>20.043851923076922</c:v>
                </c:pt>
                <c:pt idx="698">
                  <c:v>20.043851923076922</c:v>
                </c:pt>
                <c:pt idx="699">
                  <c:v>20.043851923076922</c:v>
                </c:pt>
                <c:pt idx="700">
                  <c:v>20.043851923076922</c:v>
                </c:pt>
                <c:pt idx="701">
                  <c:v>20.043851923076922</c:v>
                </c:pt>
                <c:pt idx="702">
                  <c:v>20.043851923076922</c:v>
                </c:pt>
                <c:pt idx="703">
                  <c:v>20.043851923076922</c:v>
                </c:pt>
                <c:pt idx="704">
                  <c:v>20.043851923076922</c:v>
                </c:pt>
                <c:pt idx="705">
                  <c:v>20.043851923076922</c:v>
                </c:pt>
                <c:pt idx="706">
                  <c:v>20.043851923076922</c:v>
                </c:pt>
                <c:pt idx="707">
                  <c:v>20.043851923076922</c:v>
                </c:pt>
                <c:pt idx="708">
                  <c:v>20.043851923076922</c:v>
                </c:pt>
                <c:pt idx="709">
                  <c:v>20.043851923076922</c:v>
                </c:pt>
                <c:pt idx="710">
                  <c:v>20.043851923076922</c:v>
                </c:pt>
                <c:pt idx="711">
                  <c:v>20.043851923076922</c:v>
                </c:pt>
                <c:pt idx="712">
                  <c:v>20.043851923076922</c:v>
                </c:pt>
                <c:pt idx="713">
                  <c:v>20.043851923076922</c:v>
                </c:pt>
                <c:pt idx="714">
                  <c:v>20.043851923076922</c:v>
                </c:pt>
                <c:pt idx="715">
                  <c:v>20.043851923076922</c:v>
                </c:pt>
                <c:pt idx="716">
                  <c:v>20.043851923076922</c:v>
                </c:pt>
                <c:pt idx="717">
                  <c:v>20.043851923076922</c:v>
                </c:pt>
                <c:pt idx="718">
                  <c:v>20.043851923076922</c:v>
                </c:pt>
                <c:pt idx="719">
                  <c:v>20.043851923076922</c:v>
                </c:pt>
                <c:pt idx="720">
                  <c:v>20.043851923076922</c:v>
                </c:pt>
                <c:pt idx="721">
                  <c:v>20.043851923076922</c:v>
                </c:pt>
                <c:pt idx="722">
                  <c:v>20.043851923076922</c:v>
                </c:pt>
                <c:pt idx="723">
                  <c:v>20.043851923076922</c:v>
                </c:pt>
                <c:pt idx="724">
                  <c:v>20.043851923076922</c:v>
                </c:pt>
                <c:pt idx="725">
                  <c:v>20.043851923076922</c:v>
                </c:pt>
                <c:pt idx="726">
                  <c:v>20.043851923076922</c:v>
                </c:pt>
                <c:pt idx="727">
                  <c:v>20.043851923076922</c:v>
                </c:pt>
                <c:pt idx="728">
                  <c:v>20.043851923076922</c:v>
                </c:pt>
                <c:pt idx="729">
                  <c:v>20.043851923076922</c:v>
                </c:pt>
                <c:pt idx="730">
                  <c:v>20.043851923076922</c:v>
                </c:pt>
                <c:pt idx="731">
                  <c:v>20.043851923076922</c:v>
                </c:pt>
                <c:pt idx="732">
                  <c:v>20.043851923076922</c:v>
                </c:pt>
                <c:pt idx="733">
                  <c:v>20.043851923076922</c:v>
                </c:pt>
                <c:pt idx="734">
                  <c:v>20.043851923076922</c:v>
                </c:pt>
                <c:pt idx="735">
                  <c:v>20.043851923076922</c:v>
                </c:pt>
                <c:pt idx="736">
                  <c:v>20.043851923076922</c:v>
                </c:pt>
                <c:pt idx="737">
                  <c:v>20.043851923076922</c:v>
                </c:pt>
                <c:pt idx="738">
                  <c:v>20.043851923076922</c:v>
                </c:pt>
                <c:pt idx="739">
                  <c:v>20.043851923076922</c:v>
                </c:pt>
                <c:pt idx="740">
                  <c:v>20.043851923076922</c:v>
                </c:pt>
                <c:pt idx="741">
                  <c:v>20.043851923076922</c:v>
                </c:pt>
                <c:pt idx="742">
                  <c:v>20.043851923076922</c:v>
                </c:pt>
                <c:pt idx="743">
                  <c:v>20.043851923076922</c:v>
                </c:pt>
                <c:pt idx="744">
                  <c:v>20.043851923076922</c:v>
                </c:pt>
                <c:pt idx="745">
                  <c:v>20.043851923076922</c:v>
                </c:pt>
                <c:pt idx="746">
                  <c:v>20.043851923076922</c:v>
                </c:pt>
                <c:pt idx="747">
                  <c:v>20.043851923076922</c:v>
                </c:pt>
                <c:pt idx="748">
                  <c:v>20.043851923076922</c:v>
                </c:pt>
                <c:pt idx="749">
                  <c:v>20.043851923076922</c:v>
                </c:pt>
                <c:pt idx="750">
                  <c:v>20.043851923076922</c:v>
                </c:pt>
                <c:pt idx="751">
                  <c:v>20.043851923076922</c:v>
                </c:pt>
                <c:pt idx="752">
                  <c:v>20.043851923076922</c:v>
                </c:pt>
                <c:pt idx="753">
                  <c:v>20.043851923076922</c:v>
                </c:pt>
                <c:pt idx="754">
                  <c:v>20.043851923076922</c:v>
                </c:pt>
                <c:pt idx="755">
                  <c:v>20.043851923076922</c:v>
                </c:pt>
                <c:pt idx="756">
                  <c:v>20.043851923076922</c:v>
                </c:pt>
                <c:pt idx="757">
                  <c:v>20.043851923076922</c:v>
                </c:pt>
                <c:pt idx="758">
                  <c:v>20.043851923076922</c:v>
                </c:pt>
                <c:pt idx="759">
                  <c:v>20.043851923076922</c:v>
                </c:pt>
                <c:pt idx="760">
                  <c:v>20.043851923076922</c:v>
                </c:pt>
                <c:pt idx="761">
                  <c:v>20.043851923076922</c:v>
                </c:pt>
                <c:pt idx="762">
                  <c:v>20.043851923076922</c:v>
                </c:pt>
                <c:pt idx="763">
                  <c:v>20.043851923076922</c:v>
                </c:pt>
                <c:pt idx="764">
                  <c:v>20.043851923076922</c:v>
                </c:pt>
                <c:pt idx="765">
                  <c:v>20.043851923076922</c:v>
                </c:pt>
                <c:pt idx="766">
                  <c:v>20.043851923076922</c:v>
                </c:pt>
                <c:pt idx="767">
                  <c:v>20.043851923076922</c:v>
                </c:pt>
                <c:pt idx="768">
                  <c:v>20.043851923076922</c:v>
                </c:pt>
                <c:pt idx="769">
                  <c:v>20.043851923076922</c:v>
                </c:pt>
                <c:pt idx="770">
                  <c:v>20.043851923076922</c:v>
                </c:pt>
                <c:pt idx="771">
                  <c:v>20.043851923076922</c:v>
                </c:pt>
                <c:pt idx="772">
                  <c:v>20.043851923076922</c:v>
                </c:pt>
                <c:pt idx="773">
                  <c:v>20.043851923076922</c:v>
                </c:pt>
                <c:pt idx="774">
                  <c:v>20.043851923076922</c:v>
                </c:pt>
                <c:pt idx="775">
                  <c:v>20.043851923076922</c:v>
                </c:pt>
                <c:pt idx="776">
                  <c:v>20.043851923076922</c:v>
                </c:pt>
                <c:pt idx="777">
                  <c:v>20.043851923076922</c:v>
                </c:pt>
                <c:pt idx="778">
                  <c:v>20.043851923076922</c:v>
                </c:pt>
                <c:pt idx="779">
                  <c:v>20.043851923076922</c:v>
                </c:pt>
                <c:pt idx="780">
                  <c:v>20.043851923076922</c:v>
                </c:pt>
                <c:pt idx="781">
                  <c:v>20.043851923076922</c:v>
                </c:pt>
                <c:pt idx="782">
                  <c:v>20.043851923076922</c:v>
                </c:pt>
                <c:pt idx="783">
                  <c:v>20.043851923076922</c:v>
                </c:pt>
                <c:pt idx="784">
                  <c:v>20.043851923076922</c:v>
                </c:pt>
                <c:pt idx="785">
                  <c:v>20.043851923076922</c:v>
                </c:pt>
                <c:pt idx="786">
                  <c:v>20.043851923076922</c:v>
                </c:pt>
                <c:pt idx="787">
                  <c:v>20.043851923076922</c:v>
                </c:pt>
                <c:pt idx="788">
                  <c:v>20.043851923076922</c:v>
                </c:pt>
                <c:pt idx="789">
                  <c:v>20.043851923076922</c:v>
                </c:pt>
                <c:pt idx="790">
                  <c:v>20.043851923076922</c:v>
                </c:pt>
                <c:pt idx="791">
                  <c:v>20.043851923076922</c:v>
                </c:pt>
                <c:pt idx="792">
                  <c:v>20.043851923076922</c:v>
                </c:pt>
                <c:pt idx="793">
                  <c:v>20.043851923076922</c:v>
                </c:pt>
                <c:pt idx="794">
                  <c:v>20.043851923076922</c:v>
                </c:pt>
                <c:pt idx="795">
                  <c:v>20.043851923076922</c:v>
                </c:pt>
                <c:pt idx="796">
                  <c:v>20.043851923076922</c:v>
                </c:pt>
                <c:pt idx="797">
                  <c:v>20.043851923076922</c:v>
                </c:pt>
                <c:pt idx="798">
                  <c:v>20.043851923076922</c:v>
                </c:pt>
                <c:pt idx="799">
                  <c:v>20.043851923076922</c:v>
                </c:pt>
                <c:pt idx="800">
                  <c:v>20.043851923076922</c:v>
                </c:pt>
                <c:pt idx="801">
                  <c:v>20.043851923076922</c:v>
                </c:pt>
                <c:pt idx="802">
                  <c:v>20.043851923076922</c:v>
                </c:pt>
                <c:pt idx="803">
                  <c:v>20.043851923076922</c:v>
                </c:pt>
                <c:pt idx="804">
                  <c:v>20.043851923076922</c:v>
                </c:pt>
                <c:pt idx="805">
                  <c:v>20.043851923076922</c:v>
                </c:pt>
                <c:pt idx="806">
                  <c:v>20.043851923076922</c:v>
                </c:pt>
                <c:pt idx="807">
                  <c:v>20.043851923076922</c:v>
                </c:pt>
                <c:pt idx="808">
                  <c:v>20.043851923076922</c:v>
                </c:pt>
                <c:pt idx="809">
                  <c:v>20.043851923076922</c:v>
                </c:pt>
                <c:pt idx="810">
                  <c:v>20.043851923076922</c:v>
                </c:pt>
                <c:pt idx="811">
                  <c:v>20.043851923076922</c:v>
                </c:pt>
                <c:pt idx="812">
                  <c:v>20.043851923076922</c:v>
                </c:pt>
                <c:pt idx="813">
                  <c:v>20.043851923076922</c:v>
                </c:pt>
                <c:pt idx="814">
                  <c:v>20.043851923076922</c:v>
                </c:pt>
                <c:pt idx="815">
                  <c:v>20.043851923076922</c:v>
                </c:pt>
                <c:pt idx="816">
                  <c:v>20.043851923076922</c:v>
                </c:pt>
                <c:pt idx="817">
                  <c:v>20.043851923076922</c:v>
                </c:pt>
                <c:pt idx="818">
                  <c:v>20.043851923076922</c:v>
                </c:pt>
                <c:pt idx="819">
                  <c:v>20.043851923076922</c:v>
                </c:pt>
                <c:pt idx="820">
                  <c:v>20.043851923076922</c:v>
                </c:pt>
                <c:pt idx="821">
                  <c:v>20.043851923076922</c:v>
                </c:pt>
                <c:pt idx="822">
                  <c:v>20.043851923076922</c:v>
                </c:pt>
                <c:pt idx="823">
                  <c:v>20.043851923076922</c:v>
                </c:pt>
                <c:pt idx="824">
                  <c:v>20.043851923076922</c:v>
                </c:pt>
                <c:pt idx="825">
                  <c:v>20.043851923076922</c:v>
                </c:pt>
                <c:pt idx="826">
                  <c:v>20.043851923076922</c:v>
                </c:pt>
                <c:pt idx="827">
                  <c:v>20.043851923076922</c:v>
                </c:pt>
                <c:pt idx="828">
                  <c:v>20.043851923076922</c:v>
                </c:pt>
                <c:pt idx="829">
                  <c:v>20.043851923076922</c:v>
                </c:pt>
                <c:pt idx="830">
                  <c:v>20.043851923076922</c:v>
                </c:pt>
                <c:pt idx="831">
                  <c:v>20.043851923076922</c:v>
                </c:pt>
                <c:pt idx="832">
                  <c:v>20.043851923076922</c:v>
                </c:pt>
                <c:pt idx="833">
                  <c:v>20.043851923076922</c:v>
                </c:pt>
                <c:pt idx="834">
                  <c:v>20.043851923076922</c:v>
                </c:pt>
                <c:pt idx="835">
                  <c:v>20.043851923076922</c:v>
                </c:pt>
                <c:pt idx="836">
                  <c:v>20.043851923076922</c:v>
                </c:pt>
                <c:pt idx="837">
                  <c:v>20.043851923076922</c:v>
                </c:pt>
                <c:pt idx="838">
                  <c:v>20.043851923076922</c:v>
                </c:pt>
                <c:pt idx="839">
                  <c:v>20.043851923076922</c:v>
                </c:pt>
                <c:pt idx="840">
                  <c:v>20.043851923076922</c:v>
                </c:pt>
                <c:pt idx="841">
                  <c:v>20.043851923076922</c:v>
                </c:pt>
                <c:pt idx="842">
                  <c:v>20.043851923076922</c:v>
                </c:pt>
                <c:pt idx="843">
                  <c:v>20.043851923076922</c:v>
                </c:pt>
                <c:pt idx="844">
                  <c:v>20.043851923076922</c:v>
                </c:pt>
                <c:pt idx="845">
                  <c:v>20.043851923076922</c:v>
                </c:pt>
                <c:pt idx="846">
                  <c:v>20.043851923076922</c:v>
                </c:pt>
                <c:pt idx="847">
                  <c:v>20.043851923076922</c:v>
                </c:pt>
                <c:pt idx="848">
                  <c:v>20.043851923076922</c:v>
                </c:pt>
                <c:pt idx="849">
                  <c:v>20.043851923076922</c:v>
                </c:pt>
                <c:pt idx="850">
                  <c:v>20.043851923076922</c:v>
                </c:pt>
                <c:pt idx="851">
                  <c:v>20.043851923076922</c:v>
                </c:pt>
                <c:pt idx="852">
                  <c:v>20.043851923076922</c:v>
                </c:pt>
                <c:pt idx="853">
                  <c:v>20.043851923076922</c:v>
                </c:pt>
                <c:pt idx="854">
                  <c:v>20.043851923076922</c:v>
                </c:pt>
                <c:pt idx="855">
                  <c:v>20.043851923076922</c:v>
                </c:pt>
                <c:pt idx="856">
                  <c:v>20.043851923076922</c:v>
                </c:pt>
                <c:pt idx="857">
                  <c:v>20.043851923076922</c:v>
                </c:pt>
                <c:pt idx="858">
                  <c:v>20.043851923076922</c:v>
                </c:pt>
                <c:pt idx="859">
                  <c:v>20.043851923076922</c:v>
                </c:pt>
                <c:pt idx="860">
                  <c:v>20.043851923076922</c:v>
                </c:pt>
                <c:pt idx="861">
                  <c:v>20.043851923076922</c:v>
                </c:pt>
                <c:pt idx="862">
                  <c:v>20.043851923076922</c:v>
                </c:pt>
                <c:pt idx="863">
                  <c:v>20.043851923076922</c:v>
                </c:pt>
                <c:pt idx="864">
                  <c:v>20.043851923076922</c:v>
                </c:pt>
                <c:pt idx="865">
                  <c:v>20.043851923076922</c:v>
                </c:pt>
                <c:pt idx="866">
                  <c:v>20.043851923076922</c:v>
                </c:pt>
                <c:pt idx="867">
                  <c:v>20.043851923076922</c:v>
                </c:pt>
                <c:pt idx="868">
                  <c:v>20.043851923076922</c:v>
                </c:pt>
                <c:pt idx="869">
                  <c:v>20.043851923076922</c:v>
                </c:pt>
                <c:pt idx="870">
                  <c:v>20.043851923076922</c:v>
                </c:pt>
                <c:pt idx="871">
                  <c:v>20.043851923076922</c:v>
                </c:pt>
                <c:pt idx="872">
                  <c:v>20.043851923076922</c:v>
                </c:pt>
                <c:pt idx="873">
                  <c:v>20.043851923076922</c:v>
                </c:pt>
                <c:pt idx="874">
                  <c:v>20.043851923076922</c:v>
                </c:pt>
                <c:pt idx="875">
                  <c:v>20.043851923076922</c:v>
                </c:pt>
                <c:pt idx="876">
                  <c:v>20.043851923076922</c:v>
                </c:pt>
                <c:pt idx="877">
                  <c:v>20.043851923076922</c:v>
                </c:pt>
                <c:pt idx="878">
                  <c:v>20.043851923076922</c:v>
                </c:pt>
                <c:pt idx="879">
                  <c:v>20.043851923076922</c:v>
                </c:pt>
                <c:pt idx="880">
                  <c:v>20.043851923076922</c:v>
                </c:pt>
                <c:pt idx="881">
                  <c:v>20.043851923076922</c:v>
                </c:pt>
                <c:pt idx="882">
                  <c:v>20.043851923076922</c:v>
                </c:pt>
                <c:pt idx="883">
                  <c:v>20.043851923076922</c:v>
                </c:pt>
                <c:pt idx="884">
                  <c:v>20.043851923076922</c:v>
                </c:pt>
                <c:pt idx="885">
                  <c:v>20.043851923076922</c:v>
                </c:pt>
                <c:pt idx="886">
                  <c:v>20.043851923076922</c:v>
                </c:pt>
                <c:pt idx="887">
                  <c:v>20.043851923076922</c:v>
                </c:pt>
                <c:pt idx="888">
                  <c:v>20.043851923076922</c:v>
                </c:pt>
                <c:pt idx="889">
                  <c:v>20.043851923076922</c:v>
                </c:pt>
                <c:pt idx="890">
                  <c:v>20.043851923076922</c:v>
                </c:pt>
                <c:pt idx="891">
                  <c:v>20.043851923076922</c:v>
                </c:pt>
                <c:pt idx="892">
                  <c:v>20.043851923076922</c:v>
                </c:pt>
                <c:pt idx="893">
                  <c:v>20.043851923076922</c:v>
                </c:pt>
                <c:pt idx="894">
                  <c:v>20.043851923076922</c:v>
                </c:pt>
                <c:pt idx="895">
                  <c:v>20.043851923076922</c:v>
                </c:pt>
                <c:pt idx="896">
                  <c:v>20.043851923076922</c:v>
                </c:pt>
                <c:pt idx="897">
                  <c:v>20.043851923076922</c:v>
                </c:pt>
                <c:pt idx="898">
                  <c:v>20.043851923076922</c:v>
                </c:pt>
                <c:pt idx="899">
                  <c:v>20.043851923076922</c:v>
                </c:pt>
                <c:pt idx="900">
                  <c:v>20.043851923076922</c:v>
                </c:pt>
                <c:pt idx="901">
                  <c:v>20.043851923076922</c:v>
                </c:pt>
                <c:pt idx="902">
                  <c:v>20.043851923076922</c:v>
                </c:pt>
                <c:pt idx="903">
                  <c:v>20.043851923076922</c:v>
                </c:pt>
                <c:pt idx="904">
                  <c:v>20.043851923076922</c:v>
                </c:pt>
                <c:pt idx="905">
                  <c:v>20.043851923076922</c:v>
                </c:pt>
                <c:pt idx="906">
                  <c:v>20.043851923076922</c:v>
                </c:pt>
                <c:pt idx="907">
                  <c:v>20.043851923076922</c:v>
                </c:pt>
                <c:pt idx="908">
                  <c:v>20.043851923076922</c:v>
                </c:pt>
                <c:pt idx="909">
                  <c:v>20.043851923076922</c:v>
                </c:pt>
                <c:pt idx="910">
                  <c:v>20.043851923076922</c:v>
                </c:pt>
                <c:pt idx="911">
                  <c:v>20.043851923076922</c:v>
                </c:pt>
                <c:pt idx="912">
                  <c:v>20.043851923076922</c:v>
                </c:pt>
                <c:pt idx="913">
                  <c:v>20.043851923076922</c:v>
                </c:pt>
                <c:pt idx="914">
                  <c:v>20.043851923076922</c:v>
                </c:pt>
                <c:pt idx="915">
                  <c:v>20.043851923076922</c:v>
                </c:pt>
                <c:pt idx="916">
                  <c:v>20.043851923076922</c:v>
                </c:pt>
                <c:pt idx="917">
                  <c:v>20.043851923076922</c:v>
                </c:pt>
                <c:pt idx="918">
                  <c:v>20.043851923076922</c:v>
                </c:pt>
                <c:pt idx="919">
                  <c:v>20.043851923076922</c:v>
                </c:pt>
                <c:pt idx="920">
                  <c:v>20.043851923076922</c:v>
                </c:pt>
                <c:pt idx="921">
                  <c:v>20.043851923076922</c:v>
                </c:pt>
                <c:pt idx="922">
                  <c:v>20.043851923076922</c:v>
                </c:pt>
                <c:pt idx="923">
                  <c:v>20.043851923076922</c:v>
                </c:pt>
                <c:pt idx="924">
                  <c:v>20.043851923076922</c:v>
                </c:pt>
                <c:pt idx="925">
                  <c:v>20.043851923076922</c:v>
                </c:pt>
                <c:pt idx="926">
                  <c:v>20.043851923076922</c:v>
                </c:pt>
                <c:pt idx="927">
                  <c:v>20.043851923076922</c:v>
                </c:pt>
                <c:pt idx="928">
                  <c:v>20.043851923076922</c:v>
                </c:pt>
                <c:pt idx="929">
                  <c:v>20.043851923076922</c:v>
                </c:pt>
                <c:pt idx="930">
                  <c:v>20.043851923076922</c:v>
                </c:pt>
                <c:pt idx="931">
                  <c:v>20.043851923076922</c:v>
                </c:pt>
                <c:pt idx="932">
                  <c:v>20.043851923076922</c:v>
                </c:pt>
                <c:pt idx="933">
                  <c:v>20.043851923076922</c:v>
                </c:pt>
                <c:pt idx="934">
                  <c:v>20.043851923076922</c:v>
                </c:pt>
                <c:pt idx="935">
                  <c:v>20.043851923076922</c:v>
                </c:pt>
                <c:pt idx="936">
                  <c:v>20.043851923076922</c:v>
                </c:pt>
                <c:pt idx="937">
                  <c:v>20.043851923076922</c:v>
                </c:pt>
                <c:pt idx="938">
                  <c:v>20.043851923076922</c:v>
                </c:pt>
                <c:pt idx="939">
                  <c:v>20.043851923076922</c:v>
                </c:pt>
                <c:pt idx="940">
                  <c:v>20.043851923076922</c:v>
                </c:pt>
                <c:pt idx="941">
                  <c:v>20.043851923076922</c:v>
                </c:pt>
                <c:pt idx="942">
                  <c:v>20.043851923076922</c:v>
                </c:pt>
                <c:pt idx="943">
                  <c:v>20.043851923076922</c:v>
                </c:pt>
                <c:pt idx="944">
                  <c:v>20.043851923076922</c:v>
                </c:pt>
                <c:pt idx="945">
                  <c:v>20.043851923076922</c:v>
                </c:pt>
                <c:pt idx="946">
                  <c:v>20.043851923076922</c:v>
                </c:pt>
                <c:pt idx="947">
                  <c:v>20.043851923076922</c:v>
                </c:pt>
                <c:pt idx="948">
                  <c:v>20.043851923076922</c:v>
                </c:pt>
                <c:pt idx="949">
                  <c:v>20.043851923076922</c:v>
                </c:pt>
                <c:pt idx="950">
                  <c:v>20.043851923076922</c:v>
                </c:pt>
                <c:pt idx="951">
                  <c:v>20.043851923076922</c:v>
                </c:pt>
                <c:pt idx="952">
                  <c:v>20.043851923076922</c:v>
                </c:pt>
                <c:pt idx="953">
                  <c:v>20.043851923076922</c:v>
                </c:pt>
                <c:pt idx="954">
                  <c:v>20.043851923076922</c:v>
                </c:pt>
                <c:pt idx="955">
                  <c:v>20.043851923076922</c:v>
                </c:pt>
                <c:pt idx="956">
                  <c:v>20.043851923076922</c:v>
                </c:pt>
                <c:pt idx="957">
                  <c:v>20.043851923076922</c:v>
                </c:pt>
                <c:pt idx="958">
                  <c:v>20.043851923076922</c:v>
                </c:pt>
                <c:pt idx="959">
                  <c:v>20.043851923076922</c:v>
                </c:pt>
                <c:pt idx="960">
                  <c:v>20.043851923076922</c:v>
                </c:pt>
                <c:pt idx="961">
                  <c:v>20.043851923076922</c:v>
                </c:pt>
                <c:pt idx="962">
                  <c:v>20.043851923076922</c:v>
                </c:pt>
                <c:pt idx="963">
                  <c:v>20.043851923076922</c:v>
                </c:pt>
                <c:pt idx="964">
                  <c:v>20.043851923076922</c:v>
                </c:pt>
                <c:pt idx="965">
                  <c:v>20.043851923076922</c:v>
                </c:pt>
                <c:pt idx="966">
                  <c:v>20.043851923076922</c:v>
                </c:pt>
                <c:pt idx="967">
                  <c:v>20.043851923076922</c:v>
                </c:pt>
                <c:pt idx="968">
                  <c:v>20.043851923076922</c:v>
                </c:pt>
                <c:pt idx="969">
                  <c:v>20.043851923076922</c:v>
                </c:pt>
                <c:pt idx="970">
                  <c:v>20.043851923076922</c:v>
                </c:pt>
                <c:pt idx="971">
                  <c:v>20.043851923076922</c:v>
                </c:pt>
                <c:pt idx="972">
                  <c:v>20.043851923076922</c:v>
                </c:pt>
                <c:pt idx="973">
                  <c:v>20.043851923076922</c:v>
                </c:pt>
                <c:pt idx="974">
                  <c:v>20.043851923076922</c:v>
                </c:pt>
                <c:pt idx="975">
                  <c:v>20.043851923076922</c:v>
                </c:pt>
                <c:pt idx="976">
                  <c:v>20.043851923076922</c:v>
                </c:pt>
                <c:pt idx="977">
                  <c:v>20.043851923076922</c:v>
                </c:pt>
                <c:pt idx="978">
                  <c:v>20.043851923076922</c:v>
                </c:pt>
                <c:pt idx="979">
                  <c:v>20.043851923076922</c:v>
                </c:pt>
                <c:pt idx="980">
                  <c:v>20.043851923076922</c:v>
                </c:pt>
                <c:pt idx="981">
                  <c:v>20.043851923076922</c:v>
                </c:pt>
                <c:pt idx="982">
                  <c:v>20.043851923076922</c:v>
                </c:pt>
                <c:pt idx="983">
                  <c:v>20.043851923076922</c:v>
                </c:pt>
                <c:pt idx="984">
                  <c:v>20.043851923076922</c:v>
                </c:pt>
                <c:pt idx="985">
                  <c:v>20.043851923076922</c:v>
                </c:pt>
                <c:pt idx="986">
                  <c:v>20.043851923076922</c:v>
                </c:pt>
                <c:pt idx="987">
                  <c:v>20.043851923076922</c:v>
                </c:pt>
                <c:pt idx="988">
                  <c:v>20.043851923076922</c:v>
                </c:pt>
                <c:pt idx="989">
                  <c:v>20.043851923076922</c:v>
                </c:pt>
                <c:pt idx="990">
                  <c:v>20.043851923076922</c:v>
                </c:pt>
                <c:pt idx="991">
                  <c:v>20.043851923076922</c:v>
                </c:pt>
                <c:pt idx="992">
                  <c:v>20.043851923076922</c:v>
                </c:pt>
                <c:pt idx="993">
                  <c:v>20.043851923076922</c:v>
                </c:pt>
                <c:pt idx="994">
                  <c:v>20.043851923076922</c:v>
                </c:pt>
                <c:pt idx="995">
                  <c:v>20.043851923076922</c:v>
                </c:pt>
                <c:pt idx="996">
                  <c:v>20.043851923076922</c:v>
                </c:pt>
                <c:pt idx="997">
                  <c:v>20.043851923076922</c:v>
                </c:pt>
                <c:pt idx="998">
                  <c:v>20.043851923076922</c:v>
                </c:pt>
                <c:pt idx="999">
                  <c:v>20.043851923076922</c:v>
                </c:pt>
                <c:pt idx="1000">
                  <c:v>20.043851923076922</c:v>
                </c:pt>
                <c:pt idx="1001">
                  <c:v>20.043851923076922</c:v>
                </c:pt>
                <c:pt idx="1002">
                  <c:v>20.043851923076922</c:v>
                </c:pt>
                <c:pt idx="1003">
                  <c:v>20.043851923076922</c:v>
                </c:pt>
                <c:pt idx="1004">
                  <c:v>20.043851923076922</c:v>
                </c:pt>
                <c:pt idx="1005">
                  <c:v>20.043851923076922</c:v>
                </c:pt>
                <c:pt idx="1006">
                  <c:v>20.043851923076922</c:v>
                </c:pt>
                <c:pt idx="1007">
                  <c:v>20.043851923076922</c:v>
                </c:pt>
                <c:pt idx="1008">
                  <c:v>20.043851923076922</c:v>
                </c:pt>
                <c:pt idx="1009">
                  <c:v>20.043851923076922</c:v>
                </c:pt>
                <c:pt idx="1010">
                  <c:v>20.043851923076922</c:v>
                </c:pt>
                <c:pt idx="1011">
                  <c:v>20.043851923076922</c:v>
                </c:pt>
                <c:pt idx="1012">
                  <c:v>20.043851923076922</c:v>
                </c:pt>
                <c:pt idx="1013">
                  <c:v>20.043851923076922</c:v>
                </c:pt>
                <c:pt idx="1014">
                  <c:v>20.043851923076922</c:v>
                </c:pt>
                <c:pt idx="1015">
                  <c:v>20.043851923076922</c:v>
                </c:pt>
                <c:pt idx="1016">
                  <c:v>20.043851923076922</c:v>
                </c:pt>
                <c:pt idx="1017">
                  <c:v>20.043851923076922</c:v>
                </c:pt>
                <c:pt idx="1018">
                  <c:v>20.043851923076922</c:v>
                </c:pt>
                <c:pt idx="1019">
                  <c:v>20.043851923076922</c:v>
                </c:pt>
                <c:pt idx="1020">
                  <c:v>20.043851923076922</c:v>
                </c:pt>
                <c:pt idx="1021">
                  <c:v>20.043851923076922</c:v>
                </c:pt>
                <c:pt idx="1022">
                  <c:v>20.043851923076922</c:v>
                </c:pt>
                <c:pt idx="1023">
                  <c:v>20.043851923076922</c:v>
                </c:pt>
                <c:pt idx="1024">
                  <c:v>20.043851923076922</c:v>
                </c:pt>
                <c:pt idx="1025">
                  <c:v>20.043851923076922</c:v>
                </c:pt>
                <c:pt idx="1026">
                  <c:v>20.043851923076922</c:v>
                </c:pt>
                <c:pt idx="1027">
                  <c:v>20.043851923076922</c:v>
                </c:pt>
                <c:pt idx="1028">
                  <c:v>20.043851923076922</c:v>
                </c:pt>
                <c:pt idx="1029">
                  <c:v>20.043851923076922</c:v>
                </c:pt>
                <c:pt idx="1030">
                  <c:v>20.043851923076922</c:v>
                </c:pt>
                <c:pt idx="1031">
                  <c:v>20.043851923076922</c:v>
                </c:pt>
                <c:pt idx="1032">
                  <c:v>20.043851923076922</c:v>
                </c:pt>
                <c:pt idx="1033">
                  <c:v>20.043851923076922</c:v>
                </c:pt>
                <c:pt idx="1034">
                  <c:v>20.043851923076922</c:v>
                </c:pt>
                <c:pt idx="1035">
                  <c:v>20.043851923076922</c:v>
                </c:pt>
                <c:pt idx="1036">
                  <c:v>20.043851923076922</c:v>
                </c:pt>
                <c:pt idx="1037">
                  <c:v>20.043851923076922</c:v>
                </c:pt>
                <c:pt idx="1038">
                  <c:v>20.043851923076922</c:v>
                </c:pt>
                <c:pt idx="1039">
                  <c:v>20.043851923076922</c:v>
                </c:pt>
                <c:pt idx="1040">
                  <c:v>20.043851923076922</c:v>
                </c:pt>
                <c:pt idx="1041">
                  <c:v>20.043851923076922</c:v>
                </c:pt>
                <c:pt idx="1042">
                  <c:v>20.043851923076922</c:v>
                </c:pt>
                <c:pt idx="1043">
                  <c:v>20.043851923076922</c:v>
                </c:pt>
                <c:pt idx="1044">
                  <c:v>20.043851923076922</c:v>
                </c:pt>
                <c:pt idx="1045">
                  <c:v>20.043851923076922</c:v>
                </c:pt>
                <c:pt idx="1046">
                  <c:v>20.043851923076922</c:v>
                </c:pt>
                <c:pt idx="1047">
                  <c:v>20.043851923076922</c:v>
                </c:pt>
                <c:pt idx="1048">
                  <c:v>20.043851923076922</c:v>
                </c:pt>
                <c:pt idx="1049">
                  <c:v>20.043851923076922</c:v>
                </c:pt>
                <c:pt idx="1050">
                  <c:v>20.043851923076922</c:v>
                </c:pt>
                <c:pt idx="1051">
                  <c:v>20.043851923076922</c:v>
                </c:pt>
                <c:pt idx="1052">
                  <c:v>20.043851923076922</c:v>
                </c:pt>
                <c:pt idx="1053">
                  <c:v>20.043851923076922</c:v>
                </c:pt>
                <c:pt idx="1054">
                  <c:v>20.043851923076922</c:v>
                </c:pt>
                <c:pt idx="1055">
                  <c:v>20.043851923076922</c:v>
                </c:pt>
                <c:pt idx="1056">
                  <c:v>20.043851923076922</c:v>
                </c:pt>
                <c:pt idx="1057">
                  <c:v>20.043851923076922</c:v>
                </c:pt>
                <c:pt idx="1058">
                  <c:v>20.043851923076922</c:v>
                </c:pt>
                <c:pt idx="1059">
                  <c:v>20.043851923076922</c:v>
                </c:pt>
                <c:pt idx="1060">
                  <c:v>20.043851923076922</c:v>
                </c:pt>
                <c:pt idx="1061">
                  <c:v>20.043851923076922</c:v>
                </c:pt>
                <c:pt idx="1062">
                  <c:v>20.043851923076922</c:v>
                </c:pt>
                <c:pt idx="1063">
                  <c:v>20.043851923076922</c:v>
                </c:pt>
                <c:pt idx="1064">
                  <c:v>20.043851923076922</c:v>
                </c:pt>
                <c:pt idx="1065">
                  <c:v>20.043851923076922</c:v>
                </c:pt>
                <c:pt idx="1066">
                  <c:v>20.043851923076922</c:v>
                </c:pt>
                <c:pt idx="1067">
                  <c:v>20.043851923076922</c:v>
                </c:pt>
                <c:pt idx="1068">
                  <c:v>20.043851923076922</c:v>
                </c:pt>
                <c:pt idx="1069">
                  <c:v>20.043851923076922</c:v>
                </c:pt>
                <c:pt idx="1070">
                  <c:v>20.043851923076922</c:v>
                </c:pt>
                <c:pt idx="1071">
                  <c:v>20.043851923076922</c:v>
                </c:pt>
                <c:pt idx="1072">
                  <c:v>20.043851923076922</c:v>
                </c:pt>
                <c:pt idx="1073">
                  <c:v>20.043851923076922</c:v>
                </c:pt>
                <c:pt idx="1074">
                  <c:v>20.043851923076922</c:v>
                </c:pt>
                <c:pt idx="1075">
                  <c:v>20.043851923076922</c:v>
                </c:pt>
                <c:pt idx="1076">
                  <c:v>20.043851923076922</c:v>
                </c:pt>
                <c:pt idx="1077">
                  <c:v>20.043851923076922</c:v>
                </c:pt>
                <c:pt idx="1078">
                  <c:v>20.043851923076922</c:v>
                </c:pt>
                <c:pt idx="1079">
                  <c:v>20.043851923076922</c:v>
                </c:pt>
                <c:pt idx="1080">
                  <c:v>20.043851923076922</c:v>
                </c:pt>
                <c:pt idx="1081">
                  <c:v>20.043851923076922</c:v>
                </c:pt>
                <c:pt idx="1082">
                  <c:v>20.043851923076922</c:v>
                </c:pt>
                <c:pt idx="1083">
                  <c:v>20.043851923076922</c:v>
                </c:pt>
                <c:pt idx="1084">
                  <c:v>20.043851923076922</c:v>
                </c:pt>
                <c:pt idx="1085">
                  <c:v>20.043851923076922</c:v>
                </c:pt>
                <c:pt idx="1086">
                  <c:v>20.043851923076922</c:v>
                </c:pt>
                <c:pt idx="1087">
                  <c:v>20.043851923076922</c:v>
                </c:pt>
                <c:pt idx="1088">
                  <c:v>20.043851923076922</c:v>
                </c:pt>
                <c:pt idx="1089">
                  <c:v>20.043851923076922</c:v>
                </c:pt>
                <c:pt idx="1090">
                  <c:v>20.043851923076922</c:v>
                </c:pt>
                <c:pt idx="1091">
                  <c:v>20.043851923076922</c:v>
                </c:pt>
                <c:pt idx="1092">
                  <c:v>20.043851923076922</c:v>
                </c:pt>
                <c:pt idx="1093">
                  <c:v>20.043851923076922</c:v>
                </c:pt>
                <c:pt idx="1094">
                  <c:v>20.043851923076922</c:v>
                </c:pt>
                <c:pt idx="1095">
                  <c:v>20.043851923076922</c:v>
                </c:pt>
                <c:pt idx="1096">
                  <c:v>20.043851923076922</c:v>
                </c:pt>
                <c:pt idx="1097">
                  <c:v>20.043851923076922</c:v>
                </c:pt>
                <c:pt idx="1098">
                  <c:v>20.043851923076922</c:v>
                </c:pt>
                <c:pt idx="1099">
                  <c:v>20.043851923076922</c:v>
                </c:pt>
                <c:pt idx="1100">
                  <c:v>20.043851923076922</c:v>
                </c:pt>
                <c:pt idx="1101">
                  <c:v>20.043851923076922</c:v>
                </c:pt>
                <c:pt idx="1102">
                  <c:v>20.043851923076922</c:v>
                </c:pt>
                <c:pt idx="1103">
                  <c:v>20.043851923076922</c:v>
                </c:pt>
                <c:pt idx="1104">
                  <c:v>20.043851923076922</c:v>
                </c:pt>
                <c:pt idx="1105">
                  <c:v>20.043851923076922</c:v>
                </c:pt>
                <c:pt idx="1106">
                  <c:v>20.043851923076922</c:v>
                </c:pt>
                <c:pt idx="1107">
                  <c:v>20.043851923076922</c:v>
                </c:pt>
                <c:pt idx="1108">
                  <c:v>20.043851923076922</c:v>
                </c:pt>
                <c:pt idx="1109">
                  <c:v>20.043851923076922</c:v>
                </c:pt>
                <c:pt idx="1110">
                  <c:v>20.043851923076922</c:v>
                </c:pt>
                <c:pt idx="1111">
                  <c:v>20.043851923076922</c:v>
                </c:pt>
                <c:pt idx="1112">
                  <c:v>20.043851923076922</c:v>
                </c:pt>
                <c:pt idx="1113">
                  <c:v>20.043851923076922</c:v>
                </c:pt>
                <c:pt idx="1114">
                  <c:v>20.043851923076922</c:v>
                </c:pt>
                <c:pt idx="1115">
                  <c:v>20.043851923076922</c:v>
                </c:pt>
                <c:pt idx="1116">
                  <c:v>20.043851923076922</c:v>
                </c:pt>
                <c:pt idx="1117">
                  <c:v>20.043851923076922</c:v>
                </c:pt>
                <c:pt idx="1118">
                  <c:v>20.043851923076922</c:v>
                </c:pt>
                <c:pt idx="1119">
                  <c:v>20.043851923076922</c:v>
                </c:pt>
                <c:pt idx="1120">
                  <c:v>20.043851923076922</c:v>
                </c:pt>
                <c:pt idx="1121">
                  <c:v>20.043851923076922</c:v>
                </c:pt>
                <c:pt idx="1122">
                  <c:v>20.043851923076922</c:v>
                </c:pt>
                <c:pt idx="1123">
                  <c:v>20.043851923076922</c:v>
                </c:pt>
                <c:pt idx="1124">
                  <c:v>20.043851923076922</c:v>
                </c:pt>
                <c:pt idx="1125">
                  <c:v>20.043851923076922</c:v>
                </c:pt>
                <c:pt idx="1126">
                  <c:v>20.043851923076922</c:v>
                </c:pt>
                <c:pt idx="1127">
                  <c:v>20.043851923076922</c:v>
                </c:pt>
                <c:pt idx="1128">
                  <c:v>20.043851923076922</c:v>
                </c:pt>
                <c:pt idx="1129">
                  <c:v>20.043851923076922</c:v>
                </c:pt>
                <c:pt idx="1130">
                  <c:v>20.043851923076922</c:v>
                </c:pt>
                <c:pt idx="1131">
                  <c:v>20.043851923076922</c:v>
                </c:pt>
                <c:pt idx="1132">
                  <c:v>20.043851923076922</c:v>
                </c:pt>
                <c:pt idx="1133">
                  <c:v>20.043851923076922</c:v>
                </c:pt>
                <c:pt idx="1134">
                  <c:v>20.043851923076922</c:v>
                </c:pt>
                <c:pt idx="1135">
                  <c:v>20.043851923076922</c:v>
                </c:pt>
                <c:pt idx="1136">
                  <c:v>20.043851923076922</c:v>
                </c:pt>
                <c:pt idx="1137">
                  <c:v>20.043851923076922</c:v>
                </c:pt>
                <c:pt idx="1138">
                  <c:v>20.043851923076922</c:v>
                </c:pt>
                <c:pt idx="1139">
                  <c:v>20.043851923076922</c:v>
                </c:pt>
                <c:pt idx="1140">
                  <c:v>20.043851923076922</c:v>
                </c:pt>
                <c:pt idx="1141">
                  <c:v>20.043851923076922</c:v>
                </c:pt>
                <c:pt idx="1142">
                  <c:v>20.043851923076922</c:v>
                </c:pt>
                <c:pt idx="1143">
                  <c:v>20.043851923076922</c:v>
                </c:pt>
                <c:pt idx="1144">
                  <c:v>20.043851923076922</c:v>
                </c:pt>
                <c:pt idx="1145">
                  <c:v>20.043851923076922</c:v>
                </c:pt>
                <c:pt idx="1146">
                  <c:v>20.043851923076922</c:v>
                </c:pt>
                <c:pt idx="1147">
                  <c:v>20.043851923076922</c:v>
                </c:pt>
                <c:pt idx="1148">
                  <c:v>20.043851923076922</c:v>
                </c:pt>
                <c:pt idx="1149">
                  <c:v>20.043851923076922</c:v>
                </c:pt>
                <c:pt idx="1150">
                  <c:v>20.043851923076922</c:v>
                </c:pt>
                <c:pt idx="1151">
                  <c:v>20.043851923076922</c:v>
                </c:pt>
                <c:pt idx="1152">
                  <c:v>20.043851923076922</c:v>
                </c:pt>
                <c:pt idx="1153">
                  <c:v>20.043851923076922</c:v>
                </c:pt>
                <c:pt idx="1154">
                  <c:v>20.043851923076922</c:v>
                </c:pt>
                <c:pt idx="1155">
                  <c:v>20.043851923076922</c:v>
                </c:pt>
                <c:pt idx="1156">
                  <c:v>20.043851923076922</c:v>
                </c:pt>
                <c:pt idx="1157">
                  <c:v>20.043851923076922</c:v>
                </c:pt>
                <c:pt idx="1158">
                  <c:v>20.043851923076922</c:v>
                </c:pt>
                <c:pt idx="1159">
                  <c:v>20.043851923076922</c:v>
                </c:pt>
                <c:pt idx="1160">
                  <c:v>20.043851923076922</c:v>
                </c:pt>
                <c:pt idx="1161">
                  <c:v>20.043851923076922</c:v>
                </c:pt>
                <c:pt idx="1162">
                  <c:v>20.043851923076922</c:v>
                </c:pt>
                <c:pt idx="1163">
                  <c:v>20.043851923076922</c:v>
                </c:pt>
                <c:pt idx="1164">
                  <c:v>20.043851923076922</c:v>
                </c:pt>
                <c:pt idx="1165">
                  <c:v>20.043851923076922</c:v>
                </c:pt>
                <c:pt idx="1166">
                  <c:v>20.043851923076922</c:v>
                </c:pt>
                <c:pt idx="1167">
                  <c:v>20.043851923076922</c:v>
                </c:pt>
                <c:pt idx="1168">
                  <c:v>20.043851923076922</c:v>
                </c:pt>
                <c:pt idx="1169">
                  <c:v>20.043851923076922</c:v>
                </c:pt>
                <c:pt idx="1170">
                  <c:v>20.043851923076922</c:v>
                </c:pt>
                <c:pt idx="1171">
                  <c:v>20.043851923076922</c:v>
                </c:pt>
                <c:pt idx="1172">
                  <c:v>20.043851923076922</c:v>
                </c:pt>
                <c:pt idx="1173">
                  <c:v>20.043851923076922</c:v>
                </c:pt>
                <c:pt idx="1174">
                  <c:v>20.043851923076922</c:v>
                </c:pt>
                <c:pt idx="1175">
                  <c:v>20.043851923076922</c:v>
                </c:pt>
                <c:pt idx="1176">
                  <c:v>20.043851923076922</c:v>
                </c:pt>
                <c:pt idx="1177">
                  <c:v>20.043851923076922</c:v>
                </c:pt>
                <c:pt idx="1178">
                  <c:v>20.043851923076922</c:v>
                </c:pt>
                <c:pt idx="1179">
                  <c:v>20.043851923076922</c:v>
                </c:pt>
                <c:pt idx="1180">
                  <c:v>20.043851923076922</c:v>
                </c:pt>
                <c:pt idx="1181">
                  <c:v>20.043851923076922</c:v>
                </c:pt>
                <c:pt idx="1182">
                  <c:v>20.043851923076922</c:v>
                </c:pt>
                <c:pt idx="1183">
                  <c:v>20.043851923076922</c:v>
                </c:pt>
                <c:pt idx="1184">
                  <c:v>20.043851923076922</c:v>
                </c:pt>
                <c:pt idx="1185">
                  <c:v>20.043851923076922</c:v>
                </c:pt>
                <c:pt idx="1186">
                  <c:v>20.043851923076922</c:v>
                </c:pt>
                <c:pt idx="1187">
                  <c:v>20.043851923076922</c:v>
                </c:pt>
                <c:pt idx="1188">
                  <c:v>20.043851923076922</c:v>
                </c:pt>
                <c:pt idx="1189">
                  <c:v>20.043851923076922</c:v>
                </c:pt>
                <c:pt idx="1190">
                  <c:v>20.043851923076922</c:v>
                </c:pt>
                <c:pt idx="1191">
                  <c:v>20.043851923076922</c:v>
                </c:pt>
                <c:pt idx="1192">
                  <c:v>20.043851923076922</c:v>
                </c:pt>
                <c:pt idx="1193">
                  <c:v>20.043851923076922</c:v>
                </c:pt>
                <c:pt idx="1194">
                  <c:v>20.043851923076922</c:v>
                </c:pt>
                <c:pt idx="1195">
                  <c:v>20.043851923076922</c:v>
                </c:pt>
                <c:pt idx="1196">
                  <c:v>20.043851923076922</c:v>
                </c:pt>
                <c:pt idx="1197">
                  <c:v>20.043851923076922</c:v>
                </c:pt>
                <c:pt idx="1198">
                  <c:v>20.043851923076922</c:v>
                </c:pt>
                <c:pt idx="1199">
                  <c:v>20.043851923076922</c:v>
                </c:pt>
                <c:pt idx="1200">
                  <c:v>20.043851923076922</c:v>
                </c:pt>
                <c:pt idx="1201">
                  <c:v>20.043851923076922</c:v>
                </c:pt>
                <c:pt idx="1202">
                  <c:v>20.043851923076922</c:v>
                </c:pt>
                <c:pt idx="1203">
                  <c:v>20.043851923076922</c:v>
                </c:pt>
                <c:pt idx="1204">
                  <c:v>20.043851923076922</c:v>
                </c:pt>
                <c:pt idx="1205">
                  <c:v>20.043851923076922</c:v>
                </c:pt>
                <c:pt idx="1206">
                  <c:v>20.043851923076922</c:v>
                </c:pt>
                <c:pt idx="1207">
                  <c:v>20.043851923076922</c:v>
                </c:pt>
                <c:pt idx="1208">
                  <c:v>20.043851923076922</c:v>
                </c:pt>
                <c:pt idx="1209">
                  <c:v>20.043851923076922</c:v>
                </c:pt>
                <c:pt idx="1210">
                  <c:v>20.043851923076922</c:v>
                </c:pt>
                <c:pt idx="1211">
                  <c:v>20.043851923076922</c:v>
                </c:pt>
                <c:pt idx="1212">
                  <c:v>20.043851923076922</c:v>
                </c:pt>
                <c:pt idx="1213">
                  <c:v>20.043851923076922</c:v>
                </c:pt>
                <c:pt idx="1214">
                  <c:v>20.043851923076922</c:v>
                </c:pt>
                <c:pt idx="1215">
                  <c:v>20.043851923076922</c:v>
                </c:pt>
                <c:pt idx="1216">
                  <c:v>20.043851923076922</c:v>
                </c:pt>
                <c:pt idx="1217">
                  <c:v>20.043851923076922</c:v>
                </c:pt>
                <c:pt idx="1218">
                  <c:v>20.043851923076922</c:v>
                </c:pt>
                <c:pt idx="1219">
                  <c:v>20.043851923076922</c:v>
                </c:pt>
                <c:pt idx="1220">
                  <c:v>20.043851923076922</c:v>
                </c:pt>
                <c:pt idx="1221">
                  <c:v>20.043851923076922</c:v>
                </c:pt>
                <c:pt idx="1222">
                  <c:v>20.043851923076922</c:v>
                </c:pt>
                <c:pt idx="1223">
                  <c:v>20.043851923076922</c:v>
                </c:pt>
                <c:pt idx="1224">
                  <c:v>20.043851923076922</c:v>
                </c:pt>
                <c:pt idx="1225">
                  <c:v>20.043851923076922</c:v>
                </c:pt>
                <c:pt idx="1226">
                  <c:v>20.043851923076922</c:v>
                </c:pt>
                <c:pt idx="1227">
                  <c:v>20.043851923076922</c:v>
                </c:pt>
                <c:pt idx="1228">
                  <c:v>20.043851923076922</c:v>
                </c:pt>
                <c:pt idx="1229">
                  <c:v>20.043851923076922</c:v>
                </c:pt>
                <c:pt idx="1230">
                  <c:v>20.043851923076922</c:v>
                </c:pt>
                <c:pt idx="1231">
                  <c:v>20.043851923076922</c:v>
                </c:pt>
                <c:pt idx="1232">
                  <c:v>20.043851923076922</c:v>
                </c:pt>
                <c:pt idx="1233">
                  <c:v>20.043851923076922</c:v>
                </c:pt>
                <c:pt idx="1234">
                  <c:v>20.043851923076922</c:v>
                </c:pt>
                <c:pt idx="1235">
                  <c:v>20.043851923076922</c:v>
                </c:pt>
                <c:pt idx="1236">
                  <c:v>20.043851923076922</c:v>
                </c:pt>
                <c:pt idx="1237">
                  <c:v>20.043851923076922</c:v>
                </c:pt>
                <c:pt idx="1238">
                  <c:v>20.043851923076922</c:v>
                </c:pt>
                <c:pt idx="1239">
                  <c:v>20.043851923076922</c:v>
                </c:pt>
                <c:pt idx="1240">
                  <c:v>20.043851923076922</c:v>
                </c:pt>
                <c:pt idx="1241">
                  <c:v>20.043851923076922</c:v>
                </c:pt>
                <c:pt idx="1242">
                  <c:v>20.043851923076922</c:v>
                </c:pt>
                <c:pt idx="1243">
                  <c:v>20.043851923076922</c:v>
                </c:pt>
                <c:pt idx="1244">
                  <c:v>20.043851923076922</c:v>
                </c:pt>
                <c:pt idx="1245">
                  <c:v>20.043851923076922</c:v>
                </c:pt>
                <c:pt idx="1246">
                  <c:v>20.043851923076922</c:v>
                </c:pt>
                <c:pt idx="1247">
                  <c:v>20.043851923076922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[177]PE!$E$1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[177]PE!$A$2:$A$1249</c15:sqref>
                        </c15:formulaRef>
                      </c:ext>
                    </c:extLst>
                    <c:numCache>
                      <c:formatCode>m/d/yyyy</c:formatCode>
                      <c:ptCount val="1248"/>
                      <c:pt idx="0">
                        <c:v>44085</c:v>
                      </c:pt>
                      <c:pt idx="1">
                        <c:v>44088</c:v>
                      </c:pt>
                      <c:pt idx="2">
                        <c:v>44089</c:v>
                      </c:pt>
                      <c:pt idx="3">
                        <c:v>44090</c:v>
                      </c:pt>
                      <c:pt idx="4">
                        <c:v>44091</c:v>
                      </c:pt>
                      <c:pt idx="5">
                        <c:v>44092</c:v>
                      </c:pt>
                      <c:pt idx="6">
                        <c:v>44095</c:v>
                      </c:pt>
                      <c:pt idx="7">
                        <c:v>44096</c:v>
                      </c:pt>
                      <c:pt idx="8">
                        <c:v>44097</c:v>
                      </c:pt>
                      <c:pt idx="9">
                        <c:v>44098</c:v>
                      </c:pt>
                      <c:pt idx="10">
                        <c:v>44099</c:v>
                      </c:pt>
                      <c:pt idx="11">
                        <c:v>44102</c:v>
                      </c:pt>
                      <c:pt idx="12">
                        <c:v>44103</c:v>
                      </c:pt>
                      <c:pt idx="13">
                        <c:v>44104</c:v>
                      </c:pt>
                      <c:pt idx="14">
                        <c:v>44105</c:v>
                      </c:pt>
                      <c:pt idx="15">
                        <c:v>44106</c:v>
                      </c:pt>
                      <c:pt idx="16">
                        <c:v>44109</c:v>
                      </c:pt>
                      <c:pt idx="17">
                        <c:v>44110</c:v>
                      </c:pt>
                      <c:pt idx="18">
                        <c:v>44111</c:v>
                      </c:pt>
                      <c:pt idx="19">
                        <c:v>44112</c:v>
                      </c:pt>
                      <c:pt idx="20">
                        <c:v>44113</c:v>
                      </c:pt>
                      <c:pt idx="21">
                        <c:v>44116</c:v>
                      </c:pt>
                      <c:pt idx="22">
                        <c:v>44117</c:v>
                      </c:pt>
                      <c:pt idx="23">
                        <c:v>44118</c:v>
                      </c:pt>
                      <c:pt idx="24">
                        <c:v>44119</c:v>
                      </c:pt>
                      <c:pt idx="25">
                        <c:v>44120</c:v>
                      </c:pt>
                      <c:pt idx="26">
                        <c:v>44123</c:v>
                      </c:pt>
                      <c:pt idx="27">
                        <c:v>44124</c:v>
                      </c:pt>
                      <c:pt idx="28">
                        <c:v>44125</c:v>
                      </c:pt>
                      <c:pt idx="29">
                        <c:v>44126</c:v>
                      </c:pt>
                      <c:pt idx="30">
                        <c:v>44127</c:v>
                      </c:pt>
                      <c:pt idx="31">
                        <c:v>44130</c:v>
                      </c:pt>
                      <c:pt idx="32">
                        <c:v>44131</c:v>
                      </c:pt>
                      <c:pt idx="33">
                        <c:v>44132</c:v>
                      </c:pt>
                      <c:pt idx="34">
                        <c:v>44133</c:v>
                      </c:pt>
                      <c:pt idx="35">
                        <c:v>44134</c:v>
                      </c:pt>
                      <c:pt idx="36">
                        <c:v>44137</c:v>
                      </c:pt>
                      <c:pt idx="37">
                        <c:v>44138</c:v>
                      </c:pt>
                      <c:pt idx="38">
                        <c:v>44139</c:v>
                      </c:pt>
                      <c:pt idx="39">
                        <c:v>44140</c:v>
                      </c:pt>
                      <c:pt idx="40">
                        <c:v>44141</c:v>
                      </c:pt>
                      <c:pt idx="41">
                        <c:v>44144</c:v>
                      </c:pt>
                      <c:pt idx="42">
                        <c:v>44145</c:v>
                      </c:pt>
                      <c:pt idx="43">
                        <c:v>44146</c:v>
                      </c:pt>
                      <c:pt idx="44">
                        <c:v>44147</c:v>
                      </c:pt>
                      <c:pt idx="45">
                        <c:v>44148</c:v>
                      </c:pt>
                      <c:pt idx="46">
                        <c:v>44151</c:v>
                      </c:pt>
                      <c:pt idx="47">
                        <c:v>44152</c:v>
                      </c:pt>
                      <c:pt idx="48">
                        <c:v>44153</c:v>
                      </c:pt>
                      <c:pt idx="49">
                        <c:v>44154</c:v>
                      </c:pt>
                      <c:pt idx="50">
                        <c:v>44155</c:v>
                      </c:pt>
                      <c:pt idx="51">
                        <c:v>44158</c:v>
                      </c:pt>
                      <c:pt idx="52">
                        <c:v>44159</c:v>
                      </c:pt>
                      <c:pt idx="53">
                        <c:v>44160</c:v>
                      </c:pt>
                      <c:pt idx="54">
                        <c:v>44161</c:v>
                      </c:pt>
                      <c:pt idx="55">
                        <c:v>44162</c:v>
                      </c:pt>
                      <c:pt idx="56">
                        <c:v>44165</c:v>
                      </c:pt>
                      <c:pt idx="57">
                        <c:v>44166</c:v>
                      </c:pt>
                      <c:pt idx="58">
                        <c:v>44167</c:v>
                      </c:pt>
                      <c:pt idx="59">
                        <c:v>44168</c:v>
                      </c:pt>
                      <c:pt idx="60">
                        <c:v>44169</c:v>
                      </c:pt>
                      <c:pt idx="61">
                        <c:v>44172</c:v>
                      </c:pt>
                      <c:pt idx="62">
                        <c:v>44173</c:v>
                      </c:pt>
                      <c:pt idx="63">
                        <c:v>44174</c:v>
                      </c:pt>
                      <c:pt idx="64">
                        <c:v>44175</c:v>
                      </c:pt>
                      <c:pt idx="65">
                        <c:v>44176</c:v>
                      </c:pt>
                      <c:pt idx="66">
                        <c:v>44179</c:v>
                      </c:pt>
                      <c:pt idx="67">
                        <c:v>44180</c:v>
                      </c:pt>
                      <c:pt idx="68">
                        <c:v>44181</c:v>
                      </c:pt>
                      <c:pt idx="69">
                        <c:v>44182</c:v>
                      </c:pt>
                      <c:pt idx="70">
                        <c:v>44183</c:v>
                      </c:pt>
                      <c:pt idx="71">
                        <c:v>44186</c:v>
                      </c:pt>
                      <c:pt idx="72">
                        <c:v>44187</c:v>
                      </c:pt>
                      <c:pt idx="73">
                        <c:v>44188</c:v>
                      </c:pt>
                      <c:pt idx="74">
                        <c:v>44189</c:v>
                      </c:pt>
                      <c:pt idx="75">
                        <c:v>44190</c:v>
                      </c:pt>
                      <c:pt idx="76">
                        <c:v>44193</c:v>
                      </c:pt>
                      <c:pt idx="77">
                        <c:v>44194</c:v>
                      </c:pt>
                      <c:pt idx="78">
                        <c:v>44195</c:v>
                      </c:pt>
                      <c:pt idx="79">
                        <c:v>44196</c:v>
                      </c:pt>
                      <c:pt idx="80">
                        <c:v>44200</c:v>
                      </c:pt>
                      <c:pt idx="81">
                        <c:v>44201</c:v>
                      </c:pt>
                      <c:pt idx="82">
                        <c:v>44202</c:v>
                      </c:pt>
                      <c:pt idx="83">
                        <c:v>44203</c:v>
                      </c:pt>
                      <c:pt idx="84">
                        <c:v>44204</c:v>
                      </c:pt>
                      <c:pt idx="85">
                        <c:v>44207</c:v>
                      </c:pt>
                      <c:pt idx="86">
                        <c:v>44208</c:v>
                      </c:pt>
                      <c:pt idx="87">
                        <c:v>44209</c:v>
                      </c:pt>
                      <c:pt idx="88">
                        <c:v>44210</c:v>
                      </c:pt>
                      <c:pt idx="89">
                        <c:v>44211</c:v>
                      </c:pt>
                      <c:pt idx="90">
                        <c:v>44214</c:v>
                      </c:pt>
                      <c:pt idx="91">
                        <c:v>44215</c:v>
                      </c:pt>
                      <c:pt idx="92">
                        <c:v>44216</c:v>
                      </c:pt>
                      <c:pt idx="93">
                        <c:v>44217</c:v>
                      </c:pt>
                      <c:pt idx="94">
                        <c:v>44218</c:v>
                      </c:pt>
                      <c:pt idx="95">
                        <c:v>44221</c:v>
                      </c:pt>
                      <c:pt idx="96">
                        <c:v>44222</c:v>
                      </c:pt>
                      <c:pt idx="97">
                        <c:v>44223</c:v>
                      </c:pt>
                      <c:pt idx="98">
                        <c:v>44224</c:v>
                      </c:pt>
                      <c:pt idx="99">
                        <c:v>44225</c:v>
                      </c:pt>
                      <c:pt idx="100">
                        <c:v>44228</c:v>
                      </c:pt>
                      <c:pt idx="101">
                        <c:v>44229</c:v>
                      </c:pt>
                      <c:pt idx="102">
                        <c:v>44230</c:v>
                      </c:pt>
                      <c:pt idx="103">
                        <c:v>44231</c:v>
                      </c:pt>
                      <c:pt idx="104">
                        <c:v>44232</c:v>
                      </c:pt>
                      <c:pt idx="105">
                        <c:v>44235</c:v>
                      </c:pt>
                      <c:pt idx="106">
                        <c:v>44236</c:v>
                      </c:pt>
                      <c:pt idx="107">
                        <c:v>44244</c:v>
                      </c:pt>
                      <c:pt idx="108">
                        <c:v>44245</c:v>
                      </c:pt>
                      <c:pt idx="109">
                        <c:v>44246</c:v>
                      </c:pt>
                      <c:pt idx="110">
                        <c:v>44249</c:v>
                      </c:pt>
                      <c:pt idx="111">
                        <c:v>44250</c:v>
                      </c:pt>
                      <c:pt idx="112">
                        <c:v>44251</c:v>
                      </c:pt>
                      <c:pt idx="113">
                        <c:v>44252</c:v>
                      </c:pt>
                      <c:pt idx="114">
                        <c:v>44253</c:v>
                      </c:pt>
                      <c:pt idx="115">
                        <c:v>44256</c:v>
                      </c:pt>
                      <c:pt idx="116">
                        <c:v>44257</c:v>
                      </c:pt>
                      <c:pt idx="117">
                        <c:v>44258</c:v>
                      </c:pt>
                      <c:pt idx="118">
                        <c:v>44259</c:v>
                      </c:pt>
                      <c:pt idx="119">
                        <c:v>44260</c:v>
                      </c:pt>
                      <c:pt idx="120">
                        <c:v>44263</c:v>
                      </c:pt>
                      <c:pt idx="121">
                        <c:v>44264</c:v>
                      </c:pt>
                      <c:pt idx="122">
                        <c:v>44265</c:v>
                      </c:pt>
                      <c:pt idx="123">
                        <c:v>44266</c:v>
                      </c:pt>
                      <c:pt idx="124">
                        <c:v>44267</c:v>
                      </c:pt>
                      <c:pt idx="125">
                        <c:v>44270</c:v>
                      </c:pt>
                      <c:pt idx="126">
                        <c:v>44271</c:v>
                      </c:pt>
                      <c:pt idx="127">
                        <c:v>44272</c:v>
                      </c:pt>
                      <c:pt idx="128">
                        <c:v>44273</c:v>
                      </c:pt>
                      <c:pt idx="129">
                        <c:v>44274</c:v>
                      </c:pt>
                      <c:pt idx="130">
                        <c:v>44277</c:v>
                      </c:pt>
                      <c:pt idx="131">
                        <c:v>44278</c:v>
                      </c:pt>
                      <c:pt idx="132">
                        <c:v>44279</c:v>
                      </c:pt>
                      <c:pt idx="133">
                        <c:v>44280</c:v>
                      </c:pt>
                      <c:pt idx="134">
                        <c:v>44281</c:v>
                      </c:pt>
                      <c:pt idx="135">
                        <c:v>44284</c:v>
                      </c:pt>
                      <c:pt idx="136">
                        <c:v>44285</c:v>
                      </c:pt>
                      <c:pt idx="137">
                        <c:v>44286</c:v>
                      </c:pt>
                      <c:pt idx="138">
                        <c:v>44287</c:v>
                      </c:pt>
                      <c:pt idx="139">
                        <c:v>44288</c:v>
                      </c:pt>
                      <c:pt idx="140">
                        <c:v>44291</c:v>
                      </c:pt>
                      <c:pt idx="141">
                        <c:v>44292</c:v>
                      </c:pt>
                      <c:pt idx="142">
                        <c:v>44293</c:v>
                      </c:pt>
                      <c:pt idx="143">
                        <c:v>44294</c:v>
                      </c:pt>
                      <c:pt idx="144">
                        <c:v>44295</c:v>
                      </c:pt>
                      <c:pt idx="145">
                        <c:v>44298</c:v>
                      </c:pt>
                      <c:pt idx="146">
                        <c:v>44299</c:v>
                      </c:pt>
                      <c:pt idx="147">
                        <c:v>44300</c:v>
                      </c:pt>
                      <c:pt idx="148">
                        <c:v>44301</c:v>
                      </c:pt>
                      <c:pt idx="149">
                        <c:v>44302</c:v>
                      </c:pt>
                      <c:pt idx="150">
                        <c:v>44305</c:v>
                      </c:pt>
                      <c:pt idx="151">
                        <c:v>44306</c:v>
                      </c:pt>
                      <c:pt idx="152">
                        <c:v>44308</c:v>
                      </c:pt>
                      <c:pt idx="153">
                        <c:v>44309</c:v>
                      </c:pt>
                      <c:pt idx="154">
                        <c:v>44312</c:v>
                      </c:pt>
                      <c:pt idx="155">
                        <c:v>44313</c:v>
                      </c:pt>
                      <c:pt idx="156">
                        <c:v>44314</c:v>
                      </c:pt>
                      <c:pt idx="157">
                        <c:v>44315</c:v>
                      </c:pt>
                      <c:pt idx="158">
                        <c:v>44320</c:v>
                      </c:pt>
                      <c:pt idx="159">
                        <c:v>44321</c:v>
                      </c:pt>
                      <c:pt idx="160">
                        <c:v>44322</c:v>
                      </c:pt>
                      <c:pt idx="161">
                        <c:v>44323</c:v>
                      </c:pt>
                      <c:pt idx="162">
                        <c:v>44326</c:v>
                      </c:pt>
                      <c:pt idx="163">
                        <c:v>44327</c:v>
                      </c:pt>
                      <c:pt idx="164">
                        <c:v>44328</c:v>
                      </c:pt>
                      <c:pt idx="165">
                        <c:v>44329</c:v>
                      </c:pt>
                      <c:pt idx="166">
                        <c:v>44330</c:v>
                      </c:pt>
                      <c:pt idx="167">
                        <c:v>44333</c:v>
                      </c:pt>
                      <c:pt idx="168">
                        <c:v>44334</c:v>
                      </c:pt>
                      <c:pt idx="169">
                        <c:v>44335</c:v>
                      </c:pt>
                      <c:pt idx="170">
                        <c:v>44336</c:v>
                      </c:pt>
                      <c:pt idx="171">
                        <c:v>44337</c:v>
                      </c:pt>
                      <c:pt idx="172">
                        <c:v>44340</c:v>
                      </c:pt>
                      <c:pt idx="173">
                        <c:v>44341</c:v>
                      </c:pt>
                      <c:pt idx="174">
                        <c:v>44342</c:v>
                      </c:pt>
                      <c:pt idx="175">
                        <c:v>44343</c:v>
                      </c:pt>
                      <c:pt idx="176">
                        <c:v>44344</c:v>
                      </c:pt>
                      <c:pt idx="177">
                        <c:v>44347</c:v>
                      </c:pt>
                      <c:pt idx="178">
                        <c:v>44348</c:v>
                      </c:pt>
                      <c:pt idx="179">
                        <c:v>44349</c:v>
                      </c:pt>
                      <c:pt idx="180">
                        <c:v>44350</c:v>
                      </c:pt>
                      <c:pt idx="181">
                        <c:v>44351</c:v>
                      </c:pt>
                      <c:pt idx="182">
                        <c:v>44354</c:v>
                      </c:pt>
                      <c:pt idx="183">
                        <c:v>44355</c:v>
                      </c:pt>
                      <c:pt idx="184">
                        <c:v>44356</c:v>
                      </c:pt>
                      <c:pt idx="185">
                        <c:v>44357</c:v>
                      </c:pt>
                      <c:pt idx="186">
                        <c:v>44358</c:v>
                      </c:pt>
                      <c:pt idx="187">
                        <c:v>44361</c:v>
                      </c:pt>
                      <c:pt idx="188">
                        <c:v>44362</c:v>
                      </c:pt>
                      <c:pt idx="189">
                        <c:v>44363</c:v>
                      </c:pt>
                      <c:pt idx="190">
                        <c:v>44364</c:v>
                      </c:pt>
                      <c:pt idx="191">
                        <c:v>44365</c:v>
                      </c:pt>
                      <c:pt idx="192">
                        <c:v>44368</c:v>
                      </c:pt>
                      <c:pt idx="193">
                        <c:v>44369</c:v>
                      </c:pt>
                      <c:pt idx="194">
                        <c:v>44370</c:v>
                      </c:pt>
                      <c:pt idx="195">
                        <c:v>44371</c:v>
                      </c:pt>
                      <c:pt idx="196">
                        <c:v>44372</c:v>
                      </c:pt>
                      <c:pt idx="197">
                        <c:v>44375</c:v>
                      </c:pt>
                      <c:pt idx="198">
                        <c:v>44376</c:v>
                      </c:pt>
                      <c:pt idx="199">
                        <c:v>44377</c:v>
                      </c:pt>
                      <c:pt idx="200">
                        <c:v>44378</c:v>
                      </c:pt>
                      <c:pt idx="201">
                        <c:v>44379</c:v>
                      </c:pt>
                      <c:pt idx="202">
                        <c:v>44382</c:v>
                      </c:pt>
                      <c:pt idx="203">
                        <c:v>44383</c:v>
                      </c:pt>
                      <c:pt idx="204">
                        <c:v>44384</c:v>
                      </c:pt>
                      <c:pt idx="205">
                        <c:v>44385</c:v>
                      </c:pt>
                      <c:pt idx="206">
                        <c:v>44386</c:v>
                      </c:pt>
                      <c:pt idx="207">
                        <c:v>44389</c:v>
                      </c:pt>
                      <c:pt idx="208">
                        <c:v>44390</c:v>
                      </c:pt>
                      <c:pt idx="209">
                        <c:v>44391</c:v>
                      </c:pt>
                      <c:pt idx="210">
                        <c:v>44392</c:v>
                      </c:pt>
                      <c:pt idx="211">
                        <c:v>44393</c:v>
                      </c:pt>
                      <c:pt idx="212">
                        <c:v>44396</c:v>
                      </c:pt>
                      <c:pt idx="213">
                        <c:v>44397</c:v>
                      </c:pt>
                      <c:pt idx="214">
                        <c:v>44398</c:v>
                      </c:pt>
                      <c:pt idx="215">
                        <c:v>44399</c:v>
                      </c:pt>
                      <c:pt idx="216">
                        <c:v>44400</c:v>
                      </c:pt>
                      <c:pt idx="217">
                        <c:v>44403</c:v>
                      </c:pt>
                      <c:pt idx="218">
                        <c:v>44404</c:v>
                      </c:pt>
                      <c:pt idx="219">
                        <c:v>44405</c:v>
                      </c:pt>
                      <c:pt idx="220">
                        <c:v>44406</c:v>
                      </c:pt>
                      <c:pt idx="221">
                        <c:v>44407</c:v>
                      </c:pt>
                      <c:pt idx="222">
                        <c:v>44410</c:v>
                      </c:pt>
                      <c:pt idx="223">
                        <c:v>44411</c:v>
                      </c:pt>
                      <c:pt idx="224">
                        <c:v>44412</c:v>
                      </c:pt>
                      <c:pt idx="225">
                        <c:v>44413</c:v>
                      </c:pt>
                      <c:pt idx="226">
                        <c:v>44414</c:v>
                      </c:pt>
                      <c:pt idx="227">
                        <c:v>44417</c:v>
                      </c:pt>
                      <c:pt idx="228">
                        <c:v>44418</c:v>
                      </c:pt>
                      <c:pt idx="229">
                        <c:v>44419</c:v>
                      </c:pt>
                      <c:pt idx="230">
                        <c:v>44420</c:v>
                      </c:pt>
                      <c:pt idx="231">
                        <c:v>44421</c:v>
                      </c:pt>
                      <c:pt idx="232">
                        <c:v>44424</c:v>
                      </c:pt>
                      <c:pt idx="233">
                        <c:v>44425</c:v>
                      </c:pt>
                      <c:pt idx="234">
                        <c:v>44426</c:v>
                      </c:pt>
                      <c:pt idx="235">
                        <c:v>44427</c:v>
                      </c:pt>
                      <c:pt idx="236">
                        <c:v>44428</c:v>
                      </c:pt>
                      <c:pt idx="237">
                        <c:v>44431</c:v>
                      </c:pt>
                      <c:pt idx="238">
                        <c:v>44432</c:v>
                      </c:pt>
                      <c:pt idx="239">
                        <c:v>44433</c:v>
                      </c:pt>
                      <c:pt idx="240">
                        <c:v>44434</c:v>
                      </c:pt>
                      <c:pt idx="241">
                        <c:v>44435</c:v>
                      </c:pt>
                      <c:pt idx="242">
                        <c:v>44438</c:v>
                      </c:pt>
                      <c:pt idx="243">
                        <c:v>44439</c:v>
                      </c:pt>
                      <c:pt idx="244">
                        <c:v>44440</c:v>
                      </c:pt>
                      <c:pt idx="245">
                        <c:v>44445</c:v>
                      </c:pt>
                      <c:pt idx="246">
                        <c:v>44446</c:v>
                      </c:pt>
                      <c:pt idx="247">
                        <c:v>44447</c:v>
                      </c:pt>
                      <c:pt idx="248">
                        <c:v>44448</c:v>
                      </c:pt>
                      <c:pt idx="249">
                        <c:v>44449</c:v>
                      </c:pt>
                      <c:pt idx="250">
                        <c:v>44452</c:v>
                      </c:pt>
                      <c:pt idx="251">
                        <c:v>44453</c:v>
                      </c:pt>
                      <c:pt idx="252">
                        <c:v>44454</c:v>
                      </c:pt>
                      <c:pt idx="253">
                        <c:v>44455</c:v>
                      </c:pt>
                      <c:pt idx="254">
                        <c:v>44456</c:v>
                      </c:pt>
                      <c:pt idx="255">
                        <c:v>44459</c:v>
                      </c:pt>
                      <c:pt idx="256">
                        <c:v>44460</c:v>
                      </c:pt>
                      <c:pt idx="257">
                        <c:v>44461</c:v>
                      </c:pt>
                      <c:pt idx="258">
                        <c:v>44462</c:v>
                      </c:pt>
                      <c:pt idx="259">
                        <c:v>44463</c:v>
                      </c:pt>
                      <c:pt idx="260">
                        <c:v>44466</c:v>
                      </c:pt>
                      <c:pt idx="261">
                        <c:v>44467</c:v>
                      </c:pt>
                      <c:pt idx="262">
                        <c:v>44468</c:v>
                      </c:pt>
                      <c:pt idx="263">
                        <c:v>44469</c:v>
                      </c:pt>
                      <c:pt idx="264">
                        <c:v>44470</c:v>
                      </c:pt>
                      <c:pt idx="265">
                        <c:v>44473</c:v>
                      </c:pt>
                      <c:pt idx="266">
                        <c:v>44474</c:v>
                      </c:pt>
                      <c:pt idx="267">
                        <c:v>44475</c:v>
                      </c:pt>
                      <c:pt idx="268">
                        <c:v>44476</c:v>
                      </c:pt>
                      <c:pt idx="269">
                        <c:v>44477</c:v>
                      </c:pt>
                      <c:pt idx="270">
                        <c:v>44480</c:v>
                      </c:pt>
                      <c:pt idx="271">
                        <c:v>44481</c:v>
                      </c:pt>
                      <c:pt idx="272">
                        <c:v>44482</c:v>
                      </c:pt>
                      <c:pt idx="273">
                        <c:v>44483</c:v>
                      </c:pt>
                      <c:pt idx="274">
                        <c:v>44484</c:v>
                      </c:pt>
                      <c:pt idx="275">
                        <c:v>44487</c:v>
                      </c:pt>
                      <c:pt idx="276">
                        <c:v>44488</c:v>
                      </c:pt>
                      <c:pt idx="277">
                        <c:v>44489</c:v>
                      </c:pt>
                      <c:pt idx="278">
                        <c:v>44490</c:v>
                      </c:pt>
                      <c:pt idx="279">
                        <c:v>44491</c:v>
                      </c:pt>
                      <c:pt idx="280">
                        <c:v>44494</c:v>
                      </c:pt>
                      <c:pt idx="281">
                        <c:v>44495</c:v>
                      </c:pt>
                      <c:pt idx="282">
                        <c:v>44496</c:v>
                      </c:pt>
                      <c:pt idx="283">
                        <c:v>44497</c:v>
                      </c:pt>
                      <c:pt idx="284">
                        <c:v>44498</c:v>
                      </c:pt>
                      <c:pt idx="285">
                        <c:v>44501</c:v>
                      </c:pt>
                      <c:pt idx="286">
                        <c:v>44502</c:v>
                      </c:pt>
                      <c:pt idx="287">
                        <c:v>44503</c:v>
                      </c:pt>
                      <c:pt idx="288">
                        <c:v>44504</c:v>
                      </c:pt>
                      <c:pt idx="289">
                        <c:v>44505</c:v>
                      </c:pt>
                      <c:pt idx="290">
                        <c:v>44508</c:v>
                      </c:pt>
                      <c:pt idx="291">
                        <c:v>44509</c:v>
                      </c:pt>
                      <c:pt idx="292">
                        <c:v>44510</c:v>
                      </c:pt>
                      <c:pt idx="293">
                        <c:v>44511</c:v>
                      </c:pt>
                      <c:pt idx="294">
                        <c:v>44512</c:v>
                      </c:pt>
                      <c:pt idx="295">
                        <c:v>44515</c:v>
                      </c:pt>
                      <c:pt idx="296">
                        <c:v>44516</c:v>
                      </c:pt>
                      <c:pt idx="297">
                        <c:v>44517</c:v>
                      </c:pt>
                      <c:pt idx="298">
                        <c:v>44518</c:v>
                      </c:pt>
                      <c:pt idx="299">
                        <c:v>44519</c:v>
                      </c:pt>
                      <c:pt idx="300">
                        <c:v>44522</c:v>
                      </c:pt>
                      <c:pt idx="301">
                        <c:v>44523</c:v>
                      </c:pt>
                      <c:pt idx="302">
                        <c:v>44524</c:v>
                      </c:pt>
                      <c:pt idx="303">
                        <c:v>44525</c:v>
                      </c:pt>
                      <c:pt idx="304">
                        <c:v>44526</c:v>
                      </c:pt>
                      <c:pt idx="305">
                        <c:v>44529</c:v>
                      </c:pt>
                      <c:pt idx="306">
                        <c:v>44530</c:v>
                      </c:pt>
                      <c:pt idx="307">
                        <c:v>44531</c:v>
                      </c:pt>
                      <c:pt idx="308">
                        <c:v>44532</c:v>
                      </c:pt>
                      <c:pt idx="309">
                        <c:v>44533</c:v>
                      </c:pt>
                      <c:pt idx="310">
                        <c:v>44536</c:v>
                      </c:pt>
                      <c:pt idx="311">
                        <c:v>44537</c:v>
                      </c:pt>
                      <c:pt idx="312">
                        <c:v>44538</c:v>
                      </c:pt>
                      <c:pt idx="313">
                        <c:v>44539</c:v>
                      </c:pt>
                      <c:pt idx="314">
                        <c:v>44540</c:v>
                      </c:pt>
                      <c:pt idx="315">
                        <c:v>44543</c:v>
                      </c:pt>
                      <c:pt idx="316">
                        <c:v>44544</c:v>
                      </c:pt>
                      <c:pt idx="317">
                        <c:v>44545</c:v>
                      </c:pt>
                      <c:pt idx="318">
                        <c:v>44546</c:v>
                      </c:pt>
                      <c:pt idx="319">
                        <c:v>44547</c:v>
                      </c:pt>
                      <c:pt idx="320">
                        <c:v>44550</c:v>
                      </c:pt>
                      <c:pt idx="321">
                        <c:v>44551</c:v>
                      </c:pt>
                      <c:pt idx="322">
                        <c:v>44552</c:v>
                      </c:pt>
                      <c:pt idx="323">
                        <c:v>44553</c:v>
                      </c:pt>
                      <c:pt idx="324">
                        <c:v>44554</c:v>
                      </c:pt>
                      <c:pt idx="325">
                        <c:v>44557</c:v>
                      </c:pt>
                      <c:pt idx="326">
                        <c:v>44558</c:v>
                      </c:pt>
                      <c:pt idx="327">
                        <c:v>44559</c:v>
                      </c:pt>
                      <c:pt idx="328">
                        <c:v>44560</c:v>
                      </c:pt>
                      <c:pt idx="329">
                        <c:v>44561</c:v>
                      </c:pt>
                      <c:pt idx="330">
                        <c:v>44565</c:v>
                      </c:pt>
                      <c:pt idx="331">
                        <c:v>44566</c:v>
                      </c:pt>
                      <c:pt idx="332">
                        <c:v>44567</c:v>
                      </c:pt>
                      <c:pt idx="333">
                        <c:v>44568</c:v>
                      </c:pt>
                      <c:pt idx="334">
                        <c:v>44571</c:v>
                      </c:pt>
                      <c:pt idx="335">
                        <c:v>44572</c:v>
                      </c:pt>
                      <c:pt idx="336">
                        <c:v>44573</c:v>
                      </c:pt>
                      <c:pt idx="337">
                        <c:v>44574</c:v>
                      </c:pt>
                      <c:pt idx="338">
                        <c:v>44575</c:v>
                      </c:pt>
                      <c:pt idx="339">
                        <c:v>44578</c:v>
                      </c:pt>
                      <c:pt idx="340">
                        <c:v>44579</c:v>
                      </c:pt>
                      <c:pt idx="341">
                        <c:v>44580</c:v>
                      </c:pt>
                      <c:pt idx="342">
                        <c:v>44581</c:v>
                      </c:pt>
                      <c:pt idx="343">
                        <c:v>44582</c:v>
                      </c:pt>
                      <c:pt idx="344">
                        <c:v>44585</c:v>
                      </c:pt>
                      <c:pt idx="345">
                        <c:v>44586</c:v>
                      </c:pt>
                      <c:pt idx="346">
                        <c:v>44587</c:v>
                      </c:pt>
                      <c:pt idx="347">
                        <c:v>44588</c:v>
                      </c:pt>
                      <c:pt idx="348">
                        <c:v>44589</c:v>
                      </c:pt>
                      <c:pt idx="349">
                        <c:v>44599</c:v>
                      </c:pt>
                      <c:pt idx="350">
                        <c:v>44600</c:v>
                      </c:pt>
                      <c:pt idx="351">
                        <c:v>44601</c:v>
                      </c:pt>
                      <c:pt idx="352">
                        <c:v>44602</c:v>
                      </c:pt>
                      <c:pt idx="353">
                        <c:v>44603</c:v>
                      </c:pt>
                      <c:pt idx="354">
                        <c:v>44606</c:v>
                      </c:pt>
                      <c:pt idx="355">
                        <c:v>44607</c:v>
                      </c:pt>
                      <c:pt idx="356">
                        <c:v>44608</c:v>
                      </c:pt>
                      <c:pt idx="357">
                        <c:v>44609</c:v>
                      </c:pt>
                      <c:pt idx="358">
                        <c:v>44610</c:v>
                      </c:pt>
                      <c:pt idx="359">
                        <c:v>44613</c:v>
                      </c:pt>
                      <c:pt idx="360">
                        <c:v>44614</c:v>
                      </c:pt>
                      <c:pt idx="361">
                        <c:v>44615</c:v>
                      </c:pt>
                      <c:pt idx="362">
                        <c:v>44616</c:v>
                      </c:pt>
                      <c:pt idx="363">
                        <c:v>44617</c:v>
                      </c:pt>
                      <c:pt idx="364">
                        <c:v>44620</c:v>
                      </c:pt>
                      <c:pt idx="365">
                        <c:v>44621</c:v>
                      </c:pt>
                      <c:pt idx="366">
                        <c:v>44622</c:v>
                      </c:pt>
                      <c:pt idx="367">
                        <c:v>44623</c:v>
                      </c:pt>
                      <c:pt idx="368">
                        <c:v>44624</c:v>
                      </c:pt>
                      <c:pt idx="369">
                        <c:v>44627</c:v>
                      </c:pt>
                      <c:pt idx="370">
                        <c:v>44628</c:v>
                      </c:pt>
                      <c:pt idx="371">
                        <c:v>44629</c:v>
                      </c:pt>
                      <c:pt idx="372">
                        <c:v>44630</c:v>
                      </c:pt>
                      <c:pt idx="373">
                        <c:v>44631</c:v>
                      </c:pt>
                      <c:pt idx="374">
                        <c:v>44634</c:v>
                      </c:pt>
                      <c:pt idx="375">
                        <c:v>44635</c:v>
                      </c:pt>
                      <c:pt idx="376">
                        <c:v>44636</c:v>
                      </c:pt>
                      <c:pt idx="377">
                        <c:v>44637</c:v>
                      </c:pt>
                      <c:pt idx="378">
                        <c:v>44638</c:v>
                      </c:pt>
                      <c:pt idx="379">
                        <c:v>44641</c:v>
                      </c:pt>
                      <c:pt idx="380">
                        <c:v>44642</c:v>
                      </c:pt>
                      <c:pt idx="381">
                        <c:v>44643</c:v>
                      </c:pt>
                      <c:pt idx="382">
                        <c:v>44644</c:v>
                      </c:pt>
                      <c:pt idx="383">
                        <c:v>44645</c:v>
                      </c:pt>
                      <c:pt idx="384">
                        <c:v>44648</c:v>
                      </c:pt>
                      <c:pt idx="385">
                        <c:v>44649</c:v>
                      </c:pt>
                      <c:pt idx="386">
                        <c:v>44650</c:v>
                      </c:pt>
                      <c:pt idx="387">
                        <c:v>44651</c:v>
                      </c:pt>
                      <c:pt idx="388">
                        <c:v>44652</c:v>
                      </c:pt>
                      <c:pt idx="389">
                        <c:v>44655</c:v>
                      </c:pt>
                      <c:pt idx="390">
                        <c:v>44656</c:v>
                      </c:pt>
                      <c:pt idx="391">
                        <c:v>44657</c:v>
                      </c:pt>
                      <c:pt idx="392">
                        <c:v>44658</c:v>
                      </c:pt>
                      <c:pt idx="393">
                        <c:v>44659</c:v>
                      </c:pt>
                      <c:pt idx="394">
                        <c:v>44663</c:v>
                      </c:pt>
                      <c:pt idx="395">
                        <c:v>44664</c:v>
                      </c:pt>
                      <c:pt idx="396">
                        <c:v>44665</c:v>
                      </c:pt>
                      <c:pt idx="397">
                        <c:v>44666</c:v>
                      </c:pt>
                      <c:pt idx="398">
                        <c:v>44669</c:v>
                      </c:pt>
                      <c:pt idx="399">
                        <c:v>44670</c:v>
                      </c:pt>
                      <c:pt idx="400">
                        <c:v>44671</c:v>
                      </c:pt>
                      <c:pt idx="401">
                        <c:v>44672</c:v>
                      </c:pt>
                      <c:pt idx="402">
                        <c:v>44673</c:v>
                      </c:pt>
                      <c:pt idx="403">
                        <c:v>44676</c:v>
                      </c:pt>
                      <c:pt idx="404">
                        <c:v>44677</c:v>
                      </c:pt>
                      <c:pt idx="405">
                        <c:v>44678</c:v>
                      </c:pt>
                      <c:pt idx="406">
                        <c:v>44679</c:v>
                      </c:pt>
                      <c:pt idx="407">
                        <c:v>44680</c:v>
                      </c:pt>
                      <c:pt idx="408">
                        <c:v>44685</c:v>
                      </c:pt>
                      <c:pt idx="409">
                        <c:v>44686</c:v>
                      </c:pt>
                      <c:pt idx="410">
                        <c:v>44687</c:v>
                      </c:pt>
                      <c:pt idx="411">
                        <c:v>44690</c:v>
                      </c:pt>
                      <c:pt idx="412">
                        <c:v>44691</c:v>
                      </c:pt>
                      <c:pt idx="413">
                        <c:v>44692</c:v>
                      </c:pt>
                      <c:pt idx="414">
                        <c:v>44693</c:v>
                      </c:pt>
                      <c:pt idx="415">
                        <c:v>44694</c:v>
                      </c:pt>
                      <c:pt idx="416">
                        <c:v>44697</c:v>
                      </c:pt>
                      <c:pt idx="417">
                        <c:v>44698</c:v>
                      </c:pt>
                      <c:pt idx="418">
                        <c:v>44699</c:v>
                      </c:pt>
                      <c:pt idx="419">
                        <c:v>44700</c:v>
                      </c:pt>
                      <c:pt idx="420">
                        <c:v>44701</c:v>
                      </c:pt>
                      <c:pt idx="421">
                        <c:v>44704</c:v>
                      </c:pt>
                      <c:pt idx="422">
                        <c:v>44705</c:v>
                      </c:pt>
                      <c:pt idx="423">
                        <c:v>44706</c:v>
                      </c:pt>
                      <c:pt idx="424">
                        <c:v>44707</c:v>
                      </c:pt>
                      <c:pt idx="425">
                        <c:v>44708</c:v>
                      </c:pt>
                      <c:pt idx="426">
                        <c:v>44711</c:v>
                      </c:pt>
                      <c:pt idx="427">
                        <c:v>44712</c:v>
                      </c:pt>
                      <c:pt idx="428">
                        <c:v>44713</c:v>
                      </c:pt>
                      <c:pt idx="429">
                        <c:v>44714</c:v>
                      </c:pt>
                      <c:pt idx="430">
                        <c:v>44715</c:v>
                      </c:pt>
                      <c:pt idx="431">
                        <c:v>44718</c:v>
                      </c:pt>
                      <c:pt idx="432">
                        <c:v>44719</c:v>
                      </c:pt>
                      <c:pt idx="433">
                        <c:v>44720</c:v>
                      </c:pt>
                      <c:pt idx="434">
                        <c:v>44721</c:v>
                      </c:pt>
                      <c:pt idx="435">
                        <c:v>44722</c:v>
                      </c:pt>
                      <c:pt idx="436">
                        <c:v>44725</c:v>
                      </c:pt>
                      <c:pt idx="437">
                        <c:v>44726</c:v>
                      </c:pt>
                      <c:pt idx="438">
                        <c:v>44727</c:v>
                      </c:pt>
                      <c:pt idx="439">
                        <c:v>44728</c:v>
                      </c:pt>
                      <c:pt idx="440">
                        <c:v>44729</c:v>
                      </c:pt>
                      <c:pt idx="441">
                        <c:v>44732</c:v>
                      </c:pt>
                      <c:pt idx="442">
                        <c:v>44733</c:v>
                      </c:pt>
                      <c:pt idx="443">
                        <c:v>44734</c:v>
                      </c:pt>
                      <c:pt idx="444">
                        <c:v>44735</c:v>
                      </c:pt>
                      <c:pt idx="445">
                        <c:v>44736</c:v>
                      </c:pt>
                      <c:pt idx="446">
                        <c:v>44739</c:v>
                      </c:pt>
                      <c:pt idx="447">
                        <c:v>44740</c:v>
                      </c:pt>
                      <c:pt idx="448">
                        <c:v>44741</c:v>
                      </c:pt>
                      <c:pt idx="449">
                        <c:v>44742</c:v>
                      </c:pt>
                      <c:pt idx="450">
                        <c:v>44743</c:v>
                      </c:pt>
                      <c:pt idx="451">
                        <c:v>44746</c:v>
                      </c:pt>
                      <c:pt idx="452">
                        <c:v>44747</c:v>
                      </c:pt>
                      <c:pt idx="453">
                        <c:v>44748</c:v>
                      </c:pt>
                      <c:pt idx="454">
                        <c:v>44749</c:v>
                      </c:pt>
                      <c:pt idx="455">
                        <c:v>44750</c:v>
                      </c:pt>
                      <c:pt idx="456">
                        <c:v>44753</c:v>
                      </c:pt>
                      <c:pt idx="457">
                        <c:v>44754</c:v>
                      </c:pt>
                      <c:pt idx="458">
                        <c:v>44755</c:v>
                      </c:pt>
                      <c:pt idx="459">
                        <c:v>44756</c:v>
                      </c:pt>
                      <c:pt idx="460">
                        <c:v>44757</c:v>
                      </c:pt>
                      <c:pt idx="461">
                        <c:v>44760</c:v>
                      </c:pt>
                      <c:pt idx="462">
                        <c:v>44761</c:v>
                      </c:pt>
                      <c:pt idx="463">
                        <c:v>44762</c:v>
                      </c:pt>
                      <c:pt idx="464">
                        <c:v>44763</c:v>
                      </c:pt>
                      <c:pt idx="465">
                        <c:v>44764</c:v>
                      </c:pt>
                      <c:pt idx="466">
                        <c:v>44767</c:v>
                      </c:pt>
                      <c:pt idx="467">
                        <c:v>44768</c:v>
                      </c:pt>
                      <c:pt idx="468">
                        <c:v>44769</c:v>
                      </c:pt>
                      <c:pt idx="469">
                        <c:v>44770</c:v>
                      </c:pt>
                      <c:pt idx="470">
                        <c:v>44771</c:v>
                      </c:pt>
                      <c:pt idx="471">
                        <c:v>44774</c:v>
                      </c:pt>
                      <c:pt idx="472">
                        <c:v>44775</c:v>
                      </c:pt>
                      <c:pt idx="473">
                        <c:v>44776</c:v>
                      </c:pt>
                      <c:pt idx="474">
                        <c:v>44777</c:v>
                      </c:pt>
                      <c:pt idx="475">
                        <c:v>44778</c:v>
                      </c:pt>
                      <c:pt idx="476">
                        <c:v>44781</c:v>
                      </c:pt>
                      <c:pt idx="477">
                        <c:v>44782</c:v>
                      </c:pt>
                      <c:pt idx="478">
                        <c:v>44783</c:v>
                      </c:pt>
                      <c:pt idx="479">
                        <c:v>44784</c:v>
                      </c:pt>
                      <c:pt idx="480">
                        <c:v>44785</c:v>
                      </c:pt>
                      <c:pt idx="481">
                        <c:v>44788</c:v>
                      </c:pt>
                      <c:pt idx="482">
                        <c:v>44789</c:v>
                      </c:pt>
                      <c:pt idx="483">
                        <c:v>44790</c:v>
                      </c:pt>
                      <c:pt idx="484">
                        <c:v>44791</c:v>
                      </c:pt>
                      <c:pt idx="485">
                        <c:v>44792</c:v>
                      </c:pt>
                      <c:pt idx="486">
                        <c:v>44795</c:v>
                      </c:pt>
                      <c:pt idx="487">
                        <c:v>44796</c:v>
                      </c:pt>
                      <c:pt idx="488">
                        <c:v>44797</c:v>
                      </c:pt>
                      <c:pt idx="489">
                        <c:v>44798</c:v>
                      </c:pt>
                      <c:pt idx="490">
                        <c:v>44799</c:v>
                      </c:pt>
                      <c:pt idx="491">
                        <c:v>44802</c:v>
                      </c:pt>
                      <c:pt idx="492">
                        <c:v>44803</c:v>
                      </c:pt>
                      <c:pt idx="493">
                        <c:v>44804</c:v>
                      </c:pt>
                      <c:pt idx="494">
                        <c:v>44809</c:v>
                      </c:pt>
                      <c:pt idx="495">
                        <c:v>44810</c:v>
                      </c:pt>
                      <c:pt idx="496">
                        <c:v>44811</c:v>
                      </c:pt>
                      <c:pt idx="497">
                        <c:v>44812</c:v>
                      </c:pt>
                      <c:pt idx="498">
                        <c:v>44813</c:v>
                      </c:pt>
                      <c:pt idx="499">
                        <c:v>44816</c:v>
                      </c:pt>
                      <c:pt idx="500">
                        <c:v>44817</c:v>
                      </c:pt>
                      <c:pt idx="501">
                        <c:v>44818</c:v>
                      </c:pt>
                      <c:pt idx="502">
                        <c:v>44819</c:v>
                      </c:pt>
                      <c:pt idx="503">
                        <c:v>44820</c:v>
                      </c:pt>
                      <c:pt idx="504">
                        <c:v>44823</c:v>
                      </c:pt>
                      <c:pt idx="505">
                        <c:v>44824</c:v>
                      </c:pt>
                      <c:pt idx="506">
                        <c:v>44825</c:v>
                      </c:pt>
                      <c:pt idx="507">
                        <c:v>44826</c:v>
                      </c:pt>
                      <c:pt idx="508">
                        <c:v>44827</c:v>
                      </c:pt>
                      <c:pt idx="509">
                        <c:v>44830</c:v>
                      </c:pt>
                      <c:pt idx="510">
                        <c:v>44831</c:v>
                      </c:pt>
                      <c:pt idx="511">
                        <c:v>44832</c:v>
                      </c:pt>
                      <c:pt idx="512">
                        <c:v>44833</c:v>
                      </c:pt>
                      <c:pt idx="513">
                        <c:v>44834</c:v>
                      </c:pt>
                      <c:pt idx="514">
                        <c:v>44837</c:v>
                      </c:pt>
                      <c:pt idx="515">
                        <c:v>44838</c:v>
                      </c:pt>
                      <c:pt idx="516">
                        <c:v>44839</c:v>
                      </c:pt>
                      <c:pt idx="517">
                        <c:v>44840</c:v>
                      </c:pt>
                      <c:pt idx="518">
                        <c:v>44841</c:v>
                      </c:pt>
                      <c:pt idx="519">
                        <c:v>44844</c:v>
                      </c:pt>
                      <c:pt idx="520">
                        <c:v>44845</c:v>
                      </c:pt>
                      <c:pt idx="521">
                        <c:v>44846</c:v>
                      </c:pt>
                      <c:pt idx="522">
                        <c:v>44847</c:v>
                      </c:pt>
                      <c:pt idx="523">
                        <c:v>44848</c:v>
                      </c:pt>
                      <c:pt idx="524">
                        <c:v>44851</c:v>
                      </c:pt>
                      <c:pt idx="525">
                        <c:v>44852</c:v>
                      </c:pt>
                      <c:pt idx="526">
                        <c:v>44853</c:v>
                      </c:pt>
                      <c:pt idx="527">
                        <c:v>44854</c:v>
                      </c:pt>
                      <c:pt idx="528">
                        <c:v>44855</c:v>
                      </c:pt>
                      <c:pt idx="529">
                        <c:v>44858</c:v>
                      </c:pt>
                      <c:pt idx="530">
                        <c:v>44859</c:v>
                      </c:pt>
                      <c:pt idx="531">
                        <c:v>44860</c:v>
                      </c:pt>
                      <c:pt idx="532">
                        <c:v>44861</c:v>
                      </c:pt>
                      <c:pt idx="533">
                        <c:v>44862</c:v>
                      </c:pt>
                      <c:pt idx="534">
                        <c:v>44865</c:v>
                      </c:pt>
                      <c:pt idx="535">
                        <c:v>44866</c:v>
                      </c:pt>
                      <c:pt idx="536">
                        <c:v>44867</c:v>
                      </c:pt>
                      <c:pt idx="537">
                        <c:v>44868</c:v>
                      </c:pt>
                      <c:pt idx="538">
                        <c:v>44869</c:v>
                      </c:pt>
                      <c:pt idx="539">
                        <c:v>44872</c:v>
                      </c:pt>
                      <c:pt idx="540">
                        <c:v>44873</c:v>
                      </c:pt>
                      <c:pt idx="541">
                        <c:v>44874</c:v>
                      </c:pt>
                      <c:pt idx="542">
                        <c:v>44875</c:v>
                      </c:pt>
                      <c:pt idx="543">
                        <c:v>44876</c:v>
                      </c:pt>
                      <c:pt idx="544">
                        <c:v>44879</c:v>
                      </c:pt>
                      <c:pt idx="545">
                        <c:v>44880</c:v>
                      </c:pt>
                      <c:pt idx="546">
                        <c:v>44881</c:v>
                      </c:pt>
                      <c:pt idx="547">
                        <c:v>44882</c:v>
                      </c:pt>
                      <c:pt idx="548">
                        <c:v>44883</c:v>
                      </c:pt>
                      <c:pt idx="549">
                        <c:v>44886</c:v>
                      </c:pt>
                      <c:pt idx="550">
                        <c:v>44887</c:v>
                      </c:pt>
                      <c:pt idx="551">
                        <c:v>44888</c:v>
                      </c:pt>
                      <c:pt idx="552">
                        <c:v>44889</c:v>
                      </c:pt>
                      <c:pt idx="553">
                        <c:v>44890</c:v>
                      </c:pt>
                      <c:pt idx="554">
                        <c:v>44893</c:v>
                      </c:pt>
                      <c:pt idx="555">
                        <c:v>44894</c:v>
                      </c:pt>
                      <c:pt idx="556">
                        <c:v>44895</c:v>
                      </c:pt>
                      <c:pt idx="557">
                        <c:v>44896</c:v>
                      </c:pt>
                      <c:pt idx="558">
                        <c:v>44897</c:v>
                      </c:pt>
                      <c:pt idx="559">
                        <c:v>44900</c:v>
                      </c:pt>
                      <c:pt idx="560">
                        <c:v>44901</c:v>
                      </c:pt>
                      <c:pt idx="561">
                        <c:v>44902</c:v>
                      </c:pt>
                      <c:pt idx="562">
                        <c:v>44903</c:v>
                      </c:pt>
                      <c:pt idx="563">
                        <c:v>44904</c:v>
                      </c:pt>
                      <c:pt idx="564">
                        <c:v>44907</c:v>
                      </c:pt>
                      <c:pt idx="565">
                        <c:v>44908</c:v>
                      </c:pt>
                      <c:pt idx="566">
                        <c:v>44909</c:v>
                      </c:pt>
                      <c:pt idx="567">
                        <c:v>44910</c:v>
                      </c:pt>
                      <c:pt idx="568">
                        <c:v>44911</c:v>
                      </c:pt>
                      <c:pt idx="569">
                        <c:v>44914</c:v>
                      </c:pt>
                      <c:pt idx="570">
                        <c:v>44915</c:v>
                      </c:pt>
                      <c:pt idx="571">
                        <c:v>44916</c:v>
                      </c:pt>
                      <c:pt idx="572">
                        <c:v>44917</c:v>
                      </c:pt>
                      <c:pt idx="573">
                        <c:v>44918</c:v>
                      </c:pt>
                      <c:pt idx="574">
                        <c:v>44921</c:v>
                      </c:pt>
                      <c:pt idx="575">
                        <c:v>44922</c:v>
                      </c:pt>
                      <c:pt idx="576">
                        <c:v>44923</c:v>
                      </c:pt>
                      <c:pt idx="577">
                        <c:v>44924</c:v>
                      </c:pt>
                      <c:pt idx="578">
                        <c:v>44925</c:v>
                      </c:pt>
                      <c:pt idx="579">
                        <c:v>44929</c:v>
                      </c:pt>
                      <c:pt idx="580">
                        <c:v>44930</c:v>
                      </c:pt>
                      <c:pt idx="581">
                        <c:v>44931</c:v>
                      </c:pt>
                      <c:pt idx="582">
                        <c:v>44932</c:v>
                      </c:pt>
                      <c:pt idx="583">
                        <c:v>44935</c:v>
                      </c:pt>
                      <c:pt idx="584">
                        <c:v>44936</c:v>
                      </c:pt>
                      <c:pt idx="585">
                        <c:v>44937</c:v>
                      </c:pt>
                      <c:pt idx="586">
                        <c:v>44938</c:v>
                      </c:pt>
                      <c:pt idx="587">
                        <c:v>44939</c:v>
                      </c:pt>
                      <c:pt idx="588">
                        <c:v>44942</c:v>
                      </c:pt>
                      <c:pt idx="589">
                        <c:v>44943</c:v>
                      </c:pt>
                      <c:pt idx="590">
                        <c:v>44944</c:v>
                      </c:pt>
                      <c:pt idx="591">
                        <c:v>44945</c:v>
                      </c:pt>
                      <c:pt idx="592">
                        <c:v>44953</c:v>
                      </c:pt>
                      <c:pt idx="593">
                        <c:v>44956</c:v>
                      </c:pt>
                      <c:pt idx="594">
                        <c:v>44957</c:v>
                      </c:pt>
                      <c:pt idx="595">
                        <c:v>44958</c:v>
                      </c:pt>
                      <c:pt idx="596">
                        <c:v>44959</c:v>
                      </c:pt>
                      <c:pt idx="597">
                        <c:v>44960</c:v>
                      </c:pt>
                      <c:pt idx="598">
                        <c:v>44963</c:v>
                      </c:pt>
                      <c:pt idx="599">
                        <c:v>44964</c:v>
                      </c:pt>
                      <c:pt idx="600">
                        <c:v>44965</c:v>
                      </c:pt>
                      <c:pt idx="601">
                        <c:v>44966</c:v>
                      </c:pt>
                      <c:pt idx="602">
                        <c:v>44967</c:v>
                      </c:pt>
                      <c:pt idx="603">
                        <c:v>44970</c:v>
                      </c:pt>
                      <c:pt idx="604">
                        <c:v>44971</c:v>
                      </c:pt>
                      <c:pt idx="605">
                        <c:v>44972</c:v>
                      </c:pt>
                      <c:pt idx="606">
                        <c:v>44973</c:v>
                      </c:pt>
                      <c:pt idx="607">
                        <c:v>44974</c:v>
                      </c:pt>
                      <c:pt idx="608">
                        <c:v>44977</c:v>
                      </c:pt>
                      <c:pt idx="609">
                        <c:v>44978</c:v>
                      </c:pt>
                      <c:pt idx="610">
                        <c:v>44979</c:v>
                      </c:pt>
                      <c:pt idx="611">
                        <c:v>44980</c:v>
                      </c:pt>
                      <c:pt idx="612">
                        <c:v>44981</c:v>
                      </c:pt>
                      <c:pt idx="613">
                        <c:v>44984</c:v>
                      </c:pt>
                      <c:pt idx="614">
                        <c:v>44985</c:v>
                      </c:pt>
                      <c:pt idx="615">
                        <c:v>44986</c:v>
                      </c:pt>
                      <c:pt idx="616">
                        <c:v>44987</c:v>
                      </c:pt>
                      <c:pt idx="617">
                        <c:v>44988</c:v>
                      </c:pt>
                      <c:pt idx="618">
                        <c:v>44991</c:v>
                      </c:pt>
                      <c:pt idx="619">
                        <c:v>44992</c:v>
                      </c:pt>
                      <c:pt idx="620">
                        <c:v>44993</c:v>
                      </c:pt>
                      <c:pt idx="621">
                        <c:v>44994</c:v>
                      </c:pt>
                      <c:pt idx="622">
                        <c:v>44995</c:v>
                      </c:pt>
                      <c:pt idx="623">
                        <c:v>44998</c:v>
                      </c:pt>
                      <c:pt idx="624">
                        <c:v>44999</c:v>
                      </c:pt>
                      <c:pt idx="625">
                        <c:v>45000</c:v>
                      </c:pt>
                      <c:pt idx="626">
                        <c:v>45001</c:v>
                      </c:pt>
                      <c:pt idx="627">
                        <c:v>45002</c:v>
                      </c:pt>
                      <c:pt idx="628">
                        <c:v>45005</c:v>
                      </c:pt>
                      <c:pt idx="629">
                        <c:v>45006</c:v>
                      </c:pt>
                      <c:pt idx="630">
                        <c:v>45007</c:v>
                      </c:pt>
                      <c:pt idx="631">
                        <c:v>45008</c:v>
                      </c:pt>
                      <c:pt idx="632">
                        <c:v>45009</c:v>
                      </c:pt>
                      <c:pt idx="633">
                        <c:v>45012</c:v>
                      </c:pt>
                      <c:pt idx="634">
                        <c:v>45013</c:v>
                      </c:pt>
                      <c:pt idx="635">
                        <c:v>45014</c:v>
                      </c:pt>
                      <c:pt idx="636">
                        <c:v>45015</c:v>
                      </c:pt>
                      <c:pt idx="637">
                        <c:v>45016</c:v>
                      </c:pt>
                      <c:pt idx="638">
                        <c:v>45019</c:v>
                      </c:pt>
                      <c:pt idx="639">
                        <c:v>45020</c:v>
                      </c:pt>
                      <c:pt idx="640">
                        <c:v>45021</c:v>
                      </c:pt>
                      <c:pt idx="641">
                        <c:v>45022</c:v>
                      </c:pt>
                      <c:pt idx="642">
                        <c:v>45023</c:v>
                      </c:pt>
                      <c:pt idx="643">
                        <c:v>45026</c:v>
                      </c:pt>
                      <c:pt idx="644">
                        <c:v>45027</c:v>
                      </c:pt>
                      <c:pt idx="645">
                        <c:v>45028</c:v>
                      </c:pt>
                      <c:pt idx="646">
                        <c:v>45029</c:v>
                      </c:pt>
                      <c:pt idx="647">
                        <c:v>45030</c:v>
                      </c:pt>
                      <c:pt idx="648">
                        <c:v>45033</c:v>
                      </c:pt>
                      <c:pt idx="649">
                        <c:v>45034</c:v>
                      </c:pt>
                      <c:pt idx="650">
                        <c:v>45035</c:v>
                      </c:pt>
                      <c:pt idx="651">
                        <c:v>45036</c:v>
                      </c:pt>
                      <c:pt idx="652">
                        <c:v>45037</c:v>
                      </c:pt>
                      <c:pt idx="653">
                        <c:v>45040</c:v>
                      </c:pt>
                      <c:pt idx="654">
                        <c:v>45041</c:v>
                      </c:pt>
                      <c:pt idx="655">
                        <c:v>45042</c:v>
                      </c:pt>
                      <c:pt idx="656">
                        <c:v>45043</c:v>
                      </c:pt>
                      <c:pt idx="657">
                        <c:v>45044</c:v>
                      </c:pt>
                      <c:pt idx="658">
                        <c:v>45050</c:v>
                      </c:pt>
                      <c:pt idx="659">
                        <c:v>45051</c:v>
                      </c:pt>
                      <c:pt idx="660">
                        <c:v>45054</c:v>
                      </c:pt>
                      <c:pt idx="661">
                        <c:v>45055</c:v>
                      </c:pt>
                      <c:pt idx="662">
                        <c:v>45056</c:v>
                      </c:pt>
                      <c:pt idx="663">
                        <c:v>45057</c:v>
                      </c:pt>
                      <c:pt idx="664">
                        <c:v>45058</c:v>
                      </c:pt>
                      <c:pt idx="665">
                        <c:v>45061</c:v>
                      </c:pt>
                      <c:pt idx="666">
                        <c:v>45062</c:v>
                      </c:pt>
                      <c:pt idx="667">
                        <c:v>45063</c:v>
                      </c:pt>
                      <c:pt idx="668">
                        <c:v>45064</c:v>
                      </c:pt>
                      <c:pt idx="669">
                        <c:v>45065</c:v>
                      </c:pt>
                      <c:pt idx="670">
                        <c:v>45068</c:v>
                      </c:pt>
                      <c:pt idx="671">
                        <c:v>45069</c:v>
                      </c:pt>
                      <c:pt idx="672">
                        <c:v>45070</c:v>
                      </c:pt>
                      <c:pt idx="673">
                        <c:v>45071</c:v>
                      </c:pt>
                      <c:pt idx="674">
                        <c:v>45072</c:v>
                      </c:pt>
                      <c:pt idx="675">
                        <c:v>45075</c:v>
                      </c:pt>
                      <c:pt idx="676">
                        <c:v>45076</c:v>
                      </c:pt>
                      <c:pt idx="677">
                        <c:v>45077</c:v>
                      </c:pt>
                      <c:pt idx="678">
                        <c:v>45078</c:v>
                      </c:pt>
                      <c:pt idx="679">
                        <c:v>45079</c:v>
                      </c:pt>
                      <c:pt idx="680">
                        <c:v>45082</c:v>
                      </c:pt>
                      <c:pt idx="681">
                        <c:v>45083</c:v>
                      </c:pt>
                      <c:pt idx="682">
                        <c:v>45084</c:v>
                      </c:pt>
                      <c:pt idx="683">
                        <c:v>45085</c:v>
                      </c:pt>
                      <c:pt idx="684">
                        <c:v>45086</c:v>
                      </c:pt>
                      <c:pt idx="685">
                        <c:v>45089</c:v>
                      </c:pt>
                      <c:pt idx="686">
                        <c:v>45090</c:v>
                      </c:pt>
                      <c:pt idx="687">
                        <c:v>45091</c:v>
                      </c:pt>
                      <c:pt idx="688">
                        <c:v>45092</c:v>
                      </c:pt>
                      <c:pt idx="689">
                        <c:v>45093</c:v>
                      </c:pt>
                      <c:pt idx="690">
                        <c:v>45096</c:v>
                      </c:pt>
                      <c:pt idx="691">
                        <c:v>45097</c:v>
                      </c:pt>
                      <c:pt idx="692">
                        <c:v>45098</c:v>
                      </c:pt>
                      <c:pt idx="693">
                        <c:v>45099</c:v>
                      </c:pt>
                      <c:pt idx="694">
                        <c:v>45100</c:v>
                      </c:pt>
                      <c:pt idx="695">
                        <c:v>45103</c:v>
                      </c:pt>
                      <c:pt idx="696">
                        <c:v>45104</c:v>
                      </c:pt>
                      <c:pt idx="697">
                        <c:v>45105</c:v>
                      </c:pt>
                      <c:pt idx="698">
                        <c:v>45106</c:v>
                      </c:pt>
                      <c:pt idx="699">
                        <c:v>45107</c:v>
                      </c:pt>
                      <c:pt idx="700">
                        <c:v>45110</c:v>
                      </c:pt>
                      <c:pt idx="701">
                        <c:v>45111</c:v>
                      </c:pt>
                      <c:pt idx="702">
                        <c:v>45112</c:v>
                      </c:pt>
                      <c:pt idx="703">
                        <c:v>45113</c:v>
                      </c:pt>
                      <c:pt idx="704">
                        <c:v>45114</c:v>
                      </c:pt>
                      <c:pt idx="705">
                        <c:v>45117</c:v>
                      </c:pt>
                      <c:pt idx="706">
                        <c:v>45118</c:v>
                      </c:pt>
                      <c:pt idx="707">
                        <c:v>45119</c:v>
                      </c:pt>
                      <c:pt idx="708">
                        <c:v>45120</c:v>
                      </c:pt>
                      <c:pt idx="709">
                        <c:v>45121</c:v>
                      </c:pt>
                      <c:pt idx="710">
                        <c:v>45124</c:v>
                      </c:pt>
                      <c:pt idx="711">
                        <c:v>45125</c:v>
                      </c:pt>
                      <c:pt idx="712">
                        <c:v>45126</c:v>
                      </c:pt>
                      <c:pt idx="713">
                        <c:v>45127</c:v>
                      </c:pt>
                      <c:pt idx="714">
                        <c:v>45128</c:v>
                      </c:pt>
                      <c:pt idx="715">
                        <c:v>45131</c:v>
                      </c:pt>
                      <c:pt idx="716">
                        <c:v>45132</c:v>
                      </c:pt>
                      <c:pt idx="717">
                        <c:v>45133</c:v>
                      </c:pt>
                      <c:pt idx="718">
                        <c:v>45134</c:v>
                      </c:pt>
                      <c:pt idx="719">
                        <c:v>45135</c:v>
                      </c:pt>
                      <c:pt idx="720">
                        <c:v>45138</c:v>
                      </c:pt>
                      <c:pt idx="721">
                        <c:v>45139</c:v>
                      </c:pt>
                      <c:pt idx="722">
                        <c:v>45140</c:v>
                      </c:pt>
                      <c:pt idx="723">
                        <c:v>45141</c:v>
                      </c:pt>
                      <c:pt idx="724">
                        <c:v>45142</c:v>
                      </c:pt>
                      <c:pt idx="725">
                        <c:v>45145</c:v>
                      </c:pt>
                      <c:pt idx="726">
                        <c:v>45146</c:v>
                      </c:pt>
                      <c:pt idx="727">
                        <c:v>45147</c:v>
                      </c:pt>
                      <c:pt idx="728">
                        <c:v>45148</c:v>
                      </c:pt>
                      <c:pt idx="729">
                        <c:v>45149</c:v>
                      </c:pt>
                      <c:pt idx="730">
                        <c:v>45152</c:v>
                      </c:pt>
                      <c:pt idx="731">
                        <c:v>45153</c:v>
                      </c:pt>
                      <c:pt idx="732">
                        <c:v>45154</c:v>
                      </c:pt>
                      <c:pt idx="733">
                        <c:v>45155</c:v>
                      </c:pt>
                      <c:pt idx="734">
                        <c:v>45156</c:v>
                      </c:pt>
                      <c:pt idx="735">
                        <c:v>45159</c:v>
                      </c:pt>
                      <c:pt idx="736">
                        <c:v>45160</c:v>
                      </c:pt>
                      <c:pt idx="737">
                        <c:v>45161</c:v>
                      </c:pt>
                      <c:pt idx="738">
                        <c:v>45162</c:v>
                      </c:pt>
                      <c:pt idx="739">
                        <c:v>45163</c:v>
                      </c:pt>
                      <c:pt idx="740">
                        <c:v>45166</c:v>
                      </c:pt>
                      <c:pt idx="741">
                        <c:v>45167</c:v>
                      </c:pt>
                      <c:pt idx="742">
                        <c:v>45168</c:v>
                      </c:pt>
                      <c:pt idx="743">
                        <c:v>45169</c:v>
                      </c:pt>
                      <c:pt idx="744">
                        <c:v>45174</c:v>
                      </c:pt>
                      <c:pt idx="745">
                        <c:v>45175</c:v>
                      </c:pt>
                      <c:pt idx="746">
                        <c:v>45176</c:v>
                      </c:pt>
                      <c:pt idx="747">
                        <c:v>45177</c:v>
                      </c:pt>
                      <c:pt idx="748">
                        <c:v>45180</c:v>
                      </c:pt>
                      <c:pt idx="749">
                        <c:v>45181</c:v>
                      </c:pt>
                      <c:pt idx="750">
                        <c:v>45182</c:v>
                      </c:pt>
                      <c:pt idx="751">
                        <c:v>45183</c:v>
                      </c:pt>
                      <c:pt idx="752">
                        <c:v>45184</c:v>
                      </c:pt>
                      <c:pt idx="753">
                        <c:v>45187</c:v>
                      </c:pt>
                      <c:pt idx="754">
                        <c:v>45188</c:v>
                      </c:pt>
                      <c:pt idx="755">
                        <c:v>45189</c:v>
                      </c:pt>
                      <c:pt idx="756">
                        <c:v>45190</c:v>
                      </c:pt>
                      <c:pt idx="757">
                        <c:v>45191</c:v>
                      </c:pt>
                      <c:pt idx="758">
                        <c:v>45194</c:v>
                      </c:pt>
                      <c:pt idx="759">
                        <c:v>45195</c:v>
                      </c:pt>
                      <c:pt idx="760">
                        <c:v>45196</c:v>
                      </c:pt>
                      <c:pt idx="761">
                        <c:v>45197</c:v>
                      </c:pt>
                      <c:pt idx="762">
                        <c:v>45198</c:v>
                      </c:pt>
                      <c:pt idx="763">
                        <c:v>45201</c:v>
                      </c:pt>
                      <c:pt idx="764">
                        <c:v>45202</c:v>
                      </c:pt>
                      <c:pt idx="765">
                        <c:v>45203</c:v>
                      </c:pt>
                      <c:pt idx="766">
                        <c:v>45204</c:v>
                      </c:pt>
                      <c:pt idx="767">
                        <c:v>45205</c:v>
                      </c:pt>
                      <c:pt idx="768">
                        <c:v>45208</c:v>
                      </c:pt>
                      <c:pt idx="769">
                        <c:v>45209</c:v>
                      </c:pt>
                      <c:pt idx="770">
                        <c:v>45210</c:v>
                      </c:pt>
                      <c:pt idx="771">
                        <c:v>45211</c:v>
                      </c:pt>
                      <c:pt idx="772">
                        <c:v>45212</c:v>
                      </c:pt>
                      <c:pt idx="773">
                        <c:v>45215</c:v>
                      </c:pt>
                      <c:pt idx="774">
                        <c:v>45216</c:v>
                      </c:pt>
                      <c:pt idx="775">
                        <c:v>45217</c:v>
                      </c:pt>
                      <c:pt idx="776">
                        <c:v>45218</c:v>
                      </c:pt>
                      <c:pt idx="777">
                        <c:v>45219</c:v>
                      </c:pt>
                      <c:pt idx="778">
                        <c:v>45222</c:v>
                      </c:pt>
                      <c:pt idx="779">
                        <c:v>45223</c:v>
                      </c:pt>
                      <c:pt idx="780">
                        <c:v>45224</c:v>
                      </c:pt>
                      <c:pt idx="781">
                        <c:v>45225</c:v>
                      </c:pt>
                      <c:pt idx="782">
                        <c:v>45226</c:v>
                      </c:pt>
                      <c:pt idx="783">
                        <c:v>45229</c:v>
                      </c:pt>
                      <c:pt idx="784">
                        <c:v>45230</c:v>
                      </c:pt>
                      <c:pt idx="785">
                        <c:v>45231</c:v>
                      </c:pt>
                      <c:pt idx="786">
                        <c:v>45232</c:v>
                      </c:pt>
                      <c:pt idx="787">
                        <c:v>45233</c:v>
                      </c:pt>
                      <c:pt idx="788">
                        <c:v>45236</c:v>
                      </c:pt>
                      <c:pt idx="789">
                        <c:v>45237</c:v>
                      </c:pt>
                      <c:pt idx="790">
                        <c:v>45238</c:v>
                      </c:pt>
                      <c:pt idx="791">
                        <c:v>45239</c:v>
                      </c:pt>
                      <c:pt idx="792">
                        <c:v>45240</c:v>
                      </c:pt>
                      <c:pt idx="793">
                        <c:v>45243</c:v>
                      </c:pt>
                      <c:pt idx="794">
                        <c:v>45244</c:v>
                      </c:pt>
                      <c:pt idx="795">
                        <c:v>45245</c:v>
                      </c:pt>
                      <c:pt idx="796">
                        <c:v>45246</c:v>
                      </c:pt>
                      <c:pt idx="797">
                        <c:v>45247</c:v>
                      </c:pt>
                      <c:pt idx="798">
                        <c:v>45250</c:v>
                      </c:pt>
                      <c:pt idx="799">
                        <c:v>45251</c:v>
                      </c:pt>
                      <c:pt idx="800">
                        <c:v>45252</c:v>
                      </c:pt>
                      <c:pt idx="801">
                        <c:v>45253</c:v>
                      </c:pt>
                      <c:pt idx="802">
                        <c:v>45254</c:v>
                      </c:pt>
                      <c:pt idx="803">
                        <c:v>45257</c:v>
                      </c:pt>
                      <c:pt idx="804">
                        <c:v>45258</c:v>
                      </c:pt>
                      <c:pt idx="805">
                        <c:v>45259</c:v>
                      </c:pt>
                      <c:pt idx="806">
                        <c:v>45260</c:v>
                      </c:pt>
                      <c:pt idx="807">
                        <c:v>45261</c:v>
                      </c:pt>
                      <c:pt idx="808">
                        <c:v>45264</c:v>
                      </c:pt>
                      <c:pt idx="809">
                        <c:v>45265</c:v>
                      </c:pt>
                      <c:pt idx="810">
                        <c:v>45266</c:v>
                      </c:pt>
                      <c:pt idx="811">
                        <c:v>45267</c:v>
                      </c:pt>
                      <c:pt idx="812">
                        <c:v>45268</c:v>
                      </c:pt>
                      <c:pt idx="813">
                        <c:v>45271</c:v>
                      </c:pt>
                      <c:pt idx="814">
                        <c:v>45272</c:v>
                      </c:pt>
                      <c:pt idx="815">
                        <c:v>45273</c:v>
                      </c:pt>
                      <c:pt idx="816">
                        <c:v>45274</c:v>
                      </c:pt>
                      <c:pt idx="817">
                        <c:v>45275</c:v>
                      </c:pt>
                      <c:pt idx="818">
                        <c:v>45278</c:v>
                      </c:pt>
                      <c:pt idx="819">
                        <c:v>45279</c:v>
                      </c:pt>
                      <c:pt idx="820">
                        <c:v>45280</c:v>
                      </c:pt>
                      <c:pt idx="821">
                        <c:v>45281</c:v>
                      </c:pt>
                      <c:pt idx="822">
                        <c:v>45282</c:v>
                      </c:pt>
                      <c:pt idx="823">
                        <c:v>45285</c:v>
                      </c:pt>
                      <c:pt idx="824">
                        <c:v>45286</c:v>
                      </c:pt>
                      <c:pt idx="825">
                        <c:v>45287</c:v>
                      </c:pt>
                      <c:pt idx="826">
                        <c:v>45288</c:v>
                      </c:pt>
                      <c:pt idx="827">
                        <c:v>45289</c:v>
                      </c:pt>
                      <c:pt idx="828">
                        <c:v>45293</c:v>
                      </c:pt>
                      <c:pt idx="829">
                        <c:v>45294</c:v>
                      </c:pt>
                      <c:pt idx="830">
                        <c:v>45295</c:v>
                      </c:pt>
                      <c:pt idx="831">
                        <c:v>45296</c:v>
                      </c:pt>
                      <c:pt idx="832">
                        <c:v>45299</c:v>
                      </c:pt>
                      <c:pt idx="833">
                        <c:v>45300</c:v>
                      </c:pt>
                      <c:pt idx="834">
                        <c:v>45301</c:v>
                      </c:pt>
                      <c:pt idx="835">
                        <c:v>45302</c:v>
                      </c:pt>
                      <c:pt idx="836">
                        <c:v>45303</c:v>
                      </c:pt>
                      <c:pt idx="837">
                        <c:v>45306</c:v>
                      </c:pt>
                      <c:pt idx="838">
                        <c:v>45307</c:v>
                      </c:pt>
                      <c:pt idx="839">
                        <c:v>45308</c:v>
                      </c:pt>
                      <c:pt idx="840">
                        <c:v>45309</c:v>
                      </c:pt>
                      <c:pt idx="841">
                        <c:v>45310</c:v>
                      </c:pt>
                      <c:pt idx="842">
                        <c:v>45313</c:v>
                      </c:pt>
                      <c:pt idx="843">
                        <c:v>45314</c:v>
                      </c:pt>
                      <c:pt idx="844">
                        <c:v>45315</c:v>
                      </c:pt>
                      <c:pt idx="845">
                        <c:v>45316</c:v>
                      </c:pt>
                      <c:pt idx="846">
                        <c:v>45317</c:v>
                      </c:pt>
                      <c:pt idx="847">
                        <c:v>45320</c:v>
                      </c:pt>
                      <c:pt idx="848">
                        <c:v>45321</c:v>
                      </c:pt>
                      <c:pt idx="849">
                        <c:v>45322</c:v>
                      </c:pt>
                      <c:pt idx="850">
                        <c:v>45323</c:v>
                      </c:pt>
                      <c:pt idx="851">
                        <c:v>45324</c:v>
                      </c:pt>
                      <c:pt idx="852">
                        <c:v>45327</c:v>
                      </c:pt>
                      <c:pt idx="853">
                        <c:v>45328</c:v>
                      </c:pt>
                      <c:pt idx="854">
                        <c:v>45329</c:v>
                      </c:pt>
                      <c:pt idx="855">
                        <c:v>45337</c:v>
                      </c:pt>
                      <c:pt idx="856">
                        <c:v>45338</c:v>
                      </c:pt>
                      <c:pt idx="857">
                        <c:v>45341</c:v>
                      </c:pt>
                      <c:pt idx="858">
                        <c:v>45342</c:v>
                      </c:pt>
                      <c:pt idx="859">
                        <c:v>45343</c:v>
                      </c:pt>
                      <c:pt idx="860">
                        <c:v>45344</c:v>
                      </c:pt>
                      <c:pt idx="861">
                        <c:v>45345</c:v>
                      </c:pt>
                      <c:pt idx="862">
                        <c:v>45348</c:v>
                      </c:pt>
                      <c:pt idx="863">
                        <c:v>45349</c:v>
                      </c:pt>
                      <c:pt idx="864">
                        <c:v>45350</c:v>
                      </c:pt>
                      <c:pt idx="865">
                        <c:v>45351</c:v>
                      </c:pt>
                      <c:pt idx="866">
                        <c:v>45352</c:v>
                      </c:pt>
                      <c:pt idx="867">
                        <c:v>45355</c:v>
                      </c:pt>
                      <c:pt idx="868">
                        <c:v>45356</c:v>
                      </c:pt>
                      <c:pt idx="869">
                        <c:v>45357</c:v>
                      </c:pt>
                      <c:pt idx="870">
                        <c:v>45358</c:v>
                      </c:pt>
                      <c:pt idx="871">
                        <c:v>45359</c:v>
                      </c:pt>
                      <c:pt idx="872">
                        <c:v>45362</c:v>
                      </c:pt>
                      <c:pt idx="873">
                        <c:v>45363</c:v>
                      </c:pt>
                      <c:pt idx="874">
                        <c:v>45364</c:v>
                      </c:pt>
                      <c:pt idx="875">
                        <c:v>45365</c:v>
                      </c:pt>
                      <c:pt idx="876">
                        <c:v>45366</c:v>
                      </c:pt>
                      <c:pt idx="877">
                        <c:v>45369</c:v>
                      </c:pt>
                      <c:pt idx="878">
                        <c:v>45370</c:v>
                      </c:pt>
                      <c:pt idx="879">
                        <c:v>45371</c:v>
                      </c:pt>
                      <c:pt idx="880">
                        <c:v>45372</c:v>
                      </c:pt>
                      <c:pt idx="881">
                        <c:v>45373</c:v>
                      </c:pt>
                      <c:pt idx="882">
                        <c:v>45376</c:v>
                      </c:pt>
                      <c:pt idx="883">
                        <c:v>45377</c:v>
                      </c:pt>
                      <c:pt idx="884">
                        <c:v>45378</c:v>
                      </c:pt>
                      <c:pt idx="885">
                        <c:v>45379</c:v>
                      </c:pt>
                      <c:pt idx="886">
                        <c:v>45380</c:v>
                      </c:pt>
                      <c:pt idx="887">
                        <c:v>45383</c:v>
                      </c:pt>
                      <c:pt idx="888">
                        <c:v>45384</c:v>
                      </c:pt>
                      <c:pt idx="889">
                        <c:v>45385</c:v>
                      </c:pt>
                      <c:pt idx="890">
                        <c:v>45386</c:v>
                      </c:pt>
                      <c:pt idx="891">
                        <c:v>45387</c:v>
                      </c:pt>
                      <c:pt idx="892">
                        <c:v>45390</c:v>
                      </c:pt>
                      <c:pt idx="893">
                        <c:v>45391</c:v>
                      </c:pt>
                      <c:pt idx="894">
                        <c:v>45392</c:v>
                      </c:pt>
                      <c:pt idx="895">
                        <c:v>45393</c:v>
                      </c:pt>
                      <c:pt idx="896">
                        <c:v>45394</c:v>
                      </c:pt>
                      <c:pt idx="897">
                        <c:v>45397</c:v>
                      </c:pt>
                      <c:pt idx="898">
                        <c:v>45398</c:v>
                      </c:pt>
                      <c:pt idx="899">
                        <c:v>45399</c:v>
                      </c:pt>
                      <c:pt idx="900">
                        <c:v>45401</c:v>
                      </c:pt>
                      <c:pt idx="901">
                        <c:v>45404</c:v>
                      </c:pt>
                      <c:pt idx="902">
                        <c:v>45405</c:v>
                      </c:pt>
                      <c:pt idx="903">
                        <c:v>45406</c:v>
                      </c:pt>
                      <c:pt idx="904">
                        <c:v>45407</c:v>
                      </c:pt>
                      <c:pt idx="905">
                        <c:v>45408</c:v>
                      </c:pt>
                      <c:pt idx="906">
                        <c:v>45414</c:v>
                      </c:pt>
                      <c:pt idx="907">
                        <c:v>45415</c:v>
                      </c:pt>
                      <c:pt idx="908">
                        <c:v>45418</c:v>
                      </c:pt>
                      <c:pt idx="909">
                        <c:v>45419</c:v>
                      </c:pt>
                      <c:pt idx="910">
                        <c:v>45420</c:v>
                      </c:pt>
                      <c:pt idx="911">
                        <c:v>45421</c:v>
                      </c:pt>
                      <c:pt idx="912">
                        <c:v>45422</c:v>
                      </c:pt>
                      <c:pt idx="913">
                        <c:v>45425</c:v>
                      </c:pt>
                      <c:pt idx="914">
                        <c:v>45426</c:v>
                      </c:pt>
                      <c:pt idx="915">
                        <c:v>45427</c:v>
                      </c:pt>
                      <c:pt idx="916">
                        <c:v>45428</c:v>
                      </c:pt>
                      <c:pt idx="917">
                        <c:v>45429</c:v>
                      </c:pt>
                      <c:pt idx="918">
                        <c:v>45432</c:v>
                      </c:pt>
                      <c:pt idx="919">
                        <c:v>45433</c:v>
                      </c:pt>
                      <c:pt idx="920">
                        <c:v>45434</c:v>
                      </c:pt>
                      <c:pt idx="921">
                        <c:v>45435</c:v>
                      </c:pt>
                      <c:pt idx="922">
                        <c:v>45436</c:v>
                      </c:pt>
                      <c:pt idx="923">
                        <c:v>45439</c:v>
                      </c:pt>
                      <c:pt idx="924">
                        <c:v>45440</c:v>
                      </c:pt>
                      <c:pt idx="925">
                        <c:v>45441</c:v>
                      </c:pt>
                      <c:pt idx="926">
                        <c:v>45442</c:v>
                      </c:pt>
                      <c:pt idx="927">
                        <c:v>45443</c:v>
                      </c:pt>
                      <c:pt idx="928">
                        <c:v>45446</c:v>
                      </c:pt>
                      <c:pt idx="929">
                        <c:v>45447</c:v>
                      </c:pt>
                      <c:pt idx="930">
                        <c:v>45448</c:v>
                      </c:pt>
                      <c:pt idx="931">
                        <c:v>45449</c:v>
                      </c:pt>
                      <c:pt idx="932">
                        <c:v>45450</c:v>
                      </c:pt>
                      <c:pt idx="933">
                        <c:v>45453</c:v>
                      </c:pt>
                      <c:pt idx="934">
                        <c:v>45454</c:v>
                      </c:pt>
                      <c:pt idx="935">
                        <c:v>45455</c:v>
                      </c:pt>
                      <c:pt idx="936">
                        <c:v>45456</c:v>
                      </c:pt>
                      <c:pt idx="937">
                        <c:v>45457</c:v>
                      </c:pt>
                      <c:pt idx="938">
                        <c:v>45460</c:v>
                      </c:pt>
                      <c:pt idx="939">
                        <c:v>45461</c:v>
                      </c:pt>
                      <c:pt idx="940">
                        <c:v>45462</c:v>
                      </c:pt>
                      <c:pt idx="941">
                        <c:v>45463</c:v>
                      </c:pt>
                      <c:pt idx="942">
                        <c:v>45464</c:v>
                      </c:pt>
                      <c:pt idx="943">
                        <c:v>45467</c:v>
                      </c:pt>
                      <c:pt idx="944">
                        <c:v>45468</c:v>
                      </c:pt>
                      <c:pt idx="945">
                        <c:v>45469</c:v>
                      </c:pt>
                      <c:pt idx="946">
                        <c:v>45470</c:v>
                      </c:pt>
                      <c:pt idx="947">
                        <c:v>45471</c:v>
                      </c:pt>
                      <c:pt idx="948">
                        <c:v>45474</c:v>
                      </c:pt>
                      <c:pt idx="949">
                        <c:v>45475</c:v>
                      </c:pt>
                      <c:pt idx="950">
                        <c:v>45476</c:v>
                      </c:pt>
                      <c:pt idx="951">
                        <c:v>45477</c:v>
                      </c:pt>
                      <c:pt idx="952">
                        <c:v>45478</c:v>
                      </c:pt>
                      <c:pt idx="953">
                        <c:v>45481</c:v>
                      </c:pt>
                      <c:pt idx="954">
                        <c:v>45482</c:v>
                      </c:pt>
                      <c:pt idx="955">
                        <c:v>45483</c:v>
                      </c:pt>
                      <c:pt idx="956">
                        <c:v>45484</c:v>
                      </c:pt>
                      <c:pt idx="957">
                        <c:v>45485</c:v>
                      </c:pt>
                      <c:pt idx="958">
                        <c:v>45488</c:v>
                      </c:pt>
                      <c:pt idx="959">
                        <c:v>45489</c:v>
                      </c:pt>
                      <c:pt idx="960">
                        <c:v>45490</c:v>
                      </c:pt>
                      <c:pt idx="961">
                        <c:v>45491</c:v>
                      </c:pt>
                      <c:pt idx="962">
                        <c:v>45492</c:v>
                      </c:pt>
                      <c:pt idx="963">
                        <c:v>45495</c:v>
                      </c:pt>
                      <c:pt idx="964">
                        <c:v>45496</c:v>
                      </c:pt>
                      <c:pt idx="965">
                        <c:v>45497</c:v>
                      </c:pt>
                      <c:pt idx="966">
                        <c:v>45498</c:v>
                      </c:pt>
                      <c:pt idx="967">
                        <c:v>45499</c:v>
                      </c:pt>
                      <c:pt idx="968">
                        <c:v>45502</c:v>
                      </c:pt>
                      <c:pt idx="969">
                        <c:v>45503</c:v>
                      </c:pt>
                      <c:pt idx="970">
                        <c:v>45504</c:v>
                      </c:pt>
                      <c:pt idx="971">
                        <c:v>45505</c:v>
                      </c:pt>
                      <c:pt idx="972">
                        <c:v>45506</c:v>
                      </c:pt>
                      <c:pt idx="973">
                        <c:v>45509</c:v>
                      </c:pt>
                      <c:pt idx="974">
                        <c:v>45510</c:v>
                      </c:pt>
                      <c:pt idx="975">
                        <c:v>45511</c:v>
                      </c:pt>
                      <c:pt idx="976">
                        <c:v>45512</c:v>
                      </c:pt>
                      <c:pt idx="977">
                        <c:v>45513</c:v>
                      </c:pt>
                      <c:pt idx="978">
                        <c:v>45516</c:v>
                      </c:pt>
                      <c:pt idx="979">
                        <c:v>45517</c:v>
                      </c:pt>
                      <c:pt idx="980">
                        <c:v>45518</c:v>
                      </c:pt>
                      <c:pt idx="981">
                        <c:v>45519</c:v>
                      </c:pt>
                      <c:pt idx="982">
                        <c:v>45520</c:v>
                      </c:pt>
                      <c:pt idx="983">
                        <c:v>45523</c:v>
                      </c:pt>
                      <c:pt idx="984">
                        <c:v>45524</c:v>
                      </c:pt>
                      <c:pt idx="985">
                        <c:v>45525</c:v>
                      </c:pt>
                      <c:pt idx="986">
                        <c:v>45526</c:v>
                      </c:pt>
                      <c:pt idx="987">
                        <c:v>45527</c:v>
                      </c:pt>
                      <c:pt idx="988">
                        <c:v>45530</c:v>
                      </c:pt>
                      <c:pt idx="989">
                        <c:v>45531</c:v>
                      </c:pt>
                      <c:pt idx="990">
                        <c:v>45532</c:v>
                      </c:pt>
                      <c:pt idx="991">
                        <c:v>45533</c:v>
                      </c:pt>
                      <c:pt idx="992">
                        <c:v>45534</c:v>
                      </c:pt>
                      <c:pt idx="993">
                        <c:v>45539</c:v>
                      </c:pt>
                      <c:pt idx="994">
                        <c:v>45540</c:v>
                      </c:pt>
                      <c:pt idx="995">
                        <c:v>45541</c:v>
                      </c:pt>
                      <c:pt idx="996">
                        <c:v>45544</c:v>
                      </c:pt>
                      <c:pt idx="997">
                        <c:v>45545</c:v>
                      </c:pt>
                      <c:pt idx="998">
                        <c:v>45546</c:v>
                      </c:pt>
                      <c:pt idx="999">
                        <c:v>45547</c:v>
                      </c:pt>
                      <c:pt idx="1000">
                        <c:v>45548</c:v>
                      </c:pt>
                      <c:pt idx="1001">
                        <c:v>45551</c:v>
                      </c:pt>
                      <c:pt idx="1002">
                        <c:v>45552</c:v>
                      </c:pt>
                      <c:pt idx="1003">
                        <c:v>45553</c:v>
                      </c:pt>
                      <c:pt idx="1004">
                        <c:v>45554</c:v>
                      </c:pt>
                      <c:pt idx="1005">
                        <c:v>45555</c:v>
                      </c:pt>
                      <c:pt idx="1006">
                        <c:v>45558</c:v>
                      </c:pt>
                      <c:pt idx="1007">
                        <c:v>45559</c:v>
                      </c:pt>
                      <c:pt idx="1008">
                        <c:v>45560</c:v>
                      </c:pt>
                      <c:pt idx="1009">
                        <c:v>45561</c:v>
                      </c:pt>
                      <c:pt idx="1010">
                        <c:v>45562</c:v>
                      </c:pt>
                      <c:pt idx="1011">
                        <c:v>45565</c:v>
                      </c:pt>
                      <c:pt idx="1012">
                        <c:v>45566</c:v>
                      </c:pt>
                      <c:pt idx="1013">
                        <c:v>45567</c:v>
                      </c:pt>
                      <c:pt idx="1014">
                        <c:v>45568</c:v>
                      </c:pt>
                      <c:pt idx="1015">
                        <c:v>45569</c:v>
                      </c:pt>
                      <c:pt idx="1016">
                        <c:v>45572</c:v>
                      </c:pt>
                      <c:pt idx="1017">
                        <c:v>45573</c:v>
                      </c:pt>
                      <c:pt idx="1018">
                        <c:v>45574</c:v>
                      </c:pt>
                      <c:pt idx="1019">
                        <c:v>45575</c:v>
                      </c:pt>
                      <c:pt idx="1020">
                        <c:v>45576</c:v>
                      </c:pt>
                      <c:pt idx="1021">
                        <c:v>45579</c:v>
                      </c:pt>
                      <c:pt idx="1022">
                        <c:v>45580</c:v>
                      </c:pt>
                      <c:pt idx="1023">
                        <c:v>45581</c:v>
                      </c:pt>
                      <c:pt idx="1024">
                        <c:v>45582</c:v>
                      </c:pt>
                      <c:pt idx="1025">
                        <c:v>45583</c:v>
                      </c:pt>
                      <c:pt idx="1026">
                        <c:v>45586</c:v>
                      </c:pt>
                      <c:pt idx="1027">
                        <c:v>45587</c:v>
                      </c:pt>
                      <c:pt idx="1028">
                        <c:v>45588</c:v>
                      </c:pt>
                      <c:pt idx="1029">
                        <c:v>45589</c:v>
                      </c:pt>
                      <c:pt idx="1030">
                        <c:v>45590</c:v>
                      </c:pt>
                      <c:pt idx="1031">
                        <c:v>45593</c:v>
                      </c:pt>
                      <c:pt idx="1032">
                        <c:v>45594</c:v>
                      </c:pt>
                      <c:pt idx="1033">
                        <c:v>45595</c:v>
                      </c:pt>
                      <c:pt idx="1034">
                        <c:v>45596</c:v>
                      </c:pt>
                      <c:pt idx="1035">
                        <c:v>45597</c:v>
                      </c:pt>
                      <c:pt idx="1036">
                        <c:v>45600</c:v>
                      </c:pt>
                      <c:pt idx="1037">
                        <c:v>45601</c:v>
                      </c:pt>
                      <c:pt idx="1038">
                        <c:v>45602</c:v>
                      </c:pt>
                      <c:pt idx="1039">
                        <c:v>45603</c:v>
                      </c:pt>
                      <c:pt idx="1040">
                        <c:v>45604</c:v>
                      </c:pt>
                      <c:pt idx="1041">
                        <c:v>45607</c:v>
                      </c:pt>
                      <c:pt idx="1042">
                        <c:v>45608</c:v>
                      </c:pt>
                      <c:pt idx="1043">
                        <c:v>45609</c:v>
                      </c:pt>
                      <c:pt idx="1044">
                        <c:v>45610</c:v>
                      </c:pt>
                      <c:pt idx="1045">
                        <c:v>45611</c:v>
                      </c:pt>
                      <c:pt idx="1046">
                        <c:v>45614</c:v>
                      </c:pt>
                      <c:pt idx="1047">
                        <c:v>45615</c:v>
                      </c:pt>
                      <c:pt idx="1048">
                        <c:v>45616</c:v>
                      </c:pt>
                      <c:pt idx="1049">
                        <c:v>45617</c:v>
                      </c:pt>
                      <c:pt idx="1050">
                        <c:v>45618</c:v>
                      </c:pt>
                      <c:pt idx="1051">
                        <c:v>45621</c:v>
                      </c:pt>
                      <c:pt idx="1052">
                        <c:v>45622</c:v>
                      </c:pt>
                      <c:pt idx="1053">
                        <c:v>45623</c:v>
                      </c:pt>
                      <c:pt idx="1054">
                        <c:v>45624</c:v>
                      </c:pt>
                      <c:pt idx="1055">
                        <c:v>45625</c:v>
                      </c:pt>
                      <c:pt idx="1056">
                        <c:v>45628</c:v>
                      </c:pt>
                      <c:pt idx="1057">
                        <c:v>45629</c:v>
                      </c:pt>
                      <c:pt idx="1058">
                        <c:v>45630</c:v>
                      </c:pt>
                      <c:pt idx="1059">
                        <c:v>45631</c:v>
                      </c:pt>
                      <c:pt idx="1060">
                        <c:v>45632</c:v>
                      </c:pt>
                      <c:pt idx="1061">
                        <c:v>45635</c:v>
                      </c:pt>
                      <c:pt idx="1062">
                        <c:v>45636</c:v>
                      </c:pt>
                      <c:pt idx="1063">
                        <c:v>45637</c:v>
                      </c:pt>
                      <c:pt idx="1064">
                        <c:v>45638</c:v>
                      </c:pt>
                      <c:pt idx="1065">
                        <c:v>45639</c:v>
                      </c:pt>
                      <c:pt idx="1066">
                        <c:v>45642</c:v>
                      </c:pt>
                      <c:pt idx="1067">
                        <c:v>45643</c:v>
                      </c:pt>
                      <c:pt idx="1068">
                        <c:v>45644</c:v>
                      </c:pt>
                      <c:pt idx="1069">
                        <c:v>45645</c:v>
                      </c:pt>
                      <c:pt idx="1070">
                        <c:v>45646</c:v>
                      </c:pt>
                      <c:pt idx="1071">
                        <c:v>45649</c:v>
                      </c:pt>
                      <c:pt idx="1072">
                        <c:v>45650</c:v>
                      </c:pt>
                      <c:pt idx="1073">
                        <c:v>45651</c:v>
                      </c:pt>
                      <c:pt idx="1074">
                        <c:v>45652</c:v>
                      </c:pt>
                      <c:pt idx="1075">
                        <c:v>45653</c:v>
                      </c:pt>
                      <c:pt idx="1076">
                        <c:v>45656</c:v>
                      </c:pt>
                      <c:pt idx="1077">
                        <c:v>45657</c:v>
                      </c:pt>
                      <c:pt idx="1078">
                        <c:v>45659</c:v>
                      </c:pt>
                      <c:pt idx="1079">
                        <c:v>45660</c:v>
                      </c:pt>
                      <c:pt idx="1080">
                        <c:v>45663</c:v>
                      </c:pt>
                      <c:pt idx="1081">
                        <c:v>45664</c:v>
                      </c:pt>
                      <c:pt idx="1082">
                        <c:v>45665</c:v>
                      </c:pt>
                      <c:pt idx="1083">
                        <c:v>45666</c:v>
                      </c:pt>
                      <c:pt idx="1084">
                        <c:v>45667</c:v>
                      </c:pt>
                      <c:pt idx="1085">
                        <c:v>45670</c:v>
                      </c:pt>
                      <c:pt idx="1086">
                        <c:v>45671</c:v>
                      </c:pt>
                      <c:pt idx="1087">
                        <c:v>45672</c:v>
                      </c:pt>
                      <c:pt idx="1088">
                        <c:v>45673</c:v>
                      </c:pt>
                      <c:pt idx="1089">
                        <c:v>45674</c:v>
                      </c:pt>
                      <c:pt idx="1090">
                        <c:v>45677</c:v>
                      </c:pt>
                      <c:pt idx="1091">
                        <c:v>45678</c:v>
                      </c:pt>
                      <c:pt idx="1092">
                        <c:v>45679</c:v>
                      </c:pt>
                      <c:pt idx="1093">
                        <c:v>45680</c:v>
                      </c:pt>
                      <c:pt idx="1094">
                        <c:v>45681</c:v>
                      </c:pt>
                      <c:pt idx="1095">
                        <c:v>45691</c:v>
                      </c:pt>
                      <c:pt idx="1096">
                        <c:v>45692</c:v>
                      </c:pt>
                      <c:pt idx="1097">
                        <c:v>45693</c:v>
                      </c:pt>
                      <c:pt idx="1098">
                        <c:v>45694</c:v>
                      </c:pt>
                      <c:pt idx="1099">
                        <c:v>45695</c:v>
                      </c:pt>
                      <c:pt idx="1100">
                        <c:v>45698</c:v>
                      </c:pt>
                      <c:pt idx="1101">
                        <c:v>45699</c:v>
                      </c:pt>
                      <c:pt idx="1102">
                        <c:v>45700</c:v>
                      </c:pt>
                      <c:pt idx="1103">
                        <c:v>45701</c:v>
                      </c:pt>
                      <c:pt idx="1104">
                        <c:v>45702</c:v>
                      </c:pt>
                      <c:pt idx="1105">
                        <c:v>45705</c:v>
                      </c:pt>
                      <c:pt idx="1106">
                        <c:v>45706</c:v>
                      </c:pt>
                      <c:pt idx="1107">
                        <c:v>45707</c:v>
                      </c:pt>
                      <c:pt idx="1108">
                        <c:v>45708</c:v>
                      </c:pt>
                      <c:pt idx="1109">
                        <c:v>45709</c:v>
                      </c:pt>
                      <c:pt idx="1110">
                        <c:v>45712</c:v>
                      </c:pt>
                      <c:pt idx="1111">
                        <c:v>45713</c:v>
                      </c:pt>
                      <c:pt idx="1112">
                        <c:v>45714</c:v>
                      </c:pt>
                      <c:pt idx="1113">
                        <c:v>45715</c:v>
                      </c:pt>
                      <c:pt idx="1114">
                        <c:v>45716</c:v>
                      </c:pt>
                      <c:pt idx="1115">
                        <c:v>45719</c:v>
                      </c:pt>
                      <c:pt idx="1116">
                        <c:v>45720</c:v>
                      </c:pt>
                      <c:pt idx="1117">
                        <c:v>45721</c:v>
                      </c:pt>
                      <c:pt idx="1118">
                        <c:v>45722</c:v>
                      </c:pt>
                      <c:pt idx="1119">
                        <c:v>45723</c:v>
                      </c:pt>
                      <c:pt idx="1120">
                        <c:v>45726</c:v>
                      </c:pt>
                      <c:pt idx="1121">
                        <c:v>45727</c:v>
                      </c:pt>
                      <c:pt idx="1122">
                        <c:v>45728</c:v>
                      </c:pt>
                      <c:pt idx="1123">
                        <c:v>45729</c:v>
                      </c:pt>
                      <c:pt idx="1124">
                        <c:v>45730</c:v>
                      </c:pt>
                      <c:pt idx="1125">
                        <c:v>45733</c:v>
                      </c:pt>
                      <c:pt idx="1126">
                        <c:v>45734</c:v>
                      </c:pt>
                      <c:pt idx="1127">
                        <c:v>45735</c:v>
                      </c:pt>
                      <c:pt idx="1128">
                        <c:v>45736</c:v>
                      </c:pt>
                      <c:pt idx="1129">
                        <c:v>45737</c:v>
                      </c:pt>
                      <c:pt idx="1130">
                        <c:v>45740</c:v>
                      </c:pt>
                      <c:pt idx="1131">
                        <c:v>45741</c:v>
                      </c:pt>
                      <c:pt idx="1132">
                        <c:v>45742</c:v>
                      </c:pt>
                      <c:pt idx="1133">
                        <c:v>45743</c:v>
                      </c:pt>
                      <c:pt idx="1134">
                        <c:v>45744</c:v>
                      </c:pt>
                      <c:pt idx="1135">
                        <c:v>45747</c:v>
                      </c:pt>
                      <c:pt idx="1136">
                        <c:v>45748</c:v>
                      </c:pt>
                      <c:pt idx="1137">
                        <c:v>45749</c:v>
                      </c:pt>
                      <c:pt idx="1138">
                        <c:v>45750</c:v>
                      </c:pt>
                      <c:pt idx="1139">
                        <c:v>45751</c:v>
                      </c:pt>
                      <c:pt idx="1140">
                        <c:v>45755</c:v>
                      </c:pt>
                      <c:pt idx="1141">
                        <c:v>45756</c:v>
                      </c:pt>
                      <c:pt idx="1142">
                        <c:v>45757</c:v>
                      </c:pt>
                      <c:pt idx="1143">
                        <c:v>45758</c:v>
                      </c:pt>
                      <c:pt idx="1144">
                        <c:v>45761</c:v>
                      </c:pt>
                      <c:pt idx="1145">
                        <c:v>45762</c:v>
                      </c:pt>
                      <c:pt idx="1146">
                        <c:v>45763</c:v>
                      </c:pt>
                      <c:pt idx="1147">
                        <c:v>45764</c:v>
                      </c:pt>
                      <c:pt idx="1148">
                        <c:v>45765</c:v>
                      </c:pt>
                      <c:pt idx="1149">
                        <c:v>45768</c:v>
                      </c:pt>
                      <c:pt idx="1150">
                        <c:v>45769</c:v>
                      </c:pt>
                      <c:pt idx="1151">
                        <c:v>45770</c:v>
                      </c:pt>
                      <c:pt idx="1152">
                        <c:v>45771</c:v>
                      </c:pt>
                      <c:pt idx="1153">
                        <c:v>45772</c:v>
                      </c:pt>
                      <c:pt idx="1154">
                        <c:v>45775</c:v>
                      </c:pt>
                      <c:pt idx="1155">
                        <c:v>45776</c:v>
                      </c:pt>
                      <c:pt idx="1156">
                        <c:v>45782</c:v>
                      </c:pt>
                      <c:pt idx="1157">
                        <c:v>45783</c:v>
                      </c:pt>
                      <c:pt idx="1158">
                        <c:v>45784</c:v>
                      </c:pt>
                      <c:pt idx="1159">
                        <c:v>45785</c:v>
                      </c:pt>
                      <c:pt idx="1160">
                        <c:v>45786</c:v>
                      </c:pt>
                      <c:pt idx="1161">
                        <c:v>45789</c:v>
                      </c:pt>
                      <c:pt idx="1162">
                        <c:v>45790</c:v>
                      </c:pt>
                      <c:pt idx="1163">
                        <c:v>45791</c:v>
                      </c:pt>
                      <c:pt idx="1164">
                        <c:v>45792</c:v>
                      </c:pt>
                      <c:pt idx="1165">
                        <c:v>45793</c:v>
                      </c:pt>
                      <c:pt idx="1166">
                        <c:v>45796</c:v>
                      </c:pt>
                      <c:pt idx="1167">
                        <c:v>45797</c:v>
                      </c:pt>
                      <c:pt idx="1168">
                        <c:v>45798</c:v>
                      </c:pt>
                      <c:pt idx="1169">
                        <c:v>45799</c:v>
                      </c:pt>
                      <c:pt idx="1170">
                        <c:v>45800</c:v>
                      </c:pt>
                      <c:pt idx="1171">
                        <c:v>45803</c:v>
                      </c:pt>
                      <c:pt idx="1172">
                        <c:v>45804</c:v>
                      </c:pt>
                      <c:pt idx="1173">
                        <c:v>45805</c:v>
                      </c:pt>
                      <c:pt idx="1174">
                        <c:v>45806</c:v>
                      </c:pt>
                      <c:pt idx="1175">
                        <c:v>45807</c:v>
                      </c:pt>
                      <c:pt idx="1176">
                        <c:v>45810</c:v>
                      </c:pt>
                      <c:pt idx="1177">
                        <c:v>45811</c:v>
                      </c:pt>
                      <c:pt idx="1178">
                        <c:v>45812</c:v>
                      </c:pt>
                      <c:pt idx="1179">
                        <c:v>45813</c:v>
                      </c:pt>
                      <c:pt idx="1180">
                        <c:v>45814</c:v>
                      </c:pt>
                      <c:pt idx="1181">
                        <c:v>45817</c:v>
                      </c:pt>
                      <c:pt idx="1182">
                        <c:v>45818</c:v>
                      </c:pt>
                      <c:pt idx="1183">
                        <c:v>45819</c:v>
                      </c:pt>
                      <c:pt idx="1184">
                        <c:v>45820</c:v>
                      </c:pt>
                      <c:pt idx="1185">
                        <c:v>45821</c:v>
                      </c:pt>
                      <c:pt idx="1186">
                        <c:v>45824</c:v>
                      </c:pt>
                      <c:pt idx="1187">
                        <c:v>45825</c:v>
                      </c:pt>
                      <c:pt idx="1188">
                        <c:v>45826</c:v>
                      </c:pt>
                      <c:pt idx="1189">
                        <c:v>45827</c:v>
                      </c:pt>
                      <c:pt idx="1190">
                        <c:v>45828</c:v>
                      </c:pt>
                      <c:pt idx="1191">
                        <c:v>45831</c:v>
                      </c:pt>
                      <c:pt idx="1192">
                        <c:v>45832</c:v>
                      </c:pt>
                      <c:pt idx="1193">
                        <c:v>45833</c:v>
                      </c:pt>
                      <c:pt idx="1194">
                        <c:v>45834</c:v>
                      </c:pt>
                      <c:pt idx="1195">
                        <c:v>45835</c:v>
                      </c:pt>
                      <c:pt idx="1196">
                        <c:v>45838</c:v>
                      </c:pt>
                      <c:pt idx="1197">
                        <c:v>45839</c:v>
                      </c:pt>
                      <c:pt idx="1198">
                        <c:v>45840</c:v>
                      </c:pt>
                      <c:pt idx="1199">
                        <c:v>45841</c:v>
                      </c:pt>
                      <c:pt idx="1200">
                        <c:v>45842</c:v>
                      </c:pt>
                      <c:pt idx="1201">
                        <c:v>45845</c:v>
                      </c:pt>
                      <c:pt idx="1202">
                        <c:v>45846</c:v>
                      </c:pt>
                      <c:pt idx="1203">
                        <c:v>45847</c:v>
                      </c:pt>
                      <c:pt idx="1204">
                        <c:v>45848</c:v>
                      </c:pt>
                      <c:pt idx="1205">
                        <c:v>45849</c:v>
                      </c:pt>
                      <c:pt idx="1206">
                        <c:v>45852</c:v>
                      </c:pt>
                      <c:pt idx="1207">
                        <c:v>45853</c:v>
                      </c:pt>
                      <c:pt idx="1208">
                        <c:v>45854</c:v>
                      </c:pt>
                      <c:pt idx="1209">
                        <c:v>45855</c:v>
                      </c:pt>
                      <c:pt idx="1210">
                        <c:v>45856</c:v>
                      </c:pt>
                      <c:pt idx="1211">
                        <c:v>45859</c:v>
                      </c:pt>
                      <c:pt idx="1212">
                        <c:v>45860</c:v>
                      </c:pt>
                      <c:pt idx="1213">
                        <c:v>45861</c:v>
                      </c:pt>
                      <c:pt idx="1214">
                        <c:v>45862</c:v>
                      </c:pt>
                      <c:pt idx="1215">
                        <c:v>45863</c:v>
                      </c:pt>
                      <c:pt idx="1216">
                        <c:v>45866</c:v>
                      </c:pt>
                      <c:pt idx="1217">
                        <c:v>45867</c:v>
                      </c:pt>
                      <c:pt idx="1218">
                        <c:v>45868</c:v>
                      </c:pt>
                      <c:pt idx="1219">
                        <c:v>45869</c:v>
                      </c:pt>
                      <c:pt idx="1220">
                        <c:v>45870</c:v>
                      </c:pt>
                      <c:pt idx="1221">
                        <c:v>45873</c:v>
                      </c:pt>
                      <c:pt idx="1222">
                        <c:v>45874</c:v>
                      </c:pt>
                      <c:pt idx="1223">
                        <c:v>45875</c:v>
                      </c:pt>
                      <c:pt idx="1224">
                        <c:v>45876</c:v>
                      </c:pt>
                      <c:pt idx="1225">
                        <c:v>45877</c:v>
                      </c:pt>
                      <c:pt idx="1226">
                        <c:v>45880</c:v>
                      </c:pt>
                      <c:pt idx="1227">
                        <c:v>45881</c:v>
                      </c:pt>
                      <c:pt idx="1228">
                        <c:v>45882</c:v>
                      </c:pt>
                      <c:pt idx="1229">
                        <c:v>45883</c:v>
                      </c:pt>
                      <c:pt idx="1230">
                        <c:v>45884</c:v>
                      </c:pt>
                      <c:pt idx="1231">
                        <c:v>45887</c:v>
                      </c:pt>
                      <c:pt idx="1232">
                        <c:v>45888</c:v>
                      </c:pt>
                      <c:pt idx="1233">
                        <c:v>45889</c:v>
                      </c:pt>
                      <c:pt idx="1234">
                        <c:v>45890</c:v>
                      </c:pt>
                      <c:pt idx="1235">
                        <c:v>45891</c:v>
                      </c:pt>
                      <c:pt idx="1236">
                        <c:v>45894</c:v>
                      </c:pt>
                      <c:pt idx="1237">
                        <c:v>45895</c:v>
                      </c:pt>
                      <c:pt idx="1238">
                        <c:v>45896</c:v>
                      </c:pt>
                      <c:pt idx="1239">
                        <c:v>45897</c:v>
                      </c:pt>
                      <c:pt idx="1240">
                        <c:v>45898</c:v>
                      </c:pt>
                      <c:pt idx="1241">
                        <c:v>45903</c:v>
                      </c:pt>
                      <c:pt idx="1242">
                        <c:v>45904</c:v>
                      </c:pt>
                      <c:pt idx="1243">
                        <c:v>45905</c:v>
                      </c:pt>
                      <c:pt idx="1244">
                        <c:v>45908</c:v>
                      </c:pt>
                      <c:pt idx="1245">
                        <c:v>45909</c:v>
                      </c:pt>
                      <c:pt idx="1246">
                        <c:v>45910</c:v>
                      </c:pt>
                      <c:pt idx="1247">
                        <c:v>45911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BCE2-4596-9C03-87507E966139}"/>
            </c:ext>
          </c:extLst>
        </c:ser>
        <c:ser>
          <c:idx val="4"/>
          <c:order val="4"/>
          <c:spPr>
            <a:ln w="22225" cap="rnd">
              <a:solidFill>
                <a:schemeClr val="dk1">
                  <a:tint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[177]PE!$F$2:$F$1249</c:f>
              <c:numCache>
                <c:formatCode>_(* #,##0_);_(* \(#,##0\);_(* "-"??_);_(@_)</c:formatCode>
                <c:ptCount val="1248"/>
                <c:pt idx="0">
                  <c:v>24.121377693173557</c:v>
                </c:pt>
                <c:pt idx="1">
                  <c:v>24.121377693173557</c:v>
                </c:pt>
                <c:pt idx="2">
                  <c:v>24.121377693173557</c:v>
                </c:pt>
                <c:pt idx="3">
                  <c:v>24.121377693173557</c:v>
                </c:pt>
                <c:pt idx="4">
                  <c:v>24.121377693173557</c:v>
                </c:pt>
                <c:pt idx="5">
                  <c:v>24.121377693173557</c:v>
                </c:pt>
                <c:pt idx="6">
                  <c:v>24.121377693173557</c:v>
                </c:pt>
                <c:pt idx="7">
                  <c:v>24.121377693173557</c:v>
                </c:pt>
                <c:pt idx="8">
                  <c:v>24.121377693173557</c:v>
                </c:pt>
                <c:pt idx="9">
                  <c:v>24.121377693173557</c:v>
                </c:pt>
                <c:pt idx="10">
                  <c:v>24.121377693173557</c:v>
                </c:pt>
                <c:pt idx="11">
                  <c:v>24.121377693173557</c:v>
                </c:pt>
                <c:pt idx="12">
                  <c:v>24.121377693173557</c:v>
                </c:pt>
                <c:pt idx="13">
                  <c:v>24.121377693173557</c:v>
                </c:pt>
                <c:pt idx="14">
                  <c:v>24.121377693173557</c:v>
                </c:pt>
                <c:pt idx="15">
                  <c:v>24.121377693173557</c:v>
                </c:pt>
                <c:pt idx="16">
                  <c:v>24.121377693173557</c:v>
                </c:pt>
                <c:pt idx="17">
                  <c:v>24.121377693173557</c:v>
                </c:pt>
                <c:pt idx="18">
                  <c:v>24.121377693173557</c:v>
                </c:pt>
                <c:pt idx="19">
                  <c:v>24.121377693173557</c:v>
                </c:pt>
                <c:pt idx="20">
                  <c:v>24.121377693173557</c:v>
                </c:pt>
                <c:pt idx="21">
                  <c:v>24.121377693173557</c:v>
                </c:pt>
                <c:pt idx="22">
                  <c:v>24.121377693173557</c:v>
                </c:pt>
                <c:pt idx="23">
                  <c:v>24.121377693173557</c:v>
                </c:pt>
                <c:pt idx="24">
                  <c:v>24.121377693173557</c:v>
                </c:pt>
                <c:pt idx="25">
                  <c:v>24.121377693173557</c:v>
                </c:pt>
                <c:pt idx="26">
                  <c:v>24.121377693173557</c:v>
                </c:pt>
                <c:pt idx="27">
                  <c:v>24.121377693173557</c:v>
                </c:pt>
                <c:pt idx="28">
                  <c:v>24.121377693173557</c:v>
                </c:pt>
                <c:pt idx="29">
                  <c:v>24.121377693173557</c:v>
                </c:pt>
                <c:pt idx="30">
                  <c:v>24.121377693173557</c:v>
                </c:pt>
                <c:pt idx="31">
                  <c:v>24.121377693173557</c:v>
                </c:pt>
                <c:pt idx="32">
                  <c:v>24.121377693173557</c:v>
                </c:pt>
                <c:pt idx="33">
                  <c:v>24.121377693173557</c:v>
                </c:pt>
                <c:pt idx="34">
                  <c:v>24.121377693173557</c:v>
                </c:pt>
                <c:pt idx="35">
                  <c:v>24.121377693173557</c:v>
                </c:pt>
                <c:pt idx="36">
                  <c:v>24.121377693173557</c:v>
                </c:pt>
                <c:pt idx="37">
                  <c:v>24.121377693173557</c:v>
                </c:pt>
                <c:pt idx="38">
                  <c:v>24.121377693173557</c:v>
                </c:pt>
                <c:pt idx="39">
                  <c:v>24.121377693173557</c:v>
                </c:pt>
                <c:pt idx="40">
                  <c:v>24.121377693173557</c:v>
                </c:pt>
                <c:pt idx="41">
                  <c:v>24.121377693173557</c:v>
                </c:pt>
                <c:pt idx="42">
                  <c:v>24.121377693173557</c:v>
                </c:pt>
                <c:pt idx="43">
                  <c:v>24.121377693173557</c:v>
                </c:pt>
                <c:pt idx="44">
                  <c:v>24.121377693173557</c:v>
                </c:pt>
                <c:pt idx="45">
                  <c:v>24.121377693173557</c:v>
                </c:pt>
                <c:pt idx="46">
                  <c:v>24.121377693173557</c:v>
                </c:pt>
                <c:pt idx="47">
                  <c:v>24.121377693173557</c:v>
                </c:pt>
                <c:pt idx="48">
                  <c:v>24.121377693173557</c:v>
                </c:pt>
                <c:pt idx="49">
                  <c:v>24.121377693173557</c:v>
                </c:pt>
                <c:pt idx="50">
                  <c:v>24.121377693173557</c:v>
                </c:pt>
                <c:pt idx="51">
                  <c:v>24.121377693173557</c:v>
                </c:pt>
                <c:pt idx="52">
                  <c:v>24.121377693173557</c:v>
                </c:pt>
                <c:pt idx="53">
                  <c:v>24.121377693173557</c:v>
                </c:pt>
                <c:pt idx="54">
                  <c:v>24.121377693173557</c:v>
                </c:pt>
                <c:pt idx="55">
                  <c:v>24.121377693173557</c:v>
                </c:pt>
                <c:pt idx="56">
                  <c:v>24.121377693173557</c:v>
                </c:pt>
                <c:pt idx="57">
                  <c:v>24.121377693173557</c:v>
                </c:pt>
                <c:pt idx="58">
                  <c:v>24.121377693173557</c:v>
                </c:pt>
                <c:pt idx="59">
                  <c:v>24.121377693173557</c:v>
                </c:pt>
                <c:pt idx="60">
                  <c:v>24.121377693173557</c:v>
                </c:pt>
                <c:pt idx="61">
                  <c:v>24.121377693173557</c:v>
                </c:pt>
                <c:pt idx="62">
                  <c:v>24.121377693173557</c:v>
                </c:pt>
                <c:pt idx="63">
                  <c:v>24.121377693173557</c:v>
                </c:pt>
                <c:pt idx="64">
                  <c:v>24.121377693173557</c:v>
                </c:pt>
                <c:pt idx="65">
                  <c:v>24.121377693173557</c:v>
                </c:pt>
                <c:pt idx="66">
                  <c:v>24.121377693173557</c:v>
                </c:pt>
                <c:pt idx="67">
                  <c:v>24.121377693173557</c:v>
                </c:pt>
                <c:pt idx="68">
                  <c:v>24.121377693173557</c:v>
                </c:pt>
                <c:pt idx="69">
                  <c:v>24.121377693173557</c:v>
                </c:pt>
                <c:pt idx="70">
                  <c:v>24.121377693173557</c:v>
                </c:pt>
                <c:pt idx="71">
                  <c:v>24.121377693173557</c:v>
                </c:pt>
                <c:pt idx="72">
                  <c:v>24.121377693173557</c:v>
                </c:pt>
                <c:pt idx="73">
                  <c:v>24.121377693173557</c:v>
                </c:pt>
                <c:pt idx="74">
                  <c:v>24.121377693173557</c:v>
                </c:pt>
                <c:pt idx="75">
                  <c:v>24.121377693173557</c:v>
                </c:pt>
                <c:pt idx="76">
                  <c:v>24.121377693173557</c:v>
                </c:pt>
                <c:pt idx="77">
                  <c:v>24.121377693173557</c:v>
                </c:pt>
                <c:pt idx="78">
                  <c:v>24.121377693173557</c:v>
                </c:pt>
                <c:pt idx="79">
                  <c:v>24.121377693173557</c:v>
                </c:pt>
                <c:pt idx="80">
                  <c:v>24.121377693173557</c:v>
                </c:pt>
                <c:pt idx="81">
                  <c:v>24.121377693173557</c:v>
                </c:pt>
                <c:pt idx="82">
                  <c:v>24.121377693173557</c:v>
                </c:pt>
                <c:pt idx="83">
                  <c:v>24.121377693173557</c:v>
                </c:pt>
                <c:pt idx="84">
                  <c:v>24.121377693173557</c:v>
                </c:pt>
                <c:pt idx="85">
                  <c:v>24.121377693173557</c:v>
                </c:pt>
                <c:pt idx="86">
                  <c:v>24.121377693173557</c:v>
                </c:pt>
                <c:pt idx="87">
                  <c:v>24.121377693173557</c:v>
                </c:pt>
                <c:pt idx="88">
                  <c:v>24.121377693173557</c:v>
                </c:pt>
                <c:pt idx="89">
                  <c:v>24.121377693173557</c:v>
                </c:pt>
                <c:pt idx="90">
                  <c:v>24.121377693173557</c:v>
                </c:pt>
                <c:pt idx="91">
                  <c:v>24.121377693173557</c:v>
                </c:pt>
                <c:pt idx="92">
                  <c:v>24.121377693173557</c:v>
                </c:pt>
                <c:pt idx="93">
                  <c:v>24.121377693173557</c:v>
                </c:pt>
                <c:pt idx="94">
                  <c:v>24.121377693173557</c:v>
                </c:pt>
                <c:pt idx="95">
                  <c:v>24.121377693173557</c:v>
                </c:pt>
                <c:pt idx="96">
                  <c:v>24.121377693173557</c:v>
                </c:pt>
                <c:pt idx="97">
                  <c:v>24.121377693173557</c:v>
                </c:pt>
                <c:pt idx="98">
                  <c:v>24.121377693173557</c:v>
                </c:pt>
                <c:pt idx="99">
                  <c:v>24.121377693173557</c:v>
                </c:pt>
                <c:pt idx="100">
                  <c:v>24.121377693173557</c:v>
                </c:pt>
                <c:pt idx="101">
                  <c:v>24.121377693173557</c:v>
                </c:pt>
                <c:pt idx="102">
                  <c:v>24.121377693173557</c:v>
                </c:pt>
                <c:pt idx="103">
                  <c:v>24.121377693173557</c:v>
                </c:pt>
                <c:pt idx="104">
                  <c:v>24.121377693173557</c:v>
                </c:pt>
                <c:pt idx="105">
                  <c:v>24.121377693173557</c:v>
                </c:pt>
                <c:pt idx="106">
                  <c:v>24.121377693173557</c:v>
                </c:pt>
                <c:pt idx="107">
                  <c:v>24.121377693173557</c:v>
                </c:pt>
                <c:pt idx="108">
                  <c:v>24.121377693173557</c:v>
                </c:pt>
                <c:pt idx="109">
                  <c:v>24.121377693173557</c:v>
                </c:pt>
                <c:pt idx="110">
                  <c:v>24.121377693173557</c:v>
                </c:pt>
                <c:pt idx="111">
                  <c:v>24.121377693173557</c:v>
                </c:pt>
                <c:pt idx="112">
                  <c:v>24.121377693173557</c:v>
                </c:pt>
                <c:pt idx="113">
                  <c:v>24.121377693173557</c:v>
                </c:pt>
                <c:pt idx="114">
                  <c:v>24.121377693173557</c:v>
                </c:pt>
                <c:pt idx="115">
                  <c:v>24.121377693173557</c:v>
                </c:pt>
                <c:pt idx="116">
                  <c:v>24.121377693173557</c:v>
                </c:pt>
                <c:pt idx="117">
                  <c:v>24.121377693173557</c:v>
                </c:pt>
                <c:pt idx="118">
                  <c:v>24.121377693173557</c:v>
                </c:pt>
                <c:pt idx="119">
                  <c:v>24.121377693173557</c:v>
                </c:pt>
                <c:pt idx="120">
                  <c:v>24.121377693173557</c:v>
                </c:pt>
                <c:pt idx="121">
                  <c:v>24.121377693173557</c:v>
                </c:pt>
                <c:pt idx="122">
                  <c:v>24.121377693173557</c:v>
                </c:pt>
                <c:pt idx="123">
                  <c:v>24.121377693173557</c:v>
                </c:pt>
                <c:pt idx="124">
                  <c:v>24.121377693173557</c:v>
                </c:pt>
                <c:pt idx="125">
                  <c:v>24.121377693173557</c:v>
                </c:pt>
                <c:pt idx="126">
                  <c:v>24.121377693173557</c:v>
                </c:pt>
                <c:pt idx="127">
                  <c:v>24.121377693173557</c:v>
                </c:pt>
                <c:pt idx="128">
                  <c:v>24.121377693173557</c:v>
                </c:pt>
                <c:pt idx="129">
                  <c:v>24.121377693173557</c:v>
                </c:pt>
                <c:pt idx="130">
                  <c:v>24.121377693173557</c:v>
                </c:pt>
                <c:pt idx="131">
                  <c:v>24.121377693173557</c:v>
                </c:pt>
                <c:pt idx="132">
                  <c:v>24.121377693173557</c:v>
                </c:pt>
                <c:pt idx="133">
                  <c:v>24.121377693173557</c:v>
                </c:pt>
                <c:pt idx="134">
                  <c:v>24.121377693173557</c:v>
                </c:pt>
                <c:pt idx="135">
                  <c:v>24.121377693173557</c:v>
                </c:pt>
                <c:pt idx="136">
                  <c:v>24.121377693173557</c:v>
                </c:pt>
                <c:pt idx="137">
                  <c:v>24.121377693173557</c:v>
                </c:pt>
                <c:pt idx="138">
                  <c:v>24.121377693173557</c:v>
                </c:pt>
                <c:pt idx="139">
                  <c:v>24.121377693173557</c:v>
                </c:pt>
                <c:pt idx="140">
                  <c:v>24.121377693173557</c:v>
                </c:pt>
                <c:pt idx="141">
                  <c:v>24.121377693173557</c:v>
                </c:pt>
                <c:pt idx="142">
                  <c:v>24.121377693173557</c:v>
                </c:pt>
                <c:pt idx="143">
                  <c:v>24.121377693173557</c:v>
                </c:pt>
                <c:pt idx="144">
                  <c:v>24.121377693173557</c:v>
                </c:pt>
                <c:pt idx="145">
                  <c:v>24.121377693173557</c:v>
                </c:pt>
                <c:pt idx="146">
                  <c:v>24.121377693173557</c:v>
                </c:pt>
                <c:pt idx="147">
                  <c:v>24.121377693173557</c:v>
                </c:pt>
                <c:pt idx="148">
                  <c:v>24.121377693173557</c:v>
                </c:pt>
                <c:pt idx="149">
                  <c:v>24.121377693173557</c:v>
                </c:pt>
                <c:pt idx="150">
                  <c:v>24.121377693173557</c:v>
                </c:pt>
                <c:pt idx="151">
                  <c:v>24.121377693173557</c:v>
                </c:pt>
                <c:pt idx="152">
                  <c:v>24.121377693173557</c:v>
                </c:pt>
                <c:pt idx="153">
                  <c:v>24.121377693173557</c:v>
                </c:pt>
                <c:pt idx="154">
                  <c:v>24.121377693173557</c:v>
                </c:pt>
                <c:pt idx="155">
                  <c:v>24.121377693173557</c:v>
                </c:pt>
                <c:pt idx="156">
                  <c:v>24.121377693173557</c:v>
                </c:pt>
                <c:pt idx="157">
                  <c:v>24.121377693173557</c:v>
                </c:pt>
                <c:pt idx="158">
                  <c:v>24.121377693173557</c:v>
                </c:pt>
                <c:pt idx="159">
                  <c:v>24.121377693173557</c:v>
                </c:pt>
                <c:pt idx="160">
                  <c:v>24.121377693173557</c:v>
                </c:pt>
                <c:pt idx="161">
                  <c:v>24.121377693173557</c:v>
                </c:pt>
                <c:pt idx="162">
                  <c:v>24.121377693173557</c:v>
                </c:pt>
                <c:pt idx="163">
                  <c:v>24.121377693173557</c:v>
                </c:pt>
                <c:pt idx="164">
                  <c:v>24.121377693173557</c:v>
                </c:pt>
                <c:pt idx="165">
                  <c:v>24.121377693173557</c:v>
                </c:pt>
                <c:pt idx="166">
                  <c:v>24.121377693173557</c:v>
                </c:pt>
                <c:pt idx="167">
                  <c:v>24.121377693173557</c:v>
                </c:pt>
                <c:pt idx="168">
                  <c:v>24.121377693173557</c:v>
                </c:pt>
                <c:pt idx="169">
                  <c:v>24.121377693173557</c:v>
                </c:pt>
                <c:pt idx="170">
                  <c:v>24.121377693173557</c:v>
                </c:pt>
                <c:pt idx="171">
                  <c:v>24.121377693173557</c:v>
                </c:pt>
                <c:pt idx="172">
                  <c:v>24.121377693173557</c:v>
                </c:pt>
                <c:pt idx="173">
                  <c:v>24.121377693173557</c:v>
                </c:pt>
                <c:pt idx="174">
                  <c:v>24.121377693173557</c:v>
                </c:pt>
                <c:pt idx="175">
                  <c:v>24.121377693173557</c:v>
                </c:pt>
                <c:pt idx="176">
                  <c:v>24.121377693173557</c:v>
                </c:pt>
                <c:pt idx="177">
                  <c:v>24.121377693173557</c:v>
                </c:pt>
                <c:pt idx="178">
                  <c:v>24.121377693173557</c:v>
                </c:pt>
                <c:pt idx="179">
                  <c:v>24.121377693173557</c:v>
                </c:pt>
                <c:pt idx="180">
                  <c:v>24.121377693173557</c:v>
                </c:pt>
                <c:pt idx="181">
                  <c:v>24.121377693173557</c:v>
                </c:pt>
                <c:pt idx="182">
                  <c:v>24.121377693173557</c:v>
                </c:pt>
                <c:pt idx="183">
                  <c:v>24.121377693173557</c:v>
                </c:pt>
                <c:pt idx="184">
                  <c:v>24.121377693173557</c:v>
                </c:pt>
                <c:pt idx="185">
                  <c:v>24.121377693173557</c:v>
                </c:pt>
                <c:pt idx="186">
                  <c:v>24.121377693173557</c:v>
                </c:pt>
                <c:pt idx="187">
                  <c:v>24.121377693173557</c:v>
                </c:pt>
                <c:pt idx="188">
                  <c:v>24.121377693173557</c:v>
                </c:pt>
                <c:pt idx="189">
                  <c:v>24.121377693173557</c:v>
                </c:pt>
                <c:pt idx="190">
                  <c:v>24.121377693173557</c:v>
                </c:pt>
                <c:pt idx="191">
                  <c:v>24.121377693173557</c:v>
                </c:pt>
                <c:pt idx="192">
                  <c:v>24.121377693173557</c:v>
                </c:pt>
                <c:pt idx="193">
                  <c:v>24.121377693173557</c:v>
                </c:pt>
                <c:pt idx="194">
                  <c:v>24.121377693173557</c:v>
                </c:pt>
                <c:pt idx="195">
                  <c:v>24.121377693173557</c:v>
                </c:pt>
                <c:pt idx="196">
                  <c:v>24.121377693173557</c:v>
                </c:pt>
                <c:pt idx="197">
                  <c:v>24.121377693173557</c:v>
                </c:pt>
                <c:pt idx="198">
                  <c:v>24.121377693173557</c:v>
                </c:pt>
                <c:pt idx="199">
                  <c:v>24.121377693173557</c:v>
                </c:pt>
                <c:pt idx="200">
                  <c:v>24.121377693173557</c:v>
                </c:pt>
                <c:pt idx="201">
                  <c:v>24.121377693173557</c:v>
                </c:pt>
                <c:pt idx="202">
                  <c:v>24.121377693173557</c:v>
                </c:pt>
                <c:pt idx="203">
                  <c:v>24.121377693173557</c:v>
                </c:pt>
                <c:pt idx="204">
                  <c:v>24.121377693173557</c:v>
                </c:pt>
                <c:pt idx="205">
                  <c:v>24.121377693173557</c:v>
                </c:pt>
                <c:pt idx="206">
                  <c:v>24.121377693173557</c:v>
                </c:pt>
                <c:pt idx="207">
                  <c:v>24.121377693173557</c:v>
                </c:pt>
                <c:pt idx="208">
                  <c:v>24.121377693173557</c:v>
                </c:pt>
                <c:pt idx="209">
                  <c:v>24.121377693173557</c:v>
                </c:pt>
                <c:pt idx="210">
                  <c:v>24.121377693173557</c:v>
                </c:pt>
                <c:pt idx="211">
                  <c:v>24.121377693173557</c:v>
                </c:pt>
                <c:pt idx="212">
                  <c:v>24.121377693173557</c:v>
                </c:pt>
                <c:pt idx="213">
                  <c:v>24.121377693173557</c:v>
                </c:pt>
                <c:pt idx="214">
                  <c:v>24.121377693173557</c:v>
                </c:pt>
                <c:pt idx="215">
                  <c:v>24.121377693173557</c:v>
                </c:pt>
                <c:pt idx="216">
                  <c:v>24.121377693173557</c:v>
                </c:pt>
                <c:pt idx="217">
                  <c:v>24.121377693173557</c:v>
                </c:pt>
                <c:pt idx="218">
                  <c:v>24.121377693173557</c:v>
                </c:pt>
                <c:pt idx="219">
                  <c:v>24.121377693173557</c:v>
                </c:pt>
                <c:pt idx="220">
                  <c:v>24.121377693173557</c:v>
                </c:pt>
                <c:pt idx="221">
                  <c:v>24.121377693173557</c:v>
                </c:pt>
                <c:pt idx="222">
                  <c:v>24.121377693173557</c:v>
                </c:pt>
                <c:pt idx="223">
                  <c:v>24.121377693173557</c:v>
                </c:pt>
                <c:pt idx="224">
                  <c:v>24.121377693173557</c:v>
                </c:pt>
                <c:pt idx="225">
                  <c:v>24.121377693173557</c:v>
                </c:pt>
                <c:pt idx="226">
                  <c:v>24.121377693173557</c:v>
                </c:pt>
                <c:pt idx="227">
                  <c:v>24.121377693173557</c:v>
                </c:pt>
                <c:pt idx="228">
                  <c:v>24.121377693173557</c:v>
                </c:pt>
                <c:pt idx="229">
                  <c:v>24.121377693173557</c:v>
                </c:pt>
                <c:pt idx="230">
                  <c:v>24.121377693173557</c:v>
                </c:pt>
                <c:pt idx="231">
                  <c:v>24.121377693173557</c:v>
                </c:pt>
                <c:pt idx="232">
                  <c:v>24.121377693173557</c:v>
                </c:pt>
                <c:pt idx="233">
                  <c:v>24.121377693173557</c:v>
                </c:pt>
                <c:pt idx="234">
                  <c:v>24.121377693173557</c:v>
                </c:pt>
                <c:pt idx="235">
                  <c:v>24.121377693173557</c:v>
                </c:pt>
                <c:pt idx="236">
                  <c:v>24.121377693173557</c:v>
                </c:pt>
                <c:pt idx="237">
                  <c:v>24.121377693173557</c:v>
                </c:pt>
                <c:pt idx="238">
                  <c:v>24.121377693173557</c:v>
                </c:pt>
                <c:pt idx="239">
                  <c:v>24.121377693173557</c:v>
                </c:pt>
                <c:pt idx="240">
                  <c:v>24.121377693173557</c:v>
                </c:pt>
                <c:pt idx="241">
                  <c:v>24.121377693173557</c:v>
                </c:pt>
                <c:pt idx="242">
                  <c:v>24.121377693173557</c:v>
                </c:pt>
                <c:pt idx="243">
                  <c:v>24.121377693173557</c:v>
                </c:pt>
                <c:pt idx="244">
                  <c:v>24.121377693173557</c:v>
                </c:pt>
                <c:pt idx="245">
                  <c:v>24.121377693173557</c:v>
                </c:pt>
                <c:pt idx="246">
                  <c:v>24.121377693173557</c:v>
                </c:pt>
                <c:pt idx="247">
                  <c:v>24.121377693173557</c:v>
                </c:pt>
                <c:pt idx="248">
                  <c:v>24.121377693173557</c:v>
                </c:pt>
                <c:pt idx="249">
                  <c:v>24.121377693173557</c:v>
                </c:pt>
                <c:pt idx="250">
                  <c:v>24.121377693173557</c:v>
                </c:pt>
                <c:pt idx="251">
                  <c:v>24.121377693173557</c:v>
                </c:pt>
                <c:pt idx="252">
                  <c:v>24.121377693173557</c:v>
                </c:pt>
                <c:pt idx="253">
                  <c:v>24.121377693173557</c:v>
                </c:pt>
                <c:pt idx="254">
                  <c:v>24.121377693173557</c:v>
                </c:pt>
                <c:pt idx="255">
                  <c:v>24.121377693173557</c:v>
                </c:pt>
                <c:pt idx="256">
                  <c:v>24.121377693173557</c:v>
                </c:pt>
                <c:pt idx="257">
                  <c:v>24.121377693173557</c:v>
                </c:pt>
                <c:pt idx="258">
                  <c:v>24.121377693173557</c:v>
                </c:pt>
                <c:pt idx="259">
                  <c:v>24.121377693173557</c:v>
                </c:pt>
                <c:pt idx="260">
                  <c:v>24.121377693173557</c:v>
                </c:pt>
                <c:pt idx="261">
                  <c:v>24.121377693173557</c:v>
                </c:pt>
                <c:pt idx="262">
                  <c:v>24.121377693173557</c:v>
                </c:pt>
                <c:pt idx="263">
                  <c:v>24.121377693173557</c:v>
                </c:pt>
                <c:pt idx="264">
                  <c:v>24.121377693173557</c:v>
                </c:pt>
                <c:pt idx="265">
                  <c:v>24.121377693173557</c:v>
                </c:pt>
                <c:pt idx="266">
                  <c:v>24.121377693173557</c:v>
                </c:pt>
                <c:pt idx="267">
                  <c:v>24.121377693173557</c:v>
                </c:pt>
                <c:pt idx="268">
                  <c:v>24.121377693173557</c:v>
                </c:pt>
                <c:pt idx="269">
                  <c:v>24.121377693173557</c:v>
                </c:pt>
                <c:pt idx="270">
                  <c:v>24.121377693173557</c:v>
                </c:pt>
                <c:pt idx="271">
                  <c:v>24.121377693173557</c:v>
                </c:pt>
                <c:pt idx="272">
                  <c:v>24.121377693173557</c:v>
                </c:pt>
                <c:pt idx="273">
                  <c:v>24.121377693173557</c:v>
                </c:pt>
                <c:pt idx="274">
                  <c:v>24.121377693173557</c:v>
                </c:pt>
                <c:pt idx="275">
                  <c:v>24.121377693173557</c:v>
                </c:pt>
                <c:pt idx="276">
                  <c:v>24.121377693173557</c:v>
                </c:pt>
                <c:pt idx="277">
                  <c:v>24.121377693173557</c:v>
                </c:pt>
                <c:pt idx="278">
                  <c:v>24.121377693173557</c:v>
                </c:pt>
                <c:pt idx="279">
                  <c:v>24.121377693173557</c:v>
                </c:pt>
                <c:pt idx="280">
                  <c:v>24.121377693173557</c:v>
                </c:pt>
                <c:pt idx="281">
                  <c:v>24.121377693173557</c:v>
                </c:pt>
                <c:pt idx="282">
                  <c:v>24.121377693173557</c:v>
                </c:pt>
                <c:pt idx="283">
                  <c:v>24.121377693173557</c:v>
                </c:pt>
                <c:pt idx="284">
                  <c:v>24.121377693173557</c:v>
                </c:pt>
                <c:pt idx="285">
                  <c:v>24.121377693173557</c:v>
                </c:pt>
                <c:pt idx="286">
                  <c:v>24.121377693173557</c:v>
                </c:pt>
                <c:pt idx="287">
                  <c:v>24.121377693173557</c:v>
                </c:pt>
                <c:pt idx="288">
                  <c:v>24.121377693173557</c:v>
                </c:pt>
                <c:pt idx="289">
                  <c:v>24.121377693173557</c:v>
                </c:pt>
                <c:pt idx="290">
                  <c:v>24.121377693173557</c:v>
                </c:pt>
                <c:pt idx="291">
                  <c:v>24.121377693173557</c:v>
                </c:pt>
                <c:pt idx="292">
                  <c:v>24.121377693173557</c:v>
                </c:pt>
                <c:pt idx="293">
                  <c:v>24.121377693173557</c:v>
                </c:pt>
                <c:pt idx="294">
                  <c:v>24.121377693173557</c:v>
                </c:pt>
                <c:pt idx="295">
                  <c:v>24.121377693173557</c:v>
                </c:pt>
                <c:pt idx="296">
                  <c:v>24.121377693173557</c:v>
                </c:pt>
                <c:pt idx="297">
                  <c:v>24.121377693173557</c:v>
                </c:pt>
                <c:pt idx="298">
                  <c:v>24.121377693173557</c:v>
                </c:pt>
                <c:pt idx="299">
                  <c:v>24.121377693173557</c:v>
                </c:pt>
                <c:pt idx="300">
                  <c:v>24.121377693173557</c:v>
                </c:pt>
                <c:pt idx="301">
                  <c:v>24.121377693173557</c:v>
                </c:pt>
                <c:pt idx="302">
                  <c:v>24.121377693173557</c:v>
                </c:pt>
                <c:pt idx="303">
                  <c:v>24.121377693173557</c:v>
                </c:pt>
                <c:pt idx="304">
                  <c:v>24.121377693173557</c:v>
                </c:pt>
                <c:pt idx="305">
                  <c:v>24.121377693173557</c:v>
                </c:pt>
                <c:pt idx="306">
                  <c:v>24.121377693173557</c:v>
                </c:pt>
                <c:pt idx="307">
                  <c:v>24.121377693173557</c:v>
                </c:pt>
                <c:pt idx="308">
                  <c:v>24.121377693173557</c:v>
                </c:pt>
                <c:pt idx="309">
                  <c:v>24.121377693173557</c:v>
                </c:pt>
                <c:pt idx="310">
                  <c:v>24.121377693173557</c:v>
                </c:pt>
                <c:pt idx="311">
                  <c:v>24.121377693173557</c:v>
                </c:pt>
                <c:pt idx="312">
                  <c:v>24.121377693173557</c:v>
                </c:pt>
                <c:pt idx="313">
                  <c:v>24.121377693173557</c:v>
                </c:pt>
                <c:pt idx="314">
                  <c:v>24.121377693173557</c:v>
                </c:pt>
                <c:pt idx="315">
                  <c:v>24.121377693173557</c:v>
                </c:pt>
                <c:pt idx="316">
                  <c:v>24.121377693173557</c:v>
                </c:pt>
                <c:pt idx="317">
                  <c:v>24.121377693173557</c:v>
                </c:pt>
                <c:pt idx="318">
                  <c:v>24.121377693173557</c:v>
                </c:pt>
                <c:pt idx="319">
                  <c:v>24.121377693173557</c:v>
                </c:pt>
                <c:pt idx="320">
                  <c:v>24.121377693173557</c:v>
                </c:pt>
                <c:pt idx="321">
                  <c:v>24.121377693173557</c:v>
                </c:pt>
                <c:pt idx="322">
                  <c:v>24.121377693173557</c:v>
                </c:pt>
                <c:pt idx="323">
                  <c:v>24.121377693173557</c:v>
                </c:pt>
                <c:pt idx="324">
                  <c:v>24.121377693173557</c:v>
                </c:pt>
                <c:pt idx="325">
                  <c:v>24.121377693173557</c:v>
                </c:pt>
                <c:pt idx="326">
                  <c:v>24.121377693173557</c:v>
                </c:pt>
                <c:pt idx="327">
                  <c:v>24.121377693173557</c:v>
                </c:pt>
                <c:pt idx="328">
                  <c:v>24.121377693173557</c:v>
                </c:pt>
                <c:pt idx="329">
                  <c:v>24.121377693173557</c:v>
                </c:pt>
                <c:pt idx="330">
                  <c:v>24.121377693173557</c:v>
                </c:pt>
                <c:pt idx="331">
                  <c:v>24.121377693173557</c:v>
                </c:pt>
                <c:pt idx="332">
                  <c:v>24.121377693173557</c:v>
                </c:pt>
                <c:pt idx="333">
                  <c:v>24.121377693173557</c:v>
                </c:pt>
                <c:pt idx="334">
                  <c:v>24.121377693173557</c:v>
                </c:pt>
                <c:pt idx="335">
                  <c:v>24.121377693173557</c:v>
                </c:pt>
                <c:pt idx="336">
                  <c:v>24.121377693173557</c:v>
                </c:pt>
                <c:pt idx="337">
                  <c:v>24.121377693173557</c:v>
                </c:pt>
                <c:pt idx="338">
                  <c:v>24.121377693173557</c:v>
                </c:pt>
                <c:pt idx="339">
                  <c:v>24.121377693173557</c:v>
                </c:pt>
                <c:pt idx="340">
                  <c:v>24.121377693173557</c:v>
                </c:pt>
                <c:pt idx="341">
                  <c:v>24.121377693173557</c:v>
                </c:pt>
                <c:pt idx="342">
                  <c:v>24.121377693173557</c:v>
                </c:pt>
                <c:pt idx="343">
                  <c:v>24.121377693173557</c:v>
                </c:pt>
                <c:pt idx="344">
                  <c:v>24.121377693173557</c:v>
                </c:pt>
                <c:pt idx="345">
                  <c:v>24.121377693173557</c:v>
                </c:pt>
                <c:pt idx="346">
                  <c:v>24.121377693173557</c:v>
                </c:pt>
                <c:pt idx="347">
                  <c:v>24.121377693173557</c:v>
                </c:pt>
                <c:pt idx="348">
                  <c:v>24.121377693173557</c:v>
                </c:pt>
                <c:pt idx="349">
                  <c:v>24.121377693173557</c:v>
                </c:pt>
                <c:pt idx="350">
                  <c:v>24.121377693173557</c:v>
                </c:pt>
                <c:pt idx="351">
                  <c:v>24.121377693173557</c:v>
                </c:pt>
                <c:pt idx="352">
                  <c:v>24.121377693173557</c:v>
                </c:pt>
                <c:pt idx="353">
                  <c:v>24.121377693173557</c:v>
                </c:pt>
                <c:pt idx="354">
                  <c:v>24.121377693173557</c:v>
                </c:pt>
                <c:pt idx="355">
                  <c:v>24.121377693173557</c:v>
                </c:pt>
                <c:pt idx="356">
                  <c:v>24.121377693173557</c:v>
                </c:pt>
                <c:pt idx="357">
                  <c:v>24.121377693173557</c:v>
                </c:pt>
                <c:pt idx="358">
                  <c:v>24.121377693173557</c:v>
                </c:pt>
                <c:pt idx="359">
                  <c:v>24.121377693173557</c:v>
                </c:pt>
                <c:pt idx="360">
                  <c:v>24.121377693173557</c:v>
                </c:pt>
                <c:pt idx="361">
                  <c:v>24.121377693173557</c:v>
                </c:pt>
                <c:pt idx="362">
                  <c:v>24.121377693173557</c:v>
                </c:pt>
                <c:pt idx="363">
                  <c:v>24.121377693173557</c:v>
                </c:pt>
                <c:pt idx="364">
                  <c:v>24.121377693173557</c:v>
                </c:pt>
                <c:pt idx="365">
                  <c:v>24.121377693173557</c:v>
                </c:pt>
                <c:pt idx="366">
                  <c:v>24.121377693173557</c:v>
                </c:pt>
                <c:pt idx="367">
                  <c:v>24.121377693173557</c:v>
                </c:pt>
                <c:pt idx="368">
                  <c:v>24.121377693173557</c:v>
                </c:pt>
                <c:pt idx="369">
                  <c:v>24.121377693173557</c:v>
                </c:pt>
                <c:pt idx="370">
                  <c:v>24.121377693173557</c:v>
                </c:pt>
                <c:pt idx="371">
                  <c:v>24.121377693173557</c:v>
                </c:pt>
                <c:pt idx="372">
                  <c:v>24.121377693173557</c:v>
                </c:pt>
                <c:pt idx="373">
                  <c:v>24.121377693173557</c:v>
                </c:pt>
                <c:pt idx="374">
                  <c:v>24.121377693173557</c:v>
                </c:pt>
                <c:pt idx="375">
                  <c:v>24.121377693173557</c:v>
                </c:pt>
                <c:pt idx="376">
                  <c:v>24.121377693173557</c:v>
                </c:pt>
                <c:pt idx="377">
                  <c:v>24.121377693173557</c:v>
                </c:pt>
                <c:pt idx="378">
                  <c:v>24.121377693173557</c:v>
                </c:pt>
                <c:pt idx="379">
                  <c:v>24.121377693173557</c:v>
                </c:pt>
                <c:pt idx="380">
                  <c:v>24.121377693173557</c:v>
                </c:pt>
                <c:pt idx="381">
                  <c:v>24.121377693173557</c:v>
                </c:pt>
                <c:pt idx="382">
                  <c:v>24.121377693173557</c:v>
                </c:pt>
                <c:pt idx="383">
                  <c:v>24.121377693173557</c:v>
                </c:pt>
                <c:pt idx="384">
                  <c:v>24.121377693173557</c:v>
                </c:pt>
                <c:pt idx="385">
                  <c:v>24.121377693173557</c:v>
                </c:pt>
                <c:pt idx="386">
                  <c:v>24.121377693173557</c:v>
                </c:pt>
                <c:pt idx="387">
                  <c:v>24.121377693173557</c:v>
                </c:pt>
                <c:pt idx="388">
                  <c:v>24.121377693173557</c:v>
                </c:pt>
                <c:pt idx="389">
                  <c:v>24.121377693173557</c:v>
                </c:pt>
                <c:pt idx="390">
                  <c:v>24.121377693173557</c:v>
                </c:pt>
                <c:pt idx="391">
                  <c:v>24.121377693173557</c:v>
                </c:pt>
                <c:pt idx="392">
                  <c:v>24.121377693173557</c:v>
                </c:pt>
                <c:pt idx="393">
                  <c:v>24.121377693173557</c:v>
                </c:pt>
                <c:pt idx="394">
                  <c:v>24.121377693173557</c:v>
                </c:pt>
                <c:pt idx="395">
                  <c:v>24.121377693173557</c:v>
                </c:pt>
                <c:pt idx="396">
                  <c:v>24.121377693173557</c:v>
                </c:pt>
                <c:pt idx="397">
                  <c:v>24.121377693173557</c:v>
                </c:pt>
                <c:pt idx="398">
                  <c:v>24.121377693173557</c:v>
                </c:pt>
                <c:pt idx="399">
                  <c:v>24.121377693173557</c:v>
                </c:pt>
                <c:pt idx="400">
                  <c:v>24.121377693173557</c:v>
                </c:pt>
                <c:pt idx="401">
                  <c:v>24.121377693173557</c:v>
                </c:pt>
                <c:pt idx="402">
                  <c:v>24.121377693173557</c:v>
                </c:pt>
                <c:pt idx="403">
                  <c:v>24.121377693173557</c:v>
                </c:pt>
                <c:pt idx="404">
                  <c:v>24.121377693173557</c:v>
                </c:pt>
                <c:pt idx="405">
                  <c:v>24.121377693173557</c:v>
                </c:pt>
                <c:pt idx="406">
                  <c:v>24.121377693173557</c:v>
                </c:pt>
                <c:pt idx="407">
                  <c:v>24.121377693173557</c:v>
                </c:pt>
                <c:pt idx="408">
                  <c:v>24.121377693173557</c:v>
                </c:pt>
                <c:pt idx="409">
                  <c:v>24.121377693173557</c:v>
                </c:pt>
                <c:pt idx="410">
                  <c:v>24.121377693173557</c:v>
                </c:pt>
                <c:pt idx="411">
                  <c:v>24.121377693173557</c:v>
                </c:pt>
                <c:pt idx="412">
                  <c:v>24.121377693173557</c:v>
                </c:pt>
                <c:pt idx="413">
                  <c:v>24.121377693173557</c:v>
                </c:pt>
                <c:pt idx="414">
                  <c:v>24.121377693173557</c:v>
                </c:pt>
                <c:pt idx="415">
                  <c:v>24.121377693173557</c:v>
                </c:pt>
                <c:pt idx="416">
                  <c:v>24.121377693173557</c:v>
                </c:pt>
                <c:pt idx="417">
                  <c:v>24.121377693173557</c:v>
                </c:pt>
                <c:pt idx="418">
                  <c:v>24.121377693173557</c:v>
                </c:pt>
                <c:pt idx="419">
                  <c:v>24.121377693173557</c:v>
                </c:pt>
                <c:pt idx="420">
                  <c:v>24.121377693173557</c:v>
                </c:pt>
                <c:pt idx="421">
                  <c:v>24.121377693173557</c:v>
                </c:pt>
                <c:pt idx="422">
                  <c:v>24.121377693173557</c:v>
                </c:pt>
                <c:pt idx="423">
                  <c:v>24.121377693173557</c:v>
                </c:pt>
                <c:pt idx="424">
                  <c:v>24.121377693173557</c:v>
                </c:pt>
                <c:pt idx="425">
                  <c:v>24.121377693173557</c:v>
                </c:pt>
                <c:pt idx="426">
                  <c:v>24.121377693173557</c:v>
                </c:pt>
                <c:pt idx="427">
                  <c:v>24.121377693173557</c:v>
                </c:pt>
                <c:pt idx="428">
                  <c:v>24.121377693173557</c:v>
                </c:pt>
                <c:pt idx="429">
                  <c:v>24.121377693173557</c:v>
                </c:pt>
                <c:pt idx="430">
                  <c:v>24.121377693173557</c:v>
                </c:pt>
                <c:pt idx="431">
                  <c:v>24.121377693173557</c:v>
                </c:pt>
                <c:pt idx="432">
                  <c:v>24.121377693173557</c:v>
                </c:pt>
                <c:pt idx="433">
                  <c:v>24.121377693173557</c:v>
                </c:pt>
                <c:pt idx="434">
                  <c:v>24.121377693173557</c:v>
                </c:pt>
                <c:pt idx="435">
                  <c:v>24.121377693173557</c:v>
                </c:pt>
                <c:pt idx="436">
                  <c:v>24.121377693173557</c:v>
                </c:pt>
                <c:pt idx="437">
                  <c:v>24.121377693173557</c:v>
                </c:pt>
                <c:pt idx="438">
                  <c:v>24.121377693173557</c:v>
                </c:pt>
                <c:pt idx="439">
                  <c:v>24.121377693173557</c:v>
                </c:pt>
                <c:pt idx="440">
                  <c:v>24.121377693173557</c:v>
                </c:pt>
                <c:pt idx="441">
                  <c:v>24.121377693173557</c:v>
                </c:pt>
                <c:pt idx="442">
                  <c:v>24.121377693173557</c:v>
                </c:pt>
                <c:pt idx="443">
                  <c:v>24.121377693173557</c:v>
                </c:pt>
                <c:pt idx="444">
                  <c:v>24.121377693173557</c:v>
                </c:pt>
                <c:pt idx="445">
                  <c:v>24.121377693173557</c:v>
                </c:pt>
                <c:pt idx="446">
                  <c:v>24.121377693173557</c:v>
                </c:pt>
                <c:pt idx="447">
                  <c:v>24.121377693173557</c:v>
                </c:pt>
                <c:pt idx="448">
                  <c:v>24.121377693173557</c:v>
                </c:pt>
                <c:pt idx="449">
                  <c:v>24.121377693173557</c:v>
                </c:pt>
                <c:pt idx="450">
                  <c:v>24.121377693173557</c:v>
                </c:pt>
                <c:pt idx="451">
                  <c:v>24.121377693173557</c:v>
                </c:pt>
                <c:pt idx="452">
                  <c:v>24.121377693173557</c:v>
                </c:pt>
                <c:pt idx="453">
                  <c:v>24.121377693173557</c:v>
                </c:pt>
                <c:pt idx="454">
                  <c:v>24.121377693173557</c:v>
                </c:pt>
                <c:pt idx="455">
                  <c:v>24.121377693173557</c:v>
                </c:pt>
                <c:pt idx="456">
                  <c:v>24.121377693173557</c:v>
                </c:pt>
                <c:pt idx="457">
                  <c:v>24.121377693173557</c:v>
                </c:pt>
                <c:pt idx="458">
                  <c:v>24.121377693173557</c:v>
                </c:pt>
                <c:pt idx="459">
                  <c:v>24.121377693173557</c:v>
                </c:pt>
                <c:pt idx="460">
                  <c:v>24.121377693173557</c:v>
                </c:pt>
                <c:pt idx="461">
                  <c:v>24.121377693173557</c:v>
                </c:pt>
                <c:pt idx="462">
                  <c:v>24.121377693173557</c:v>
                </c:pt>
                <c:pt idx="463">
                  <c:v>24.121377693173557</c:v>
                </c:pt>
                <c:pt idx="464">
                  <c:v>24.121377693173557</c:v>
                </c:pt>
                <c:pt idx="465">
                  <c:v>24.121377693173557</c:v>
                </c:pt>
                <c:pt idx="466">
                  <c:v>24.121377693173557</c:v>
                </c:pt>
                <c:pt idx="467">
                  <c:v>24.121377693173557</c:v>
                </c:pt>
                <c:pt idx="468">
                  <c:v>24.121377693173557</c:v>
                </c:pt>
                <c:pt idx="469">
                  <c:v>24.121377693173557</c:v>
                </c:pt>
                <c:pt idx="470">
                  <c:v>24.121377693173557</c:v>
                </c:pt>
                <c:pt idx="471">
                  <c:v>24.121377693173557</c:v>
                </c:pt>
                <c:pt idx="472">
                  <c:v>24.121377693173557</c:v>
                </c:pt>
                <c:pt idx="473">
                  <c:v>24.121377693173557</c:v>
                </c:pt>
                <c:pt idx="474">
                  <c:v>24.121377693173557</c:v>
                </c:pt>
                <c:pt idx="475">
                  <c:v>24.121377693173557</c:v>
                </c:pt>
                <c:pt idx="476">
                  <c:v>24.121377693173557</c:v>
                </c:pt>
                <c:pt idx="477">
                  <c:v>24.121377693173557</c:v>
                </c:pt>
                <c:pt idx="478">
                  <c:v>24.121377693173557</c:v>
                </c:pt>
                <c:pt idx="479">
                  <c:v>24.121377693173557</c:v>
                </c:pt>
                <c:pt idx="480">
                  <c:v>24.121377693173557</c:v>
                </c:pt>
                <c:pt idx="481">
                  <c:v>24.121377693173557</c:v>
                </c:pt>
                <c:pt idx="482">
                  <c:v>24.121377693173557</c:v>
                </c:pt>
                <c:pt idx="483">
                  <c:v>24.121377693173557</c:v>
                </c:pt>
                <c:pt idx="484">
                  <c:v>24.121377693173557</c:v>
                </c:pt>
                <c:pt idx="485">
                  <c:v>24.121377693173557</c:v>
                </c:pt>
                <c:pt idx="486">
                  <c:v>24.121377693173557</c:v>
                </c:pt>
                <c:pt idx="487">
                  <c:v>24.121377693173557</c:v>
                </c:pt>
                <c:pt idx="488">
                  <c:v>24.121377693173557</c:v>
                </c:pt>
                <c:pt idx="489">
                  <c:v>24.121377693173557</c:v>
                </c:pt>
                <c:pt idx="490">
                  <c:v>24.121377693173557</c:v>
                </c:pt>
                <c:pt idx="491">
                  <c:v>24.121377693173557</c:v>
                </c:pt>
                <c:pt idx="492">
                  <c:v>24.121377693173557</c:v>
                </c:pt>
                <c:pt idx="493">
                  <c:v>24.121377693173557</c:v>
                </c:pt>
                <c:pt idx="494">
                  <c:v>24.121377693173557</c:v>
                </c:pt>
                <c:pt idx="495">
                  <c:v>24.121377693173557</c:v>
                </c:pt>
                <c:pt idx="496">
                  <c:v>24.121377693173557</c:v>
                </c:pt>
                <c:pt idx="497">
                  <c:v>24.121377693173557</c:v>
                </c:pt>
                <c:pt idx="498">
                  <c:v>24.121377693173557</c:v>
                </c:pt>
                <c:pt idx="499">
                  <c:v>24.121377693173557</c:v>
                </c:pt>
                <c:pt idx="500">
                  <c:v>24.121377693173557</c:v>
                </c:pt>
                <c:pt idx="501">
                  <c:v>24.121377693173557</c:v>
                </c:pt>
                <c:pt idx="502">
                  <c:v>24.121377693173557</c:v>
                </c:pt>
                <c:pt idx="503">
                  <c:v>24.121377693173557</c:v>
                </c:pt>
                <c:pt idx="504">
                  <c:v>24.121377693173557</c:v>
                </c:pt>
                <c:pt idx="505">
                  <c:v>24.121377693173557</c:v>
                </c:pt>
                <c:pt idx="506">
                  <c:v>24.121377693173557</c:v>
                </c:pt>
                <c:pt idx="507">
                  <c:v>24.121377693173557</c:v>
                </c:pt>
                <c:pt idx="508">
                  <c:v>24.121377693173557</c:v>
                </c:pt>
                <c:pt idx="509">
                  <c:v>24.121377693173557</c:v>
                </c:pt>
                <c:pt idx="510">
                  <c:v>24.121377693173557</c:v>
                </c:pt>
                <c:pt idx="511">
                  <c:v>24.121377693173557</c:v>
                </c:pt>
                <c:pt idx="512">
                  <c:v>24.121377693173557</c:v>
                </c:pt>
                <c:pt idx="513">
                  <c:v>24.121377693173557</c:v>
                </c:pt>
                <c:pt idx="514">
                  <c:v>24.121377693173557</c:v>
                </c:pt>
                <c:pt idx="515">
                  <c:v>24.121377693173557</c:v>
                </c:pt>
                <c:pt idx="516">
                  <c:v>24.121377693173557</c:v>
                </c:pt>
                <c:pt idx="517">
                  <c:v>24.121377693173557</c:v>
                </c:pt>
                <c:pt idx="518">
                  <c:v>24.121377693173557</c:v>
                </c:pt>
                <c:pt idx="519">
                  <c:v>24.121377693173557</c:v>
                </c:pt>
                <c:pt idx="520">
                  <c:v>24.121377693173557</c:v>
                </c:pt>
                <c:pt idx="521">
                  <c:v>24.121377693173557</c:v>
                </c:pt>
                <c:pt idx="522">
                  <c:v>24.121377693173557</c:v>
                </c:pt>
                <c:pt idx="523">
                  <c:v>24.121377693173557</c:v>
                </c:pt>
                <c:pt idx="524">
                  <c:v>24.121377693173557</c:v>
                </c:pt>
                <c:pt idx="525">
                  <c:v>24.121377693173557</c:v>
                </c:pt>
                <c:pt idx="526">
                  <c:v>24.121377693173557</c:v>
                </c:pt>
                <c:pt idx="527">
                  <c:v>24.121377693173557</c:v>
                </c:pt>
                <c:pt idx="528">
                  <c:v>24.121377693173557</c:v>
                </c:pt>
                <c:pt idx="529">
                  <c:v>24.121377693173557</c:v>
                </c:pt>
                <c:pt idx="530">
                  <c:v>24.121377693173557</c:v>
                </c:pt>
                <c:pt idx="531">
                  <c:v>24.121377693173557</c:v>
                </c:pt>
                <c:pt idx="532">
                  <c:v>24.121377693173557</c:v>
                </c:pt>
                <c:pt idx="533">
                  <c:v>24.121377693173557</c:v>
                </c:pt>
                <c:pt idx="534">
                  <c:v>24.121377693173557</c:v>
                </c:pt>
                <c:pt idx="535">
                  <c:v>24.121377693173557</c:v>
                </c:pt>
                <c:pt idx="536">
                  <c:v>24.121377693173557</c:v>
                </c:pt>
                <c:pt idx="537">
                  <c:v>24.121377693173557</c:v>
                </c:pt>
                <c:pt idx="538">
                  <c:v>24.121377693173557</c:v>
                </c:pt>
                <c:pt idx="539">
                  <c:v>24.121377693173557</c:v>
                </c:pt>
                <c:pt idx="540">
                  <c:v>24.121377693173557</c:v>
                </c:pt>
                <c:pt idx="541">
                  <c:v>24.121377693173557</c:v>
                </c:pt>
                <c:pt idx="542">
                  <c:v>24.121377693173557</c:v>
                </c:pt>
                <c:pt idx="543">
                  <c:v>24.121377693173557</c:v>
                </c:pt>
                <c:pt idx="544">
                  <c:v>24.121377693173557</c:v>
                </c:pt>
                <c:pt idx="545">
                  <c:v>24.121377693173557</c:v>
                </c:pt>
                <c:pt idx="546">
                  <c:v>24.121377693173557</c:v>
                </c:pt>
                <c:pt idx="547">
                  <c:v>24.121377693173557</c:v>
                </c:pt>
                <c:pt idx="548">
                  <c:v>24.121377693173557</c:v>
                </c:pt>
                <c:pt idx="549">
                  <c:v>24.121377693173557</c:v>
                </c:pt>
                <c:pt idx="550">
                  <c:v>24.121377693173557</c:v>
                </c:pt>
                <c:pt idx="551">
                  <c:v>24.121377693173557</c:v>
                </c:pt>
                <c:pt idx="552">
                  <c:v>24.121377693173557</c:v>
                </c:pt>
                <c:pt idx="553">
                  <c:v>24.121377693173557</c:v>
                </c:pt>
                <c:pt idx="554">
                  <c:v>24.121377693173557</c:v>
                </c:pt>
                <c:pt idx="555">
                  <c:v>24.121377693173557</c:v>
                </c:pt>
                <c:pt idx="556">
                  <c:v>24.121377693173557</c:v>
                </c:pt>
                <c:pt idx="557">
                  <c:v>24.121377693173557</c:v>
                </c:pt>
                <c:pt idx="558">
                  <c:v>24.121377693173557</c:v>
                </c:pt>
                <c:pt idx="559">
                  <c:v>24.121377693173557</c:v>
                </c:pt>
                <c:pt idx="560">
                  <c:v>24.121377693173557</c:v>
                </c:pt>
                <c:pt idx="561">
                  <c:v>24.121377693173557</c:v>
                </c:pt>
                <c:pt idx="562">
                  <c:v>24.121377693173557</c:v>
                </c:pt>
                <c:pt idx="563">
                  <c:v>24.121377693173557</c:v>
                </c:pt>
                <c:pt idx="564">
                  <c:v>24.121377693173557</c:v>
                </c:pt>
                <c:pt idx="565">
                  <c:v>24.121377693173557</c:v>
                </c:pt>
                <c:pt idx="566">
                  <c:v>24.121377693173557</c:v>
                </c:pt>
                <c:pt idx="567">
                  <c:v>24.121377693173557</c:v>
                </c:pt>
                <c:pt idx="568">
                  <c:v>24.121377693173557</c:v>
                </c:pt>
                <c:pt idx="569">
                  <c:v>24.121377693173557</c:v>
                </c:pt>
                <c:pt idx="570">
                  <c:v>24.121377693173557</c:v>
                </c:pt>
                <c:pt idx="571">
                  <c:v>24.121377693173557</c:v>
                </c:pt>
                <c:pt idx="572">
                  <c:v>24.121377693173557</c:v>
                </c:pt>
                <c:pt idx="573">
                  <c:v>24.121377693173557</c:v>
                </c:pt>
                <c:pt idx="574">
                  <c:v>24.121377693173557</c:v>
                </c:pt>
                <c:pt idx="575">
                  <c:v>24.121377693173557</c:v>
                </c:pt>
                <c:pt idx="576">
                  <c:v>24.121377693173557</c:v>
                </c:pt>
                <c:pt idx="577">
                  <c:v>24.121377693173557</c:v>
                </c:pt>
                <c:pt idx="578">
                  <c:v>24.121377693173557</c:v>
                </c:pt>
                <c:pt idx="579">
                  <c:v>24.121377693173557</c:v>
                </c:pt>
                <c:pt idx="580">
                  <c:v>24.121377693173557</c:v>
                </c:pt>
                <c:pt idx="581">
                  <c:v>24.121377693173557</c:v>
                </c:pt>
                <c:pt idx="582">
                  <c:v>24.121377693173557</c:v>
                </c:pt>
                <c:pt idx="583">
                  <c:v>24.121377693173557</c:v>
                </c:pt>
                <c:pt idx="584">
                  <c:v>24.121377693173557</c:v>
                </c:pt>
                <c:pt idx="585">
                  <c:v>24.121377693173557</c:v>
                </c:pt>
                <c:pt idx="586">
                  <c:v>24.121377693173557</c:v>
                </c:pt>
                <c:pt idx="587">
                  <c:v>24.121377693173557</c:v>
                </c:pt>
                <c:pt idx="588">
                  <c:v>24.121377693173557</c:v>
                </c:pt>
                <c:pt idx="589">
                  <c:v>24.121377693173557</c:v>
                </c:pt>
                <c:pt idx="590">
                  <c:v>24.121377693173557</c:v>
                </c:pt>
                <c:pt idx="591">
                  <c:v>24.121377693173557</c:v>
                </c:pt>
                <c:pt idx="592">
                  <c:v>24.121377693173557</c:v>
                </c:pt>
                <c:pt idx="593">
                  <c:v>24.121377693173557</c:v>
                </c:pt>
                <c:pt idx="594">
                  <c:v>24.121377693173557</c:v>
                </c:pt>
                <c:pt idx="595">
                  <c:v>24.121377693173557</c:v>
                </c:pt>
                <c:pt idx="596">
                  <c:v>24.121377693173557</c:v>
                </c:pt>
                <c:pt idx="597">
                  <c:v>24.121377693173557</c:v>
                </c:pt>
                <c:pt idx="598">
                  <c:v>24.121377693173557</c:v>
                </c:pt>
                <c:pt idx="599">
                  <c:v>24.121377693173557</c:v>
                </c:pt>
                <c:pt idx="600">
                  <c:v>24.121377693173557</c:v>
                </c:pt>
                <c:pt idx="601">
                  <c:v>24.121377693173557</c:v>
                </c:pt>
                <c:pt idx="602">
                  <c:v>24.121377693173557</c:v>
                </c:pt>
                <c:pt idx="603">
                  <c:v>24.121377693173557</c:v>
                </c:pt>
                <c:pt idx="604">
                  <c:v>24.121377693173557</c:v>
                </c:pt>
                <c:pt idx="605">
                  <c:v>24.121377693173557</c:v>
                </c:pt>
                <c:pt idx="606">
                  <c:v>24.121377693173557</c:v>
                </c:pt>
                <c:pt idx="607">
                  <c:v>24.121377693173557</c:v>
                </c:pt>
                <c:pt idx="608">
                  <c:v>24.121377693173557</c:v>
                </c:pt>
                <c:pt idx="609">
                  <c:v>24.121377693173557</c:v>
                </c:pt>
                <c:pt idx="610">
                  <c:v>24.121377693173557</c:v>
                </c:pt>
                <c:pt idx="611">
                  <c:v>24.121377693173557</c:v>
                </c:pt>
                <c:pt idx="612">
                  <c:v>24.121377693173557</c:v>
                </c:pt>
                <c:pt idx="613">
                  <c:v>24.121377693173557</c:v>
                </c:pt>
                <c:pt idx="614">
                  <c:v>24.121377693173557</c:v>
                </c:pt>
                <c:pt idx="615">
                  <c:v>24.121377693173557</c:v>
                </c:pt>
                <c:pt idx="616">
                  <c:v>24.121377693173557</c:v>
                </c:pt>
                <c:pt idx="617">
                  <c:v>24.121377693173557</c:v>
                </c:pt>
                <c:pt idx="618">
                  <c:v>24.121377693173557</c:v>
                </c:pt>
                <c:pt idx="619">
                  <c:v>24.121377693173557</c:v>
                </c:pt>
                <c:pt idx="620">
                  <c:v>24.121377693173557</c:v>
                </c:pt>
                <c:pt idx="621">
                  <c:v>24.121377693173557</c:v>
                </c:pt>
                <c:pt idx="622">
                  <c:v>24.121377693173557</c:v>
                </c:pt>
                <c:pt idx="623">
                  <c:v>24.121377693173557</c:v>
                </c:pt>
                <c:pt idx="624">
                  <c:v>24.121377693173557</c:v>
                </c:pt>
                <c:pt idx="625">
                  <c:v>24.121377693173557</c:v>
                </c:pt>
                <c:pt idx="626">
                  <c:v>24.121377693173557</c:v>
                </c:pt>
                <c:pt idx="627">
                  <c:v>24.121377693173557</c:v>
                </c:pt>
                <c:pt idx="628">
                  <c:v>24.121377693173557</c:v>
                </c:pt>
                <c:pt idx="629">
                  <c:v>24.121377693173557</c:v>
                </c:pt>
                <c:pt idx="630">
                  <c:v>24.121377693173557</c:v>
                </c:pt>
                <c:pt idx="631">
                  <c:v>24.121377693173557</c:v>
                </c:pt>
                <c:pt idx="632">
                  <c:v>24.121377693173557</c:v>
                </c:pt>
                <c:pt idx="633">
                  <c:v>24.121377693173557</c:v>
                </c:pt>
                <c:pt idx="634">
                  <c:v>24.121377693173557</c:v>
                </c:pt>
                <c:pt idx="635">
                  <c:v>24.121377693173557</c:v>
                </c:pt>
                <c:pt idx="636">
                  <c:v>24.121377693173557</c:v>
                </c:pt>
                <c:pt idx="637">
                  <c:v>24.121377693173557</c:v>
                </c:pt>
                <c:pt idx="638">
                  <c:v>24.121377693173557</c:v>
                </c:pt>
                <c:pt idx="639">
                  <c:v>24.121377693173557</c:v>
                </c:pt>
                <c:pt idx="640">
                  <c:v>24.121377693173557</c:v>
                </c:pt>
                <c:pt idx="641">
                  <c:v>24.121377693173557</c:v>
                </c:pt>
                <c:pt idx="642">
                  <c:v>24.121377693173557</c:v>
                </c:pt>
                <c:pt idx="643">
                  <c:v>24.121377693173557</c:v>
                </c:pt>
                <c:pt idx="644">
                  <c:v>24.121377693173557</c:v>
                </c:pt>
                <c:pt idx="645">
                  <c:v>24.121377693173557</c:v>
                </c:pt>
                <c:pt idx="646">
                  <c:v>24.121377693173557</c:v>
                </c:pt>
                <c:pt idx="647">
                  <c:v>24.121377693173557</c:v>
                </c:pt>
                <c:pt idx="648">
                  <c:v>24.121377693173557</c:v>
                </c:pt>
                <c:pt idx="649">
                  <c:v>24.121377693173557</c:v>
                </c:pt>
                <c:pt idx="650">
                  <c:v>24.121377693173557</c:v>
                </c:pt>
                <c:pt idx="651">
                  <c:v>24.121377693173557</c:v>
                </c:pt>
                <c:pt idx="652">
                  <c:v>24.121377693173557</c:v>
                </c:pt>
                <c:pt idx="653">
                  <c:v>24.121377693173557</c:v>
                </c:pt>
                <c:pt idx="654">
                  <c:v>24.121377693173557</c:v>
                </c:pt>
                <c:pt idx="655">
                  <c:v>24.121377693173557</c:v>
                </c:pt>
                <c:pt idx="656">
                  <c:v>24.121377693173557</c:v>
                </c:pt>
                <c:pt idx="657">
                  <c:v>24.121377693173557</c:v>
                </c:pt>
                <c:pt idx="658">
                  <c:v>24.121377693173557</c:v>
                </c:pt>
                <c:pt idx="659">
                  <c:v>24.121377693173557</c:v>
                </c:pt>
                <c:pt idx="660">
                  <c:v>24.121377693173557</c:v>
                </c:pt>
                <c:pt idx="661">
                  <c:v>24.121377693173557</c:v>
                </c:pt>
                <c:pt idx="662">
                  <c:v>24.121377693173557</c:v>
                </c:pt>
                <c:pt idx="663">
                  <c:v>24.121377693173557</c:v>
                </c:pt>
                <c:pt idx="664">
                  <c:v>24.121377693173557</c:v>
                </c:pt>
                <c:pt idx="665">
                  <c:v>24.121377693173557</c:v>
                </c:pt>
                <c:pt idx="666">
                  <c:v>24.121377693173557</c:v>
                </c:pt>
                <c:pt idx="667">
                  <c:v>24.121377693173557</c:v>
                </c:pt>
                <c:pt idx="668">
                  <c:v>24.121377693173557</c:v>
                </c:pt>
                <c:pt idx="669">
                  <c:v>24.121377693173557</c:v>
                </c:pt>
                <c:pt idx="670">
                  <c:v>24.121377693173557</c:v>
                </c:pt>
                <c:pt idx="671">
                  <c:v>24.121377693173557</c:v>
                </c:pt>
                <c:pt idx="672">
                  <c:v>24.121377693173557</c:v>
                </c:pt>
                <c:pt idx="673">
                  <c:v>24.121377693173557</c:v>
                </c:pt>
                <c:pt idx="674">
                  <c:v>24.121377693173557</c:v>
                </c:pt>
                <c:pt idx="675">
                  <c:v>24.121377693173557</c:v>
                </c:pt>
                <c:pt idx="676">
                  <c:v>24.121377693173557</c:v>
                </c:pt>
                <c:pt idx="677">
                  <c:v>24.121377693173557</c:v>
                </c:pt>
                <c:pt idx="678">
                  <c:v>24.121377693173557</c:v>
                </c:pt>
                <c:pt idx="679">
                  <c:v>24.121377693173557</c:v>
                </c:pt>
                <c:pt idx="680">
                  <c:v>24.121377693173557</c:v>
                </c:pt>
                <c:pt idx="681">
                  <c:v>24.121377693173557</c:v>
                </c:pt>
                <c:pt idx="682">
                  <c:v>24.121377693173557</c:v>
                </c:pt>
                <c:pt idx="683">
                  <c:v>24.121377693173557</c:v>
                </c:pt>
                <c:pt idx="684">
                  <c:v>24.121377693173557</c:v>
                </c:pt>
                <c:pt idx="685">
                  <c:v>24.121377693173557</c:v>
                </c:pt>
                <c:pt idx="686">
                  <c:v>24.121377693173557</c:v>
                </c:pt>
                <c:pt idx="687">
                  <c:v>24.121377693173557</c:v>
                </c:pt>
                <c:pt idx="688">
                  <c:v>24.121377693173557</c:v>
                </c:pt>
                <c:pt idx="689">
                  <c:v>24.121377693173557</c:v>
                </c:pt>
                <c:pt idx="690">
                  <c:v>24.121377693173557</c:v>
                </c:pt>
                <c:pt idx="691">
                  <c:v>24.121377693173557</c:v>
                </c:pt>
                <c:pt idx="692">
                  <c:v>24.121377693173557</c:v>
                </c:pt>
                <c:pt idx="693">
                  <c:v>24.121377693173557</c:v>
                </c:pt>
                <c:pt idx="694">
                  <c:v>24.121377693173557</c:v>
                </c:pt>
                <c:pt idx="695">
                  <c:v>24.121377693173557</c:v>
                </c:pt>
                <c:pt idx="696">
                  <c:v>24.121377693173557</c:v>
                </c:pt>
                <c:pt idx="697">
                  <c:v>24.121377693173557</c:v>
                </c:pt>
                <c:pt idx="698">
                  <c:v>24.121377693173557</c:v>
                </c:pt>
                <c:pt idx="699">
                  <c:v>24.121377693173557</c:v>
                </c:pt>
                <c:pt idx="700">
                  <c:v>24.121377693173557</c:v>
                </c:pt>
                <c:pt idx="701">
                  <c:v>24.121377693173557</c:v>
                </c:pt>
                <c:pt idx="702">
                  <c:v>24.121377693173557</c:v>
                </c:pt>
                <c:pt idx="703">
                  <c:v>24.121377693173557</c:v>
                </c:pt>
                <c:pt idx="704">
                  <c:v>24.121377693173557</c:v>
                </c:pt>
                <c:pt idx="705">
                  <c:v>24.121377693173557</c:v>
                </c:pt>
                <c:pt idx="706">
                  <c:v>24.121377693173557</c:v>
                </c:pt>
                <c:pt idx="707">
                  <c:v>24.121377693173557</c:v>
                </c:pt>
                <c:pt idx="708">
                  <c:v>24.121377693173557</c:v>
                </c:pt>
                <c:pt idx="709">
                  <c:v>24.121377693173557</c:v>
                </c:pt>
                <c:pt idx="710">
                  <c:v>24.121377693173557</c:v>
                </c:pt>
                <c:pt idx="711">
                  <c:v>24.121377693173557</c:v>
                </c:pt>
                <c:pt idx="712">
                  <c:v>24.121377693173557</c:v>
                </c:pt>
                <c:pt idx="713">
                  <c:v>24.121377693173557</c:v>
                </c:pt>
                <c:pt idx="714">
                  <c:v>24.121377693173557</c:v>
                </c:pt>
                <c:pt idx="715">
                  <c:v>24.121377693173557</c:v>
                </c:pt>
                <c:pt idx="716">
                  <c:v>24.121377693173557</c:v>
                </c:pt>
                <c:pt idx="717">
                  <c:v>24.121377693173557</c:v>
                </c:pt>
                <c:pt idx="718">
                  <c:v>24.121377693173557</c:v>
                </c:pt>
                <c:pt idx="719">
                  <c:v>24.121377693173557</c:v>
                </c:pt>
                <c:pt idx="720">
                  <c:v>24.121377693173557</c:v>
                </c:pt>
                <c:pt idx="721">
                  <c:v>24.121377693173557</c:v>
                </c:pt>
                <c:pt idx="722">
                  <c:v>24.121377693173557</c:v>
                </c:pt>
                <c:pt idx="723">
                  <c:v>24.121377693173557</c:v>
                </c:pt>
                <c:pt idx="724">
                  <c:v>24.121377693173557</c:v>
                </c:pt>
                <c:pt idx="725">
                  <c:v>24.121377693173557</c:v>
                </c:pt>
                <c:pt idx="726">
                  <c:v>24.121377693173557</c:v>
                </c:pt>
                <c:pt idx="727">
                  <c:v>24.121377693173557</c:v>
                </c:pt>
                <c:pt idx="728">
                  <c:v>24.121377693173557</c:v>
                </c:pt>
                <c:pt idx="729">
                  <c:v>24.121377693173557</c:v>
                </c:pt>
                <c:pt idx="730">
                  <c:v>24.121377693173557</c:v>
                </c:pt>
                <c:pt idx="731">
                  <c:v>24.121377693173557</c:v>
                </c:pt>
                <c:pt idx="732">
                  <c:v>24.121377693173557</c:v>
                </c:pt>
                <c:pt idx="733">
                  <c:v>24.121377693173557</c:v>
                </c:pt>
                <c:pt idx="734">
                  <c:v>24.121377693173557</c:v>
                </c:pt>
                <c:pt idx="735">
                  <c:v>24.121377693173557</c:v>
                </c:pt>
                <c:pt idx="736">
                  <c:v>24.121377693173557</c:v>
                </c:pt>
                <c:pt idx="737">
                  <c:v>24.121377693173557</c:v>
                </c:pt>
                <c:pt idx="738">
                  <c:v>24.121377693173557</c:v>
                </c:pt>
                <c:pt idx="739">
                  <c:v>24.121377693173557</c:v>
                </c:pt>
                <c:pt idx="740">
                  <c:v>24.121377693173557</c:v>
                </c:pt>
                <c:pt idx="741">
                  <c:v>24.121377693173557</c:v>
                </c:pt>
                <c:pt idx="742">
                  <c:v>24.121377693173557</c:v>
                </c:pt>
                <c:pt idx="743">
                  <c:v>24.121377693173557</c:v>
                </c:pt>
                <c:pt idx="744">
                  <c:v>24.121377693173557</c:v>
                </c:pt>
                <c:pt idx="745">
                  <c:v>24.121377693173557</c:v>
                </c:pt>
                <c:pt idx="746">
                  <c:v>24.121377693173557</c:v>
                </c:pt>
                <c:pt idx="747">
                  <c:v>24.121377693173557</c:v>
                </c:pt>
                <c:pt idx="748">
                  <c:v>24.121377693173557</c:v>
                </c:pt>
                <c:pt idx="749">
                  <c:v>24.121377693173557</c:v>
                </c:pt>
                <c:pt idx="750">
                  <c:v>24.121377693173557</c:v>
                </c:pt>
                <c:pt idx="751">
                  <c:v>24.121377693173557</c:v>
                </c:pt>
                <c:pt idx="752">
                  <c:v>24.121377693173557</c:v>
                </c:pt>
                <c:pt idx="753">
                  <c:v>24.121377693173557</c:v>
                </c:pt>
                <c:pt idx="754">
                  <c:v>24.121377693173557</c:v>
                </c:pt>
                <c:pt idx="755">
                  <c:v>24.121377693173557</c:v>
                </c:pt>
                <c:pt idx="756">
                  <c:v>24.121377693173557</c:v>
                </c:pt>
                <c:pt idx="757">
                  <c:v>24.121377693173557</c:v>
                </c:pt>
                <c:pt idx="758">
                  <c:v>24.121377693173557</c:v>
                </c:pt>
                <c:pt idx="759">
                  <c:v>24.121377693173557</c:v>
                </c:pt>
                <c:pt idx="760">
                  <c:v>24.121377693173557</c:v>
                </c:pt>
                <c:pt idx="761">
                  <c:v>24.121377693173557</c:v>
                </c:pt>
                <c:pt idx="762">
                  <c:v>24.121377693173557</c:v>
                </c:pt>
                <c:pt idx="763">
                  <c:v>24.121377693173557</c:v>
                </c:pt>
                <c:pt idx="764">
                  <c:v>24.121377693173557</c:v>
                </c:pt>
                <c:pt idx="765">
                  <c:v>24.121377693173557</c:v>
                </c:pt>
                <c:pt idx="766">
                  <c:v>24.121377693173557</c:v>
                </c:pt>
                <c:pt idx="767">
                  <c:v>24.121377693173557</c:v>
                </c:pt>
                <c:pt idx="768">
                  <c:v>24.121377693173557</c:v>
                </c:pt>
                <c:pt idx="769">
                  <c:v>24.121377693173557</c:v>
                </c:pt>
                <c:pt idx="770">
                  <c:v>24.121377693173557</c:v>
                </c:pt>
                <c:pt idx="771">
                  <c:v>24.121377693173557</c:v>
                </c:pt>
                <c:pt idx="772">
                  <c:v>24.121377693173557</c:v>
                </c:pt>
                <c:pt idx="773">
                  <c:v>24.121377693173557</c:v>
                </c:pt>
                <c:pt idx="774">
                  <c:v>24.121377693173557</c:v>
                </c:pt>
                <c:pt idx="775">
                  <c:v>24.121377693173557</c:v>
                </c:pt>
                <c:pt idx="776">
                  <c:v>24.121377693173557</c:v>
                </c:pt>
                <c:pt idx="777">
                  <c:v>24.121377693173557</c:v>
                </c:pt>
                <c:pt idx="778">
                  <c:v>24.121377693173557</c:v>
                </c:pt>
                <c:pt idx="779">
                  <c:v>24.121377693173557</c:v>
                </c:pt>
                <c:pt idx="780">
                  <c:v>24.121377693173557</c:v>
                </c:pt>
                <c:pt idx="781">
                  <c:v>24.121377693173557</c:v>
                </c:pt>
                <c:pt idx="782">
                  <c:v>24.121377693173557</c:v>
                </c:pt>
                <c:pt idx="783">
                  <c:v>24.121377693173557</c:v>
                </c:pt>
                <c:pt idx="784">
                  <c:v>24.121377693173557</c:v>
                </c:pt>
                <c:pt idx="785">
                  <c:v>24.121377693173557</c:v>
                </c:pt>
                <c:pt idx="786">
                  <c:v>24.121377693173557</c:v>
                </c:pt>
                <c:pt idx="787">
                  <c:v>24.121377693173557</c:v>
                </c:pt>
                <c:pt idx="788">
                  <c:v>24.121377693173557</c:v>
                </c:pt>
                <c:pt idx="789">
                  <c:v>24.121377693173557</c:v>
                </c:pt>
                <c:pt idx="790">
                  <c:v>24.121377693173557</c:v>
                </c:pt>
                <c:pt idx="791">
                  <c:v>24.121377693173557</c:v>
                </c:pt>
                <c:pt idx="792">
                  <c:v>24.121377693173557</c:v>
                </c:pt>
                <c:pt idx="793">
                  <c:v>24.121377693173557</c:v>
                </c:pt>
                <c:pt idx="794">
                  <c:v>24.121377693173557</c:v>
                </c:pt>
                <c:pt idx="795">
                  <c:v>24.121377693173557</c:v>
                </c:pt>
                <c:pt idx="796">
                  <c:v>24.121377693173557</c:v>
                </c:pt>
                <c:pt idx="797">
                  <c:v>24.121377693173557</c:v>
                </c:pt>
                <c:pt idx="798">
                  <c:v>24.121377693173557</c:v>
                </c:pt>
                <c:pt idx="799">
                  <c:v>24.121377693173557</c:v>
                </c:pt>
                <c:pt idx="800">
                  <c:v>24.121377693173557</c:v>
                </c:pt>
                <c:pt idx="801">
                  <c:v>24.121377693173557</c:v>
                </c:pt>
                <c:pt idx="802">
                  <c:v>24.121377693173557</c:v>
                </c:pt>
                <c:pt idx="803">
                  <c:v>24.121377693173557</c:v>
                </c:pt>
                <c:pt idx="804">
                  <c:v>24.121377693173557</c:v>
                </c:pt>
                <c:pt idx="805">
                  <c:v>24.121377693173557</c:v>
                </c:pt>
                <c:pt idx="806">
                  <c:v>24.121377693173557</c:v>
                </c:pt>
                <c:pt idx="807">
                  <c:v>24.121377693173557</c:v>
                </c:pt>
                <c:pt idx="808">
                  <c:v>24.121377693173557</c:v>
                </c:pt>
                <c:pt idx="809">
                  <c:v>24.121377693173557</c:v>
                </c:pt>
                <c:pt idx="810">
                  <c:v>24.121377693173557</c:v>
                </c:pt>
                <c:pt idx="811">
                  <c:v>24.121377693173557</c:v>
                </c:pt>
                <c:pt idx="812">
                  <c:v>24.121377693173557</c:v>
                </c:pt>
                <c:pt idx="813">
                  <c:v>24.121377693173557</c:v>
                </c:pt>
                <c:pt idx="814">
                  <c:v>24.121377693173557</c:v>
                </c:pt>
                <c:pt idx="815">
                  <c:v>24.121377693173557</c:v>
                </c:pt>
                <c:pt idx="816">
                  <c:v>24.121377693173557</c:v>
                </c:pt>
                <c:pt idx="817">
                  <c:v>24.121377693173557</c:v>
                </c:pt>
                <c:pt idx="818">
                  <c:v>24.121377693173557</c:v>
                </c:pt>
                <c:pt idx="819">
                  <c:v>24.121377693173557</c:v>
                </c:pt>
                <c:pt idx="820">
                  <c:v>24.121377693173557</c:v>
                </c:pt>
                <c:pt idx="821">
                  <c:v>24.121377693173557</c:v>
                </c:pt>
                <c:pt idx="822">
                  <c:v>24.121377693173557</c:v>
                </c:pt>
                <c:pt idx="823">
                  <c:v>24.121377693173557</c:v>
                </c:pt>
                <c:pt idx="824">
                  <c:v>24.121377693173557</c:v>
                </c:pt>
                <c:pt idx="825">
                  <c:v>24.121377693173557</c:v>
                </c:pt>
                <c:pt idx="826">
                  <c:v>24.121377693173557</c:v>
                </c:pt>
                <c:pt idx="827">
                  <c:v>24.121377693173557</c:v>
                </c:pt>
                <c:pt idx="828">
                  <c:v>24.121377693173557</c:v>
                </c:pt>
                <c:pt idx="829">
                  <c:v>24.121377693173557</c:v>
                </c:pt>
                <c:pt idx="830">
                  <c:v>24.121377693173557</c:v>
                </c:pt>
                <c:pt idx="831">
                  <c:v>24.121377693173557</c:v>
                </c:pt>
                <c:pt idx="832">
                  <c:v>24.121377693173557</c:v>
                </c:pt>
                <c:pt idx="833">
                  <c:v>24.121377693173557</c:v>
                </c:pt>
                <c:pt idx="834">
                  <c:v>24.121377693173557</c:v>
                </c:pt>
                <c:pt idx="835">
                  <c:v>24.121377693173557</c:v>
                </c:pt>
                <c:pt idx="836">
                  <c:v>24.121377693173557</c:v>
                </c:pt>
                <c:pt idx="837">
                  <c:v>24.121377693173557</c:v>
                </c:pt>
                <c:pt idx="838">
                  <c:v>24.121377693173557</c:v>
                </c:pt>
                <c:pt idx="839">
                  <c:v>24.121377693173557</c:v>
                </c:pt>
                <c:pt idx="840">
                  <c:v>24.121377693173557</c:v>
                </c:pt>
                <c:pt idx="841">
                  <c:v>24.121377693173557</c:v>
                </c:pt>
                <c:pt idx="842">
                  <c:v>24.121377693173557</c:v>
                </c:pt>
                <c:pt idx="843">
                  <c:v>24.121377693173557</c:v>
                </c:pt>
                <c:pt idx="844">
                  <c:v>24.121377693173557</c:v>
                </c:pt>
                <c:pt idx="845">
                  <c:v>24.121377693173557</c:v>
                </c:pt>
                <c:pt idx="846">
                  <c:v>24.121377693173557</c:v>
                </c:pt>
                <c:pt idx="847">
                  <c:v>24.121377693173557</c:v>
                </c:pt>
                <c:pt idx="848">
                  <c:v>24.121377693173557</c:v>
                </c:pt>
                <c:pt idx="849">
                  <c:v>24.121377693173557</c:v>
                </c:pt>
                <c:pt idx="850">
                  <c:v>24.121377693173557</c:v>
                </c:pt>
                <c:pt idx="851">
                  <c:v>24.121377693173557</c:v>
                </c:pt>
                <c:pt idx="852">
                  <c:v>24.121377693173557</c:v>
                </c:pt>
                <c:pt idx="853">
                  <c:v>24.121377693173557</c:v>
                </c:pt>
                <c:pt idx="854">
                  <c:v>24.121377693173557</c:v>
                </c:pt>
                <c:pt idx="855">
                  <c:v>24.121377693173557</c:v>
                </c:pt>
                <c:pt idx="856">
                  <c:v>24.121377693173557</c:v>
                </c:pt>
                <c:pt idx="857">
                  <c:v>24.121377693173557</c:v>
                </c:pt>
                <c:pt idx="858">
                  <c:v>24.121377693173557</c:v>
                </c:pt>
                <c:pt idx="859">
                  <c:v>24.121377693173557</c:v>
                </c:pt>
                <c:pt idx="860">
                  <c:v>24.121377693173557</c:v>
                </c:pt>
                <c:pt idx="861">
                  <c:v>24.121377693173557</c:v>
                </c:pt>
                <c:pt idx="862">
                  <c:v>24.121377693173557</c:v>
                </c:pt>
                <c:pt idx="863">
                  <c:v>24.121377693173557</c:v>
                </c:pt>
                <c:pt idx="864">
                  <c:v>24.121377693173557</c:v>
                </c:pt>
                <c:pt idx="865">
                  <c:v>24.121377693173557</c:v>
                </c:pt>
                <c:pt idx="866">
                  <c:v>24.121377693173557</c:v>
                </c:pt>
                <c:pt idx="867">
                  <c:v>24.121377693173557</c:v>
                </c:pt>
                <c:pt idx="868">
                  <c:v>24.121377693173557</c:v>
                </c:pt>
                <c:pt idx="869">
                  <c:v>24.121377693173557</c:v>
                </c:pt>
                <c:pt idx="870">
                  <c:v>24.121377693173557</c:v>
                </c:pt>
                <c:pt idx="871">
                  <c:v>24.121377693173557</c:v>
                </c:pt>
                <c:pt idx="872">
                  <c:v>24.121377693173557</c:v>
                </c:pt>
                <c:pt idx="873">
                  <c:v>24.121377693173557</c:v>
                </c:pt>
                <c:pt idx="874">
                  <c:v>24.121377693173557</c:v>
                </c:pt>
                <c:pt idx="875">
                  <c:v>24.121377693173557</c:v>
                </c:pt>
                <c:pt idx="876">
                  <c:v>24.121377693173557</c:v>
                </c:pt>
                <c:pt idx="877">
                  <c:v>24.121377693173557</c:v>
                </c:pt>
                <c:pt idx="878">
                  <c:v>24.121377693173557</c:v>
                </c:pt>
                <c:pt idx="879">
                  <c:v>24.121377693173557</c:v>
                </c:pt>
                <c:pt idx="880">
                  <c:v>24.121377693173557</c:v>
                </c:pt>
                <c:pt idx="881">
                  <c:v>24.121377693173557</c:v>
                </c:pt>
                <c:pt idx="882">
                  <c:v>24.121377693173557</c:v>
                </c:pt>
                <c:pt idx="883">
                  <c:v>24.121377693173557</c:v>
                </c:pt>
                <c:pt idx="884">
                  <c:v>24.121377693173557</c:v>
                </c:pt>
                <c:pt idx="885">
                  <c:v>24.121377693173557</c:v>
                </c:pt>
                <c:pt idx="886">
                  <c:v>24.121377693173557</c:v>
                </c:pt>
                <c:pt idx="887">
                  <c:v>24.121377693173557</c:v>
                </c:pt>
                <c:pt idx="888">
                  <c:v>24.121377693173557</c:v>
                </c:pt>
                <c:pt idx="889">
                  <c:v>24.121377693173557</c:v>
                </c:pt>
                <c:pt idx="890">
                  <c:v>24.121377693173557</c:v>
                </c:pt>
                <c:pt idx="891">
                  <c:v>24.121377693173557</c:v>
                </c:pt>
                <c:pt idx="892">
                  <c:v>24.121377693173557</c:v>
                </c:pt>
                <c:pt idx="893">
                  <c:v>24.121377693173557</c:v>
                </c:pt>
                <c:pt idx="894">
                  <c:v>24.121377693173557</c:v>
                </c:pt>
                <c:pt idx="895">
                  <c:v>24.121377693173557</c:v>
                </c:pt>
                <c:pt idx="896">
                  <c:v>24.121377693173557</c:v>
                </c:pt>
                <c:pt idx="897">
                  <c:v>24.121377693173557</c:v>
                </c:pt>
                <c:pt idx="898">
                  <c:v>24.121377693173557</c:v>
                </c:pt>
                <c:pt idx="899">
                  <c:v>24.121377693173557</c:v>
                </c:pt>
                <c:pt idx="900">
                  <c:v>24.121377693173557</c:v>
                </c:pt>
                <c:pt idx="901">
                  <c:v>24.121377693173557</c:v>
                </c:pt>
                <c:pt idx="902">
                  <c:v>24.121377693173557</c:v>
                </c:pt>
                <c:pt idx="903">
                  <c:v>24.121377693173557</c:v>
                </c:pt>
                <c:pt idx="904">
                  <c:v>24.121377693173557</c:v>
                </c:pt>
                <c:pt idx="905">
                  <c:v>24.121377693173557</c:v>
                </c:pt>
                <c:pt idx="906">
                  <c:v>24.121377693173557</c:v>
                </c:pt>
                <c:pt idx="907">
                  <c:v>24.121377693173557</c:v>
                </c:pt>
                <c:pt idx="908">
                  <c:v>24.121377693173557</c:v>
                </c:pt>
                <c:pt idx="909">
                  <c:v>24.121377693173557</c:v>
                </c:pt>
                <c:pt idx="910">
                  <c:v>24.121377693173557</c:v>
                </c:pt>
                <c:pt idx="911">
                  <c:v>24.121377693173557</c:v>
                </c:pt>
                <c:pt idx="912">
                  <c:v>24.121377693173557</c:v>
                </c:pt>
                <c:pt idx="913">
                  <c:v>24.121377693173557</c:v>
                </c:pt>
                <c:pt idx="914">
                  <c:v>24.121377693173557</c:v>
                </c:pt>
                <c:pt idx="915">
                  <c:v>24.121377693173557</c:v>
                </c:pt>
                <c:pt idx="916">
                  <c:v>24.121377693173557</c:v>
                </c:pt>
                <c:pt idx="917">
                  <c:v>24.121377693173557</c:v>
                </c:pt>
                <c:pt idx="918">
                  <c:v>24.121377693173557</c:v>
                </c:pt>
                <c:pt idx="919">
                  <c:v>24.121377693173557</c:v>
                </c:pt>
                <c:pt idx="920">
                  <c:v>24.121377693173557</c:v>
                </c:pt>
                <c:pt idx="921">
                  <c:v>24.121377693173557</c:v>
                </c:pt>
                <c:pt idx="922">
                  <c:v>24.121377693173557</c:v>
                </c:pt>
                <c:pt idx="923">
                  <c:v>24.121377693173557</c:v>
                </c:pt>
                <c:pt idx="924">
                  <c:v>24.121377693173557</c:v>
                </c:pt>
                <c:pt idx="925">
                  <c:v>24.121377693173557</c:v>
                </c:pt>
                <c:pt idx="926">
                  <c:v>24.121377693173557</c:v>
                </c:pt>
                <c:pt idx="927">
                  <c:v>24.121377693173557</c:v>
                </c:pt>
                <c:pt idx="928">
                  <c:v>24.121377693173557</c:v>
                </c:pt>
                <c:pt idx="929">
                  <c:v>24.121377693173557</c:v>
                </c:pt>
                <c:pt idx="930">
                  <c:v>24.121377693173557</c:v>
                </c:pt>
                <c:pt idx="931">
                  <c:v>24.121377693173557</c:v>
                </c:pt>
                <c:pt idx="932">
                  <c:v>24.121377693173557</c:v>
                </c:pt>
                <c:pt idx="933">
                  <c:v>24.121377693173557</c:v>
                </c:pt>
                <c:pt idx="934">
                  <c:v>24.121377693173557</c:v>
                </c:pt>
                <c:pt idx="935">
                  <c:v>24.121377693173557</c:v>
                </c:pt>
                <c:pt idx="936">
                  <c:v>24.121377693173557</c:v>
                </c:pt>
                <c:pt idx="937">
                  <c:v>24.121377693173557</c:v>
                </c:pt>
                <c:pt idx="938">
                  <c:v>24.121377693173557</c:v>
                </c:pt>
                <c:pt idx="939">
                  <c:v>24.121377693173557</c:v>
                </c:pt>
                <c:pt idx="940">
                  <c:v>24.121377693173557</c:v>
                </c:pt>
                <c:pt idx="941">
                  <c:v>24.121377693173557</c:v>
                </c:pt>
                <c:pt idx="942">
                  <c:v>24.121377693173557</c:v>
                </c:pt>
                <c:pt idx="943">
                  <c:v>24.121377693173557</c:v>
                </c:pt>
                <c:pt idx="944">
                  <c:v>24.121377693173557</c:v>
                </c:pt>
                <c:pt idx="945">
                  <c:v>24.121377693173557</c:v>
                </c:pt>
                <c:pt idx="946">
                  <c:v>24.121377693173557</c:v>
                </c:pt>
                <c:pt idx="947">
                  <c:v>24.121377693173557</c:v>
                </c:pt>
                <c:pt idx="948">
                  <c:v>24.121377693173557</c:v>
                </c:pt>
                <c:pt idx="949">
                  <c:v>24.121377693173557</c:v>
                </c:pt>
                <c:pt idx="950">
                  <c:v>24.121377693173557</c:v>
                </c:pt>
                <c:pt idx="951">
                  <c:v>24.121377693173557</c:v>
                </c:pt>
                <c:pt idx="952">
                  <c:v>24.121377693173557</c:v>
                </c:pt>
                <c:pt idx="953">
                  <c:v>24.121377693173557</c:v>
                </c:pt>
                <c:pt idx="954">
                  <c:v>24.121377693173557</c:v>
                </c:pt>
                <c:pt idx="955">
                  <c:v>24.121377693173557</c:v>
                </c:pt>
                <c:pt idx="956">
                  <c:v>24.121377693173557</c:v>
                </c:pt>
                <c:pt idx="957">
                  <c:v>24.121377693173557</c:v>
                </c:pt>
                <c:pt idx="958">
                  <c:v>24.121377693173557</c:v>
                </c:pt>
                <c:pt idx="959">
                  <c:v>24.121377693173557</c:v>
                </c:pt>
                <c:pt idx="960">
                  <c:v>24.121377693173557</c:v>
                </c:pt>
                <c:pt idx="961">
                  <c:v>24.121377693173557</c:v>
                </c:pt>
                <c:pt idx="962">
                  <c:v>24.121377693173557</c:v>
                </c:pt>
                <c:pt idx="963">
                  <c:v>24.121377693173557</c:v>
                </c:pt>
                <c:pt idx="964">
                  <c:v>24.121377693173557</c:v>
                </c:pt>
                <c:pt idx="965">
                  <c:v>24.121377693173557</c:v>
                </c:pt>
                <c:pt idx="966">
                  <c:v>24.121377693173557</c:v>
                </c:pt>
                <c:pt idx="967">
                  <c:v>24.121377693173557</c:v>
                </c:pt>
                <c:pt idx="968">
                  <c:v>24.121377693173557</c:v>
                </c:pt>
                <c:pt idx="969">
                  <c:v>24.121377693173557</c:v>
                </c:pt>
                <c:pt idx="970">
                  <c:v>24.121377693173557</c:v>
                </c:pt>
                <c:pt idx="971">
                  <c:v>24.121377693173557</c:v>
                </c:pt>
                <c:pt idx="972">
                  <c:v>24.121377693173557</c:v>
                </c:pt>
                <c:pt idx="973">
                  <c:v>24.121377693173557</c:v>
                </c:pt>
                <c:pt idx="974">
                  <c:v>24.121377693173557</c:v>
                </c:pt>
                <c:pt idx="975">
                  <c:v>24.121377693173557</c:v>
                </c:pt>
                <c:pt idx="976">
                  <c:v>24.121377693173557</c:v>
                </c:pt>
                <c:pt idx="977">
                  <c:v>24.121377693173557</c:v>
                </c:pt>
                <c:pt idx="978">
                  <c:v>24.121377693173557</c:v>
                </c:pt>
                <c:pt idx="979">
                  <c:v>24.121377693173557</c:v>
                </c:pt>
                <c:pt idx="980">
                  <c:v>24.121377693173557</c:v>
                </c:pt>
                <c:pt idx="981">
                  <c:v>24.121377693173557</c:v>
                </c:pt>
                <c:pt idx="982">
                  <c:v>24.121377693173557</c:v>
                </c:pt>
                <c:pt idx="983">
                  <c:v>24.121377693173557</c:v>
                </c:pt>
                <c:pt idx="984">
                  <c:v>24.121377693173557</c:v>
                </c:pt>
                <c:pt idx="985">
                  <c:v>24.121377693173557</c:v>
                </c:pt>
                <c:pt idx="986">
                  <c:v>24.121377693173557</c:v>
                </c:pt>
                <c:pt idx="987">
                  <c:v>24.121377693173557</c:v>
                </c:pt>
                <c:pt idx="988">
                  <c:v>24.121377693173557</c:v>
                </c:pt>
                <c:pt idx="989">
                  <c:v>24.121377693173557</c:v>
                </c:pt>
                <c:pt idx="990">
                  <c:v>24.121377693173557</c:v>
                </c:pt>
                <c:pt idx="991">
                  <c:v>24.121377693173557</c:v>
                </c:pt>
                <c:pt idx="992">
                  <c:v>24.121377693173557</c:v>
                </c:pt>
                <c:pt idx="993">
                  <c:v>24.121377693173557</c:v>
                </c:pt>
                <c:pt idx="994">
                  <c:v>24.121377693173557</c:v>
                </c:pt>
                <c:pt idx="995">
                  <c:v>24.121377693173557</c:v>
                </c:pt>
                <c:pt idx="996">
                  <c:v>24.121377693173557</c:v>
                </c:pt>
                <c:pt idx="997">
                  <c:v>24.121377693173557</c:v>
                </c:pt>
                <c:pt idx="998">
                  <c:v>24.121377693173557</c:v>
                </c:pt>
                <c:pt idx="999">
                  <c:v>24.121377693173557</c:v>
                </c:pt>
                <c:pt idx="1000">
                  <c:v>24.121377693173557</c:v>
                </c:pt>
                <c:pt idx="1001">
                  <c:v>24.121377693173557</c:v>
                </c:pt>
                <c:pt idx="1002">
                  <c:v>24.121377693173557</c:v>
                </c:pt>
                <c:pt idx="1003">
                  <c:v>24.121377693173557</c:v>
                </c:pt>
                <c:pt idx="1004">
                  <c:v>24.121377693173557</c:v>
                </c:pt>
                <c:pt idx="1005">
                  <c:v>24.121377693173557</c:v>
                </c:pt>
                <c:pt idx="1006">
                  <c:v>24.121377693173557</c:v>
                </c:pt>
                <c:pt idx="1007">
                  <c:v>24.121377693173557</c:v>
                </c:pt>
                <c:pt idx="1008">
                  <c:v>24.121377693173557</c:v>
                </c:pt>
                <c:pt idx="1009">
                  <c:v>24.121377693173557</c:v>
                </c:pt>
                <c:pt idx="1010">
                  <c:v>24.121377693173557</c:v>
                </c:pt>
                <c:pt idx="1011">
                  <c:v>24.121377693173557</c:v>
                </c:pt>
                <c:pt idx="1012">
                  <c:v>24.121377693173557</c:v>
                </c:pt>
                <c:pt idx="1013">
                  <c:v>24.121377693173557</c:v>
                </c:pt>
                <c:pt idx="1014">
                  <c:v>24.121377693173557</c:v>
                </c:pt>
                <c:pt idx="1015">
                  <c:v>24.121377693173557</c:v>
                </c:pt>
                <c:pt idx="1016">
                  <c:v>24.121377693173557</c:v>
                </c:pt>
                <c:pt idx="1017">
                  <c:v>24.121377693173557</c:v>
                </c:pt>
                <c:pt idx="1018">
                  <c:v>24.121377693173557</c:v>
                </c:pt>
                <c:pt idx="1019">
                  <c:v>24.121377693173557</c:v>
                </c:pt>
                <c:pt idx="1020">
                  <c:v>24.121377693173557</c:v>
                </c:pt>
                <c:pt idx="1021">
                  <c:v>24.121377693173557</c:v>
                </c:pt>
                <c:pt idx="1022">
                  <c:v>24.121377693173557</c:v>
                </c:pt>
                <c:pt idx="1023">
                  <c:v>24.121377693173557</c:v>
                </c:pt>
                <c:pt idx="1024">
                  <c:v>24.121377693173557</c:v>
                </c:pt>
                <c:pt idx="1025">
                  <c:v>24.121377693173557</c:v>
                </c:pt>
                <c:pt idx="1026">
                  <c:v>24.121377693173557</c:v>
                </c:pt>
                <c:pt idx="1027">
                  <c:v>24.121377693173557</c:v>
                </c:pt>
                <c:pt idx="1028">
                  <c:v>24.121377693173557</c:v>
                </c:pt>
                <c:pt idx="1029">
                  <c:v>24.121377693173557</c:v>
                </c:pt>
                <c:pt idx="1030">
                  <c:v>24.121377693173557</c:v>
                </c:pt>
                <c:pt idx="1031">
                  <c:v>24.121377693173557</c:v>
                </c:pt>
                <c:pt idx="1032">
                  <c:v>24.121377693173557</c:v>
                </c:pt>
                <c:pt idx="1033">
                  <c:v>24.121377693173557</c:v>
                </c:pt>
                <c:pt idx="1034">
                  <c:v>24.121377693173557</c:v>
                </c:pt>
                <c:pt idx="1035">
                  <c:v>24.121377693173557</c:v>
                </c:pt>
                <c:pt idx="1036">
                  <c:v>24.121377693173557</c:v>
                </c:pt>
                <c:pt idx="1037">
                  <c:v>24.121377693173557</c:v>
                </c:pt>
                <c:pt idx="1038">
                  <c:v>24.121377693173557</c:v>
                </c:pt>
                <c:pt idx="1039">
                  <c:v>24.121377693173557</c:v>
                </c:pt>
                <c:pt idx="1040">
                  <c:v>24.121377693173557</c:v>
                </c:pt>
                <c:pt idx="1041">
                  <c:v>24.121377693173557</c:v>
                </c:pt>
                <c:pt idx="1042">
                  <c:v>24.121377693173557</c:v>
                </c:pt>
                <c:pt idx="1043">
                  <c:v>24.121377693173557</c:v>
                </c:pt>
                <c:pt idx="1044">
                  <c:v>24.121377693173557</c:v>
                </c:pt>
                <c:pt idx="1045">
                  <c:v>24.121377693173557</c:v>
                </c:pt>
                <c:pt idx="1046">
                  <c:v>24.121377693173557</c:v>
                </c:pt>
                <c:pt idx="1047">
                  <c:v>24.121377693173557</c:v>
                </c:pt>
                <c:pt idx="1048">
                  <c:v>24.121377693173557</c:v>
                </c:pt>
                <c:pt idx="1049">
                  <c:v>24.121377693173557</c:v>
                </c:pt>
                <c:pt idx="1050">
                  <c:v>24.121377693173557</c:v>
                </c:pt>
                <c:pt idx="1051">
                  <c:v>24.121377693173557</c:v>
                </c:pt>
                <c:pt idx="1052">
                  <c:v>24.121377693173557</c:v>
                </c:pt>
                <c:pt idx="1053">
                  <c:v>24.121377693173557</c:v>
                </c:pt>
                <c:pt idx="1054">
                  <c:v>24.121377693173557</c:v>
                </c:pt>
                <c:pt idx="1055">
                  <c:v>24.121377693173557</c:v>
                </c:pt>
                <c:pt idx="1056">
                  <c:v>24.121377693173557</c:v>
                </c:pt>
                <c:pt idx="1057">
                  <c:v>24.121377693173557</c:v>
                </c:pt>
                <c:pt idx="1058">
                  <c:v>24.121377693173557</c:v>
                </c:pt>
                <c:pt idx="1059">
                  <c:v>24.121377693173557</c:v>
                </c:pt>
                <c:pt idx="1060">
                  <c:v>24.121377693173557</c:v>
                </c:pt>
                <c:pt idx="1061">
                  <c:v>24.121377693173557</c:v>
                </c:pt>
                <c:pt idx="1062">
                  <c:v>24.121377693173557</c:v>
                </c:pt>
                <c:pt idx="1063">
                  <c:v>24.121377693173557</c:v>
                </c:pt>
                <c:pt idx="1064">
                  <c:v>24.121377693173557</c:v>
                </c:pt>
                <c:pt idx="1065">
                  <c:v>24.121377693173557</c:v>
                </c:pt>
                <c:pt idx="1066">
                  <c:v>24.121377693173557</c:v>
                </c:pt>
                <c:pt idx="1067">
                  <c:v>24.121377693173557</c:v>
                </c:pt>
                <c:pt idx="1068">
                  <c:v>24.121377693173557</c:v>
                </c:pt>
                <c:pt idx="1069">
                  <c:v>24.121377693173557</c:v>
                </c:pt>
                <c:pt idx="1070">
                  <c:v>24.121377693173557</c:v>
                </c:pt>
                <c:pt idx="1071">
                  <c:v>24.121377693173557</c:v>
                </c:pt>
                <c:pt idx="1072">
                  <c:v>24.121377693173557</c:v>
                </c:pt>
                <c:pt idx="1073">
                  <c:v>24.121377693173557</c:v>
                </c:pt>
                <c:pt idx="1074">
                  <c:v>24.121377693173557</c:v>
                </c:pt>
                <c:pt idx="1075">
                  <c:v>24.121377693173557</c:v>
                </c:pt>
                <c:pt idx="1076">
                  <c:v>24.121377693173557</c:v>
                </c:pt>
                <c:pt idx="1077">
                  <c:v>24.121377693173557</c:v>
                </c:pt>
                <c:pt idx="1078">
                  <c:v>24.121377693173557</c:v>
                </c:pt>
                <c:pt idx="1079">
                  <c:v>24.121377693173557</c:v>
                </c:pt>
                <c:pt idx="1080">
                  <c:v>24.121377693173557</c:v>
                </c:pt>
                <c:pt idx="1081">
                  <c:v>24.121377693173557</c:v>
                </c:pt>
                <c:pt idx="1082">
                  <c:v>24.121377693173557</c:v>
                </c:pt>
                <c:pt idx="1083">
                  <c:v>24.121377693173557</c:v>
                </c:pt>
                <c:pt idx="1084">
                  <c:v>24.121377693173557</c:v>
                </c:pt>
                <c:pt idx="1085">
                  <c:v>24.121377693173557</c:v>
                </c:pt>
                <c:pt idx="1086">
                  <c:v>24.121377693173557</c:v>
                </c:pt>
                <c:pt idx="1087">
                  <c:v>24.121377693173557</c:v>
                </c:pt>
                <c:pt idx="1088">
                  <c:v>24.121377693173557</c:v>
                </c:pt>
                <c:pt idx="1089">
                  <c:v>24.121377693173557</c:v>
                </c:pt>
                <c:pt idx="1090">
                  <c:v>24.121377693173557</c:v>
                </c:pt>
                <c:pt idx="1091">
                  <c:v>24.121377693173557</c:v>
                </c:pt>
                <c:pt idx="1092">
                  <c:v>24.121377693173557</c:v>
                </c:pt>
                <c:pt idx="1093">
                  <c:v>24.121377693173557</c:v>
                </c:pt>
                <c:pt idx="1094">
                  <c:v>24.121377693173557</c:v>
                </c:pt>
                <c:pt idx="1095">
                  <c:v>24.121377693173557</c:v>
                </c:pt>
                <c:pt idx="1096">
                  <c:v>24.121377693173557</c:v>
                </c:pt>
                <c:pt idx="1097">
                  <c:v>24.121377693173557</c:v>
                </c:pt>
                <c:pt idx="1098">
                  <c:v>24.121377693173557</c:v>
                </c:pt>
                <c:pt idx="1099">
                  <c:v>24.121377693173557</c:v>
                </c:pt>
                <c:pt idx="1100">
                  <c:v>24.121377693173557</c:v>
                </c:pt>
                <c:pt idx="1101">
                  <c:v>24.121377693173557</c:v>
                </c:pt>
                <c:pt idx="1102">
                  <c:v>24.121377693173557</c:v>
                </c:pt>
                <c:pt idx="1103">
                  <c:v>24.121377693173557</c:v>
                </c:pt>
                <c:pt idx="1104">
                  <c:v>24.121377693173557</c:v>
                </c:pt>
                <c:pt idx="1105">
                  <c:v>24.121377693173557</c:v>
                </c:pt>
                <c:pt idx="1106">
                  <c:v>24.121377693173557</c:v>
                </c:pt>
                <c:pt idx="1107">
                  <c:v>24.121377693173557</c:v>
                </c:pt>
                <c:pt idx="1108">
                  <c:v>24.121377693173557</c:v>
                </c:pt>
                <c:pt idx="1109">
                  <c:v>24.121377693173557</c:v>
                </c:pt>
                <c:pt idx="1110">
                  <c:v>24.121377693173557</c:v>
                </c:pt>
                <c:pt idx="1111">
                  <c:v>24.121377693173557</c:v>
                </c:pt>
                <c:pt idx="1112">
                  <c:v>24.121377693173557</c:v>
                </c:pt>
                <c:pt idx="1113">
                  <c:v>24.121377693173557</c:v>
                </c:pt>
                <c:pt idx="1114">
                  <c:v>24.121377693173557</c:v>
                </c:pt>
                <c:pt idx="1115">
                  <c:v>24.121377693173557</c:v>
                </c:pt>
                <c:pt idx="1116">
                  <c:v>24.121377693173557</c:v>
                </c:pt>
                <c:pt idx="1117">
                  <c:v>24.121377693173557</c:v>
                </c:pt>
                <c:pt idx="1118">
                  <c:v>24.121377693173557</c:v>
                </c:pt>
                <c:pt idx="1119">
                  <c:v>24.121377693173557</c:v>
                </c:pt>
                <c:pt idx="1120">
                  <c:v>24.121377693173557</c:v>
                </c:pt>
                <c:pt idx="1121">
                  <c:v>24.121377693173557</c:v>
                </c:pt>
                <c:pt idx="1122">
                  <c:v>24.121377693173557</c:v>
                </c:pt>
                <c:pt idx="1123">
                  <c:v>24.121377693173557</c:v>
                </c:pt>
                <c:pt idx="1124">
                  <c:v>24.121377693173557</c:v>
                </c:pt>
                <c:pt idx="1125">
                  <c:v>24.121377693173557</c:v>
                </c:pt>
                <c:pt idx="1126">
                  <c:v>24.121377693173557</c:v>
                </c:pt>
                <c:pt idx="1127">
                  <c:v>24.121377693173557</c:v>
                </c:pt>
                <c:pt idx="1128">
                  <c:v>24.121377693173557</c:v>
                </c:pt>
                <c:pt idx="1129">
                  <c:v>24.121377693173557</c:v>
                </c:pt>
                <c:pt idx="1130">
                  <c:v>24.121377693173557</c:v>
                </c:pt>
                <c:pt idx="1131">
                  <c:v>24.121377693173557</c:v>
                </c:pt>
                <c:pt idx="1132">
                  <c:v>24.121377693173557</c:v>
                </c:pt>
                <c:pt idx="1133">
                  <c:v>24.121377693173557</c:v>
                </c:pt>
                <c:pt idx="1134">
                  <c:v>24.121377693173557</c:v>
                </c:pt>
                <c:pt idx="1135">
                  <c:v>24.121377693173557</c:v>
                </c:pt>
                <c:pt idx="1136">
                  <c:v>24.121377693173557</c:v>
                </c:pt>
                <c:pt idx="1137">
                  <c:v>24.121377693173557</c:v>
                </c:pt>
                <c:pt idx="1138">
                  <c:v>24.121377693173557</c:v>
                </c:pt>
                <c:pt idx="1139">
                  <c:v>24.121377693173557</c:v>
                </c:pt>
                <c:pt idx="1140">
                  <c:v>24.121377693173557</c:v>
                </c:pt>
                <c:pt idx="1141">
                  <c:v>24.121377693173557</c:v>
                </c:pt>
                <c:pt idx="1142">
                  <c:v>24.121377693173557</c:v>
                </c:pt>
                <c:pt idx="1143">
                  <c:v>24.121377693173557</c:v>
                </c:pt>
                <c:pt idx="1144">
                  <c:v>24.121377693173557</c:v>
                </c:pt>
                <c:pt idx="1145">
                  <c:v>24.121377693173557</c:v>
                </c:pt>
                <c:pt idx="1146">
                  <c:v>24.121377693173557</c:v>
                </c:pt>
                <c:pt idx="1147">
                  <c:v>24.121377693173557</c:v>
                </c:pt>
                <c:pt idx="1148">
                  <c:v>24.121377693173557</c:v>
                </c:pt>
                <c:pt idx="1149">
                  <c:v>24.121377693173557</c:v>
                </c:pt>
                <c:pt idx="1150">
                  <c:v>24.121377693173557</c:v>
                </c:pt>
                <c:pt idx="1151">
                  <c:v>24.121377693173557</c:v>
                </c:pt>
                <c:pt idx="1152">
                  <c:v>24.121377693173557</c:v>
                </c:pt>
                <c:pt idx="1153">
                  <c:v>24.121377693173557</c:v>
                </c:pt>
                <c:pt idx="1154">
                  <c:v>24.121377693173557</c:v>
                </c:pt>
                <c:pt idx="1155">
                  <c:v>24.121377693173557</c:v>
                </c:pt>
                <c:pt idx="1156">
                  <c:v>24.121377693173557</c:v>
                </c:pt>
                <c:pt idx="1157">
                  <c:v>24.121377693173557</c:v>
                </c:pt>
                <c:pt idx="1158">
                  <c:v>24.121377693173557</c:v>
                </c:pt>
                <c:pt idx="1159">
                  <c:v>24.121377693173557</c:v>
                </c:pt>
                <c:pt idx="1160">
                  <c:v>24.121377693173557</c:v>
                </c:pt>
                <c:pt idx="1161">
                  <c:v>24.121377693173557</c:v>
                </c:pt>
                <c:pt idx="1162">
                  <c:v>24.121377693173557</c:v>
                </c:pt>
                <c:pt idx="1163">
                  <c:v>24.121377693173557</c:v>
                </c:pt>
                <c:pt idx="1164">
                  <c:v>24.121377693173557</c:v>
                </c:pt>
                <c:pt idx="1165">
                  <c:v>24.121377693173557</c:v>
                </c:pt>
                <c:pt idx="1166">
                  <c:v>24.121377693173557</c:v>
                </c:pt>
                <c:pt idx="1167">
                  <c:v>24.121377693173557</c:v>
                </c:pt>
                <c:pt idx="1168">
                  <c:v>24.121377693173557</c:v>
                </c:pt>
                <c:pt idx="1169">
                  <c:v>24.121377693173557</c:v>
                </c:pt>
                <c:pt idx="1170">
                  <c:v>24.121377693173557</c:v>
                </c:pt>
                <c:pt idx="1171">
                  <c:v>24.121377693173557</c:v>
                </c:pt>
                <c:pt idx="1172">
                  <c:v>24.121377693173557</c:v>
                </c:pt>
                <c:pt idx="1173">
                  <c:v>24.121377693173557</c:v>
                </c:pt>
                <c:pt idx="1174">
                  <c:v>24.121377693173557</c:v>
                </c:pt>
                <c:pt idx="1175">
                  <c:v>24.121377693173557</c:v>
                </c:pt>
                <c:pt idx="1176">
                  <c:v>24.121377693173557</c:v>
                </c:pt>
                <c:pt idx="1177">
                  <c:v>24.121377693173557</c:v>
                </c:pt>
                <c:pt idx="1178">
                  <c:v>24.121377693173557</c:v>
                </c:pt>
                <c:pt idx="1179">
                  <c:v>24.121377693173557</c:v>
                </c:pt>
                <c:pt idx="1180">
                  <c:v>24.121377693173557</c:v>
                </c:pt>
                <c:pt idx="1181">
                  <c:v>24.121377693173557</c:v>
                </c:pt>
                <c:pt idx="1182">
                  <c:v>24.121377693173557</c:v>
                </c:pt>
                <c:pt idx="1183">
                  <c:v>24.121377693173557</c:v>
                </c:pt>
                <c:pt idx="1184">
                  <c:v>24.121377693173557</c:v>
                </c:pt>
                <c:pt idx="1185">
                  <c:v>24.121377693173557</c:v>
                </c:pt>
                <c:pt idx="1186">
                  <c:v>24.121377693173557</c:v>
                </c:pt>
                <c:pt idx="1187">
                  <c:v>24.121377693173557</c:v>
                </c:pt>
                <c:pt idx="1188">
                  <c:v>24.121377693173557</c:v>
                </c:pt>
                <c:pt idx="1189">
                  <c:v>24.121377693173557</c:v>
                </c:pt>
                <c:pt idx="1190">
                  <c:v>24.121377693173557</c:v>
                </c:pt>
                <c:pt idx="1191">
                  <c:v>24.121377693173557</c:v>
                </c:pt>
                <c:pt idx="1192">
                  <c:v>24.121377693173557</c:v>
                </c:pt>
                <c:pt idx="1193">
                  <c:v>24.121377693173557</c:v>
                </c:pt>
                <c:pt idx="1194">
                  <c:v>24.121377693173557</c:v>
                </c:pt>
                <c:pt idx="1195">
                  <c:v>24.121377693173557</c:v>
                </c:pt>
                <c:pt idx="1196">
                  <c:v>24.121377693173557</c:v>
                </c:pt>
                <c:pt idx="1197">
                  <c:v>24.121377693173557</c:v>
                </c:pt>
                <c:pt idx="1198">
                  <c:v>24.121377693173557</c:v>
                </c:pt>
                <c:pt idx="1199">
                  <c:v>24.121377693173557</c:v>
                </c:pt>
                <c:pt idx="1200">
                  <c:v>24.121377693173557</c:v>
                </c:pt>
                <c:pt idx="1201">
                  <c:v>24.121377693173557</c:v>
                </c:pt>
                <c:pt idx="1202">
                  <c:v>24.121377693173557</c:v>
                </c:pt>
                <c:pt idx="1203">
                  <c:v>24.121377693173557</c:v>
                </c:pt>
                <c:pt idx="1204">
                  <c:v>24.121377693173557</c:v>
                </c:pt>
                <c:pt idx="1205">
                  <c:v>24.121377693173557</c:v>
                </c:pt>
                <c:pt idx="1206">
                  <c:v>24.121377693173557</c:v>
                </c:pt>
                <c:pt idx="1207">
                  <c:v>24.121377693173557</c:v>
                </c:pt>
                <c:pt idx="1208">
                  <c:v>24.121377693173557</c:v>
                </c:pt>
                <c:pt idx="1209">
                  <c:v>24.121377693173557</c:v>
                </c:pt>
                <c:pt idx="1210">
                  <c:v>24.121377693173557</c:v>
                </c:pt>
                <c:pt idx="1211">
                  <c:v>24.121377693173557</c:v>
                </c:pt>
                <c:pt idx="1212">
                  <c:v>24.121377693173557</c:v>
                </c:pt>
                <c:pt idx="1213">
                  <c:v>24.121377693173557</c:v>
                </c:pt>
                <c:pt idx="1214">
                  <c:v>24.121377693173557</c:v>
                </c:pt>
                <c:pt idx="1215">
                  <c:v>24.121377693173557</c:v>
                </c:pt>
                <c:pt idx="1216">
                  <c:v>24.121377693173557</c:v>
                </c:pt>
                <c:pt idx="1217">
                  <c:v>24.121377693173557</c:v>
                </c:pt>
                <c:pt idx="1218">
                  <c:v>24.121377693173557</c:v>
                </c:pt>
                <c:pt idx="1219">
                  <c:v>24.121377693173557</c:v>
                </c:pt>
                <c:pt idx="1220">
                  <c:v>24.121377693173557</c:v>
                </c:pt>
                <c:pt idx="1221">
                  <c:v>24.121377693173557</c:v>
                </c:pt>
                <c:pt idx="1222">
                  <c:v>24.121377693173557</c:v>
                </c:pt>
                <c:pt idx="1223">
                  <c:v>24.121377693173557</c:v>
                </c:pt>
                <c:pt idx="1224">
                  <c:v>24.121377693173557</c:v>
                </c:pt>
                <c:pt idx="1225">
                  <c:v>24.121377693173557</c:v>
                </c:pt>
                <c:pt idx="1226">
                  <c:v>24.121377693173557</c:v>
                </c:pt>
                <c:pt idx="1227">
                  <c:v>24.121377693173557</c:v>
                </c:pt>
                <c:pt idx="1228">
                  <c:v>24.121377693173557</c:v>
                </c:pt>
                <c:pt idx="1229">
                  <c:v>24.121377693173557</c:v>
                </c:pt>
                <c:pt idx="1230">
                  <c:v>24.121377693173557</c:v>
                </c:pt>
                <c:pt idx="1231">
                  <c:v>24.121377693173557</c:v>
                </c:pt>
                <c:pt idx="1232">
                  <c:v>24.121377693173557</c:v>
                </c:pt>
                <c:pt idx="1233">
                  <c:v>24.121377693173557</c:v>
                </c:pt>
                <c:pt idx="1234">
                  <c:v>24.121377693173557</c:v>
                </c:pt>
                <c:pt idx="1235">
                  <c:v>24.121377693173557</c:v>
                </c:pt>
                <c:pt idx="1236">
                  <c:v>24.121377693173557</c:v>
                </c:pt>
                <c:pt idx="1237">
                  <c:v>24.121377693173557</c:v>
                </c:pt>
                <c:pt idx="1238">
                  <c:v>24.121377693173557</c:v>
                </c:pt>
                <c:pt idx="1239">
                  <c:v>24.121377693173557</c:v>
                </c:pt>
                <c:pt idx="1240">
                  <c:v>24.121377693173557</c:v>
                </c:pt>
                <c:pt idx="1241">
                  <c:v>24.121377693173557</c:v>
                </c:pt>
                <c:pt idx="1242">
                  <c:v>24.121377693173557</c:v>
                </c:pt>
                <c:pt idx="1243">
                  <c:v>24.121377693173557</c:v>
                </c:pt>
                <c:pt idx="1244">
                  <c:v>24.121377693173557</c:v>
                </c:pt>
                <c:pt idx="1245">
                  <c:v>24.121377693173557</c:v>
                </c:pt>
                <c:pt idx="1246">
                  <c:v>24.121377693173557</c:v>
                </c:pt>
                <c:pt idx="1247">
                  <c:v>24.121377693173557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[177]PE!$F$1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[177]PE!$A$2:$A$1249</c15:sqref>
                        </c15:formulaRef>
                      </c:ext>
                    </c:extLst>
                    <c:numCache>
                      <c:formatCode>m/d/yyyy</c:formatCode>
                      <c:ptCount val="1248"/>
                      <c:pt idx="0">
                        <c:v>44085</c:v>
                      </c:pt>
                      <c:pt idx="1">
                        <c:v>44088</c:v>
                      </c:pt>
                      <c:pt idx="2">
                        <c:v>44089</c:v>
                      </c:pt>
                      <c:pt idx="3">
                        <c:v>44090</c:v>
                      </c:pt>
                      <c:pt idx="4">
                        <c:v>44091</c:v>
                      </c:pt>
                      <c:pt idx="5">
                        <c:v>44092</c:v>
                      </c:pt>
                      <c:pt idx="6">
                        <c:v>44095</c:v>
                      </c:pt>
                      <c:pt idx="7">
                        <c:v>44096</c:v>
                      </c:pt>
                      <c:pt idx="8">
                        <c:v>44097</c:v>
                      </c:pt>
                      <c:pt idx="9">
                        <c:v>44098</c:v>
                      </c:pt>
                      <c:pt idx="10">
                        <c:v>44099</c:v>
                      </c:pt>
                      <c:pt idx="11">
                        <c:v>44102</c:v>
                      </c:pt>
                      <c:pt idx="12">
                        <c:v>44103</c:v>
                      </c:pt>
                      <c:pt idx="13">
                        <c:v>44104</c:v>
                      </c:pt>
                      <c:pt idx="14">
                        <c:v>44105</c:v>
                      </c:pt>
                      <c:pt idx="15">
                        <c:v>44106</c:v>
                      </c:pt>
                      <c:pt idx="16">
                        <c:v>44109</c:v>
                      </c:pt>
                      <c:pt idx="17">
                        <c:v>44110</c:v>
                      </c:pt>
                      <c:pt idx="18">
                        <c:v>44111</c:v>
                      </c:pt>
                      <c:pt idx="19">
                        <c:v>44112</c:v>
                      </c:pt>
                      <c:pt idx="20">
                        <c:v>44113</c:v>
                      </c:pt>
                      <c:pt idx="21">
                        <c:v>44116</c:v>
                      </c:pt>
                      <c:pt idx="22">
                        <c:v>44117</c:v>
                      </c:pt>
                      <c:pt idx="23">
                        <c:v>44118</c:v>
                      </c:pt>
                      <c:pt idx="24">
                        <c:v>44119</c:v>
                      </c:pt>
                      <c:pt idx="25">
                        <c:v>44120</c:v>
                      </c:pt>
                      <c:pt idx="26">
                        <c:v>44123</c:v>
                      </c:pt>
                      <c:pt idx="27">
                        <c:v>44124</c:v>
                      </c:pt>
                      <c:pt idx="28">
                        <c:v>44125</c:v>
                      </c:pt>
                      <c:pt idx="29">
                        <c:v>44126</c:v>
                      </c:pt>
                      <c:pt idx="30">
                        <c:v>44127</c:v>
                      </c:pt>
                      <c:pt idx="31">
                        <c:v>44130</c:v>
                      </c:pt>
                      <c:pt idx="32">
                        <c:v>44131</c:v>
                      </c:pt>
                      <c:pt idx="33">
                        <c:v>44132</c:v>
                      </c:pt>
                      <c:pt idx="34">
                        <c:v>44133</c:v>
                      </c:pt>
                      <c:pt idx="35">
                        <c:v>44134</c:v>
                      </c:pt>
                      <c:pt idx="36">
                        <c:v>44137</c:v>
                      </c:pt>
                      <c:pt idx="37">
                        <c:v>44138</c:v>
                      </c:pt>
                      <c:pt idx="38">
                        <c:v>44139</c:v>
                      </c:pt>
                      <c:pt idx="39">
                        <c:v>44140</c:v>
                      </c:pt>
                      <c:pt idx="40">
                        <c:v>44141</c:v>
                      </c:pt>
                      <c:pt idx="41">
                        <c:v>44144</c:v>
                      </c:pt>
                      <c:pt idx="42">
                        <c:v>44145</c:v>
                      </c:pt>
                      <c:pt idx="43">
                        <c:v>44146</c:v>
                      </c:pt>
                      <c:pt idx="44">
                        <c:v>44147</c:v>
                      </c:pt>
                      <c:pt idx="45">
                        <c:v>44148</c:v>
                      </c:pt>
                      <c:pt idx="46">
                        <c:v>44151</c:v>
                      </c:pt>
                      <c:pt idx="47">
                        <c:v>44152</c:v>
                      </c:pt>
                      <c:pt idx="48">
                        <c:v>44153</c:v>
                      </c:pt>
                      <c:pt idx="49">
                        <c:v>44154</c:v>
                      </c:pt>
                      <c:pt idx="50">
                        <c:v>44155</c:v>
                      </c:pt>
                      <c:pt idx="51">
                        <c:v>44158</c:v>
                      </c:pt>
                      <c:pt idx="52">
                        <c:v>44159</c:v>
                      </c:pt>
                      <c:pt idx="53">
                        <c:v>44160</c:v>
                      </c:pt>
                      <c:pt idx="54">
                        <c:v>44161</c:v>
                      </c:pt>
                      <c:pt idx="55">
                        <c:v>44162</c:v>
                      </c:pt>
                      <c:pt idx="56">
                        <c:v>44165</c:v>
                      </c:pt>
                      <c:pt idx="57">
                        <c:v>44166</c:v>
                      </c:pt>
                      <c:pt idx="58">
                        <c:v>44167</c:v>
                      </c:pt>
                      <c:pt idx="59">
                        <c:v>44168</c:v>
                      </c:pt>
                      <c:pt idx="60">
                        <c:v>44169</c:v>
                      </c:pt>
                      <c:pt idx="61">
                        <c:v>44172</c:v>
                      </c:pt>
                      <c:pt idx="62">
                        <c:v>44173</c:v>
                      </c:pt>
                      <c:pt idx="63">
                        <c:v>44174</c:v>
                      </c:pt>
                      <c:pt idx="64">
                        <c:v>44175</c:v>
                      </c:pt>
                      <c:pt idx="65">
                        <c:v>44176</c:v>
                      </c:pt>
                      <c:pt idx="66">
                        <c:v>44179</c:v>
                      </c:pt>
                      <c:pt idx="67">
                        <c:v>44180</c:v>
                      </c:pt>
                      <c:pt idx="68">
                        <c:v>44181</c:v>
                      </c:pt>
                      <c:pt idx="69">
                        <c:v>44182</c:v>
                      </c:pt>
                      <c:pt idx="70">
                        <c:v>44183</c:v>
                      </c:pt>
                      <c:pt idx="71">
                        <c:v>44186</c:v>
                      </c:pt>
                      <c:pt idx="72">
                        <c:v>44187</c:v>
                      </c:pt>
                      <c:pt idx="73">
                        <c:v>44188</c:v>
                      </c:pt>
                      <c:pt idx="74">
                        <c:v>44189</c:v>
                      </c:pt>
                      <c:pt idx="75">
                        <c:v>44190</c:v>
                      </c:pt>
                      <c:pt idx="76">
                        <c:v>44193</c:v>
                      </c:pt>
                      <c:pt idx="77">
                        <c:v>44194</c:v>
                      </c:pt>
                      <c:pt idx="78">
                        <c:v>44195</c:v>
                      </c:pt>
                      <c:pt idx="79">
                        <c:v>44196</c:v>
                      </c:pt>
                      <c:pt idx="80">
                        <c:v>44200</c:v>
                      </c:pt>
                      <c:pt idx="81">
                        <c:v>44201</c:v>
                      </c:pt>
                      <c:pt idx="82">
                        <c:v>44202</c:v>
                      </c:pt>
                      <c:pt idx="83">
                        <c:v>44203</c:v>
                      </c:pt>
                      <c:pt idx="84">
                        <c:v>44204</c:v>
                      </c:pt>
                      <c:pt idx="85">
                        <c:v>44207</c:v>
                      </c:pt>
                      <c:pt idx="86">
                        <c:v>44208</c:v>
                      </c:pt>
                      <c:pt idx="87">
                        <c:v>44209</c:v>
                      </c:pt>
                      <c:pt idx="88">
                        <c:v>44210</c:v>
                      </c:pt>
                      <c:pt idx="89">
                        <c:v>44211</c:v>
                      </c:pt>
                      <c:pt idx="90">
                        <c:v>44214</c:v>
                      </c:pt>
                      <c:pt idx="91">
                        <c:v>44215</c:v>
                      </c:pt>
                      <c:pt idx="92">
                        <c:v>44216</c:v>
                      </c:pt>
                      <c:pt idx="93">
                        <c:v>44217</c:v>
                      </c:pt>
                      <c:pt idx="94">
                        <c:v>44218</c:v>
                      </c:pt>
                      <c:pt idx="95">
                        <c:v>44221</c:v>
                      </c:pt>
                      <c:pt idx="96">
                        <c:v>44222</c:v>
                      </c:pt>
                      <c:pt idx="97">
                        <c:v>44223</c:v>
                      </c:pt>
                      <c:pt idx="98">
                        <c:v>44224</c:v>
                      </c:pt>
                      <c:pt idx="99">
                        <c:v>44225</c:v>
                      </c:pt>
                      <c:pt idx="100">
                        <c:v>44228</c:v>
                      </c:pt>
                      <c:pt idx="101">
                        <c:v>44229</c:v>
                      </c:pt>
                      <c:pt idx="102">
                        <c:v>44230</c:v>
                      </c:pt>
                      <c:pt idx="103">
                        <c:v>44231</c:v>
                      </c:pt>
                      <c:pt idx="104">
                        <c:v>44232</c:v>
                      </c:pt>
                      <c:pt idx="105">
                        <c:v>44235</c:v>
                      </c:pt>
                      <c:pt idx="106">
                        <c:v>44236</c:v>
                      </c:pt>
                      <c:pt idx="107">
                        <c:v>44244</c:v>
                      </c:pt>
                      <c:pt idx="108">
                        <c:v>44245</c:v>
                      </c:pt>
                      <c:pt idx="109">
                        <c:v>44246</c:v>
                      </c:pt>
                      <c:pt idx="110">
                        <c:v>44249</c:v>
                      </c:pt>
                      <c:pt idx="111">
                        <c:v>44250</c:v>
                      </c:pt>
                      <c:pt idx="112">
                        <c:v>44251</c:v>
                      </c:pt>
                      <c:pt idx="113">
                        <c:v>44252</c:v>
                      </c:pt>
                      <c:pt idx="114">
                        <c:v>44253</c:v>
                      </c:pt>
                      <c:pt idx="115">
                        <c:v>44256</c:v>
                      </c:pt>
                      <c:pt idx="116">
                        <c:v>44257</c:v>
                      </c:pt>
                      <c:pt idx="117">
                        <c:v>44258</c:v>
                      </c:pt>
                      <c:pt idx="118">
                        <c:v>44259</c:v>
                      </c:pt>
                      <c:pt idx="119">
                        <c:v>44260</c:v>
                      </c:pt>
                      <c:pt idx="120">
                        <c:v>44263</c:v>
                      </c:pt>
                      <c:pt idx="121">
                        <c:v>44264</c:v>
                      </c:pt>
                      <c:pt idx="122">
                        <c:v>44265</c:v>
                      </c:pt>
                      <c:pt idx="123">
                        <c:v>44266</c:v>
                      </c:pt>
                      <c:pt idx="124">
                        <c:v>44267</c:v>
                      </c:pt>
                      <c:pt idx="125">
                        <c:v>44270</c:v>
                      </c:pt>
                      <c:pt idx="126">
                        <c:v>44271</c:v>
                      </c:pt>
                      <c:pt idx="127">
                        <c:v>44272</c:v>
                      </c:pt>
                      <c:pt idx="128">
                        <c:v>44273</c:v>
                      </c:pt>
                      <c:pt idx="129">
                        <c:v>44274</c:v>
                      </c:pt>
                      <c:pt idx="130">
                        <c:v>44277</c:v>
                      </c:pt>
                      <c:pt idx="131">
                        <c:v>44278</c:v>
                      </c:pt>
                      <c:pt idx="132">
                        <c:v>44279</c:v>
                      </c:pt>
                      <c:pt idx="133">
                        <c:v>44280</c:v>
                      </c:pt>
                      <c:pt idx="134">
                        <c:v>44281</c:v>
                      </c:pt>
                      <c:pt idx="135">
                        <c:v>44284</c:v>
                      </c:pt>
                      <c:pt idx="136">
                        <c:v>44285</c:v>
                      </c:pt>
                      <c:pt idx="137">
                        <c:v>44286</c:v>
                      </c:pt>
                      <c:pt idx="138">
                        <c:v>44287</c:v>
                      </c:pt>
                      <c:pt idx="139">
                        <c:v>44288</c:v>
                      </c:pt>
                      <c:pt idx="140">
                        <c:v>44291</c:v>
                      </c:pt>
                      <c:pt idx="141">
                        <c:v>44292</c:v>
                      </c:pt>
                      <c:pt idx="142">
                        <c:v>44293</c:v>
                      </c:pt>
                      <c:pt idx="143">
                        <c:v>44294</c:v>
                      </c:pt>
                      <c:pt idx="144">
                        <c:v>44295</c:v>
                      </c:pt>
                      <c:pt idx="145">
                        <c:v>44298</c:v>
                      </c:pt>
                      <c:pt idx="146">
                        <c:v>44299</c:v>
                      </c:pt>
                      <c:pt idx="147">
                        <c:v>44300</c:v>
                      </c:pt>
                      <c:pt idx="148">
                        <c:v>44301</c:v>
                      </c:pt>
                      <c:pt idx="149">
                        <c:v>44302</c:v>
                      </c:pt>
                      <c:pt idx="150">
                        <c:v>44305</c:v>
                      </c:pt>
                      <c:pt idx="151">
                        <c:v>44306</c:v>
                      </c:pt>
                      <c:pt idx="152">
                        <c:v>44308</c:v>
                      </c:pt>
                      <c:pt idx="153">
                        <c:v>44309</c:v>
                      </c:pt>
                      <c:pt idx="154">
                        <c:v>44312</c:v>
                      </c:pt>
                      <c:pt idx="155">
                        <c:v>44313</c:v>
                      </c:pt>
                      <c:pt idx="156">
                        <c:v>44314</c:v>
                      </c:pt>
                      <c:pt idx="157">
                        <c:v>44315</c:v>
                      </c:pt>
                      <c:pt idx="158">
                        <c:v>44320</c:v>
                      </c:pt>
                      <c:pt idx="159">
                        <c:v>44321</c:v>
                      </c:pt>
                      <c:pt idx="160">
                        <c:v>44322</c:v>
                      </c:pt>
                      <c:pt idx="161">
                        <c:v>44323</c:v>
                      </c:pt>
                      <c:pt idx="162">
                        <c:v>44326</c:v>
                      </c:pt>
                      <c:pt idx="163">
                        <c:v>44327</c:v>
                      </c:pt>
                      <c:pt idx="164">
                        <c:v>44328</c:v>
                      </c:pt>
                      <c:pt idx="165">
                        <c:v>44329</c:v>
                      </c:pt>
                      <c:pt idx="166">
                        <c:v>44330</c:v>
                      </c:pt>
                      <c:pt idx="167">
                        <c:v>44333</c:v>
                      </c:pt>
                      <c:pt idx="168">
                        <c:v>44334</c:v>
                      </c:pt>
                      <c:pt idx="169">
                        <c:v>44335</c:v>
                      </c:pt>
                      <c:pt idx="170">
                        <c:v>44336</c:v>
                      </c:pt>
                      <c:pt idx="171">
                        <c:v>44337</c:v>
                      </c:pt>
                      <c:pt idx="172">
                        <c:v>44340</c:v>
                      </c:pt>
                      <c:pt idx="173">
                        <c:v>44341</c:v>
                      </c:pt>
                      <c:pt idx="174">
                        <c:v>44342</c:v>
                      </c:pt>
                      <c:pt idx="175">
                        <c:v>44343</c:v>
                      </c:pt>
                      <c:pt idx="176">
                        <c:v>44344</c:v>
                      </c:pt>
                      <c:pt idx="177">
                        <c:v>44347</c:v>
                      </c:pt>
                      <c:pt idx="178">
                        <c:v>44348</c:v>
                      </c:pt>
                      <c:pt idx="179">
                        <c:v>44349</c:v>
                      </c:pt>
                      <c:pt idx="180">
                        <c:v>44350</c:v>
                      </c:pt>
                      <c:pt idx="181">
                        <c:v>44351</c:v>
                      </c:pt>
                      <c:pt idx="182">
                        <c:v>44354</c:v>
                      </c:pt>
                      <c:pt idx="183">
                        <c:v>44355</c:v>
                      </c:pt>
                      <c:pt idx="184">
                        <c:v>44356</c:v>
                      </c:pt>
                      <c:pt idx="185">
                        <c:v>44357</c:v>
                      </c:pt>
                      <c:pt idx="186">
                        <c:v>44358</c:v>
                      </c:pt>
                      <c:pt idx="187">
                        <c:v>44361</c:v>
                      </c:pt>
                      <c:pt idx="188">
                        <c:v>44362</c:v>
                      </c:pt>
                      <c:pt idx="189">
                        <c:v>44363</c:v>
                      </c:pt>
                      <c:pt idx="190">
                        <c:v>44364</c:v>
                      </c:pt>
                      <c:pt idx="191">
                        <c:v>44365</c:v>
                      </c:pt>
                      <c:pt idx="192">
                        <c:v>44368</c:v>
                      </c:pt>
                      <c:pt idx="193">
                        <c:v>44369</c:v>
                      </c:pt>
                      <c:pt idx="194">
                        <c:v>44370</c:v>
                      </c:pt>
                      <c:pt idx="195">
                        <c:v>44371</c:v>
                      </c:pt>
                      <c:pt idx="196">
                        <c:v>44372</c:v>
                      </c:pt>
                      <c:pt idx="197">
                        <c:v>44375</c:v>
                      </c:pt>
                      <c:pt idx="198">
                        <c:v>44376</c:v>
                      </c:pt>
                      <c:pt idx="199">
                        <c:v>44377</c:v>
                      </c:pt>
                      <c:pt idx="200">
                        <c:v>44378</c:v>
                      </c:pt>
                      <c:pt idx="201">
                        <c:v>44379</c:v>
                      </c:pt>
                      <c:pt idx="202">
                        <c:v>44382</c:v>
                      </c:pt>
                      <c:pt idx="203">
                        <c:v>44383</c:v>
                      </c:pt>
                      <c:pt idx="204">
                        <c:v>44384</c:v>
                      </c:pt>
                      <c:pt idx="205">
                        <c:v>44385</c:v>
                      </c:pt>
                      <c:pt idx="206">
                        <c:v>44386</c:v>
                      </c:pt>
                      <c:pt idx="207">
                        <c:v>44389</c:v>
                      </c:pt>
                      <c:pt idx="208">
                        <c:v>44390</c:v>
                      </c:pt>
                      <c:pt idx="209">
                        <c:v>44391</c:v>
                      </c:pt>
                      <c:pt idx="210">
                        <c:v>44392</c:v>
                      </c:pt>
                      <c:pt idx="211">
                        <c:v>44393</c:v>
                      </c:pt>
                      <c:pt idx="212">
                        <c:v>44396</c:v>
                      </c:pt>
                      <c:pt idx="213">
                        <c:v>44397</c:v>
                      </c:pt>
                      <c:pt idx="214">
                        <c:v>44398</c:v>
                      </c:pt>
                      <c:pt idx="215">
                        <c:v>44399</c:v>
                      </c:pt>
                      <c:pt idx="216">
                        <c:v>44400</c:v>
                      </c:pt>
                      <c:pt idx="217">
                        <c:v>44403</c:v>
                      </c:pt>
                      <c:pt idx="218">
                        <c:v>44404</c:v>
                      </c:pt>
                      <c:pt idx="219">
                        <c:v>44405</c:v>
                      </c:pt>
                      <c:pt idx="220">
                        <c:v>44406</c:v>
                      </c:pt>
                      <c:pt idx="221">
                        <c:v>44407</c:v>
                      </c:pt>
                      <c:pt idx="222">
                        <c:v>44410</c:v>
                      </c:pt>
                      <c:pt idx="223">
                        <c:v>44411</c:v>
                      </c:pt>
                      <c:pt idx="224">
                        <c:v>44412</c:v>
                      </c:pt>
                      <c:pt idx="225">
                        <c:v>44413</c:v>
                      </c:pt>
                      <c:pt idx="226">
                        <c:v>44414</c:v>
                      </c:pt>
                      <c:pt idx="227">
                        <c:v>44417</c:v>
                      </c:pt>
                      <c:pt idx="228">
                        <c:v>44418</c:v>
                      </c:pt>
                      <c:pt idx="229">
                        <c:v>44419</c:v>
                      </c:pt>
                      <c:pt idx="230">
                        <c:v>44420</c:v>
                      </c:pt>
                      <c:pt idx="231">
                        <c:v>44421</c:v>
                      </c:pt>
                      <c:pt idx="232">
                        <c:v>44424</c:v>
                      </c:pt>
                      <c:pt idx="233">
                        <c:v>44425</c:v>
                      </c:pt>
                      <c:pt idx="234">
                        <c:v>44426</c:v>
                      </c:pt>
                      <c:pt idx="235">
                        <c:v>44427</c:v>
                      </c:pt>
                      <c:pt idx="236">
                        <c:v>44428</c:v>
                      </c:pt>
                      <c:pt idx="237">
                        <c:v>44431</c:v>
                      </c:pt>
                      <c:pt idx="238">
                        <c:v>44432</c:v>
                      </c:pt>
                      <c:pt idx="239">
                        <c:v>44433</c:v>
                      </c:pt>
                      <c:pt idx="240">
                        <c:v>44434</c:v>
                      </c:pt>
                      <c:pt idx="241">
                        <c:v>44435</c:v>
                      </c:pt>
                      <c:pt idx="242">
                        <c:v>44438</c:v>
                      </c:pt>
                      <c:pt idx="243">
                        <c:v>44439</c:v>
                      </c:pt>
                      <c:pt idx="244">
                        <c:v>44440</c:v>
                      </c:pt>
                      <c:pt idx="245">
                        <c:v>44445</c:v>
                      </c:pt>
                      <c:pt idx="246">
                        <c:v>44446</c:v>
                      </c:pt>
                      <c:pt idx="247">
                        <c:v>44447</c:v>
                      </c:pt>
                      <c:pt idx="248">
                        <c:v>44448</c:v>
                      </c:pt>
                      <c:pt idx="249">
                        <c:v>44449</c:v>
                      </c:pt>
                      <c:pt idx="250">
                        <c:v>44452</c:v>
                      </c:pt>
                      <c:pt idx="251">
                        <c:v>44453</c:v>
                      </c:pt>
                      <c:pt idx="252">
                        <c:v>44454</c:v>
                      </c:pt>
                      <c:pt idx="253">
                        <c:v>44455</c:v>
                      </c:pt>
                      <c:pt idx="254">
                        <c:v>44456</c:v>
                      </c:pt>
                      <c:pt idx="255">
                        <c:v>44459</c:v>
                      </c:pt>
                      <c:pt idx="256">
                        <c:v>44460</c:v>
                      </c:pt>
                      <c:pt idx="257">
                        <c:v>44461</c:v>
                      </c:pt>
                      <c:pt idx="258">
                        <c:v>44462</c:v>
                      </c:pt>
                      <c:pt idx="259">
                        <c:v>44463</c:v>
                      </c:pt>
                      <c:pt idx="260">
                        <c:v>44466</c:v>
                      </c:pt>
                      <c:pt idx="261">
                        <c:v>44467</c:v>
                      </c:pt>
                      <c:pt idx="262">
                        <c:v>44468</c:v>
                      </c:pt>
                      <c:pt idx="263">
                        <c:v>44469</c:v>
                      </c:pt>
                      <c:pt idx="264">
                        <c:v>44470</c:v>
                      </c:pt>
                      <c:pt idx="265">
                        <c:v>44473</c:v>
                      </c:pt>
                      <c:pt idx="266">
                        <c:v>44474</c:v>
                      </c:pt>
                      <c:pt idx="267">
                        <c:v>44475</c:v>
                      </c:pt>
                      <c:pt idx="268">
                        <c:v>44476</c:v>
                      </c:pt>
                      <c:pt idx="269">
                        <c:v>44477</c:v>
                      </c:pt>
                      <c:pt idx="270">
                        <c:v>44480</c:v>
                      </c:pt>
                      <c:pt idx="271">
                        <c:v>44481</c:v>
                      </c:pt>
                      <c:pt idx="272">
                        <c:v>44482</c:v>
                      </c:pt>
                      <c:pt idx="273">
                        <c:v>44483</c:v>
                      </c:pt>
                      <c:pt idx="274">
                        <c:v>44484</c:v>
                      </c:pt>
                      <c:pt idx="275">
                        <c:v>44487</c:v>
                      </c:pt>
                      <c:pt idx="276">
                        <c:v>44488</c:v>
                      </c:pt>
                      <c:pt idx="277">
                        <c:v>44489</c:v>
                      </c:pt>
                      <c:pt idx="278">
                        <c:v>44490</c:v>
                      </c:pt>
                      <c:pt idx="279">
                        <c:v>44491</c:v>
                      </c:pt>
                      <c:pt idx="280">
                        <c:v>44494</c:v>
                      </c:pt>
                      <c:pt idx="281">
                        <c:v>44495</c:v>
                      </c:pt>
                      <c:pt idx="282">
                        <c:v>44496</c:v>
                      </c:pt>
                      <c:pt idx="283">
                        <c:v>44497</c:v>
                      </c:pt>
                      <c:pt idx="284">
                        <c:v>44498</c:v>
                      </c:pt>
                      <c:pt idx="285">
                        <c:v>44501</c:v>
                      </c:pt>
                      <c:pt idx="286">
                        <c:v>44502</c:v>
                      </c:pt>
                      <c:pt idx="287">
                        <c:v>44503</c:v>
                      </c:pt>
                      <c:pt idx="288">
                        <c:v>44504</c:v>
                      </c:pt>
                      <c:pt idx="289">
                        <c:v>44505</c:v>
                      </c:pt>
                      <c:pt idx="290">
                        <c:v>44508</c:v>
                      </c:pt>
                      <c:pt idx="291">
                        <c:v>44509</c:v>
                      </c:pt>
                      <c:pt idx="292">
                        <c:v>44510</c:v>
                      </c:pt>
                      <c:pt idx="293">
                        <c:v>44511</c:v>
                      </c:pt>
                      <c:pt idx="294">
                        <c:v>44512</c:v>
                      </c:pt>
                      <c:pt idx="295">
                        <c:v>44515</c:v>
                      </c:pt>
                      <c:pt idx="296">
                        <c:v>44516</c:v>
                      </c:pt>
                      <c:pt idx="297">
                        <c:v>44517</c:v>
                      </c:pt>
                      <c:pt idx="298">
                        <c:v>44518</c:v>
                      </c:pt>
                      <c:pt idx="299">
                        <c:v>44519</c:v>
                      </c:pt>
                      <c:pt idx="300">
                        <c:v>44522</c:v>
                      </c:pt>
                      <c:pt idx="301">
                        <c:v>44523</c:v>
                      </c:pt>
                      <c:pt idx="302">
                        <c:v>44524</c:v>
                      </c:pt>
                      <c:pt idx="303">
                        <c:v>44525</c:v>
                      </c:pt>
                      <c:pt idx="304">
                        <c:v>44526</c:v>
                      </c:pt>
                      <c:pt idx="305">
                        <c:v>44529</c:v>
                      </c:pt>
                      <c:pt idx="306">
                        <c:v>44530</c:v>
                      </c:pt>
                      <c:pt idx="307">
                        <c:v>44531</c:v>
                      </c:pt>
                      <c:pt idx="308">
                        <c:v>44532</c:v>
                      </c:pt>
                      <c:pt idx="309">
                        <c:v>44533</c:v>
                      </c:pt>
                      <c:pt idx="310">
                        <c:v>44536</c:v>
                      </c:pt>
                      <c:pt idx="311">
                        <c:v>44537</c:v>
                      </c:pt>
                      <c:pt idx="312">
                        <c:v>44538</c:v>
                      </c:pt>
                      <c:pt idx="313">
                        <c:v>44539</c:v>
                      </c:pt>
                      <c:pt idx="314">
                        <c:v>44540</c:v>
                      </c:pt>
                      <c:pt idx="315">
                        <c:v>44543</c:v>
                      </c:pt>
                      <c:pt idx="316">
                        <c:v>44544</c:v>
                      </c:pt>
                      <c:pt idx="317">
                        <c:v>44545</c:v>
                      </c:pt>
                      <c:pt idx="318">
                        <c:v>44546</c:v>
                      </c:pt>
                      <c:pt idx="319">
                        <c:v>44547</c:v>
                      </c:pt>
                      <c:pt idx="320">
                        <c:v>44550</c:v>
                      </c:pt>
                      <c:pt idx="321">
                        <c:v>44551</c:v>
                      </c:pt>
                      <c:pt idx="322">
                        <c:v>44552</c:v>
                      </c:pt>
                      <c:pt idx="323">
                        <c:v>44553</c:v>
                      </c:pt>
                      <c:pt idx="324">
                        <c:v>44554</c:v>
                      </c:pt>
                      <c:pt idx="325">
                        <c:v>44557</c:v>
                      </c:pt>
                      <c:pt idx="326">
                        <c:v>44558</c:v>
                      </c:pt>
                      <c:pt idx="327">
                        <c:v>44559</c:v>
                      </c:pt>
                      <c:pt idx="328">
                        <c:v>44560</c:v>
                      </c:pt>
                      <c:pt idx="329">
                        <c:v>44561</c:v>
                      </c:pt>
                      <c:pt idx="330">
                        <c:v>44565</c:v>
                      </c:pt>
                      <c:pt idx="331">
                        <c:v>44566</c:v>
                      </c:pt>
                      <c:pt idx="332">
                        <c:v>44567</c:v>
                      </c:pt>
                      <c:pt idx="333">
                        <c:v>44568</c:v>
                      </c:pt>
                      <c:pt idx="334">
                        <c:v>44571</c:v>
                      </c:pt>
                      <c:pt idx="335">
                        <c:v>44572</c:v>
                      </c:pt>
                      <c:pt idx="336">
                        <c:v>44573</c:v>
                      </c:pt>
                      <c:pt idx="337">
                        <c:v>44574</c:v>
                      </c:pt>
                      <c:pt idx="338">
                        <c:v>44575</c:v>
                      </c:pt>
                      <c:pt idx="339">
                        <c:v>44578</c:v>
                      </c:pt>
                      <c:pt idx="340">
                        <c:v>44579</c:v>
                      </c:pt>
                      <c:pt idx="341">
                        <c:v>44580</c:v>
                      </c:pt>
                      <c:pt idx="342">
                        <c:v>44581</c:v>
                      </c:pt>
                      <c:pt idx="343">
                        <c:v>44582</c:v>
                      </c:pt>
                      <c:pt idx="344">
                        <c:v>44585</c:v>
                      </c:pt>
                      <c:pt idx="345">
                        <c:v>44586</c:v>
                      </c:pt>
                      <c:pt idx="346">
                        <c:v>44587</c:v>
                      </c:pt>
                      <c:pt idx="347">
                        <c:v>44588</c:v>
                      </c:pt>
                      <c:pt idx="348">
                        <c:v>44589</c:v>
                      </c:pt>
                      <c:pt idx="349">
                        <c:v>44599</c:v>
                      </c:pt>
                      <c:pt idx="350">
                        <c:v>44600</c:v>
                      </c:pt>
                      <c:pt idx="351">
                        <c:v>44601</c:v>
                      </c:pt>
                      <c:pt idx="352">
                        <c:v>44602</c:v>
                      </c:pt>
                      <c:pt idx="353">
                        <c:v>44603</c:v>
                      </c:pt>
                      <c:pt idx="354">
                        <c:v>44606</c:v>
                      </c:pt>
                      <c:pt idx="355">
                        <c:v>44607</c:v>
                      </c:pt>
                      <c:pt idx="356">
                        <c:v>44608</c:v>
                      </c:pt>
                      <c:pt idx="357">
                        <c:v>44609</c:v>
                      </c:pt>
                      <c:pt idx="358">
                        <c:v>44610</c:v>
                      </c:pt>
                      <c:pt idx="359">
                        <c:v>44613</c:v>
                      </c:pt>
                      <c:pt idx="360">
                        <c:v>44614</c:v>
                      </c:pt>
                      <c:pt idx="361">
                        <c:v>44615</c:v>
                      </c:pt>
                      <c:pt idx="362">
                        <c:v>44616</c:v>
                      </c:pt>
                      <c:pt idx="363">
                        <c:v>44617</c:v>
                      </c:pt>
                      <c:pt idx="364">
                        <c:v>44620</c:v>
                      </c:pt>
                      <c:pt idx="365">
                        <c:v>44621</c:v>
                      </c:pt>
                      <c:pt idx="366">
                        <c:v>44622</c:v>
                      </c:pt>
                      <c:pt idx="367">
                        <c:v>44623</c:v>
                      </c:pt>
                      <c:pt idx="368">
                        <c:v>44624</c:v>
                      </c:pt>
                      <c:pt idx="369">
                        <c:v>44627</c:v>
                      </c:pt>
                      <c:pt idx="370">
                        <c:v>44628</c:v>
                      </c:pt>
                      <c:pt idx="371">
                        <c:v>44629</c:v>
                      </c:pt>
                      <c:pt idx="372">
                        <c:v>44630</c:v>
                      </c:pt>
                      <c:pt idx="373">
                        <c:v>44631</c:v>
                      </c:pt>
                      <c:pt idx="374">
                        <c:v>44634</c:v>
                      </c:pt>
                      <c:pt idx="375">
                        <c:v>44635</c:v>
                      </c:pt>
                      <c:pt idx="376">
                        <c:v>44636</c:v>
                      </c:pt>
                      <c:pt idx="377">
                        <c:v>44637</c:v>
                      </c:pt>
                      <c:pt idx="378">
                        <c:v>44638</c:v>
                      </c:pt>
                      <c:pt idx="379">
                        <c:v>44641</c:v>
                      </c:pt>
                      <c:pt idx="380">
                        <c:v>44642</c:v>
                      </c:pt>
                      <c:pt idx="381">
                        <c:v>44643</c:v>
                      </c:pt>
                      <c:pt idx="382">
                        <c:v>44644</c:v>
                      </c:pt>
                      <c:pt idx="383">
                        <c:v>44645</c:v>
                      </c:pt>
                      <c:pt idx="384">
                        <c:v>44648</c:v>
                      </c:pt>
                      <c:pt idx="385">
                        <c:v>44649</c:v>
                      </c:pt>
                      <c:pt idx="386">
                        <c:v>44650</c:v>
                      </c:pt>
                      <c:pt idx="387">
                        <c:v>44651</c:v>
                      </c:pt>
                      <c:pt idx="388">
                        <c:v>44652</c:v>
                      </c:pt>
                      <c:pt idx="389">
                        <c:v>44655</c:v>
                      </c:pt>
                      <c:pt idx="390">
                        <c:v>44656</c:v>
                      </c:pt>
                      <c:pt idx="391">
                        <c:v>44657</c:v>
                      </c:pt>
                      <c:pt idx="392">
                        <c:v>44658</c:v>
                      </c:pt>
                      <c:pt idx="393">
                        <c:v>44659</c:v>
                      </c:pt>
                      <c:pt idx="394">
                        <c:v>44663</c:v>
                      </c:pt>
                      <c:pt idx="395">
                        <c:v>44664</c:v>
                      </c:pt>
                      <c:pt idx="396">
                        <c:v>44665</c:v>
                      </c:pt>
                      <c:pt idx="397">
                        <c:v>44666</c:v>
                      </c:pt>
                      <c:pt idx="398">
                        <c:v>44669</c:v>
                      </c:pt>
                      <c:pt idx="399">
                        <c:v>44670</c:v>
                      </c:pt>
                      <c:pt idx="400">
                        <c:v>44671</c:v>
                      </c:pt>
                      <c:pt idx="401">
                        <c:v>44672</c:v>
                      </c:pt>
                      <c:pt idx="402">
                        <c:v>44673</c:v>
                      </c:pt>
                      <c:pt idx="403">
                        <c:v>44676</c:v>
                      </c:pt>
                      <c:pt idx="404">
                        <c:v>44677</c:v>
                      </c:pt>
                      <c:pt idx="405">
                        <c:v>44678</c:v>
                      </c:pt>
                      <c:pt idx="406">
                        <c:v>44679</c:v>
                      </c:pt>
                      <c:pt idx="407">
                        <c:v>44680</c:v>
                      </c:pt>
                      <c:pt idx="408">
                        <c:v>44685</c:v>
                      </c:pt>
                      <c:pt idx="409">
                        <c:v>44686</c:v>
                      </c:pt>
                      <c:pt idx="410">
                        <c:v>44687</c:v>
                      </c:pt>
                      <c:pt idx="411">
                        <c:v>44690</c:v>
                      </c:pt>
                      <c:pt idx="412">
                        <c:v>44691</c:v>
                      </c:pt>
                      <c:pt idx="413">
                        <c:v>44692</c:v>
                      </c:pt>
                      <c:pt idx="414">
                        <c:v>44693</c:v>
                      </c:pt>
                      <c:pt idx="415">
                        <c:v>44694</c:v>
                      </c:pt>
                      <c:pt idx="416">
                        <c:v>44697</c:v>
                      </c:pt>
                      <c:pt idx="417">
                        <c:v>44698</c:v>
                      </c:pt>
                      <c:pt idx="418">
                        <c:v>44699</c:v>
                      </c:pt>
                      <c:pt idx="419">
                        <c:v>44700</c:v>
                      </c:pt>
                      <c:pt idx="420">
                        <c:v>44701</c:v>
                      </c:pt>
                      <c:pt idx="421">
                        <c:v>44704</c:v>
                      </c:pt>
                      <c:pt idx="422">
                        <c:v>44705</c:v>
                      </c:pt>
                      <c:pt idx="423">
                        <c:v>44706</c:v>
                      </c:pt>
                      <c:pt idx="424">
                        <c:v>44707</c:v>
                      </c:pt>
                      <c:pt idx="425">
                        <c:v>44708</c:v>
                      </c:pt>
                      <c:pt idx="426">
                        <c:v>44711</c:v>
                      </c:pt>
                      <c:pt idx="427">
                        <c:v>44712</c:v>
                      </c:pt>
                      <c:pt idx="428">
                        <c:v>44713</c:v>
                      </c:pt>
                      <c:pt idx="429">
                        <c:v>44714</c:v>
                      </c:pt>
                      <c:pt idx="430">
                        <c:v>44715</c:v>
                      </c:pt>
                      <c:pt idx="431">
                        <c:v>44718</c:v>
                      </c:pt>
                      <c:pt idx="432">
                        <c:v>44719</c:v>
                      </c:pt>
                      <c:pt idx="433">
                        <c:v>44720</c:v>
                      </c:pt>
                      <c:pt idx="434">
                        <c:v>44721</c:v>
                      </c:pt>
                      <c:pt idx="435">
                        <c:v>44722</c:v>
                      </c:pt>
                      <c:pt idx="436">
                        <c:v>44725</c:v>
                      </c:pt>
                      <c:pt idx="437">
                        <c:v>44726</c:v>
                      </c:pt>
                      <c:pt idx="438">
                        <c:v>44727</c:v>
                      </c:pt>
                      <c:pt idx="439">
                        <c:v>44728</c:v>
                      </c:pt>
                      <c:pt idx="440">
                        <c:v>44729</c:v>
                      </c:pt>
                      <c:pt idx="441">
                        <c:v>44732</c:v>
                      </c:pt>
                      <c:pt idx="442">
                        <c:v>44733</c:v>
                      </c:pt>
                      <c:pt idx="443">
                        <c:v>44734</c:v>
                      </c:pt>
                      <c:pt idx="444">
                        <c:v>44735</c:v>
                      </c:pt>
                      <c:pt idx="445">
                        <c:v>44736</c:v>
                      </c:pt>
                      <c:pt idx="446">
                        <c:v>44739</c:v>
                      </c:pt>
                      <c:pt idx="447">
                        <c:v>44740</c:v>
                      </c:pt>
                      <c:pt idx="448">
                        <c:v>44741</c:v>
                      </c:pt>
                      <c:pt idx="449">
                        <c:v>44742</c:v>
                      </c:pt>
                      <c:pt idx="450">
                        <c:v>44743</c:v>
                      </c:pt>
                      <c:pt idx="451">
                        <c:v>44746</c:v>
                      </c:pt>
                      <c:pt idx="452">
                        <c:v>44747</c:v>
                      </c:pt>
                      <c:pt idx="453">
                        <c:v>44748</c:v>
                      </c:pt>
                      <c:pt idx="454">
                        <c:v>44749</c:v>
                      </c:pt>
                      <c:pt idx="455">
                        <c:v>44750</c:v>
                      </c:pt>
                      <c:pt idx="456">
                        <c:v>44753</c:v>
                      </c:pt>
                      <c:pt idx="457">
                        <c:v>44754</c:v>
                      </c:pt>
                      <c:pt idx="458">
                        <c:v>44755</c:v>
                      </c:pt>
                      <c:pt idx="459">
                        <c:v>44756</c:v>
                      </c:pt>
                      <c:pt idx="460">
                        <c:v>44757</c:v>
                      </c:pt>
                      <c:pt idx="461">
                        <c:v>44760</c:v>
                      </c:pt>
                      <c:pt idx="462">
                        <c:v>44761</c:v>
                      </c:pt>
                      <c:pt idx="463">
                        <c:v>44762</c:v>
                      </c:pt>
                      <c:pt idx="464">
                        <c:v>44763</c:v>
                      </c:pt>
                      <c:pt idx="465">
                        <c:v>44764</c:v>
                      </c:pt>
                      <c:pt idx="466">
                        <c:v>44767</c:v>
                      </c:pt>
                      <c:pt idx="467">
                        <c:v>44768</c:v>
                      </c:pt>
                      <c:pt idx="468">
                        <c:v>44769</c:v>
                      </c:pt>
                      <c:pt idx="469">
                        <c:v>44770</c:v>
                      </c:pt>
                      <c:pt idx="470">
                        <c:v>44771</c:v>
                      </c:pt>
                      <c:pt idx="471">
                        <c:v>44774</c:v>
                      </c:pt>
                      <c:pt idx="472">
                        <c:v>44775</c:v>
                      </c:pt>
                      <c:pt idx="473">
                        <c:v>44776</c:v>
                      </c:pt>
                      <c:pt idx="474">
                        <c:v>44777</c:v>
                      </c:pt>
                      <c:pt idx="475">
                        <c:v>44778</c:v>
                      </c:pt>
                      <c:pt idx="476">
                        <c:v>44781</c:v>
                      </c:pt>
                      <c:pt idx="477">
                        <c:v>44782</c:v>
                      </c:pt>
                      <c:pt idx="478">
                        <c:v>44783</c:v>
                      </c:pt>
                      <c:pt idx="479">
                        <c:v>44784</c:v>
                      </c:pt>
                      <c:pt idx="480">
                        <c:v>44785</c:v>
                      </c:pt>
                      <c:pt idx="481">
                        <c:v>44788</c:v>
                      </c:pt>
                      <c:pt idx="482">
                        <c:v>44789</c:v>
                      </c:pt>
                      <c:pt idx="483">
                        <c:v>44790</c:v>
                      </c:pt>
                      <c:pt idx="484">
                        <c:v>44791</c:v>
                      </c:pt>
                      <c:pt idx="485">
                        <c:v>44792</c:v>
                      </c:pt>
                      <c:pt idx="486">
                        <c:v>44795</c:v>
                      </c:pt>
                      <c:pt idx="487">
                        <c:v>44796</c:v>
                      </c:pt>
                      <c:pt idx="488">
                        <c:v>44797</c:v>
                      </c:pt>
                      <c:pt idx="489">
                        <c:v>44798</c:v>
                      </c:pt>
                      <c:pt idx="490">
                        <c:v>44799</c:v>
                      </c:pt>
                      <c:pt idx="491">
                        <c:v>44802</c:v>
                      </c:pt>
                      <c:pt idx="492">
                        <c:v>44803</c:v>
                      </c:pt>
                      <c:pt idx="493">
                        <c:v>44804</c:v>
                      </c:pt>
                      <c:pt idx="494">
                        <c:v>44809</c:v>
                      </c:pt>
                      <c:pt idx="495">
                        <c:v>44810</c:v>
                      </c:pt>
                      <c:pt idx="496">
                        <c:v>44811</c:v>
                      </c:pt>
                      <c:pt idx="497">
                        <c:v>44812</c:v>
                      </c:pt>
                      <c:pt idx="498">
                        <c:v>44813</c:v>
                      </c:pt>
                      <c:pt idx="499">
                        <c:v>44816</c:v>
                      </c:pt>
                      <c:pt idx="500">
                        <c:v>44817</c:v>
                      </c:pt>
                      <c:pt idx="501">
                        <c:v>44818</c:v>
                      </c:pt>
                      <c:pt idx="502">
                        <c:v>44819</c:v>
                      </c:pt>
                      <c:pt idx="503">
                        <c:v>44820</c:v>
                      </c:pt>
                      <c:pt idx="504">
                        <c:v>44823</c:v>
                      </c:pt>
                      <c:pt idx="505">
                        <c:v>44824</c:v>
                      </c:pt>
                      <c:pt idx="506">
                        <c:v>44825</c:v>
                      </c:pt>
                      <c:pt idx="507">
                        <c:v>44826</c:v>
                      </c:pt>
                      <c:pt idx="508">
                        <c:v>44827</c:v>
                      </c:pt>
                      <c:pt idx="509">
                        <c:v>44830</c:v>
                      </c:pt>
                      <c:pt idx="510">
                        <c:v>44831</c:v>
                      </c:pt>
                      <c:pt idx="511">
                        <c:v>44832</c:v>
                      </c:pt>
                      <c:pt idx="512">
                        <c:v>44833</c:v>
                      </c:pt>
                      <c:pt idx="513">
                        <c:v>44834</c:v>
                      </c:pt>
                      <c:pt idx="514">
                        <c:v>44837</c:v>
                      </c:pt>
                      <c:pt idx="515">
                        <c:v>44838</c:v>
                      </c:pt>
                      <c:pt idx="516">
                        <c:v>44839</c:v>
                      </c:pt>
                      <c:pt idx="517">
                        <c:v>44840</c:v>
                      </c:pt>
                      <c:pt idx="518">
                        <c:v>44841</c:v>
                      </c:pt>
                      <c:pt idx="519">
                        <c:v>44844</c:v>
                      </c:pt>
                      <c:pt idx="520">
                        <c:v>44845</c:v>
                      </c:pt>
                      <c:pt idx="521">
                        <c:v>44846</c:v>
                      </c:pt>
                      <c:pt idx="522">
                        <c:v>44847</c:v>
                      </c:pt>
                      <c:pt idx="523">
                        <c:v>44848</c:v>
                      </c:pt>
                      <c:pt idx="524">
                        <c:v>44851</c:v>
                      </c:pt>
                      <c:pt idx="525">
                        <c:v>44852</c:v>
                      </c:pt>
                      <c:pt idx="526">
                        <c:v>44853</c:v>
                      </c:pt>
                      <c:pt idx="527">
                        <c:v>44854</c:v>
                      </c:pt>
                      <c:pt idx="528">
                        <c:v>44855</c:v>
                      </c:pt>
                      <c:pt idx="529">
                        <c:v>44858</c:v>
                      </c:pt>
                      <c:pt idx="530">
                        <c:v>44859</c:v>
                      </c:pt>
                      <c:pt idx="531">
                        <c:v>44860</c:v>
                      </c:pt>
                      <c:pt idx="532">
                        <c:v>44861</c:v>
                      </c:pt>
                      <c:pt idx="533">
                        <c:v>44862</c:v>
                      </c:pt>
                      <c:pt idx="534">
                        <c:v>44865</c:v>
                      </c:pt>
                      <c:pt idx="535">
                        <c:v>44866</c:v>
                      </c:pt>
                      <c:pt idx="536">
                        <c:v>44867</c:v>
                      </c:pt>
                      <c:pt idx="537">
                        <c:v>44868</c:v>
                      </c:pt>
                      <c:pt idx="538">
                        <c:v>44869</c:v>
                      </c:pt>
                      <c:pt idx="539">
                        <c:v>44872</c:v>
                      </c:pt>
                      <c:pt idx="540">
                        <c:v>44873</c:v>
                      </c:pt>
                      <c:pt idx="541">
                        <c:v>44874</c:v>
                      </c:pt>
                      <c:pt idx="542">
                        <c:v>44875</c:v>
                      </c:pt>
                      <c:pt idx="543">
                        <c:v>44876</c:v>
                      </c:pt>
                      <c:pt idx="544">
                        <c:v>44879</c:v>
                      </c:pt>
                      <c:pt idx="545">
                        <c:v>44880</c:v>
                      </c:pt>
                      <c:pt idx="546">
                        <c:v>44881</c:v>
                      </c:pt>
                      <c:pt idx="547">
                        <c:v>44882</c:v>
                      </c:pt>
                      <c:pt idx="548">
                        <c:v>44883</c:v>
                      </c:pt>
                      <c:pt idx="549">
                        <c:v>44886</c:v>
                      </c:pt>
                      <c:pt idx="550">
                        <c:v>44887</c:v>
                      </c:pt>
                      <c:pt idx="551">
                        <c:v>44888</c:v>
                      </c:pt>
                      <c:pt idx="552">
                        <c:v>44889</c:v>
                      </c:pt>
                      <c:pt idx="553">
                        <c:v>44890</c:v>
                      </c:pt>
                      <c:pt idx="554">
                        <c:v>44893</c:v>
                      </c:pt>
                      <c:pt idx="555">
                        <c:v>44894</c:v>
                      </c:pt>
                      <c:pt idx="556">
                        <c:v>44895</c:v>
                      </c:pt>
                      <c:pt idx="557">
                        <c:v>44896</c:v>
                      </c:pt>
                      <c:pt idx="558">
                        <c:v>44897</c:v>
                      </c:pt>
                      <c:pt idx="559">
                        <c:v>44900</c:v>
                      </c:pt>
                      <c:pt idx="560">
                        <c:v>44901</c:v>
                      </c:pt>
                      <c:pt idx="561">
                        <c:v>44902</c:v>
                      </c:pt>
                      <c:pt idx="562">
                        <c:v>44903</c:v>
                      </c:pt>
                      <c:pt idx="563">
                        <c:v>44904</c:v>
                      </c:pt>
                      <c:pt idx="564">
                        <c:v>44907</c:v>
                      </c:pt>
                      <c:pt idx="565">
                        <c:v>44908</c:v>
                      </c:pt>
                      <c:pt idx="566">
                        <c:v>44909</c:v>
                      </c:pt>
                      <c:pt idx="567">
                        <c:v>44910</c:v>
                      </c:pt>
                      <c:pt idx="568">
                        <c:v>44911</c:v>
                      </c:pt>
                      <c:pt idx="569">
                        <c:v>44914</c:v>
                      </c:pt>
                      <c:pt idx="570">
                        <c:v>44915</c:v>
                      </c:pt>
                      <c:pt idx="571">
                        <c:v>44916</c:v>
                      </c:pt>
                      <c:pt idx="572">
                        <c:v>44917</c:v>
                      </c:pt>
                      <c:pt idx="573">
                        <c:v>44918</c:v>
                      </c:pt>
                      <c:pt idx="574">
                        <c:v>44921</c:v>
                      </c:pt>
                      <c:pt idx="575">
                        <c:v>44922</c:v>
                      </c:pt>
                      <c:pt idx="576">
                        <c:v>44923</c:v>
                      </c:pt>
                      <c:pt idx="577">
                        <c:v>44924</c:v>
                      </c:pt>
                      <c:pt idx="578">
                        <c:v>44925</c:v>
                      </c:pt>
                      <c:pt idx="579">
                        <c:v>44929</c:v>
                      </c:pt>
                      <c:pt idx="580">
                        <c:v>44930</c:v>
                      </c:pt>
                      <c:pt idx="581">
                        <c:v>44931</c:v>
                      </c:pt>
                      <c:pt idx="582">
                        <c:v>44932</c:v>
                      </c:pt>
                      <c:pt idx="583">
                        <c:v>44935</c:v>
                      </c:pt>
                      <c:pt idx="584">
                        <c:v>44936</c:v>
                      </c:pt>
                      <c:pt idx="585">
                        <c:v>44937</c:v>
                      </c:pt>
                      <c:pt idx="586">
                        <c:v>44938</c:v>
                      </c:pt>
                      <c:pt idx="587">
                        <c:v>44939</c:v>
                      </c:pt>
                      <c:pt idx="588">
                        <c:v>44942</c:v>
                      </c:pt>
                      <c:pt idx="589">
                        <c:v>44943</c:v>
                      </c:pt>
                      <c:pt idx="590">
                        <c:v>44944</c:v>
                      </c:pt>
                      <c:pt idx="591">
                        <c:v>44945</c:v>
                      </c:pt>
                      <c:pt idx="592">
                        <c:v>44953</c:v>
                      </c:pt>
                      <c:pt idx="593">
                        <c:v>44956</c:v>
                      </c:pt>
                      <c:pt idx="594">
                        <c:v>44957</c:v>
                      </c:pt>
                      <c:pt idx="595">
                        <c:v>44958</c:v>
                      </c:pt>
                      <c:pt idx="596">
                        <c:v>44959</c:v>
                      </c:pt>
                      <c:pt idx="597">
                        <c:v>44960</c:v>
                      </c:pt>
                      <c:pt idx="598">
                        <c:v>44963</c:v>
                      </c:pt>
                      <c:pt idx="599">
                        <c:v>44964</c:v>
                      </c:pt>
                      <c:pt idx="600">
                        <c:v>44965</c:v>
                      </c:pt>
                      <c:pt idx="601">
                        <c:v>44966</c:v>
                      </c:pt>
                      <c:pt idx="602">
                        <c:v>44967</c:v>
                      </c:pt>
                      <c:pt idx="603">
                        <c:v>44970</c:v>
                      </c:pt>
                      <c:pt idx="604">
                        <c:v>44971</c:v>
                      </c:pt>
                      <c:pt idx="605">
                        <c:v>44972</c:v>
                      </c:pt>
                      <c:pt idx="606">
                        <c:v>44973</c:v>
                      </c:pt>
                      <c:pt idx="607">
                        <c:v>44974</c:v>
                      </c:pt>
                      <c:pt idx="608">
                        <c:v>44977</c:v>
                      </c:pt>
                      <c:pt idx="609">
                        <c:v>44978</c:v>
                      </c:pt>
                      <c:pt idx="610">
                        <c:v>44979</c:v>
                      </c:pt>
                      <c:pt idx="611">
                        <c:v>44980</c:v>
                      </c:pt>
                      <c:pt idx="612">
                        <c:v>44981</c:v>
                      </c:pt>
                      <c:pt idx="613">
                        <c:v>44984</c:v>
                      </c:pt>
                      <c:pt idx="614">
                        <c:v>44985</c:v>
                      </c:pt>
                      <c:pt idx="615">
                        <c:v>44986</c:v>
                      </c:pt>
                      <c:pt idx="616">
                        <c:v>44987</c:v>
                      </c:pt>
                      <c:pt idx="617">
                        <c:v>44988</c:v>
                      </c:pt>
                      <c:pt idx="618">
                        <c:v>44991</c:v>
                      </c:pt>
                      <c:pt idx="619">
                        <c:v>44992</c:v>
                      </c:pt>
                      <c:pt idx="620">
                        <c:v>44993</c:v>
                      </c:pt>
                      <c:pt idx="621">
                        <c:v>44994</c:v>
                      </c:pt>
                      <c:pt idx="622">
                        <c:v>44995</c:v>
                      </c:pt>
                      <c:pt idx="623">
                        <c:v>44998</c:v>
                      </c:pt>
                      <c:pt idx="624">
                        <c:v>44999</c:v>
                      </c:pt>
                      <c:pt idx="625">
                        <c:v>45000</c:v>
                      </c:pt>
                      <c:pt idx="626">
                        <c:v>45001</c:v>
                      </c:pt>
                      <c:pt idx="627">
                        <c:v>45002</c:v>
                      </c:pt>
                      <c:pt idx="628">
                        <c:v>45005</c:v>
                      </c:pt>
                      <c:pt idx="629">
                        <c:v>45006</c:v>
                      </c:pt>
                      <c:pt idx="630">
                        <c:v>45007</c:v>
                      </c:pt>
                      <c:pt idx="631">
                        <c:v>45008</c:v>
                      </c:pt>
                      <c:pt idx="632">
                        <c:v>45009</c:v>
                      </c:pt>
                      <c:pt idx="633">
                        <c:v>45012</c:v>
                      </c:pt>
                      <c:pt idx="634">
                        <c:v>45013</c:v>
                      </c:pt>
                      <c:pt idx="635">
                        <c:v>45014</c:v>
                      </c:pt>
                      <c:pt idx="636">
                        <c:v>45015</c:v>
                      </c:pt>
                      <c:pt idx="637">
                        <c:v>45016</c:v>
                      </c:pt>
                      <c:pt idx="638">
                        <c:v>45019</c:v>
                      </c:pt>
                      <c:pt idx="639">
                        <c:v>45020</c:v>
                      </c:pt>
                      <c:pt idx="640">
                        <c:v>45021</c:v>
                      </c:pt>
                      <c:pt idx="641">
                        <c:v>45022</c:v>
                      </c:pt>
                      <c:pt idx="642">
                        <c:v>45023</c:v>
                      </c:pt>
                      <c:pt idx="643">
                        <c:v>45026</c:v>
                      </c:pt>
                      <c:pt idx="644">
                        <c:v>45027</c:v>
                      </c:pt>
                      <c:pt idx="645">
                        <c:v>45028</c:v>
                      </c:pt>
                      <c:pt idx="646">
                        <c:v>45029</c:v>
                      </c:pt>
                      <c:pt idx="647">
                        <c:v>45030</c:v>
                      </c:pt>
                      <c:pt idx="648">
                        <c:v>45033</c:v>
                      </c:pt>
                      <c:pt idx="649">
                        <c:v>45034</c:v>
                      </c:pt>
                      <c:pt idx="650">
                        <c:v>45035</c:v>
                      </c:pt>
                      <c:pt idx="651">
                        <c:v>45036</c:v>
                      </c:pt>
                      <c:pt idx="652">
                        <c:v>45037</c:v>
                      </c:pt>
                      <c:pt idx="653">
                        <c:v>45040</c:v>
                      </c:pt>
                      <c:pt idx="654">
                        <c:v>45041</c:v>
                      </c:pt>
                      <c:pt idx="655">
                        <c:v>45042</c:v>
                      </c:pt>
                      <c:pt idx="656">
                        <c:v>45043</c:v>
                      </c:pt>
                      <c:pt idx="657">
                        <c:v>45044</c:v>
                      </c:pt>
                      <c:pt idx="658">
                        <c:v>45050</c:v>
                      </c:pt>
                      <c:pt idx="659">
                        <c:v>45051</c:v>
                      </c:pt>
                      <c:pt idx="660">
                        <c:v>45054</c:v>
                      </c:pt>
                      <c:pt idx="661">
                        <c:v>45055</c:v>
                      </c:pt>
                      <c:pt idx="662">
                        <c:v>45056</c:v>
                      </c:pt>
                      <c:pt idx="663">
                        <c:v>45057</c:v>
                      </c:pt>
                      <c:pt idx="664">
                        <c:v>45058</c:v>
                      </c:pt>
                      <c:pt idx="665">
                        <c:v>45061</c:v>
                      </c:pt>
                      <c:pt idx="666">
                        <c:v>45062</c:v>
                      </c:pt>
                      <c:pt idx="667">
                        <c:v>45063</c:v>
                      </c:pt>
                      <c:pt idx="668">
                        <c:v>45064</c:v>
                      </c:pt>
                      <c:pt idx="669">
                        <c:v>45065</c:v>
                      </c:pt>
                      <c:pt idx="670">
                        <c:v>45068</c:v>
                      </c:pt>
                      <c:pt idx="671">
                        <c:v>45069</c:v>
                      </c:pt>
                      <c:pt idx="672">
                        <c:v>45070</c:v>
                      </c:pt>
                      <c:pt idx="673">
                        <c:v>45071</c:v>
                      </c:pt>
                      <c:pt idx="674">
                        <c:v>45072</c:v>
                      </c:pt>
                      <c:pt idx="675">
                        <c:v>45075</c:v>
                      </c:pt>
                      <c:pt idx="676">
                        <c:v>45076</c:v>
                      </c:pt>
                      <c:pt idx="677">
                        <c:v>45077</c:v>
                      </c:pt>
                      <c:pt idx="678">
                        <c:v>45078</c:v>
                      </c:pt>
                      <c:pt idx="679">
                        <c:v>45079</c:v>
                      </c:pt>
                      <c:pt idx="680">
                        <c:v>45082</c:v>
                      </c:pt>
                      <c:pt idx="681">
                        <c:v>45083</c:v>
                      </c:pt>
                      <c:pt idx="682">
                        <c:v>45084</c:v>
                      </c:pt>
                      <c:pt idx="683">
                        <c:v>45085</c:v>
                      </c:pt>
                      <c:pt idx="684">
                        <c:v>45086</c:v>
                      </c:pt>
                      <c:pt idx="685">
                        <c:v>45089</c:v>
                      </c:pt>
                      <c:pt idx="686">
                        <c:v>45090</c:v>
                      </c:pt>
                      <c:pt idx="687">
                        <c:v>45091</c:v>
                      </c:pt>
                      <c:pt idx="688">
                        <c:v>45092</c:v>
                      </c:pt>
                      <c:pt idx="689">
                        <c:v>45093</c:v>
                      </c:pt>
                      <c:pt idx="690">
                        <c:v>45096</c:v>
                      </c:pt>
                      <c:pt idx="691">
                        <c:v>45097</c:v>
                      </c:pt>
                      <c:pt idx="692">
                        <c:v>45098</c:v>
                      </c:pt>
                      <c:pt idx="693">
                        <c:v>45099</c:v>
                      </c:pt>
                      <c:pt idx="694">
                        <c:v>45100</c:v>
                      </c:pt>
                      <c:pt idx="695">
                        <c:v>45103</c:v>
                      </c:pt>
                      <c:pt idx="696">
                        <c:v>45104</c:v>
                      </c:pt>
                      <c:pt idx="697">
                        <c:v>45105</c:v>
                      </c:pt>
                      <c:pt idx="698">
                        <c:v>45106</c:v>
                      </c:pt>
                      <c:pt idx="699">
                        <c:v>45107</c:v>
                      </c:pt>
                      <c:pt idx="700">
                        <c:v>45110</c:v>
                      </c:pt>
                      <c:pt idx="701">
                        <c:v>45111</c:v>
                      </c:pt>
                      <c:pt idx="702">
                        <c:v>45112</c:v>
                      </c:pt>
                      <c:pt idx="703">
                        <c:v>45113</c:v>
                      </c:pt>
                      <c:pt idx="704">
                        <c:v>45114</c:v>
                      </c:pt>
                      <c:pt idx="705">
                        <c:v>45117</c:v>
                      </c:pt>
                      <c:pt idx="706">
                        <c:v>45118</c:v>
                      </c:pt>
                      <c:pt idx="707">
                        <c:v>45119</c:v>
                      </c:pt>
                      <c:pt idx="708">
                        <c:v>45120</c:v>
                      </c:pt>
                      <c:pt idx="709">
                        <c:v>45121</c:v>
                      </c:pt>
                      <c:pt idx="710">
                        <c:v>45124</c:v>
                      </c:pt>
                      <c:pt idx="711">
                        <c:v>45125</c:v>
                      </c:pt>
                      <c:pt idx="712">
                        <c:v>45126</c:v>
                      </c:pt>
                      <c:pt idx="713">
                        <c:v>45127</c:v>
                      </c:pt>
                      <c:pt idx="714">
                        <c:v>45128</c:v>
                      </c:pt>
                      <c:pt idx="715">
                        <c:v>45131</c:v>
                      </c:pt>
                      <c:pt idx="716">
                        <c:v>45132</c:v>
                      </c:pt>
                      <c:pt idx="717">
                        <c:v>45133</c:v>
                      </c:pt>
                      <c:pt idx="718">
                        <c:v>45134</c:v>
                      </c:pt>
                      <c:pt idx="719">
                        <c:v>45135</c:v>
                      </c:pt>
                      <c:pt idx="720">
                        <c:v>45138</c:v>
                      </c:pt>
                      <c:pt idx="721">
                        <c:v>45139</c:v>
                      </c:pt>
                      <c:pt idx="722">
                        <c:v>45140</c:v>
                      </c:pt>
                      <c:pt idx="723">
                        <c:v>45141</c:v>
                      </c:pt>
                      <c:pt idx="724">
                        <c:v>45142</c:v>
                      </c:pt>
                      <c:pt idx="725">
                        <c:v>45145</c:v>
                      </c:pt>
                      <c:pt idx="726">
                        <c:v>45146</c:v>
                      </c:pt>
                      <c:pt idx="727">
                        <c:v>45147</c:v>
                      </c:pt>
                      <c:pt idx="728">
                        <c:v>45148</c:v>
                      </c:pt>
                      <c:pt idx="729">
                        <c:v>45149</c:v>
                      </c:pt>
                      <c:pt idx="730">
                        <c:v>45152</c:v>
                      </c:pt>
                      <c:pt idx="731">
                        <c:v>45153</c:v>
                      </c:pt>
                      <c:pt idx="732">
                        <c:v>45154</c:v>
                      </c:pt>
                      <c:pt idx="733">
                        <c:v>45155</c:v>
                      </c:pt>
                      <c:pt idx="734">
                        <c:v>45156</c:v>
                      </c:pt>
                      <c:pt idx="735">
                        <c:v>45159</c:v>
                      </c:pt>
                      <c:pt idx="736">
                        <c:v>45160</c:v>
                      </c:pt>
                      <c:pt idx="737">
                        <c:v>45161</c:v>
                      </c:pt>
                      <c:pt idx="738">
                        <c:v>45162</c:v>
                      </c:pt>
                      <c:pt idx="739">
                        <c:v>45163</c:v>
                      </c:pt>
                      <c:pt idx="740">
                        <c:v>45166</c:v>
                      </c:pt>
                      <c:pt idx="741">
                        <c:v>45167</c:v>
                      </c:pt>
                      <c:pt idx="742">
                        <c:v>45168</c:v>
                      </c:pt>
                      <c:pt idx="743">
                        <c:v>45169</c:v>
                      </c:pt>
                      <c:pt idx="744">
                        <c:v>45174</c:v>
                      </c:pt>
                      <c:pt idx="745">
                        <c:v>45175</c:v>
                      </c:pt>
                      <c:pt idx="746">
                        <c:v>45176</c:v>
                      </c:pt>
                      <c:pt idx="747">
                        <c:v>45177</c:v>
                      </c:pt>
                      <c:pt idx="748">
                        <c:v>45180</c:v>
                      </c:pt>
                      <c:pt idx="749">
                        <c:v>45181</c:v>
                      </c:pt>
                      <c:pt idx="750">
                        <c:v>45182</c:v>
                      </c:pt>
                      <c:pt idx="751">
                        <c:v>45183</c:v>
                      </c:pt>
                      <c:pt idx="752">
                        <c:v>45184</c:v>
                      </c:pt>
                      <c:pt idx="753">
                        <c:v>45187</c:v>
                      </c:pt>
                      <c:pt idx="754">
                        <c:v>45188</c:v>
                      </c:pt>
                      <c:pt idx="755">
                        <c:v>45189</c:v>
                      </c:pt>
                      <c:pt idx="756">
                        <c:v>45190</c:v>
                      </c:pt>
                      <c:pt idx="757">
                        <c:v>45191</c:v>
                      </c:pt>
                      <c:pt idx="758">
                        <c:v>45194</c:v>
                      </c:pt>
                      <c:pt idx="759">
                        <c:v>45195</c:v>
                      </c:pt>
                      <c:pt idx="760">
                        <c:v>45196</c:v>
                      </c:pt>
                      <c:pt idx="761">
                        <c:v>45197</c:v>
                      </c:pt>
                      <c:pt idx="762">
                        <c:v>45198</c:v>
                      </c:pt>
                      <c:pt idx="763">
                        <c:v>45201</c:v>
                      </c:pt>
                      <c:pt idx="764">
                        <c:v>45202</c:v>
                      </c:pt>
                      <c:pt idx="765">
                        <c:v>45203</c:v>
                      </c:pt>
                      <c:pt idx="766">
                        <c:v>45204</c:v>
                      </c:pt>
                      <c:pt idx="767">
                        <c:v>45205</c:v>
                      </c:pt>
                      <c:pt idx="768">
                        <c:v>45208</c:v>
                      </c:pt>
                      <c:pt idx="769">
                        <c:v>45209</c:v>
                      </c:pt>
                      <c:pt idx="770">
                        <c:v>45210</c:v>
                      </c:pt>
                      <c:pt idx="771">
                        <c:v>45211</c:v>
                      </c:pt>
                      <c:pt idx="772">
                        <c:v>45212</c:v>
                      </c:pt>
                      <c:pt idx="773">
                        <c:v>45215</c:v>
                      </c:pt>
                      <c:pt idx="774">
                        <c:v>45216</c:v>
                      </c:pt>
                      <c:pt idx="775">
                        <c:v>45217</c:v>
                      </c:pt>
                      <c:pt idx="776">
                        <c:v>45218</c:v>
                      </c:pt>
                      <c:pt idx="777">
                        <c:v>45219</c:v>
                      </c:pt>
                      <c:pt idx="778">
                        <c:v>45222</c:v>
                      </c:pt>
                      <c:pt idx="779">
                        <c:v>45223</c:v>
                      </c:pt>
                      <c:pt idx="780">
                        <c:v>45224</c:v>
                      </c:pt>
                      <c:pt idx="781">
                        <c:v>45225</c:v>
                      </c:pt>
                      <c:pt idx="782">
                        <c:v>45226</c:v>
                      </c:pt>
                      <c:pt idx="783">
                        <c:v>45229</c:v>
                      </c:pt>
                      <c:pt idx="784">
                        <c:v>45230</c:v>
                      </c:pt>
                      <c:pt idx="785">
                        <c:v>45231</c:v>
                      </c:pt>
                      <c:pt idx="786">
                        <c:v>45232</c:v>
                      </c:pt>
                      <c:pt idx="787">
                        <c:v>45233</c:v>
                      </c:pt>
                      <c:pt idx="788">
                        <c:v>45236</c:v>
                      </c:pt>
                      <c:pt idx="789">
                        <c:v>45237</c:v>
                      </c:pt>
                      <c:pt idx="790">
                        <c:v>45238</c:v>
                      </c:pt>
                      <c:pt idx="791">
                        <c:v>45239</c:v>
                      </c:pt>
                      <c:pt idx="792">
                        <c:v>45240</c:v>
                      </c:pt>
                      <c:pt idx="793">
                        <c:v>45243</c:v>
                      </c:pt>
                      <c:pt idx="794">
                        <c:v>45244</c:v>
                      </c:pt>
                      <c:pt idx="795">
                        <c:v>45245</c:v>
                      </c:pt>
                      <c:pt idx="796">
                        <c:v>45246</c:v>
                      </c:pt>
                      <c:pt idx="797">
                        <c:v>45247</c:v>
                      </c:pt>
                      <c:pt idx="798">
                        <c:v>45250</c:v>
                      </c:pt>
                      <c:pt idx="799">
                        <c:v>45251</c:v>
                      </c:pt>
                      <c:pt idx="800">
                        <c:v>45252</c:v>
                      </c:pt>
                      <c:pt idx="801">
                        <c:v>45253</c:v>
                      </c:pt>
                      <c:pt idx="802">
                        <c:v>45254</c:v>
                      </c:pt>
                      <c:pt idx="803">
                        <c:v>45257</c:v>
                      </c:pt>
                      <c:pt idx="804">
                        <c:v>45258</c:v>
                      </c:pt>
                      <c:pt idx="805">
                        <c:v>45259</c:v>
                      </c:pt>
                      <c:pt idx="806">
                        <c:v>45260</c:v>
                      </c:pt>
                      <c:pt idx="807">
                        <c:v>45261</c:v>
                      </c:pt>
                      <c:pt idx="808">
                        <c:v>45264</c:v>
                      </c:pt>
                      <c:pt idx="809">
                        <c:v>45265</c:v>
                      </c:pt>
                      <c:pt idx="810">
                        <c:v>45266</c:v>
                      </c:pt>
                      <c:pt idx="811">
                        <c:v>45267</c:v>
                      </c:pt>
                      <c:pt idx="812">
                        <c:v>45268</c:v>
                      </c:pt>
                      <c:pt idx="813">
                        <c:v>45271</c:v>
                      </c:pt>
                      <c:pt idx="814">
                        <c:v>45272</c:v>
                      </c:pt>
                      <c:pt idx="815">
                        <c:v>45273</c:v>
                      </c:pt>
                      <c:pt idx="816">
                        <c:v>45274</c:v>
                      </c:pt>
                      <c:pt idx="817">
                        <c:v>45275</c:v>
                      </c:pt>
                      <c:pt idx="818">
                        <c:v>45278</c:v>
                      </c:pt>
                      <c:pt idx="819">
                        <c:v>45279</c:v>
                      </c:pt>
                      <c:pt idx="820">
                        <c:v>45280</c:v>
                      </c:pt>
                      <c:pt idx="821">
                        <c:v>45281</c:v>
                      </c:pt>
                      <c:pt idx="822">
                        <c:v>45282</c:v>
                      </c:pt>
                      <c:pt idx="823">
                        <c:v>45285</c:v>
                      </c:pt>
                      <c:pt idx="824">
                        <c:v>45286</c:v>
                      </c:pt>
                      <c:pt idx="825">
                        <c:v>45287</c:v>
                      </c:pt>
                      <c:pt idx="826">
                        <c:v>45288</c:v>
                      </c:pt>
                      <c:pt idx="827">
                        <c:v>45289</c:v>
                      </c:pt>
                      <c:pt idx="828">
                        <c:v>45293</c:v>
                      </c:pt>
                      <c:pt idx="829">
                        <c:v>45294</c:v>
                      </c:pt>
                      <c:pt idx="830">
                        <c:v>45295</c:v>
                      </c:pt>
                      <c:pt idx="831">
                        <c:v>45296</c:v>
                      </c:pt>
                      <c:pt idx="832">
                        <c:v>45299</c:v>
                      </c:pt>
                      <c:pt idx="833">
                        <c:v>45300</c:v>
                      </c:pt>
                      <c:pt idx="834">
                        <c:v>45301</c:v>
                      </c:pt>
                      <c:pt idx="835">
                        <c:v>45302</c:v>
                      </c:pt>
                      <c:pt idx="836">
                        <c:v>45303</c:v>
                      </c:pt>
                      <c:pt idx="837">
                        <c:v>45306</c:v>
                      </c:pt>
                      <c:pt idx="838">
                        <c:v>45307</c:v>
                      </c:pt>
                      <c:pt idx="839">
                        <c:v>45308</c:v>
                      </c:pt>
                      <c:pt idx="840">
                        <c:v>45309</c:v>
                      </c:pt>
                      <c:pt idx="841">
                        <c:v>45310</c:v>
                      </c:pt>
                      <c:pt idx="842">
                        <c:v>45313</c:v>
                      </c:pt>
                      <c:pt idx="843">
                        <c:v>45314</c:v>
                      </c:pt>
                      <c:pt idx="844">
                        <c:v>45315</c:v>
                      </c:pt>
                      <c:pt idx="845">
                        <c:v>45316</c:v>
                      </c:pt>
                      <c:pt idx="846">
                        <c:v>45317</c:v>
                      </c:pt>
                      <c:pt idx="847">
                        <c:v>45320</c:v>
                      </c:pt>
                      <c:pt idx="848">
                        <c:v>45321</c:v>
                      </c:pt>
                      <c:pt idx="849">
                        <c:v>45322</c:v>
                      </c:pt>
                      <c:pt idx="850">
                        <c:v>45323</c:v>
                      </c:pt>
                      <c:pt idx="851">
                        <c:v>45324</c:v>
                      </c:pt>
                      <c:pt idx="852">
                        <c:v>45327</c:v>
                      </c:pt>
                      <c:pt idx="853">
                        <c:v>45328</c:v>
                      </c:pt>
                      <c:pt idx="854">
                        <c:v>45329</c:v>
                      </c:pt>
                      <c:pt idx="855">
                        <c:v>45337</c:v>
                      </c:pt>
                      <c:pt idx="856">
                        <c:v>45338</c:v>
                      </c:pt>
                      <c:pt idx="857">
                        <c:v>45341</c:v>
                      </c:pt>
                      <c:pt idx="858">
                        <c:v>45342</c:v>
                      </c:pt>
                      <c:pt idx="859">
                        <c:v>45343</c:v>
                      </c:pt>
                      <c:pt idx="860">
                        <c:v>45344</c:v>
                      </c:pt>
                      <c:pt idx="861">
                        <c:v>45345</c:v>
                      </c:pt>
                      <c:pt idx="862">
                        <c:v>45348</c:v>
                      </c:pt>
                      <c:pt idx="863">
                        <c:v>45349</c:v>
                      </c:pt>
                      <c:pt idx="864">
                        <c:v>45350</c:v>
                      </c:pt>
                      <c:pt idx="865">
                        <c:v>45351</c:v>
                      </c:pt>
                      <c:pt idx="866">
                        <c:v>45352</c:v>
                      </c:pt>
                      <c:pt idx="867">
                        <c:v>45355</c:v>
                      </c:pt>
                      <c:pt idx="868">
                        <c:v>45356</c:v>
                      </c:pt>
                      <c:pt idx="869">
                        <c:v>45357</c:v>
                      </c:pt>
                      <c:pt idx="870">
                        <c:v>45358</c:v>
                      </c:pt>
                      <c:pt idx="871">
                        <c:v>45359</c:v>
                      </c:pt>
                      <c:pt idx="872">
                        <c:v>45362</c:v>
                      </c:pt>
                      <c:pt idx="873">
                        <c:v>45363</c:v>
                      </c:pt>
                      <c:pt idx="874">
                        <c:v>45364</c:v>
                      </c:pt>
                      <c:pt idx="875">
                        <c:v>45365</c:v>
                      </c:pt>
                      <c:pt idx="876">
                        <c:v>45366</c:v>
                      </c:pt>
                      <c:pt idx="877">
                        <c:v>45369</c:v>
                      </c:pt>
                      <c:pt idx="878">
                        <c:v>45370</c:v>
                      </c:pt>
                      <c:pt idx="879">
                        <c:v>45371</c:v>
                      </c:pt>
                      <c:pt idx="880">
                        <c:v>45372</c:v>
                      </c:pt>
                      <c:pt idx="881">
                        <c:v>45373</c:v>
                      </c:pt>
                      <c:pt idx="882">
                        <c:v>45376</c:v>
                      </c:pt>
                      <c:pt idx="883">
                        <c:v>45377</c:v>
                      </c:pt>
                      <c:pt idx="884">
                        <c:v>45378</c:v>
                      </c:pt>
                      <c:pt idx="885">
                        <c:v>45379</c:v>
                      </c:pt>
                      <c:pt idx="886">
                        <c:v>45380</c:v>
                      </c:pt>
                      <c:pt idx="887">
                        <c:v>45383</c:v>
                      </c:pt>
                      <c:pt idx="888">
                        <c:v>45384</c:v>
                      </c:pt>
                      <c:pt idx="889">
                        <c:v>45385</c:v>
                      </c:pt>
                      <c:pt idx="890">
                        <c:v>45386</c:v>
                      </c:pt>
                      <c:pt idx="891">
                        <c:v>45387</c:v>
                      </c:pt>
                      <c:pt idx="892">
                        <c:v>45390</c:v>
                      </c:pt>
                      <c:pt idx="893">
                        <c:v>45391</c:v>
                      </c:pt>
                      <c:pt idx="894">
                        <c:v>45392</c:v>
                      </c:pt>
                      <c:pt idx="895">
                        <c:v>45393</c:v>
                      </c:pt>
                      <c:pt idx="896">
                        <c:v>45394</c:v>
                      </c:pt>
                      <c:pt idx="897">
                        <c:v>45397</c:v>
                      </c:pt>
                      <c:pt idx="898">
                        <c:v>45398</c:v>
                      </c:pt>
                      <c:pt idx="899">
                        <c:v>45399</c:v>
                      </c:pt>
                      <c:pt idx="900">
                        <c:v>45401</c:v>
                      </c:pt>
                      <c:pt idx="901">
                        <c:v>45404</c:v>
                      </c:pt>
                      <c:pt idx="902">
                        <c:v>45405</c:v>
                      </c:pt>
                      <c:pt idx="903">
                        <c:v>45406</c:v>
                      </c:pt>
                      <c:pt idx="904">
                        <c:v>45407</c:v>
                      </c:pt>
                      <c:pt idx="905">
                        <c:v>45408</c:v>
                      </c:pt>
                      <c:pt idx="906">
                        <c:v>45414</c:v>
                      </c:pt>
                      <c:pt idx="907">
                        <c:v>45415</c:v>
                      </c:pt>
                      <c:pt idx="908">
                        <c:v>45418</c:v>
                      </c:pt>
                      <c:pt idx="909">
                        <c:v>45419</c:v>
                      </c:pt>
                      <c:pt idx="910">
                        <c:v>45420</c:v>
                      </c:pt>
                      <c:pt idx="911">
                        <c:v>45421</c:v>
                      </c:pt>
                      <c:pt idx="912">
                        <c:v>45422</c:v>
                      </c:pt>
                      <c:pt idx="913">
                        <c:v>45425</c:v>
                      </c:pt>
                      <c:pt idx="914">
                        <c:v>45426</c:v>
                      </c:pt>
                      <c:pt idx="915">
                        <c:v>45427</c:v>
                      </c:pt>
                      <c:pt idx="916">
                        <c:v>45428</c:v>
                      </c:pt>
                      <c:pt idx="917">
                        <c:v>45429</c:v>
                      </c:pt>
                      <c:pt idx="918">
                        <c:v>45432</c:v>
                      </c:pt>
                      <c:pt idx="919">
                        <c:v>45433</c:v>
                      </c:pt>
                      <c:pt idx="920">
                        <c:v>45434</c:v>
                      </c:pt>
                      <c:pt idx="921">
                        <c:v>45435</c:v>
                      </c:pt>
                      <c:pt idx="922">
                        <c:v>45436</c:v>
                      </c:pt>
                      <c:pt idx="923">
                        <c:v>45439</c:v>
                      </c:pt>
                      <c:pt idx="924">
                        <c:v>45440</c:v>
                      </c:pt>
                      <c:pt idx="925">
                        <c:v>45441</c:v>
                      </c:pt>
                      <c:pt idx="926">
                        <c:v>45442</c:v>
                      </c:pt>
                      <c:pt idx="927">
                        <c:v>45443</c:v>
                      </c:pt>
                      <c:pt idx="928">
                        <c:v>45446</c:v>
                      </c:pt>
                      <c:pt idx="929">
                        <c:v>45447</c:v>
                      </c:pt>
                      <c:pt idx="930">
                        <c:v>45448</c:v>
                      </c:pt>
                      <c:pt idx="931">
                        <c:v>45449</c:v>
                      </c:pt>
                      <c:pt idx="932">
                        <c:v>45450</c:v>
                      </c:pt>
                      <c:pt idx="933">
                        <c:v>45453</c:v>
                      </c:pt>
                      <c:pt idx="934">
                        <c:v>45454</c:v>
                      </c:pt>
                      <c:pt idx="935">
                        <c:v>45455</c:v>
                      </c:pt>
                      <c:pt idx="936">
                        <c:v>45456</c:v>
                      </c:pt>
                      <c:pt idx="937">
                        <c:v>45457</c:v>
                      </c:pt>
                      <c:pt idx="938">
                        <c:v>45460</c:v>
                      </c:pt>
                      <c:pt idx="939">
                        <c:v>45461</c:v>
                      </c:pt>
                      <c:pt idx="940">
                        <c:v>45462</c:v>
                      </c:pt>
                      <c:pt idx="941">
                        <c:v>45463</c:v>
                      </c:pt>
                      <c:pt idx="942">
                        <c:v>45464</c:v>
                      </c:pt>
                      <c:pt idx="943">
                        <c:v>45467</c:v>
                      </c:pt>
                      <c:pt idx="944">
                        <c:v>45468</c:v>
                      </c:pt>
                      <c:pt idx="945">
                        <c:v>45469</c:v>
                      </c:pt>
                      <c:pt idx="946">
                        <c:v>45470</c:v>
                      </c:pt>
                      <c:pt idx="947">
                        <c:v>45471</c:v>
                      </c:pt>
                      <c:pt idx="948">
                        <c:v>45474</c:v>
                      </c:pt>
                      <c:pt idx="949">
                        <c:v>45475</c:v>
                      </c:pt>
                      <c:pt idx="950">
                        <c:v>45476</c:v>
                      </c:pt>
                      <c:pt idx="951">
                        <c:v>45477</c:v>
                      </c:pt>
                      <c:pt idx="952">
                        <c:v>45478</c:v>
                      </c:pt>
                      <c:pt idx="953">
                        <c:v>45481</c:v>
                      </c:pt>
                      <c:pt idx="954">
                        <c:v>45482</c:v>
                      </c:pt>
                      <c:pt idx="955">
                        <c:v>45483</c:v>
                      </c:pt>
                      <c:pt idx="956">
                        <c:v>45484</c:v>
                      </c:pt>
                      <c:pt idx="957">
                        <c:v>45485</c:v>
                      </c:pt>
                      <c:pt idx="958">
                        <c:v>45488</c:v>
                      </c:pt>
                      <c:pt idx="959">
                        <c:v>45489</c:v>
                      </c:pt>
                      <c:pt idx="960">
                        <c:v>45490</c:v>
                      </c:pt>
                      <c:pt idx="961">
                        <c:v>45491</c:v>
                      </c:pt>
                      <c:pt idx="962">
                        <c:v>45492</c:v>
                      </c:pt>
                      <c:pt idx="963">
                        <c:v>45495</c:v>
                      </c:pt>
                      <c:pt idx="964">
                        <c:v>45496</c:v>
                      </c:pt>
                      <c:pt idx="965">
                        <c:v>45497</c:v>
                      </c:pt>
                      <c:pt idx="966">
                        <c:v>45498</c:v>
                      </c:pt>
                      <c:pt idx="967">
                        <c:v>45499</c:v>
                      </c:pt>
                      <c:pt idx="968">
                        <c:v>45502</c:v>
                      </c:pt>
                      <c:pt idx="969">
                        <c:v>45503</c:v>
                      </c:pt>
                      <c:pt idx="970">
                        <c:v>45504</c:v>
                      </c:pt>
                      <c:pt idx="971">
                        <c:v>45505</c:v>
                      </c:pt>
                      <c:pt idx="972">
                        <c:v>45506</c:v>
                      </c:pt>
                      <c:pt idx="973">
                        <c:v>45509</c:v>
                      </c:pt>
                      <c:pt idx="974">
                        <c:v>45510</c:v>
                      </c:pt>
                      <c:pt idx="975">
                        <c:v>45511</c:v>
                      </c:pt>
                      <c:pt idx="976">
                        <c:v>45512</c:v>
                      </c:pt>
                      <c:pt idx="977">
                        <c:v>45513</c:v>
                      </c:pt>
                      <c:pt idx="978">
                        <c:v>45516</c:v>
                      </c:pt>
                      <c:pt idx="979">
                        <c:v>45517</c:v>
                      </c:pt>
                      <c:pt idx="980">
                        <c:v>45518</c:v>
                      </c:pt>
                      <c:pt idx="981">
                        <c:v>45519</c:v>
                      </c:pt>
                      <c:pt idx="982">
                        <c:v>45520</c:v>
                      </c:pt>
                      <c:pt idx="983">
                        <c:v>45523</c:v>
                      </c:pt>
                      <c:pt idx="984">
                        <c:v>45524</c:v>
                      </c:pt>
                      <c:pt idx="985">
                        <c:v>45525</c:v>
                      </c:pt>
                      <c:pt idx="986">
                        <c:v>45526</c:v>
                      </c:pt>
                      <c:pt idx="987">
                        <c:v>45527</c:v>
                      </c:pt>
                      <c:pt idx="988">
                        <c:v>45530</c:v>
                      </c:pt>
                      <c:pt idx="989">
                        <c:v>45531</c:v>
                      </c:pt>
                      <c:pt idx="990">
                        <c:v>45532</c:v>
                      </c:pt>
                      <c:pt idx="991">
                        <c:v>45533</c:v>
                      </c:pt>
                      <c:pt idx="992">
                        <c:v>45534</c:v>
                      </c:pt>
                      <c:pt idx="993">
                        <c:v>45539</c:v>
                      </c:pt>
                      <c:pt idx="994">
                        <c:v>45540</c:v>
                      </c:pt>
                      <c:pt idx="995">
                        <c:v>45541</c:v>
                      </c:pt>
                      <c:pt idx="996">
                        <c:v>45544</c:v>
                      </c:pt>
                      <c:pt idx="997">
                        <c:v>45545</c:v>
                      </c:pt>
                      <c:pt idx="998">
                        <c:v>45546</c:v>
                      </c:pt>
                      <c:pt idx="999">
                        <c:v>45547</c:v>
                      </c:pt>
                      <c:pt idx="1000">
                        <c:v>45548</c:v>
                      </c:pt>
                      <c:pt idx="1001">
                        <c:v>45551</c:v>
                      </c:pt>
                      <c:pt idx="1002">
                        <c:v>45552</c:v>
                      </c:pt>
                      <c:pt idx="1003">
                        <c:v>45553</c:v>
                      </c:pt>
                      <c:pt idx="1004">
                        <c:v>45554</c:v>
                      </c:pt>
                      <c:pt idx="1005">
                        <c:v>45555</c:v>
                      </c:pt>
                      <c:pt idx="1006">
                        <c:v>45558</c:v>
                      </c:pt>
                      <c:pt idx="1007">
                        <c:v>45559</c:v>
                      </c:pt>
                      <c:pt idx="1008">
                        <c:v>45560</c:v>
                      </c:pt>
                      <c:pt idx="1009">
                        <c:v>45561</c:v>
                      </c:pt>
                      <c:pt idx="1010">
                        <c:v>45562</c:v>
                      </c:pt>
                      <c:pt idx="1011">
                        <c:v>45565</c:v>
                      </c:pt>
                      <c:pt idx="1012">
                        <c:v>45566</c:v>
                      </c:pt>
                      <c:pt idx="1013">
                        <c:v>45567</c:v>
                      </c:pt>
                      <c:pt idx="1014">
                        <c:v>45568</c:v>
                      </c:pt>
                      <c:pt idx="1015">
                        <c:v>45569</c:v>
                      </c:pt>
                      <c:pt idx="1016">
                        <c:v>45572</c:v>
                      </c:pt>
                      <c:pt idx="1017">
                        <c:v>45573</c:v>
                      </c:pt>
                      <c:pt idx="1018">
                        <c:v>45574</c:v>
                      </c:pt>
                      <c:pt idx="1019">
                        <c:v>45575</c:v>
                      </c:pt>
                      <c:pt idx="1020">
                        <c:v>45576</c:v>
                      </c:pt>
                      <c:pt idx="1021">
                        <c:v>45579</c:v>
                      </c:pt>
                      <c:pt idx="1022">
                        <c:v>45580</c:v>
                      </c:pt>
                      <c:pt idx="1023">
                        <c:v>45581</c:v>
                      </c:pt>
                      <c:pt idx="1024">
                        <c:v>45582</c:v>
                      </c:pt>
                      <c:pt idx="1025">
                        <c:v>45583</c:v>
                      </c:pt>
                      <c:pt idx="1026">
                        <c:v>45586</c:v>
                      </c:pt>
                      <c:pt idx="1027">
                        <c:v>45587</c:v>
                      </c:pt>
                      <c:pt idx="1028">
                        <c:v>45588</c:v>
                      </c:pt>
                      <c:pt idx="1029">
                        <c:v>45589</c:v>
                      </c:pt>
                      <c:pt idx="1030">
                        <c:v>45590</c:v>
                      </c:pt>
                      <c:pt idx="1031">
                        <c:v>45593</c:v>
                      </c:pt>
                      <c:pt idx="1032">
                        <c:v>45594</c:v>
                      </c:pt>
                      <c:pt idx="1033">
                        <c:v>45595</c:v>
                      </c:pt>
                      <c:pt idx="1034">
                        <c:v>45596</c:v>
                      </c:pt>
                      <c:pt idx="1035">
                        <c:v>45597</c:v>
                      </c:pt>
                      <c:pt idx="1036">
                        <c:v>45600</c:v>
                      </c:pt>
                      <c:pt idx="1037">
                        <c:v>45601</c:v>
                      </c:pt>
                      <c:pt idx="1038">
                        <c:v>45602</c:v>
                      </c:pt>
                      <c:pt idx="1039">
                        <c:v>45603</c:v>
                      </c:pt>
                      <c:pt idx="1040">
                        <c:v>45604</c:v>
                      </c:pt>
                      <c:pt idx="1041">
                        <c:v>45607</c:v>
                      </c:pt>
                      <c:pt idx="1042">
                        <c:v>45608</c:v>
                      </c:pt>
                      <c:pt idx="1043">
                        <c:v>45609</c:v>
                      </c:pt>
                      <c:pt idx="1044">
                        <c:v>45610</c:v>
                      </c:pt>
                      <c:pt idx="1045">
                        <c:v>45611</c:v>
                      </c:pt>
                      <c:pt idx="1046">
                        <c:v>45614</c:v>
                      </c:pt>
                      <c:pt idx="1047">
                        <c:v>45615</c:v>
                      </c:pt>
                      <c:pt idx="1048">
                        <c:v>45616</c:v>
                      </c:pt>
                      <c:pt idx="1049">
                        <c:v>45617</c:v>
                      </c:pt>
                      <c:pt idx="1050">
                        <c:v>45618</c:v>
                      </c:pt>
                      <c:pt idx="1051">
                        <c:v>45621</c:v>
                      </c:pt>
                      <c:pt idx="1052">
                        <c:v>45622</c:v>
                      </c:pt>
                      <c:pt idx="1053">
                        <c:v>45623</c:v>
                      </c:pt>
                      <c:pt idx="1054">
                        <c:v>45624</c:v>
                      </c:pt>
                      <c:pt idx="1055">
                        <c:v>45625</c:v>
                      </c:pt>
                      <c:pt idx="1056">
                        <c:v>45628</c:v>
                      </c:pt>
                      <c:pt idx="1057">
                        <c:v>45629</c:v>
                      </c:pt>
                      <c:pt idx="1058">
                        <c:v>45630</c:v>
                      </c:pt>
                      <c:pt idx="1059">
                        <c:v>45631</c:v>
                      </c:pt>
                      <c:pt idx="1060">
                        <c:v>45632</c:v>
                      </c:pt>
                      <c:pt idx="1061">
                        <c:v>45635</c:v>
                      </c:pt>
                      <c:pt idx="1062">
                        <c:v>45636</c:v>
                      </c:pt>
                      <c:pt idx="1063">
                        <c:v>45637</c:v>
                      </c:pt>
                      <c:pt idx="1064">
                        <c:v>45638</c:v>
                      </c:pt>
                      <c:pt idx="1065">
                        <c:v>45639</c:v>
                      </c:pt>
                      <c:pt idx="1066">
                        <c:v>45642</c:v>
                      </c:pt>
                      <c:pt idx="1067">
                        <c:v>45643</c:v>
                      </c:pt>
                      <c:pt idx="1068">
                        <c:v>45644</c:v>
                      </c:pt>
                      <c:pt idx="1069">
                        <c:v>45645</c:v>
                      </c:pt>
                      <c:pt idx="1070">
                        <c:v>45646</c:v>
                      </c:pt>
                      <c:pt idx="1071">
                        <c:v>45649</c:v>
                      </c:pt>
                      <c:pt idx="1072">
                        <c:v>45650</c:v>
                      </c:pt>
                      <c:pt idx="1073">
                        <c:v>45651</c:v>
                      </c:pt>
                      <c:pt idx="1074">
                        <c:v>45652</c:v>
                      </c:pt>
                      <c:pt idx="1075">
                        <c:v>45653</c:v>
                      </c:pt>
                      <c:pt idx="1076">
                        <c:v>45656</c:v>
                      </c:pt>
                      <c:pt idx="1077">
                        <c:v>45657</c:v>
                      </c:pt>
                      <c:pt idx="1078">
                        <c:v>45659</c:v>
                      </c:pt>
                      <c:pt idx="1079">
                        <c:v>45660</c:v>
                      </c:pt>
                      <c:pt idx="1080">
                        <c:v>45663</c:v>
                      </c:pt>
                      <c:pt idx="1081">
                        <c:v>45664</c:v>
                      </c:pt>
                      <c:pt idx="1082">
                        <c:v>45665</c:v>
                      </c:pt>
                      <c:pt idx="1083">
                        <c:v>45666</c:v>
                      </c:pt>
                      <c:pt idx="1084">
                        <c:v>45667</c:v>
                      </c:pt>
                      <c:pt idx="1085">
                        <c:v>45670</c:v>
                      </c:pt>
                      <c:pt idx="1086">
                        <c:v>45671</c:v>
                      </c:pt>
                      <c:pt idx="1087">
                        <c:v>45672</c:v>
                      </c:pt>
                      <c:pt idx="1088">
                        <c:v>45673</c:v>
                      </c:pt>
                      <c:pt idx="1089">
                        <c:v>45674</c:v>
                      </c:pt>
                      <c:pt idx="1090">
                        <c:v>45677</c:v>
                      </c:pt>
                      <c:pt idx="1091">
                        <c:v>45678</c:v>
                      </c:pt>
                      <c:pt idx="1092">
                        <c:v>45679</c:v>
                      </c:pt>
                      <c:pt idx="1093">
                        <c:v>45680</c:v>
                      </c:pt>
                      <c:pt idx="1094">
                        <c:v>45681</c:v>
                      </c:pt>
                      <c:pt idx="1095">
                        <c:v>45691</c:v>
                      </c:pt>
                      <c:pt idx="1096">
                        <c:v>45692</c:v>
                      </c:pt>
                      <c:pt idx="1097">
                        <c:v>45693</c:v>
                      </c:pt>
                      <c:pt idx="1098">
                        <c:v>45694</c:v>
                      </c:pt>
                      <c:pt idx="1099">
                        <c:v>45695</c:v>
                      </c:pt>
                      <c:pt idx="1100">
                        <c:v>45698</c:v>
                      </c:pt>
                      <c:pt idx="1101">
                        <c:v>45699</c:v>
                      </c:pt>
                      <c:pt idx="1102">
                        <c:v>45700</c:v>
                      </c:pt>
                      <c:pt idx="1103">
                        <c:v>45701</c:v>
                      </c:pt>
                      <c:pt idx="1104">
                        <c:v>45702</c:v>
                      </c:pt>
                      <c:pt idx="1105">
                        <c:v>45705</c:v>
                      </c:pt>
                      <c:pt idx="1106">
                        <c:v>45706</c:v>
                      </c:pt>
                      <c:pt idx="1107">
                        <c:v>45707</c:v>
                      </c:pt>
                      <c:pt idx="1108">
                        <c:v>45708</c:v>
                      </c:pt>
                      <c:pt idx="1109">
                        <c:v>45709</c:v>
                      </c:pt>
                      <c:pt idx="1110">
                        <c:v>45712</c:v>
                      </c:pt>
                      <c:pt idx="1111">
                        <c:v>45713</c:v>
                      </c:pt>
                      <c:pt idx="1112">
                        <c:v>45714</c:v>
                      </c:pt>
                      <c:pt idx="1113">
                        <c:v>45715</c:v>
                      </c:pt>
                      <c:pt idx="1114">
                        <c:v>45716</c:v>
                      </c:pt>
                      <c:pt idx="1115">
                        <c:v>45719</c:v>
                      </c:pt>
                      <c:pt idx="1116">
                        <c:v>45720</c:v>
                      </c:pt>
                      <c:pt idx="1117">
                        <c:v>45721</c:v>
                      </c:pt>
                      <c:pt idx="1118">
                        <c:v>45722</c:v>
                      </c:pt>
                      <c:pt idx="1119">
                        <c:v>45723</c:v>
                      </c:pt>
                      <c:pt idx="1120">
                        <c:v>45726</c:v>
                      </c:pt>
                      <c:pt idx="1121">
                        <c:v>45727</c:v>
                      </c:pt>
                      <c:pt idx="1122">
                        <c:v>45728</c:v>
                      </c:pt>
                      <c:pt idx="1123">
                        <c:v>45729</c:v>
                      </c:pt>
                      <c:pt idx="1124">
                        <c:v>45730</c:v>
                      </c:pt>
                      <c:pt idx="1125">
                        <c:v>45733</c:v>
                      </c:pt>
                      <c:pt idx="1126">
                        <c:v>45734</c:v>
                      </c:pt>
                      <c:pt idx="1127">
                        <c:v>45735</c:v>
                      </c:pt>
                      <c:pt idx="1128">
                        <c:v>45736</c:v>
                      </c:pt>
                      <c:pt idx="1129">
                        <c:v>45737</c:v>
                      </c:pt>
                      <c:pt idx="1130">
                        <c:v>45740</c:v>
                      </c:pt>
                      <c:pt idx="1131">
                        <c:v>45741</c:v>
                      </c:pt>
                      <c:pt idx="1132">
                        <c:v>45742</c:v>
                      </c:pt>
                      <c:pt idx="1133">
                        <c:v>45743</c:v>
                      </c:pt>
                      <c:pt idx="1134">
                        <c:v>45744</c:v>
                      </c:pt>
                      <c:pt idx="1135">
                        <c:v>45747</c:v>
                      </c:pt>
                      <c:pt idx="1136">
                        <c:v>45748</c:v>
                      </c:pt>
                      <c:pt idx="1137">
                        <c:v>45749</c:v>
                      </c:pt>
                      <c:pt idx="1138">
                        <c:v>45750</c:v>
                      </c:pt>
                      <c:pt idx="1139">
                        <c:v>45751</c:v>
                      </c:pt>
                      <c:pt idx="1140">
                        <c:v>45755</c:v>
                      </c:pt>
                      <c:pt idx="1141">
                        <c:v>45756</c:v>
                      </c:pt>
                      <c:pt idx="1142">
                        <c:v>45757</c:v>
                      </c:pt>
                      <c:pt idx="1143">
                        <c:v>45758</c:v>
                      </c:pt>
                      <c:pt idx="1144">
                        <c:v>45761</c:v>
                      </c:pt>
                      <c:pt idx="1145">
                        <c:v>45762</c:v>
                      </c:pt>
                      <c:pt idx="1146">
                        <c:v>45763</c:v>
                      </c:pt>
                      <c:pt idx="1147">
                        <c:v>45764</c:v>
                      </c:pt>
                      <c:pt idx="1148">
                        <c:v>45765</c:v>
                      </c:pt>
                      <c:pt idx="1149">
                        <c:v>45768</c:v>
                      </c:pt>
                      <c:pt idx="1150">
                        <c:v>45769</c:v>
                      </c:pt>
                      <c:pt idx="1151">
                        <c:v>45770</c:v>
                      </c:pt>
                      <c:pt idx="1152">
                        <c:v>45771</c:v>
                      </c:pt>
                      <c:pt idx="1153">
                        <c:v>45772</c:v>
                      </c:pt>
                      <c:pt idx="1154">
                        <c:v>45775</c:v>
                      </c:pt>
                      <c:pt idx="1155">
                        <c:v>45776</c:v>
                      </c:pt>
                      <c:pt idx="1156">
                        <c:v>45782</c:v>
                      </c:pt>
                      <c:pt idx="1157">
                        <c:v>45783</c:v>
                      </c:pt>
                      <c:pt idx="1158">
                        <c:v>45784</c:v>
                      </c:pt>
                      <c:pt idx="1159">
                        <c:v>45785</c:v>
                      </c:pt>
                      <c:pt idx="1160">
                        <c:v>45786</c:v>
                      </c:pt>
                      <c:pt idx="1161">
                        <c:v>45789</c:v>
                      </c:pt>
                      <c:pt idx="1162">
                        <c:v>45790</c:v>
                      </c:pt>
                      <c:pt idx="1163">
                        <c:v>45791</c:v>
                      </c:pt>
                      <c:pt idx="1164">
                        <c:v>45792</c:v>
                      </c:pt>
                      <c:pt idx="1165">
                        <c:v>45793</c:v>
                      </c:pt>
                      <c:pt idx="1166">
                        <c:v>45796</c:v>
                      </c:pt>
                      <c:pt idx="1167">
                        <c:v>45797</c:v>
                      </c:pt>
                      <c:pt idx="1168">
                        <c:v>45798</c:v>
                      </c:pt>
                      <c:pt idx="1169">
                        <c:v>45799</c:v>
                      </c:pt>
                      <c:pt idx="1170">
                        <c:v>45800</c:v>
                      </c:pt>
                      <c:pt idx="1171">
                        <c:v>45803</c:v>
                      </c:pt>
                      <c:pt idx="1172">
                        <c:v>45804</c:v>
                      </c:pt>
                      <c:pt idx="1173">
                        <c:v>45805</c:v>
                      </c:pt>
                      <c:pt idx="1174">
                        <c:v>45806</c:v>
                      </c:pt>
                      <c:pt idx="1175">
                        <c:v>45807</c:v>
                      </c:pt>
                      <c:pt idx="1176">
                        <c:v>45810</c:v>
                      </c:pt>
                      <c:pt idx="1177">
                        <c:v>45811</c:v>
                      </c:pt>
                      <c:pt idx="1178">
                        <c:v>45812</c:v>
                      </c:pt>
                      <c:pt idx="1179">
                        <c:v>45813</c:v>
                      </c:pt>
                      <c:pt idx="1180">
                        <c:v>45814</c:v>
                      </c:pt>
                      <c:pt idx="1181">
                        <c:v>45817</c:v>
                      </c:pt>
                      <c:pt idx="1182">
                        <c:v>45818</c:v>
                      </c:pt>
                      <c:pt idx="1183">
                        <c:v>45819</c:v>
                      </c:pt>
                      <c:pt idx="1184">
                        <c:v>45820</c:v>
                      </c:pt>
                      <c:pt idx="1185">
                        <c:v>45821</c:v>
                      </c:pt>
                      <c:pt idx="1186">
                        <c:v>45824</c:v>
                      </c:pt>
                      <c:pt idx="1187">
                        <c:v>45825</c:v>
                      </c:pt>
                      <c:pt idx="1188">
                        <c:v>45826</c:v>
                      </c:pt>
                      <c:pt idx="1189">
                        <c:v>45827</c:v>
                      </c:pt>
                      <c:pt idx="1190">
                        <c:v>45828</c:v>
                      </c:pt>
                      <c:pt idx="1191">
                        <c:v>45831</c:v>
                      </c:pt>
                      <c:pt idx="1192">
                        <c:v>45832</c:v>
                      </c:pt>
                      <c:pt idx="1193">
                        <c:v>45833</c:v>
                      </c:pt>
                      <c:pt idx="1194">
                        <c:v>45834</c:v>
                      </c:pt>
                      <c:pt idx="1195">
                        <c:v>45835</c:v>
                      </c:pt>
                      <c:pt idx="1196">
                        <c:v>45838</c:v>
                      </c:pt>
                      <c:pt idx="1197">
                        <c:v>45839</c:v>
                      </c:pt>
                      <c:pt idx="1198">
                        <c:v>45840</c:v>
                      </c:pt>
                      <c:pt idx="1199">
                        <c:v>45841</c:v>
                      </c:pt>
                      <c:pt idx="1200">
                        <c:v>45842</c:v>
                      </c:pt>
                      <c:pt idx="1201">
                        <c:v>45845</c:v>
                      </c:pt>
                      <c:pt idx="1202">
                        <c:v>45846</c:v>
                      </c:pt>
                      <c:pt idx="1203">
                        <c:v>45847</c:v>
                      </c:pt>
                      <c:pt idx="1204">
                        <c:v>45848</c:v>
                      </c:pt>
                      <c:pt idx="1205">
                        <c:v>45849</c:v>
                      </c:pt>
                      <c:pt idx="1206">
                        <c:v>45852</c:v>
                      </c:pt>
                      <c:pt idx="1207">
                        <c:v>45853</c:v>
                      </c:pt>
                      <c:pt idx="1208">
                        <c:v>45854</c:v>
                      </c:pt>
                      <c:pt idx="1209">
                        <c:v>45855</c:v>
                      </c:pt>
                      <c:pt idx="1210">
                        <c:v>45856</c:v>
                      </c:pt>
                      <c:pt idx="1211">
                        <c:v>45859</c:v>
                      </c:pt>
                      <c:pt idx="1212">
                        <c:v>45860</c:v>
                      </c:pt>
                      <c:pt idx="1213">
                        <c:v>45861</c:v>
                      </c:pt>
                      <c:pt idx="1214">
                        <c:v>45862</c:v>
                      </c:pt>
                      <c:pt idx="1215">
                        <c:v>45863</c:v>
                      </c:pt>
                      <c:pt idx="1216">
                        <c:v>45866</c:v>
                      </c:pt>
                      <c:pt idx="1217">
                        <c:v>45867</c:v>
                      </c:pt>
                      <c:pt idx="1218">
                        <c:v>45868</c:v>
                      </c:pt>
                      <c:pt idx="1219">
                        <c:v>45869</c:v>
                      </c:pt>
                      <c:pt idx="1220">
                        <c:v>45870</c:v>
                      </c:pt>
                      <c:pt idx="1221">
                        <c:v>45873</c:v>
                      </c:pt>
                      <c:pt idx="1222">
                        <c:v>45874</c:v>
                      </c:pt>
                      <c:pt idx="1223">
                        <c:v>45875</c:v>
                      </c:pt>
                      <c:pt idx="1224">
                        <c:v>45876</c:v>
                      </c:pt>
                      <c:pt idx="1225">
                        <c:v>45877</c:v>
                      </c:pt>
                      <c:pt idx="1226">
                        <c:v>45880</c:v>
                      </c:pt>
                      <c:pt idx="1227">
                        <c:v>45881</c:v>
                      </c:pt>
                      <c:pt idx="1228">
                        <c:v>45882</c:v>
                      </c:pt>
                      <c:pt idx="1229">
                        <c:v>45883</c:v>
                      </c:pt>
                      <c:pt idx="1230">
                        <c:v>45884</c:v>
                      </c:pt>
                      <c:pt idx="1231">
                        <c:v>45887</c:v>
                      </c:pt>
                      <c:pt idx="1232">
                        <c:v>45888</c:v>
                      </c:pt>
                      <c:pt idx="1233">
                        <c:v>45889</c:v>
                      </c:pt>
                      <c:pt idx="1234">
                        <c:v>45890</c:v>
                      </c:pt>
                      <c:pt idx="1235">
                        <c:v>45891</c:v>
                      </c:pt>
                      <c:pt idx="1236">
                        <c:v>45894</c:v>
                      </c:pt>
                      <c:pt idx="1237">
                        <c:v>45895</c:v>
                      </c:pt>
                      <c:pt idx="1238">
                        <c:v>45896</c:v>
                      </c:pt>
                      <c:pt idx="1239">
                        <c:v>45897</c:v>
                      </c:pt>
                      <c:pt idx="1240">
                        <c:v>45898</c:v>
                      </c:pt>
                      <c:pt idx="1241">
                        <c:v>45903</c:v>
                      </c:pt>
                      <c:pt idx="1242">
                        <c:v>45904</c:v>
                      </c:pt>
                      <c:pt idx="1243">
                        <c:v>45905</c:v>
                      </c:pt>
                      <c:pt idx="1244">
                        <c:v>45908</c:v>
                      </c:pt>
                      <c:pt idx="1245">
                        <c:v>45909</c:v>
                      </c:pt>
                      <c:pt idx="1246">
                        <c:v>45910</c:v>
                      </c:pt>
                      <c:pt idx="1247">
                        <c:v>45911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4-BCE2-4596-9C03-87507E966139}"/>
            </c:ext>
          </c:extLst>
        </c:ser>
        <c:ser>
          <c:idx val="5"/>
          <c:order val="5"/>
          <c:spPr>
            <a:ln w="22225" cap="rnd">
              <a:solidFill>
                <a:schemeClr val="dk1">
                  <a:tint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[177]PE!$G$2:$G$1249</c:f>
              <c:numCache>
                <c:formatCode>_(* #,##0_);_(* \(#,##0\);_(* "-"??_);_(@_)</c:formatCode>
                <c:ptCount val="1248"/>
                <c:pt idx="0">
                  <c:v>28.198903463270192</c:v>
                </c:pt>
                <c:pt idx="1">
                  <c:v>28.198903463270192</c:v>
                </c:pt>
                <c:pt idx="2">
                  <c:v>28.198903463270192</c:v>
                </c:pt>
                <c:pt idx="3">
                  <c:v>28.198903463270192</c:v>
                </c:pt>
                <c:pt idx="4">
                  <c:v>28.198903463270192</c:v>
                </c:pt>
                <c:pt idx="5">
                  <c:v>28.198903463270192</c:v>
                </c:pt>
                <c:pt idx="6">
                  <c:v>28.198903463270192</c:v>
                </c:pt>
                <c:pt idx="7">
                  <c:v>28.198903463270192</c:v>
                </c:pt>
                <c:pt idx="8">
                  <c:v>28.198903463270192</c:v>
                </c:pt>
                <c:pt idx="9">
                  <c:v>28.198903463270192</c:v>
                </c:pt>
                <c:pt idx="10">
                  <c:v>28.198903463270192</c:v>
                </c:pt>
                <c:pt idx="11">
                  <c:v>28.198903463270192</c:v>
                </c:pt>
                <c:pt idx="12">
                  <c:v>28.198903463270192</c:v>
                </c:pt>
                <c:pt idx="13">
                  <c:v>28.198903463270192</c:v>
                </c:pt>
                <c:pt idx="14">
                  <c:v>28.198903463270192</c:v>
                </c:pt>
                <c:pt idx="15">
                  <c:v>28.198903463270192</c:v>
                </c:pt>
                <c:pt idx="16">
                  <c:v>28.198903463270192</c:v>
                </c:pt>
                <c:pt idx="17">
                  <c:v>28.198903463270192</c:v>
                </c:pt>
                <c:pt idx="18">
                  <c:v>28.198903463270192</c:v>
                </c:pt>
                <c:pt idx="19">
                  <c:v>28.198903463270192</c:v>
                </c:pt>
                <c:pt idx="20">
                  <c:v>28.198903463270192</c:v>
                </c:pt>
                <c:pt idx="21">
                  <c:v>28.198903463270192</c:v>
                </c:pt>
                <c:pt idx="22">
                  <c:v>28.198903463270192</c:v>
                </c:pt>
                <c:pt idx="23">
                  <c:v>28.198903463270192</c:v>
                </c:pt>
                <c:pt idx="24">
                  <c:v>28.198903463270192</c:v>
                </c:pt>
                <c:pt idx="25">
                  <c:v>28.198903463270192</c:v>
                </c:pt>
                <c:pt idx="26">
                  <c:v>28.198903463270192</c:v>
                </c:pt>
                <c:pt idx="27">
                  <c:v>28.198903463270192</c:v>
                </c:pt>
                <c:pt idx="28">
                  <c:v>28.198903463270192</c:v>
                </c:pt>
                <c:pt idx="29">
                  <c:v>28.198903463270192</c:v>
                </c:pt>
                <c:pt idx="30">
                  <c:v>28.198903463270192</c:v>
                </c:pt>
                <c:pt idx="31">
                  <c:v>28.198903463270192</c:v>
                </c:pt>
                <c:pt idx="32">
                  <c:v>28.198903463270192</c:v>
                </c:pt>
                <c:pt idx="33">
                  <c:v>28.198903463270192</c:v>
                </c:pt>
                <c:pt idx="34">
                  <c:v>28.198903463270192</c:v>
                </c:pt>
                <c:pt idx="35">
                  <c:v>28.198903463270192</c:v>
                </c:pt>
                <c:pt idx="36">
                  <c:v>28.198903463270192</c:v>
                </c:pt>
                <c:pt idx="37">
                  <c:v>28.198903463270192</c:v>
                </c:pt>
                <c:pt idx="38">
                  <c:v>28.198903463270192</c:v>
                </c:pt>
                <c:pt idx="39">
                  <c:v>28.198903463270192</c:v>
                </c:pt>
                <c:pt idx="40">
                  <c:v>28.198903463270192</c:v>
                </c:pt>
                <c:pt idx="41">
                  <c:v>28.198903463270192</c:v>
                </c:pt>
                <c:pt idx="42">
                  <c:v>28.198903463270192</c:v>
                </c:pt>
                <c:pt idx="43">
                  <c:v>28.198903463270192</c:v>
                </c:pt>
                <c:pt idx="44">
                  <c:v>28.198903463270192</c:v>
                </c:pt>
                <c:pt idx="45">
                  <c:v>28.198903463270192</c:v>
                </c:pt>
                <c:pt idx="46">
                  <c:v>28.198903463270192</c:v>
                </c:pt>
                <c:pt idx="47">
                  <c:v>28.198903463270192</c:v>
                </c:pt>
                <c:pt idx="48">
                  <c:v>28.198903463270192</c:v>
                </c:pt>
                <c:pt idx="49">
                  <c:v>28.198903463270192</c:v>
                </c:pt>
                <c:pt idx="50">
                  <c:v>28.198903463270192</c:v>
                </c:pt>
                <c:pt idx="51">
                  <c:v>28.198903463270192</c:v>
                </c:pt>
                <c:pt idx="52">
                  <c:v>28.198903463270192</c:v>
                </c:pt>
                <c:pt idx="53">
                  <c:v>28.198903463270192</c:v>
                </c:pt>
                <c:pt idx="54">
                  <c:v>28.198903463270192</c:v>
                </c:pt>
                <c:pt idx="55">
                  <c:v>28.198903463270192</c:v>
                </c:pt>
                <c:pt idx="56">
                  <c:v>28.198903463270192</c:v>
                </c:pt>
                <c:pt idx="57">
                  <c:v>28.198903463270192</c:v>
                </c:pt>
                <c:pt idx="58">
                  <c:v>28.198903463270192</c:v>
                </c:pt>
                <c:pt idx="59">
                  <c:v>28.198903463270192</c:v>
                </c:pt>
                <c:pt idx="60">
                  <c:v>28.198903463270192</c:v>
                </c:pt>
                <c:pt idx="61">
                  <c:v>28.198903463270192</c:v>
                </c:pt>
                <c:pt idx="62">
                  <c:v>28.198903463270192</c:v>
                </c:pt>
                <c:pt idx="63">
                  <c:v>28.198903463270192</c:v>
                </c:pt>
                <c:pt idx="64">
                  <c:v>28.198903463270192</c:v>
                </c:pt>
                <c:pt idx="65">
                  <c:v>28.198903463270192</c:v>
                </c:pt>
                <c:pt idx="66">
                  <c:v>28.198903463270192</c:v>
                </c:pt>
                <c:pt idx="67">
                  <c:v>28.198903463270192</c:v>
                </c:pt>
                <c:pt idx="68">
                  <c:v>28.198903463270192</c:v>
                </c:pt>
                <c:pt idx="69">
                  <c:v>28.198903463270192</c:v>
                </c:pt>
                <c:pt idx="70">
                  <c:v>28.198903463270192</c:v>
                </c:pt>
                <c:pt idx="71">
                  <c:v>28.198903463270192</c:v>
                </c:pt>
                <c:pt idx="72">
                  <c:v>28.198903463270192</c:v>
                </c:pt>
                <c:pt idx="73">
                  <c:v>28.198903463270192</c:v>
                </c:pt>
                <c:pt idx="74">
                  <c:v>28.198903463270192</c:v>
                </c:pt>
                <c:pt idx="75">
                  <c:v>28.198903463270192</c:v>
                </c:pt>
                <c:pt idx="76">
                  <c:v>28.198903463270192</c:v>
                </c:pt>
                <c:pt idx="77">
                  <c:v>28.198903463270192</c:v>
                </c:pt>
                <c:pt idx="78">
                  <c:v>28.198903463270192</c:v>
                </c:pt>
                <c:pt idx="79">
                  <c:v>28.198903463270192</c:v>
                </c:pt>
                <c:pt idx="80">
                  <c:v>28.198903463270192</c:v>
                </c:pt>
                <c:pt idx="81">
                  <c:v>28.198903463270192</c:v>
                </c:pt>
                <c:pt idx="82">
                  <c:v>28.198903463270192</c:v>
                </c:pt>
                <c:pt idx="83">
                  <c:v>28.198903463270192</c:v>
                </c:pt>
                <c:pt idx="84">
                  <c:v>28.198903463270192</c:v>
                </c:pt>
                <c:pt idx="85">
                  <c:v>28.198903463270192</c:v>
                </c:pt>
                <c:pt idx="86">
                  <c:v>28.198903463270192</c:v>
                </c:pt>
                <c:pt idx="87">
                  <c:v>28.198903463270192</c:v>
                </c:pt>
                <c:pt idx="88">
                  <c:v>28.198903463270192</c:v>
                </c:pt>
                <c:pt idx="89">
                  <c:v>28.198903463270192</c:v>
                </c:pt>
                <c:pt idx="90">
                  <c:v>28.198903463270192</c:v>
                </c:pt>
                <c:pt idx="91">
                  <c:v>28.198903463270192</c:v>
                </c:pt>
                <c:pt idx="92">
                  <c:v>28.198903463270192</c:v>
                </c:pt>
                <c:pt idx="93">
                  <c:v>28.198903463270192</c:v>
                </c:pt>
                <c:pt idx="94">
                  <c:v>28.198903463270192</c:v>
                </c:pt>
                <c:pt idx="95">
                  <c:v>28.198903463270192</c:v>
                </c:pt>
                <c:pt idx="96">
                  <c:v>28.198903463270192</c:v>
                </c:pt>
                <c:pt idx="97">
                  <c:v>28.198903463270192</c:v>
                </c:pt>
                <c:pt idx="98">
                  <c:v>28.198903463270192</c:v>
                </c:pt>
                <c:pt idx="99">
                  <c:v>28.198903463270192</c:v>
                </c:pt>
                <c:pt idx="100">
                  <c:v>28.198903463270192</c:v>
                </c:pt>
                <c:pt idx="101">
                  <c:v>28.198903463270192</c:v>
                </c:pt>
                <c:pt idx="102">
                  <c:v>28.198903463270192</c:v>
                </c:pt>
                <c:pt idx="103">
                  <c:v>28.198903463270192</c:v>
                </c:pt>
                <c:pt idx="104">
                  <c:v>28.198903463270192</c:v>
                </c:pt>
                <c:pt idx="105">
                  <c:v>28.198903463270192</c:v>
                </c:pt>
                <c:pt idx="106">
                  <c:v>28.198903463270192</c:v>
                </c:pt>
                <c:pt idx="107">
                  <c:v>28.198903463270192</c:v>
                </c:pt>
                <c:pt idx="108">
                  <c:v>28.198903463270192</c:v>
                </c:pt>
                <c:pt idx="109">
                  <c:v>28.198903463270192</c:v>
                </c:pt>
                <c:pt idx="110">
                  <c:v>28.198903463270192</c:v>
                </c:pt>
                <c:pt idx="111">
                  <c:v>28.198903463270192</c:v>
                </c:pt>
                <c:pt idx="112">
                  <c:v>28.198903463270192</c:v>
                </c:pt>
                <c:pt idx="113">
                  <c:v>28.198903463270192</c:v>
                </c:pt>
                <c:pt idx="114">
                  <c:v>28.198903463270192</c:v>
                </c:pt>
                <c:pt idx="115">
                  <c:v>28.198903463270192</c:v>
                </c:pt>
                <c:pt idx="116">
                  <c:v>28.198903463270192</c:v>
                </c:pt>
                <c:pt idx="117">
                  <c:v>28.198903463270192</c:v>
                </c:pt>
                <c:pt idx="118">
                  <c:v>28.198903463270192</c:v>
                </c:pt>
                <c:pt idx="119">
                  <c:v>28.198903463270192</c:v>
                </c:pt>
                <c:pt idx="120">
                  <c:v>28.198903463270192</c:v>
                </c:pt>
                <c:pt idx="121">
                  <c:v>28.198903463270192</c:v>
                </c:pt>
                <c:pt idx="122">
                  <c:v>28.198903463270192</c:v>
                </c:pt>
                <c:pt idx="123">
                  <c:v>28.198903463270192</c:v>
                </c:pt>
                <c:pt idx="124">
                  <c:v>28.198903463270192</c:v>
                </c:pt>
                <c:pt idx="125">
                  <c:v>28.198903463270192</c:v>
                </c:pt>
                <c:pt idx="126">
                  <c:v>28.198903463270192</c:v>
                </c:pt>
                <c:pt idx="127">
                  <c:v>28.198903463270192</c:v>
                </c:pt>
                <c:pt idx="128">
                  <c:v>28.198903463270192</c:v>
                </c:pt>
                <c:pt idx="129">
                  <c:v>28.198903463270192</c:v>
                </c:pt>
                <c:pt idx="130">
                  <c:v>28.198903463270192</c:v>
                </c:pt>
                <c:pt idx="131">
                  <c:v>28.198903463270192</c:v>
                </c:pt>
                <c:pt idx="132">
                  <c:v>28.198903463270192</c:v>
                </c:pt>
                <c:pt idx="133">
                  <c:v>28.198903463270192</c:v>
                </c:pt>
                <c:pt idx="134">
                  <c:v>28.198903463270192</c:v>
                </c:pt>
                <c:pt idx="135">
                  <c:v>28.198903463270192</c:v>
                </c:pt>
                <c:pt idx="136">
                  <c:v>28.198903463270192</c:v>
                </c:pt>
                <c:pt idx="137">
                  <c:v>28.198903463270192</c:v>
                </c:pt>
                <c:pt idx="138">
                  <c:v>28.198903463270192</c:v>
                </c:pt>
                <c:pt idx="139">
                  <c:v>28.198903463270192</c:v>
                </c:pt>
                <c:pt idx="140">
                  <c:v>28.198903463270192</c:v>
                </c:pt>
                <c:pt idx="141">
                  <c:v>28.198903463270192</c:v>
                </c:pt>
                <c:pt idx="142">
                  <c:v>28.198903463270192</c:v>
                </c:pt>
                <c:pt idx="143">
                  <c:v>28.198903463270192</c:v>
                </c:pt>
                <c:pt idx="144">
                  <c:v>28.198903463270192</c:v>
                </c:pt>
                <c:pt idx="145">
                  <c:v>28.198903463270192</c:v>
                </c:pt>
                <c:pt idx="146">
                  <c:v>28.198903463270192</c:v>
                </c:pt>
                <c:pt idx="147">
                  <c:v>28.198903463270192</c:v>
                </c:pt>
                <c:pt idx="148">
                  <c:v>28.198903463270192</c:v>
                </c:pt>
                <c:pt idx="149">
                  <c:v>28.198903463270192</c:v>
                </c:pt>
                <c:pt idx="150">
                  <c:v>28.198903463270192</c:v>
                </c:pt>
                <c:pt idx="151">
                  <c:v>28.198903463270192</c:v>
                </c:pt>
                <c:pt idx="152">
                  <c:v>28.198903463270192</c:v>
                </c:pt>
                <c:pt idx="153">
                  <c:v>28.198903463270192</c:v>
                </c:pt>
                <c:pt idx="154">
                  <c:v>28.198903463270192</c:v>
                </c:pt>
                <c:pt idx="155">
                  <c:v>28.198903463270192</c:v>
                </c:pt>
                <c:pt idx="156">
                  <c:v>28.198903463270192</c:v>
                </c:pt>
                <c:pt idx="157">
                  <c:v>28.198903463270192</c:v>
                </c:pt>
                <c:pt idx="158">
                  <c:v>28.198903463270192</c:v>
                </c:pt>
                <c:pt idx="159">
                  <c:v>28.198903463270192</c:v>
                </c:pt>
                <c:pt idx="160">
                  <c:v>28.198903463270192</c:v>
                </c:pt>
                <c:pt idx="161">
                  <c:v>28.198903463270192</c:v>
                </c:pt>
                <c:pt idx="162">
                  <c:v>28.198903463270192</c:v>
                </c:pt>
                <c:pt idx="163">
                  <c:v>28.198903463270192</c:v>
                </c:pt>
                <c:pt idx="164">
                  <c:v>28.198903463270192</c:v>
                </c:pt>
                <c:pt idx="165">
                  <c:v>28.198903463270192</c:v>
                </c:pt>
                <c:pt idx="166">
                  <c:v>28.198903463270192</c:v>
                </c:pt>
                <c:pt idx="167">
                  <c:v>28.198903463270192</c:v>
                </c:pt>
                <c:pt idx="168">
                  <c:v>28.198903463270192</c:v>
                </c:pt>
                <c:pt idx="169">
                  <c:v>28.198903463270192</c:v>
                </c:pt>
                <c:pt idx="170">
                  <c:v>28.198903463270192</c:v>
                </c:pt>
                <c:pt idx="171">
                  <c:v>28.198903463270192</c:v>
                </c:pt>
                <c:pt idx="172">
                  <c:v>28.198903463270192</c:v>
                </c:pt>
                <c:pt idx="173">
                  <c:v>28.198903463270192</c:v>
                </c:pt>
                <c:pt idx="174">
                  <c:v>28.198903463270192</c:v>
                </c:pt>
                <c:pt idx="175">
                  <c:v>28.198903463270192</c:v>
                </c:pt>
                <c:pt idx="176">
                  <c:v>28.198903463270192</c:v>
                </c:pt>
                <c:pt idx="177">
                  <c:v>28.198903463270192</c:v>
                </c:pt>
                <c:pt idx="178">
                  <c:v>28.198903463270192</c:v>
                </c:pt>
                <c:pt idx="179">
                  <c:v>28.198903463270192</c:v>
                </c:pt>
                <c:pt idx="180">
                  <c:v>28.198903463270192</c:v>
                </c:pt>
                <c:pt idx="181">
                  <c:v>28.198903463270192</c:v>
                </c:pt>
                <c:pt idx="182">
                  <c:v>28.198903463270192</c:v>
                </c:pt>
                <c:pt idx="183">
                  <c:v>28.198903463270192</c:v>
                </c:pt>
                <c:pt idx="184">
                  <c:v>28.198903463270192</c:v>
                </c:pt>
                <c:pt idx="185">
                  <c:v>28.198903463270192</c:v>
                </c:pt>
                <c:pt idx="186">
                  <c:v>28.198903463270192</c:v>
                </c:pt>
                <c:pt idx="187">
                  <c:v>28.198903463270192</c:v>
                </c:pt>
                <c:pt idx="188">
                  <c:v>28.198903463270192</c:v>
                </c:pt>
                <c:pt idx="189">
                  <c:v>28.198903463270192</c:v>
                </c:pt>
                <c:pt idx="190">
                  <c:v>28.198903463270192</c:v>
                </c:pt>
                <c:pt idx="191">
                  <c:v>28.198903463270192</c:v>
                </c:pt>
                <c:pt idx="192">
                  <c:v>28.198903463270192</c:v>
                </c:pt>
                <c:pt idx="193">
                  <c:v>28.198903463270192</c:v>
                </c:pt>
                <c:pt idx="194">
                  <c:v>28.198903463270192</c:v>
                </c:pt>
                <c:pt idx="195">
                  <c:v>28.198903463270192</c:v>
                </c:pt>
                <c:pt idx="196">
                  <c:v>28.198903463270192</c:v>
                </c:pt>
                <c:pt idx="197">
                  <c:v>28.198903463270192</c:v>
                </c:pt>
                <c:pt idx="198">
                  <c:v>28.198903463270192</c:v>
                </c:pt>
                <c:pt idx="199">
                  <c:v>28.198903463270192</c:v>
                </c:pt>
                <c:pt idx="200">
                  <c:v>28.198903463270192</c:v>
                </c:pt>
                <c:pt idx="201">
                  <c:v>28.198903463270192</c:v>
                </c:pt>
                <c:pt idx="202">
                  <c:v>28.198903463270192</c:v>
                </c:pt>
                <c:pt idx="203">
                  <c:v>28.198903463270192</c:v>
                </c:pt>
                <c:pt idx="204">
                  <c:v>28.198903463270192</c:v>
                </c:pt>
                <c:pt idx="205">
                  <c:v>28.198903463270192</c:v>
                </c:pt>
                <c:pt idx="206">
                  <c:v>28.198903463270192</c:v>
                </c:pt>
                <c:pt idx="207">
                  <c:v>28.198903463270192</c:v>
                </c:pt>
                <c:pt idx="208">
                  <c:v>28.198903463270192</c:v>
                </c:pt>
                <c:pt idx="209">
                  <c:v>28.198903463270192</c:v>
                </c:pt>
                <c:pt idx="210">
                  <c:v>28.198903463270192</c:v>
                </c:pt>
                <c:pt idx="211">
                  <c:v>28.198903463270192</c:v>
                </c:pt>
                <c:pt idx="212">
                  <c:v>28.198903463270192</c:v>
                </c:pt>
                <c:pt idx="213">
                  <c:v>28.198903463270192</c:v>
                </c:pt>
                <c:pt idx="214">
                  <c:v>28.198903463270192</c:v>
                </c:pt>
                <c:pt idx="215">
                  <c:v>28.198903463270192</c:v>
                </c:pt>
                <c:pt idx="216">
                  <c:v>28.198903463270192</c:v>
                </c:pt>
                <c:pt idx="217">
                  <c:v>28.198903463270192</c:v>
                </c:pt>
                <c:pt idx="218">
                  <c:v>28.198903463270192</c:v>
                </c:pt>
                <c:pt idx="219">
                  <c:v>28.198903463270192</c:v>
                </c:pt>
                <c:pt idx="220">
                  <c:v>28.198903463270192</c:v>
                </c:pt>
                <c:pt idx="221">
                  <c:v>28.198903463270192</c:v>
                </c:pt>
                <c:pt idx="222">
                  <c:v>28.198903463270192</c:v>
                </c:pt>
                <c:pt idx="223">
                  <c:v>28.198903463270192</c:v>
                </c:pt>
                <c:pt idx="224">
                  <c:v>28.198903463270192</c:v>
                </c:pt>
                <c:pt idx="225">
                  <c:v>28.198903463270192</c:v>
                </c:pt>
                <c:pt idx="226">
                  <c:v>28.198903463270192</c:v>
                </c:pt>
                <c:pt idx="227">
                  <c:v>28.198903463270192</c:v>
                </c:pt>
                <c:pt idx="228">
                  <c:v>28.198903463270192</c:v>
                </c:pt>
                <c:pt idx="229">
                  <c:v>28.198903463270192</c:v>
                </c:pt>
                <c:pt idx="230">
                  <c:v>28.198903463270192</c:v>
                </c:pt>
                <c:pt idx="231">
                  <c:v>28.198903463270192</c:v>
                </c:pt>
                <c:pt idx="232">
                  <c:v>28.198903463270192</c:v>
                </c:pt>
                <c:pt idx="233">
                  <c:v>28.198903463270192</c:v>
                </c:pt>
                <c:pt idx="234">
                  <c:v>28.198903463270192</c:v>
                </c:pt>
                <c:pt idx="235">
                  <c:v>28.198903463270192</c:v>
                </c:pt>
                <c:pt idx="236">
                  <c:v>28.198903463270192</c:v>
                </c:pt>
                <c:pt idx="237">
                  <c:v>28.198903463270192</c:v>
                </c:pt>
                <c:pt idx="238">
                  <c:v>28.198903463270192</c:v>
                </c:pt>
                <c:pt idx="239">
                  <c:v>28.198903463270192</c:v>
                </c:pt>
                <c:pt idx="240">
                  <c:v>28.198903463270192</c:v>
                </c:pt>
                <c:pt idx="241">
                  <c:v>28.198903463270192</c:v>
                </c:pt>
                <c:pt idx="242">
                  <c:v>28.198903463270192</c:v>
                </c:pt>
                <c:pt idx="243">
                  <c:v>28.198903463270192</c:v>
                </c:pt>
                <c:pt idx="244">
                  <c:v>28.198903463270192</c:v>
                </c:pt>
                <c:pt idx="245">
                  <c:v>28.198903463270192</c:v>
                </c:pt>
                <c:pt idx="246">
                  <c:v>28.198903463270192</c:v>
                </c:pt>
                <c:pt idx="247">
                  <c:v>28.198903463270192</c:v>
                </c:pt>
                <c:pt idx="248">
                  <c:v>28.198903463270192</c:v>
                </c:pt>
                <c:pt idx="249">
                  <c:v>28.198903463270192</c:v>
                </c:pt>
                <c:pt idx="250">
                  <c:v>28.198903463270192</c:v>
                </c:pt>
                <c:pt idx="251">
                  <c:v>28.198903463270192</c:v>
                </c:pt>
                <c:pt idx="252">
                  <c:v>28.198903463270192</c:v>
                </c:pt>
                <c:pt idx="253">
                  <c:v>28.198903463270192</c:v>
                </c:pt>
                <c:pt idx="254">
                  <c:v>28.198903463270192</c:v>
                </c:pt>
                <c:pt idx="255">
                  <c:v>28.198903463270192</c:v>
                </c:pt>
                <c:pt idx="256">
                  <c:v>28.198903463270192</c:v>
                </c:pt>
                <c:pt idx="257">
                  <c:v>28.198903463270192</c:v>
                </c:pt>
                <c:pt idx="258">
                  <c:v>28.198903463270192</c:v>
                </c:pt>
                <c:pt idx="259">
                  <c:v>28.198903463270192</c:v>
                </c:pt>
                <c:pt idx="260">
                  <c:v>28.198903463270192</c:v>
                </c:pt>
                <c:pt idx="261">
                  <c:v>28.198903463270192</c:v>
                </c:pt>
                <c:pt idx="262">
                  <c:v>28.198903463270192</c:v>
                </c:pt>
                <c:pt idx="263">
                  <c:v>28.198903463270192</c:v>
                </c:pt>
                <c:pt idx="264">
                  <c:v>28.198903463270192</c:v>
                </c:pt>
                <c:pt idx="265">
                  <c:v>28.198903463270192</c:v>
                </c:pt>
                <c:pt idx="266">
                  <c:v>28.198903463270192</c:v>
                </c:pt>
                <c:pt idx="267">
                  <c:v>28.198903463270192</c:v>
                </c:pt>
                <c:pt idx="268">
                  <c:v>28.198903463270192</c:v>
                </c:pt>
                <c:pt idx="269">
                  <c:v>28.198903463270192</c:v>
                </c:pt>
                <c:pt idx="270">
                  <c:v>28.198903463270192</c:v>
                </c:pt>
                <c:pt idx="271">
                  <c:v>28.198903463270192</c:v>
                </c:pt>
                <c:pt idx="272">
                  <c:v>28.198903463270192</c:v>
                </c:pt>
                <c:pt idx="273">
                  <c:v>28.198903463270192</c:v>
                </c:pt>
                <c:pt idx="274">
                  <c:v>28.198903463270192</c:v>
                </c:pt>
                <c:pt idx="275">
                  <c:v>28.198903463270192</c:v>
                </c:pt>
                <c:pt idx="276">
                  <c:v>28.198903463270192</c:v>
                </c:pt>
                <c:pt idx="277">
                  <c:v>28.198903463270192</c:v>
                </c:pt>
                <c:pt idx="278">
                  <c:v>28.198903463270192</c:v>
                </c:pt>
                <c:pt idx="279">
                  <c:v>28.198903463270192</c:v>
                </c:pt>
                <c:pt idx="280">
                  <c:v>28.198903463270192</c:v>
                </c:pt>
                <c:pt idx="281">
                  <c:v>28.198903463270192</c:v>
                </c:pt>
                <c:pt idx="282">
                  <c:v>28.198903463270192</c:v>
                </c:pt>
                <c:pt idx="283">
                  <c:v>28.198903463270192</c:v>
                </c:pt>
                <c:pt idx="284">
                  <c:v>28.198903463270192</c:v>
                </c:pt>
                <c:pt idx="285">
                  <c:v>28.198903463270192</c:v>
                </c:pt>
                <c:pt idx="286">
                  <c:v>28.198903463270192</c:v>
                </c:pt>
                <c:pt idx="287">
                  <c:v>28.198903463270192</c:v>
                </c:pt>
                <c:pt idx="288">
                  <c:v>28.198903463270192</c:v>
                </c:pt>
                <c:pt idx="289">
                  <c:v>28.198903463270192</c:v>
                </c:pt>
                <c:pt idx="290">
                  <c:v>28.198903463270192</c:v>
                </c:pt>
                <c:pt idx="291">
                  <c:v>28.198903463270192</c:v>
                </c:pt>
                <c:pt idx="292">
                  <c:v>28.198903463270192</c:v>
                </c:pt>
                <c:pt idx="293">
                  <c:v>28.198903463270192</c:v>
                </c:pt>
                <c:pt idx="294">
                  <c:v>28.198903463270192</c:v>
                </c:pt>
                <c:pt idx="295">
                  <c:v>28.198903463270192</c:v>
                </c:pt>
                <c:pt idx="296">
                  <c:v>28.198903463270192</c:v>
                </c:pt>
                <c:pt idx="297">
                  <c:v>28.198903463270192</c:v>
                </c:pt>
                <c:pt idx="298">
                  <c:v>28.198903463270192</c:v>
                </c:pt>
                <c:pt idx="299">
                  <c:v>28.198903463270192</c:v>
                </c:pt>
                <c:pt idx="300">
                  <c:v>28.198903463270192</c:v>
                </c:pt>
                <c:pt idx="301">
                  <c:v>28.198903463270192</c:v>
                </c:pt>
                <c:pt idx="302">
                  <c:v>28.198903463270192</c:v>
                </c:pt>
                <c:pt idx="303">
                  <c:v>28.198903463270192</c:v>
                </c:pt>
                <c:pt idx="304">
                  <c:v>28.198903463270192</c:v>
                </c:pt>
                <c:pt idx="305">
                  <c:v>28.198903463270192</c:v>
                </c:pt>
                <c:pt idx="306">
                  <c:v>28.198903463270192</c:v>
                </c:pt>
                <c:pt idx="307">
                  <c:v>28.198903463270192</c:v>
                </c:pt>
                <c:pt idx="308">
                  <c:v>28.198903463270192</c:v>
                </c:pt>
                <c:pt idx="309">
                  <c:v>28.198903463270192</c:v>
                </c:pt>
                <c:pt idx="310">
                  <c:v>28.198903463270192</c:v>
                </c:pt>
                <c:pt idx="311">
                  <c:v>28.198903463270192</c:v>
                </c:pt>
                <c:pt idx="312">
                  <c:v>28.198903463270192</c:v>
                </c:pt>
                <c:pt idx="313">
                  <c:v>28.198903463270192</c:v>
                </c:pt>
                <c:pt idx="314">
                  <c:v>28.198903463270192</c:v>
                </c:pt>
                <c:pt idx="315">
                  <c:v>28.198903463270192</c:v>
                </c:pt>
                <c:pt idx="316">
                  <c:v>28.198903463270192</c:v>
                </c:pt>
                <c:pt idx="317">
                  <c:v>28.198903463270192</c:v>
                </c:pt>
                <c:pt idx="318">
                  <c:v>28.198903463270192</c:v>
                </c:pt>
                <c:pt idx="319">
                  <c:v>28.198903463270192</c:v>
                </c:pt>
                <c:pt idx="320">
                  <c:v>28.198903463270192</c:v>
                </c:pt>
                <c:pt idx="321">
                  <c:v>28.198903463270192</c:v>
                </c:pt>
                <c:pt idx="322">
                  <c:v>28.198903463270192</c:v>
                </c:pt>
                <c:pt idx="323">
                  <c:v>28.198903463270192</c:v>
                </c:pt>
                <c:pt idx="324">
                  <c:v>28.198903463270192</c:v>
                </c:pt>
                <c:pt idx="325">
                  <c:v>28.198903463270192</c:v>
                </c:pt>
                <c:pt idx="326">
                  <c:v>28.198903463270192</c:v>
                </c:pt>
                <c:pt idx="327">
                  <c:v>28.198903463270192</c:v>
                </c:pt>
                <c:pt idx="328">
                  <c:v>28.198903463270192</c:v>
                </c:pt>
                <c:pt idx="329">
                  <c:v>28.198903463270192</c:v>
                </c:pt>
                <c:pt idx="330">
                  <c:v>28.198903463270192</c:v>
                </c:pt>
                <c:pt idx="331">
                  <c:v>28.198903463270192</c:v>
                </c:pt>
                <c:pt idx="332">
                  <c:v>28.198903463270192</c:v>
                </c:pt>
                <c:pt idx="333">
                  <c:v>28.198903463270192</c:v>
                </c:pt>
                <c:pt idx="334">
                  <c:v>28.198903463270192</c:v>
                </c:pt>
                <c:pt idx="335">
                  <c:v>28.198903463270192</c:v>
                </c:pt>
                <c:pt idx="336">
                  <c:v>28.198903463270192</c:v>
                </c:pt>
                <c:pt idx="337">
                  <c:v>28.198903463270192</c:v>
                </c:pt>
                <c:pt idx="338">
                  <c:v>28.198903463270192</c:v>
                </c:pt>
                <c:pt idx="339">
                  <c:v>28.198903463270192</c:v>
                </c:pt>
                <c:pt idx="340">
                  <c:v>28.198903463270192</c:v>
                </c:pt>
                <c:pt idx="341">
                  <c:v>28.198903463270192</c:v>
                </c:pt>
                <c:pt idx="342">
                  <c:v>28.198903463270192</c:v>
                </c:pt>
                <c:pt idx="343">
                  <c:v>28.198903463270192</c:v>
                </c:pt>
                <c:pt idx="344">
                  <c:v>28.198903463270192</c:v>
                </c:pt>
                <c:pt idx="345">
                  <c:v>28.198903463270192</c:v>
                </c:pt>
                <c:pt idx="346">
                  <c:v>28.198903463270192</c:v>
                </c:pt>
                <c:pt idx="347">
                  <c:v>28.198903463270192</c:v>
                </c:pt>
                <c:pt idx="348">
                  <c:v>28.198903463270192</c:v>
                </c:pt>
                <c:pt idx="349">
                  <c:v>28.198903463270192</c:v>
                </c:pt>
                <c:pt idx="350">
                  <c:v>28.198903463270192</c:v>
                </c:pt>
                <c:pt idx="351">
                  <c:v>28.198903463270192</c:v>
                </c:pt>
                <c:pt idx="352">
                  <c:v>28.198903463270192</c:v>
                </c:pt>
                <c:pt idx="353">
                  <c:v>28.198903463270192</c:v>
                </c:pt>
                <c:pt idx="354">
                  <c:v>28.198903463270192</c:v>
                </c:pt>
                <c:pt idx="355">
                  <c:v>28.198903463270192</c:v>
                </c:pt>
                <c:pt idx="356">
                  <c:v>28.198903463270192</c:v>
                </c:pt>
                <c:pt idx="357">
                  <c:v>28.198903463270192</c:v>
                </c:pt>
                <c:pt idx="358">
                  <c:v>28.198903463270192</c:v>
                </c:pt>
                <c:pt idx="359">
                  <c:v>28.198903463270192</c:v>
                </c:pt>
                <c:pt idx="360">
                  <c:v>28.198903463270192</c:v>
                </c:pt>
                <c:pt idx="361">
                  <c:v>28.198903463270192</c:v>
                </c:pt>
                <c:pt idx="362">
                  <c:v>28.198903463270192</c:v>
                </c:pt>
                <c:pt idx="363">
                  <c:v>28.198903463270192</c:v>
                </c:pt>
                <c:pt idx="364">
                  <c:v>28.198903463270192</c:v>
                </c:pt>
                <c:pt idx="365">
                  <c:v>28.198903463270192</c:v>
                </c:pt>
                <c:pt idx="366">
                  <c:v>28.198903463270192</c:v>
                </c:pt>
                <c:pt idx="367">
                  <c:v>28.198903463270192</c:v>
                </c:pt>
                <c:pt idx="368">
                  <c:v>28.198903463270192</c:v>
                </c:pt>
                <c:pt idx="369">
                  <c:v>28.198903463270192</c:v>
                </c:pt>
                <c:pt idx="370">
                  <c:v>28.198903463270192</c:v>
                </c:pt>
                <c:pt idx="371">
                  <c:v>28.198903463270192</c:v>
                </c:pt>
                <c:pt idx="372">
                  <c:v>28.198903463270192</c:v>
                </c:pt>
                <c:pt idx="373">
                  <c:v>28.198903463270192</c:v>
                </c:pt>
                <c:pt idx="374">
                  <c:v>28.198903463270192</c:v>
                </c:pt>
                <c:pt idx="375">
                  <c:v>28.198903463270192</c:v>
                </c:pt>
                <c:pt idx="376">
                  <c:v>28.198903463270192</c:v>
                </c:pt>
                <c:pt idx="377">
                  <c:v>28.198903463270192</c:v>
                </c:pt>
                <c:pt idx="378">
                  <c:v>28.198903463270192</c:v>
                </c:pt>
                <c:pt idx="379">
                  <c:v>28.198903463270192</c:v>
                </c:pt>
                <c:pt idx="380">
                  <c:v>28.198903463270192</c:v>
                </c:pt>
                <c:pt idx="381">
                  <c:v>28.198903463270192</c:v>
                </c:pt>
                <c:pt idx="382">
                  <c:v>28.198903463270192</c:v>
                </c:pt>
                <c:pt idx="383">
                  <c:v>28.198903463270192</c:v>
                </c:pt>
                <c:pt idx="384">
                  <c:v>28.198903463270192</c:v>
                </c:pt>
                <c:pt idx="385">
                  <c:v>28.198903463270192</c:v>
                </c:pt>
                <c:pt idx="386">
                  <c:v>28.198903463270192</c:v>
                </c:pt>
                <c:pt idx="387">
                  <c:v>28.198903463270192</c:v>
                </c:pt>
                <c:pt idx="388">
                  <c:v>28.198903463270192</c:v>
                </c:pt>
                <c:pt idx="389">
                  <c:v>28.198903463270192</c:v>
                </c:pt>
                <c:pt idx="390">
                  <c:v>28.198903463270192</c:v>
                </c:pt>
                <c:pt idx="391">
                  <c:v>28.198903463270192</c:v>
                </c:pt>
                <c:pt idx="392">
                  <c:v>28.198903463270192</c:v>
                </c:pt>
                <c:pt idx="393">
                  <c:v>28.198903463270192</c:v>
                </c:pt>
                <c:pt idx="394">
                  <c:v>28.198903463270192</c:v>
                </c:pt>
                <c:pt idx="395">
                  <c:v>28.198903463270192</c:v>
                </c:pt>
                <c:pt idx="396">
                  <c:v>28.198903463270192</c:v>
                </c:pt>
                <c:pt idx="397">
                  <c:v>28.198903463270192</c:v>
                </c:pt>
                <c:pt idx="398">
                  <c:v>28.198903463270192</c:v>
                </c:pt>
                <c:pt idx="399">
                  <c:v>28.198903463270192</c:v>
                </c:pt>
                <c:pt idx="400">
                  <c:v>28.198903463270192</c:v>
                </c:pt>
                <c:pt idx="401">
                  <c:v>28.198903463270192</c:v>
                </c:pt>
                <c:pt idx="402">
                  <c:v>28.198903463270192</c:v>
                </c:pt>
                <c:pt idx="403">
                  <c:v>28.198903463270192</c:v>
                </c:pt>
                <c:pt idx="404">
                  <c:v>28.198903463270192</c:v>
                </c:pt>
                <c:pt idx="405">
                  <c:v>28.198903463270192</c:v>
                </c:pt>
                <c:pt idx="406">
                  <c:v>28.198903463270192</c:v>
                </c:pt>
                <c:pt idx="407">
                  <c:v>28.198903463270192</c:v>
                </c:pt>
                <c:pt idx="408">
                  <c:v>28.198903463270192</c:v>
                </c:pt>
                <c:pt idx="409">
                  <c:v>28.198903463270192</c:v>
                </c:pt>
                <c:pt idx="410">
                  <c:v>28.198903463270192</c:v>
                </c:pt>
                <c:pt idx="411">
                  <c:v>28.198903463270192</c:v>
                </c:pt>
                <c:pt idx="412">
                  <c:v>28.198903463270192</c:v>
                </c:pt>
                <c:pt idx="413">
                  <c:v>28.198903463270192</c:v>
                </c:pt>
                <c:pt idx="414">
                  <c:v>28.198903463270192</c:v>
                </c:pt>
                <c:pt idx="415">
                  <c:v>28.198903463270192</c:v>
                </c:pt>
                <c:pt idx="416">
                  <c:v>28.198903463270192</c:v>
                </c:pt>
                <c:pt idx="417">
                  <c:v>28.198903463270192</c:v>
                </c:pt>
                <c:pt idx="418">
                  <c:v>28.198903463270192</c:v>
                </c:pt>
                <c:pt idx="419">
                  <c:v>28.198903463270192</c:v>
                </c:pt>
                <c:pt idx="420">
                  <c:v>28.198903463270192</c:v>
                </c:pt>
                <c:pt idx="421">
                  <c:v>28.198903463270192</c:v>
                </c:pt>
                <c:pt idx="422">
                  <c:v>28.198903463270192</c:v>
                </c:pt>
                <c:pt idx="423">
                  <c:v>28.198903463270192</c:v>
                </c:pt>
                <c:pt idx="424">
                  <c:v>28.198903463270192</c:v>
                </c:pt>
                <c:pt idx="425">
                  <c:v>28.198903463270192</c:v>
                </c:pt>
                <c:pt idx="426">
                  <c:v>28.198903463270192</c:v>
                </c:pt>
                <c:pt idx="427">
                  <c:v>28.198903463270192</c:v>
                </c:pt>
                <c:pt idx="428">
                  <c:v>28.198903463270192</c:v>
                </c:pt>
                <c:pt idx="429">
                  <c:v>28.198903463270192</c:v>
                </c:pt>
                <c:pt idx="430">
                  <c:v>28.198903463270192</c:v>
                </c:pt>
                <c:pt idx="431">
                  <c:v>28.198903463270192</c:v>
                </c:pt>
                <c:pt idx="432">
                  <c:v>28.198903463270192</c:v>
                </c:pt>
                <c:pt idx="433">
                  <c:v>28.198903463270192</c:v>
                </c:pt>
                <c:pt idx="434">
                  <c:v>28.198903463270192</c:v>
                </c:pt>
                <c:pt idx="435">
                  <c:v>28.198903463270192</c:v>
                </c:pt>
                <c:pt idx="436">
                  <c:v>28.198903463270192</c:v>
                </c:pt>
                <c:pt idx="437">
                  <c:v>28.198903463270192</c:v>
                </c:pt>
                <c:pt idx="438">
                  <c:v>28.198903463270192</c:v>
                </c:pt>
                <c:pt idx="439">
                  <c:v>28.198903463270192</c:v>
                </c:pt>
                <c:pt idx="440">
                  <c:v>28.198903463270192</c:v>
                </c:pt>
                <c:pt idx="441">
                  <c:v>28.198903463270192</c:v>
                </c:pt>
                <c:pt idx="442">
                  <c:v>28.198903463270192</c:v>
                </c:pt>
                <c:pt idx="443">
                  <c:v>28.198903463270192</c:v>
                </c:pt>
                <c:pt idx="444">
                  <c:v>28.198903463270192</c:v>
                </c:pt>
                <c:pt idx="445">
                  <c:v>28.198903463270192</c:v>
                </c:pt>
                <c:pt idx="446">
                  <c:v>28.198903463270192</c:v>
                </c:pt>
                <c:pt idx="447">
                  <c:v>28.198903463270192</c:v>
                </c:pt>
                <c:pt idx="448">
                  <c:v>28.198903463270192</c:v>
                </c:pt>
                <c:pt idx="449">
                  <c:v>28.198903463270192</c:v>
                </c:pt>
                <c:pt idx="450">
                  <c:v>28.198903463270192</c:v>
                </c:pt>
                <c:pt idx="451">
                  <c:v>28.198903463270192</c:v>
                </c:pt>
                <c:pt idx="452">
                  <c:v>28.198903463270192</c:v>
                </c:pt>
                <c:pt idx="453">
                  <c:v>28.198903463270192</c:v>
                </c:pt>
                <c:pt idx="454">
                  <c:v>28.198903463270192</c:v>
                </c:pt>
                <c:pt idx="455">
                  <c:v>28.198903463270192</c:v>
                </c:pt>
                <c:pt idx="456">
                  <c:v>28.198903463270192</c:v>
                </c:pt>
                <c:pt idx="457">
                  <c:v>28.198903463270192</c:v>
                </c:pt>
                <c:pt idx="458">
                  <c:v>28.198903463270192</c:v>
                </c:pt>
                <c:pt idx="459">
                  <c:v>28.198903463270192</c:v>
                </c:pt>
                <c:pt idx="460">
                  <c:v>28.198903463270192</c:v>
                </c:pt>
                <c:pt idx="461">
                  <c:v>28.198903463270192</c:v>
                </c:pt>
                <c:pt idx="462">
                  <c:v>28.198903463270192</c:v>
                </c:pt>
                <c:pt idx="463">
                  <c:v>28.198903463270192</c:v>
                </c:pt>
                <c:pt idx="464">
                  <c:v>28.198903463270192</c:v>
                </c:pt>
                <c:pt idx="465">
                  <c:v>28.198903463270192</c:v>
                </c:pt>
                <c:pt idx="466">
                  <c:v>28.198903463270192</c:v>
                </c:pt>
                <c:pt idx="467">
                  <c:v>28.198903463270192</c:v>
                </c:pt>
                <c:pt idx="468">
                  <c:v>28.198903463270192</c:v>
                </c:pt>
                <c:pt idx="469">
                  <c:v>28.198903463270192</c:v>
                </c:pt>
                <c:pt idx="470">
                  <c:v>28.198903463270192</c:v>
                </c:pt>
                <c:pt idx="471">
                  <c:v>28.198903463270192</c:v>
                </c:pt>
                <c:pt idx="472">
                  <c:v>28.198903463270192</c:v>
                </c:pt>
                <c:pt idx="473">
                  <c:v>28.198903463270192</c:v>
                </c:pt>
                <c:pt idx="474">
                  <c:v>28.198903463270192</c:v>
                </c:pt>
                <c:pt idx="475">
                  <c:v>28.198903463270192</c:v>
                </c:pt>
                <c:pt idx="476">
                  <c:v>28.198903463270192</c:v>
                </c:pt>
                <c:pt idx="477">
                  <c:v>28.198903463270192</c:v>
                </c:pt>
                <c:pt idx="478">
                  <c:v>28.198903463270192</c:v>
                </c:pt>
                <c:pt idx="479">
                  <c:v>28.198903463270192</c:v>
                </c:pt>
                <c:pt idx="480">
                  <c:v>28.198903463270192</c:v>
                </c:pt>
                <c:pt idx="481">
                  <c:v>28.198903463270192</c:v>
                </c:pt>
                <c:pt idx="482">
                  <c:v>28.198903463270192</c:v>
                </c:pt>
                <c:pt idx="483">
                  <c:v>28.198903463270192</c:v>
                </c:pt>
                <c:pt idx="484">
                  <c:v>28.198903463270192</c:v>
                </c:pt>
                <c:pt idx="485">
                  <c:v>28.198903463270192</c:v>
                </c:pt>
                <c:pt idx="486">
                  <c:v>28.198903463270192</c:v>
                </c:pt>
                <c:pt idx="487">
                  <c:v>28.198903463270192</c:v>
                </c:pt>
                <c:pt idx="488">
                  <c:v>28.198903463270192</c:v>
                </c:pt>
                <c:pt idx="489">
                  <c:v>28.198903463270192</c:v>
                </c:pt>
                <c:pt idx="490">
                  <c:v>28.198903463270192</c:v>
                </c:pt>
                <c:pt idx="491">
                  <c:v>28.198903463270192</c:v>
                </c:pt>
                <c:pt idx="492">
                  <c:v>28.198903463270192</c:v>
                </c:pt>
                <c:pt idx="493">
                  <c:v>28.198903463270192</c:v>
                </c:pt>
                <c:pt idx="494">
                  <c:v>28.198903463270192</c:v>
                </c:pt>
                <c:pt idx="495">
                  <c:v>28.198903463270192</c:v>
                </c:pt>
                <c:pt idx="496">
                  <c:v>28.198903463270192</c:v>
                </c:pt>
                <c:pt idx="497">
                  <c:v>28.198903463270192</c:v>
                </c:pt>
                <c:pt idx="498">
                  <c:v>28.198903463270192</c:v>
                </c:pt>
                <c:pt idx="499">
                  <c:v>28.198903463270192</c:v>
                </c:pt>
                <c:pt idx="500">
                  <c:v>28.198903463270192</c:v>
                </c:pt>
                <c:pt idx="501">
                  <c:v>28.198903463270192</c:v>
                </c:pt>
                <c:pt idx="502">
                  <c:v>28.198903463270192</c:v>
                </c:pt>
                <c:pt idx="503">
                  <c:v>28.198903463270192</c:v>
                </c:pt>
                <c:pt idx="504">
                  <c:v>28.198903463270192</c:v>
                </c:pt>
                <c:pt idx="505">
                  <c:v>28.198903463270192</c:v>
                </c:pt>
                <c:pt idx="506">
                  <c:v>28.198903463270192</c:v>
                </c:pt>
                <c:pt idx="507">
                  <c:v>28.198903463270192</c:v>
                </c:pt>
                <c:pt idx="508">
                  <c:v>28.198903463270192</c:v>
                </c:pt>
                <c:pt idx="509">
                  <c:v>28.198903463270192</c:v>
                </c:pt>
                <c:pt idx="510">
                  <c:v>28.198903463270192</c:v>
                </c:pt>
                <c:pt idx="511">
                  <c:v>28.198903463270192</c:v>
                </c:pt>
                <c:pt idx="512">
                  <c:v>28.198903463270192</c:v>
                </c:pt>
                <c:pt idx="513">
                  <c:v>28.198903463270192</c:v>
                </c:pt>
                <c:pt idx="514">
                  <c:v>28.198903463270192</c:v>
                </c:pt>
                <c:pt idx="515">
                  <c:v>28.198903463270192</c:v>
                </c:pt>
                <c:pt idx="516">
                  <c:v>28.198903463270192</c:v>
                </c:pt>
                <c:pt idx="517">
                  <c:v>28.198903463270192</c:v>
                </c:pt>
                <c:pt idx="518">
                  <c:v>28.198903463270192</c:v>
                </c:pt>
                <c:pt idx="519">
                  <c:v>28.198903463270192</c:v>
                </c:pt>
                <c:pt idx="520">
                  <c:v>28.198903463270192</c:v>
                </c:pt>
                <c:pt idx="521">
                  <c:v>28.198903463270192</c:v>
                </c:pt>
                <c:pt idx="522">
                  <c:v>28.198903463270192</c:v>
                </c:pt>
                <c:pt idx="523">
                  <c:v>28.198903463270192</c:v>
                </c:pt>
                <c:pt idx="524">
                  <c:v>28.198903463270192</c:v>
                </c:pt>
                <c:pt idx="525">
                  <c:v>28.198903463270192</c:v>
                </c:pt>
                <c:pt idx="526">
                  <c:v>28.198903463270192</c:v>
                </c:pt>
                <c:pt idx="527">
                  <c:v>28.198903463270192</c:v>
                </c:pt>
                <c:pt idx="528">
                  <c:v>28.198903463270192</c:v>
                </c:pt>
                <c:pt idx="529">
                  <c:v>28.198903463270192</c:v>
                </c:pt>
                <c:pt idx="530">
                  <c:v>28.198903463270192</c:v>
                </c:pt>
                <c:pt idx="531">
                  <c:v>28.198903463270192</c:v>
                </c:pt>
                <c:pt idx="532">
                  <c:v>28.198903463270192</c:v>
                </c:pt>
                <c:pt idx="533">
                  <c:v>28.198903463270192</c:v>
                </c:pt>
                <c:pt idx="534">
                  <c:v>28.198903463270192</c:v>
                </c:pt>
                <c:pt idx="535">
                  <c:v>28.198903463270192</c:v>
                </c:pt>
                <c:pt idx="536">
                  <c:v>28.198903463270192</c:v>
                </c:pt>
                <c:pt idx="537">
                  <c:v>28.198903463270192</c:v>
                </c:pt>
                <c:pt idx="538">
                  <c:v>28.198903463270192</c:v>
                </c:pt>
                <c:pt idx="539">
                  <c:v>28.198903463270192</c:v>
                </c:pt>
                <c:pt idx="540">
                  <c:v>28.198903463270192</c:v>
                </c:pt>
                <c:pt idx="541">
                  <c:v>28.198903463270192</c:v>
                </c:pt>
                <c:pt idx="542">
                  <c:v>28.198903463270192</c:v>
                </c:pt>
                <c:pt idx="543">
                  <c:v>28.198903463270192</c:v>
                </c:pt>
                <c:pt idx="544">
                  <c:v>28.198903463270192</c:v>
                </c:pt>
                <c:pt idx="545">
                  <c:v>28.198903463270192</c:v>
                </c:pt>
                <c:pt idx="546">
                  <c:v>28.198903463270192</c:v>
                </c:pt>
                <c:pt idx="547">
                  <c:v>28.198903463270192</c:v>
                </c:pt>
                <c:pt idx="548">
                  <c:v>28.198903463270192</c:v>
                </c:pt>
                <c:pt idx="549">
                  <c:v>28.198903463270192</c:v>
                </c:pt>
                <c:pt idx="550">
                  <c:v>28.198903463270192</c:v>
                </c:pt>
                <c:pt idx="551">
                  <c:v>28.198903463270192</c:v>
                </c:pt>
                <c:pt idx="552">
                  <c:v>28.198903463270192</c:v>
                </c:pt>
                <c:pt idx="553">
                  <c:v>28.198903463270192</c:v>
                </c:pt>
                <c:pt idx="554">
                  <c:v>28.198903463270192</c:v>
                </c:pt>
                <c:pt idx="555">
                  <c:v>28.198903463270192</c:v>
                </c:pt>
                <c:pt idx="556">
                  <c:v>28.198903463270192</c:v>
                </c:pt>
                <c:pt idx="557">
                  <c:v>28.198903463270192</c:v>
                </c:pt>
                <c:pt idx="558">
                  <c:v>28.198903463270192</c:v>
                </c:pt>
                <c:pt idx="559">
                  <c:v>28.198903463270192</c:v>
                </c:pt>
                <c:pt idx="560">
                  <c:v>28.198903463270192</c:v>
                </c:pt>
                <c:pt idx="561">
                  <c:v>28.198903463270192</c:v>
                </c:pt>
                <c:pt idx="562">
                  <c:v>28.198903463270192</c:v>
                </c:pt>
                <c:pt idx="563">
                  <c:v>28.198903463270192</c:v>
                </c:pt>
                <c:pt idx="564">
                  <c:v>28.198903463270192</c:v>
                </c:pt>
                <c:pt idx="565">
                  <c:v>28.198903463270192</c:v>
                </c:pt>
                <c:pt idx="566">
                  <c:v>28.198903463270192</c:v>
                </c:pt>
                <c:pt idx="567">
                  <c:v>28.198903463270192</c:v>
                </c:pt>
                <c:pt idx="568">
                  <c:v>28.198903463270192</c:v>
                </c:pt>
                <c:pt idx="569">
                  <c:v>28.198903463270192</c:v>
                </c:pt>
                <c:pt idx="570">
                  <c:v>28.198903463270192</c:v>
                </c:pt>
                <c:pt idx="571">
                  <c:v>28.198903463270192</c:v>
                </c:pt>
                <c:pt idx="572">
                  <c:v>28.198903463270192</c:v>
                </c:pt>
                <c:pt idx="573">
                  <c:v>28.198903463270192</c:v>
                </c:pt>
                <c:pt idx="574">
                  <c:v>28.198903463270192</c:v>
                </c:pt>
                <c:pt idx="575">
                  <c:v>28.198903463270192</c:v>
                </c:pt>
                <c:pt idx="576">
                  <c:v>28.198903463270192</c:v>
                </c:pt>
                <c:pt idx="577">
                  <c:v>28.198903463270192</c:v>
                </c:pt>
                <c:pt idx="578">
                  <c:v>28.198903463270192</c:v>
                </c:pt>
                <c:pt idx="579">
                  <c:v>28.198903463270192</c:v>
                </c:pt>
                <c:pt idx="580">
                  <c:v>28.198903463270192</c:v>
                </c:pt>
                <c:pt idx="581">
                  <c:v>28.198903463270192</c:v>
                </c:pt>
                <c:pt idx="582">
                  <c:v>28.198903463270192</c:v>
                </c:pt>
                <c:pt idx="583">
                  <c:v>28.198903463270192</c:v>
                </c:pt>
                <c:pt idx="584">
                  <c:v>28.198903463270192</c:v>
                </c:pt>
                <c:pt idx="585">
                  <c:v>28.198903463270192</c:v>
                </c:pt>
                <c:pt idx="586">
                  <c:v>28.198903463270192</c:v>
                </c:pt>
                <c:pt idx="587">
                  <c:v>28.198903463270192</c:v>
                </c:pt>
                <c:pt idx="588">
                  <c:v>28.198903463270192</c:v>
                </c:pt>
                <c:pt idx="589">
                  <c:v>28.198903463270192</c:v>
                </c:pt>
                <c:pt idx="590">
                  <c:v>28.198903463270192</c:v>
                </c:pt>
                <c:pt idx="591">
                  <c:v>28.198903463270192</c:v>
                </c:pt>
                <c:pt idx="592">
                  <c:v>28.198903463270192</c:v>
                </c:pt>
                <c:pt idx="593">
                  <c:v>28.198903463270192</c:v>
                </c:pt>
                <c:pt idx="594">
                  <c:v>28.198903463270192</c:v>
                </c:pt>
                <c:pt idx="595">
                  <c:v>28.198903463270192</c:v>
                </c:pt>
                <c:pt idx="596">
                  <c:v>28.198903463270192</c:v>
                </c:pt>
                <c:pt idx="597">
                  <c:v>28.198903463270192</c:v>
                </c:pt>
                <c:pt idx="598">
                  <c:v>28.198903463270192</c:v>
                </c:pt>
                <c:pt idx="599">
                  <c:v>28.198903463270192</c:v>
                </c:pt>
                <c:pt idx="600">
                  <c:v>28.198903463270192</c:v>
                </c:pt>
                <c:pt idx="601">
                  <c:v>28.198903463270192</c:v>
                </c:pt>
                <c:pt idx="602">
                  <c:v>28.198903463270192</c:v>
                </c:pt>
                <c:pt idx="603">
                  <c:v>28.198903463270192</c:v>
                </c:pt>
                <c:pt idx="604">
                  <c:v>28.198903463270192</c:v>
                </c:pt>
                <c:pt idx="605">
                  <c:v>28.198903463270192</c:v>
                </c:pt>
                <c:pt idx="606">
                  <c:v>28.198903463270192</c:v>
                </c:pt>
                <c:pt idx="607">
                  <c:v>28.198903463270192</c:v>
                </c:pt>
                <c:pt idx="608">
                  <c:v>28.198903463270192</c:v>
                </c:pt>
                <c:pt idx="609">
                  <c:v>28.198903463270192</c:v>
                </c:pt>
                <c:pt idx="610">
                  <c:v>28.198903463270192</c:v>
                </c:pt>
                <c:pt idx="611">
                  <c:v>28.198903463270192</c:v>
                </c:pt>
                <c:pt idx="612">
                  <c:v>28.198903463270192</c:v>
                </c:pt>
                <c:pt idx="613">
                  <c:v>28.198903463270192</c:v>
                </c:pt>
                <c:pt idx="614">
                  <c:v>28.198903463270192</c:v>
                </c:pt>
                <c:pt idx="615">
                  <c:v>28.198903463270192</c:v>
                </c:pt>
                <c:pt idx="616">
                  <c:v>28.198903463270192</c:v>
                </c:pt>
                <c:pt idx="617">
                  <c:v>28.198903463270192</c:v>
                </c:pt>
                <c:pt idx="618">
                  <c:v>28.198903463270192</c:v>
                </c:pt>
                <c:pt idx="619">
                  <c:v>28.198903463270192</c:v>
                </c:pt>
                <c:pt idx="620">
                  <c:v>28.198903463270192</c:v>
                </c:pt>
                <c:pt idx="621">
                  <c:v>28.198903463270192</c:v>
                </c:pt>
                <c:pt idx="622">
                  <c:v>28.198903463270192</c:v>
                </c:pt>
                <c:pt idx="623">
                  <c:v>28.198903463270192</c:v>
                </c:pt>
                <c:pt idx="624">
                  <c:v>28.198903463270192</c:v>
                </c:pt>
                <c:pt idx="625">
                  <c:v>28.198903463270192</c:v>
                </c:pt>
                <c:pt idx="626">
                  <c:v>28.198903463270192</c:v>
                </c:pt>
                <c:pt idx="627">
                  <c:v>28.198903463270192</c:v>
                </c:pt>
                <c:pt idx="628">
                  <c:v>28.198903463270192</c:v>
                </c:pt>
                <c:pt idx="629">
                  <c:v>28.198903463270192</c:v>
                </c:pt>
                <c:pt idx="630">
                  <c:v>28.198903463270192</c:v>
                </c:pt>
                <c:pt idx="631">
                  <c:v>28.198903463270192</c:v>
                </c:pt>
                <c:pt idx="632">
                  <c:v>28.198903463270192</c:v>
                </c:pt>
                <c:pt idx="633">
                  <c:v>28.198903463270192</c:v>
                </c:pt>
                <c:pt idx="634">
                  <c:v>28.198903463270192</c:v>
                </c:pt>
                <c:pt idx="635">
                  <c:v>28.198903463270192</c:v>
                </c:pt>
                <c:pt idx="636">
                  <c:v>28.198903463270192</c:v>
                </c:pt>
                <c:pt idx="637">
                  <c:v>28.198903463270192</c:v>
                </c:pt>
                <c:pt idx="638">
                  <c:v>28.198903463270192</c:v>
                </c:pt>
                <c:pt idx="639">
                  <c:v>28.198903463270192</c:v>
                </c:pt>
                <c:pt idx="640">
                  <c:v>28.198903463270192</c:v>
                </c:pt>
                <c:pt idx="641">
                  <c:v>28.198903463270192</c:v>
                </c:pt>
                <c:pt idx="642">
                  <c:v>28.198903463270192</c:v>
                </c:pt>
                <c:pt idx="643">
                  <c:v>28.198903463270192</c:v>
                </c:pt>
                <c:pt idx="644">
                  <c:v>28.198903463270192</c:v>
                </c:pt>
                <c:pt idx="645">
                  <c:v>28.198903463270192</c:v>
                </c:pt>
                <c:pt idx="646">
                  <c:v>28.198903463270192</c:v>
                </c:pt>
                <c:pt idx="647">
                  <c:v>28.198903463270192</c:v>
                </c:pt>
                <c:pt idx="648">
                  <c:v>28.198903463270192</c:v>
                </c:pt>
                <c:pt idx="649">
                  <c:v>28.198903463270192</c:v>
                </c:pt>
                <c:pt idx="650">
                  <c:v>28.198903463270192</c:v>
                </c:pt>
                <c:pt idx="651">
                  <c:v>28.198903463270192</c:v>
                </c:pt>
                <c:pt idx="652">
                  <c:v>28.198903463270192</c:v>
                </c:pt>
                <c:pt idx="653">
                  <c:v>28.198903463270192</c:v>
                </c:pt>
                <c:pt idx="654">
                  <c:v>28.198903463270192</c:v>
                </c:pt>
                <c:pt idx="655">
                  <c:v>28.198903463270192</c:v>
                </c:pt>
                <c:pt idx="656">
                  <c:v>28.198903463270192</c:v>
                </c:pt>
                <c:pt idx="657">
                  <c:v>28.198903463270192</c:v>
                </c:pt>
                <c:pt idx="658">
                  <c:v>28.198903463270192</c:v>
                </c:pt>
                <c:pt idx="659">
                  <c:v>28.198903463270192</c:v>
                </c:pt>
                <c:pt idx="660">
                  <c:v>28.198903463270192</c:v>
                </c:pt>
                <c:pt idx="661">
                  <c:v>28.198903463270192</c:v>
                </c:pt>
                <c:pt idx="662">
                  <c:v>28.198903463270192</c:v>
                </c:pt>
                <c:pt idx="663">
                  <c:v>28.198903463270192</c:v>
                </c:pt>
                <c:pt idx="664">
                  <c:v>28.198903463270192</c:v>
                </c:pt>
                <c:pt idx="665">
                  <c:v>28.198903463270192</c:v>
                </c:pt>
                <c:pt idx="666">
                  <c:v>28.198903463270192</c:v>
                </c:pt>
                <c:pt idx="667">
                  <c:v>28.198903463270192</c:v>
                </c:pt>
                <c:pt idx="668">
                  <c:v>28.198903463270192</c:v>
                </c:pt>
                <c:pt idx="669">
                  <c:v>28.198903463270192</c:v>
                </c:pt>
                <c:pt idx="670">
                  <c:v>28.198903463270192</c:v>
                </c:pt>
                <c:pt idx="671">
                  <c:v>28.198903463270192</c:v>
                </c:pt>
                <c:pt idx="672">
                  <c:v>28.198903463270192</c:v>
                </c:pt>
                <c:pt idx="673">
                  <c:v>28.198903463270192</c:v>
                </c:pt>
                <c:pt idx="674">
                  <c:v>28.198903463270192</c:v>
                </c:pt>
                <c:pt idx="675">
                  <c:v>28.198903463270192</c:v>
                </c:pt>
                <c:pt idx="676">
                  <c:v>28.198903463270192</c:v>
                </c:pt>
                <c:pt idx="677">
                  <c:v>28.198903463270192</c:v>
                </c:pt>
                <c:pt idx="678">
                  <c:v>28.198903463270192</c:v>
                </c:pt>
                <c:pt idx="679">
                  <c:v>28.198903463270192</c:v>
                </c:pt>
                <c:pt idx="680">
                  <c:v>28.198903463270192</c:v>
                </c:pt>
                <c:pt idx="681">
                  <c:v>28.198903463270192</c:v>
                </c:pt>
                <c:pt idx="682">
                  <c:v>28.198903463270192</c:v>
                </c:pt>
                <c:pt idx="683">
                  <c:v>28.198903463270192</c:v>
                </c:pt>
                <c:pt idx="684">
                  <c:v>28.198903463270192</c:v>
                </c:pt>
                <c:pt idx="685">
                  <c:v>28.198903463270192</c:v>
                </c:pt>
                <c:pt idx="686">
                  <c:v>28.198903463270192</c:v>
                </c:pt>
                <c:pt idx="687">
                  <c:v>28.198903463270192</c:v>
                </c:pt>
                <c:pt idx="688">
                  <c:v>28.198903463270192</c:v>
                </c:pt>
                <c:pt idx="689">
                  <c:v>28.198903463270192</c:v>
                </c:pt>
                <c:pt idx="690">
                  <c:v>28.198903463270192</c:v>
                </c:pt>
                <c:pt idx="691">
                  <c:v>28.198903463270192</c:v>
                </c:pt>
                <c:pt idx="692">
                  <c:v>28.198903463270192</c:v>
                </c:pt>
                <c:pt idx="693">
                  <c:v>28.198903463270192</c:v>
                </c:pt>
                <c:pt idx="694">
                  <c:v>28.198903463270192</c:v>
                </c:pt>
                <c:pt idx="695">
                  <c:v>28.198903463270192</c:v>
                </c:pt>
                <c:pt idx="696">
                  <c:v>28.198903463270192</c:v>
                </c:pt>
                <c:pt idx="697">
                  <c:v>28.198903463270192</c:v>
                </c:pt>
                <c:pt idx="698">
                  <c:v>28.198903463270192</c:v>
                </c:pt>
                <c:pt idx="699">
                  <c:v>28.198903463270192</c:v>
                </c:pt>
                <c:pt idx="700">
                  <c:v>28.198903463270192</c:v>
                </c:pt>
                <c:pt idx="701">
                  <c:v>28.198903463270192</c:v>
                </c:pt>
                <c:pt idx="702">
                  <c:v>28.198903463270192</c:v>
                </c:pt>
                <c:pt idx="703">
                  <c:v>28.198903463270192</c:v>
                </c:pt>
                <c:pt idx="704">
                  <c:v>28.198903463270192</c:v>
                </c:pt>
                <c:pt idx="705">
                  <c:v>28.198903463270192</c:v>
                </c:pt>
                <c:pt idx="706">
                  <c:v>28.198903463270192</c:v>
                </c:pt>
                <c:pt idx="707">
                  <c:v>28.198903463270192</c:v>
                </c:pt>
                <c:pt idx="708">
                  <c:v>28.198903463270192</c:v>
                </c:pt>
                <c:pt idx="709">
                  <c:v>28.198903463270192</c:v>
                </c:pt>
                <c:pt idx="710">
                  <c:v>28.198903463270192</c:v>
                </c:pt>
                <c:pt idx="711">
                  <c:v>28.198903463270192</c:v>
                </c:pt>
                <c:pt idx="712">
                  <c:v>28.198903463270192</c:v>
                </c:pt>
                <c:pt idx="713">
                  <c:v>28.198903463270192</c:v>
                </c:pt>
                <c:pt idx="714">
                  <c:v>28.198903463270192</c:v>
                </c:pt>
                <c:pt idx="715">
                  <c:v>28.198903463270192</c:v>
                </c:pt>
                <c:pt idx="716">
                  <c:v>28.198903463270192</c:v>
                </c:pt>
                <c:pt idx="717">
                  <c:v>28.198903463270192</c:v>
                </c:pt>
                <c:pt idx="718">
                  <c:v>28.198903463270192</c:v>
                </c:pt>
                <c:pt idx="719">
                  <c:v>28.198903463270192</c:v>
                </c:pt>
                <c:pt idx="720">
                  <c:v>28.198903463270192</c:v>
                </c:pt>
                <c:pt idx="721">
                  <c:v>28.198903463270192</c:v>
                </c:pt>
                <c:pt idx="722">
                  <c:v>28.198903463270192</c:v>
                </c:pt>
                <c:pt idx="723">
                  <c:v>28.198903463270192</c:v>
                </c:pt>
                <c:pt idx="724">
                  <c:v>28.198903463270192</c:v>
                </c:pt>
                <c:pt idx="725">
                  <c:v>28.198903463270192</c:v>
                </c:pt>
                <c:pt idx="726">
                  <c:v>28.198903463270192</c:v>
                </c:pt>
                <c:pt idx="727">
                  <c:v>28.198903463270192</c:v>
                </c:pt>
                <c:pt idx="728">
                  <c:v>28.198903463270192</c:v>
                </c:pt>
                <c:pt idx="729">
                  <c:v>28.198903463270192</c:v>
                </c:pt>
                <c:pt idx="730">
                  <c:v>28.198903463270192</c:v>
                </c:pt>
                <c:pt idx="731">
                  <c:v>28.198903463270192</c:v>
                </c:pt>
                <c:pt idx="732">
                  <c:v>28.198903463270192</c:v>
                </c:pt>
                <c:pt idx="733">
                  <c:v>28.198903463270192</c:v>
                </c:pt>
                <c:pt idx="734">
                  <c:v>28.198903463270192</c:v>
                </c:pt>
                <c:pt idx="735">
                  <c:v>28.198903463270192</c:v>
                </c:pt>
                <c:pt idx="736">
                  <c:v>28.198903463270192</c:v>
                </c:pt>
                <c:pt idx="737">
                  <c:v>28.198903463270192</c:v>
                </c:pt>
                <c:pt idx="738">
                  <c:v>28.198903463270192</c:v>
                </c:pt>
                <c:pt idx="739">
                  <c:v>28.198903463270192</c:v>
                </c:pt>
                <c:pt idx="740">
                  <c:v>28.198903463270192</c:v>
                </c:pt>
                <c:pt idx="741">
                  <c:v>28.198903463270192</c:v>
                </c:pt>
                <c:pt idx="742">
                  <c:v>28.198903463270192</c:v>
                </c:pt>
                <c:pt idx="743">
                  <c:v>28.198903463270192</c:v>
                </c:pt>
                <c:pt idx="744">
                  <c:v>28.198903463270192</c:v>
                </c:pt>
                <c:pt idx="745">
                  <c:v>28.198903463270192</c:v>
                </c:pt>
                <c:pt idx="746">
                  <c:v>28.198903463270192</c:v>
                </c:pt>
                <c:pt idx="747">
                  <c:v>28.198903463270192</c:v>
                </c:pt>
                <c:pt idx="748">
                  <c:v>28.198903463270192</c:v>
                </c:pt>
                <c:pt idx="749">
                  <c:v>28.198903463270192</c:v>
                </c:pt>
                <c:pt idx="750">
                  <c:v>28.198903463270192</c:v>
                </c:pt>
                <c:pt idx="751">
                  <c:v>28.198903463270192</c:v>
                </c:pt>
                <c:pt idx="752">
                  <c:v>28.198903463270192</c:v>
                </c:pt>
                <c:pt idx="753">
                  <c:v>28.198903463270192</c:v>
                </c:pt>
                <c:pt idx="754">
                  <c:v>28.198903463270192</c:v>
                </c:pt>
                <c:pt idx="755">
                  <c:v>28.198903463270192</c:v>
                </c:pt>
                <c:pt idx="756">
                  <c:v>28.198903463270192</c:v>
                </c:pt>
                <c:pt idx="757">
                  <c:v>28.198903463270192</c:v>
                </c:pt>
                <c:pt idx="758">
                  <c:v>28.198903463270192</c:v>
                </c:pt>
                <c:pt idx="759">
                  <c:v>28.198903463270192</c:v>
                </c:pt>
                <c:pt idx="760">
                  <c:v>28.198903463270192</c:v>
                </c:pt>
                <c:pt idx="761">
                  <c:v>28.198903463270192</c:v>
                </c:pt>
                <c:pt idx="762">
                  <c:v>28.198903463270192</c:v>
                </c:pt>
                <c:pt idx="763">
                  <c:v>28.198903463270192</c:v>
                </c:pt>
                <c:pt idx="764">
                  <c:v>28.198903463270192</c:v>
                </c:pt>
                <c:pt idx="765">
                  <c:v>28.198903463270192</c:v>
                </c:pt>
                <c:pt idx="766">
                  <c:v>28.198903463270192</c:v>
                </c:pt>
                <c:pt idx="767">
                  <c:v>28.198903463270192</c:v>
                </c:pt>
                <c:pt idx="768">
                  <c:v>28.198903463270192</c:v>
                </c:pt>
                <c:pt idx="769">
                  <c:v>28.198903463270192</c:v>
                </c:pt>
                <c:pt idx="770">
                  <c:v>28.198903463270192</c:v>
                </c:pt>
                <c:pt idx="771">
                  <c:v>28.198903463270192</c:v>
                </c:pt>
                <c:pt idx="772">
                  <c:v>28.198903463270192</c:v>
                </c:pt>
                <c:pt idx="773">
                  <c:v>28.198903463270192</c:v>
                </c:pt>
                <c:pt idx="774">
                  <c:v>28.198903463270192</c:v>
                </c:pt>
                <c:pt idx="775">
                  <c:v>28.198903463270192</c:v>
                </c:pt>
                <c:pt idx="776">
                  <c:v>28.198903463270192</c:v>
                </c:pt>
                <c:pt idx="777">
                  <c:v>28.198903463270192</c:v>
                </c:pt>
                <c:pt idx="778">
                  <c:v>28.198903463270192</c:v>
                </c:pt>
                <c:pt idx="779">
                  <c:v>28.198903463270192</c:v>
                </c:pt>
                <c:pt idx="780">
                  <c:v>28.198903463270192</c:v>
                </c:pt>
                <c:pt idx="781">
                  <c:v>28.198903463270192</c:v>
                </c:pt>
                <c:pt idx="782">
                  <c:v>28.198903463270192</c:v>
                </c:pt>
                <c:pt idx="783">
                  <c:v>28.198903463270192</c:v>
                </c:pt>
                <c:pt idx="784">
                  <c:v>28.198903463270192</c:v>
                </c:pt>
                <c:pt idx="785">
                  <c:v>28.198903463270192</c:v>
                </c:pt>
                <c:pt idx="786">
                  <c:v>28.198903463270192</c:v>
                </c:pt>
                <c:pt idx="787">
                  <c:v>28.198903463270192</c:v>
                </c:pt>
                <c:pt idx="788">
                  <c:v>28.198903463270192</c:v>
                </c:pt>
                <c:pt idx="789">
                  <c:v>28.198903463270192</c:v>
                </c:pt>
                <c:pt idx="790">
                  <c:v>28.198903463270192</c:v>
                </c:pt>
                <c:pt idx="791">
                  <c:v>28.198903463270192</c:v>
                </c:pt>
                <c:pt idx="792">
                  <c:v>28.198903463270192</c:v>
                </c:pt>
                <c:pt idx="793">
                  <c:v>28.198903463270192</c:v>
                </c:pt>
                <c:pt idx="794">
                  <c:v>28.198903463270192</c:v>
                </c:pt>
                <c:pt idx="795">
                  <c:v>28.198903463270192</c:v>
                </c:pt>
                <c:pt idx="796">
                  <c:v>28.198903463270192</c:v>
                </c:pt>
                <c:pt idx="797">
                  <c:v>28.198903463270192</c:v>
                </c:pt>
                <c:pt idx="798">
                  <c:v>28.198903463270192</c:v>
                </c:pt>
                <c:pt idx="799">
                  <c:v>28.198903463270192</c:v>
                </c:pt>
                <c:pt idx="800">
                  <c:v>28.198903463270192</c:v>
                </c:pt>
                <c:pt idx="801">
                  <c:v>28.198903463270192</c:v>
                </c:pt>
                <c:pt idx="802">
                  <c:v>28.198903463270192</c:v>
                </c:pt>
                <c:pt idx="803">
                  <c:v>28.198903463270192</c:v>
                </c:pt>
                <c:pt idx="804">
                  <c:v>28.198903463270192</c:v>
                </c:pt>
                <c:pt idx="805">
                  <c:v>28.198903463270192</c:v>
                </c:pt>
                <c:pt idx="806">
                  <c:v>28.198903463270192</c:v>
                </c:pt>
                <c:pt idx="807">
                  <c:v>28.198903463270192</c:v>
                </c:pt>
                <c:pt idx="808">
                  <c:v>28.198903463270192</c:v>
                </c:pt>
                <c:pt idx="809">
                  <c:v>28.198903463270192</c:v>
                </c:pt>
                <c:pt idx="810">
                  <c:v>28.198903463270192</c:v>
                </c:pt>
                <c:pt idx="811">
                  <c:v>28.198903463270192</c:v>
                </c:pt>
                <c:pt idx="812">
                  <c:v>28.198903463270192</c:v>
                </c:pt>
                <c:pt idx="813">
                  <c:v>28.198903463270192</c:v>
                </c:pt>
                <c:pt idx="814">
                  <c:v>28.198903463270192</c:v>
                </c:pt>
                <c:pt idx="815">
                  <c:v>28.198903463270192</c:v>
                </c:pt>
                <c:pt idx="816">
                  <c:v>28.198903463270192</c:v>
                </c:pt>
                <c:pt idx="817">
                  <c:v>28.198903463270192</c:v>
                </c:pt>
                <c:pt idx="818">
                  <c:v>28.198903463270192</c:v>
                </c:pt>
                <c:pt idx="819">
                  <c:v>28.198903463270192</c:v>
                </c:pt>
                <c:pt idx="820">
                  <c:v>28.198903463270192</c:v>
                </c:pt>
                <c:pt idx="821">
                  <c:v>28.198903463270192</c:v>
                </c:pt>
                <c:pt idx="822">
                  <c:v>28.198903463270192</c:v>
                </c:pt>
                <c:pt idx="823">
                  <c:v>28.198903463270192</c:v>
                </c:pt>
                <c:pt idx="824">
                  <c:v>28.198903463270192</c:v>
                </c:pt>
                <c:pt idx="825">
                  <c:v>28.198903463270192</c:v>
                </c:pt>
                <c:pt idx="826">
                  <c:v>28.198903463270192</c:v>
                </c:pt>
                <c:pt idx="827">
                  <c:v>28.198903463270192</c:v>
                </c:pt>
                <c:pt idx="828">
                  <c:v>28.198903463270192</c:v>
                </c:pt>
                <c:pt idx="829">
                  <c:v>28.198903463270192</c:v>
                </c:pt>
                <c:pt idx="830">
                  <c:v>28.198903463270192</c:v>
                </c:pt>
                <c:pt idx="831">
                  <c:v>28.198903463270192</c:v>
                </c:pt>
                <c:pt idx="832">
                  <c:v>28.198903463270192</c:v>
                </c:pt>
                <c:pt idx="833">
                  <c:v>28.198903463270192</c:v>
                </c:pt>
                <c:pt idx="834">
                  <c:v>28.198903463270192</c:v>
                </c:pt>
                <c:pt idx="835">
                  <c:v>28.198903463270192</c:v>
                </c:pt>
                <c:pt idx="836">
                  <c:v>28.198903463270192</c:v>
                </c:pt>
                <c:pt idx="837">
                  <c:v>28.198903463270192</c:v>
                </c:pt>
                <c:pt idx="838">
                  <c:v>28.198903463270192</c:v>
                </c:pt>
                <c:pt idx="839">
                  <c:v>28.198903463270192</c:v>
                </c:pt>
                <c:pt idx="840">
                  <c:v>28.198903463270192</c:v>
                </c:pt>
                <c:pt idx="841">
                  <c:v>28.198903463270192</c:v>
                </c:pt>
                <c:pt idx="842">
                  <c:v>28.198903463270192</c:v>
                </c:pt>
                <c:pt idx="843">
                  <c:v>28.198903463270192</c:v>
                </c:pt>
                <c:pt idx="844">
                  <c:v>28.198903463270192</c:v>
                </c:pt>
                <c:pt idx="845">
                  <c:v>28.198903463270192</c:v>
                </c:pt>
                <c:pt idx="846">
                  <c:v>28.198903463270192</c:v>
                </c:pt>
                <c:pt idx="847">
                  <c:v>28.198903463270192</c:v>
                </c:pt>
                <c:pt idx="848">
                  <c:v>28.198903463270192</c:v>
                </c:pt>
                <c:pt idx="849">
                  <c:v>28.198903463270192</c:v>
                </c:pt>
                <c:pt idx="850">
                  <c:v>28.198903463270192</c:v>
                </c:pt>
                <c:pt idx="851">
                  <c:v>28.198903463270192</c:v>
                </c:pt>
                <c:pt idx="852">
                  <c:v>28.198903463270192</c:v>
                </c:pt>
                <c:pt idx="853">
                  <c:v>28.198903463270192</c:v>
                </c:pt>
                <c:pt idx="854">
                  <c:v>28.198903463270192</c:v>
                </c:pt>
                <c:pt idx="855">
                  <c:v>28.198903463270192</c:v>
                </c:pt>
                <c:pt idx="856">
                  <c:v>28.198903463270192</c:v>
                </c:pt>
                <c:pt idx="857">
                  <c:v>28.198903463270192</c:v>
                </c:pt>
                <c:pt idx="858">
                  <c:v>28.198903463270192</c:v>
                </c:pt>
                <c:pt idx="859">
                  <c:v>28.198903463270192</c:v>
                </c:pt>
                <c:pt idx="860">
                  <c:v>28.198903463270192</c:v>
                </c:pt>
                <c:pt idx="861">
                  <c:v>28.198903463270192</c:v>
                </c:pt>
                <c:pt idx="862">
                  <c:v>28.198903463270192</c:v>
                </c:pt>
                <c:pt idx="863">
                  <c:v>28.198903463270192</c:v>
                </c:pt>
                <c:pt idx="864">
                  <c:v>28.198903463270192</c:v>
                </c:pt>
                <c:pt idx="865">
                  <c:v>28.198903463270192</c:v>
                </c:pt>
                <c:pt idx="866">
                  <c:v>28.198903463270192</c:v>
                </c:pt>
                <c:pt idx="867">
                  <c:v>28.198903463270192</c:v>
                </c:pt>
                <c:pt idx="868">
                  <c:v>28.198903463270192</c:v>
                </c:pt>
                <c:pt idx="869">
                  <c:v>28.198903463270192</c:v>
                </c:pt>
                <c:pt idx="870">
                  <c:v>28.198903463270192</c:v>
                </c:pt>
                <c:pt idx="871">
                  <c:v>28.198903463270192</c:v>
                </c:pt>
                <c:pt idx="872">
                  <c:v>28.198903463270192</c:v>
                </c:pt>
                <c:pt idx="873">
                  <c:v>28.198903463270192</c:v>
                </c:pt>
                <c:pt idx="874">
                  <c:v>28.198903463270192</c:v>
                </c:pt>
                <c:pt idx="875">
                  <c:v>28.198903463270192</c:v>
                </c:pt>
                <c:pt idx="876">
                  <c:v>28.198903463270192</c:v>
                </c:pt>
                <c:pt idx="877">
                  <c:v>28.198903463270192</c:v>
                </c:pt>
                <c:pt idx="878">
                  <c:v>28.198903463270192</c:v>
                </c:pt>
                <c:pt idx="879">
                  <c:v>28.198903463270192</c:v>
                </c:pt>
                <c:pt idx="880">
                  <c:v>28.198903463270192</c:v>
                </c:pt>
                <c:pt idx="881">
                  <c:v>28.198903463270192</c:v>
                </c:pt>
                <c:pt idx="882">
                  <c:v>28.198903463270192</c:v>
                </c:pt>
                <c:pt idx="883">
                  <c:v>28.198903463270192</c:v>
                </c:pt>
                <c:pt idx="884">
                  <c:v>28.198903463270192</c:v>
                </c:pt>
                <c:pt idx="885">
                  <c:v>28.198903463270192</c:v>
                </c:pt>
                <c:pt idx="886">
                  <c:v>28.198903463270192</c:v>
                </c:pt>
                <c:pt idx="887">
                  <c:v>28.198903463270192</c:v>
                </c:pt>
                <c:pt idx="888">
                  <c:v>28.198903463270192</c:v>
                </c:pt>
                <c:pt idx="889">
                  <c:v>28.198903463270192</c:v>
                </c:pt>
                <c:pt idx="890">
                  <c:v>28.198903463270192</c:v>
                </c:pt>
                <c:pt idx="891">
                  <c:v>28.198903463270192</c:v>
                </c:pt>
                <c:pt idx="892">
                  <c:v>28.198903463270192</c:v>
                </c:pt>
                <c:pt idx="893">
                  <c:v>28.198903463270192</c:v>
                </c:pt>
                <c:pt idx="894">
                  <c:v>28.198903463270192</c:v>
                </c:pt>
                <c:pt idx="895">
                  <c:v>28.198903463270192</c:v>
                </c:pt>
                <c:pt idx="896">
                  <c:v>28.198903463270192</c:v>
                </c:pt>
                <c:pt idx="897">
                  <c:v>28.198903463270192</c:v>
                </c:pt>
                <c:pt idx="898">
                  <c:v>28.198903463270192</c:v>
                </c:pt>
                <c:pt idx="899">
                  <c:v>28.198903463270192</c:v>
                </c:pt>
                <c:pt idx="900">
                  <c:v>28.198903463270192</c:v>
                </c:pt>
                <c:pt idx="901">
                  <c:v>28.198903463270192</c:v>
                </c:pt>
                <c:pt idx="902">
                  <c:v>28.198903463270192</c:v>
                </c:pt>
                <c:pt idx="903">
                  <c:v>28.198903463270192</c:v>
                </c:pt>
                <c:pt idx="904">
                  <c:v>28.198903463270192</c:v>
                </c:pt>
                <c:pt idx="905">
                  <c:v>28.198903463270192</c:v>
                </c:pt>
                <c:pt idx="906">
                  <c:v>28.198903463270192</c:v>
                </c:pt>
                <c:pt idx="907">
                  <c:v>28.198903463270192</c:v>
                </c:pt>
                <c:pt idx="908">
                  <c:v>28.198903463270192</c:v>
                </c:pt>
                <c:pt idx="909">
                  <c:v>28.198903463270192</c:v>
                </c:pt>
                <c:pt idx="910">
                  <c:v>28.198903463270192</c:v>
                </c:pt>
                <c:pt idx="911">
                  <c:v>28.198903463270192</c:v>
                </c:pt>
                <c:pt idx="912">
                  <c:v>28.198903463270192</c:v>
                </c:pt>
                <c:pt idx="913">
                  <c:v>28.198903463270192</c:v>
                </c:pt>
                <c:pt idx="914">
                  <c:v>28.198903463270192</c:v>
                </c:pt>
                <c:pt idx="915">
                  <c:v>28.198903463270192</c:v>
                </c:pt>
                <c:pt idx="916">
                  <c:v>28.198903463270192</c:v>
                </c:pt>
                <c:pt idx="917">
                  <c:v>28.198903463270192</c:v>
                </c:pt>
                <c:pt idx="918">
                  <c:v>28.198903463270192</c:v>
                </c:pt>
                <c:pt idx="919">
                  <c:v>28.198903463270192</c:v>
                </c:pt>
                <c:pt idx="920">
                  <c:v>28.198903463270192</c:v>
                </c:pt>
                <c:pt idx="921">
                  <c:v>28.198903463270192</c:v>
                </c:pt>
                <c:pt idx="922">
                  <c:v>28.198903463270192</c:v>
                </c:pt>
                <c:pt idx="923">
                  <c:v>28.198903463270192</c:v>
                </c:pt>
                <c:pt idx="924">
                  <c:v>28.198903463270192</c:v>
                </c:pt>
                <c:pt idx="925">
                  <c:v>28.198903463270192</c:v>
                </c:pt>
                <c:pt idx="926">
                  <c:v>28.198903463270192</c:v>
                </c:pt>
                <c:pt idx="927">
                  <c:v>28.198903463270192</c:v>
                </c:pt>
                <c:pt idx="928">
                  <c:v>28.198903463270192</c:v>
                </c:pt>
                <c:pt idx="929">
                  <c:v>28.198903463270192</c:v>
                </c:pt>
                <c:pt idx="930">
                  <c:v>28.198903463270192</c:v>
                </c:pt>
                <c:pt idx="931">
                  <c:v>28.198903463270192</c:v>
                </c:pt>
                <c:pt idx="932">
                  <c:v>28.198903463270192</c:v>
                </c:pt>
                <c:pt idx="933">
                  <c:v>28.198903463270192</c:v>
                </c:pt>
                <c:pt idx="934">
                  <c:v>28.198903463270192</c:v>
                </c:pt>
                <c:pt idx="935">
                  <c:v>28.198903463270192</c:v>
                </c:pt>
                <c:pt idx="936">
                  <c:v>28.198903463270192</c:v>
                </c:pt>
                <c:pt idx="937">
                  <c:v>28.198903463270192</c:v>
                </c:pt>
                <c:pt idx="938">
                  <c:v>28.198903463270192</c:v>
                </c:pt>
                <c:pt idx="939">
                  <c:v>28.198903463270192</c:v>
                </c:pt>
                <c:pt idx="940">
                  <c:v>28.198903463270192</c:v>
                </c:pt>
                <c:pt idx="941">
                  <c:v>28.198903463270192</c:v>
                </c:pt>
                <c:pt idx="942">
                  <c:v>28.198903463270192</c:v>
                </c:pt>
                <c:pt idx="943">
                  <c:v>28.198903463270192</c:v>
                </c:pt>
                <c:pt idx="944">
                  <c:v>28.198903463270192</c:v>
                </c:pt>
                <c:pt idx="945">
                  <c:v>28.198903463270192</c:v>
                </c:pt>
                <c:pt idx="946">
                  <c:v>28.198903463270192</c:v>
                </c:pt>
                <c:pt idx="947">
                  <c:v>28.198903463270192</c:v>
                </c:pt>
                <c:pt idx="948">
                  <c:v>28.198903463270192</c:v>
                </c:pt>
                <c:pt idx="949">
                  <c:v>28.198903463270192</c:v>
                </c:pt>
                <c:pt idx="950">
                  <c:v>28.198903463270192</c:v>
                </c:pt>
                <c:pt idx="951">
                  <c:v>28.198903463270192</c:v>
                </c:pt>
                <c:pt idx="952">
                  <c:v>28.198903463270192</c:v>
                </c:pt>
                <c:pt idx="953">
                  <c:v>28.198903463270192</c:v>
                </c:pt>
                <c:pt idx="954">
                  <c:v>28.198903463270192</c:v>
                </c:pt>
                <c:pt idx="955">
                  <c:v>28.198903463270192</c:v>
                </c:pt>
                <c:pt idx="956">
                  <c:v>28.198903463270192</c:v>
                </c:pt>
                <c:pt idx="957">
                  <c:v>28.198903463270192</c:v>
                </c:pt>
                <c:pt idx="958">
                  <c:v>28.198903463270192</c:v>
                </c:pt>
                <c:pt idx="959">
                  <c:v>28.198903463270192</c:v>
                </c:pt>
                <c:pt idx="960">
                  <c:v>28.198903463270192</c:v>
                </c:pt>
                <c:pt idx="961">
                  <c:v>28.198903463270192</c:v>
                </c:pt>
                <c:pt idx="962">
                  <c:v>28.198903463270192</c:v>
                </c:pt>
                <c:pt idx="963">
                  <c:v>28.198903463270192</c:v>
                </c:pt>
                <c:pt idx="964">
                  <c:v>28.198903463270192</c:v>
                </c:pt>
                <c:pt idx="965">
                  <c:v>28.198903463270192</c:v>
                </c:pt>
                <c:pt idx="966">
                  <c:v>28.198903463270192</c:v>
                </c:pt>
                <c:pt idx="967">
                  <c:v>28.198903463270192</c:v>
                </c:pt>
                <c:pt idx="968">
                  <c:v>28.198903463270192</c:v>
                </c:pt>
                <c:pt idx="969">
                  <c:v>28.198903463270192</c:v>
                </c:pt>
                <c:pt idx="970">
                  <c:v>28.198903463270192</c:v>
                </c:pt>
                <c:pt idx="971">
                  <c:v>28.198903463270192</c:v>
                </c:pt>
                <c:pt idx="972">
                  <c:v>28.198903463270192</c:v>
                </c:pt>
                <c:pt idx="973">
                  <c:v>28.198903463270192</c:v>
                </c:pt>
                <c:pt idx="974">
                  <c:v>28.198903463270192</c:v>
                </c:pt>
                <c:pt idx="975">
                  <c:v>28.198903463270192</c:v>
                </c:pt>
                <c:pt idx="976">
                  <c:v>28.198903463270192</c:v>
                </c:pt>
                <c:pt idx="977">
                  <c:v>28.198903463270192</c:v>
                </c:pt>
                <c:pt idx="978">
                  <c:v>28.198903463270192</c:v>
                </c:pt>
                <c:pt idx="979">
                  <c:v>28.198903463270192</c:v>
                </c:pt>
                <c:pt idx="980">
                  <c:v>28.198903463270192</c:v>
                </c:pt>
                <c:pt idx="981">
                  <c:v>28.198903463270192</c:v>
                </c:pt>
                <c:pt idx="982">
                  <c:v>28.198903463270192</c:v>
                </c:pt>
                <c:pt idx="983">
                  <c:v>28.198903463270192</c:v>
                </c:pt>
                <c:pt idx="984">
                  <c:v>28.198903463270192</c:v>
                </c:pt>
                <c:pt idx="985">
                  <c:v>28.198903463270192</c:v>
                </c:pt>
                <c:pt idx="986">
                  <c:v>28.198903463270192</c:v>
                </c:pt>
                <c:pt idx="987">
                  <c:v>28.198903463270192</c:v>
                </c:pt>
                <c:pt idx="988">
                  <c:v>28.198903463270192</c:v>
                </c:pt>
                <c:pt idx="989">
                  <c:v>28.198903463270192</c:v>
                </c:pt>
                <c:pt idx="990">
                  <c:v>28.198903463270192</c:v>
                </c:pt>
                <c:pt idx="991">
                  <c:v>28.198903463270192</c:v>
                </c:pt>
                <c:pt idx="992">
                  <c:v>28.198903463270192</c:v>
                </c:pt>
                <c:pt idx="993">
                  <c:v>28.198903463270192</c:v>
                </c:pt>
                <c:pt idx="994">
                  <c:v>28.198903463270192</c:v>
                </c:pt>
                <c:pt idx="995">
                  <c:v>28.198903463270192</c:v>
                </c:pt>
                <c:pt idx="996">
                  <c:v>28.198903463270192</c:v>
                </c:pt>
                <c:pt idx="997">
                  <c:v>28.198903463270192</c:v>
                </c:pt>
                <c:pt idx="998">
                  <c:v>28.198903463270192</c:v>
                </c:pt>
                <c:pt idx="999">
                  <c:v>28.198903463270192</c:v>
                </c:pt>
                <c:pt idx="1000">
                  <c:v>28.198903463270192</c:v>
                </c:pt>
                <c:pt idx="1001">
                  <c:v>28.198903463270192</c:v>
                </c:pt>
                <c:pt idx="1002">
                  <c:v>28.198903463270192</c:v>
                </c:pt>
                <c:pt idx="1003">
                  <c:v>28.198903463270192</c:v>
                </c:pt>
                <c:pt idx="1004">
                  <c:v>28.198903463270192</c:v>
                </c:pt>
                <c:pt idx="1005">
                  <c:v>28.198903463270192</c:v>
                </c:pt>
                <c:pt idx="1006">
                  <c:v>28.198903463270192</c:v>
                </c:pt>
                <c:pt idx="1007">
                  <c:v>28.198903463270192</c:v>
                </c:pt>
                <c:pt idx="1008">
                  <c:v>28.198903463270192</c:v>
                </c:pt>
                <c:pt idx="1009">
                  <c:v>28.198903463270192</c:v>
                </c:pt>
                <c:pt idx="1010">
                  <c:v>28.198903463270192</c:v>
                </c:pt>
                <c:pt idx="1011">
                  <c:v>28.198903463270192</c:v>
                </c:pt>
                <c:pt idx="1012">
                  <c:v>28.198903463270192</c:v>
                </c:pt>
                <c:pt idx="1013">
                  <c:v>28.198903463270192</c:v>
                </c:pt>
                <c:pt idx="1014">
                  <c:v>28.198903463270192</c:v>
                </c:pt>
                <c:pt idx="1015">
                  <c:v>28.198903463270192</c:v>
                </c:pt>
                <c:pt idx="1016">
                  <c:v>28.198903463270192</c:v>
                </c:pt>
                <c:pt idx="1017">
                  <c:v>28.198903463270192</c:v>
                </c:pt>
                <c:pt idx="1018">
                  <c:v>28.198903463270192</c:v>
                </c:pt>
                <c:pt idx="1019">
                  <c:v>28.198903463270192</c:v>
                </c:pt>
                <c:pt idx="1020">
                  <c:v>28.198903463270192</c:v>
                </c:pt>
                <c:pt idx="1021">
                  <c:v>28.198903463270192</c:v>
                </c:pt>
                <c:pt idx="1022">
                  <c:v>28.198903463270192</c:v>
                </c:pt>
                <c:pt idx="1023">
                  <c:v>28.198903463270192</c:v>
                </c:pt>
                <c:pt idx="1024">
                  <c:v>28.198903463270192</c:v>
                </c:pt>
                <c:pt idx="1025">
                  <c:v>28.198903463270192</c:v>
                </c:pt>
                <c:pt idx="1026">
                  <c:v>28.198903463270192</c:v>
                </c:pt>
                <c:pt idx="1027">
                  <c:v>28.198903463270192</c:v>
                </c:pt>
                <c:pt idx="1028">
                  <c:v>28.198903463270192</c:v>
                </c:pt>
                <c:pt idx="1029">
                  <c:v>28.198903463270192</c:v>
                </c:pt>
                <c:pt idx="1030">
                  <c:v>28.198903463270192</c:v>
                </c:pt>
                <c:pt idx="1031">
                  <c:v>28.198903463270192</c:v>
                </c:pt>
                <c:pt idx="1032">
                  <c:v>28.198903463270192</c:v>
                </c:pt>
                <c:pt idx="1033">
                  <c:v>28.198903463270192</c:v>
                </c:pt>
                <c:pt idx="1034">
                  <c:v>28.198903463270192</c:v>
                </c:pt>
                <c:pt idx="1035">
                  <c:v>28.198903463270192</c:v>
                </c:pt>
                <c:pt idx="1036">
                  <c:v>28.198903463270192</c:v>
                </c:pt>
                <c:pt idx="1037">
                  <c:v>28.198903463270192</c:v>
                </c:pt>
                <c:pt idx="1038">
                  <c:v>28.198903463270192</c:v>
                </c:pt>
                <c:pt idx="1039">
                  <c:v>28.198903463270192</c:v>
                </c:pt>
                <c:pt idx="1040">
                  <c:v>28.198903463270192</c:v>
                </c:pt>
                <c:pt idx="1041">
                  <c:v>28.198903463270192</c:v>
                </c:pt>
                <c:pt idx="1042">
                  <c:v>28.198903463270192</c:v>
                </c:pt>
                <c:pt idx="1043">
                  <c:v>28.198903463270192</c:v>
                </c:pt>
                <c:pt idx="1044">
                  <c:v>28.198903463270192</c:v>
                </c:pt>
                <c:pt idx="1045">
                  <c:v>28.198903463270192</c:v>
                </c:pt>
                <c:pt idx="1046">
                  <c:v>28.198903463270192</c:v>
                </c:pt>
                <c:pt idx="1047">
                  <c:v>28.198903463270192</c:v>
                </c:pt>
                <c:pt idx="1048">
                  <c:v>28.198903463270192</c:v>
                </c:pt>
                <c:pt idx="1049">
                  <c:v>28.198903463270192</c:v>
                </c:pt>
                <c:pt idx="1050">
                  <c:v>28.198903463270192</c:v>
                </c:pt>
                <c:pt idx="1051">
                  <c:v>28.198903463270192</c:v>
                </c:pt>
                <c:pt idx="1052">
                  <c:v>28.198903463270192</c:v>
                </c:pt>
                <c:pt idx="1053">
                  <c:v>28.198903463270192</c:v>
                </c:pt>
                <c:pt idx="1054">
                  <c:v>28.198903463270192</c:v>
                </c:pt>
                <c:pt idx="1055">
                  <c:v>28.198903463270192</c:v>
                </c:pt>
                <c:pt idx="1056">
                  <c:v>28.198903463270192</c:v>
                </c:pt>
                <c:pt idx="1057">
                  <c:v>28.198903463270192</c:v>
                </c:pt>
                <c:pt idx="1058">
                  <c:v>28.198903463270192</c:v>
                </c:pt>
                <c:pt idx="1059">
                  <c:v>28.198903463270192</c:v>
                </c:pt>
                <c:pt idx="1060">
                  <c:v>28.198903463270192</c:v>
                </c:pt>
                <c:pt idx="1061">
                  <c:v>28.198903463270192</c:v>
                </c:pt>
                <c:pt idx="1062">
                  <c:v>28.198903463270192</c:v>
                </c:pt>
                <c:pt idx="1063">
                  <c:v>28.198903463270192</c:v>
                </c:pt>
                <c:pt idx="1064">
                  <c:v>28.198903463270192</c:v>
                </c:pt>
                <c:pt idx="1065">
                  <c:v>28.198903463270192</c:v>
                </c:pt>
                <c:pt idx="1066">
                  <c:v>28.198903463270192</c:v>
                </c:pt>
                <c:pt idx="1067">
                  <c:v>28.198903463270192</c:v>
                </c:pt>
                <c:pt idx="1068">
                  <c:v>28.198903463270192</c:v>
                </c:pt>
                <c:pt idx="1069">
                  <c:v>28.198903463270192</c:v>
                </c:pt>
                <c:pt idx="1070">
                  <c:v>28.198903463270192</c:v>
                </c:pt>
                <c:pt idx="1071">
                  <c:v>28.198903463270192</c:v>
                </c:pt>
                <c:pt idx="1072">
                  <c:v>28.198903463270192</c:v>
                </c:pt>
                <c:pt idx="1073">
                  <c:v>28.198903463270192</c:v>
                </c:pt>
                <c:pt idx="1074">
                  <c:v>28.198903463270192</c:v>
                </c:pt>
                <c:pt idx="1075">
                  <c:v>28.198903463270192</c:v>
                </c:pt>
                <c:pt idx="1076">
                  <c:v>28.198903463270192</c:v>
                </c:pt>
                <c:pt idx="1077">
                  <c:v>28.198903463270192</c:v>
                </c:pt>
                <c:pt idx="1078">
                  <c:v>28.198903463270192</c:v>
                </c:pt>
                <c:pt idx="1079">
                  <c:v>28.198903463270192</c:v>
                </c:pt>
                <c:pt idx="1080">
                  <c:v>28.198903463270192</c:v>
                </c:pt>
                <c:pt idx="1081">
                  <c:v>28.198903463270192</c:v>
                </c:pt>
                <c:pt idx="1082">
                  <c:v>28.198903463270192</c:v>
                </c:pt>
                <c:pt idx="1083">
                  <c:v>28.198903463270192</c:v>
                </c:pt>
                <c:pt idx="1084">
                  <c:v>28.198903463270192</c:v>
                </c:pt>
                <c:pt idx="1085">
                  <c:v>28.198903463270192</c:v>
                </c:pt>
                <c:pt idx="1086">
                  <c:v>28.198903463270192</c:v>
                </c:pt>
                <c:pt idx="1087">
                  <c:v>28.198903463270192</c:v>
                </c:pt>
                <c:pt idx="1088">
                  <c:v>28.198903463270192</c:v>
                </c:pt>
                <c:pt idx="1089">
                  <c:v>28.198903463270192</c:v>
                </c:pt>
                <c:pt idx="1090">
                  <c:v>28.198903463270192</c:v>
                </c:pt>
                <c:pt idx="1091">
                  <c:v>28.198903463270192</c:v>
                </c:pt>
                <c:pt idx="1092">
                  <c:v>28.198903463270192</c:v>
                </c:pt>
                <c:pt idx="1093">
                  <c:v>28.198903463270192</c:v>
                </c:pt>
                <c:pt idx="1094">
                  <c:v>28.198903463270192</c:v>
                </c:pt>
                <c:pt idx="1095">
                  <c:v>28.198903463270192</c:v>
                </c:pt>
                <c:pt idx="1096">
                  <c:v>28.198903463270192</c:v>
                </c:pt>
                <c:pt idx="1097">
                  <c:v>28.198903463270192</c:v>
                </c:pt>
                <c:pt idx="1098">
                  <c:v>28.198903463270192</c:v>
                </c:pt>
                <c:pt idx="1099">
                  <c:v>28.198903463270192</c:v>
                </c:pt>
                <c:pt idx="1100">
                  <c:v>28.198903463270192</c:v>
                </c:pt>
                <c:pt idx="1101">
                  <c:v>28.198903463270192</c:v>
                </c:pt>
                <c:pt idx="1102">
                  <c:v>28.198903463270192</c:v>
                </c:pt>
                <c:pt idx="1103">
                  <c:v>28.198903463270192</c:v>
                </c:pt>
                <c:pt idx="1104">
                  <c:v>28.198903463270192</c:v>
                </c:pt>
                <c:pt idx="1105">
                  <c:v>28.198903463270192</c:v>
                </c:pt>
                <c:pt idx="1106">
                  <c:v>28.198903463270192</c:v>
                </c:pt>
                <c:pt idx="1107">
                  <c:v>28.198903463270192</c:v>
                </c:pt>
                <c:pt idx="1108">
                  <c:v>28.198903463270192</c:v>
                </c:pt>
                <c:pt idx="1109">
                  <c:v>28.198903463270192</c:v>
                </c:pt>
                <c:pt idx="1110">
                  <c:v>28.198903463270192</c:v>
                </c:pt>
                <c:pt idx="1111">
                  <c:v>28.198903463270192</c:v>
                </c:pt>
                <c:pt idx="1112">
                  <c:v>28.198903463270192</c:v>
                </c:pt>
                <c:pt idx="1113">
                  <c:v>28.198903463270192</c:v>
                </c:pt>
                <c:pt idx="1114">
                  <c:v>28.198903463270192</c:v>
                </c:pt>
                <c:pt idx="1115">
                  <c:v>28.198903463270192</c:v>
                </c:pt>
                <c:pt idx="1116">
                  <c:v>28.198903463270192</c:v>
                </c:pt>
                <c:pt idx="1117">
                  <c:v>28.198903463270192</c:v>
                </c:pt>
                <c:pt idx="1118">
                  <c:v>28.198903463270192</c:v>
                </c:pt>
                <c:pt idx="1119">
                  <c:v>28.198903463270192</c:v>
                </c:pt>
                <c:pt idx="1120">
                  <c:v>28.198903463270192</c:v>
                </c:pt>
                <c:pt idx="1121">
                  <c:v>28.198903463270192</c:v>
                </c:pt>
                <c:pt idx="1122">
                  <c:v>28.198903463270192</c:v>
                </c:pt>
                <c:pt idx="1123">
                  <c:v>28.198903463270192</c:v>
                </c:pt>
                <c:pt idx="1124">
                  <c:v>28.198903463270192</c:v>
                </c:pt>
                <c:pt idx="1125">
                  <c:v>28.198903463270192</c:v>
                </c:pt>
                <c:pt idx="1126">
                  <c:v>28.198903463270192</c:v>
                </c:pt>
                <c:pt idx="1127">
                  <c:v>28.198903463270192</c:v>
                </c:pt>
                <c:pt idx="1128">
                  <c:v>28.198903463270192</c:v>
                </c:pt>
                <c:pt idx="1129">
                  <c:v>28.198903463270192</c:v>
                </c:pt>
                <c:pt idx="1130">
                  <c:v>28.198903463270192</c:v>
                </c:pt>
                <c:pt idx="1131">
                  <c:v>28.198903463270192</c:v>
                </c:pt>
                <c:pt idx="1132">
                  <c:v>28.198903463270192</c:v>
                </c:pt>
                <c:pt idx="1133">
                  <c:v>28.198903463270192</c:v>
                </c:pt>
                <c:pt idx="1134">
                  <c:v>28.198903463270192</c:v>
                </c:pt>
                <c:pt idx="1135">
                  <c:v>28.198903463270192</c:v>
                </c:pt>
                <c:pt idx="1136">
                  <c:v>28.198903463270192</c:v>
                </c:pt>
                <c:pt idx="1137">
                  <c:v>28.198903463270192</c:v>
                </c:pt>
                <c:pt idx="1138">
                  <c:v>28.198903463270192</c:v>
                </c:pt>
                <c:pt idx="1139">
                  <c:v>28.198903463270192</c:v>
                </c:pt>
                <c:pt idx="1140">
                  <c:v>28.198903463270192</c:v>
                </c:pt>
                <c:pt idx="1141">
                  <c:v>28.198903463270192</c:v>
                </c:pt>
                <c:pt idx="1142">
                  <c:v>28.198903463270192</c:v>
                </c:pt>
                <c:pt idx="1143">
                  <c:v>28.198903463270192</c:v>
                </c:pt>
                <c:pt idx="1144">
                  <c:v>28.198903463270192</c:v>
                </c:pt>
                <c:pt idx="1145">
                  <c:v>28.198903463270192</c:v>
                </c:pt>
                <c:pt idx="1146">
                  <c:v>28.198903463270192</c:v>
                </c:pt>
                <c:pt idx="1147">
                  <c:v>28.198903463270192</c:v>
                </c:pt>
                <c:pt idx="1148">
                  <c:v>28.198903463270192</c:v>
                </c:pt>
                <c:pt idx="1149">
                  <c:v>28.198903463270192</c:v>
                </c:pt>
                <c:pt idx="1150">
                  <c:v>28.198903463270192</c:v>
                </c:pt>
                <c:pt idx="1151">
                  <c:v>28.198903463270192</c:v>
                </c:pt>
                <c:pt idx="1152">
                  <c:v>28.198903463270192</c:v>
                </c:pt>
                <c:pt idx="1153">
                  <c:v>28.198903463270192</c:v>
                </c:pt>
                <c:pt idx="1154">
                  <c:v>28.198903463270192</c:v>
                </c:pt>
                <c:pt idx="1155">
                  <c:v>28.198903463270192</c:v>
                </c:pt>
                <c:pt idx="1156">
                  <c:v>28.198903463270192</c:v>
                </c:pt>
                <c:pt idx="1157">
                  <c:v>28.198903463270192</c:v>
                </c:pt>
                <c:pt idx="1158">
                  <c:v>28.198903463270192</c:v>
                </c:pt>
                <c:pt idx="1159">
                  <c:v>28.198903463270192</c:v>
                </c:pt>
                <c:pt idx="1160">
                  <c:v>28.198903463270192</c:v>
                </c:pt>
                <c:pt idx="1161">
                  <c:v>28.198903463270192</c:v>
                </c:pt>
                <c:pt idx="1162">
                  <c:v>28.198903463270192</c:v>
                </c:pt>
                <c:pt idx="1163">
                  <c:v>28.198903463270192</c:v>
                </c:pt>
                <c:pt idx="1164">
                  <c:v>28.198903463270192</c:v>
                </c:pt>
                <c:pt idx="1165">
                  <c:v>28.198903463270192</c:v>
                </c:pt>
                <c:pt idx="1166">
                  <c:v>28.198903463270192</c:v>
                </c:pt>
                <c:pt idx="1167">
                  <c:v>28.198903463270192</c:v>
                </c:pt>
                <c:pt idx="1168">
                  <c:v>28.198903463270192</c:v>
                </c:pt>
                <c:pt idx="1169">
                  <c:v>28.198903463270192</c:v>
                </c:pt>
                <c:pt idx="1170">
                  <c:v>28.198903463270192</c:v>
                </c:pt>
                <c:pt idx="1171">
                  <c:v>28.198903463270192</c:v>
                </c:pt>
                <c:pt idx="1172">
                  <c:v>28.198903463270192</c:v>
                </c:pt>
                <c:pt idx="1173">
                  <c:v>28.198903463270192</c:v>
                </c:pt>
                <c:pt idx="1174">
                  <c:v>28.198903463270192</c:v>
                </c:pt>
                <c:pt idx="1175">
                  <c:v>28.198903463270192</c:v>
                </c:pt>
                <c:pt idx="1176">
                  <c:v>28.198903463270192</c:v>
                </c:pt>
                <c:pt idx="1177">
                  <c:v>28.198903463270192</c:v>
                </c:pt>
                <c:pt idx="1178">
                  <c:v>28.198903463270192</c:v>
                </c:pt>
                <c:pt idx="1179">
                  <c:v>28.198903463270192</c:v>
                </c:pt>
                <c:pt idx="1180">
                  <c:v>28.198903463270192</c:v>
                </c:pt>
                <c:pt idx="1181">
                  <c:v>28.198903463270192</c:v>
                </c:pt>
                <c:pt idx="1182">
                  <c:v>28.198903463270192</c:v>
                </c:pt>
                <c:pt idx="1183">
                  <c:v>28.198903463270192</c:v>
                </c:pt>
                <c:pt idx="1184">
                  <c:v>28.198903463270192</c:v>
                </c:pt>
                <c:pt idx="1185">
                  <c:v>28.198903463270192</c:v>
                </c:pt>
                <c:pt idx="1186">
                  <c:v>28.198903463270192</c:v>
                </c:pt>
                <c:pt idx="1187">
                  <c:v>28.198903463270192</c:v>
                </c:pt>
                <c:pt idx="1188">
                  <c:v>28.198903463270192</c:v>
                </c:pt>
                <c:pt idx="1189">
                  <c:v>28.198903463270192</c:v>
                </c:pt>
                <c:pt idx="1190">
                  <c:v>28.198903463270192</c:v>
                </c:pt>
                <c:pt idx="1191">
                  <c:v>28.198903463270192</c:v>
                </c:pt>
                <c:pt idx="1192">
                  <c:v>28.198903463270192</c:v>
                </c:pt>
                <c:pt idx="1193">
                  <c:v>28.198903463270192</c:v>
                </c:pt>
                <c:pt idx="1194">
                  <c:v>28.198903463270192</c:v>
                </c:pt>
                <c:pt idx="1195">
                  <c:v>28.198903463270192</c:v>
                </c:pt>
                <c:pt idx="1196">
                  <c:v>28.198903463270192</c:v>
                </c:pt>
                <c:pt idx="1197">
                  <c:v>28.198903463270192</c:v>
                </c:pt>
                <c:pt idx="1198">
                  <c:v>28.198903463270192</c:v>
                </c:pt>
                <c:pt idx="1199">
                  <c:v>28.198903463270192</c:v>
                </c:pt>
                <c:pt idx="1200">
                  <c:v>28.198903463270192</c:v>
                </c:pt>
                <c:pt idx="1201">
                  <c:v>28.198903463270192</c:v>
                </c:pt>
                <c:pt idx="1202">
                  <c:v>28.198903463270192</c:v>
                </c:pt>
                <c:pt idx="1203">
                  <c:v>28.198903463270192</c:v>
                </c:pt>
                <c:pt idx="1204">
                  <c:v>28.198903463270192</c:v>
                </c:pt>
                <c:pt idx="1205">
                  <c:v>28.198903463270192</c:v>
                </c:pt>
                <c:pt idx="1206">
                  <c:v>28.198903463270192</c:v>
                </c:pt>
                <c:pt idx="1207">
                  <c:v>28.198903463270192</c:v>
                </c:pt>
                <c:pt idx="1208">
                  <c:v>28.198903463270192</c:v>
                </c:pt>
                <c:pt idx="1209">
                  <c:v>28.198903463270192</c:v>
                </c:pt>
                <c:pt idx="1210">
                  <c:v>28.198903463270192</c:v>
                </c:pt>
                <c:pt idx="1211">
                  <c:v>28.198903463270192</c:v>
                </c:pt>
                <c:pt idx="1212">
                  <c:v>28.198903463270192</c:v>
                </c:pt>
                <c:pt idx="1213">
                  <c:v>28.198903463270192</c:v>
                </c:pt>
                <c:pt idx="1214">
                  <c:v>28.198903463270192</c:v>
                </c:pt>
                <c:pt idx="1215">
                  <c:v>28.198903463270192</c:v>
                </c:pt>
                <c:pt idx="1216">
                  <c:v>28.198903463270192</c:v>
                </c:pt>
                <c:pt idx="1217">
                  <c:v>28.198903463270192</c:v>
                </c:pt>
                <c:pt idx="1218">
                  <c:v>28.198903463270192</c:v>
                </c:pt>
                <c:pt idx="1219">
                  <c:v>28.198903463270192</c:v>
                </c:pt>
                <c:pt idx="1220">
                  <c:v>28.198903463270192</c:v>
                </c:pt>
                <c:pt idx="1221">
                  <c:v>28.198903463270192</c:v>
                </c:pt>
                <c:pt idx="1222">
                  <c:v>28.198903463270192</c:v>
                </c:pt>
                <c:pt idx="1223">
                  <c:v>28.198903463270192</c:v>
                </c:pt>
                <c:pt idx="1224">
                  <c:v>28.198903463270192</c:v>
                </c:pt>
                <c:pt idx="1225">
                  <c:v>28.198903463270192</c:v>
                </c:pt>
                <c:pt idx="1226">
                  <c:v>28.198903463270192</c:v>
                </c:pt>
                <c:pt idx="1227">
                  <c:v>28.198903463270192</c:v>
                </c:pt>
                <c:pt idx="1228">
                  <c:v>28.198903463270192</c:v>
                </c:pt>
                <c:pt idx="1229">
                  <c:v>28.198903463270192</c:v>
                </c:pt>
                <c:pt idx="1230">
                  <c:v>28.198903463270192</c:v>
                </c:pt>
                <c:pt idx="1231">
                  <c:v>28.198903463270192</c:v>
                </c:pt>
                <c:pt idx="1232">
                  <c:v>28.198903463270192</c:v>
                </c:pt>
                <c:pt idx="1233">
                  <c:v>28.198903463270192</c:v>
                </c:pt>
                <c:pt idx="1234">
                  <c:v>28.198903463270192</c:v>
                </c:pt>
                <c:pt idx="1235">
                  <c:v>28.198903463270192</c:v>
                </c:pt>
                <c:pt idx="1236">
                  <c:v>28.198903463270192</c:v>
                </c:pt>
                <c:pt idx="1237">
                  <c:v>28.198903463270192</c:v>
                </c:pt>
                <c:pt idx="1238">
                  <c:v>28.198903463270192</c:v>
                </c:pt>
                <c:pt idx="1239">
                  <c:v>28.198903463270192</c:v>
                </c:pt>
                <c:pt idx="1240">
                  <c:v>28.198903463270192</c:v>
                </c:pt>
                <c:pt idx="1241">
                  <c:v>28.198903463270192</c:v>
                </c:pt>
                <c:pt idx="1242">
                  <c:v>28.198903463270192</c:v>
                </c:pt>
                <c:pt idx="1243">
                  <c:v>28.198903463270192</c:v>
                </c:pt>
                <c:pt idx="1244">
                  <c:v>28.198903463270192</c:v>
                </c:pt>
                <c:pt idx="1245">
                  <c:v>28.198903463270192</c:v>
                </c:pt>
                <c:pt idx="1246">
                  <c:v>28.198903463270192</c:v>
                </c:pt>
                <c:pt idx="1247">
                  <c:v>28.198903463270192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[177]PE!$G$1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[177]PE!$A$2:$A$1249</c15:sqref>
                        </c15:formulaRef>
                      </c:ext>
                    </c:extLst>
                    <c:numCache>
                      <c:formatCode>m/d/yyyy</c:formatCode>
                      <c:ptCount val="1248"/>
                      <c:pt idx="0">
                        <c:v>44085</c:v>
                      </c:pt>
                      <c:pt idx="1">
                        <c:v>44088</c:v>
                      </c:pt>
                      <c:pt idx="2">
                        <c:v>44089</c:v>
                      </c:pt>
                      <c:pt idx="3">
                        <c:v>44090</c:v>
                      </c:pt>
                      <c:pt idx="4">
                        <c:v>44091</c:v>
                      </c:pt>
                      <c:pt idx="5">
                        <c:v>44092</c:v>
                      </c:pt>
                      <c:pt idx="6">
                        <c:v>44095</c:v>
                      </c:pt>
                      <c:pt idx="7">
                        <c:v>44096</c:v>
                      </c:pt>
                      <c:pt idx="8">
                        <c:v>44097</c:v>
                      </c:pt>
                      <c:pt idx="9">
                        <c:v>44098</c:v>
                      </c:pt>
                      <c:pt idx="10">
                        <c:v>44099</c:v>
                      </c:pt>
                      <c:pt idx="11">
                        <c:v>44102</c:v>
                      </c:pt>
                      <c:pt idx="12">
                        <c:v>44103</c:v>
                      </c:pt>
                      <c:pt idx="13">
                        <c:v>44104</c:v>
                      </c:pt>
                      <c:pt idx="14">
                        <c:v>44105</c:v>
                      </c:pt>
                      <c:pt idx="15">
                        <c:v>44106</c:v>
                      </c:pt>
                      <c:pt idx="16">
                        <c:v>44109</c:v>
                      </c:pt>
                      <c:pt idx="17">
                        <c:v>44110</c:v>
                      </c:pt>
                      <c:pt idx="18">
                        <c:v>44111</c:v>
                      </c:pt>
                      <c:pt idx="19">
                        <c:v>44112</c:v>
                      </c:pt>
                      <c:pt idx="20">
                        <c:v>44113</c:v>
                      </c:pt>
                      <c:pt idx="21">
                        <c:v>44116</c:v>
                      </c:pt>
                      <c:pt idx="22">
                        <c:v>44117</c:v>
                      </c:pt>
                      <c:pt idx="23">
                        <c:v>44118</c:v>
                      </c:pt>
                      <c:pt idx="24">
                        <c:v>44119</c:v>
                      </c:pt>
                      <c:pt idx="25">
                        <c:v>44120</c:v>
                      </c:pt>
                      <c:pt idx="26">
                        <c:v>44123</c:v>
                      </c:pt>
                      <c:pt idx="27">
                        <c:v>44124</c:v>
                      </c:pt>
                      <c:pt idx="28">
                        <c:v>44125</c:v>
                      </c:pt>
                      <c:pt idx="29">
                        <c:v>44126</c:v>
                      </c:pt>
                      <c:pt idx="30">
                        <c:v>44127</c:v>
                      </c:pt>
                      <c:pt idx="31">
                        <c:v>44130</c:v>
                      </c:pt>
                      <c:pt idx="32">
                        <c:v>44131</c:v>
                      </c:pt>
                      <c:pt idx="33">
                        <c:v>44132</c:v>
                      </c:pt>
                      <c:pt idx="34">
                        <c:v>44133</c:v>
                      </c:pt>
                      <c:pt idx="35">
                        <c:v>44134</c:v>
                      </c:pt>
                      <c:pt idx="36">
                        <c:v>44137</c:v>
                      </c:pt>
                      <c:pt idx="37">
                        <c:v>44138</c:v>
                      </c:pt>
                      <c:pt idx="38">
                        <c:v>44139</c:v>
                      </c:pt>
                      <c:pt idx="39">
                        <c:v>44140</c:v>
                      </c:pt>
                      <c:pt idx="40">
                        <c:v>44141</c:v>
                      </c:pt>
                      <c:pt idx="41">
                        <c:v>44144</c:v>
                      </c:pt>
                      <c:pt idx="42">
                        <c:v>44145</c:v>
                      </c:pt>
                      <c:pt idx="43">
                        <c:v>44146</c:v>
                      </c:pt>
                      <c:pt idx="44">
                        <c:v>44147</c:v>
                      </c:pt>
                      <c:pt idx="45">
                        <c:v>44148</c:v>
                      </c:pt>
                      <c:pt idx="46">
                        <c:v>44151</c:v>
                      </c:pt>
                      <c:pt idx="47">
                        <c:v>44152</c:v>
                      </c:pt>
                      <c:pt idx="48">
                        <c:v>44153</c:v>
                      </c:pt>
                      <c:pt idx="49">
                        <c:v>44154</c:v>
                      </c:pt>
                      <c:pt idx="50">
                        <c:v>44155</c:v>
                      </c:pt>
                      <c:pt idx="51">
                        <c:v>44158</c:v>
                      </c:pt>
                      <c:pt idx="52">
                        <c:v>44159</c:v>
                      </c:pt>
                      <c:pt idx="53">
                        <c:v>44160</c:v>
                      </c:pt>
                      <c:pt idx="54">
                        <c:v>44161</c:v>
                      </c:pt>
                      <c:pt idx="55">
                        <c:v>44162</c:v>
                      </c:pt>
                      <c:pt idx="56">
                        <c:v>44165</c:v>
                      </c:pt>
                      <c:pt idx="57">
                        <c:v>44166</c:v>
                      </c:pt>
                      <c:pt idx="58">
                        <c:v>44167</c:v>
                      </c:pt>
                      <c:pt idx="59">
                        <c:v>44168</c:v>
                      </c:pt>
                      <c:pt idx="60">
                        <c:v>44169</c:v>
                      </c:pt>
                      <c:pt idx="61">
                        <c:v>44172</c:v>
                      </c:pt>
                      <c:pt idx="62">
                        <c:v>44173</c:v>
                      </c:pt>
                      <c:pt idx="63">
                        <c:v>44174</c:v>
                      </c:pt>
                      <c:pt idx="64">
                        <c:v>44175</c:v>
                      </c:pt>
                      <c:pt idx="65">
                        <c:v>44176</c:v>
                      </c:pt>
                      <c:pt idx="66">
                        <c:v>44179</c:v>
                      </c:pt>
                      <c:pt idx="67">
                        <c:v>44180</c:v>
                      </c:pt>
                      <c:pt idx="68">
                        <c:v>44181</c:v>
                      </c:pt>
                      <c:pt idx="69">
                        <c:v>44182</c:v>
                      </c:pt>
                      <c:pt idx="70">
                        <c:v>44183</c:v>
                      </c:pt>
                      <c:pt idx="71">
                        <c:v>44186</c:v>
                      </c:pt>
                      <c:pt idx="72">
                        <c:v>44187</c:v>
                      </c:pt>
                      <c:pt idx="73">
                        <c:v>44188</c:v>
                      </c:pt>
                      <c:pt idx="74">
                        <c:v>44189</c:v>
                      </c:pt>
                      <c:pt idx="75">
                        <c:v>44190</c:v>
                      </c:pt>
                      <c:pt idx="76">
                        <c:v>44193</c:v>
                      </c:pt>
                      <c:pt idx="77">
                        <c:v>44194</c:v>
                      </c:pt>
                      <c:pt idx="78">
                        <c:v>44195</c:v>
                      </c:pt>
                      <c:pt idx="79">
                        <c:v>44196</c:v>
                      </c:pt>
                      <c:pt idx="80">
                        <c:v>44200</c:v>
                      </c:pt>
                      <c:pt idx="81">
                        <c:v>44201</c:v>
                      </c:pt>
                      <c:pt idx="82">
                        <c:v>44202</c:v>
                      </c:pt>
                      <c:pt idx="83">
                        <c:v>44203</c:v>
                      </c:pt>
                      <c:pt idx="84">
                        <c:v>44204</c:v>
                      </c:pt>
                      <c:pt idx="85">
                        <c:v>44207</c:v>
                      </c:pt>
                      <c:pt idx="86">
                        <c:v>44208</c:v>
                      </c:pt>
                      <c:pt idx="87">
                        <c:v>44209</c:v>
                      </c:pt>
                      <c:pt idx="88">
                        <c:v>44210</c:v>
                      </c:pt>
                      <c:pt idx="89">
                        <c:v>44211</c:v>
                      </c:pt>
                      <c:pt idx="90">
                        <c:v>44214</c:v>
                      </c:pt>
                      <c:pt idx="91">
                        <c:v>44215</c:v>
                      </c:pt>
                      <c:pt idx="92">
                        <c:v>44216</c:v>
                      </c:pt>
                      <c:pt idx="93">
                        <c:v>44217</c:v>
                      </c:pt>
                      <c:pt idx="94">
                        <c:v>44218</c:v>
                      </c:pt>
                      <c:pt idx="95">
                        <c:v>44221</c:v>
                      </c:pt>
                      <c:pt idx="96">
                        <c:v>44222</c:v>
                      </c:pt>
                      <c:pt idx="97">
                        <c:v>44223</c:v>
                      </c:pt>
                      <c:pt idx="98">
                        <c:v>44224</c:v>
                      </c:pt>
                      <c:pt idx="99">
                        <c:v>44225</c:v>
                      </c:pt>
                      <c:pt idx="100">
                        <c:v>44228</c:v>
                      </c:pt>
                      <c:pt idx="101">
                        <c:v>44229</c:v>
                      </c:pt>
                      <c:pt idx="102">
                        <c:v>44230</c:v>
                      </c:pt>
                      <c:pt idx="103">
                        <c:v>44231</c:v>
                      </c:pt>
                      <c:pt idx="104">
                        <c:v>44232</c:v>
                      </c:pt>
                      <c:pt idx="105">
                        <c:v>44235</c:v>
                      </c:pt>
                      <c:pt idx="106">
                        <c:v>44236</c:v>
                      </c:pt>
                      <c:pt idx="107">
                        <c:v>44244</c:v>
                      </c:pt>
                      <c:pt idx="108">
                        <c:v>44245</c:v>
                      </c:pt>
                      <c:pt idx="109">
                        <c:v>44246</c:v>
                      </c:pt>
                      <c:pt idx="110">
                        <c:v>44249</c:v>
                      </c:pt>
                      <c:pt idx="111">
                        <c:v>44250</c:v>
                      </c:pt>
                      <c:pt idx="112">
                        <c:v>44251</c:v>
                      </c:pt>
                      <c:pt idx="113">
                        <c:v>44252</c:v>
                      </c:pt>
                      <c:pt idx="114">
                        <c:v>44253</c:v>
                      </c:pt>
                      <c:pt idx="115">
                        <c:v>44256</c:v>
                      </c:pt>
                      <c:pt idx="116">
                        <c:v>44257</c:v>
                      </c:pt>
                      <c:pt idx="117">
                        <c:v>44258</c:v>
                      </c:pt>
                      <c:pt idx="118">
                        <c:v>44259</c:v>
                      </c:pt>
                      <c:pt idx="119">
                        <c:v>44260</c:v>
                      </c:pt>
                      <c:pt idx="120">
                        <c:v>44263</c:v>
                      </c:pt>
                      <c:pt idx="121">
                        <c:v>44264</c:v>
                      </c:pt>
                      <c:pt idx="122">
                        <c:v>44265</c:v>
                      </c:pt>
                      <c:pt idx="123">
                        <c:v>44266</c:v>
                      </c:pt>
                      <c:pt idx="124">
                        <c:v>44267</c:v>
                      </c:pt>
                      <c:pt idx="125">
                        <c:v>44270</c:v>
                      </c:pt>
                      <c:pt idx="126">
                        <c:v>44271</c:v>
                      </c:pt>
                      <c:pt idx="127">
                        <c:v>44272</c:v>
                      </c:pt>
                      <c:pt idx="128">
                        <c:v>44273</c:v>
                      </c:pt>
                      <c:pt idx="129">
                        <c:v>44274</c:v>
                      </c:pt>
                      <c:pt idx="130">
                        <c:v>44277</c:v>
                      </c:pt>
                      <c:pt idx="131">
                        <c:v>44278</c:v>
                      </c:pt>
                      <c:pt idx="132">
                        <c:v>44279</c:v>
                      </c:pt>
                      <c:pt idx="133">
                        <c:v>44280</c:v>
                      </c:pt>
                      <c:pt idx="134">
                        <c:v>44281</c:v>
                      </c:pt>
                      <c:pt idx="135">
                        <c:v>44284</c:v>
                      </c:pt>
                      <c:pt idx="136">
                        <c:v>44285</c:v>
                      </c:pt>
                      <c:pt idx="137">
                        <c:v>44286</c:v>
                      </c:pt>
                      <c:pt idx="138">
                        <c:v>44287</c:v>
                      </c:pt>
                      <c:pt idx="139">
                        <c:v>44288</c:v>
                      </c:pt>
                      <c:pt idx="140">
                        <c:v>44291</c:v>
                      </c:pt>
                      <c:pt idx="141">
                        <c:v>44292</c:v>
                      </c:pt>
                      <c:pt idx="142">
                        <c:v>44293</c:v>
                      </c:pt>
                      <c:pt idx="143">
                        <c:v>44294</c:v>
                      </c:pt>
                      <c:pt idx="144">
                        <c:v>44295</c:v>
                      </c:pt>
                      <c:pt idx="145">
                        <c:v>44298</c:v>
                      </c:pt>
                      <c:pt idx="146">
                        <c:v>44299</c:v>
                      </c:pt>
                      <c:pt idx="147">
                        <c:v>44300</c:v>
                      </c:pt>
                      <c:pt idx="148">
                        <c:v>44301</c:v>
                      </c:pt>
                      <c:pt idx="149">
                        <c:v>44302</c:v>
                      </c:pt>
                      <c:pt idx="150">
                        <c:v>44305</c:v>
                      </c:pt>
                      <c:pt idx="151">
                        <c:v>44306</c:v>
                      </c:pt>
                      <c:pt idx="152">
                        <c:v>44308</c:v>
                      </c:pt>
                      <c:pt idx="153">
                        <c:v>44309</c:v>
                      </c:pt>
                      <c:pt idx="154">
                        <c:v>44312</c:v>
                      </c:pt>
                      <c:pt idx="155">
                        <c:v>44313</c:v>
                      </c:pt>
                      <c:pt idx="156">
                        <c:v>44314</c:v>
                      </c:pt>
                      <c:pt idx="157">
                        <c:v>44315</c:v>
                      </c:pt>
                      <c:pt idx="158">
                        <c:v>44320</c:v>
                      </c:pt>
                      <c:pt idx="159">
                        <c:v>44321</c:v>
                      </c:pt>
                      <c:pt idx="160">
                        <c:v>44322</c:v>
                      </c:pt>
                      <c:pt idx="161">
                        <c:v>44323</c:v>
                      </c:pt>
                      <c:pt idx="162">
                        <c:v>44326</c:v>
                      </c:pt>
                      <c:pt idx="163">
                        <c:v>44327</c:v>
                      </c:pt>
                      <c:pt idx="164">
                        <c:v>44328</c:v>
                      </c:pt>
                      <c:pt idx="165">
                        <c:v>44329</c:v>
                      </c:pt>
                      <c:pt idx="166">
                        <c:v>44330</c:v>
                      </c:pt>
                      <c:pt idx="167">
                        <c:v>44333</c:v>
                      </c:pt>
                      <c:pt idx="168">
                        <c:v>44334</c:v>
                      </c:pt>
                      <c:pt idx="169">
                        <c:v>44335</c:v>
                      </c:pt>
                      <c:pt idx="170">
                        <c:v>44336</c:v>
                      </c:pt>
                      <c:pt idx="171">
                        <c:v>44337</c:v>
                      </c:pt>
                      <c:pt idx="172">
                        <c:v>44340</c:v>
                      </c:pt>
                      <c:pt idx="173">
                        <c:v>44341</c:v>
                      </c:pt>
                      <c:pt idx="174">
                        <c:v>44342</c:v>
                      </c:pt>
                      <c:pt idx="175">
                        <c:v>44343</c:v>
                      </c:pt>
                      <c:pt idx="176">
                        <c:v>44344</c:v>
                      </c:pt>
                      <c:pt idx="177">
                        <c:v>44347</c:v>
                      </c:pt>
                      <c:pt idx="178">
                        <c:v>44348</c:v>
                      </c:pt>
                      <c:pt idx="179">
                        <c:v>44349</c:v>
                      </c:pt>
                      <c:pt idx="180">
                        <c:v>44350</c:v>
                      </c:pt>
                      <c:pt idx="181">
                        <c:v>44351</c:v>
                      </c:pt>
                      <c:pt idx="182">
                        <c:v>44354</c:v>
                      </c:pt>
                      <c:pt idx="183">
                        <c:v>44355</c:v>
                      </c:pt>
                      <c:pt idx="184">
                        <c:v>44356</c:v>
                      </c:pt>
                      <c:pt idx="185">
                        <c:v>44357</c:v>
                      </c:pt>
                      <c:pt idx="186">
                        <c:v>44358</c:v>
                      </c:pt>
                      <c:pt idx="187">
                        <c:v>44361</c:v>
                      </c:pt>
                      <c:pt idx="188">
                        <c:v>44362</c:v>
                      </c:pt>
                      <c:pt idx="189">
                        <c:v>44363</c:v>
                      </c:pt>
                      <c:pt idx="190">
                        <c:v>44364</c:v>
                      </c:pt>
                      <c:pt idx="191">
                        <c:v>44365</c:v>
                      </c:pt>
                      <c:pt idx="192">
                        <c:v>44368</c:v>
                      </c:pt>
                      <c:pt idx="193">
                        <c:v>44369</c:v>
                      </c:pt>
                      <c:pt idx="194">
                        <c:v>44370</c:v>
                      </c:pt>
                      <c:pt idx="195">
                        <c:v>44371</c:v>
                      </c:pt>
                      <c:pt idx="196">
                        <c:v>44372</c:v>
                      </c:pt>
                      <c:pt idx="197">
                        <c:v>44375</c:v>
                      </c:pt>
                      <c:pt idx="198">
                        <c:v>44376</c:v>
                      </c:pt>
                      <c:pt idx="199">
                        <c:v>44377</c:v>
                      </c:pt>
                      <c:pt idx="200">
                        <c:v>44378</c:v>
                      </c:pt>
                      <c:pt idx="201">
                        <c:v>44379</c:v>
                      </c:pt>
                      <c:pt idx="202">
                        <c:v>44382</c:v>
                      </c:pt>
                      <c:pt idx="203">
                        <c:v>44383</c:v>
                      </c:pt>
                      <c:pt idx="204">
                        <c:v>44384</c:v>
                      </c:pt>
                      <c:pt idx="205">
                        <c:v>44385</c:v>
                      </c:pt>
                      <c:pt idx="206">
                        <c:v>44386</c:v>
                      </c:pt>
                      <c:pt idx="207">
                        <c:v>44389</c:v>
                      </c:pt>
                      <c:pt idx="208">
                        <c:v>44390</c:v>
                      </c:pt>
                      <c:pt idx="209">
                        <c:v>44391</c:v>
                      </c:pt>
                      <c:pt idx="210">
                        <c:v>44392</c:v>
                      </c:pt>
                      <c:pt idx="211">
                        <c:v>44393</c:v>
                      </c:pt>
                      <c:pt idx="212">
                        <c:v>44396</c:v>
                      </c:pt>
                      <c:pt idx="213">
                        <c:v>44397</c:v>
                      </c:pt>
                      <c:pt idx="214">
                        <c:v>44398</c:v>
                      </c:pt>
                      <c:pt idx="215">
                        <c:v>44399</c:v>
                      </c:pt>
                      <c:pt idx="216">
                        <c:v>44400</c:v>
                      </c:pt>
                      <c:pt idx="217">
                        <c:v>44403</c:v>
                      </c:pt>
                      <c:pt idx="218">
                        <c:v>44404</c:v>
                      </c:pt>
                      <c:pt idx="219">
                        <c:v>44405</c:v>
                      </c:pt>
                      <c:pt idx="220">
                        <c:v>44406</c:v>
                      </c:pt>
                      <c:pt idx="221">
                        <c:v>44407</c:v>
                      </c:pt>
                      <c:pt idx="222">
                        <c:v>44410</c:v>
                      </c:pt>
                      <c:pt idx="223">
                        <c:v>44411</c:v>
                      </c:pt>
                      <c:pt idx="224">
                        <c:v>44412</c:v>
                      </c:pt>
                      <c:pt idx="225">
                        <c:v>44413</c:v>
                      </c:pt>
                      <c:pt idx="226">
                        <c:v>44414</c:v>
                      </c:pt>
                      <c:pt idx="227">
                        <c:v>44417</c:v>
                      </c:pt>
                      <c:pt idx="228">
                        <c:v>44418</c:v>
                      </c:pt>
                      <c:pt idx="229">
                        <c:v>44419</c:v>
                      </c:pt>
                      <c:pt idx="230">
                        <c:v>44420</c:v>
                      </c:pt>
                      <c:pt idx="231">
                        <c:v>44421</c:v>
                      </c:pt>
                      <c:pt idx="232">
                        <c:v>44424</c:v>
                      </c:pt>
                      <c:pt idx="233">
                        <c:v>44425</c:v>
                      </c:pt>
                      <c:pt idx="234">
                        <c:v>44426</c:v>
                      </c:pt>
                      <c:pt idx="235">
                        <c:v>44427</c:v>
                      </c:pt>
                      <c:pt idx="236">
                        <c:v>44428</c:v>
                      </c:pt>
                      <c:pt idx="237">
                        <c:v>44431</c:v>
                      </c:pt>
                      <c:pt idx="238">
                        <c:v>44432</c:v>
                      </c:pt>
                      <c:pt idx="239">
                        <c:v>44433</c:v>
                      </c:pt>
                      <c:pt idx="240">
                        <c:v>44434</c:v>
                      </c:pt>
                      <c:pt idx="241">
                        <c:v>44435</c:v>
                      </c:pt>
                      <c:pt idx="242">
                        <c:v>44438</c:v>
                      </c:pt>
                      <c:pt idx="243">
                        <c:v>44439</c:v>
                      </c:pt>
                      <c:pt idx="244">
                        <c:v>44440</c:v>
                      </c:pt>
                      <c:pt idx="245">
                        <c:v>44445</c:v>
                      </c:pt>
                      <c:pt idx="246">
                        <c:v>44446</c:v>
                      </c:pt>
                      <c:pt idx="247">
                        <c:v>44447</c:v>
                      </c:pt>
                      <c:pt idx="248">
                        <c:v>44448</c:v>
                      </c:pt>
                      <c:pt idx="249">
                        <c:v>44449</c:v>
                      </c:pt>
                      <c:pt idx="250">
                        <c:v>44452</c:v>
                      </c:pt>
                      <c:pt idx="251">
                        <c:v>44453</c:v>
                      </c:pt>
                      <c:pt idx="252">
                        <c:v>44454</c:v>
                      </c:pt>
                      <c:pt idx="253">
                        <c:v>44455</c:v>
                      </c:pt>
                      <c:pt idx="254">
                        <c:v>44456</c:v>
                      </c:pt>
                      <c:pt idx="255">
                        <c:v>44459</c:v>
                      </c:pt>
                      <c:pt idx="256">
                        <c:v>44460</c:v>
                      </c:pt>
                      <c:pt idx="257">
                        <c:v>44461</c:v>
                      </c:pt>
                      <c:pt idx="258">
                        <c:v>44462</c:v>
                      </c:pt>
                      <c:pt idx="259">
                        <c:v>44463</c:v>
                      </c:pt>
                      <c:pt idx="260">
                        <c:v>44466</c:v>
                      </c:pt>
                      <c:pt idx="261">
                        <c:v>44467</c:v>
                      </c:pt>
                      <c:pt idx="262">
                        <c:v>44468</c:v>
                      </c:pt>
                      <c:pt idx="263">
                        <c:v>44469</c:v>
                      </c:pt>
                      <c:pt idx="264">
                        <c:v>44470</c:v>
                      </c:pt>
                      <c:pt idx="265">
                        <c:v>44473</c:v>
                      </c:pt>
                      <c:pt idx="266">
                        <c:v>44474</c:v>
                      </c:pt>
                      <c:pt idx="267">
                        <c:v>44475</c:v>
                      </c:pt>
                      <c:pt idx="268">
                        <c:v>44476</c:v>
                      </c:pt>
                      <c:pt idx="269">
                        <c:v>44477</c:v>
                      </c:pt>
                      <c:pt idx="270">
                        <c:v>44480</c:v>
                      </c:pt>
                      <c:pt idx="271">
                        <c:v>44481</c:v>
                      </c:pt>
                      <c:pt idx="272">
                        <c:v>44482</c:v>
                      </c:pt>
                      <c:pt idx="273">
                        <c:v>44483</c:v>
                      </c:pt>
                      <c:pt idx="274">
                        <c:v>44484</c:v>
                      </c:pt>
                      <c:pt idx="275">
                        <c:v>44487</c:v>
                      </c:pt>
                      <c:pt idx="276">
                        <c:v>44488</c:v>
                      </c:pt>
                      <c:pt idx="277">
                        <c:v>44489</c:v>
                      </c:pt>
                      <c:pt idx="278">
                        <c:v>44490</c:v>
                      </c:pt>
                      <c:pt idx="279">
                        <c:v>44491</c:v>
                      </c:pt>
                      <c:pt idx="280">
                        <c:v>44494</c:v>
                      </c:pt>
                      <c:pt idx="281">
                        <c:v>44495</c:v>
                      </c:pt>
                      <c:pt idx="282">
                        <c:v>44496</c:v>
                      </c:pt>
                      <c:pt idx="283">
                        <c:v>44497</c:v>
                      </c:pt>
                      <c:pt idx="284">
                        <c:v>44498</c:v>
                      </c:pt>
                      <c:pt idx="285">
                        <c:v>44501</c:v>
                      </c:pt>
                      <c:pt idx="286">
                        <c:v>44502</c:v>
                      </c:pt>
                      <c:pt idx="287">
                        <c:v>44503</c:v>
                      </c:pt>
                      <c:pt idx="288">
                        <c:v>44504</c:v>
                      </c:pt>
                      <c:pt idx="289">
                        <c:v>44505</c:v>
                      </c:pt>
                      <c:pt idx="290">
                        <c:v>44508</c:v>
                      </c:pt>
                      <c:pt idx="291">
                        <c:v>44509</c:v>
                      </c:pt>
                      <c:pt idx="292">
                        <c:v>44510</c:v>
                      </c:pt>
                      <c:pt idx="293">
                        <c:v>44511</c:v>
                      </c:pt>
                      <c:pt idx="294">
                        <c:v>44512</c:v>
                      </c:pt>
                      <c:pt idx="295">
                        <c:v>44515</c:v>
                      </c:pt>
                      <c:pt idx="296">
                        <c:v>44516</c:v>
                      </c:pt>
                      <c:pt idx="297">
                        <c:v>44517</c:v>
                      </c:pt>
                      <c:pt idx="298">
                        <c:v>44518</c:v>
                      </c:pt>
                      <c:pt idx="299">
                        <c:v>44519</c:v>
                      </c:pt>
                      <c:pt idx="300">
                        <c:v>44522</c:v>
                      </c:pt>
                      <c:pt idx="301">
                        <c:v>44523</c:v>
                      </c:pt>
                      <c:pt idx="302">
                        <c:v>44524</c:v>
                      </c:pt>
                      <c:pt idx="303">
                        <c:v>44525</c:v>
                      </c:pt>
                      <c:pt idx="304">
                        <c:v>44526</c:v>
                      </c:pt>
                      <c:pt idx="305">
                        <c:v>44529</c:v>
                      </c:pt>
                      <c:pt idx="306">
                        <c:v>44530</c:v>
                      </c:pt>
                      <c:pt idx="307">
                        <c:v>44531</c:v>
                      </c:pt>
                      <c:pt idx="308">
                        <c:v>44532</c:v>
                      </c:pt>
                      <c:pt idx="309">
                        <c:v>44533</c:v>
                      </c:pt>
                      <c:pt idx="310">
                        <c:v>44536</c:v>
                      </c:pt>
                      <c:pt idx="311">
                        <c:v>44537</c:v>
                      </c:pt>
                      <c:pt idx="312">
                        <c:v>44538</c:v>
                      </c:pt>
                      <c:pt idx="313">
                        <c:v>44539</c:v>
                      </c:pt>
                      <c:pt idx="314">
                        <c:v>44540</c:v>
                      </c:pt>
                      <c:pt idx="315">
                        <c:v>44543</c:v>
                      </c:pt>
                      <c:pt idx="316">
                        <c:v>44544</c:v>
                      </c:pt>
                      <c:pt idx="317">
                        <c:v>44545</c:v>
                      </c:pt>
                      <c:pt idx="318">
                        <c:v>44546</c:v>
                      </c:pt>
                      <c:pt idx="319">
                        <c:v>44547</c:v>
                      </c:pt>
                      <c:pt idx="320">
                        <c:v>44550</c:v>
                      </c:pt>
                      <c:pt idx="321">
                        <c:v>44551</c:v>
                      </c:pt>
                      <c:pt idx="322">
                        <c:v>44552</c:v>
                      </c:pt>
                      <c:pt idx="323">
                        <c:v>44553</c:v>
                      </c:pt>
                      <c:pt idx="324">
                        <c:v>44554</c:v>
                      </c:pt>
                      <c:pt idx="325">
                        <c:v>44557</c:v>
                      </c:pt>
                      <c:pt idx="326">
                        <c:v>44558</c:v>
                      </c:pt>
                      <c:pt idx="327">
                        <c:v>44559</c:v>
                      </c:pt>
                      <c:pt idx="328">
                        <c:v>44560</c:v>
                      </c:pt>
                      <c:pt idx="329">
                        <c:v>44561</c:v>
                      </c:pt>
                      <c:pt idx="330">
                        <c:v>44565</c:v>
                      </c:pt>
                      <c:pt idx="331">
                        <c:v>44566</c:v>
                      </c:pt>
                      <c:pt idx="332">
                        <c:v>44567</c:v>
                      </c:pt>
                      <c:pt idx="333">
                        <c:v>44568</c:v>
                      </c:pt>
                      <c:pt idx="334">
                        <c:v>44571</c:v>
                      </c:pt>
                      <c:pt idx="335">
                        <c:v>44572</c:v>
                      </c:pt>
                      <c:pt idx="336">
                        <c:v>44573</c:v>
                      </c:pt>
                      <c:pt idx="337">
                        <c:v>44574</c:v>
                      </c:pt>
                      <c:pt idx="338">
                        <c:v>44575</c:v>
                      </c:pt>
                      <c:pt idx="339">
                        <c:v>44578</c:v>
                      </c:pt>
                      <c:pt idx="340">
                        <c:v>44579</c:v>
                      </c:pt>
                      <c:pt idx="341">
                        <c:v>44580</c:v>
                      </c:pt>
                      <c:pt idx="342">
                        <c:v>44581</c:v>
                      </c:pt>
                      <c:pt idx="343">
                        <c:v>44582</c:v>
                      </c:pt>
                      <c:pt idx="344">
                        <c:v>44585</c:v>
                      </c:pt>
                      <c:pt idx="345">
                        <c:v>44586</c:v>
                      </c:pt>
                      <c:pt idx="346">
                        <c:v>44587</c:v>
                      </c:pt>
                      <c:pt idx="347">
                        <c:v>44588</c:v>
                      </c:pt>
                      <c:pt idx="348">
                        <c:v>44589</c:v>
                      </c:pt>
                      <c:pt idx="349">
                        <c:v>44599</c:v>
                      </c:pt>
                      <c:pt idx="350">
                        <c:v>44600</c:v>
                      </c:pt>
                      <c:pt idx="351">
                        <c:v>44601</c:v>
                      </c:pt>
                      <c:pt idx="352">
                        <c:v>44602</c:v>
                      </c:pt>
                      <c:pt idx="353">
                        <c:v>44603</c:v>
                      </c:pt>
                      <c:pt idx="354">
                        <c:v>44606</c:v>
                      </c:pt>
                      <c:pt idx="355">
                        <c:v>44607</c:v>
                      </c:pt>
                      <c:pt idx="356">
                        <c:v>44608</c:v>
                      </c:pt>
                      <c:pt idx="357">
                        <c:v>44609</c:v>
                      </c:pt>
                      <c:pt idx="358">
                        <c:v>44610</c:v>
                      </c:pt>
                      <c:pt idx="359">
                        <c:v>44613</c:v>
                      </c:pt>
                      <c:pt idx="360">
                        <c:v>44614</c:v>
                      </c:pt>
                      <c:pt idx="361">
                        <c:v>44615</c:v>
                      </c:pt>
                      <c:pt idx="362">
                        <c:v>44616</c:v>
                      </c:pt>
                      <c:pt idx="363">
                        <c:v>44617</c:v>
                      </c:pt>
                      <c:pt idx="364">
                        <c:v>44620</c:v>
                      </c:pt>
                      <c:pt idx="365">
                        <c:v>44621</c:v>
                      </c:pt>
                      <c:pt idx="366">
                        <c:v>44622</c:v>
                      </c:pt>
                      <c:pt idx="367">
                        <c:v>44623</c:v>
                      </c:pt>
                      <c:pt idx="368">
                        <c:v>44624</c:v>
                      </c:pt>
                      <c:pt idx="369">
                        <c:v>44627</c:v>
                      </c:pt>
                      <c:pt idx="370">
                        <c:v>44628</c:v>
                      </c:pt>
                      <c:pt idx="371">
                        <c:v>44629</c:v>
                      </c:pt>
                      <c:pt idx="372">
                        <c:v>44630</c:v>
                      </c:pt>
                      <c:pt idx="373">
                        <c:v>44631</c:v>
                      </c:pt>
                      <c:pt idx="374">
                        <c:v>44634</c:v>
                      </c:pt>
                      <c:pt idx="375">
                        <c:v>44635</c:v>
                      </c:pt>
                      <c:pt idx="376">
                        <c:v>44636</c:v>
                      </c:pt>
                      <c:pt idx="377">
                        <c:v>44637</c:v>
                      </c:pt>
                      <c:pt idx="378">
                        <c:v>44638</c:v>
                      </c:pt>
                      <c:pt idx="379">
                        <c:v>44641</c:v>
                      </c:pt>
                      <c:pt idx="380">
                        <c:v>44642</c:v>
                      </c:pt>
                      <c:pt idx="381">
                        <c:v>44643</c:v>
                      </c:pt>
                      <c:pt idx="382">
                        <c:v>44644</c:v>
                      </c:pt>
                      <c:pt idx="383">
                        <c:v>44645</c:v>
                      </c:pt>
                      <c:pt idx="384">
                        <c:v>44648</c:v>
                      </c:pt>
                      <c:pt idx="385">
                        <c:v>44649</c:v>
                      </c:pt>
                      <c:pt idx="386">
                        <c:v>44650</c:v>
                      </c:pt>
                      <c:pt idx="387">
                        <c:v>44651</c:v>
                      </c:pt>
                      <c:pt idx="388">
                        <c:v>44652</c:v>
                      </c:pt>
                      <c:pt idx="389">
                        <c:v>44655</c:v>
                      </c:pt>
                      <c:pt idx="390">
                        <c:v>44656</c:v>
                      </c:pt>
                      <c:pt idx="391">
                        <c:v>44657</c:v>
                      </c:pt>
                      <c:pt idx="392">
                        <c:v>44658</c:v>
                      </c:pt>
                      <c:pt idx="393">
                        <c:v>44659</c:v>
                      </c:pt>
                      <c:pt idx="394">
                        <c:v>44663</c:v>
                      </c:pt>
                      <c:pt idx="395">
                        <c:v>44664</c:v>
                      </c:pt>
                      <c:pt idx="396">
                        <c:v>44665</c:v>
                      </c:pt>
                      <c:pt idx="397">
                        <c:v>44666</c:v>
                      </c:pt>
                      <c:pt idx="398">
                        <c:v>44669</c:v>
                      </c:pt>
                      <c:pt idx="399">
                        <c:v>44670</c:v>
                      </c:pt>
                      <c:pt idx="400">
                        <c:v>44671</c:v>
                      </c:pt>
                      <c:pt idx="401">
                        <c:v>44672</c:v>
                      </c:pt>
                      <c:pt idx="402">
                        <c:v>44673</c:v>
                      </c:pt>
                      <c:pt idx="403">
                        <c:v>44676</c:v>
                      </c:pt>
                      <c:pt idx="404">
                        <c:v>44677</c:v>
                      </c:pt>
                      <c:pt idx="405">
                        <c:v>44678</c:v>
                      </c:pt>
                      <c:pt idx="406">
                        <c:v>44679</c:v>
                      </c:pt>
                      <c:pt idx="407">
                        <c:v>44680</c:v>
                      </c:pt>
                      <c:pt idx="408">
                        <c:v>44685</c:v>
                      </c:pt>
                      <c:pt idx="409">
                        <c:v>44686</c:v>
                      </c:pt>
                      <c:pt idx="410">
                        <c:v>44687</c:v>
                      </c:pt>
                      <c:pt idx="411">
                        <c:v>44690</c:v>
                      </c:pt>
                      <c:pt idx="412">
                        <c:v>44691</c:v>
                      </c:pt>
                      <c:pt idx="413">
                        <c:v>44692</c:v>
                      </c:pt>
                      <c:pt idx="414">
                        <c:v>44693</c:v>
                      </c:pt>
                      <c:pt idx="415">
                        <c:v>44694</c:v>
                      </c:pt>
                      <c:pt idx="416">
                        <c:v>44697</c:v>
                      </c:pt>
                      <c:pt idx="417">
                        <c:v>44698</c:v>
                      </c:pt>
                      <c:pt idx="418">
                        <c:v>44699</c:v>
                      </c:pt>
                      <c:pt idx="419">
                        <c:v>44700</c:v>
                      </c:pt>
                      <c:pt idx="420">
                        <c:v>44701</c:v>
                      </c:pt>
                      <c:pt idx="421">
                        <c:v>44704</c:v>
                      </c:pt>
                      <c:pt idx="422">
                        <c:v>44705</c:v>
                      </c:pt>
                      <c:pt idx="423">
                        <c:v>44706</c:v>
                      </c:pt>
                      <c:pt idx="424">
                        <c:v>44707</c:v>
                      </c:pt>
                      <c:pt idx="425">
                        <c:v>44708</c:v>
                      </c:pt>
                      <c:pt idx="426">
                        <c:v>44711</c:v>
                      </c:pt>
                      <c:pt idx="427">
                        <c:v>44712</c:v>
                      </c:pt>
                      <c:pt idx="428">
                        <c:v>44713</c:v>
                      </c:pt>
                      <c:pt idx="429">
                        <c:v>44714</c:v>
                      </c:pt>
                      <c:pt idx="430">
                        <c:v>44715</c:v>
                      </c:pt>
                      <c:pt idx="431">
                        <c:v>44718</c:v>
                      </c:pt>
                      <c:pt idx="432">
                        <c:v>44719</c:v>
                      </c:pt>
                      <c:pt idx="433">
                        <c:v>44720</c:v>
                      </c:pt>
                      <c:pt idx="434">
                        <c:v>44721</c:v>
                      </c:pt>
                      <c:pt idx="435">
                        <c:v>44722</c:v>
                      </c:pt>
                      <c:pt idx="436">
                        <c:v>44725</c:v>
                      </c:pt>
                      <c:pt idx="437">
                        <c:v>44726</c:v>
                      </c:pt>
                      <c:pt idx="438">
                        <c:v>44727</c:v>
                      </c:pt>
                      <c:pt idx="439">
                        <c:v>44728</c:v>
                      </c:pt>
                      <c:pt idx="440">
                        <c:v>44729</c:v>
                      </c:pt>
                      <c:pt idx="441">
                        <c:v>44732</c:v>
                      </c:pt>
                      <c:pt idx="442">
                        <c:v>44733</c:v>
                      </c:pt>
                      <c:pt idx="443">
                        <c:v>44734</c:v>
                      </c:pt>
                      <c:pt idx="444">
                        <c:v>44735</c:v>
                      </c:pt>
                      <c:pt idx="445">
                        <c:v>44736</c:v>
                      </c:pt>
                      <c:pt idx="446">
                        <c:v>44739</c:v>
                      </c:pt>
                      <c:pt idx="447">
                        <c:v>44740</c:v>
                      </c:pt>
                      <c:pt idx="448">
                        <c:v>44741</c:v>
                      </c:pt>
                      <c:pt idx="449">
                        <c:v>44742</c:v>
                      </c:pt>
                      <c:pt idx="450">
                        <c:v>44743</c:v>
                      </c:pt>
                      <c:pt idx="451">
                        <c:v>44746</c:v>
                      </c:pt>
                      <c:pt idx="452">
                        <c:v>44747</c:v>
                      </c:pt>
                      <c:pt idx="453">
                        <c:v>44748</c:v>
                      </c:pt>
                      <c:pt idx="454">
                        <c:v>44749</c:v>
                      </c:pt>
                      <c:pt idx="455">
                        <c:v>44750</c:v>
                      </c:pt>
                      <c:pt idx="456">
                        <c:v>44753</c:v>
                      </c:pt>
                      <c:pt idx="457">
                        <c:v>44754</c:v>
                      </c:pt>
                      <c:pt idx="458">
                        <c:v>44755</c:v>
                      </c:pt>
                      <c:pt idx="459">
                        <c:v>44756</c:v>
                      </c:pt>
                      <c:pt idx="460">
                        <c:v>44757</c:v>
                      </c:pt>
                      <c:pt idx="461">
                        <c:v>44760</c:v>
                      </c:pt>
                      <c:pt idx="462">
                        <c:v>44761</c:v>
                      </c:pt>
                      <c:pt idx="463">
                        <c:v>44762</c:v>
                      </c:pt>
                      <c:pt idx="464">
                        <c:v>44763</c:v>
                      </c:pt>
                      <c:pt idx="465">
                        <c:v>44764</c:v>
                      </c:pt>
                      <c:pt idx="466">
                        <c:v>44767</c:v>
                      </c:pt>
                      <c:pt idx="467">
                        <c:v>44768</c:v>
                      </c:pt>
                      <c:pt idx="468">
                        <c:v>44769</c:v>
                      </c:pt>
                      <c:pt idx="469">
                        <c:v>44770</c:v>
                      </c:pt>
                      <c:pt idx="470">
                        <c:v>44771</c:v>
                      </c:pt>
                      <c:pt idx="471">
                        <c:v>44774</c:v>
                      </c:pt>
                      <c:pt idx="472">
                        <c:v>44775</c:v>
                      </c:pt>
                      <c:pt idx="473">
                        <c:v>44776</c:v>
                      </c:pt>
                      <c:pt idx="474">
                        <c:v>44777</c:v>
                      </c:pt>
                      <c:pt idx="475">
                        <c:v>44778</c:v>
                      </c:pt>
                      <c:pt idx="476">
                        <c:v>44781</c:v>
                      </c:pt>
                      <c:pt idx="477">
                        <c:v>44782</c:v>
                      </c:pt>
                      <c:pt idx="478">
                        <c:v>44783</c:v>
                      </c:pt>
                      <c:pt idx="479">
                        <c:v>44784</c:v>
                      </c:pt>
                      <c:pt idx="480">
                        <c:v>44785</c:v>
                      </c:pt>
                      <c:pt idx="481">
                        <c:v>44788</c:v>
                      </c:pt>
                      <c:pt idx="482">
                        <c:v>44789</c:v>
                      </c:pt>
                      <c:pt idx="483">
                        <c:v>44790</c:v>
                      </c:pt>
                      <c:pt idx="484">
                        <c:v>44791</c:v>
                      </c:pt>
                      <c:pt idx="485">
                        <c:v>44792</c:v>
                      </c:pt>
                      <c:pt idx="486">
                        <c:v>44795</c:v>
                      </c:pt>
                      <c:pt idx="487">
                        <c:v>44796</c:v>
                      </c:pt>
                      <c:pt idx="488">
                        <c:v>44797</c:v>
                      </c:pt>
                      <c:pt idx="489">
                        <c:v>44798</c:v>
                      </c:pt>
                      <c:pt idx="490">
                        <c:v>44799</c:v>
                      </c:pt>
                      <c:pt idx="491">
                        <c:v>44802</c:v>
                      </c:pt>
                      <c:pt idx="492">
                        <c:v>44803</c:v>
                      </c:pt>
                      <c:pt idx="493">
                        <c:v>44804</c:v>
                      </c:pt>
                      <c:pt idx="494">
                        <c:v>44809</c:v>
                      </c:pt>
                      <c:pt idx="495">
                        <c:v>44810</c:v>
                      </c:pt>
                      <c:pt idx="496">
                        <c:v>44811</c:v>
                      </c:pt>
                      <c:pt idx="497">
                        <c:v>44812</c:v>
                      </c:pt>
                      <c:pt idx="498">
                        <c:v>44813</c:v>
                      </c:pt>
                      <c:pt idx="499">
                        <c:v>44816</c:v>
                      </c:pt>
                      <c:pt idx="500">
                        <c:v>44817</c:v>
                      </c:pt>
                      <c:pt idx="501">
                        <c:v>44818</c:v>
                      </c:pt>
                      <c:pt idx="502">
                        <c:v>44819</c:v>
                      </c:pt>
                      <c:pt idx="503">
                        <c:v>44820</c:v>
                      </c:pt>
                      <c:pt idx="504">
                        <c:v>44823</c:v>
                      </c:pt>
                      <c:pt idx="505">
                        <c:v>44824</c:v>
                      </c:pt>
                      <c:pt idx="506">
                        <c:v>44825</c:v>
                      </c:pt>
                      <c:pt idx="507">
                        <c:v>44826</c:v>
                      </c:pt>
                      <c:pt idx="508">
                        <c:v>44827</c:v>
                      </c:pt>
                      <c:pt idx="509">
                        <c:v>44830</c:v>
                      </c:pt>
                      <c:pt idx="510">
                        <c:v>44831</c:v>
                      </c:pt>
                      <c:pt idx="511">
                        <c:v>44832</c:v>
                      </c:pt>
                      <c:pt idx="512">
                        <c:v>44833</c:v>
                      </c:pt>
                      <c:pt idx="513">
                        <c:v>44834</c:v>
                      </c:pt>
                      <c:pt idx="514">
                        <c:v>44837</c:v>
                      </c:pt>
                      <c:pt idx="515">
                        <c:v>44838</c:v>
                      </c:pt>
                      <c:pt idx="516">
                        <c:v>44839</c:v>
                      </c:pt>
                      <c:pt idx="517">
                        <c:v>44840</c:v>
                      </c:pt>
                      <c:pt idx="518">
                        <c:v>44841</c:v>
                      </c:pt>
                      <c:pt idx="519">
                        <c:v>44844</c:v>
                      </c:pt>
                      <c:pt idx="520">
                        <c:v>44845</c:v>
                      </c:pt>
                      <c:pt idx="521">
                        <c:v>44846</c:v>
                      </c:pt>
                      <c:pt idx="522">
                        <c:v>44847</c:v>
                      </c:pt>
                      <c:pt idx="523">
                        <c:v>44848</c:v>
                      </c:pt>
                      <c:pt idx="524">
                        <c:v>44851</c:v>
                      </c:pt>
                      <c:pt idx="525">
                        <c:v>44852</c:v>
                      </c:pt>
                      <c:pt idx="526">
                        <c:v>44853</c:v>
                      </c:pt>
                      <c:pt idx="527">
                        <c:v>44854</c:v>
                      </c:pt>
                      <c:pt idx="528">
                        <c:v>44855</c:v>
                      </c:pt>
                      <c:pt idx="529">
                        <c:v>44858</c:v>
                      </c:pt>
                      <c:pt idx="530">
                        <c:v>44859</c:v>
                      </c:pt>
                      <c:pt idx="531">
                        <c:v>44860</c:v>
                      </c:pt>
                      <c:pt idx="532">
                        <c:v>44861</c:v>
                      </c:pt>
                      <c:pt idx="533">
                        <c:v>44862</c:v>
                      </c:pt>
                      <c:pt idx="534">
                        <c:v>44865</c:v>
                      </c:pt>
                      <c:pt idx="535">
                        <c:v>44866</c:v>
                      </c:pt>
                      <c:pt idx="536">
                        <c:v>44867</c:v>
                      </c:pt>
                      <c:pt idx="537">
                        <c:v>44868</c:v>
                      </c:pt>
                      <c:pt idx="538">
                        <c:v>44869</c:v>
                      </c:pt>
                      <c:pt idx="539">
                        <c:v>44872</c:v>
                      </c:pt>
                      <c:pt idx="540">
                        <c:v>44873</c:v>
                      </c:pt>
                      <c:pt idx="541">
                        <c:v>44874</c:v>
                      </c:pt>
                      <c:pt idx="542">
                        <c:v>44875</c:v>
                      </c:pt>
                      <c:pt idx="543">
                        <c:v>44876</c:v>
                      </c:pt>
                      <c:pt idx="544">
                        <c:v>44879</c:v>
                      </c:pt>
                      <c:pt idx="545">
                        <c:v>44880</c:v>
                      </c:pt>
                      <c:pt idx="546">
                        <c:v>44881</c:v>
                      </c:pt>
                      <c:pt idx="547">
                        <c:v>44882</c:v>
                      </c:pt>
                      <c:pt idx="548">
                        <c:v>44883</c:v>
                      </c:pt>
                      <c:pt idx="549">
                        <c:v>44886</c:v>
                      </c:pt>
                      <c:pt idx="550">
                        <c:v>44887</c:v>
                      </c:pt>
                      <c:pt idx="551">
                        <c:v>44888</c:v>
                      </c:pt>
                      <c:pt idx="552">
                        <c:v>44889</c:v>
                      </c:pt>
                      <c:pt idx="553">
                        <c:v>44890</c:v>
                      </c:pt>
                      <c:pt idx="554">
                        <c:v>44893</c:v>
                      </c:pt>
                      <c:pt idx="555">
                        <c:v>44894</c:v>
                      </c:pt>
                      <c:pt idx="556">
                        <c:v>44895</c:v>
                      </c:pt>
                      <c:pt idx="557">
                        <c:v>44896</c:v>
                      </c:pt>
                      <c:pt idx="558">
                        <c:v>44897</c:v>
                      </c:pt>
                      <c:pt idx="559">
                        <c:v>44900</c:v>
                      </c:pt>
                      <c:pt idx="560">
                        <c:v>44901</c:v>
                      </c:pt>
                      <c:pt idx="561">
                        <c:v>44902</c:v>
                      </c:pt>
                      <c:pt idx="562">
                        <c:v>44903</c:v>
                      </c:pt>
                      <c:pt idx="563">
                        <c:v>44904</c:v>
                      </c:pt>
                      <c:pt idx="564">
                        <c:v>44907</c:v>
                      </c:pt>
                      <c:pt idx="565">
                        <c:v>44908</c:v>
                      </c:pt>
                      <c:pt idx="566">
                        <c:v>44909</c:v>
                      </c:pt>
                      <c:pt idx="567">
                        <c:v>44910</c:v>
                      </c:pt>
                      <c:pt idx="568">
                        <c:v>44911</c:v>
                      </c:pt>
                      <c:pt idx="569">
                        <c:v>44914</c:v>
                      </c:pt>
                      <c:pt idx="570">
                        <c:v>44915</c:v>
                      </c:pt>
                      <c:pt idx="571">
                        <c:v>44916</c:v>
                      </c:pt>
                      <c:pt idx="572">
                        <c:v>44917</c:v>
                      </c:pt>
                      <c:pt idx="573">
                        <c:v>44918</c:v>
                      </c:pt>
                      <c:pt idx="574">
                        <c:v>44921</c:v>
                      </c:pt>
                      <c:pt idx="575">
                        <c:v>44922</c:v>
                      </c:pt>
                      <c:pt idx="576">
                        <c:v>44923</c:v>
                      </c:pt>
                      <c:pt idx="577">
                        <c:v>44924</c:v>
                      </c:pt>
                      <c:pt idx="578">
                        <c:v>44925</c:v>
                      </c:pt>
                      <c:pt idx="579">
                        <c:v>44929</c:v>
                      </c:pt>
                      <c:pt idx="580">
                        <c:v>44930</c:v>
                      </c:pt>
                      <c:pt idx="581">
                        <c:v>44931</c:v>
                      </c:pt>
                      <c:pt idx="582">
                        <c:v>44932</c:v>
                      </c:pt>
                      <c:pt idx="583">
                        <c:v>44935</c:v>
                      </c:pt>
                      <c:pt idx="584">
                        <c:v>44936</c:v>
                      </c:pt>
                      <c:pt idx="585">
                        <c:v>44937</c:v>
                      </c:pt>
                      <c:pt idx="586">
                        <c:v>44938</c:v>
                      </c:pt>
                      <c:pt idx="587">
                        <c:v>44939</c:v>
                      </c:pt>
                      <c:pt idx="588">
                        <c:v>44942</c:v>
                      </c:pt>
                      <c:pt idx="589">
                        <c:v>44943</c:v>
                      </c:pt>
                      <c:pt idx="590">
                        <c:v>44944</c:v>
                      </c:pt>
                      <c:pt idx="591">
                        <c:v>44945</c:v>
                      </c:pt>
                      <c:pt idx="592">
                        <c:v>44953</c:v>
                      </c:pt>
                      <c:pt idx="593">
                        <c:v>44956</c:v>
                      </c:pt>
                      <c:pt idx="594">
                        <c:v>44957</c:v>
                      </c:pt>
                      <c:pt idx="595">
                        <c:v>44958</c:v>
                      </c:pt>
                      <c:pt idx="596">
                        <c:v>44959</c:v>
                      </c:pt>
                      <c:pt idx="597">
                        <c:v>44960</c:v>
                      </c:pt>
                      <c:pt idx="598">
                        <c:v>44963</c:v>
                      </c:pt>
                      <c:pt idx="599">
                        <c:v>44964</c:v>
                      </c:pt>
                      <c:pt idx="600">
                        <c:v>44965</c:v>
                      </c:pt>
                      <c:pt idx="601">
                        <c:v>44966</c:v>
                      </c:pt>
                      <c:pt idx="602">
                        <c:v>44967</c:v>
                      </c:pt>
                      <c:pt idx="603">
                        <c:v>44970</c:v>
                      </c:pt>
                      <c:pt idx="604">
                        <c:v>44971</c:v>
                      </c:pt>
                      <c:pt idx="605">
                        <c:v>44972</c:v>
                      </c:pt>
                      <c:pt idx="606">
                        <c:v>44973</c:v>
                      </c:pt>
                      <c:pt idx="607">
                        <c:v>44974</c:v>
                      </c:pt>
                      <c:pt idx="608">
                        <c:v>44977</c:v>
                      </c:pt>
                      <c:pt idx="609">
                        <c:v>44978</c:v>
                      </c:pt>
                      <c:pt idx="610">
                        <c:v>44979</c:v>
                      </c:pt>
                      <c:pt idx="611">
                        <c:v>44980</c:v>
                      </c:pt>
                      <c:pt idx="612">
                        <c:v>44981</c:v>
                      </c:pt>
                      <c:pt idx="613">
                        <c:v>44984</c:v>
                      </c:pt>
                      <c:pt idx="614">
                        <c:v>44985</c:v>
                      </c:pt>
                      <c:pt idx="615">
                        <c:v>44986</c:v>
                      </c:pt>
                      <c:pt idx="616">
                        <c:v>44987</c:v>
                      </c:pt>
                      <c:pt idx="617">
                        <c:v>44988</c:v>
                      </c:pt>
                      <c:pt idx="618">
                        <c:v>44991</c:v>
                      </c:pt>
                      <c:pt idx="619">
                        <c:v>44992</c:v>
                      </c:pt>
                      <c:pt idx="620">
                        <c:v>44993</c:v>
                      </c:pt>
                      <c:pt idx="621">
                        <c:v>44994</c:v>
                      </c:pt>
                      <c:pt idx="622">
                        <c:v>44995</c:v>
                      </c:pt>
                      <c:pt idx="623">
                        <c:v>44998</c:v>
                      </c:pt>
                      <c:pt idx="624">
                        <c:v>44999</c:v>
                      </c:pt>
                      <c:pt idx="625">
                        <c:v>45000</c:v>
                      </c:pt>
                      <c:pt idx="626">
                        <c:v>45001</c:v>
                      </c:pt>
                      <c:pt idx="627">
                        <c:v>45002</c:v>
                      </c:pt>
                      <c:pt idx="628">
                        <c:v>45005</c:v>
                      </c:pt>
                      <c:pt idx="629">
                        <c:v>45006</c:v>
                      </c:pt>
                      <c:pt idx="630">
                        <c:v>45007</c:v>
                      </c:pt>
                      <c:pt idx="631">
                        <c:v>45008</c:v>
                      </c:pt>
                      <c:pt idx="632">
                        <c:v>45009</c:v>
                      </c:pt>
                      <c:pt idx="633">
                        <c:v>45012</c:v>
                      </c:pt>
                      <c:pt idx="634">
                        <c:v>45013</c:v>
                      </c:pt>
                      <c:pt idx="635">
                        <c:v>45014</c:v>
                      </c:pt>
                      <c:pt idx="636">
                        <c:v>45015</c:v>
                      </c:pt>
                      <c:pt idx="637">
                        <c:v>45016</c:v>
                      </c:pt>
                      <c:pt idx="638">
                        <c:v>45019</c:v>
                      </c:pt>
                      <c:pt idx="639">
                        <c:v>45020</c:v>
                      </c:pt>
                      <c:pt idx="640">
                        <c:v>45021</c:v>
                      </c:pt>
                      <c:pt idx="641">
                        <c:v>45022</c:v>
                      </c:pt>
                      <c:pt idx="642">
                        <c:v>45023</c:v>
                      </c:pt>
                      <c:pt idx="643">
                        <c:v>45026</c:v>
                      </c:pt>
                      <c:pt idx="644">
                        <c:v>45027</c:v>
                      </c:pt>
                      <c:pt idx="645">
                        <c:v>45028</c:v>
                      </c:pt>
                      <c:pt idx="646">
                        <c:v>45029</c:v>
                      </c:pt>
                      <c:pt idx="647">
                        <c:v>45030</c:v>
                      </c:pt>
                      <c:pt idx="648">
                        <c:v>45033</c:v>
                      </c:pt>
                      <c:pt idx="649">
                        <c:v>45034</c:v>
                      </c:pt>
                      <c:pt idx="650">
                        <c:v>45035</c:v>
                      </c:pt>
                      <c:pt idx="651">
                        <c:v>45036</c:v>
                      </c:pt>
                      <c:pt idx="652">
                        <c:v>45037</c:v>
                      </c:pt>
                      <c:pt idx="653">
                        <c:v>45040</c:v>
                      </c:pt>
                      <c:pt idx="654">
                        <c:v>45041</c:v>
                      </c:pt>
                      <c:pt idx="655">
                        <c:v>45042</c:v>
                      </c:pt>
                      <c:pt idx="656">
                        <c:v>45043</c:v>
                      </c:pt>
                      <c:pt idx="657">
                        <c:v>45044</c:v>
                      </c:pt>
                      <c:pt idx="658">
                        <c:v>45050</c:v>
                      </c:pt>
                      <c:pt idx="659">
                        <c:v>45051</c:v>
                      </c:pt>
                      <c:pt idx="660">
                        <c:v>45054</c:v>
                      </c:pt>
                      <c:pt idx="661">
                        <c:v>45055</c:v>
                      </c:pt>
                      <c:pt idx="662">
                        <c:v>45056</c:v>
                      </c:pt>
                      <c:pt idx="663">
                        <c:v>45057</c:v>
                      </c:pt>
                      <c:pt idx="664">
                        <c:v>45058</c:v>
                      </c:pt>
                      <c:pt idx="665">
                        <c:v>45061</c:v>
                      </c:pt>
                      <c:pt idx="666">
                        <c:v>45062</c:v>
                      </c:pt>
                      <c:pt idx="667">
                        <c:v>45063</c:v>
                      </c:pt>
                      <c:pt idx="668">
                        <c:v>45064</c:v>
                      </c:pt>
                      <c:pt idx="669">
                        <c:v>45065</c:v>
                      </c:pt>
                      <c:pt idx="670">
                        <c:v>45068</c:v>
                      </c:pt>
                      <c:pt idx="671">
                        <c:v>45069</c:v>
                      </c:pt>
                      <c:pt idx="672">
                        <c:v>45070</c:v>
                      </c:pt>
                      <c:pt idx="673">
                        <c:v>45071</c:v>
                      </c:pt>
                      <c:pt idx="674">
                        <c:v>45072</c:v>
                      </c:pt>
                      <c:pt idx="675">
                        <c:v>45075</c:v>
                      </c:pt>
                      <c:pt idx="676">
                        <c:v>45076</c:v>
                      </c:pt>
                      <c:pt idx="677">
                        <c:v>45077</c:v>
                      </c:pt>
                      <c:pt idx="678">
                        <c:v>45078</c:v>
                      </c:pt>
                      <c:pt idx="679">
                        <c:v>45079</c:v>
                      </c:pt>
                      <c:pt idx="680">
                        <c:v>45082</c:v>
                      </c:pt>
                      <c:pt idx="681">
                        <c:v>45083</c:v>
                      </c:pt>
                      <c:pt idx="682">
                        <c:v>45084</c:v>
                      </c:pt>
                      <c:pt idx="683">
                        <c:v>45085</c:v>
                      </c:pt>
                      <c:pt idx="684">
                        <c:v>45086</c:v>
                      </c:pt>
                      <c:pt idx="685">
                        <c:v>45089</c:v>
                      </c:pt>
                      <c:pt idx="686">
                        <c:v>45090</c:v>
                      </c:pt>
                      <c:pt idx="687">
                        <c:v>45091</c:v>
                      </c:pt>
                      <c:pt idx="688">
                        <c:v>45092</c:v>
                      </c:pt>
                      <c:pt idx="689">
                        <c:v>45093</c:v>
                      </c:pt>
                      <c:pt idx="690">
                        <c:v>45096</c:v>
                      </c:pt>
                      <c:pt idx="691">
                        <c:v>45097</c:v>
                      </c:pt>
                      <c:pt idx="692">
                        <c:v>45098</c:v>
                      </c:pt>
                      <c:pt idx="693">
                        <c:v>45099</c:v>
                      </c:pt>
                      <c:pt idx="694">
                        <c:v>45100</c:v>
                      </c:pt>
                      <c:pt idx="695">
                        <c:v>45103</c:v>
                      </c:pt>
                      <c:pt idx="696">
                        <c:v>45104</c:v>
                      </c:pt>
                      <c:pt idx="697">
                        <c:v>45105</c:v>
                      </c:pt>
                      <c:pt idx="698">
                        <c:v>45106</c:v>
                      </c:pt>
                      <c:pt idx="699">
                        <c:v>45107</c:v>
                      </c:pt>
                      <c:pt idx="700">
                        <c:v>45110</c:v>
                      </c:pt>
                      <c:pt idx="701">
                        <c:v>45111</c:v>
                      </c:pt>
                      <c:pt idx="702">
                        <c:v>45112</c:v>
                      </c:pt>
                      <c:pt idx="703">
                        <c:v>45113</c:v>
                      </c:pt>
                      <c:pt idx="704">
                        <c:v>45114</c:v>
                      </c:pt>
                      <c:pt idx="705">
                        <c:v>45117</c:v>
                      </c:pt>
                      <c:pt idx="706">
                        <c:v>45118</c:v>
                      </c:pt>
                      <c:pt idx="707">
                        <c:v>45119</c:v>
                      </c:pt>
                      <c:pt idx="708">
                        <c:v>45120</c:v>
                      </c:pt>
                      <c:pt idx="709">
                        <c:v>45121</c:v>
                      </c:pt>
                      <c:pt idx="710">
                        <c:v>45124</c:v>
                      </c:pt>
                      <c:pt idx="711">
                        <c:v>45125</c:v>
                      </c:pt>
                      <c:pt idx="712">
                        <c:v>45126</c:v>
                      </c:pt>
                      <c:pt idx="713">
                        <c:v>45127</c:v>
                      </c:pt>
                      <c:pt idx="714">
                        <c:v>45128</c:v>
                      </c:pt>
                      <c:pt idx="715">
                        <c:v>45131</c:v>
                      </c:pt>
                      <c:pt idx="716">
                        <c:v>45132</c:v>
                      </c:pt>
                      <c:pt idx="717">
                        <c:v>45133</c:v>
                      </c:pt>
                      <c:pt idx="718">
                        <c:v>45134</c:v>
                      </c:pt>
                      <c:pt idx="719">
                        <c:v>45135</c:v>
                      </c:pt>
                      <c:pt idx="720">
                        <c:v>45138</c:v>
                      </c:pt>
                      <c:pt idx="721">
                        <c:v>45139</c:v>
                      </c:pt>
                      <c:pt idx="722">
                        <c:v>45140</c:v>
                      </c:pt>
                      <c:pt idx="723">
                        <c:v>45141</c:v>
                      </c:pt>
                      <c:pt idx="724">
                        <c:v>45142</c:v>
                      </c:pt>
                      <c:pt idx="725">
                        <c:v>45145</c:v>
                      </c:pt>
                      <c:pt idx="726">
                        <c:v>45146</c:v>
                      </c:pt>
                      <c:pt idx="727">
                        <c:v>45147</c:v>
                      </c:pt>
                      <c:pt idx="728">
                        <c:v>45148</c:v>
                      </c:pt>
                      <c:pt idx="729">
                        <c:v>45149</c:v>
                      </c:pt>
                      <c:pt idx="730">
                        <c:v>45152</c:v>
                      </c:pt>
                      <c:pt idx="731">
                        <c:v>45153</c:v>
                      </c:pt>
                      <c:pt idx="732">
                        <c:v>45154</c:v>
                      </c:pt>
                      <c:pt idx="733">
                        <c:v>45155</c:v>
                      </c:pt>
                      <c:pt idx="734">
                        <c:v>45156</c:v>
                      </c:pt>
                      <c:pt idx="735">
                        <c:v>45159</c:v>
                      </c:pt>
                      <c:pt idx="736">
                        <c:v>45160</c:v>
                      </c:pt>
                      <c:pt idx="737">
                        <c:v>45161</c:v>
                      </c:pt>
                      <c:pt idx="738">
                        <c:v>45162</c:v>
                      </c:pt>
                      <c:pt idx="739">
                        <c:v>45163</c:v>
                      </c:pt>
                      <c:pt idx="740">
                        <c:v>45166</c:v>
                      </c:pt>
                      <c:pt idx="741">
                        <c:v>45167</c:v>
                      </c:pt>
                      <c:pt idx="742">
                        <c:v>45168</c:v>
                      </c:pt>
                      <c:pt idx="743">
                        <c:v>45169</c:v>
                      </c:pt>
                      <c:pt idx="744">
                        <c:v>45174</c:v>
                      </c:pt>
                      <c:pt idx="745">
                        <c:v>45175</c:v>
                      </c:pt>
                      <c:pt idx="746">
                        <c:v>45176</c:v>
                      </c:pt>
                      <c:pt idx="747">
                        <c:v>45177</c:v>
                      </c:pt>
                      <c:pt idx="748">
                        <c:v>45180</c:v>
                      </c:pt>
                      <c:pt idx="749">
                        <c:v>45181</c:v>
                      </c:pt>
                      <c:pt idx="750">
                        <c:v>45182</c:v>
                      </c:pt>
                      <c:pt idx="751">
                        <c:v>45183</c:v>
                      </c:pt>
                      <c:pt idx="752">
                        <c:v>45184</c:v>
                      </c:pt>
                      <c:pt idx="753">
                        <c:v>45187</c:v>
                      </c:pt>
                      <c:pt idx="754">
                        <c:v>45188</c:v>
                      </c:pt>
                      <c:pt idx="755">
                        <c:v>45189</c:v>
                      </c:pt>
                      <c:pt idx="756">
                        <c:v>45190</c:v>
                      </c:pt>
                      <c:pt idx="757">
                        <c:v>45191</c:v>
                      </c:pt>
                      <c:pt idx="758">
                        <c:v>45194</c:v>
                      </c:pt>
                      <c:pt idx="759">
                        <c:v>45195</c:v>
                      </c:pt>
                      <c:pt idx="760">
                        <c:v>45196</c:v>
                      </c:pt>
                      <c:pt idx="761">
                        <c:v>45197</c:v>
                      </c:pt>
                      <c:pt idx="762">
                        <c:v>45198</c:v>
                      </c:pt>
                      <c:pt idx="763">
                        <c:v>45201</c:v>
                      </c:pt>
                      <c:pt idx="764">
                        <c:v>45202</c:v>
                      </c:pt>
                      <c:pt idx="765">
                        <c:v>45203</c:v>
                      </c:pt>
                      <c:pt idx="766">
                        <c:v>45204</c:v>
                      </c:pt>
                      <c:pt idx="767">
                        <c:v>45205</c:v>
                      </c:pt>
                      <c:pt idx="768">
                        <c:v>45208</c:v>
                      </c:pt>
                      <c:pt idx="769">
                        <c:v>45209</c:v>
                      </c:pt>
                      <c:pt idx="770">
                        <c:v>45210</c:v>
                      </c:pt>
                      <c:pt idx="771">
                        <c:v>45211</c:v>
                      </c:pt>
                      <c:pt idx="772">
                        <c:v>45212</c:v>
                      </c:pt>
                      <c:pt idx="773">
                        <c:v>45215</c:v>
                      </c:pt>
                      <c:pt idx="774">
                        <c:v>45216</c:v>
                      </c:pt>
                      <c:pt idx="775">
                        <c:v>45217</c:v>
                      </c:pt>
                      <c:pt idx="776">
                        <c:v>45218</c:v>
                      </c:pt>
                      <c:pt idx="777">
                        <c:v>45219</c:v>
                      </c:pt>
                      <c:pt idx="778">
                        <c:v>45222</c:v>
                      </c:pt>
                      <c:pt idx="779">
                        <c:v>45223</c:v>
                      </c:pt>
                      <c:pt idx="780">
                        <c:v>45224</c:v>
                      </c:pt>
                      <c:pt idx="781">
                        <c:v>45225</c:v>
                      </c:pt>
                      <c:pt idx="782">
                        <c:v>45226</c:v>
                      </c:pt>
                      <c:pt idx="783">
                        <c:v>45229</c:v>
                      </c:pt>
                      <c:pt idx="784">
                        <c:v>45230</c:v>
                      </c:pt>
                      <c:pt idx="785">
                        <c:v>45231</c:v>
                      </c:pt>
                      <c:pt idx="786">
                        <c:v>45232</c:v>
                      </c:pt>
                      <c:pt idx="787">
                        <c:v>45233</c:v>
                      </c:pt>
                      <c:pt idx="788">
                        <c:v>45236</c:v>
                      </c:pt>
                      <c:pt idx="789">
                        <c:v>45237</c:v>
                      </c:pt>
                      <c:pt idx="790">
                        <c:v>45238</c:v>
                      </c:pt>
                      <c:pt idx="791">
                        <c:v>45239</c:v>
                      </c:pt>
                      <c:pt idx="792">
                        <c:v>45240</c:v>
                      </c:pt>
                      <c:pt idx="793">
                        <c:v>45243</c:v>
                      </c:pt>
                      <c:pt idx="794">
                        <c:v>45244</c:v>
                      </c:pt>
                      <c:pt idx="795">
                        <c:v>45245</c:v>
                      </c:pt>
                      <c:pt idx="796">
                        <c:v>45246</c:v>
                      </c:pt>
                      <c:pt idx="797">
                        <c:v>45247</c:v>
                      </c:pt>
                      <c:pt idx="798">
                        <c:v>45250</c:v>
                      </c:pt>
                      <c:pt idx="799">
                        <c:v>45251</c:v>
                      </c:pt>
                      <c:pt idx="800">
                        <c:v>45252</c:v>
                      </c:pt>
                      <c:pt idx="801">
                        <c:v>45253</c:v>
                      </c:pt>
                      <c:pt idx="802">
                        <c:v>45254</c:v>
                      </c:pt>
                      <c:pt idx="803">
                        <c:v>45257</c:v>
                      </c:pt>
                      <c:pt idx="804">
                        <c:v>45258</c:v>
                      </c:pt>
                      <c:pt idx="805">
                        <c:v>45259</c:v>
                      </c:pt>
                      <c:pt idx="806">
                        <c:v>45260</c:v>
                      </c:pt>
                      <c:pt idx="807">
                        <c:v>45261</c:v>
                      </c:pt>
                      <c:pt idx="808">
                        <c:v>45264</c:v>
                      </c:pt>
                      <c:pt idx="809">
                        <c:v>45265</c:v>
                      </c:pt>
                      <c:pt idx="810">
                        <c:v>45266</c:v>
                      </c:pt>
                      <c:pt idx="811">
                        <c:v>45267</c:v>
                      </c:pt>
                      <c:pt idx="812">
                        <c:v>45268</c:v>
                      </c:pt>
                      <c:pt idx="813">
                        <c:v>45271</c:v>
                      </c:pt>
                      <c:pt idx="814">
                        <c:v>45272</c:v>
                      </c:pt>
                      <c:pt idx="815">
                        <c:v>45273</c:v>
                      </c:pt>
                      <c:pt idx="816">
                        <c:v>45274</c:v>
                      </c:pt>
                      <c:pt idx="817">
                        <c:v>45275</c:v>
                      </c:pt>
                      <c:pt idx="818">
                        <c:v>45278</c:v>
                      </c:pt>
                      <c:pt idx="819">
                        <c:v>45279</c:v>
                      </c:pt>
                      <c:pt idx="820">
                        <c:v>45280</c:v>
                      </c:pt>
                      <c:pt idx="821">
                        <c:v>45281</c:v>
                      </c:pt>
                      <c:pt idx="822">
                        <c:v>45282</c:v>
                      </c:pt>
                      <c:pt idx="823">
                        <c:v>45285</c:v>
                      </c:pt>
                      <c:pt idx="824">
                        <c:v>45286</c:v>
                      </c:pt>
                      <c:pt idx="825">
                        <c:v>45287</c:v>
                      </c:pt>
                      <c:pt idx="826">
                        <c:v>45288</c:v>
                      </c:pt>
                      <c:pt idx="827">
                        <c:v>45289</c:v>
                      </c:pt>
                      <c:pt idx="828">
                        <c:v>45293</c:v>
                      </c:pt>
                      <c:pt idx="829">
                        <c:v>45294</c:v>
                      </c:pt>
                      <c:pt idx="830">
                        <c:v>45295</c:v>
                      </c:pt>
                      <c:pt idx="831">
                        <c:v>45296</c:v>
                      </c:pt>
                      <c:pt idx="832">
                        <c:v>45299</c:v>
                      </c:pt>
                      <c:pt idx="833">
                        <c:v>45300</c:v>
                      </c:pt>
                      <c:pt idx="834">
                        <c:v>45301</c:v>
                      </c:pt>
                      <c:pt idx="835">
                        <c:v>45302</c:v>
                      </c:pt>
                      <c:pt idx="836">
                        <c:v>45303</c:v>
                      </c:pt>
                      <c:pt idx="837">
                        <c:v>45306</c:v>
                      </c:pt>
                      <c:pt idx="838">
                        <c:v>45307</c:v>
                      </c:pt>
                      <c:pt idx="839">
                        <c:v>45308</c:v>
                      </c:pt>
                      <c:pt idx="840">
                        <c:v>45309</c:v>
                      </c:pt>
                      <c:pt idx="841">
                        <c:v>45310</c:v>
                      </c:pt>
                      <c:pt idx="842">
                        <c:v>45313</c:v>
                      </c:pt>
                      <c:pt idx="843">
                        <c:v>45314</c:v>
                      </c:pt>
                      <c:pt idx="844">
                        <c:v>45315</c:v>
                      </c:pt>
                      <c:pt idx="845">
                        <c:v>45316</c:v>
                      </c:pt>
                      <c:pt idx="846">
                        <c:v>45317</c:v>
                      </c:pt>
                      <c:pt idx="847">
                        <c:v>45320</c:v>
                      </c:pt>
                      <c:pt idx="848">
                        <c:v>45321</c:v>
                      </c:pt>
                      <c:pt idx="849">
                        <c:v>45322</c:v>
                      </c:pt>
                      <c:pt idx="850">
                        <c:v>45323</c:v>
                      </c:pt>
                      <c:pt idx="851">
                        <c:v>45324</c:v>
                      </c:pt>
                      <c:pt idx="852">
                        <c:v>45327</c:v>
                      </c:pt>
                      <c:pt idx="853">
                        <c:v>45328</c:v>
                      </c:pt>
                      <c:pt idx="854">
                        <c:v>45329</c:v>
                      </c:pt>
                      <c:pt idx="855">
                        <c:v>45337</c:v>
                      </c:pt>
                      <c:pt idx="856">
                        <c:v>45338</c:v>
                      </c:pt>
                      <c:pt idx="857">
                        <c:v>45341</c:v>
                      </c:pt>
                      <c:pt idx="858">
                        <c:v>45342</c:v>
                      </c:pt>
                      <c:pt idx="859">
                        <c:v>45343</c:v>
                      </c:pt>
                      <c:pt idx="860">
                        <c:v>45344</c:v>
                      </c:pt>
                      <c:pt idx="861">
                        <c:v>45345</c:v>
                      </c:pt>
                      <c:pt idx="862">
                        <c:v>45348</c:v>
                      </c:pt>
                      <c:pt idx="863">
                        <c:v>45349</c:v>
                      </c:pt>
                      <c:pt idx="864">
                        <c:v>45350</c:v>
                      </c:pt>
                      <c:pt idx="865">
                        <c:v>45351</c:v>
                      </c:pt>
                      <c:pt idx="866">
                        <c:v>45352</c:v>
                      </c:pt>
                      <c:pt idx="867">
                        <c:v>45355</c:v>
                      </c:pt>
                      <c:pt idx="868">
                        <c:v>45356</c:v>
                      </c:pt>
                      <c:pt idx="869">
                        <c:v>45357</c:v>
                      </c:pt>
                      <c:pt idx="870">
                        <c:v>45358</c:v>
                      </c:pt>
                      <c:pt idx="871">
                        <c:v>45359</c:v>
                      </c:pt>
                      <c:pt idx="872">
                        <c:v>45362</c:v>
                      </c:pt>
                      <c:pt idx="873">
                        <c:v>45363</c:v>
                      </c:pt>
                      <c:pt idx="874">
                        <c:v>45364</c:v>
                      </c:pt>
                      <c:pt idx="875">
                        <c:v>45365</c:v>
                      </c:pt>
                      <c:pt idx="876">
                        <c:v>45366</c:v>
                      </c:pt>
                      <c:pt idx="877">
                        <c:v>45369</c:v>
                      </c:pt>
                      <c:pt idx="878">
                        <c:v>45370</c:v>
                      </c:pt>
                      <c:pt idx="879">
                        <c:v>45371</c:v>
                      </c:pt>
                      <c:pt idx="880">
                        <c:v>45372</c:v>
                      </c:pt>
                      <c:pt idx="881">
                        <c:v>45373</c:v>
                      </c:pt>
                      <c:pt idx="882">
                        <c:v>45376</c:v>
                      </c:pt>
                      <c:pt idx="883">
                        <c:v>45377</c:v>
                      </c:pt>
                      <c:pt idx="884">
                        <c:v>45378</c:v>
                      </c:pt>
                      <c:pt idx="885">
                        <c:v>45379</c:v>
                      </c:pt>
                      <c:pt idx="886">
                        <c:v>45380</c:v>
                      </c:pt>
                      <c:pt idx="887">
                        <c:v>45383</c:v>
                      </c:pt>
                      <c:pt idx="888">
                        <c:v>45384</c:v>
                      </c:pt>
                      <c:pt idx="889">
                        <c:v>45385</c:v>
                      </c:pt>
                      <c:pt idx="890">
                        <c:v>45386</c:v>
                      </c:pt>
                      <c:pt idx="891">
                        <c:v>45387</c:v>
                      </c:pt>
                      <c:pt idx="892">
                        <c:v>45390</c:v>
                      </c:pt>
                      <c:pt idx="893">
                        <c:v>45391</c:v>
                      </c:pt>
                      <c:pt idx="894">
                        <c:v>45392</c:v>
                      </c:pt>
                      <c:pt idx="895">
                        <c:v>45393</c:v>
                      </c:pt>
                      <c:pt idx="896">
                        <c:v>45394</c:v>
                      </c:pt>
                      <c:pt idx="897">
                        <c:v>45397</c:v>
                      </c:pt>
                      <c:pt idx="898">
                        <c:v>45398</c:v>
                      </c:pt>
                      <c:pt idx="899">
                        <c:v>45399</c:v>
                      </c:pt>
                      <c:pt idx="900">
                        <c:v>45401</c:v>
                      </c:pt>
                      <c:pt idx="901">
                        <c:v>45404</c:v>
                      </c:pt>
                      <c:pt idx="902">
                        <c:v>45405</c:v>
                      </c:pt>
                      <c:pt idx="903">
                        <c:v>45406</c:v>
                      </c:pt>
                      <c:pt idx="904">
                        <c:v>45407</c:v>
                      </c:pt>
                      <c:pt idx="905">
                        <c:v>45408</c:v>
                      </c:pt>
                      <c:pt idx="906">
                        <c:v>45414</c:v>
                      </c:pt>
                      <c:pt idx="907">
                        <c:v>45415</c:v>
                      </c:pt>
                      <c:pt idx="908">
                        <c:v>45418</c:v>
                      </c:pt>
                      <c:pt idx="909">
                        <c:v>45419</c:v>
                      </c:pt>
                      <c:pt idx="910">
                        <c:v>45420</c:v>
                      </c:pt>
                      <c:pt idx="911">
                        <c:v>45421</c:v>
                      </c:pt>
                      <c:pt idx="912">
                        <c:v>45422</c:v>
                      </c:pt>
                      <c:pt idx="913">
                        <c:v>45425</c:v>
                      </c:pt>
                      <c:pt idx="914">
                        <c:v>45426</c:v>
                      </c:pt>
                      <c:pt idx="915">
                        <c:v>45427</c:v>
                      </c:pt>
                      <c:pt idx="916">
                        <c:v>45428</c:v>
                      </c:pt>
                      <c:pt idx="917">
                        <c:v>45429</c:v>
                      </c:pt>
                      <c:pt idx="918">
                        <c:v>45432</c:v>
                      </c:pt>
                      <c:pt idx="919">
                        <c:v>45433</c:v>
                      </c:pt>
                      <c:pt idx="920">
                        <c:v>45434</c:v>
                      </c:pt>
                      <c:pt idx="921">
                        <c:v>45435</c:v>
                      </c:pt>
                      <c:pt idx="922">
                        <c:v>45436</c:v>
                      </c:pt>
                      <c:pt idx="923">
                        <c:v>45439</c:v>
                      </c:pt>
                      <c:pt idx="924">
                        <c:v>45440</c:v>
                      </c:pt>
                      <c:pt idx="925">
                        <c:v>45441</c:v>
                      </c:pt>
                      <c:pt idx="926">
                        <c:v>45442</c:v>
                      </c:pt>
                      <c:pt idx="927">
                        <c:v>45443</c:v>
                      </c:pt>
                      <c:pt idx="928">
                        <c:v>45446</c:v>
                      </c:pt>
                      <c:pt idx="929">
                        <c:v>45447</c:v>
                      </c:pt>
                      <c:pt idx="930">
                        <c:v>45448</c:v>
                      </c:pt>
                      <c:pt idx="931">
                        <c:v>45449</c:v>
                      </c:pt>
                      <c:pt idx="932">
                        <c:v>45450</c:v>
                      </c:pt>
                      <c:pt idx="933">
                        <c:v>45453</c:v>
                      </c:pt>
                      <c:pt idx="934">
                        <c:v>45454</c:v>
                      </c:pt>
                      <c:pt idx="935">
                        <c:v>45455</c:v>
                      </c:pt>
                      <c:pt idx="936">
                        <c:v>45456</c:v>
                      </c:pt>
                      <c:pt idx="937">
                        <c:v>45457</c:v>
                      </c:pt>
                      <c:pt idx="938">
                        <c:v>45460</c:v>
                      </c:pt>
                      <c:pt idx="939">
                        <c:v>45461</c:v>
                      </c:pt>
                      <c:pt idx="940">
                        <c:v>45462</c:v>
                      </c:pt>
                      <c:pt idx="941">
                        <c:v>45463</c:v>
                      </c:pt>
                      <c:pt idx="942">
                        <c:v>45464</c:v>
                      </c:pt>
                      <c:pt idx="943">
                        <c:v>45467</c:v>
                      </c:pt>
                      <c:pt idx="944">
                        <c:v>45468</c:v>
                      </c:pt>
                      <c:pt idx="945">
                        <c:v>45469</c:v>
                      </c:pt>
                      <c:pt idx="946">
                        <c:v>45470</c:v>
                      </c:pt>
                      <c:pt idx="947">
                        <c:v>45471</c:v>
                      </c:pt>
                      <c:pt idx="948">
                        <c:v>45474</c:v>
                      </c:pt>
                      <c:pt idx="949">
                        <c:v>45475</c:v>
                      </c:pt>
                      <c:pt idx="950">
                        <c:v>45476</c:v>
                      </c:pt>
                      <c:pt idx="951">
                        <c:v>45477</c:v>
                      </c:pt>
                      <c:pt idx="952">
                        <c:v>45478</c:v>
                      </c:pt>
                      <c:pt idx="953">
                        <c:v>45481</c:v>
                      </c:pt>
                      <c:pt idx="954">
                        <c:v>45482</c:v>
                      </c:pt>
                      <c:pt idx="955">
                        <c:v>45483</c:v>
                      </c:pt>
                      <c:pt idx="956">
                        <c:v>45484</c:v>
                      </c:pt>
                      <c:pt idx="957">
                        <c:v>45485</c:v>
                      </c:pt>
                      <c:pt idx="958">
                        <c:v>45488</c:v>
                      </c:pt>
                      <c:pt idx="959">
                        <c:v>45489</c:v>
                      </c:pt>
                      <c:pt idx="960">
                        <c:v>45490</c:v>
                      </c:pt>
                      <c:pt idx="961">
                        <c:v>45491</c:v>
                      </c:pt>
                      <c:pt idx="962">
                        <c:v>45492</c:v>
                      </c:pt>
                      <c:pt idx="963">
                        <c:v>45495</c:v>
                      </c:pt>
                      <c:pt idx="964">
                        <c:v>45496</c:v>
                      </c:pt>
                      <c:pt idx="965">
                        <c:v>45497</c:v>
                      </c:pt>
                      <c:pt idx="966">
                        <c:v>45498</c:v>
                      </c:pt>
                      <c:pt idx="967">
                        <c:v>45499</c:v>
                      </c:pt>
                      <c:pt idx="968">
                        <c:v>45502</c:v>
                      </c:pt>
                      <c:pt idx="969">
                        <c:v>45503</c:v>
                      </c:pt>
                      <c:pt idx="970">
                        <c:v>45504</c:v>
                      </c:pt>
                      <c:pt idx="971">
                        <c:v>45505</c:v>
                      </c:pt>
                      <c:pt idx="972">
                        <c:v>45506</c:v>
                      </c:pt>
                      <c:pt idx="973">
                        <c:v>45509</c:v>
                      </c:pt>
                      <c:pt idx="974">
                        <c:v>45510</c:v>
                      </c:pt>
                      <c:pt idx="975">
                        <c:v>45511</c:v>
                      </c:pt>
                      <c:pt idx="976">
                        <c:v>45512</c:v>
                      </c:pt>
                      <c:pt idx="977">
                        <c:v>45513</c:v>
                      </c:pt>
                      <c:pt idx="978">
                        <c:v>45516</c:v>
                      </c:pt>
                      <c:pt idx="979">
                        <c:v>45517</c:v>
                      </c:pt>
                      <c:pt idx="980">
                        <c:v>45518</c:v>
                      </c:pt>
                      <c:pt idx="981">
                        <c:v>45519</c:v>
                      </c:pt>
                      <c:pt idx="982">
                        <c:v>45520</c:v>
                      </c:pt>
                      <c:pt idx="983">
                        <c:v>45523</c:v>
                      </c:pt>
                      <c:pt idx="984">
                        <c:v>45524</c:v>
                      </c:pt>
                      <c:pt idx="985">
                        <c:v>45525</c:v>
                      </c:pt>
                      <c:pt idx="986">
                        <c:v>45526</c:v>
                      </c:pt>
                      <c:pt idx="987">
                        <c:v>45527</c:v>
                      </c:pt>
                      <c:pt idx="988">
                        <c:v>45530</c:v>
                      </c:pt>
                      <c:pt idx="989">
                        <c:v>45531</c:v>
                      </c:pt>
                      <c:pt idx="990">
                        <c:v>45532</c:v>
                      </c:pt>
                      <c:pt idx="991">
                        <c:v>45533</c:v>
                      </c:pt>
                      <c:pt idx="992">
                        <c:v>45534</c:v>
                      </c:pt>
                      <c:pt idx="993">
                        <c:v>45539</c:v>
                      </c:pt>
                      <c:pt idx="994">
                        <c:v>45540</c:v>
                      </c:pt>
                      <c:pt idx="995">
                        <c:v>45541</c:v>
                      </c:pt>
                      <c:pt idx="996">
                        <c:v>45544</c:v>
                      </c:pt>
                      <c:pt idx="997">
                        <c:v>45545</c:v>
                      </c:pt>
                      <c:pt idx="998">
                        <c:v>45546</c:v>
                      </c:pt>
                      <c:pt idx="999">
                        <c:v>45547</c:v>
                      </c:pt>
                      <c:pt idx="1000">
                        <c:v>45548</c:v>
                      </c:pt>
                      <c:pt idx="1001">
                        <c:v>45551</c:v>
                      </c:pt>
                      <c:pt idx="1002">
                        <c:v>45552</c:v>
                      </c:pt>
                      <c:pt idx="1003">
                        <c:v>45553</c:v>
                      </c:pt>
                      <c:pt idx="1004">
                        <c:v>45554</c:v>
                      </c:pt>
                      <c:pt idx="1005">
                        <c:v>45555</c:v>
                      </c:pt>
                      <c:pt idx="1006">
                        <c:v>45558</c:v>
                      </c:pt>
                      <c:pt idx="1007">
                        <c:v>45559</c:v>
                      </c:pt>
                      <c:pt idx="1008">
                        <c:v>45560</c:v>
                      </c:pt>
                      <c:pt idx="1009">
                        <c:v>45561</c:v>
                      </c:pt>
                      <c:pt idx="1010">
                        <c:v>45562</c:v>
                      </c:pt>
                      <c:pt idx="1011">
                        <c:v>45565</c:v>
                      </c:pt>
                      <c:pt idx="1012">
                        <c:v>45566</c:v>
                      </c:pt>
                      <c:pt idx="1013">
                        <c:v>45567</c:v>
                      </c:pt>
                      <c:pt idx="1014">
                        <c:v>45568</c:v>
                      </c:pt>
                      <c:pt idx="1015">
                        <c:v>45569</c:v>
                      </c:pt>
                      <c:pt idx="1016">
                        <c:v>45572</c:v>
                      </c:pt>
                      <c:pt idx="1017">
                        <c:v>45573</c:v>
                      </c:pt>
                      <c:pt idx="1018">
                        <c:v>45574</c:v>
                      </c:pt>
                      <c:pt idx="1019">
                        <c:v>45575</c:v>
                      </c:pt>
                      <c:pt idx="1020">
                        <c:v>45576</c:v>
                      </c:pt>
                      <c:pt idx="1021">
                        <c:v>45579</c:v>
                      </c:pt>
                      <c:pt idx="1022">
                        <c:v>45580</c:v>
                      </c:pt>
                      <c:pt idx="1023">
                        <c:v>45581</c:v>
                      </c:pt>
                      <c:pt idx="1024">
                        <c:v>45582</c:v>
                      </c:pt>
                      <c:pt idx="1025">
                        <c:v>45583</c:v>
                      </c:pt>
                      <c:pt idx="1026">
                        <c:v>45586</c:v>
                      </c:pt>
                      <c:pt idx="1027">
                        <c:v>45587</c:v>
                      </c:pt>
                      <c:pt idx="1028">
                        <c:v>45588</c:v>
                      </c:pt>
                      <c:pt idx="1029">
                        <c:v>45589</c:v>
                      </c:pt>
                      <c:pt idx="1030">
                        <c:v>45590</c:v>
                      </c:pt>
                      <c:pt idx="1031">
                        <c:v>45593</c:v>
                      </c:pt>
                      <c:pt idx="1032">
                        <c:v>45594</c:v>
                      </c:pt>
                      <c:pt idx="1033">
                        <c:v>45595</c:v>
                      </c:pt>
                      <c:pt idx="1034">
                        <c:v>45596</c:v>
                      </c:pt>
                      <c:pt idx="1035">
                        <c:v>45597</c:v>
                      </c:pt>
                      <c:pt idx="1036">
                        <c:v>45600</c:v>
                      </c:pt>
                      <c:pt idx="1037">
                        <c:v>45601</c:v>
                      </c:pt>
                      <c:pt idx="1038">
                        <c:v>45602</c:v>
                      </c:pt>
                      <c:pt idx="1039">
                        <c:v>45603</c:v>
                      </c:pt>
                      <c:pt idx="1040">
                        <c:v>45604</c:v>
                      </c:pt>
                      <c:pt idx="1041">
                        <c:v>45607</c:v>
                      </c:pt>
                      <c:pt idx="1042">
                        <c:v>45608</c:v>
                      </c:pt>
                      <c:pt idx="1043">
                        <c:v>45609</c:v>
                      </c:pt>
                      <c:pt idx="1044">
                        <c:v>45610</c:v>
                      </c:pt>
                      <c:pt idx="1045">
                        <c:v>45611</c:v>
                      </c:pt>
                      <c:pt idx="1046">
                        <c:v>45614</c:v>
                      </c:pt>
                      <c:pt idx="1047">
                        <c:v>45615</c:v>
                      </c:pt>
                      <c:pt idx="1048">
                        <c:v>45616</c:v>
                      </c:pt>
                      <c:pt idx="1049">
                        <c:v>45617</c:v>
                      </c:pt>
                      <c:pt idx="1050">
                        <c:v>45618</c:v>
                      </c:pt>
                      <c:pt idx="1051">
                        <c:v>45621</c:v>
                      </c:pt>
                      <c:pt idx="1052">
                        <c:v>45622</c:v>
                      </c:pt>
                      <c:pt idx="1053">
                        <c:v>45623</c:v>
                      </c:pt>
                      <c:pt idx="1054">
                        <c:v>45624</c:v>
                      </c:pt>
                      <c:pt idx="1055">
                        <c:v>45625</c:v>
                      </c:pt>
                      <c:pt idx="1056">
                        <c:v>45628</c:v>
                      </c:pt>
                      <c:pt idx="1057">
                        <c:v>45629</c:v>
                      </c:pt>
                      <c:pt idx="1058">
                        <c:v>45630</c:v>
                      </c:pt>
                      <c:pt idx="1059">
                        <c:v>45631</c:v>
                      </c:pt>
                      <c:pt idx="1060">
                        <c:v>45632</c:v>
                      </c:pt>
                      <c:pt idx="1061">
                        <c:v>45635</c:v>
                      </c:pt>
                      <c:pt idx="1062">
                        <c:v>45636</c:v>
                      </c:pt>
                      <c:pt idx="1063">
                        <c:v>45637</c:v>
                      </c:pt>
                      <c:pt idx="1064">
                        <c:v>45638</c:v>
                      </c:pt>
                      <c:pt idx="1065">
                        <c:v>45639</c:v>
                      </c:pt>
                      <c:pt idx="1066">
                        <c:v>45642</c:v>
                      </c:pt>
                      <c:pt idx="1067">
                        <c:v>45643</c:v>
                      </c:pt>
                      <c:pt idx="1068">
                        <c:v>45644</c:v>
                      </c:pt>
                      <c:pt idx="1069">
                        <c:v>45645</c:v>
                      </c:pt>
                      <c:pt idx="1070">
                        <c:v>45646</c:v>
                      </c:pt>
                      <c:pt idx="1071">
                        <c:v>45649</c:v>
                      </c:pt>
                      <c:pt idx="1072">
                        <c:v>45650</c:v>
                      </c:pt>
                      <c:pt idx="1073">
                        <c:v>45651</c:v>
                      </c:pt>
                      <c:pt idx="1074">
                        <c:v>45652</c:v>
                      </c:pt>
                      <c:pt idx="1075">
                        <c:v>45653</c:v>
                      </c:pt>
                      <c:pt idx="1076">
                        <c:v>45656</c:v>
                      </c:pt>
                      <c:pt idx="1077">
                        <c:v>45657</c:v>
                      </c:pt>
                      <c:pt idx="1078">
                        <c:v>45659</c:v>
                      </c:pt>
                      <c:pt idx="1079">
                        <c:v>45660</c:v>
                      </c:pt>
                      <c:pt idx="1080">
                        <c:v>45663</c:v>
                      </c:pt>
                      <c:pt idx="1081">
                        <c:v>45664</c:v>
                      </c:pt>
                      <c:pt idx="1082">
                        <c:v>45665</c:v>
                      </c:pt>
                      <c:pt idx="1083">
                        <c:v>45666</c:v>
                      </c:pt>
                      <c:pt idx="1084">
                        <c:v>45667</c:v>
                      </c:pt>
                      <c:pt idx="1085">
                        <c:v>45670</c:v>
                      </c:pt>
                      <c:pt idx="1086">
                        <c:v>45671</c:v>
                      </c:pt>
                      <c:pt idx="1087">
                        <c:v>45672</c:v>
                      </c:pt>
                      <c:pt idx="1088">
                        <c:v>45673</c:v>
                      </c:pt>
                      <c:pt idx="1089">
                        <c:v>45674</c:v>
                      </c:pt>
                      <c:pt idx="1090">
                        <c:v>45677</c:v>
                      </c:pt>
                      <c:pt idx="1091">
                        <c:v>45678</c:v>
                      </c:pt>
                      <c:pt idx="1092">
                        <c:v>45679</c:v>
                      </c:pt>
                      <c:pt idx="1093">
                        <c:v>45680</c:v>
                      </c:pt>
                      <c:pt idx="1094">
                        <c:v>45681</c:v>
                      </c:pt>
                      <c:pt idx="1095">
                        <c:v>45691</c:v>
                      </c:pt>
                      <c:pt idx="1096">
                        <c:v>45692</c:v>
                      </c:pt>
                      <c:pt idx="1097">
                        <c:v>45693</c:v>
                      </c:pt>
                      <c:pt idx="1098">
                        <c:v>45694</c:v>
                      </c:pt>
                      <c:pt idx="1099">
                        <c:v>45695</c:v>
                      </c:pt>
                      <c:pt idx="1100">
                        <c:v>45698</c:v>
                      </c:pt>
                      <c:pt idx="1101">
                        <c:v>45699</c:v>
                      </c:pt>
                      <c:pt idx="1102">
                        <c:v>45700</c:v>
                      </c:pt>
                      <c:pt idx="1103">
                        <c:v>45701</c:v>
                      </c:pt>
                      <c:pt idx="1104">
                        <c:v>45702</c:v>
                      </c:pt>
                      <c:pt idx="1105">
                        <c:v>45705</c:v>
                      </c:pt>
                      <c:pt idx="1106">
                        <c:v>45706</c:v>
                      </c:pt>
                      <c:pt idx="1107">
                        <c:v>45707</c:v>
                      </c:pt>
                      <c:pt idx="1108">
                        <c:v>45708</c:v>
                      </c:pt>
                      <c:pt idx="1109">
                        <c:v>45709</c:v>
                      </c:pt>
                      <c:pt idx="1110">
                        <c:v>45712</c:v>
                      </c:pt>
                      <c:pt idx="1111">
                        <c:v>45713</c:v>
                      </c:pt>
                      <c:pt idx="1112">
                        <c:v>45714</c:v>
                      </c:pt>
                      <c:pt idx="1113">
                        <c:v>45715</c:v>
                      </c:pt>
                      <c:pt idx="1114">
                        <c:v>45716</c:v>
                      </c:pt>
                      <c:pt idx="1115">
                        <c:v>45719</c:v>
                      </c:pt>
                      <c:pt idx="1116">
                        <c:v>45720</c:v>
                      </c:pt>
                      <c:pt idx="1117">
                        <c:v>45721</c:v>
                      </c:pt>
                      <c:pt idx="1118">
                        <c:v>45722</c:v>
                      </c:pt>
                      <c:pt idx="1119">
                        <c:v>45723</c:v>
                      </c:pt>
                      <c:pt idx="1120">
                        <c:v>45726</c:v>
                      </c:pt>
                      <c:pt idx="1121">
                        <c:v>45727</c:v>
                      </c:pt>
                      <c:pt idx="1122">
                        <c:v>45728</c:v>
                      </c:pt>
                      <c:pt idx="1123">
                        <c:v>45729</c:v>
                      </c:pt>
                      <c:pt idx="1124">
                        <c:v>45730</c:v>
                      </c:pt>
                      <c:pt idx="1125">
                        <c:v>45733</c:v>
                      </c:pt>
                      <c:pt idx="1126">
                        <c:v>45734</c:v>
                      </c:pt>
                      <c:pt idx="1127">
                        <c:v>45735</c:v>
                      </c:pt>
                      <c:pt idx="1128">
                        <c:v>45736</c:v>
                      </c:pt>
                      <c:pt idx="1129">
                        <c:v>45737</c:v>
                      </c:pt>
                      <c:pt idx="1130">
                        <c:v>45740</c:v>
                      </c:pt>
                      <c:pt idx="1131">
                        <c:v>45741</c:v>
                      </c:pt>
                      <c:pt idx="1132">
                        <c:v>45742</c:v>
                      </c:pt>
                      <c:pt idx="1133">
                        <c:v>45743</c:v>
                      </c:pt>
                      <c:pt idx="1134">
                        <c:v>45744</c:v>
                      </c:pt>
                      <c:pt idx="1135">
                        <c:v>45747</c:v>
                      </c:pt>
                      <c:pt idx="1136">
                        <c:v>45748</c:v>
                      </c:pt>
                      <c:pt idx="1137">
                        <c:v>45749</c:v>
                      </c:pt>
                      <c:pt idx="1138">
                        <c:v>45750</c:v>
                      </c:pt>
                      <c:pt idx="1139">
                        <c:v>45751</c:v>
                      </c:pt>
                      <c:pt idx="1140">
                        <c:v>45755</c:v>
                      </c:pt>
                      <c:pt idx="1141">
                        <c:v>45756</c:v>
                      </c:pt>
                      <c:pt idx="1142">
                        <c:v>45757</c:v>
                      </c:pt>
                      <c:pt idx="1143">
                        <c:v>45758</c:v>
                      </c:pt>
                      <c:pt idx="1144">
                        <c:v>45761</c:v>
                      </c:pt>
                      <c:pt idx="1145">
                        <c:v>45762</c:v>
                      </c:pt>
                      <c:pt idx="1146">
                        <c:v>45763</c:v>
                      </c:pt>
                      <c:pt idx="1147">
                        <c:v>45764</c:v>
                      </c:pt>
                      <c:pt idx="1148">
                        <c:v>45765</c:v>
                      </c:pt>
                      <c:pt idx="1149">
                        <c:v>45768</c:v>
                      </c:pt>
                      <c:pt idx="1150">
                        <c:v>45769</c:v>
                      </c:pt>
                      <c:pt idx="1151">
                        <c:v>45770</c:v>
                      </c:pt>
                      <c:pt idx="1152">
                        <c:v>45771</c:v>
                      </c:pt>
                      <c:pt idx="1153">
                        <c:v>45772</c:v>
                      </c:pt>
                      <c:pt idx="1154">
                        <c:v>45775</c:v>
                      </c:pt>
                      <c:pt idx="1155">
                        <c:v>45776</c:v>
                      </c:pt>
                      <c:pt idx="1156">
                        <c:v>45782</c:v>
                      </c:pt>
                      <c:pt idx="1157">
                        <c:v>45783</c:v>
                      </c:pt>
                      <c:pt idx="1158">
                        <c:v>45784</c:v>
                      </c:pt>
                      <c:pt idx="1159">
                        <c:v>45785</c:v>
                      </c:pt>
                      <c:pt idx="1160">
                        <c:v>45786</c:v>
                      </c:pt>
                      <c:pt idx="1161">
                        <c:v>45789</c:v>
                      </c:pt>
                      <c:pt idx="1162">
                        <c:v>45790</c:v>
                      </c:pt>
                      <c:pt idx="1163">
                        <c:v>45791</c:v>
                      </c:pt>
                      <c:pt idx="1164">
                        <c:v>45792</c:v>
                      </c:pt>
                      <c:pt idx="1165">
                        <c:v>45793</c:v>
                      </c:pt>
                      <c:pt idx="1166">
                        <c:v>45796</c:v>
                      </c:pt>
                      <c:pt idx="1167">
                        <c:v>45797</c:v>
                      </c:pt>
                      <c:pt idx="1168">
                        <c:v>45798</c:v>
                      </c:pt>
                      <c:pt idx="1169">
                        <c:v>45799</c:v>
                      </c:pt>
                      <c:pt idx="1170">
                        <c:v>45800</c:v>
                      </c:pt>
                      <c:pt idx="1171">
                        <c:v>45803</c:v>
                      </c:pt>
                      <c:pt idx="1172">
                        <c:v>45804</c:v>
                      </c:pt>
                      <c:pt idx="1173">
                        <c:v>45805</c:v>
                      </c:pt>
                      <c:pt idx="1174">
                        <c:v>45806</c:v>
                      </c:pt>
                      <c:pt idx="1175">
                        <c:v>45807</c:v>
                      </c:pt>
                      <c:pt idx="1176">
                        <c:v>45810</c:v>
                      </c:pt>
                      <c:pt idx="1177">
                        <c:v>45811</c:v>
                      </c:pt>
                      <c:pt idx="1178">
                        <c:v>45812</c:v>
                      </c:pt>
                      <c:pt idx="1179">
                        <c:v>45813</c:v>
                      </c:pt>
                      <c:pt idx="1180">
                        <c:v>45814</c:v>
                      </c:pt>
                      <c:pt idx="1181">
                        <c:v>45817</c:v>
                      </c:pt>
                      <c:pt idx="1182">
                        <c:v>45818</c:v>
                      </c:pt>
                      <c:pt idx="1183">
                        <c:v>45819</c:v>
                      </c:pt>
                      <c:pt idx="1184">
                        <c:v>45820</c:v>
                      </c:pt>
                      <c:pt idx="1185">
                        <c:v>45821</c:v>
                      </c:pt>
                      <c:pt idx="1186">
                        <c:v>45824</c:v>
                      </c:pt>
                      <c:pt idx="1187">
                        <c:v>45825</c:v>
                      </c:pt>
                      <c:pt idx="1188">
                        <c:v>45826</c:v>
                      </c:pt>
                      <c:pt idx="1189">
                        <c:v>45827</c:v>
                      </c:pt>
                      <c:pt idx="1190">
                        <c:v>45828</c:v>
                      </c:pt>
                      <c:pt idx="1191">
                        <c:v>45831</c:v>
                      </c:pt>
                      <c:pt idx="1192">
                        <c:v>45832</c:v>
                      </c:pt>
                      <c:pt idx="1193">
                        <c:v>45833</c:v>
                      </c:pt>
                      <c:pt idx="1194">
                        <c:v>45834</c:v>
                      </c:pt>
                      <c:pt idx="1195">
                        <c:v>45835</c:v>
                      </c:pt>
                      <c:pt idx="1196">
                        <c:v>45838</c:v>
                      </c:pt>
                      <c:pt idx="1197">
                        <c:v>45839</c:v>
                      </c:pt>
                      <c:pt idx="1198">
                        <c:v>45840</c:v>
                      </c:pt>
                      <c:pt idx="1199">
                        <c:v>45841</c:v>
                      </c:pt>
                      <c:pt idx="1200">
                        <c:v>45842</c:v>
                      </c:pt>
                      <c:pt idx="1201">
                        <c:v>45845</c:v>
                      </c:pt>
                      <c:pt idx="1202">
                        <c:v>45846</c:v>
                      </c:pt>
                      <c:pt idx="1203">
                        <c:v>45847</c:v>
                      </c:pt>
                      <c:pt idx="1204">
                        <c:v>45848</c:v>
                      </c:pt>
                      <c:pt idx="1205">
                        <c:v>45849</c:v>
                      </c:pt>
                      <c:pt idx="1206">
                        <c:v>45852</c:v>
                      </c:pt>
                      <c:pt idx="1207">
                        <c:v>45853</c:v>
                      </c:pt>
                      <c:pt idx="1208">
                        <c:v>45854</c:v>
                      </c:pt>
                      <c:pt idx="1209">
                        <c:v>45855</c:v>
                      </c:pt>
                      <c:pt idx="1210">
                        <c:v>45856</c:v>
                      </c:pt>
                      <c:pt idx="1211">
                        <c:v>45859</c:v>
                      </c:pt>
                      <c:pt idx="1212">
                        <c:v>45860</c:v>
                      </c:pt>
                      <c:pt idx="1213">
                        <c:v>45861</c:v>
                      </c:pt>
                      <c:pt idx="1214">
                        <c:v>45862</c:v>
                      </c:pt>
                      <c:pt idx="1215">
                        <c:v>45863</c:v>
                      </c:pt>
                      <c:pt idx="1216">
                        <c:v>45866</c:v>
                      </c:pt>
                      <c:pt idx="1217">
                        <c:v>45867</c:v>
                      </c:pt>
                      <c:pt idx="1218">
                        <c:v>45868</c:v>
                      </c:pt>
                      <c:pt idx="1219">
                        <c:v>45869</c:v>
                      </c:pt>
                      <c:pt idx="1220">
                        <c:v>45870</c:v>
                      </c:pt>
                      <c:pt idx="1221">
                        <c:v>45873</c:v>
                      </c:pt>
                      <c:pt idx="1222">
                        <c:v>45874</c:v>
                      </c:pt>
                      <c:pt idx="1223">
                        <c:v>45875</c:v>
                      </c:pt>
                      <c:pt idx="1224">
                        <c:v>45876</c:v>
                      </c:pt>
                      <c:pt idx="1225">
                        <c:v>45877</c:v>
                      </c:pt>
                      <c:pt idx="1226">
                        <c:v>45880</c:v>
                      </c:pt>
                      <c:pt idx="1227">
                        <c:v>45881</c:v>
                      </c:pt>
                      <c:pt idx="1228">
                        <c:v>45882</c:v>
                      </c:pt>
                      <c:pt idx="1229">
                        <c:v>45883</c:v>
                      </c:pt>
                      <c:pt idx="1230">
                        <c:v>45884</c:v>
                      </c:pt>
                      <c:pt idx="1231">
                        <c:v>45887</c:v>
                      </c:pt>
                      <c:pt idx="1232">
                        <c:v>45888</c:v>
                      </c:pt>
                      <c:pt idx="1233">
                        <c:v>45889</c:v>
                      </c:pt>
                      <c:pt idx="1234">
                        <c:v>45890</c:v>
                      </c:pt>
                      <c:pt idx="1235">
                        <c:v>45891</c:v>
                      </c:pt>
                      <c:pt idx="1236">
                        <c:v>45894</c:v>
                      </c:pt>
                      <c:pt idx="1237">
                        <c:v>45895</c:v>
                      </c:pt>
                      <c:pt idx="1238">
                        <c:v>45896</c:v>
                      </c:pt>
                      <c:pt idx="1239">
                        <c:v>45897</c:v>
                      </c:pt>
                      <c:pt idx="1240">
                        <c:v>45898</c:v>
                      </c:pt>
                      <c:pt idx="1241">
                        <c:v>45903</c:v>
                      </c:pt>
                      <c:pt idx="1242">
                        <c:v>45904</c:v>
                      </c:pt>
                      <c:pt idx="1243">
                        <c:v>45905</c:v>
                      </c:pt>
                      <c:pt idx="1244">
                        <c:v>45908</c:v>
                      </c:pt>
                      <c:pt idx="1245">
                        <c:v>45909</c:v>
                      </c:pt>
                      <c:pt idx="1246">
                        <c:v>45910</c:v>
                      </c:pt>
                      <c:pt idx="1247">
                        <c:v>45911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5-BCE2-4596-9C03-87507E966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7306192"/>
        <c:axId val="417307152"/>
      </c:lineChart>
      <c:catAx>
        <c:axId val="4173061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417307152"/>
        <c:crosses val="autoZero"/>
        <c:auto val="1"/>
        <c:lblAlgn val="ctr"/>
        <c:lblOffset val="100"/>
        <c:noMultiLvlLbl val="1"/>
      </c:catAx>
      <c:valAx>
        <c:axId val="417307152"/>
        <c:scaling>
          <c:orientation val="minMax"/>
          <c:max val="30"/>
          <c:min val="1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417306192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638641481290254E-2"/>
          <c:y val="0.10200167738881852"/>
          <c:w val="0.7664002552959569"/>
          <c:h val="0.77701977318613769"/>
        </c:manualLayout>
      </c:layout>
      <c:lineChart>
        <c:grouping val="standard"/>
        <c:varyColors val="0"/>
        <c:ser>
          <c:idx val="1"/>
          <c:order val="0"/>
          <c:tx>
            <c:strRef>
              <c:f>'FX Data'!$I$956</c:f>
              <c:strCache>
                <c:ptCount val="1"/>
                <c:pt idx="0">
                  <c:v>=-2sd</c:v>
                </c:pt>
              </c:strCache>
            </c:strRef>
          </c:tx>
          <c:spPr>
            <a:ln w="19050" cap="rnd">
              <a:solidFill>
                <a:sysClr val="window" lastClr="FFFFFF">
                  <a:lumMod val="75000"/>
                </a:sysClr>
              </a:solidFill>
              <a:round/>
            </a:ln>
            <a:effectLst/>
          </c:spPr>
          <c:marker>
            <c:symbol val="none"/>
          </c:marker>
          <c:cat>
            <c:numRef>
              <c:f>'FX Data'!$B$957:$B$2204</c:f>
              <c:numCache>
                <c:formatCode>m/d/yyyy</c:formatCode>
                <c:ptCount val="1248"/>
                <c:pt idx="0">
                  <c:v>44263</c:v>
                </c:pt>
                <c:pt idx="1">
                  <c:v>44264</c:v>
                </c:pt>
                <c:pt idx="2">
                  <c:v>44265</c:v>
                </c:pt>
                <c:pt idx="3">
                  <c:v>44266</c:v>
                </c:pt>
                <c:pt idx="4">
                  <c:v>44267</c:v>
                </c:pt>
                <c:pt idx="5">
                  <c:v>44270</c:v>
                </c:pt>
                <c:pt idx="6">
                  <c:v>44271</c:v>
                </c:pt>
                <c:pt idx="7">
                  <c:v>44272</c:v>
                </c:pt>
                <c:pt idx="8">
                  <c:v>44273</c:v>
                </c:pt>
                <c:pt idx="9">
                  <c:v>44274</c:v>
                </c:pt>
                <c:pt idx="10">
                  <c:v>44277</c:v>
                </c:pt>
                <c:pt idx="11">
                  <c:v>44278</c:v>
                </c:pt>
                <c:pt idx="12">
                  <c:v>44279</c:v>
                </c:pt>
                <c:pt idx="13">
                  <c:v>44280</c:v>
                </c:pt>
                <c:pt idx="14">
                  <c:v>44281</c:v>
                </c:pt>
                <c:pt idx="15">
                  <c:v>44284</c:v>
                </c:pt>
                <c:pt idx="16">
                  <c:v>44285</c:v>
                </c:pt>
                <c:pt idx="17">
                  <c:v>44286</c:v>
                </c:pt>
                <c:pt idx="18">
                  <c:v>44287</c:v>
                </c:pt>
                <c:pt idx="19">
                  <c:v>44288</c:v>
                </c:pt>
                <c:pt idx="20">
                  <c:v>44291</c:v>
                </c:pt>
                <c:pt idx="21">
                  <c:v>44292</c:v>
                </c:pt>
                <c:pt idx="22">
                  <c:v>44293</c:v>
                </c:pt>
                <c:pt idx="23">
                  <c:v>44294</c:v>
                </c:pt>
                <c:pt idx="24">
                  <c:v>44295</c:v>
                </c:pt>
                <c:pt idx="25">
                  <c:v>44298</c:v>
                </c:pt>
                <c:pt idx="26">
                  <c:v>44299</c:v>
                </c:pt>
                <c:pt idx="27">
                  <c:v>44300</c:v>
                </c:pt>
                <c:pt idx="28">
                  <c:v>44301</c:v>
                </c:pt>
                <c:pt idx="29">
                  <c:v>44302</c:v>
                </c:pt>
                <c:pt idx="30">
                  <c:v>44305</c:v>
                </c:pt>
                <c:pt idx="31">
                  <c:v>44306</c:v>
                </c:pt>
                <c:pt idx="32">
                  <c:v>44308</c:v>
                </c:pt>
                <c:pt idx="33">
                  <c:v>44309</c:v>
                </c:pt>
                <c:pt idx="34">
                  <c:v>44312</c:v>
                </c:pt>
                <c:pt idx="35">
                  <c:v>44313</c:v>
                </c:pt>
                <c:pt idx="36">
                  <c:v>44314</c:v>
                </c:pt>
                <c:pt idx="37">
                  <c:v>44315</c:v>
                </c:pt>
                <c:pt idx="38">
                  <c:v>44320</c:v>
                </c:pt>
                <c:pt idx="39">
                  <c:v>44321</c:v>
                </c:pt>
                <c:pt idx="40">
                  <c:v>44322</c:v>
                </c:pt>
                <c:pt idx="41">
                  <c:v>44323</c:v>
                </c:pt>
                <c:pt idx="42">
                  <c:v>44326</c:v>
                </c:pt>
                <c:pt idx="43">
                  <c:v>44327</c:v>
                </c:pt>
                <c:pt idx="44">
                  <c:v>44328</c:v>
                </c:pt>
                <c:pt idx="45">
                  <c:v>44329</c:v>
                </c:pt>
                <c:pt idx="46">
                  <c:v>44330</c:v>
                </c:pt>
                <c:pt idx="47">
                  <c:v>44333</c:v>
                </c:pt>
                <c:pt idx="48">
                  <c:v>44334</c:v>
                </c:pt>
                <c:pt idx="49">
                  <c:v>44335</c:v>
                </c:pt>
                <c:pt idx="50">
                  <c:v>44336</c:v>
                </c:pt>
                <c:pt idx="51">
                  <c:v>44337</c:v>
                </c:pt>
                <c:pt idx="52">
                  <c:v>44340</c:v>
                </c:pt>
                <c:pt idx="53">
                  <c:v>44341</c:v>
                </c:pt>
                <c:pt idx="54">
                  <c:v>44342</c:v>
                </c:pt>
                <c:pt idx="55">
                  <c:v>44343</c:v>
                </c:pt>
                <c:pt idx="56">
                  <c:v>44344</c:v>
                </c:pt>
                <c:pt idx="57">
                  <c:v>44347</c:v>
                </c:pt>
                <c:pt idx="58">
                  <c:v>44348</c:v>
                </c:pt>
                <c:pt idx="59">
                  <c:v>44349</c:v>
                </c:pt>
                <c:pt idx="60">
                  <c:v>44350</c:v>
                </c:pt>
                <c:pt idx="61">
                  <c:v>44351</c:v>
                </c:pt>
                <c:pt idx="62">
                  <c:v>44354</c:v>
                </c:pt>
                <c:pt idx="63">
                  <c:v>44355</c:v>
                </c:pt>
                <c:pt idx="64">
                  <c:v>44356</c:v>
                </c:pt>
                <c:pt idx="65">
                  <c:v>44357</c:v>
                </c:pt>
                <c:pt idx="66">
                  <c:v>44358</c:v>
                </c:pt>
                <c:pt idx="67">
                  <c:v>44361</c:v>
                </c:pt>
                <c:pt idx="68">
                  <c:v>44362</c:v>
                </c:pt>
                <c:pt idx="69">
                  <c:v>44363</c:v>
                </c:pt>
                <c:pt idx="70">
                  <c:v>44364</c:v>
                </c:pt>
                <c:pt idx="71">
                  <c:v>44365</c:v>
                </c:pt>
                <c:pt idx="72">
                  <c:v>44368</c:v>
                </c:pt>
                <c:pt idx="73">
                  <c:v>44369</c:v>
                </c:pt>
                <c:pt idx="74">
                  <c:v>44370</c:v>
                </c:pt>
                <c:pt idx="75">
                  <c:v>44371</c:v>
                </c:pt>
                <c:pt idx="76">
                  <c:v>44372</c:v>
                </c:pt>
                <c:pt idx="77">
                  <c:v>44375</c:v>
                </c:pt>
                <c:pt idx="78">
                  <c:v>44376</c:v>
                </c:pt>
                <c:pt idx="79">
                  <c:v>44377</c:v>
                </c:pt>
                <c:pt idx="80">
                  <c:v>44378</c:v>
                </c:pt>
                <c:pt idx="81">
                  <c:v>44379</c:v>
                </c:pt>
                <c:pt idx="82">
                  <c:v>44382</c:v>
                </c:pt>
                <c:pt idx="83">
                  <c:v>44383</c:v>
                </c:pt>
                <c:pt idx="84">
                  <c:v>44384</c:v>
                </c:pt>
                <c:pt idx="85">
                  <c:v>44385</c:v>
                </c:pt>
                <c:pt idx="86">
                  <c:v>44386</c:v>
                </c:pt>
                <c:pt idx="87">
                  <c:v>44389</c:v>
                </c:pt>
                <c:pt idx="88">
                  <c:v>44390</c:v>
                </c:pt>
                <c:pt idx="89">
                  <c:v>44391</c:v>
                </c:pt>
                <c:pt idx="90">
                  <c:v>44392</c:v>
                </c:pt>
                <c:pt idx="91">
                  <c:v>44393</c:v>
                </c:pt>
                <c:pt idx="92">
                  <c:v>44396</c:v>
                </c:pt>
                <c:pt idx="93">
                  <c:v>44397</c:v>
                </c:pt>
                <c:pt idx="94">
                  <c:v>44398</c:v>
                </c:pt>
                <c:pt idx="95">
                  <c:v>44399</c:v>
                </c:pt>
                <c:pt idx="96">
                  <c:v>44400</c:v>
                </c:pt>
                <c:pt idx="97">
                  <c:v>44403</c:v>
                </c:pt>
                <c:pt idx="98">
                  <c:v>44404</c:v>
                </c:pt>
                <c:pt idx="99">
                  <c:v>44405</c:v>
                </c:pt>
                <c:pt idx="100">
                  <c:v>44406</c:v>
                </c:pt>
                <c:pt idx="101">
                  <c:v>44407</c:v>
                </c:pt>
                <c:pt idx="102">
                  <c:v>44410</c:v>
                </c:pt>
                <c:pt idx="103">
                  <c:v>44411</c:v>
                </c:pt>
                <c:pt idx="104">
                  <c:v>44412</c:v>
                </c:pt>
                <c:pt idx="105">
                  <c:v>44413</c:v>
                </c:pt>
                <c:pt idx="106">
                  <c:v>44414</c:v>
                </c:pt>
                <c:pt idx="107">
                  <c:v>44417</c:v>
                </c:pt>
                <c:pt idx="108">
                  <c:v>44418</c:v>
                </c:pt>
                <c:pt idx="109">
                  <c:v>44419</c:v>
                </c:pt>
                <c:pt idx="110">
                  <c:v>44420</c:v>
                </c:pt>
                <c:pt idx="111">
                  <c:v>44421</c:v>
                </c:pt>
                <c:pt idx="112">
                  <c:v>44424</c:v>
                </c:pt>
                <c:pt idx="113">
                  <c:v>44425</c:v>
                </c:pt>
                <c:pt idx="114">
                  <c:v>44426</c:v>
                </c:pt>
                <c:pt idx="115">
                  <c:v>44427</c:v>
                </c:pt>
                <c:pt idx="116">
                  <c:v>44428</c:v>
                </c:pt>
                <c:pt idx="117">
                  <c:v>44431</c:v>
                </c:pt>
                <c:pt idx="118">
                  <c:v>44432</c:v>
                </c:pt>
                <c:pt idx="119">
                  <c:v>44433</c:v>
                </c:pt>
                <c:pt idx="120">
                  <c:v>44434</c:v>
                </c:pt>
                <c:pt idx="121">
                  <c:v>44435</c:v>
                </c:pt>
                <c:pt idx="122">
                  <c:v>44438</c:v>
                </c:pt>
                <c:pt idx="123">
                  <c:v>44439</c:v>
                </c:pt>
                <c:pt idx="124">
                  <c:v>44440</c:v>
                </c:pt>
                <c:pt idx="125">
                  <c:v>44445</c:v>
                </c:pt>
                <c:pt idx="126">
                  <c:v>44446</c:v>
                </c:pt>
                <c:pt idx="127">
                  <c:v>44447</c:v>
                </c:pt>
                <c:pt idx="128">
                  <c:v>44448</c:v>
                </c:pt>
                <c:pt idx="129">
                  <c:v>44449</c:v>
                </c:pt>
                <c:pt idx="130">
                  <c:v>44452</c:v>
                </c:pt>
                <c:pt idx="131">
                  <c:v>44453</c:v>
                </c:pt>
                <c:pt idx="132">
                  <c:v>44454</c:v>
                </c:pt>
                <c:pt idx="133">
                  <c:v>44455</c:v>
                </c:pt>
                <c:pt idx="134">
                  <c:v>44456</c:v>
                </c:pt>
                <c:pt idx="135">
                  <c:v>44459</c:v>
                </c:pt>
                <c:pt idx="136">
                  <c:v>44460</c:v>
                </c:pt>
                <c:pt idx="137">
                  <c:v>44461</c:v>
                </c:pt>
                <c:pt idx="138">
                  <c:v>44462</c:v>
                </c:pt>
                <c:pt idx="139">
                  <c:v>44463</c:v>
                </c:pt>
                <c:pt idx="140">
                  <c:v>44466</c:v>
                </c:pt>
                <c:pt idx="141">
                  <c:v>44467</c:v>
                </c:pt>
                <c:pt idx="142">
                  <c:v>44468</c:v>
                </c:pt>
                <c:pt idx="143">
                  <c:v>44469</c:v>
                </c:pt>
                <c:pt idx="144">
                  <c:v>44470</c:v>
                </c:pt>
                <c:pt idx="145">
                  <c:v>44473</c:v>
                </c:pt>
                <c:pt idx="146">
                  <c:v>44474</c:v>
                </c:pt>
                <c:pt idx="147">
                  <c:v>44475</c:v>
                </c:pt>
                <c:pt idx="148">
                  <c:v>44476</c:v>
                </c:pt>
                <c:pt idx="149">
                  <c:v>44477</c:v>
                </c:pt>
                <c:pt idx="150">
                  <c:v>44480</c:v>
                </c:pt>
                <c:pt idx="151">
                  <c:v>44481</c:v>
                </c:pt>
                <c:pt idx="152">
                  <c:v>44482</c:v>
                </c:pt>
                <c:pt idx="153">
                  <c:v>44483</c:v>
                </c:pt>
                <c:pt idx="154">
                  <c:v>44484</c:v>
                </c:pt>
                <c:pt idx="155">
                  <c:v>44487</c:v>
                </c:pt>
                <c:pt idx="156">
                  <c:v>44488</c:v>
                </c:pt>
                <c:pt idx="157">
                  <c:v>44489</c:v>
                </c:pt>
                <c:pt idx="158">
                  <c:v>44490</c:v>
                </c:pt>
                <c:pt idx="159">
                  <c:v>44491</c:v>
                </c:pt>
                <c:pt idx="160">
                  <c:v>44494</c:v>
                </c:pt>
                <c:pt idx="161">
                  <c:v>44495</c:v>
                </c:pt>
                <c:pt idx="162">
                  <c:v>44496</c:v>
                </c:pt>
                <c:pt idx="163">
                  <c:v>44497</c:v>
                </c:pt>
                <c:pt idx="164">
                  <c:v>44498</c:v>
                </c:pt>
                <c:pt idx="165">
                  <c:v>44501</c:v>
                </c:pt>
                <c:pt idx="166">
                  <c:v>44502</c:v>
                </c:pt>
                <c:pt idx="167">
                  <c:v>44503</c:v>
                </c:pt>
                <c:pt idx="168">
                  <c:v>44504</c:v>
                </c:pt>
                <c:pt idx="169">
                  <c:v>44505</c:v>
                </c:pt>
                <c:pt idx="170">
                  <c:v>44508</c:v>
                </c:pt>
                <c:pt idx="171">
                  <c:v>44509</c:v>
                </c:pt>
                <c:pt idx="172">
                  <c:v>44510</c:v>
                </c:pt>
                <c:pt idx="173">
                  <c:v>44511</c:v>
                </c:pt>
                <c:pt idx="174">
                  <c:v>44512</c:v>
                </c:pt>
                <c:pt idx="175">
                  <c:v>44515</c:v>
                </c:pt>
                <c:pt idx="176">
                  <c:v>44516</c:v>
                </c:pt>
                <c:pt idx="177">
                  <c:v>44517</c:v>
                </c:pt>
                <c:pt idx="178">
                  <c:v>44518</c:v>
                </c:pt>
                <c:pt idx="179">
                  <c:v>44519</c:v>
                </c:pt>
                <c:pt idx="180">
                  <c:v>44522</c:v>
                </c:pt>
                <c:pt idx="181">
                  <c:v>44523</c:v>
                </c:pt>
                <c:pt idx="182">
                  <c:v>44524</c:v>
                </c:pt>
                <c:pt idx="183">
                  <c:v>44525</c:v>
                </c:pt>
                <c:pt idx="184">
                  <c:v>44526</c:v>
                </c:pt>
                <c:pt idx="185">
                  <c:v>44529</c:v>
                </c:pt>
                <c:pt idx="186">
                  <c:v>44530</c:v>
                </c:pt>
                <c:pt idx="187">
                  <c:v>44531</c:v>
                </c:pt>
                <c:pt idx="188">
                  <c:v>44532</c:v>
                </c:pt>
                <c:pt idx="189">
                  <c:v>44533</c:v>
                </c:pt>
                <c:pt idx="190">
                  <c:v>44536</c:v>
                </c:pt>
                <c:pt idx="191">
                  <c:v>44537</c:v>
                </c:pt>
                <c:pt idx="192">
                  <c:v>44538</c:v>
                </c:pt>
                <c:pt idx="193">
                  <c:v>44539</c:v>
                </c:pt>
                <c:pt idx="194">
                  <c:v>44540</c:v>
                </c:pt>
                <c:pt idx="195">
                  <c:v>44543</c:v>
                </c:pt>
                <c:pt idx="196">
                  <c:v>44544</c:v>
                </c:pt>
                <c:pt idx="197">
                  <c:v>44545</c:v>
                </c:pt>
                <c:pt idx="198">
                  <c:v>44546</c:v>
                </c:pt>
                <c:pt idx="199">
                  <c:v>44547</c:v>
                </c:pt>
                <c:pt idx="200">
                  <c:v>44550</c:v>
                </c:pt>
                <c:pt idx="201">
                  <c:v>44551</c:v>
                </c:pt>
                <c:pt idx="202">
                  <c:v>44552</c:v>
                </c:pt>
                <c:pt idx="203">
                  <c:v>44553</c:v>
                </c:pt>
                <c:pt idx="204">
                  <c:v>44554</c:v>
                </c:pt>
                <c:pt idx="205">
                  <c:v>44557</c:v>
                </c:pt>
                <c:pt idx="206">
                  <c:v>44558</c:v>
                </c:pt>
                <c:pt idx="207">
                  <c:v>44559</c:v>
                </c:pt>
                <c:pt idx="208">
                  <c:v>44560</c:v>
                </c:pt>
                <c:pt idx="209">
                  <c:v>44561</c:v>
                </c:pt>
                <c:pt idx="210">
                  <c:v>44565</c:v>
                </c:pt>
                <c:pt idx="211">
                  <c:v>44566</c:v>
                </c:pt>
                <c:pt idx="212">
                  <c:v>44567</c:v>
                </c:pt>
                <c:pt idx="213">
                  <c:v>44568</c:v>
                </c:pt>
                <c:pt idx="214">
                  <c:v>44571</c:v>
                </c:pt>
                <c:pt idx="215">
                  <c:v>44572</c:v>
                </c:pt>
                <c:pt idx="216">
                  <c:v>44573</c:v>
                </c:pt>
                <c:pt idx="217">
                  <c:v>44574</c:v>
                </c:pt>
                <c:pt idx="218">
                  <c:v>44575</c:v>
                </c:pt>
                <c:pt idx="219">
                  <c:v>44578</c:v>
                </c:pt>
                <c:pt idx="220">
                  <c:v>44579</c:v>
                </c:pt>
                <c:pt idx="221">
                  <c:v>44580</c:v>
                </c:pt>
                <c:pt idx="222">
                  <c:v>44581</c:v>
                </c:pt>
                <c:pt idx="223">
                  <c:v>44582</c:v>
                </c:pt>
                <c:pt idx="224">
                  <c:v>44585</c:v>
                </c:pt>
                <c:pt idx="225">
                  <c:v>44586</c:v>
                </c:pt>
                <c:pt idx="226">
                  <c:v>44587</c:v>
                </c:pt>
                <c:pt idx="227">
                  <c:v>44588</c:v>
                </c:pt>
                <c:pt idx="228">
                  <c:v>44589</c:v>
                </c:pt>
                <c:pt idx="229">
                  <c:v>44599</c:v>
                </c:pt>
                <c:pt idx="230">
                  <c:v>44600</c:v>
                </c:pt>
                <c:pt idx="231">
                  <c:v>44601</c:v>
                </c:pt>
                <c:pt idx="232">
                  <c:v>44602</c:v>
                </c:pt>
                <c:pt idx="233">
                  <c:v>44603</c:v>
                </c:pt>
                <c:pt idx="234">
                  <c:v>44606</c:v>
                </c:pt>
                <c:pt idx="235">
                  <c:v>44607</c:v>
                </c:pt>
                <c:pt idx="236">
                  <c:v>44608</c:v>
                </c:pt>
                <c:pt idx="237">
                  <c:v>44609</c:v>
                </c:pt>
                <c:pt idx="238">
                  <c:v>44610</c:v>
                </c:pt>
                <c:pt idx="239">
                  <c:v>44613</c:v>
                </c:pt>
                <c:pt idx="240">
                  <c:v>44614</c:v>
                </c:pt>
                <c:pt idx="241">
                  <c:v>44615</c:v>
                </c:pt>
                <c:pt idx="242">
                  <c:v>44616</c:v>
                </c:pt>
                <c:pt idx="243">
                  <c:v>44617</c:v>
                </c:pt>
                <c:pt idx="244">
                  <c:v>44620</c:v>
                </c:pt>
                <c:pt idx="245">
                  <c:v>44621</c:v>
                </c:pt>
                <c:pt idx="246">
                  <c:v>44622</c:v>
                </c:pt>
                <c:pt idx="247">
                  <c:v>44623</c:v>
                </c:pt>
                <c:pt idx="248">
                  <c:v>44624</c:v>
                </c:pt>
                <c:pt idx="249">
                  <c:v>44627</c:v>
                </c:pt>
                <c:pt idx="250">
                  <c:v>44628</c:v>
                </c:pt>
                <c:pt idx="251">
                  <c:v>44629</c:v>
                </c:pt>
                <c:pt idx="252">
                  <c:v>44630</c:v>
                </c:pt>
                <c:pt idx="253">
                  <c:v>44631</c:v>
                </c:pt>
                <c:pt idx="254">
                  <c:v>44634</c:v>
                </c:pt>
                <c:pt idx="255">
                  <c:v>44635</c:v>
                </c:pt>
                <c:pt idx="256">
                  <c:v>44636</c:v>
                </c:pt>
                <c:pt idx="257">
                  <c:v>44637</c:v>
                </c:pt>
                <c:pt idx="258">
                  <c:v>44638</c:v>
                </c:pt>
                <c:pt idx="259">
                  <c:v>44641</c:v>
                </c:pt>
                <c:pt idx="260">
                  <c:v>44642</c:v>
                </c:pt>
                <c:pt idx="261">
                  <c:v>44643</c:v>
                </c:pt>
                <c:pt idx="262">
                  <c:v>44644</c:v>
                </c:pt>
                <c:pt idx="263">
                  <c:v>44645</c:v>
                </c:pt>
                <c:pt idx="264">
                  <c:v>44648</c:v>
                </c:pt>
                <c:pt idx="265">
                  <c:v>44649</c:v>
                </c:pt>
                <c:pt idx="266">
                  <c:v>44650</c:v>
                </c:pt>
                <c:pt idx="267">
                  <c:v>44651</c:v>
                </c:pt>
                <c:pt idx="268">
                  <c:v>44652</c:v>
                </c:pt>
                <c:pt idx="269">
                  <c:v>44655</c:v>
                </c:pt>
                <c:pt idx="270">
                  <c:v>44656</c:v>
                </c:pt>
                <c:pt idx="271">
                  <c:v>44657</c:v>
                </c:pt>
                <c:pt idx="272">
                  <c:v>44658</c:v>
                </c:pt>
                <c:pt idx="273">
                  <c:v>44659</c:v>
                </c:pt>
                <c:pt idx="274">
                  <c:v>44663</c:v>
                </c:pt>
                <c:pt idx="275">
                  <c:v>44664</c:v>
                </c:pt>
                <c:pt idx="276">
                  <c:v>44665</c:v>
                </c:pt>
                <c:pt idx="277">
                  <c:v>44666</c:v>
                </c:pt>
                <c:pt idx="278">
                  <c:v>44669</c:v>
                </c:pt>
                <c:pt idx="279">
                  <c:v>44670</c:v>
                </c:pt>
                <c:pt idx="280">
                  <c:v>44671</c:v>
                </c:pt>
                <c:pt idx="281">
                  <c:v>44672</c:v>
                </c:pt>
                <c:pt idx="282">
                  <c:v>44673</c:v>
                </c:pt>
                <c:pt idx="283">
                  <c:v>44676</c:v>
                </c:pt>
                <c:pt idx="284">
                  <c:v>44677</c:v>
                </c:pt>
                <c:pt idx="285">
                  <c:v>44678</c:v>
                </c:pt>
                <c:pt idx="286">
                  <c:v>44679</c:v>
                </c:pt>
                <c:pt idx="287">
                  <c:v>44680</c:v>
                </c:pt>
                <c:pt idx="288">
                  <c:v>44685</c:v>
                </c:pt>
                <c:pt idx="289">
                  <c:v>44686</c:v>
                </c:pt>
                <c:pt idx="290">
                  <c:v>44687</c:v>
                </c:pt>
                <c:pt idx="291">
                  <c:v>44690</c:v>
                </c:pt>
                <c:pt idx="292">
                  <c:v>44691</c:v>
                </c:pt>
                <c:pt idx="293">
                  <c:v>44692</c:v>
                </c:pt>
                <c:pt idx="294">
                  <c:v>44693</c:v>
                </c:pt>
                <c:pt idx="295">
                  <c:v>44694</c:v>
                </c:pt>
                <c:pt idx="296">
                  <c:v>44697</c:v>
                </c:pt>
                <c:pt idx="297">
                  <c:v>44698</c:v>
                </c:pt>
                <c:pt idx="298">
                  <c:v>44699</c:v>
                </c:pt>
                <c:pt idx="299">
                  <c:v>44700</c:v>
                </c:pt>
                <c:pt idx="300">
                  <c:v>44701</c:v>
                </c:pt>
                <c:pt idx="301">
                  <c:v>44704</c:v>
                </c:pt>
                <c:pt idx="302">
                  <c:v>44705</c:v>
                </c:pt>
                <c:pt idx="303">
                  <c:v>44706</c:v>
                </c:pt>
                <c:pt idx="304">
                  <c:v>44707</c:v>
                </c:pt>
                <c:pt idx="305">
                  <c:v>44708</c:v>
                </c:pt>
                <c:pt idx="306">
                  <c:v>44711</c:v>
                </c:pt>
                <c:pt idx="307">
                  <c:v>44712</c:v>
                </c:pt>
                <c:pt idx="308">
                  <c:v>44713</c:v>
                </c:pt>
                <c:pt idx="309">
                  <c:v>44714</c:v>
                </c:pt>
                <c:pt idx="310">
                  <c:v>44715</c:v>
                </c:pt>
                <c:pt idx="311">
                  <c:v>44718</c:v>
                </c:pt>
                <c:pt idx="312">
                  <c:v>44719</c:v>
                </c:pt>
                <c:pt idx="313">
                  <c:v>44720</c:v>
                </c:pt>
                <c:pt idx="314">
                  <c:v>44721</c:v>
                </c:pt>
                <c:pt idx="315">
                  <c:v>44722</c:v>
                </c:pt>
                <c:pt idx="316">
                  <c:v>44725</c:v>
                </c:pt>
                <c:pt idx="317">
                  <c:v>44726</c:v>
                </c:pt>
                <c:pt idx="318">
                  <c:v>44727</c:v>
                </c:pt>
                <c:pt idx="319">
                  <c:v>44728</c:v>
                </c:pt>
                <c:pt idx="320">
                  <c:v>44729</c:v>
                </c:pt>
                <c:pt idx="321">
                  <c:v>44732</c:v>
                </c:pt>
                <c:pt idx="322">
                  <c:v>44733</c:v>
                </c:pt>
                <c:pt idx="323">
                  <c:v>44734</c:v>
                </c:pt>
                <c:pt idx="324">
                  <c:v>44735</c:v>
                </c:pt>
                <c:pt idx="325">
                  <c:v>44736</c:v>
                </c:pt>
                <c:pt idx="326">
                  <c:v>44739</c:v>
                </c:pt>
                <c:pt idx="327">
                  <c:v>44740</c:v>
                </c:pt>
                <c:pt idx="328">
                  <c:v>44741</c:v>
                </c:pt>
                <c:pt idx="329">
                  <c:v>44742</c:v>
                </c:pt>
                <c:pt idx="330">
                  <c:v>44743</c:v>
                </c:pt>
                <c:pt idx="331">
                  <c:v>44746</c:v>
                </c:pt>
                <c:pt idx="332">
                  <c:v>44747</c:v>
                </c:pt>
                <c:pt idx="333">
                  <c:v>44748</c:v>
                </c:pt>
                <c:pt idx="334">
                  <c:v>44749</c:v>
                </c:pt>
                <c:pt idx="335">
                  <c:v>44750</c:v>
                </c:pt>
                <c:pt idx="336">
                  <c:v>44753</c:v>
                </c:pt>
                <c:pt idx="337">
                  <c:v>44754</c:v>
                </c:pt>
                <c:pt idx="338">
                  <c:v>44755</c:v>
                </c:pt>
                <c:pt idx="339">
                  <c:v>44756</c:v>
                </c:pt>
                <c:pt idx="340">
                  <c:v>44757</c:v>
                </c:pt>
                <c:pt idx="341">
                  <c:v>44760</c:v>
                </c:pt>
                <c:pt idx="342">
                  <c:v>44761</c:v>
                </c:pt>
                <c:pt idx="343">
                  <c:v>44762</c:v>
                </c:pt>
                <c:pt idx="344">
                  <c:v>44763</c:v>
                </c:pt>
                <c:pt idx="345">
                  <c:v>44764</c:v>
                </c:pt>
                <c:pt idx="346">
                  <c:v>44767</c:v>
                </c:pt>
                <c:pt idx="347">
                  <c:v>44768</c:v>
                </c:pt>
                <c:pt idx="348">
                  <c:v>44769</c:v>
                </c:pt>
                <c:pt idx="349">
                  <c:v>44770</c:v>
                </c:pt>
                <c:pt idx="350">
                  <c:v>44771</c:v>
                </c:pt>
                <c:pt idx="351">
                  <c:v>44774</c:v>
                </c:pt>
                <c:pt idx="352">
                  <c:v>44775</c:v>
                </c:pt>
                <c:pt idx="353">
                  <c:v>44776</c:v>
                </c:pt>
                <c:pt idx="354">
                  <c:v>44777</c:v>
                </c:pt>
                <c:pt idx="355">
                  <c:v>44778</c:v>
                </c:pt>
                <c:pt idx="356">
                  <c:v>44781</c:v>
                </c:pt>
                <c:pt idx="357">
                  <c:v>44782</c:v>
                </c:pt>
                <c:pt idx="358">
                  <c:v>44783</c:v>
                </c:pt>
                <c:pt idx="359">
                  <c:v>44784</c:v>
                </c:pt>
                <c:pt idx="360">
                  <c:v>44785</c:v>
                </c:pt>
                <c:pt idx="361">
                  <c:v>44788</c:v>
                </c:pt>
                <c:pt idx="362">
                  <c:v>44789</c:v>
                </c:pt>
                <c:pt idx="363">
                  <c:v>44790</c:v>
                </c:pt>
                <c:pt idx="364">
                  <c:v>44791</c:v>
                </c:pt>
                <c:pt idx="365">
                  <c:v>44792</c:v>
                </c:pt>
                <c:pt idx="366">
                  <c:v>44795</c:v>
                </c:pt>
                <c:pt idx="367">
                  <c:v>44796</c:v>
                </c:pt>
                <c:pt idx="368">
                  <c:v>44797</c:v>
                </c:pt>
                <c:pt idx="369">
                  <c:v>44798</c:v>
                </c:pt>
                <c:pt idx="370">
                  <c:v>44799</c:v>
                </c:pt>
                <c:pt idx="371">
                  <c:v>44802</c:v>
                </c:pt>
                <c:pt idx="372">
                  <c:v>44803</c:v>
                </c:pt>
                <c:pt idx="373">
                  <c:v>44804</c:v>
                </c:pt>
                <c:pt idx="374">
                  <c:v>44809</c:v>
                </c:pt>
                <c:pt idx="375">
                  <c:v>44810</c:v>
                </c:pt>
                <c:pt idx="376">
                  <c:v>44811</c:v>
                </c:pt>
                <c:pt idx="377">
                  <c:v>44812</c:v>
                </c:pt>
                <c:pt idx="378">
                  <c:v>44813</c:v>
                </c:pt>
                <c:pt idx="379">
                  <c:v>44816</c:v>
                </c:pt>
                <c:pt idx="380">
                  <c:v>44817</c:v>
                </c:pt>
                <c:pt idx="381">
                  <c:v>44818</c:v>
                </c:pt>
                <c:pt idx="382">
                  <c:v>44819</c:v>
                </c:pt>
                <c:pt idx="383">
                  <c:v>44820</c:v>
                </c:pt>
                <c:pt idx="384">
                  <c:v>44823</c:v>
                </c:pt>
                <c:pt idx="385">
                  <c:v>44824</c:v>
                </c:pt>
                <c:pt idx="386">
                  <c:v>44825</c:v>
                </c:pt>
                <c:pt idx="387">
                  <c:v>44826</c:v>
                </c:pt>
                <c:pt idx="388">
                  <c:v>44827</c:v>
                </c:pt>
                <c:pt idx="389">
                  <c:v>44830</c:v>
                </c:pt>
                <c:pt idx="390">
                  <c:v>44831</c:v>
                </c:pt>
                <c:pt idx="391">
                  <c:v>44832</c:v>
                </c:pt>
                <c:pt idx="392">
                  <c:v>44833</c:v>
                </c:pt>
                <c:pt idx="393">
                  <c:v>44834</c:v>
                </c:pt>
                <c:pt idx="394">
                  <c:v>44837</c:v>
                </c:pt>
                <c:pt idx="395">
                  <c:v>44838</c:v>
                </c:pt>
                <c:pt idx="396">
                  <c:v>44839</c:v>
                </c:pt>
                <c:pt idx="397">
                  <c:v>44840</c:v>
                </c:pt>
                <c:pt idx="398">
                  <c:v>44841</c:v>
                </c:pt>
                <c:pt idx="399">
                  <c:v>44844</c:v>
                </c:pt>
                <c:pt idx="400">
                  <c:v>44845</c:v>
                </c:pt>
                <c:pt idx="401">
                  <c:v>44846</c:v>
                </c:pt>
                <c:pt idx="402">
                  <c:v>44847</c:v>
                </c:pt>
                <c:pt idx="403">
                  <c:v>44848</c:v>
                </c:pt>
                <c:pt idx="404">
                  <c:v>44851</c:v>
                </c:pt>
                <c:pt idx="405">
                  <c:v>44852</c:v>
                </c:pt>
                <c:pt idx="406">
                  <c:v>44853</c:v>
                </c:pt>
                <c:pt idx="407">
                  <c:v>44854</c:v>
                </c:pt>
                <c:pt idx="408">
                  <c:v>44855</c:v>
                </c:pt>
                <c:pt idx="409">
                  <c:v>44858</c:v>
                </c:pt>
                <c:pt idx="410">
                  <c:v>44859</c:v>
                </c:pt>
                <c:pt idx="411">
                  <c:v>44860</c:v>
                </c:pt>
                <c:pt idx="412">
                  <c:v>44861</c:v>
                </c:pt>
                <c:pt idx="413">
                  <c:v>44862</c:v>
                </c:pt>
                <c:pt idx="414">
                  <c:v>44865</c:v>
                </c:pt>
                <c:pt idx="415">
                  <c:v>44866</c:v>
                </c:pt>
                <c:pt idx="416">
                  <c:v>44867</c:v>
                </c:pt>
                <c:pt idx="417">
                  <c:v>44868</c:v>
                </c:pt>
                <c:pt idx="418">
                  <c:v>44869</c:v>
                </c:pt>
                <c:pt idx="419">
                  <c:v>44872</c:v>
                </c:pt>
                <c:pt idx="420">
                  <c:v>44873</c:v>
                </c:pt>
                <c:pt idx="421">
                  <c:v>44874</c:v>
                </c:pt>
                <c:pt idx="422">
                  <c:v>44875</c:v>
                </c:pt>
                <c:pt idx="423">
                  <c:v>44876</c:v>
                </c:pt>
                <c:pt idx="424">
                  <c:v>44879</c:v>
                </c:pt>
                <c:pt idx="425">
                  <c:v>44880</c:v>
                </c:pt>
                <c:pt idx="426">
                  <c:v>44881</c:v>
                </c:pt>
                <c:pt idx="427">
                  <c:v>44882</c:v>
                </c:pt>
                <c:pt idx="428">
                  <c:v>44883</c:v>
                </c:pt>
                <c:pt idx="429">
                  <c:v>44886</c:v>
                </c:pt>
                <c:pt idx="430">
                  <c:v>44887</c:v>
                </c:pt>
                <c:pt idx="431">
                  <c:v>44888</c:v>
                </c:pt>
                <c:pt idx="432">
                  <c:v>44889</c:v>
                </c:pt>
                <c:pt idx="433">
                  <c:v>44890</c:v>
                </c:pt>
                <c:pt idx="434">
                  <c:v>44893</c:v>
                </c:pt>
                <c:pt idx="435">
                  <c:v>44894</c:v>
                </c:pt>
                <c:pt idx="436">
                  <c:v>44895</c:v>
                </c:pt>
                <c:pt idx="437">
                  <c:v>44896</c:v>
                </c:pt>
                <c:pt idx="438">
                  <c:v>44897</c:v>
                </c:pt>
                <c:pt idx="439">
                  <c:v>44900</c:v>
                </c:pt>
                <c:pt idx="440">
                  <c:v>44901</c:v>
                </c:pt>
                <c:pt idx="441">
                  <c:v>44902</c:v>
                </c:pt>
                <c:pt idx="442">
                  <c:v>44903</c:v>
                </c:pt>
                <c:pt idx="443">
                  <c:v>44904</c:v>
                </c:pt>
                <c:pt idx="444">
                  <c:v>44907</c:v>
                </c:pt>
                <c:pt idx="445">
                  <c:v>44908</c:v>
                </c:pt>
                <c:pt idx="446">
                  <c:v>44909</c:v>
                </c:pt>
                <c:pt idx="447">
                  <c:v>44910</c:v>
                </c:pt>
                <c:pt idx="448">
                  <c:v>44911</c:v>
                </c:pt>
                <c:pt idx="449">
                  <c:v>44914</c:v>
                </c:pt>
                <c:pt idx="450">
                  <c:v>44915</c:v>
                </c:pt>
                <c:pt idx="451">
                  <c:v>44916</c:v>
                </c:pt>
                <c:pt idx="452">
                  <c:v>44917</c:v>
                </c:pt>
                <c:pt idx="453">
                  <c:v>44918</c:v>
                </c:pt>
                <c:pt idx="454">
                  <c:v>44921</c:v>
                </c:pt>
                <c:pt idx="455">
                  <c:v>44922</c:v>
                </c:pt>
                <c:pt idx="456">
                  <c:v>44923</c:v>
                </c:pt>
                <c:pt idx="457">
                  <c:v>44924</c:v>
                </c:pt>
                <c:pt idx="458">
                  <c:v>44925</c:v>
                </c:pt>
                <c:pt idx="459">
                  <c:v>44929</c:v>
                </c:pt>
                <c:pt idx="460">
                  <c:v>44930</c:v>
                </c:pt>
                <c:pt idx="461">
                  <c:v>44931</c:v>
                </c:pt>
                <c:pt idx="462">
                  <c:v>44932</c:v>
                </c:pt>
                <c:pt idx="463">
                  <c:v>44935</c:v>
                </c:pt>
                <c:pt idx="464">
                  <c:v>44936</c:v>
                </c:pt>
                <c:pt idx="465">
                  <c:v>44937</c:v>
                </c:pt>
                <c:pt idx="466">
                  <c:v>44938</c:v>
                </c:pt>
                <c:pt idx="467">
                  <c:v>44939</c:v>
                </c:pt>
                <c:pt idx="468">
                  <c:v>44942</c:v>
                </c:pt>
                <c:pt idx="469">
                  <c:v>44943</c:v>
                </c:pt>
                <c:pt idx="470">
                  <c:v>44944</c:v>
                </c:pt>
                <c:pt idx="471">
                  <c:v>44945</c:v>
                </c:pt>
                <c:pt idx="472">
                  <c:v>44953</c:v>
                </c:pt>
                <c:pt idx="473">
                  <c:v>44956</c:v>
                </c:pt>
                <c:pt idx="474">
                  <c:v>44957</c:v>
                </c:pt>
                <c:pt idx="475">
                  <c:v>44958</c:v>
                </c:pt>
                <c:pt idx="476">
                  <c:v>44959</c:v>
                </c:pt>
                <c:pt idx="477">
                  <c:v>44960</c:v>
                </c:pt>
                <c:pt idx="478">
                  <c:v>44963</c:v>
                </c:pt>
                <c:pt idx="479">
                  <c:v>44964</c:v>
                </c:pt>
                <c:pt idx="480">
                  <c:v>44965</c:v>
                </c:pt>
                <c:pt idx="481">
                  <c:v>44966</c:v>
                </c:pt>
                <c:pt idx="482">
                  <c:v>44967</c:v>
                </c:pt>
                <c:pt idx="483">
                  <c:v>44970</c:v>
                </c:pt>
                <c:pt idx="484">
                  <c:v>44971</c:v>
                </c:pt>
                <c:pt idx="485">
                  <c:v>44972</c:v>
                </c:pt>
                <c:pt idx="486">
                  <c:v>44973</c:v>
                </c:pt>
                <c:pt idx="487">
                  <c:v>44974</c:v>
                </c:pt>
                <c:pt idx="488">
                  <c:v>44977</c:v>
                </c:pt>
                <c:pt idx="489">
                  <c:v>44978</c:v>
                </c:pt>
                <c:pt idx="490">
                  <c:v>44979</c:v>
                </c:pt>
                <c:pt idx="491">
                  <c:v>44980</c:v>
                </c:pt>
                <c:pt idx="492">
                  <c:v>44981</c:v>
                </c:pt>
                <c:pt idx="493">
                  <c:v>44984</c:v>
                </c:pt>
                <c:pt idx="494">
                  <c:v>44985</c:v>
                </c:pt>
                <c:pt idx="495">
                  <c:v>44986</c:v>
                </c:pt>
                <c:pt idx="496">
                  <c:v>44987</c:v>
                </c:pt>
                <c:pt idx="497">
                  <c:v>44988</c:v>
                </c:pt>
                <c:pt idx="498">
                  <c:v>44991</c:v>
                </c:pt>
                <c:pt idx="499">
                  <c:v>44992</c:v>
                </c:pt>
                <c:pt idx="500">
                  <c:v>44993</c:v>
                </c:pt>
                <c:pt idx="501">
                  <c:v>44994</c:v>
                </c:pt>
                <c:pt idx="502">
                  <c:v>44995</c:v>
                </c:pt>
                <c:pt idx="503">
                  <c:v>44998</c:v>
                </c:pt>
                <c:pt idx="504">
                  <c:v>44999</c:v>
                </c:pt>
                <c:pt idx="505">
                  <c:v>45000</c:v>
                </c:pt>
                <c:pt idx="506">
                  <c:v>45001</c:v>
                </c:pt>
                <c:pt idx="507">
                  <c:v>45002</c:v>
                </c:pt>
                <c:pt idx="508">
                  <c:v>45005</c:v>
                </c:pt>
                <c:pt idx="509">
                  <c:v>45006</c:v>
                </c:pt>
                <c:pt idx="510">
                  <c:v>45007</c:v>
                </c:pt>
                <c:pt idx="511">
                  <c:v>45008</c:v>
                </c:pt>
                <c:pt idx="512">
                  <c:v>45009</c:v>
                </c:pt>
                <c:pt idx="513">
                  <c:v>45012</c:v>
                </c:pt>
                <c:pt idx="514">
                  <c:v>45013</c:v>
                </c:pt>
                <c:pt idx="515">
                  <c:v>45014</c:v>
                </c:pt>
                <c:pt idx="516">
                  <c:v>45015</c:v>
                </c:pt>
                <c:pt idx="517">
                  <c:v>45016</c:v>
                </c:pt>
                <c:pt idx="518">
                  <c:v>45019</c:v>
                </c:pt>
                <c:pt idx="519">
                  <c:v>45020</c:v>
                </c:pt>
                <c:pt idx="520">
                  <c:v>45021</c:v>
                </c:pt>
                <c:pt idx="521">
                  <c:v>45022</c:v>
                </c:pt>
                <c:pt idx="522">
                  <c:v>45023</c:v>
                </c:pt>
                <c:pt idx="523">
                  <c:v>45026</c:v>
                </c:pt>
                <c:pt idx="524">
                  <c:v>45027</c:v>
                </c:pt>
                <c:pt idx="525">
                  <c:v>45028</c:v>
                </c:pt>
                <c:pt idx="526">
                  <c:v>45029</c:v>
                </c:pt>
                <c:pt idx="527">
                  <c:v>45030</c:v>
                </c:pt>
                <c:pt idx="528">
                  <c:v>45033</c:v>
                </c:pt>
                <c:pt idx="529">
                  <c:v>45034</c:v>
                </c:pt>
                <c:pt idx="530">
                  <c:v>45035</c:v>
                </c:pt>
                <c:pt idx="531">
                  <c:v>45036</c:v>
                </c:pt>
                <c:pt idx="532">
                  <c:v>45037</c:v>
                </c:pt>
                <c:pt idx="533">
                  <c:v>45040</c:v>
                </c:pt>
                <c:pt idx="534">
                  <c:v>45041</c:v>
                </c:pt>
                <c:pt idx="535">
                  <c:v>45042</c:v>
                </c:pt>
                <c:pt idx="536">
                  <c:v>45043</c:v>
                </c:pt>
                <c:pt idx="537">
                  <c:v>45044</c:v>
                </c:pt>
                <c:pt idx="538">
                  <c:v>45050</c:v>
                </c:pt>
                <c:pt idx="539">
                  <c:v>45051</c:v>
                </c:pt>
                <c:pt idx="540">
                  <c:v>45054</c:v>
                </c:pt>
                <c:pt idx="541">
                  <c:v>45055</c:v>
                </c:pt>
                <c:pt idx="542">
                  <c:v>45056</c:v>
                </c:pt>
                <c:pt idx="543">
                  <c:v>45057</c:v>
                </c:pt>
                <c:pt idx="544">
                  <c:v>45058</c:v>
                </c:pt>
                <c:pt idx="545">
                  <c:v>45061</c:v>
                </c:pt>
                <c:pt idx="546">
                  <c:v>45062</c:v>
                </c:pt>
                <c:pt idx="547">
                  <c:v>45063</c:v>
                </c:pt>
                <c:pt idx="548">
                  <c:v>45064</c:v>
                </c:pt>
                <c:pt idx="549">
                  <c:v>45065</c:v>
                </c:pt>
                <c:pt idx="550">
                  <c:v>45068</c:v>
                </c:pt>
                <c:pt idx="551">
                  <c:v>45069</c:v>
                </c:pt>
                <c:pt idx="552">
                  <c:v>45070</c:v>
                </c:pt>
                <c:pt idx="553">
                  <c:v>45071</c:v>
                </c:pt>
                <c:pt idx="554">
                  <c:v>45072</c:v>
                </c:pt>
                <c:pt idx="555">
                  <c:v>45075</c:v>
                </c:pt>
                <c:pt idx="556">
                  <c:v>45076</c:v>
                </c:pt>
                <c:pt idx="557">
                  <c:v>45077</c:v>
                </c:pt>
                <c:pt idx="558">
                  <c:v>45078</c:v>
                </c:pt>
                <c:pt idx="559">
                  <c:v>45079</c:v>
                </c:pt>
                <c:pt idx="560">
                  <c:v>45082</c:v>
                </c:pt>
                <c:pt idx="561">
                  <c:v>45083</c:v>
                </c:pt>
                <c:pt idx="562">
                  <c:v>45084</c:v>
                </c:pt>
                <c:pt idx="563">
                  <c:v>45085</c:v>
                </c:pt>
                <c:pt idx="564">
                  <c:v>45086</c:v>
                </c:pt>
                <c:pt idx="565">
                  <c:v>45089</c:v>
                </c:pt>
                <c:pt idx="566">
                  <c:v>45090</c:v>
                </c:pt>
                <c:pt idx="567">
                  <c:v>45091</c:v>
                </c:pt>
                <c:pt idx="568">
                  <c:v>45092</c:v>
                </c:pt>
                <c:pt idx="569">
                  <c:v>45093</c:v>
                </c:pt>
                <c:pt idx="570">
                  <c:v>45096</c:v>
                </c:pt>
                <c:pt idx="571">
                  <c:v>45097</c:v>
                </c:pt>
                <c:pt idx="572">
                  <c:v>45098</c:v>
                </c:pt>
                <c:pt idx="573">
                  <c:v>45099</c:v>
                </c:pt>
                <c:pt idx="574">
                  <c:v>45100</c:v>
                </c:pt>
                <c:pt idx="575">
                  <c:v>45103</c:v>
                </c:pt>
                <c:pt idx="576">
                  <c:v>45104</c:v>
                </c:pt>
                <c:pt idx="577">
                  <c:v>45105</c:v>
                </c:pt>
                <c:pt idx="578">
                  <c:v>45106</c:v>
                </c:pt>
                <c:pt idx="579">
                  <c:v>45107</c:v>
                </c:pt>
                <c:pt idx="580">
                  <c:v>45110</c:v>
                </c:pt>
                <c:pt idx="581">
                  <c:v>45111</c:v>
                </c:pt>
                <c:pt idx="582">
                  <c:v>45112</c:v>
                </c:pt>
                <c:pt idx="583">
                  <c:v>45113</c:v>
                </c:pt>
                <c:pt idx="584">
                  <c:v>45114</c:v>
                </c:pt>
                <c:pt idx="585">
                  <c:v>45117</c:v>
                </c:pt>
                <c:pt idx="586">
                  <c:v>45118</c:v>
                </c:pt>
                <c:pt idx="587">
                  <c:v>45119</c:v>
                </c:pt>
                <c:pt idx="588">
                  <c:v>45120</c:v>
                </c:pt>
                <c:pt idx="589">
                  <c:v>45121</c:v>
                </c:pt>
                <c:pt idx="590">
                  <c:v>45124</c:v>
                </c:pt>
                <c:pt idx="591">
                  <c:v>45125</c:v>
                </c:pt>
                <c:pt idx="592">
                  <c:v>45126</c:v>
                </c:pt>
                <c:pt idx="593">
                  <c:v>45127</c:v>
                </c:pt>
                <c:pt idx="594">
                  <c:v>45128</c:v>
                </c:pt>
                <c:pt idx="595">
                  <c:v>45131</c:v>
                </c:pt>
                <c:pt idx="596">
                  <c:v>45132</c:v>
                </c:pt>
                <c:pt idx="597">
                  <c:v>45133</c:v>
                </c:pt>
                <c:pt idx="598">
                  <c:v>45134</c:v>
                </c:pt>
                <c:pt idx="599">
                  <c:v>45135</c:v>
                </c:pt>
                <c:pt idx="600">
                  <c:v>45138</c:v>
                </c:pt>
                <c:pt idx="601">
                  <c:v>45139</c:v>
                </c:pt>
                <c:pt idx="602">
                  <c:v>45140</c:v>
                </c:pt>
                <c:pt idx="603">
                  <c:v>45141</c:v>
                </c:pt>
                <c:pt idx="604">
                  <c:v>45142</c:v>
                </c:pt>
                <c:pt idx="605">
                  <c:v>45145</c:v>
                </c:pt>
                <c:pt idx="606">
                  <c:v>45146</c:v>
                </c:pt>
                <c:pt idx="607">
                  <c:v>45147</c:v>
                </c:pt>
                <c:pt idx="608">
                  <c:v>45148</c:v>
                </c:pt>
                <c:pt idx="609">
                  <c:v>45149</c:v>
                </c:pt>
                <c:pt idx="610">
                  <c:v>45152</c:v>
                </c:pt>
                <c:pt idx="611">
                  <c:v>45153</c:v>
                </c:pt>
                <c:pt idx="612">
                  <c:v>45154</c:v>
                </c:pt>
                <c:pt idx="613">
                  <c:v>45155</c:v>
                </c:pt>
                <c:pt idx="614">
                  <c:v>45156</c:v>
                </c:pt>
                <c:pt idx="615">
                  <c:v>45159</c:v>
                </c:pt>
                <c:pt idx="616">
                  <c:v>45160</c:v>
                </c:pt>
                <c:pt idx="617">
                  <c:v>45161</c:v>
                </c:pt>
                <c:pt idx="618">
                  <c:v>45162</c:v>
                </c:pt>
                <c:pt idx="619">
                  <c:v>45163</c:v>
                </c:pt>
                <c:pt idx="620">
                  <c:v>45166</c:v>
                </c:pt>
                <c:pt idx="621">
                  <c:v>45167</c:v>
                </c:pt>
                <c:pt idx="622">
                  <c:v>45168</c:v>
                </c:pt>
                <c:pt idx="623">
                  <c:v>45169</c:v>
                </c:pt>
                <c:pt idx="624">
                  <c:v>45174</c:v>
                </c:pt>
                <c:pt idx="625">
                  <c:v>45175</c:v>
                </c:pt>
                <c:pt idx="626">
                  <c:v>45176</c:v>
                </c:pt>
                <c:pt idx="627">
                  <c:v>45177</c:v>
                </c:pt>
                <c:pt idx="628">
                  <c:v>45180</c:v>
                </c:pt>
                <c:pt idx="629">
                  <c:v>45181</c:v>
                </c:pt>
                <c:pt idx="630">
                  <c:v>45182</c:v>
                </c:pt>
                <c:pt idx="631">
                  <c:v>45183</c:v>
                </c:pt>
                <c:pt idx="632">
                  <c:v>45184</c:v>
                </c:pt>
                <c:pt idx="633">
                  <c:v>45187</c:v>
                </c:pt>
                <c:pt idx="634">
                  <c:v>45188</c:v>
                </c:pt>
                <c:pt idx="635">
                  <c:v>45189</c:v>
                </c:pt>
                <c:pt idx="636">
                  <c:v>45190</c:v>
                </c:pt>
                <c:pt idx="637">
                  <c:v>45191</c:v>
                </c:pt>
                <c:pt idx="638">
                  <c:v>45194</c:v>
                </c:pt>
                <c:pt idx="639">
                  <c:v>45195</c:v>
                </c:pt>
                <c:pt idx="640">
                  <c:v>45196</c:v>
                </c:pt>
                <c:pt idx="641">
                  <c:v>45197</c:v>
                </c:pt>
                <c:pt idx="642">
                  <c:v>45198</c:v>
                </c:pt>
                <c:pt idx="643">
                  <c:v>45201</c:v>
                </c:pt>
                <c:pt idx="644">
                  <c:v>45202</c:v>
                </c:pt>
                <c:pt idx="645">
                  <c:v>45203</c:v>
                </c:pt>
                <c:pt idx="646">
                  <c:v>45204</c:v>
                </c:pt>
                <c:pt idx="647">
                  <c:v>45205</c:v>
                </c:pt>
                <c:pt idx="648">
                  <c:v>45208</c:v>
                </c:pt>
                <c:pt idx="649">
                  <c:v>45209</c:v>
                </c:pt>
                <c:pt idx="650">
                  <c:v>45210</c:v>
                </c:pt>
                <c:pt idx="651">
                  <c:v>45211</c:v>
                </c:pt>
                <c:pt idx="652">
                  <c:v>45212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45222</c:v>
                </c:pt>
                <c:pt idx="659">
                  <c:v>45223</c:v>
                </c:pt>
                <c:pt idx="660">
                  <c:v>45224</c:v>
                </c:pt>
                <c:pt idx="661">
                  <c:v>45225</c:v>
                </c:pt>
                <c:pt idx="662">
                  <c:v>45226</c:v>
                </c:pt>
                <c:pt idx="663">
                  <c:v>45229</c:v>
                </c:pt>
                <c:pt idx="664">
                  <c:v>45230</c:v>
                </c:pt>
                <c:pt idx="665">
                  <c:v>45231</c:v>
                </c:pt>
                <c:pt idx="666">
                  <c:v>45232</c:v>
                </c:pt>
                <c:pt idx="667">
                  <c:v>45233</c:v>
                </c:pt>
                <c:pt idx="668">
                  <c:v>45236</c:v>
                </c:pt>
                <c:pt idx="669">
                  <c:v>45237</c:v>
                </c:pt>
                <c:pt idx="670">
                  <c:v>45238</c:v>
                </c:pt>
                <c:pt idx="671">
                  <c:v>45239</c:v>
                </c:pt>
                <c:pt idx="672">
                  <c:v>45240</c:v>
                </c:pt>
                <c:pt idx="673">
                  <c:v>45243</c:v>
                </c:pt>
                <c:pt idx="674">
                  <c:v>45244</c:v>
                </c:pt>
                <c:pt idx="675">
                  <c:v>45245</c:v>
                </c:pt>
                <c:pt idx="676">
                  <c:v>45246</c:v>
                </c:pt>
                <c:pt idx="677">
                  <c:v>45247</c:v>
                </c:pt>
                <c:pt idx="678">
                  <c:v>45250</c:v>
                </c:pt>
                <c:pt idx="679">
                  <c:v>45251</c:v>
                </c:pt>
                <c:pt idx="680">
                  <c:v>45252</c:v>
                </c:pt>
                <c:pt idx="681">
                  <c:v>45253</c:v>
                </c:pt>
                <c:pt idx="682">
                  <c:v>45254</c:v>
                </c:pt>
                <c:pt idx="683">
                  <c:v>45257</c:v>
                </c:pt>
                <c:pt idx="684">
                  <c:v>45258</c:v>
                </c:pt>
                <c:pt idx="685">
                  <c:v>45259</c:v>
                </c:pt>
                <c:pt idx="686">
                  <c:v>45260</c:v>
                </c:pt>
                <c:pt idx="687">
                  <c:v>45261</c:v>
                </c:pt>
                <c:pt idx="688">
                  <c:v>45264</c:v>
                </c:pt>
                <c:pt idx="689">
                  <c:v>45265</c:v>
                </c:pt>
                <c:pt idx="690">
                  <c:v>45266</c:v>
                </c:pt>
                <c:pt idx="691">
                  <c:v>45267</c:v>
                </c:pt>
                <c:pt idx="692">
                  <c:v>45268</c:v>
                </c:pt>
                <c:pt idx="693">
                  <c:v>45271</c:v>
                </c:pt>
                <c:pt idx="694">
                  <c:v>45272</c:v>
                </c:pt>
                <c:pt idx="695">
                  <c:v>45273</c:v>
                </c:pt>
                <c:pt idx="696">
                  <c:v>45274</c:v>
                </c:pt>
                <c:pt idx="697">
                  <c:v>45275</c:v>
                </c:pt>
                <c:pt idx="698">
                  <c:v>45278</c:v>
                </c:pt>
                <c:pt idx="699">
                  <c:v>45279</c:v>
                </c:pt>
                <c:pt idx="700">
                  <c:v>45280</c:v>
                </c:pt>
                <c:pt idx="701">
                  <c:v>45281</c:v>
                </c:pt>
                <c:pt idx="702">
                  <c:v>45282</c:v>
                </c:pt>
                <c:pt idx="703">
                  <c:v>45285</c:v>
                </c:pt>
                <c:pt idx="704">
                  <c:v>45286</c:v>
                </c:pt>
                <c:pt idx="705">
                  <c:v>45287</c:v>
                </c:pt>
                <c:pt idx="706">
                  <c:v>45288</c:v>
                </c:pt>
                <c:pt idx="707">
                  <c:v>45289</c:v>
                </c:pt>
                <c:pt idx="708">
                  <c:v>45293</c:v>
                </c:pt>
                <c:pt idx="709">
                  <c:v>45294</c:v>
                </c:pt>
                <c:pt idx="710">
                  <c:v>45295</c:v>
                </c:pt>
                <c:pt idx="711">
                  <c:v>45296</c:v>
                </c:pt>
                <c:pt idx="712">
                  <c:v>45299</c:v>
                </c:pt>
                <c:pt idx="713">
                  <c:v>45300</c:v>
                </c:pt>
                <c:pt idx="714">
                  <c:v>45301</c:v>
                </c:pt>
                <c:pt idx="715">
                  <c:v>45302</c:v>
                </c:pt>
                <c:pt idx="716">
                  <c:v>45303</c:v>
                </c:pt>
                <c:pt idx="717">
                  <c:v>45306</c:v>
                </c:pt>
                <c:pt idx="718">
                  <c:v>45307</c:v>
                </c:pt>
                <c:pt idx="719">
                  <c:v>45308</c:v>
                </c:pt>
                <c:pt idx="720">
                  <c:v>45309</c:v>
                </c:pt>
                <c:pt idx="721">
                  <c:v>45310</c:v>
                </c:pt>
                <c:pt idx="722">
                  <c:v>45313</c:v>
                </c:pt>
                <c:pt idx="723">
                  <c:v>45314</c:v>
                </c:pt>
                <c:pt idx="724">
                  <c:v>45315</c:v>
                </c:pt>
                <c:pt idx="725">
                  <c:v>45316</c:v>
                </c:pt>
                <c:pt idx="726">
                  <c:v>45317</c:v>
                </c:pt>
                <c:pt idx="727">
                  <c:v>45320</c:v>
                </c:pt>
                <c:pt idx="728">
                  <c:v>45321</c:v>
                </c:pt>
                <c:pt idx="729">
                  <c:v>45322</c:v>
                </c:pt>
                <c:pt idx="730">
                  <c:v>45323</c:v>
                </c:pt>
                <c:pt idx="731">
                  <c:v>45324</c:v>
                </c:pt>
                <c:pt idx="732">
                  <c:v>45327</c:v>
                </c:pt>
                <c:pt idx="733">
                  <c:v>45328</c:v>
                </c:pt>
                <c:pt idx="734">
                  <c:v>45329</c:v>
                </c:pt>
                <c:pt idx="735">
                  <c:v>45337</c:v>
                </c:pt>
                <c:pt idx="736">
                  <c:v>45338</c:v>
                </c:pt>
                <c:pt idx="737">
                  <c:v>45341</c:v>
                </c:pt>
                <c:pt idx="738">
                  <c:v>45342</c:v>
                </c:pt>
                <c:pt idx="739">
                  <c:v>45343</c:v>
                </c:pt>
                <c:pt idx="740">
                  <c:v>45344</c:v>
                </c:pt>
                <c:pt idx="741">
                  <c:v>45345</c:v>
                </c:pt>
                <c:pt idx="742">
                  <c:v>45348</c:v>
                </c:pt>
                <c:pt idx="743">
                  <c:v>45349</c:v>
                </c:pt>
                <c:pt idx="744">
                  <c:v>45350</c:v>
                </c:pt>
                <c:pt idx="745">
                  <c:v>45351</c:v>
                </c:pt>
                <c:pt idx="746">
                  <c:v>45352</c:v>
                </c:pt>
                <c:pt idx="747">
                  <c:v>45355</c:v>
                </c:pt>
                <c:pt idx="748">
                  <c:v>45356</c:v>
                </c:pt>
                <c:pt idx="749">
                  <c:v>45357</c:v>
                </c:pt>
                <c:pt idx="750">
                  <c:v>45358</c:v>
                </c:pt>
                <c:pt idx="751">
                  <c:v>45359</c:v>
                </c:pt>
                <c:pt idx="752">
                  <c:v>45362</c:v>
                </c:pt>
                <c:pt idx="753">
                  <c:v>45363</c:v>
                </c:pt>
                <c:pt idx="754">
                  <c:v>45364</c:v>
                </c:pt>
                <c:pt idx="755">
                  <c:v>45365</c:v>
                </c:pt>
                <c:pt idx="756">
                  <c:v>45366</c:v>
                </c:pt>
                <c:pt idx="757">
                  <c:v>45369</c:v>
                </c:pt>
                <c:pt idx="758">
                  <c:v>45370</c:v>
                </c:pt>
                <c:pt idx="759">
                  <c:v>45371</c:v>
                </c:pt>
                <c:pt idx="760">
                  <c:v>45372</c:v>
                </c:pt>
                <c:pt idx="761">
                  <c:v>45373</c:v>
                </c:pt>
                <c:pt idx="762">
                  <c:v>45376</c:v>
                </c:pt>
                <c:pt idx="763">
                  <c:v>45377</c:v>
                </c:pt>
                <c:pt idx="764">
                  <c:v>45378</c:v>
                </c:pt>
                <c:pt idx="765">
                  <c:v>45379</c:v>
                </c:pt>
                <c:pt idx="766">
                  <c:v>45380</c:v>
                </c:pt>
                <c:pt idx="767">
                  <c:v>45383</c:v>
                </c:pt>
                <c:pt idx="768">
                  <c:v>45384</c:v>
                </c:pt>
                <c:pt idx="769">
                  <c:v>45385</c:v>
                </c:pt>
                <c:pt idx="770">
                  <c:v>45386</c:v>
                </c:pt>
                <c:pt idx="771">
                  <c:v>45387</c:v>
                </c:pt>
                <c:pt idx="772">
                  <c:v>45390</c:v>
                </c:pt>
                <c:pt idx="773">
                  <c:v>45391</c:v>
                </c:pt>
                <c:pt idx="774">
                  <c:v>45392</c:v>
                </c:pt>
                <c:pt idx="775">
                  <c:v>45393</c:v>
                </c:pt>
                <c:pt idx="776">
                  <c:v>45394</c:v>
                </c:pt>
                <c:pt idx="777">
                  <c:v>45397</c:v>
                </c:pt>
                <c:pt idx="778">
                  <c:v>45398</c:v>
                </c:pt>
                <c:pt idx="779">
                  <c:v>45399</c:v>
                </c:pt>
                <c:pt idx="780">
                  <c:v>45401</c:v>
                </c:pt>
                <c:pt idx="781">
                  <c:v>45404</c:v>
                </c:pt>
                <c:pt idx="782">
                  <c:v>45405</c:v>
                </c:pt>
                <c:pt idx="783">
                  <c:v>45406</c:v>
                </c:pt>
                <c:pt idx="784">
                  <c:v>45407</c:v>
                </c:pt>
                <c:pt idx="785">
                  <c:v>45408</c:v>
                </c:pt>
                <c:pt idx="786">
                  <c:v>45414</c:v>
                </c:pt>
                <c:pt idx="787">
                  <c:v>45415</c:v>
                </c:pt>
                <c:pt idx="788">
                  <c:v>45418</c:v>
                </c:pt>
                <c:pt idx="789">
                  <c:v>45419</c:v>
                </c:pt>
                <c:pt idx="790">
                  <c:v>45420</c:v>
                </c:pt>
                <c:pt idx="791">
                  <c:v>45421</c:v>
                </c:pt>
                <c:pt idx="792">
                  <c:v>45422</c:v>
                </c:pt>
                <c:pt idx="793">
                  <c:v>45425</c:v>
                </c:pt>
                <c:pt idx="794">
                  <c:v>45426</c:v>
                </c:pt>
                <c:pt idx="795">
                  <c:v>45427</c:v>
                </c:pt>
                <c:pt idx="796">
                  <c:v>45428</c:v>
                </c:pt>
                <c:pt idx="797">
                  <c:v>45429</c:v>
                </c:pt>
                <c:pt idx="798">
                  <c:v>45432</c:v>
                </c:pt>
                <c:pt idx="799">
                  <c:v>45433</c:v>
                </c:pt>
                <c:pt idx="800">
                  <c:v>45434</c:v>
                </c:pt>
                <c:pt idx="801">
                  <c:v>45435</c:v>
                </c:pt>
                <c:pt idx="802">
                  <c:v>45436</c:v>
                </c:pt>
                <c:pt idx="803">
                  <c:v>45439</c:v>
                </c:pt>
                <c:pt idx="804">
                  <c:v>45440</c:v>
                </c:pt>
                <c:pt idx="805">
                  <c:v>45441</c:v>
                </c:pt>
                <c:pt idx="806">
                  <c:v>45442</c:v>
                </c:pt>
                <c:pt idx="807">
                  <c:v>45443</c:v>
                </c:pt>
                <c:pt idx="808">
                  <c:v>45446</c:v>
                </c:pt>
                <c:pt idx="809">
                  <c:v>45447</c:v>
                </c:pt>
                <c:pt idx="810">
                  <c:v>45448</c:v>
                </c:pt>
                <c:pt idx="811">
                  <c:v>45449</c:v>
                </c:pt>
                <c:pt idx="812">
                  <c:v>45450</c:v>
                </c:pt>
                <c:pt idx="813">
                  <c:v>45453</c:v>
                </c:pt>
                <c:pt idx="814">
                  <c:v>45454</c:v>
                </c:pt>
                <c:pt idx="815">
                  <c:v>45455</c:v>
                </c:pt>
                <c:pt idx="816">
                  <c:v>45456</c:v>
                </c:pt>
                <c:pt idx="817">
                  <c:v>45457</c:v>
                </c:pt>
                <c:pt idx="818">
                  <c:v>45460</c:v>
                </c:pt>
                <c:pt idx="819">
                  <c:v>45461</c:v>
                </c:pt>
                <c:pt idx="820">
                  <c:v>45462</c:v>
                </c:pt>
                <c:pt idx="821">
                  <c:v>45463</c:v>
                </c:pt>
                <c:pt idx="822">
                  <c:v>45464</c:v>
                </c:pt>
                <c:pt idx="823">
                  <c:v>45467</c:v>
                </c:pt>
                <c:pt idx="824">
                  <c:v>45468</c:v>
                </c:pt>
                <c:pt idx="825">
                  <c:v>45469</c:v>
                </c:pt>
                <c:pt idx="826">
                  <c:v>45470</c:v>
                </c:pt>
                <c:pt idx="827">
                  <c:v>45471</c:v>
                </c:pt>
                <c:pt idx="828">
                  <c:v>45474</c:v>
                </c:pt>
                <c:pt idx="829">
                  <c:v>45475</c:v>
                </c:pt>
                <c:pt idx="830">
                  <c:v>45476</c:v>
                </c:pt>
                <c:pt idx="831">
                  <c:v>45477</c:v>
                </c:pt>
                <c:pt idx="832">
                  <c:v>45478</c:v>
                </c:pt>
                <c:pt idx="833">
                  <c:v>45481</c:v>
                </c:pt>
                <c:pt idx="834">
                  <c:v>45482</c:v>
                </c:pt>
                <c:pt idx="835">
                  <c:v>45483</c:v>
                </c:pt>
                <c:pt idx="836">
                  <c:v>45484</c:v>
                </c:pt>
                <c:pt idx="837">
                  <c:v>45485</c:v>
                </c:pt>
                <c:pt idx="838">
                  <c:v>45488</c:v>
                </c:pt>
                <c:pt idx="839">
                  <c:v>45489</c:v>
                </c:pt>
                <c:pt idx="840">
                  <c:v>45490</c:v>
                </c:pt>
                <c:pt idx="841">
                  <c:v>45491</c:v>
                </c:pt>
                <c:pt idx="842">
                  <c:v>45492</c:v>
                </c:pt>
                <c:pt idx="843">
                  <c:v>45495</c:v>
                </c:pt>
                <c:pt idx="844">
                  <c:v>45496</c:v>
                </c:pt>
                <c:pt idx="845">
                  <c:v>45497</c:v>
                </c:pt>
                <c:pt idx="846">
                  <c:v>45498</c:v>
                </c:pt>
                <c:pt idx="847">
                  <c:v>45499</c:v>
                </c:pt>
                <c:pt idx="848">
                  <c:v>45502</c:v>
                </c:pt>
                <c:pt idx="849">
                  <c:v>45503</c:v>
                </c:pt>
                <c:pt idx="850">
                  <c:v>45504</c:v>
                </c:pt>
                <c:pt idx="851">
                  <c:v>45505</c:v>
                </c:pt>
                <c:pt idx="852">
                  <c:v>45506</c:v>
                </c:pt>
                <c:pt idx="853">
                  <c:v>45509</c:v>
                </c:pt>
                <c:pt idx="854">
                  <c:v>45510</c:v>
                </c:pt>
                <c:pt idx="855">
                  <c:v>45511</c:v>
                </c:pt>
                <c:pt idx="856">
                  <c:v>45512</c:v>
                </c:pt>
                <c:pt idx="857">
                  <c:v>45513</c:v>
                </c:pt>
                <c:pt idx="858">
                  <c:v>45516</c:v>
                </c:pt>
                <c:pt idx="859">
                  <c:v>45517</c:v>
                </c:pt>
                <c:pt idx="860">
                  <c:v>45518</c:v>
                </c:pt>
                <c:pt idx="861">
                  <c:v>45519</c:v>
                </c:pt>
                <c:pt idx="862">
                  <c:v>45520</c:v>
                </c:pt>
                <c:pt idx="863">
                  <c:v>45523</c:v>
                </c:pt>
                <c:pt idx="864">
                  <c:v>45524</c:v>
                </c:pt>
                <c:pt idx="865">
                  <c:v>45525</c:v>
                </c:pt>
                <c:pt idx="866">
                  <c:v>45526</c:v>
                </c:pt>
                <c:pt idx="867">
                  <c:v>45527</c:v>
                </c:pt>
                <c:pt idx="868">
                  <c:v>45530</c:v>
                </c:pt>
                <c:pt idx="869">
                  <c:v>45531</c:v>
                </c:pt>
                <c:pt idx="870">
                  <c:v>45532</c:v>
                </c:pt>
                <c:pt idx="871">
                  <c:v>45533</c:v>
                </c:pt>
                <c:pt idx="872">
                  <c:v>45534</c:v>
                </c:pt>
                <c:pt idx="873">
                  <c:v>45539</c:v>
                </c:pt>
                <c:pt idx="874">
                  <c:v>45540</c:v>
                </c:pt>
                <c:pt idx="875">
                  <c:v>45541</c:v>
                </c:pt>
                <c:pt idx="876">
                  <c:v>45544</c:v>
                </c:pt>
                <c:pt idx="877">
                  <c:v>45545</c:v>
                </c:pt>
                <c:pt idx="878">
                  <c:v>45546</c:v>
                </c:pt>
                <c:pt idx="879">
                  <c:v>45547</c:v>
                </c:pt>
                <c:pt idx="880">
                  <c:v>45548</c:v>
                </c:pt>
                <c:pt idx="881">
                  <c:v>45551</c:v>
                </c:pt>
                <c:pt idx="882">
                  <c:v>45552</c:v>
                </c:pt>
                <c:pt idx="883">
                  <c:v>45553</c:v>
                </c:pt>
                <c:pt idx="884">
                  <c:v>45554</c:v>
                </c:pt>
                <c:pt idx="885">
                  <c:v>45555</c:v>
                </c:pt>
                <c:pt idx="886">
                  <c:v>45558</c:v>
                </c:pt>
                <c:pt idx="887">
                  <c:v>45559</c:v>
                </c:pt>
                <c:pt idx="888">
                  <c:v>45560</c:v>
                </c:pt>
                <c:pt idx="889">
                  <c:v>45561</c:v>
                </c:pt>
                <c:pt idx="890">
                  <c:v>45562</c:v>
                </c:pt>
                <c:pt idx="891">
                  <c:v>45565</c:v>
                </c:pt>
                <c:pt idx="892">
                  <c:v>45566</c:v>
                </c:pt>
                <c:pt idx="893">
                  <c:v>45567</c:v>
                </c:pt>
                <c:pt idx="894">
                  <c:v>45568</c:v>
                </c:pt>
                <c:pt idx="895">
                  <c:v>45569</c:v>
                </c:pt>
                <c:pt idx="896">
                  <c:v>45572</c:v>
                </c:pt>
                <c:pt idx="897">
                  <c:v>45573</c:v>
                </c:pt>
                <c:pt idx="898">
                  <c:v>45574</c:v>
                </c:pt>
                <c:pt idx="899">
                  <c:v>45575</c:v>
                </c:pt>
                <c:pt idx="900">
                  <c:v>45576</c:v>
                </c:pt>
                <c:pt idx="901">
                  <c:v>45579</c:v>
                </c:pt>
                <c:pt idx="902">
                  <c:v>45580</c:v>
                </c:pt>
                <c:pt idx="903">
                  <c:v>45581</c:v>
                </c:pt>
                <c:pt idx="904">
                  <c:v>45582</c:v>
                </c:pt>
                <c:pt idx="905">
                  <c:v>45583</c:v>
                </c:pt>
                <c:pt idx="906">
                  <c:v>45586</c:v>
                </c:pt>
                <c:pt idx="907">
                  <c:v>45587</c:v>
                </c:pt>
                <c:pt idx="908">
                  <c:v>45588</c:v>
                </c:pt>
                <c:pt idx="909">
                  <c:v>45589</c:v>
                </c:pt>
                <c:pt idx="910">
                  <c:v>45590</c:v>
                </c:pt>
                <c:pt idx="911">
                  <c:v>45593</c:v>
                </c:pt>
                <c:pt idx="912">
                  <c:v>45594</c:v>
                </c:pt>
                <c:pt idx="913">
                  <c:v>45595</c:v>
                </c:pt>
                <c:pt idx="914">
                  <c:v>45596</c:v>
                </c:pt>
                <c:pt idx="915">
                  <c:v>45597</c:v>
                </c:pt>
                <c:pt idx="916">
                  <c:v>45600</c:v>
                </c:pt>
                <c:pt idx="917">
                  <c:v>45601</c:v>
                </c:pt>
                <c:pt idx="918">
                  <c:v>45602</c:v>
                </c:pt>
                <c:pt idx="919">
                  <c:v>45603</c:v>
                </c:pt>
                <c:pt idx="920">
                  <c:v>45604</c:v>
                </c:pt>
                <c:pt idx="921">
                  <c:v>45607</c:v>
                </c:pt>
                <c:pt idx="922">
                  <c:v>45608</c:v>
                </c:pt>
                <c:pt idx="923">
                  <c:v>45609</c:v>
                </c:pt>
                <c:pt idx="924">
                  <c:v>45610</c:v>
                </c:pt>
                <c:pt idx="925">
                  <c:v>45611</c:v>
                </c:pt>
                <c:pt idx="926">
                  <c:v>45614</c:v>
                </c:pt>
                <c:pt idx="927">
                  <c:v>45615</c:v>
                </c:pt>
                <c:pt idx="928">
                  <c:v>45616</c:v>
                </c:pt>
                <c:pt idx="929">
                  <c:v>45617</c:v>
                </c:pt>
                <c:pt idx="930">
                  <c:v>45618</c:v>
                </c:pt>
                <c:pt idx="931">
                  <c:v>45621</c:v>
                </c:pt>
                <c:pt idx="932">
                  <c:v>45622</c:v>
                </c:pt>
                <c:pt idx="933">
                  <c:v>45623</c:v>
                </c:pt>
                <c:pt idx="934">
                  <c:v>45624</c:v>
                </c:pt>
                <c:pt idx="935">
                  <c:v>45625</c:v>
                </c:pt>
                <c:pt idx="936">
                  <c:v>45628</c:v>
                </c:pt>
                <c:pt idx="937">
                  <c:v>45629</c:v>
                </c:pt>
                <c:pt idx="938">
                  <c:v>45630</c:v>
                </c:pt>
                <c:pt idx="939">
                  <c:v>45631</c:v>
                </c:pt>
                <c:pt idx="940">
                  <c:v>45632</c:v>
                </c:pt>
                <c:pt idx="941">
                  <c:v>45635</c:v>
                </c:pt>
                <c:pt idx="942">
                  <c:v>45636</c:v>
                </c:pt>
                <c:pt idx="943">
                  <c:v>45637</c:v>
                </c:pt>
                <c:pt idx="944">
                  <c:v>45638</c:v>
                </c:pt>
                <c:pt idx="945">
                  <c:v>45639</c:v>
                </c:pt>
                <c:pt idx="946">
                  <c:v>45642</c:v>
                </c:pt>
                <c:pt idx="947">
                  <c:v>45643</c:v>
                </c:pt>
                <c:pt idx="948">
                  <c:v>45644</c:v>
                </c:pt>
                <c:pt idx="949">
                  <c:v>45645</c:v>
                </c:pt>
                <c:pt idx="950">
                  <c:v>45646</c:v>
                </c:pt>
                <c:pt idx="951">
                  <c:v>45649</c:v>
                </c:pt>
                <c:pt idx="952">
                  <c:v>45650</c:v>
                </c:pt>
                <c:pt idx="953">
                  <c:v>45651</c:v>
                </c:pt>
                <c:pt idx="954">
                  <c:v>45652</c:v>
                </c:pt>
                <c:pt idx="955">
                  <c:v>45653</c:v>
                </c:pt>
                <c:pt idx="956">
                  <c:v>45656</c:v>
                </c:pt>
                <c:pt idx="957">
                  <c:v>45657</c:v>
                </c:pt>
                <c:pt idx="958">
                  <c:v>45659</c:v>
                </c:pt>
                <c:pt idx="959">
                  <c:v>45660</c:v>
                </c:pt>
                <c:pt idx="960">
                  <c:v>45663</c:v>
                </c:pt>
                <c:pt idx="961">
                  <c:v>45664</c:v>
                </c:pt>
                <c:pt idx="962">
                  <c:v>45665</c:v>
                </c:pt>
                <c:pt idx="963">
                  <c:v>45666</c:v>
                </c:pt>
                <c:pt idx="964">
                  <c:v>45667</c:v>
                </c:pt>
                <c:pt idx="965">
                  <c:v>45670</c:v>
                </c:pt>
                <c:pt idx="966">
                  <c:v>45671</c:v>
                </c:pt>
                <c:pt idx="967">
                  <c:v>45672</c:v>
                </c:pt>
                <c:pt idx="968">
                  <c:v>45673</c:v>
                </c:pt>
                <c:pt idx="969">
                  <c:v>45674</c:v>
                </c:pt>
                <c:pt idx="970">
                  <c:v>45677</c:v>
                </c:pt>
                <c:pt idx="971">
                  <c:v>45678</c:v>
                </c:pt>
                <c:pt idx="972">
                  <c:v>45679</c:v>
                </c:pt>
                <c:pt idx="973">
                  <c:v>45680</c:v>
                </c:pt>
                <c:pt idx="974">
                  <c:v>45681</c:v>
                </c:pt>
                <c:pt idx="975">
                  <c:v>45691</c:v>
                </c:pt>
                <c:pt idx="976">
                  <c:v>45692</c:v>
                </c:pt>
                <c:pt idx="977">
                  <c:v>45693</c:v>
                </c:pt>
                <c:pt idx="978">
                  <c:v>45694</c:v>
                </c:pt>
                <c:pt idx="979">
                  <c:v>45695</c:v>
                </c:pt>
                <c:pt idx="980">
                  <c:v>45698</c:v>
                </c:pt>
                <c:pt idx="981">
                  <c:v>45699</c:v>
                </c:pt>
                <c:pt idx="982">
                  <c:v>45700</c:v>
                </c:pt>
                <c:pt idx="983">
                  <c:v>45701</c:v>
                </c:pt>
                <c:pt idx="984">
                  <c:v>45702</c:v>
                </c:pt>
                <c:pt idx="985">
                  <c:v>45705</c:v>
                </c:pt>
                <c:pt idx="986">
                  <c:v>45706</c:v>
                </c:pt>
                <c:pt idx="987">
                  <c:v>45707</c:v>
                </c:pt>
                <c:pt idx="988">
                  <c:v>45708</c:v>
                </c:pt>
                <c:pt idx="989">
                  <c:v>45709</c:v>
                </c:pt>
                <c:pt idx="990">
                  <c:v>45712</c:v>
                </c:pt>
                <c:pt idx="991">
                  <c:v>45713</c:v>
                </c:pt>
                <c:pt idx="992">
                  <c:v>45714</c:v>
                </c:pt>
                <c:pt idx="993">
                  <c:v>45715</c:v>
                </c:pt>
                <c:pt idx="994">
                  <c:v>45716</c:v>
                </c:pt>
                <c:pt idx="995">
                  <c:v>45719</c:v>
                </c:pt>
                <c:pt idx="996">
                  <c:v>45720</c:v>
                </c:pt>
                <c:pt idx="997">
                  <c:v>45721</c:v>
                </c:pt>
                <c:pt idx="998">
                  <c:v>45722</c:v>
                </c:pt>
                <c:pt idx="999">
                  <c:v>45723</c:v>
                </c:pt>
                <c:pt idx="1000">
                  <c:v>45726</c:v>
                </c:pt>
                <c:pt idx="1001">
                  <c:v>45727</c:v>
                </c:pt>
                <c:pt idx="1002">
                  <c:v>45728</c:v>
                </c:pt>
                <c:pt idx="1003">
                  <c:v>45729</c:v>
                </c:pt>
                <c:pt idx="1004">
                  <c:v>45730</c:v>
                </c:pt>
                <c:pt idx="1005">
                  <c:v>45733</c:v>
                </c:pt>
                <c:pt idx="1006">
                  <c:v>45734</c:v>
                </c:pt>
                <c:pt idx="1007">
                  <c:v>45735</c:v>
                </c:pt>
                <c:pt idx="1008">
                  <c:v>45736</c:v>
                </c:pt>
                <c:pt idx="1009">
                  <c:v>45737</c:v>
                </c:pt>
                <c:pt idx="1010">
                  <c:v>45740</c:v>
                </c:pt>
                <c:pt idx="1011">
                  <c:v>45741</c:v>
                </c:pt>
                <c:pt idx="1012">
                  <c:v>45742</c:v>
                </c:pt>
                <c:pt idx="1013">
                  <c:v>45743</c:v>
                </c:pt>
                <c:pt idx="1014">
                  <c:v>45744</c:v>
                </c:pt>
                <c:pt idx="1015">
                  <c:v>45747</c:v>
                </c:pt>
                <c:pt idx="1016">
                  <c:v>45748</c:v>
                </c:pt>
                <c:pt idx="1017">
                  <c:v>45749</c:v>
                </c:pt>
                <c:pt idx="1018">
                  <c:v>45750</c:v>
                </c:pt>
                <c:pt idx="1019">
                  <c:v>45751</c:v>
                </c:pt>
                <c:pt idx="1020">
                  <c:v>45755</c:v>
                </c:pt>
                <c:pt idx="1021">
                  <c:v>45756</c:v>
                </c:pt>
                <c:pt idx="1022">
                  <c:v>45757</c:v>
                </c:pt>
                <c:pt idx="1023">
                  <c:v>45758</c:v>
                </c:pt>
                <c:pt idx="1024">
                  <c:v>45761</c:v>
                </c:pt>
                <c:pt idx="1025">
                  <c:v>45762</c:v>
                </c:pt>
                <c:pt idx="1026">
                  <c:v>45763</c:v>
                </c:pt>
                <c:pt idx="1027">
                  <c:v>45764</c:v>
                </c:pt>
                <c:pt idx="1028">
                  <c:v>45765</c:v>
                </c:pt>
                <c:pt idx="1029">
                  <c:v>45768</c:v>
                </c:pt>
                <c:pt idx="1030">
                  <c:v>45769</c:v>
                </c:pt>
                <c:pt idx="1031">
                  <c:v>45770</c:v>
                </c:pt>
                <c:pt idx="1032">
                  <c:v>45771</c:v>
                </c:pt>
                <c:pt idx="1033">
                  <c:v>45772</c:v>
                </c:pt>
                <c:pt idx="1034">
                  <c:v>45775</c:v>
                </c:pt>
                <c:pt idx="1035">
                  <c:v>45776</c:v>
                </c:pt>
                <c:pt idx="1036">
                  <c:v>45782</c:v>
                </c:pt>
                <c:pt idx="1037">
                  <c:v>45783</c:v>
                </c:pt>
                <c:pt idx="1038">
                  <c:v>45784</c:v>
                </c:pt>
                <c:pt idx="1039">
                  <c:v>45785</c:v>
                </c:pt>
                <c:pt idx="1040">
                  <c:v>45786</c:v>
                </c:pt>
                <c:pt idx="1041">
                  <c:v>45789</c:v>
                </c:pt>
                <c:pt idx="1042">
                  <c:v>45790</c:v>
                </c:pt>
                <c:pt idx="1043">
                  <c:v>45791</c:v>
                </c:pt>
                <c:pt idx="1044">
                  <c:v>45792</c:v>
                </c:pt>
                <c:pt idx="1045">
                  <c:v>45793</c:v>
                </c:pt>
                <c:pt idx="1046">
                  <c:v>45796</c:v>
                </c:pt>
                <c:pt idx="1047">
                  <c:v>45797</c:v>
                </c:pt>
                <c:pt idx="1048">
                  <c:v>45798</c:v>
                </c:pt>
                <c:pt idx="1049">
                  <c:v>45799</c:v>
                </c:pt>
                <c:pt idx="1050">
                  <c:v>45800</c:v>
                </c:pt>
                <c:pt idx="1051">
                  <c:v>45803</c:v>
                </c:pt>
                <c:pt idx="1052">
                  <c:v>45804</c:v>
                </c:pt>
                <c:pt idx="1053">
                  <c:v>45805</c:v>
                </c:pt>
                <c:pt idx="1054">
                  <c:v>45806</c:v>
                </c:pt>
                <c:pt idx="1055">
                  <c:v>45807</c:v>
                </c:pt>
                <c:pt idx="1056">
                  <c:v>45810</c:v>
                </c:pt>
                <c:pt idx="1057">
                  <c:v>45811</c:v>
                </c:pt>
                <c:pt idx="1058">
                  <c:v>45812</c:v>
                </c:pt>
                <c:pt idx="1059">
                  <c:v>45813</c:v>
                </c:pt>
                <c:pt idx="1060">
                  <c:v>45814</c:v>
                </c:pt>
                <c:pt idx="1061">
                  <c:v>45817</c:v>
                </c:pt>
                <c:pt idx="1062">
                  <c:v>45818</c:v>
                </c:pt>
                <c:pt idx="1063">
                  <c:v>45819</c:v>
                </c:pt>
                <c:pt idx="1064">
                  <c:v>45820</c:v>
                </c:pt>
                <c:pt idx="1065">
                  <c:v>45821</c:v>
                </c:pt>
                <c:pt idx="1066">
                  <c:v>45824</c:v>
                </c:pt>
                <c:pt idx="1067">
                  <c:v>45825</c:v>
                </c:pt>
                <c:pt idx="1068">
                  <c:v>45826</c:v>
                </c:pt>
                <c:pt idx="1069">
                  <c:v>45827</c:v>
                </c:pt>
                <c:pt idx="1070">
                  <c:v>45828</c:v>
                </c:pt>
                <c:pt idx="1071">
                  <c:v>45831</c:v>
                </c:pt>
                <c:pt idx="1072">
                  <c:v>45832</c:v>
                </c:pt>
                <c:pt idx="1073">
                  <c:v>45833</c:v>
                </c:pt>
                <c:pt idx="1074">
                  <c:v>45834</c:v>
                </c:pt>
                <c:pt idx="1075">
                  <c:v>45835</c:v>
                </c:pt>
                <c:pt idx="1076">
                  <c:v>45838</c:v>
                </c:pt>
                <c:pt idx="1077">
                  <c:v>45839</c:v>
                </c:pt>
                <c:pt idx="1078">
                  <c:v>45840</c:v>
                </c:pt>
                <c:pt idx="1079">
                  <c:v>45841</c:v>
                </c:pt>
                <c:pt idx="1080">
                  <c:v>45842</c:v>
                </c:pt>
                <c:pt idx="1081">
                  <c:v>45845</c:v>
                </c:pt>
                <c:pt idx="1082">
                  <c:v>45846</c:v>
                </c:pt>
                <c:pt idx="1083">
                  <c:v>45847</c:v>
                </c:pt>
                <c:pt idx="1084">
                  <c:v>45848</c:v>
                </c:pt>
                <c:pt idx="1085">
                  <c:v>45849</c:v>
                </c:pt>
                <c:pt idx="1086">
                  <c:v>45852</c:v>
                </c:pt>
                <c:pt idx="1087">
                  <c:v>45853</c:v>
                </c:pt>
                <c:pt idx="1088">
                  <c:v>45854</c:v>
                </c:pt>
                <c:pt idx="1089">
                  <c:v>45855</c:v>
                </c:pt>
                <c:pt idx="1090">
                  <c:v>45856</c:v>
                </c:pt>
                <c:pt idx="1091">
                  <c:v>45859</c:v>
                </c:pt>
                <c:pt idx="1092">
                  <c:v>45860</c:v>
                </c:pt>
                <c:pt idx="1093">
                  <c:v>45861</c:v>
                </c:pt>
                <c:pt idx="1094">
                  <c:v>45862</c:v>
                </c:pt>
                <c:pt idx="1095">
                  <c:v>45863</c:v>
                </c:pt>
                <c:pt idx="1096">
                  <c:v>45866</c:v>
                </c:pt>
                <c:pt idx="1097">
                  <c:v>45867</c:v>
                </c:pt>
                <c:pt idx="1098">
                  <c:v>45868</c:v>
                </c:pt>
                <c:pt idx="1099">
                  <c:v>45869</c:v>
                </c:pt>
                <c:pt idx="1100">
                  <c:v>45870</c:v>
                </c:pt>
                <c:pt idx="1101">
                  <c:v>45873</c:v>
                </c:pt>
                <c:pt idx="1102">
                  <c:v>45874</c:v>
                </c:pt>
                <c:pt idx="1103">
                  <c:v>45875</c:v>
                </c:pt>
                <c:pt idx="1104">
                  <c:v>45876</c:v>
                </c:pt>
                <c:pt idx="1105">
                  <c:v>45877</c:v>
                </c:pt>
                <c:pt idx="1106">
                  <c:v>45880</c:v>
                </c:pt>
                <c:pt idx="1107">
                  <c:v>45881</c:v>
                </c:pt>
                <c:pt idx="1108">
                  <c:v>45882</c:v>
                </c:pt>
                <c:pt idx="1109">
                  <c:v>45883</c:v>
                </c:pt>
                <c:pt idx="1110">
                  <c:v>45884</c:v>
                </c:pt>
                <c:pt idx="1111">
                  <c:v>45887</c:v>
                </c:pt>
                <c:pt idx="1112">
                  <c:v>45888</c:v>
                </c:pt>
                <c:pt idx="1113">
                  <c:v>45889</c:v>
                </c:pt>
                <c:pt idx="1114">
                  <c:v>45890</c:v>
                </c:pt>
                <c:pt idx="1115">
                  <c:v>45891</c:v>
                </c:pt>
                <c:pt idx="1116">
                  <c:v>45894</c:v>
                </c:pt>
                <c:pt idx="1117">
                  <c:v>45895</c:v>
                </c:pt>
                <c:pt idx="1118">
                  <c:v>45896</c:v>
                </c:pt>
                <c:pt idx="1119">
                  <c:v>45897</c:v>
                </c:pt>
                <c:pt idx="1120">
                  <c:v>45898</c:v>
                </c:pt>
                <c:pt idx="1121">
                  <c:v>45903</c:v>
                </c:pt>
                <c:pt idx="1122">
                  <c:v>45904</c:v>
                </c:pt>
                <c:pt idx="1123">
                  <c:v>45905</c:v>
                </c:pt>
                <c:pt idx="1124">
                  <c:v>45908</c:v>
                </c:pt>
                <c:pt idx="1125">
                  <c:v>45909</c:v>
                </c:pt>
                <c:pt idx="1126">
                  <c:v>45910</c:v>
                </c:pt>
                <c:pt idx="1127">
                  <c:v>45911</c:v>
                </c:pt>
                <c:pt idx="1128">
                  <c:v>45912</c:v>
                </c:pt>
                <c:pt idx="1129">
                  <c:v>45915</c:v>
                </c:pt>
                <c:pt idx="1130">
                  <c:v>45916</c:v>
                </c:pt>
                <c:pt idx="1131">
                  <c:v>45917</c:v>
                </c:pt>
                <c:pt idx="1132">
                  <c:v>45918</c:v>
                </c:pt>
                <c:pt idx="1133">
                  <c:v>45919</c:v>
                </c:pt>
                <c:pt idx="1134">
                  <c:v>45922</c:v>
                </c:pt>
                <c:pt idx="1135">
                  <c:v>45923</c:v>
                </c:pt>
                <c:pt idx="1136">
                  <c:v>45924</c:v>
                </c:pt>
                <c:pt idx="1137">
                  <c:v>45925</c:v>
                </c:pt>
                <c:pt idx="1138">
                  <c:v>45926</c:v>
                </c:pt>
                <c:pt idx="1139">
                  <c:v>45929</c:v>
                </c:pt>
                <c:pt idx="1140">
                  <c:v>45930</c:v>
                </c:pt>
                <c:pt idx="1141">
                  <c:v>45931</c:v>
                </c:pt>
                <c:pt idx="1142">
                  <c:v>45932</c:v>
                </c:pt>
                <c:pt idx="1143">
                  <c:v>45933</c:v>
                </c:pt>
                <c:pt idx="1144">
                  <c:v>45936</c:v>
                </c:pt>
                <c:pt idx="1145">
                  <c:v>45937</c:v>
                </c:pt>
                <c:pt idx="1146">
                  <c:v>45938</c:v>
                </c:pt>
                <c:pt idx="1147">
                  <c:v>45939</c:v>
                </c:pt>
                <c:pt idx="1148">
                  <c:v>45940</c:v>
                </c:pt>
                <c:pt idx="1149">
                  <c:v>45943</c:v>
                </c:pt>
                <c:pt idx="1150">
                  <c:v>45944</c:v>
                </c:pt>
                <c:pt idx="1151">
                  <c:v>45945</c:v>
                </c:pt>
                <c:pt idx="1152">
                  <c:v>45946</c:v>
                </c:pt>
                <c:pt idx="1153">
                  <c:v>45947</c:v>
                </c:pt>
                <c:pt idx="1154">
                  <c:v>45950</c:v>
                </c:pt>
                <c:pt idx="1155">
                  <c:v>45951</c:v>
                </c:pt>
                <c:pt idx="1156">
                  <c:v>45952</c:v>
                </c:pt>
                <c:pt idx="1157">
                  <c:v>45953</c:v>
                </c:pt>
                <c:pt idx="1158">
                  <c:v>45954</c:v>
                </c:pt>
                <c:pt idx="1159">
                  <c:v>45957</c:v>
                </c:pt>
                <c:pt idx="1160">
                  <c:v>45958</c:v>
                </c:pt>
                <c:pt idx="1161">
                  <c:v>45959</c:v>
                </c:pt>
                <c:pt idx="1162">
                  <c:v>45960</c:v>
                </c:pt>
                <c:pt idx="1163">
                  <c:v>45961</c:v>
                </c:pt>
                <c:pt idx="1164">
                  <c:v>45964</c:v>
                </c:pt>
                <c:pt idx="1165">
                  <c:v>45965</c:v>
                </c:pt>
                <c:pt idx="1166">
                  <c:v>45966</c:v>
                </c:pt>
                <c:pt idx="1167">
                  <c:v>45967</c:v>
                </c:pt>
                <c:pt idx="1168">
                  <c:v>45968</c:v>
                </c:pt>
                <c:pt idx="1169">
                  <c:v>45971</c:v>
                </c:pt>
                <c:pt idx="1170">
                  <c:v>45972</c:v>
                </c:pt>
                <c:pt idx="1171">
                  <c:v>45973</c:v>
                </c:pt>
                <c:pt idx="1172">
                  <c:v>45974</c:v>
                </c:pt>
                <c:pt idx="1173">
                  <c:v>45975</c:v>
                </c:pt>
                <c:pt idx="1174">
                  <c:v>45978</c:v>
                </c:pt>
                <c:pt idx="1175">
                  <c:v>45979</c:v>
                </c:pt>
                <c:pt idx="1176">
                  <c:v>45980</c:v>
                </c:pt>
                <c:pt idx="1177">
                  <c:v>45981</c:v>
                </c:pt>
                <c:pt idx="1178">
                  <c:v>45982</c:v>
                </c:pt>
                <c:pt idx="1179">
                  <c:v>45985</c:v>
                </c:pt>
                <c:pt idx="1180">
                  <c:v>45986</c:v>
                </c:pt>
                <c:pt idx="1181">
                  <c:v>45987</c:v>
                </c:pt>
                <c:pt idx="1182">
                  <c:v>45988</c:v>
                </c:pt>
                <c:pt idx="1183">
                  <c:v>45989</c:v>
                </c:pt>
                <c:pt idx="1184">
                  <c:v>45992</c:v>
                </c:pt>
                <c:pt idx="1185">
                  <c:v>45993</c:v>
                </c:pt>
                <c:pt idx="1186">
                  <c:v>45994</c:v>
                </c:pt>
                <c:pt idx="1187">
                  <c:v>45995</c:v>
                </c:pt>
                <c:pt idx="1188">
                  <c:v>45996</c:v>
                </c:pt>
                <c:pt idx="1189">
                  <c:v>45999</c:v>
                </c:pt>
                <c:pt idx="1190">
                  <c:v>46000</c:v>
                </c:pt>
                <c:pt idx="1191">
                  <c:v>46001</c:v>
                </c:pt>
                <c:pt idx="1192">
                  <c:v>46002</c:v>
                </c:pt>
                <c:pt idx="1193">
                  <c:v>46003</c:v>
                </c:pt>
                <c:pt idx="1194">
                  <c:v>46006</c:v>
                </c:pt>
                <c:pt idx="1195">
                  <c:v>46007</c:v>
                </c:pt>
                <c:pt idx="1196">
                  <c:v>46008</c:v>
                </c:pt>
                <c:pt idx="1197">
                  <c:v>46009</c:v>
                </c:pt>
                <c:pt idx="1198">
                  <c:v>46010</c:v>
                </c:pt>
                <c:pt idx="1199">
                  <c:v>46013</c:v>
                </c:pt>
                <c:pt idx="1200">
                  <c:v>46014</c:v>
                </c:pt>
                <c:pt idx="1201">
                  <c:v>46015</c:v>
                </c:pt>
                <c:pt idx="1202">
                  <c:v>46016</c:v>
                </c:pt>
                <c:pt idx="1203">
                  <c:v>46017</c:v>
                </c:pt>
                <c:pt idx="1204">
                  <c:v>46020</c:v>
                </c:pt>
                <c:pt idx="1205">
                  <c:v>46021</c:v>
                </c:pt>
                <c:pt idx="1206">
                  <c:v>46022</c:v>
                </c:pt>
                <c:pt idx="1207">
                  <c:v>46027</c:v>
                </c:pt>
                <c:pt idx="1208">
                  <c:v>46028</c:v>
                </c:pt>
                <c:pt idx="1209">
                  <c:v>46029</c:v>
                </c:pt>
                <c:pt idx="1210">
                  <c:v>46030</c:v>
                </c:pt>
                <c:pt idx="1211">
                  <c:v>46031</c:v>
                </c:pt>
                <c:pt idx="1212">
                  <c:v>46034</c:v>
                </c:pt>
                <c:pt idx="1213">
                  <c:v>46035</c:v>
                </c:pt>
                <c:pt idx="1214">
                  <c:v>46036</c:v>
                </c:pt>
                <c:pt idx="1215">
                  <c:v>46037</c:v>
                </c:pt>
                <c:pt idx="1216">
                  <c:v>46038</c:v>
                </c:pt>
                <c:pt idx="1217">
                  <c:v>46041</c:v>
                </c:pt>
                <c:pt idx="1218">
                  <c:v>46042</c:v>
                </c:pt>
                <c:pt idx="1219">
                  <c:v>46043</c:v>
                </c:pt>
                <c:pt idx="1220">
                  <c:v>46044</c:v>
                </c:pt>
                <c:pt idx="1221">
                  <c:v>46045</c:v>
                </c:pt>
                <c:pt idx="1222">
                  <c:v>46048</c:v>
                </c:pt>
                <c:pt idx="1223">
                  <c:v>46049</c:v>
                </c:pt>
                <c:pt idx="1224">
                  <c:v>46050</c:v>
                </c:pt>
                <c:pt idx="1225">
                  <c:v>46051</c:v>
                </c:pt>
                <c:pt idx="1226">
                  <c:v>46052</c:v>
                </c:pt>
                <c:pt idx="1227">
                  <c:v>46055</c:v>
                </c:pt>
                <c:pt idx="1228">
                  <c:v>46056</c:v>
                </c:pt>
                <c:pt idx="1229">
                  <c:v>46057</c:v>
                </c:pt>
                <c:pt idx="1230">
                  <c:v>46058</c:v>
                </c:pt>
                <c:pt idx="1231">
                  <c:v>46059</c:v>
                </c:pt>
                <c:pt idx="1232">
                  <c:v>46062</c:v>
                </c:pt>
                <c:pt idx="1233">
                  <c:v>46063</c:v>
                </c:pt>
                <c:pt idx="1234">
                  <c:v>46064</c:v>
                </c:pt>
                <c:pt idx="1235">
                  <c:v>46065</c:v>
                </c:pt>
                <c:pt idx="1236">
                  <c:v>46066</c:v>
                </c:pt>
                <c:pt idx="1237">
                  <c:v>46076</c:v>
                </c:pt>
                <c:pt idx="1238">
                  <c:v>46077</c:v>
                </c:pt>
                <c:pt idx="1239">
                  <c:v>46078</c:v>
                </c:pt>
                <c:pt idx="1240">
                  <c:v>46079</c:v>
                </c:pt>
                <c:pt idx="1241">
                  <c:v>46080</c:v>
                </c:pt>
                <c:pt idx="1242">
                  <c:v>46083</c:v>
                </c:pt>
                <c:pt idx="1243">
                  <c:v>46084</c:v>
                </c:pt>
                <c:pt idx="1244">
                  <c:v>46085</c:v>
                </c:pt>
                <c:pt idx="1245">
                  <c:v>46086</c:v>
                </c:pt>
                <c:pt idx="1246">
                  <c:v>46087</c:v>
                </c:pt>
                <c:pt idx="1247">
                  <c:v>45968</c:v>
                </c:pt>
              </c:numCache>
            </c:numRef>
          </c:cat>
          <c:val>
            <c:numRef>
              <c:f>'FX Data'!$I$957:$I$2204</c:f>
              <c:numCache>
                <c:formatCode>0.0</c:formatCode>
                <c:ptCount val="1248"/>
                <c:pt idx="0">
                  <c:v>13.423522048155872</c:v>
                </c:pt>
                <c:pt idx="1">
                  <c:v>13.423522048155872</c:v>
                </c:pt>
                <c:pt idx="2">
                  <c:v>13.423522048155872</c:v>
                </c:pt>
                <c:pt idx="3">
                  <c:v>13.423522048155872</c:v>
                </c:pt>
                <c:pt idx="4">
                  <c:v>13.423522048155872</c:v>
                </c:pt>
                <c:pt idx="5">
                  <c:v>13.423522048155872</c:v>
                </c:pt>
                <c:pt idx="6">
                  <c:v>13.423522048155872</c:v>
                </c:pt>
                <c:pt idx="7">
                  <c:v>13.423522048155872</c:v>
                </c:pt>
                <c:pt idx="8">
                  <c:v>13.423522048155872</c:v>
                </c:pt>
                <c:pt idx="9">
                  <c:v>13.423522048155872</c:v>
                </c:pt>
                <c:pt idx="10">
                  <c:v>13.423522048155872</c:v>
                </c:pt>
                <c:pt idx="11">
                  <c:v>13.423522048155872</c:v>
                </c:pt>
                <c:pt idx="12">
                  <c:v>13.423522048155872</c:v>
                </c:pt>
                <c:pt idx="13">
                  <c:v>13.423522048155872</c:v>
                </c:pt>
                <c:pt idx="14">
                  <c:v>13.423522048155872</c:v>
                </c:pt>
                <c:pt idx="15">
                  <c:v>13.423522048155872</c:v>
                </c:pt>
                <c:pt idx="16">
                  <c:v>13.423522048155872</c:v>
                </c:pt>
                <c:pt idx="17">
                  <c:v>13.423522048155872</c:v>
                </c:pt>
                <c:pt idx="18">
                  <c:v>13.423522048155872</c:v>
                </c:pt>
                <c:pt idx="19">
                  <c:v>13.423522048155872</c:v>
                </c:pt>
                <c:pt idx="20">
                  <c:v>13.423522048155872</c:v>
                </c:pt>
                <c:pt idx="21">
                  <c:v>13.423522048155872</c:v>
                </c:pt>
                <c:pt idx="22">
                  <c:v>13.423522048155872</c:v>
                </c:pt>
                <c:pt idx="23">
                  <c:v>13.423522048155872</c:v>
                </c:pt>
                <c:pt idx="24">
                  <c:v>13.423522048155872</c:v>
                </c:pt>
                <c:pt idx="25">
                  <c:v>13.423522048155872</c:v>
                </c:pt>
                <c:pt idx="26">
                  <c:v>13.423522048155872</c:v>
                </c:pt>
                <c:pt idx="27">
                  <c:v>13.423522048155872</c:v>
                </c:pt>
                <c:pt idx="28">
                  <c:v>13.423522048155872</c:v>
                </c:pt>
                <c:pt idx="29">
                  <c:v>13.423522048155872</c:v>
                </c:pt>
                <c:pt idx="30">
                  <c:v>13.423522048155872</c:v>
                </c:pt>
                <c:pt idx="31">
                  <c:v>13.423522048155872</c:v>
                </c:pt>
                <c:pt idx="32">
                  <c:v>13.423522048155872</c:v>
                </c:pt>
                <c:pt idx="33">
                  <c:v>13.423522048155872</c:v>
                </c:pt>
                <c:pt idx="34">
                  <c:v>13.423522048155872</c:v>
                </c:pt>
                <c:pt idx="35">
                  <c:v>13.423522048155872</c:v>
                </c:pt>
                <c:pt idx="36">
                  <c:v>13.423522048155872</c:v>
                </c:pt>
                <c:pt idx="37">
                  <c:v>13.423522048155872</c:v>
                </c:pt>
                <c:pt idx="38">
                  <c:v>13.423522048155872</c:v>
                </c:pt>
                <c:pt idx="39">
                  <c:v>13.423522048155872</c:v>
                </c:pt>
                <c:pt idx="40">
                  <c:v>13.423522048155872</c:v>
                </c:pt>
                <c:pt idx="41">
                  <c:v>13.423522048155872</c:v>
                </c:pt>
                <c:pt idx="42">
                  <c:v>13.423522048155872</c:v>
                </c:pt>
                <c:pt idx="43">
                  <c:v>13.423522048155872</c:v>
                </c:pt>
                <c:pt idx="44">
                  <c:v>13.423522048155872</c:v>
                </c:pt>
                <c:pt idx="45">
                  <c:v>13.423522048155872</c:v>
                </c:pt>
                <c:pt idx="46">
                  <c:v>13.423522048155872</c:v>
                </c:pt>
                <c:pt idx="47">
                  <c:v>13.423522048155872</c:v>
                </c:pt>
                <c:pt idx="48">
                  <c:v>13.423522048155872</c:v>
                </c:pt>
                <c:pt idx="49">
                  <c:v>13.423522048155872</c:v>
                </c:pt>
                <c:pt idx="50">
                  <c:v>13.423522048155872</c:v>
                </c:pt>
                <c:pt idx="51">
                  <c:v>13.423522048155872</c:v>
                </c:pt>
                <c:pt idx="52">
                  <c:v>13.423522048155872</c:v>
                </c:pt>
                <c:pt idx="53">
                  <c:v>13.423522048155872</c:v>
                </c:pt>
                <c:pt idx="54">
                  <c:v>13.423522048155872</c:v>
                </c:pt>
                <c:pt idx="55">
                  <c:v>13.423522048155872</c:v>
                </c:pt>
                <c:pt idx="56">
                  <c:v>13.423522048155872</c:v>
                </c:pt>
                <c:pt idx="57">
                  <c:v>13.423522048155872</c:v>
                </c:pt>
                <c:pt idx="58">
                  <c:v>13.423522048155872</c:v>
                </c:pt>
                <c:pt idx="59">
                  <c:v>13.423522048155872</c:v>
                </c:pt>
                <c:pt idx="60">
                  <c:v>13.423522048155872</c:v>
                </c:pt>
                <c:pt idx="61">
                  <c:v>13.423522048155872</c:v>
                </c:pt>
                <c:pt idx="62">
                  <c:v>13.423522048155872</c:v>
                </c:pt>
                <c:pt idx="63">
                  <c:v>13.423522048155872</c:v>
                </c:pt>
                <c:pt idx="64">
                  <c:v>13.423522048155872</c:v>
                </c:pt>
                <c:pt idx="65">
                  <c:v>13.423522048155872</c:v>
                </c:pt>
                <c:pt idx="66">
                  <c:v>13.423522048155872</c:v>
                </c:pt>
                <c:pt idx="67">
                  <c:v>13.423522048155872</c:v>
                </c:pt>
                <c:pt idx="68">
                  <c:v>13.423522048155872</c:v>
                </c:pt>
                <c:pt idx="69">
                  <c:v>13.423522048155872</c:v>
                </c:pt>
                <c:pt idx="70">
                  <c:v>13.423522048155872</c:v>
                </c:pt>
                <c:pt idx="71">
                  <c:v>13.423522048155872</c:v>
                </c:pt>
                <c:pt idx="72">
                  <c:v>13.423522048155872</c:v>
                </c:pt>
                <c:pt idx="73">
                  <c:v>13.423522048155872</c:v>
                </c:pt>
                <c:pt idx="74">
                  <c:v>13.423522048155872</c:v>
                </c:pt>
                <c:pt idx="75">
                  <c:v>13.423522048155872</c:v>
                </c:pt>
                <c:pt idx="76">
                  <c:v>13.423522048155872</c:v>
                </c:pt>
                <c:pt idx="77">
                  <c:v>13.423522048155872</c:v>
                </c:pt>
                <c:pt idx="78">
                  <c:v>13.423522048155872</c:v>
                </c:pt>
                <c:pt idx="79">
                  <c:v>13.423522048155872</c:v>
                </c:pt>
                <c:pt idx="80">
                  <c:v>13.423522048155872</c:v>
                </c:pt>
                <c:pt idx="81">
                  <c:v>13.423522048155872</c:v>
                </c:pt>
                <c:pt idx="82">
                  <c:v>13.423522048155872</c:v>
                </c:pt>
                <c:pt idx="83">
                  <c:v>13.423522048155872</c:v>
                </c:pt>
                <c:pt idx="84">
                  <c:v>13.423522048155872</c:v>
                </c:pt>
                <c:pt idx="85">
                  <c:v>13.423522048155872</c:v>
                </c:pt>
                <c:pt idx="86">
                  <c:v>13.423522048155872</c:v>
                </c:pt>
                <c:pt idx="87">
                  <c:v>13.423522048155872</c:v>
                </c:pt>
                <c:pt idx="88">
                  <c:v>13.423522048155872</c:v>
                </c:pt>
                <c:pt idx="89">
                  <c:v>13.423522048155872</c:v>
                </c:pt>
                <c:pt idx="90">
                  <c:v>13.423522048155872</c:v>
                </c:pt>
                <c:pt idx="91">
                  <c:v>13.423522048155872</c:v>
                </c:pt>
                <c:pt idx="92">
                  <c:v>13.423522048155872</c:v>
                </c:pt>
                <c:pt idx="93">
                  <c:v>13.423522048155872</c:v>
                </c:pt>
                <c:pt idx="94">
                  <c:v>13.423522048155872</c:v>
                </c:pt>
                <c:pt idx="95">
                  <c:v>13.423522048155872</c:v>
                </c:pt>
                <c:pt idx="96">
                  <c:v>13.423522048155872</c:v>
                </c:pt>
                <c:pt idx="97">
                  <c:v>13.423522048155872</c:v>
                </c:pt>
                <c:pt idx="98">
                  <c:v>13.423522048155872</c:v>
                </c:pt>
                <c:pt idx="99">
                  <c:v>13.423522048155872</c:v>
                </c:pt>
                <c:pt idx="100">
                  <c:v>13.423522048155872</c:v>
                </c:pt>
                <c:pt idx="101">
                  <c:v>13.423522048155872</c:v>
                </c:pt>
                <c:pt idx="102">
                  <c:v>13.423522048155872</c:v>
                </c:pt>
                <c:pt idx="103">
                  <c:v>13.423522048155872</c:v>
                </c:pt>
                <c:pt idx="104">
                  <c:v>13.423522048155872</c:v>
                </c:pt>
                <c:pt idx="105">
                  <c:v>13.423522048155872</c:v>
                </c:pt>
                <c:pt idx="106">
                  <c:v>13.423522048155872</c:v>
                </c:pt>
                <c:pt idx="107">
                  <c:v>13.423522048155872</c:v>
                </c:pt>
                <c:pt idx="108">
                  <c:v>13.423522048155872</c:v>
                </c:pt>
                <c:pt idx="109">
                  <c:v>13.423522048155872</c:v>
                </c:pt>
                <c:pt idx="110">
                  <c:v>13.423522048155872</c:v>
                </c:pt>
                <c:pt idx="111">
                  <c:v>13.423522048155872</c:v>
                </c:pt>
                <c:pt idx="112">
                  <c:v>13.423522048155872</c:v>
                </c:pt>
                <c:pt idx="113">
                  <c:v>13.423522048155872</c:v>
                </c:pt>
                <c:pt idx="114">
                  <c:v>13.423522048155872</c:v>
                </c:pt>
                <c:pt idx="115">
                  <c:v>13.423522048155872</c:v>
                </c:pt>
                <c:pt idx="116">
                  <c:v>13.423522048155872</c:v>
                </c:pt>
                <c:pt idx="117">
                  <c:v>13.423522048155872</c:v>
                </c:pt>
                <c:pt idx="118">
                  <c:v>13.423522048155872</c:v>
                </c:pt>
                <c:pt idx="119">
                  <c:v>13.423522048155872</c:v>
                </c:pt>
                <c:pt idx="120">
                  <c:v>13.423522048155872</c:v>
                </c:pt>
                <c:pt idx="121">
                  <c:v>13.423522048155872</c:v>
                </c:pt>
                <c:pt idx="122">
                  <c:v>13.423522048155872</c:v>
                </c:pt>
                <c:pt idx="123">
                  <c:v>13.423522048155872</c:v>
                </c:pt>
                <c:pt idx="124">
                  <c:v>13.423522048155872</c:v>
                </c:pt>
                <c:pt idx="125">
                  <c:v>13.423522048155872</c:v>
                </c:pt>
                <c:pt idx="126">
                  <c:v>13.423522048155872</c:v>
                </c:pt>
                <c:pt idx="127">
                  <c:v>13.423522048155872</c:v>
                </c:pt>
                <c:pt idx="128">
                  <c:v>13.423522048155872</c:v>
                </c:pt>
                <c:pt idx="129">
                  <c:v>13.423522048155872</c:v>
                </c:pt>
                <c:pt idx="130">
                  <c:v>13.423522048155872</c:v>
                </c:pt>
                <c:pt idx="131">
                  <c:v>13.423522048155872</c:v>
                </c:pt>
                <c:pt idx="132">
                  <c:v>13.423522048155872</c:v>
                </c:pt>
                <c:pt idx="133">
                  <c:v>13.423522048155872</c:v>
                </c:pt>
                <c:pt idx="134">
                  <c:v>13.423522048155872</c:v>
                </c:pt>
                <c:pt idx="135">
                  <c:v>13.423522048155872</c:v>
                </c:pt>
                <c:pt idx="136">
                  <c:v>13.423522048155872</c:v>
                </c:pt>
                <c:pt idx="137">
                  <c:v>13.423522048155872</c:v>
                </c:pt>
                <c:pt idx="138">
                  <c:v>13.423522048155872</c:v>
                </c:pt>
                <c:pt idx="139">
                  <c:v>13.423522048155872</c:v>
                </c:pt>
                <c:pt idx="140">
                  <c:v>13.423522048155872</c:v>
                </c:pt>
                <c:pt idx="141">
                  <c:v>13.423522048155872</c:v>
                </c:pt>
                <c:pt idx="142">
                  <c:v>13.423522048155872</c:v>
                </c:pt>
                <c:pt idx="143">
                  <c:v>13.423522048155872</c:v>
                </c:pt>
                <c:pt idx="144">
                  <c:v>13.423522048155872</c:v>
                </c:pt>
                <c:pt idx="145">
                  <c:v>13.423522048155872</c:v>
                </c:pt>
                <c:pt idx="146">
                  <c:v>13.423522048155872</c:v>
                </c:pt>
                <c:pt idx="147">
                  <c:v>13.423522048155872</c:v>
                </c:pt>
                <c:pt idx="148">
                  <c:v>13.423522048155872</c:v>
                </c:pt>
                <c:pt idx="149">
                  <c:v>13.423522048155872</c:v>
                </c:pt>
                <c:pt idx="150">
                  <c:v>13.423522048155872</c:v>
                </c:pt>
                <c:pt idx="151">
                  <c:v>13.423522048155872</c:v>
                </c:pt>
                <c:pt idx="152">
                  <c:v>13.423522048155872</c:v>
                </c:pt>
                <c:pt idx="153">
                  <c:v>13.423522048155872</c:v>
                </c:pt>
                <c:pt idx="154">
                  <c:v>13.423522048155872</c:v>
                </c:pt>
                <c:pt idx="155">
                  <c:v>13.423522048155872</c:v>
                </c:pt>
                <c:pt idx="156">
                  <c:v>13.423522048155872</c:v>
                </c:pt>
                <c:pt idx="157">
                  <c:v>13.423522048155872</c:v>
                </c:pt>
                <c:pt idx="158">
                  <c:v>13.423522048155872</c:v>
                </c:pt>
                <c:pt idx="159">
                  <c:v>13.423522048155872</c:v>
                </c:pt>
                <c:pt idx="160">
                  <c:v>13.423522048155872</c:v>
                </c:pt>
                <c:pt idx="161">
                  <c:v>13.423522048155872</c:v>
                </c:pt>
                <c:pt idx="162">
                  <c:v>13.423522048155872</c:v>
                </c:pt>
                <c:pt idx="163">
                  <c:v>13.423522048155872</c:v>
                </c:pt>
                <c:pt idx="164">
                  <c:v>13.423522048155872</c:v>
                </c:pt>
                <c:pt idx="165">
                  <c:v>13.423522048155872</c:v>
                </c:pt>
                <c:pt idx="166">
                  <c:v>13.423522048155872</c:v>
                </c:pt>
                <c:pt idx="167">
                  <c:v>13.423522048155872</c:v>
                </c:pt>
                <c:pt idx="168">
                  <c:v>13.423522048155872</c:v>
                </c:pt>
                <c:pt idx="169">
                  <c:v>13.423522048155872</c:v>
                </c:pt>
                <c:pt idx="170">
                  <c:v>13.423522048155872</c:v>
                </c:pt>
                <c:pt idx="171">
                  <c:v>13.423522048155872</c:v>
                </c:pt>
                <c:pt idx="172">
                  <c:v>13.423522048155872</c:v>
                </c:pt>
                <c:pt idx="173">
                  <c:v>13.423522048155872</c:v>
                </c:pt>
                <c:pt idx="174">
                  <c:v>13.423522048155872</c:v>
                </c:pt>
                <c:pt idx="175">
                  <c:v>13.423522048155872</c:v>
                </c:pt>
                <c:pt idx="176">
                  <c:v>13.423522048155872</c:v>
                </c:pt>
                <c:pt idx="177">
                  <c:v>13.423522048155872</c:v>
                </c:pt>
                <c:pt idx="178">
                  <c:v>13.423522048155872</c:v>
                </c:pt>
                <c:pt idx="179">
                  <c:v>13.423522048155872</c:v>
                </c:pt>
                <c:pt idx="180">
                  <c:v>13.423522048155872</c:v>
                </c:pt>
                <c:pt idx="181">
                  <c:v>13.423522048155872</c:v>
                </c:pt>
                <c:pt idx="182">
                  <c:v>13.423522048155872</c:v>
                </c:pt>
                <c:pt idx="183">
                  <c:v>13.423522048155872</c:v>
                </c:pt>
                <c:pt idx="184">
                  <c:v>13.423522048155872</c:v>
                </c:pt>
                <c:pt idx="185">
                  <c:v>13.423522048155872</c:v>
                </c:pt>
                <c:pt idx="186">
                  <c:v>13.423522048155872</c:v>
                </c:pt>
                <c:pt idx="187">
                  <c:v>13.423522048155872</c:v>
                </c:pt>
                <c:pt idx="188">
                  <c:v>13.423522048155872</c:v>
                </c:pt>
                <c:pt idx="189">
                  <c:v>13.423522048155872</c:v>
                </c:pt>
                <c:pt idx="190">
                  <c:v>13.423522048155872</c:v>
                </c:pt>
                <c:pt idx="191">
                  <c:v>13.423522048155872</c:v>
                </c:pt>
                <c:pt idx="192">
                  <c:v>13.423522048155872</c:v>
                </c:pt>
                <c:pt idx="193">
                  <c:v>13.423522048155872</c:v>
                </c:pt>
                <c:pt idx="194">
                  <c:v>13.423522048155872</c:v>
                </c:pt>
                <c:pt idx="195">
                  <c:v>13.423522048155872</c:v>
                </c:pt>
                <c:pt idx="196">
                  <c:v>13.423522048155872</c:v>
                </c:pt>
                <c:pt idx="197">
                  <c:v>13.423522048155872</c:v>
                </c:pt>
                <c:pt idx="198">
                  <c:v>13.423522048155872</c:v>
                </c:pt>
                <c:pt idx="199">
                  <c:v>13.423522048155872</c:v>
                </c:pt>
                <c:pt idx="200">
                  <c:v>13.423522048155872</c:v>
                </c:pt>
                <c:pt idx="201">
                  <c:v>13.423522048155872</c:v>
                </c:pt>
                <c:pt idx="202">
                  <c:v>13.423522048155872</c:v>
                </c:pt>
                <c:pt idx="203">
                  <c:v>13.423522048155872</c:v>
                </c:pt>
                <c:pt idx="204">
                  <c:v>13.423522048155872</c:v>
                </c:pt>
                <c:pt idx="205">
                  <c:v>13.423522048155872</c:v>
                </c:pt>
                <c:pt idx="206">
                  <c:v>13.423522048155872</c:v>
                </c:pt>
                <c:pt idx="207">
                  <c:v>13.423522048155872</c:v>
                </c:pt>
                <c:pt idx="208">
                  <c:v>13.423522048155872</c:v>
                </c:pt>
                <c:pt idx="209">
                  <c:v>13.423522048155872</c:v>
                </c:pt>
                <c:pt idx="210">
                  <c:v>13.423522048155872</c:v>
                </c:pt>
                <c:pt idx="211">
                  <c:v>13.423522048155872</c:v>
                </c:pt>
                <c:pt idx="212">
                  <c:v>13.423522048155872</c:v>
                </c:pt>
                <c:pt idx="213">
                  <c:v>13.423522048155872</c:v>
                </c:pt>
                <c:pt idx="214">
                  <c:v>13.423522048155872</c:v>
                </c:pt>
                <c:pt idx="215">
                  <c:v>13.423522048155872</c:v>
                </c:pt>
                <c:pt idx="216">
                  <c:v>13.423522048155872</c:v>
                </c:pt>
                <c:pt idx="217">
                  <c:v>13.423522048155872</c:v>
                </c:pt>
                <c:pt idx="218">
                  <c:v>13.423522048155872</c:v>
                </c:pt>
                <c:pt idx="219">
                  <c:v>13.423522048155872</c:v>
                </c:pt>
                <c:pt idx="220">
                  <c:v>13.423522048155872</c:v>
                </c:pt>
                <c:pt idx="221">
                  <c:v>13.423522048155872</c:v>
                </c:pt>
                <c:pt idx="222">
                  <c:v>13.423522048155872</c:v>
                </c:pt>
                <c:pt idx="223">
                  <c:v>13.423522048155872</c:v>
                </c:pt>
                <c:pt idx="224">
                  <c:v>13.423522048155872</c:v>
                </c:pt>
                <c:pt idx="225">
                  <c:v>13.423522048155872</c:v>
                </c:pt>
                <c:pt idx="226">
                  <c:v>13.423522048155872</c:v>
                </c:pt>
                <c:pt idx="227">
                  <c:v>13.423522048155872</c:v>
                </c:pt>
                <c:pt idx="228">
                  <c:v>13.423522048155872</c:v>
                </c:pt>
                <c:pt idx="229">
                  <c:v>13.423522048155872</c:v>
                </c:pt>
                <c:pt idx="230">
                  <c:v>13.423522048155872</c:v>
                </c:pt>
                <c:pt idx="231">
                  <c:v>13.423522048155872</c:v>
                </c:pt>
                <c:pt idx="232">
                  <c:v>13.423522048155872</c:v>
                </c:pt>
                <c:pt idx="233">
                  <c:v>13.423522048155872</c:v>
                </c:pt>
                <c:pt idx="234">
                  <c:v>13.423522048155872</c:v>
                </c:pt>
                <c:pt idx="235">
                  <c:v>13.423522048155872</c:v>
                </c:pt>
                <c:pt idx="236">
                  <c:v>13.423522048155872</c:v>
                </c:pt>
                <c:pt idx="237">
                  <c:v>13.423522048155872</c:v>
                </c:pt>
                <c:pt idx="238">
                  <c:v>13.423522048155872</c:v>
                </c:pt>
                <c:pt idx="239">
                  <c:v>13.423522048155872</c:v>
                </c:pt>
                <c:pt idx="240">
                  <c:v>13.423522048155872</c:v>
                </c:pt>
                <c:pt idx="241">
                  <c:v>13.423522048155872</c:v>
                </c:pt>
                <c:pt idx="242">
                  <c:v>13.423522048155872</c:v>
                </c:pt>
                <c:pt idx="243">
                  <c:v>13.423522048155872</c:v>
                </c:pt>
                <c:pt idx="244">
                  <c:v>13.423522048155872</c:v>
                </c:pt>
                <c:pt idx="245">
                  <c:v>13.423522048155872</c:v>
                </c:pt>
                <c:pt idx="246">
                  <c:v>13.423522048155872</c:v>
                </c:pt>
                <c:pt idx="247">
                  <c:v>13.423522048155872</c:v>
                </c:pt>
                <c:pt idx="248">
                  <c:v>13.423522048155872</c:v>
                </c:pt>
                <c:pt idx="249">
                  <c:v>13.423522048155872</c:v>
                </c:pt>
                <c:pt idx="250">
                  <c:v>13.423522048155872</c:v>
                </c:pt>
                <c:pt idx="251">
                  <c:v>13.423522048155872</c:v>
                </c:pt>
                <c:pt idx="252">
                  <c:v>13.423522048155872</c:v>
                </c:pt>
                <c:pt idx="253">
                  <c:v>13.423522048155872</c:v>
                </c:pt>
                <c:pt idx="254">
                  <c:v>13.423522048155872</c:v>
                </c:pt>
                <c:pt idx="255">
                  <c:v>13.423522048155872</c:v>
                </c:pt>
                <c:pt idx="256">
                  <c:v>13.423522048155872</c:v>
                </c:pt>
                <c:pt idx="257">
                  <c:v>13.423522048155872</c:v>
                </c:pt>
                <c:pt idx="258">
                  <c:v>13.423522048155872</c:v>
                </c:pt>
                <c:pt idx="259">
                  <c:v>13.423522048155872</c:v>
                </c:pt>
                <c:pt idx="260">
                  <c:v>13.423522048155872</c:v>
                </c:pt>
                <c:pt idx="261">
                  <c:v>13.423522048155872</c:v>
                </c:pt>
                <c:pt idx="262">
                  <c:v>13.423522048155872</c:v>
                </c:pt>
                <c:pt idx="263">
                  <c:v>13.423522048155872</c:v>
                </c:pt>
                <c:pt idx="264">
                  <c:v>13.423522048155872</c:v>
                </c:pt>
                <c:pt idx="265">
                  <c:v>13.423522048155872</c:v>
                </c:pt>
                <c:pt idx="266">
                  <c:v>13.423522048155872</c:v>
                </c:pt>
                <c:pt idx="267">
                  <c:v>13.423522048155872</c:v>
                </c:pt>
                <c:pt idx="268">
                  <c:v>13.423522048155872</c:v>
                </c:pt>
                <c:pt idx="269">
                  <c:v>13.423522048155872</c:v>
                </c:pt>
                <c:pt idx="270">
                  <c:v>13.423522048155872</c:v>
                </c:pt>
                <c:pt idx="271">
                  <c:v>13.423522048155872</c:v>
                </c:pt>
                <c:pt idx="272">
                  <c:v>13.423522048155872</c:v>
                </c:pt>
                <c:pt idx="273">
                  <c:v>13.423522048155872</c:v>
                </c:pt>
                <c:pt idx="274">
                  <c:v>13.423522048155872</c:v>
                </c:pt>
                <c:pt idx="275">
                  <c:v>13.423522048155872</c:v>
                </c:pt>
                <c:pt idx="276">
                  <c:v>13.423522048155872</c:v>
                </c:pt>
                <c:pt idx="277">
                  <c:v>13.423522048155872</c:v>
                </c:pt>
                <c:pt idx="278">
                  <c:v>13.423522048155872</c:v>
                </c:pt>
                <c:pt idx="279">
                  <c:v>13.423522048155872</c:v>
                </c:pt>
                <c:pt idx="280">
                  <c:v>13.423522048155872</c:v>
                </c:pt>
                <c:pt idx="281">
                  <c:v>13.423522048155872</c:v>
                </c:pt>
                <c:pt idx="282">
                  <c:v>13.423522048155872</c:v>
                </c:pt>
                <c:pt idx="283">
                  <c:v>13.423522048155872</c:v>
                </c:pt>
                <c:pt idx="284">
                  <c:v>13.423522048155872</c:v>
                </c:pt>
                <c:pt idx="285">
                  <c:v>13.423522048155872</c:v>
                </c:pt>
                <c:pt idx="286">
                  <c:v>13.423522048155872</c:v>
                </c:pt>
                <c:pt idx="287">
                  <c:v>13.423522048155872</c:v>
                </c:pt>
                <c:pt idx="288">
                  <c:v>13.423522048155872</c:v>
                </c:pt>
                <c:pt idx="289">
                  <c:v>13.423522048155872</c:v>
                </c:pt>
                <c:pt idx="290">
                  <c:v>13.423522048155872</c:v>
                </c:pt>
                <c:pt idx="291">
                  <c:v>13.423522048155872</c:v>
                </c:pt>
                <c:pt idx="292">
                  <c:v>13.423522048155872</c:v>
                </c:pt>
                <c:pt idx="293">
                  <c:v>13.423522048155872</c:v>
                </c:pt>
                <c:pt idx="294">
                  <c:v>13.423522048155872</c:v>
                </c:pt>
                <c:pt idx="295">
                  <c:v>13.423522048155872</c:v>
                </c:pt>
                <c:pt idx="296">
                  <c:v>13.423522048155872</c:v>
                </c:pt>
                <c:pt idx="297">
                  <c:v>13.423522048155872</c:v>
                </c:pt>
                <c:pt idx="298">
                  <c:v>13.423522048155872</c:v>
                </c:pt>
                <c:pt idx="299">
                  <c:v>13.423522048155872</c:v>
                </c:pt>
                <c:pt idx="300">
                  <c:v>13.423522048155872</c:v>
                </c:pt>
                <c:pt idx="301">
                  <c:v>13.423522048155872</c:v>
                </c:pt>
                <c:pt idx="302">
                  <c:v>13.423522048155872</c:v>
                </c:pt>
                <c:pt idx="303">
                  <c:v>13.423522048155872</c:v>
                </c:pt>
                <c:pt idx="304">
                  <c:v>13.423522048155872</c:v>
                </c:pt>
                <c:pt idx="305">
                  <c:v>13.423522048155872</c:v>
                </c:pt>
                <c:pt idx="306">
                  <c:v>13.423522048155872</c:v>
                </c:pt>
                <c:pt idx="307">
                  <c:v>13.423522048155872</c:v>
                </c:pt>
                <c:pt idx="308">
                  <c:v>13.423522048155872</c:v>
                </c:pt>
                <c:pt idx="309">
                  <c:v>13.423522048155872</c:v>
                </c:pt>
                <c:pt idx="310">
                  <c:v>13.423522048155872</c:v>
                </c:pt>
                <c:pt idx="311">
                  <c:v>13.423522048155872</c:v>
                </c:pt>
                <c:pt idx="312">
                  <c:v>13.423522048155872</c:v>
                </c:pt>
                <c:pt idx="313">
                  <c:v>13.423522048155872</c:v>
                </c:pt>
                <c:pt idx="314">
                  <c:v>13.423522048155872</c:v>
                </c:pt>
                <c:pt idx="315">
                  <c:v>13.423522048155872</c:v>
                </c:pt>
                <c:pt idx="316">
                  <c:v>13.423522048155872</c:v>
                </c:pt>
                <c:pt idx="317">
                  <c:v>13.423522048155872</c:v>
                </c:pt>
                <c:pt idx="318">
                  <c:v>13.423522048155872</c:v>
                </c:pt>
                <c:pt idx="319">
                  <c:v>13.423522048155872</c:v>
                </c:pt>
                <c:pt idx="320">
                  <c:v>13.423522048155872</c:v>
                </c:pt>
                <c:pt idx="321">
                  <c:v>13.423522048155872</c:v>
                </c:pt>
                <c:pt idx="322">
                  <c:v>13.423522048155872</c:v>
                </c:pt>
                <c:pt idx="323">
                  <c:v>13.423522048155872</c:v>
                </c:pt>
                <c:pt idx="324">
                  <c:v>13.423522048155872</c:v>
                </c:pt>
                <c:pt idx="325">
                  <c:v>13.423522048155872</c:v>
                </c:pt>
                <c:pt idx="326">
                  <c:v>13.423522048155872</c:v>
                </c:pt>
                <c:pt idx="327">
                  <c:v>13.423522048155872</c:v>
                </c:pt>
                <c:pt idx="328">
                  <c:v>13.423522048155872</c:v>
                </c:pt>
                <c:pt idx="329">
                  <c:v>13.423522048155872</c:v>
                </c:pt>
                <c:pt idx="330">
                  <c:v>13.423522048155872</c:v>
                </c:pt>
                <c:pt idx="331">
                  <c:v>13.423522048155872</c:v>
                </c:pt>
                <c:pt idx="332">
                  <c:v>13.423522048155872</c:v>
                </c:pt>
                <c:pt idx="333">
                  <c:v>13.423522048155872</c:v>
                </c:pt>
                <c:pt idx="334">
                  <c:v>13.423522048155872</c:v>
                </c:pt>
                <c:pt idx="335">
                  <c:v>13.423522048155872</c:v>
                </c:pt>
                <c:pt idx="336">
                  <c:v>13.423522048155872</c:v>
                </c:pt>
                <c:pt idx="337">
                  <c:v>13.423522048155872</c:v>
                </c:pt>
                <c:pt idx="338">
                  <c:v>13.423522048155872</c:v>
                </c:pt>
                <c:pt idx="339">
                  <c:v>13.423522048155872</c:v>
                </c:pt>
                <c:pt idx="340">
                  <c:v>13.423522048155872</c:v>
                </c:pt>
                <c:pt idx="341">
                  <c:v>13.423522048155872</c:v>
                </c:pt>
                <c:pt idx="342">
                  <c:v>13.423522048155872</c:v>
                </c:pt>
                <c:pt idx="343">
                  <c:v>13.423522048155872</c:v>
                </c:pt>
                <c:pt idx="344">
                  <c:v>13.423522048155872</c:v>
                </c:pt>
                <c:pt idx="345">
                  <c:v>13.423522048155872</c:v>
                </c:pt>
                <c:pt idx="346">
                  <c:v>13.423522048155872</c:v>
                </c:pt>
                <c:pt idx="347">
                  <c:v>13.423522048155872</c:v>
                </c:pt>
                <c:pt idx="348">
                  <c:v>13.423522048155872</c:v>
                </c:pt>
                <c:pt idx="349">
                  <c:v>13.423522048155872</c:v>
                </c:pt>
                <c:pt idx="350">
                  <c:v>13.423522048155872</c:v>
                </c:pt>
                <c:pt idx="351">
                  <c:v>13.423522048155872</c:v>
                </c:pt>
                <c:pt idx="352">
                  <c:v>13.423522048155872</c:v>
                </c:pt>
                <c:pt idx="353">
                  <c:v>13.423522048155872</c:v>
                </c:pt>
                <c:pt idx="354">
                  <c:v>13.423522048155872</c:v>
                </c:pt>
                <c:pt idx="355">
                  <c:v>13.423522048155872</c:v>
                </c:pt>
                <c:pt idx="356">
                  <c:v>13.423522048155872</c:v>
                </c:pt>
                <c:pt idx="357">
                  <c:v>13.423522048155872</c:v>
                </c:pt>
                <c:pt idx="358">
                  <c:v>13.423522048155872</c:v>
                </c:pt>
                <c:pt idx="359">
                  <c:v>13.423522048155872</c:v>
                </c:pt>
                <c:pt idx="360">
                  <c:v>13.423522048155872</c:v>
                </c:pt>
                <c:pt idx="361">
                  <c:v>13.423522048155872</c:v>
                </c:pt>
                <c:pt idx="362">
                  <c:v>13.423522048155872</c:v>
                </c:pt>
                <c:pt idx="363">
                  <c:v>13.423522048155872</c:v>
                </c:pt>
                <c:pt idx="364">
                  <c:v>13.423522048155872</c:v>
                </c:pt>
                <c:pt idx="365">
                  <c:v>13.423522048155872</c:v>
                </c:pt>
                <c:pt idx="366">
                  <c:v>13.423522048155872</c:v>
                </c:pt>
                <c:pt idx="367">
                  <c:v>13.423522048155872</c:v>
                </c:pt>
                <c:pt idx="368">
                  <c:v>13.423522048155872</c:v>
                </c:pt>
                <c:pt idx="369">
                  <c:v>13.423522048155872</c:v>
                </c:pt>
                <c:pt idx="370">
                  <c:v>13.423522048155872</c:v>
                </c:pt>
                <c:pt idx="371">
                  <c:v>13.423522048155872</c:v>
                </c:pt>
                <c:pt idx="372">
                  <c:v>13.423522048155872</c:v>
                </c:pt>
                <c:pt idx="373">
                  <c:v>13.423522048155872</c:v>
                </c:pt>
                <c:pt idx="374">
                  <c:v>13.423522048155872</c:v>
                </c:pt>
                <c:pt idx="375">
                  <c:v>13.423522048155872</c:v>
                </c:pt>
                <c:pt idx="376">
                  <c:v>13.423522048155872</c:v>
                </c:pt>
                <c:pt idx="377">
                  <c:v>13.423522048155872</c:v>
                </c:pt>
                <c:pt idx="378">
                  <c:v>13.423522048155872</c:v>
                </c:pt>
                <c:pt idx="379">
                  <c:v>13.423522048155872</c:v>
                </c:pt>
                <c:pt idx="380">
                  <c:v>13.423522048155872</c:v>
                </c:pt>
                <c:pt idx="381">
                  <c:v>13.423522048155872</c:v>
                </c:pt>
                <c:pt idx="382">
                  <c:v>13.423522048155872</c:v>
                </c:pt>
                <c:pt idx="383">
                  <c:v>13.423522048155872</c:v>
                </c:pt>
                <c:pt idx="384">
                  <c:v>13.423522048155872</c:v>
                </c:pt>
                <c:pt idx="385">
                  <c:v>13.423522048155872</c:v>
                </c:pt>
                <c:pt idx="386">
                  <c:v>13.423522048155872</c:v>
                </c:pt>
                <c:pt idx="387">
                  <c:v>13.423522048155872</c:v>
                </c:pt>
                <c:pt idx="388">
                  <c:v>13.423522048155872</c:v>
                </c:pt>
                <c:pt idx="389">
                  <c:v>13.423522048155872</c:v>
                </c:pt>
                <c:pt idx="390">
                  <c:v>13.423522048155872</c:v>
                </c:pt>
                <c:pt idx="391">
                  <c:v>13.423522048155872</c:v>
                </c:pt>
                <c:pt idx="392">
                  <c:v>13.423522048155872</c:v>
                </c:pt>
                <c:pt idx="393">
                  <c:v>13.423522048155872</c:v>
                </c:pt>
                <c:pt idx="394">
                  <c:v>13.423522048155872</c:v>
                </c:pt>
                <c:pt idx="395">
                  <c:v>13.423522048155872</c:v>
                </c:pt>
                <c:pt idx="396">
                  <c:v>13.423522048155872</c:v>
                </c:pt>
                <c:pt idx="397">
                  <c:v>13.423522048155872</c:v>
                </c:pt>
                <c:pt idx="398">
                  <c:v>13.423522048155872</c:v>
                </c:pt>
                <c:pt idx="399">
                  <c:v>13.423522048155872</c:v>
                </c:pt>
                <c:pt idx="400">
                  <c:v>13.423522048155872</c:v>
                </c:pt>
                <c:pt idx="401">
                  <c:v>13.423522048155872</c:v>
                </c:pt>
                <c:pt idx="402">
                  <c:v>13.423522048155872</c:v>
                </c:pt>
                <c:pt idx="403">
                  <c:v>13.423522048155872</c:v>
                </c:pt>
                <c:pt idx="404">
                  <c:v>13.423522048155872</c:v>
                </c:pt>
                <c:pt idx="405">
                  <c:v>13.423522048155872</c:v>
                </c:pt>
                <c:pt idx="406">
                  <c:v>13.423522048155872</c:v>
                </c:pt>
                <c:pt idx="407">
                  <c:v>13.423522048155872</c:v>
                </c:pt>
                <c:pt idx="408">
                  <c:v>13.423522048155872</c:v>
                </c:pt>
                <c:pt idx="409">
                  <c:v>13.423522048155872</c:v>
                </c:pt>
                <c:pt idx="410">
                  <c:v>13.423522048155872</c:v>
                </c:pt>
                <c:pt idx="411">
                  <c:v>13.423522048155872</c:v>
                </c:pt>
                <c:pt idx="412">
                  <c:v>13.423522048155872</c:v>
                </c:pt>
                <c:pt idx="413">
                  <c:v>13.423522048155872</c:v>
                </c:pt>
                <c:pt idx="414">
                  <c:v>13.423522048155872</c:v>
                </c:pt>
                <c:pt idx="415">
                  <c:v>13.423522048155872</c:v>
                </c:pt>
                <c:pt idx="416">
                  <c:v>13.423522048155872</c:v>
                </c:pt>
                <c:pt idx="417">
                  <c:v>13.423522048155872</c:v>
                </c:pt>
                <c:pt idx="418">
                  <c:v>13.423522048155872</c:v>
                </c:pt>
                <c:pt idx="419">
                  <c:v>13.423522048155872</c:v>
                </c:pt>
                <c:pt idx="420">
                  <c:v>13.423522048155872</c:v>
                </c:pt>
                <c:pt idx="421">
                  <c:v>13.423522048155872</c:v>
                </c:pt>
                <c:pt idx="422">
                  <c:v>13.423522048155872</c:v>
                </c:pt>
                <c:pt idx="423">
                  <c:v>13.423522048155872</c:v>
                </c:pt>
                <c:pt idx="424">
                  <c:v>13.423522048155872</c:v>
                </c:pt>
                <c:pt idx="425">
                  <c:v>13.423522048155872</c:v>
                </c:pt>
                <c:pt idx="426">
                  <c:v>13.423522048155872</c:v>
                </c:pt>
                <c:pt idx="427">
                  <c:v>13.423522048155872</c:v>
                </c:pt>
                <c:pt idx="428">
                  <c:v>13.423522048155872</c:v>
                </c:pt>
                <c:pt idx="429">
                  <c:v>13.423522048155872</c:v>
                </c:pt>
                <c:pt idx="430">
                  <c:v>13.423522048155872</c:v>
                </c:pt>
                <c:pt idx="431">
                  <c:v>13.423522048155872</c:v>
                </c:pt>
                <c:pt idx="432">
                  <c:v>13.423522048155872</c:v>
                </c:pt>
                <c:pt idx="433">
                  <c:v>13.423522048155872</c:v>
                </c:pt>
                <c:pt idx="434">
                  <c:v>13.423522048155872</c:v>
                </c:pt>
                <c:pt idx="435">
                  <c:v>13.423522048155872</c:v>
                </c:pt>
                <c:pt idx="436">
                  <c:v>13.423522048155872</c:v>
                </c:pt>
                <c:pt idx="437">
                  <c:v>13.423522048155872</c:v>
                </c:pt>
                <c:pt idx="438">
                  <c:v>13.423522048155872</c:v>
                </c:pt>
                <c:pt idx="439">
                  <c:v>13.423522048155872</c:v>
                </c:pt>
                <c:pt idx="440">
                  <c:v>13.423522048155872</c:v>
                </c:pt>
                <c:pt idx="441">
                  <c:v>13.423522048155872</c:v>
                </c:pt>
                <c:pt idx="442">
                  <c:v>13.423522048155872</c:v>
                </c:pt>
                <c:pt idx="443">
                  <c:v>13.423522048155872</c:v>
                </c:pt>
                <c:pt idx="444">
                  <c:v>13.423522048155872</c:v>
                </c:pt>
                <c:pt idx="445">
                  <c:v>13.423522048155872</c:v>
                </c:pt>
                <c:pt idx="446">
                  <c:v>13.423522048155872</c:v>
                </c:pt>
                <c:pt idx="447">
                  <c:v>13.423522048155872</c:v>
                </c:pt>
                <c:pt idx="448">
                  <c:v>13.423522048155872</c:v>
                </c:pt>
                <c:pt idx="449">
                  <c:v>13.423522048155872</c:v>
                </c:pt>
                <c:pt idx="450">
                  <c:v>13.423522048155872</c:v>
                </c:pt>
                <c:pt idx="451">
                  <c:v>13.423522048155872</c:v>
                </c:pt>
                <c:pt idx="452">
                  <c:v>13.423522048155872</c:v>
                </c:pt>
                <c:pt idx="453">
                  <c:v>13.423522048155872</c:v>
                </c:pt>
                <c:pt idx="454">
                  <c:v>13.423522048155872</c:v>
                </c:pt>
                <c:pt idx="455">
                  <c:v>13.423522048155872</c:v>
                </c:pt>
                <c:pt idx="456">
                  <c:v>13.423522048155872</c:v>
                </c:pt>
                <c:pt idx="457">
                  <c:v>13.423522048155872</c:v>
                </c:pt>
                <c:pt idx="458">
                  <c:v>13.423522048155872</c:v>
                </c:pt>
                <c:pt idx="459">
                  <c:v>13.423522048155872</c:v>
                </c:pt>
                <c:pt idx="460">
                  <c:v>13.423522048155872</c:v>
                </c:pt>
                <c:pt idx="461">
                  <c:v>13.423522048155872</c:v>
                </c:pt>
                <c:pt idx="462">
                  <c:v>13.423522048155872</c:v>
                </c:pt>
                <c:pt idx="463">
                  <c:v>13.423522048155872</c:v>
                </c:pt>
                <c:pt idx="464">
                  <c:v>13.423522048155872</c:v>
                </c:pt>
                <c:pt idx="465">
                  <c:v>13.423522048155872</c:v>
                </c:pt>
                <c:pt idx="466">
                  <c:v>13.423522048155872</c:v>
                </c:pt>
                <c:pt idx="467">
                  <c:v>13.423522048155872</c:v>
                </c:pt>
                <c:pt idx="468">
                  <c:v>13.423522048155872</c:v>
                </c:pt>
                <c:pt idx="469">
                  <c:v>13.423522048155872</c:v>
                </c:pt>
                <c:pt idx="470">
                  <c:v>13.423522048155872</c:v>
                </c:pt>
                <c:pt idx="471">
                  <c:v>13.423522048155872</c:v>
                </c:pt>
                <c:pt idx="472">
                  <c:v>13.423522048155872</c:v>
                </c:pt>
                <c:pt idx="473">
                  <c:v>13.423522048155872</c:v>
                </c:pt>
                <c:pt idx="474">
                  <c:v>13.423522048155872</c:v>
                </c:pt>
                <c:pt idx="475">
                  <c:v>13.423522048155872</c:v>
                </c:pt>
                <c:pt idx="476">
                  <c:v>13.423522048155872</c:v>
                </c:pt>
                <c:pt idx="477">
                  <c:v>13.423522048155872</c:v>
                </c:pt>
                <c:pt idx="478">
                  <c:v>13.423522048155872</c:v>
                </c:pt>
                <c:pt idx="479">
                  <c:v>13.423522048155872</c:v>
                </c:pt>
                <c:pt idx="480">
                  <c:v>13.423522048155872</c:v>
                </c:pt>
                <c:pt idx="481">
                  <c:v>13.423522048155872</c:v>
                </c:pt>
                <c:pt idx="482">
                  <c:v>13.423522048155872</c:v>
                </c:pt>
                <c:pt idx="483">
                  <c:v>13.423522048155872</c:v>
                </c:pt>
                <c:pt idx="484">
                  <c:v>13.423522048155872</c:v>
                </c:pt>
                <c:pt idx="485">
                  <c:v>13.423522048155872</c:v>
                </c:pt>
                <c:pt idx="486">
                  <c:v>13.423522048155872</c:v>
                </c:pt>
                <c:pt idx="487">
                  <c:v>13.423522048155872</c:v>
                </c:pt>
                <c:pt idx="488">
                  <c:v>13.423522048155872</c:v>
                </c:pt>
                <c:pt idx="489">
                  <c:v>13.423522048155872</c:v>
                </c:pt>
                <c:pt idx="490">
                  <c:v>13.423522048155872</c:v>
                </c:pt>
                <c:pt idx="491">
                  <c:v>13.423522048155872</c:v>
                </c:pt>
                <c:pt idx="492">
                  <c:v>13.423522048155872</c:v>
                </c:pt>
                <c:pt idx="493">
                  <c:v>13.423522048155872</c:v>
                </c:pt>
                <c:pt idx="494">
                  <c:v>13.423522048155872</c:v>
                </c:pt>
                <c:pt idx="495">
                  <c:v>13.423522048155872</c:v>
                </c:pt>
                <c:pt idx="496">
                  <c:v>13.423522048155872</c:v>
                </c:pt>
                <c:pt idx="497">
                  <c:v>13.423522048155872</c:v>
                </c:pt>
                <c:pt idx="498">
                  <c:v>13.423522048155872</c:v>
                </c:pt>
                <c:pt idx="499">
                  <c:v>13.423522048155872</c:v>
                </c:pt>
                <c:pt idx="500">
                  <c:v>13.423522048155872</c:v>
                </c:pt>
                <c:pt idx="501">
                  <c:v>13.423522048155872</c:v>
                </c:pt>
                <c:pt idx="502">
                  <c:v>13.423522048155872</c:v>
                </c:pt>
                <c:pt idx="503">
                  <c:v>13.423522048155872</c:v>
                </c:pt>
                <c:pt idx="504">
                  <c:v>13.423522048155872</c:v>
                </c:pt>
                <c:pt idx="505">
                  <c:v>13.423522048155872</c:v>
                </c:pt>
                <c:pt idx="506">
                  <c:v>13.423522048155872</c:v>
                </c:pt>
                <c:pt idx="507">
                  <c:v>13.423522048155872</c:v>
                </c:pt>
                <c:pt idx="508">
                  <c:v>13.423522048155872</c:v>
                </c:pt>
                <c:pt idx="509">
                  <c:v>13.423522048155872</c:v>
                </c:pt>
                <c:pt idx="510">
                  <c:v>13.423522048155872</c:v>
                </c:pt>
                <c:pt idx="511">
                  <c:v>13.423522048155872</c:v>
                </c:pt>
                <c:pt idx="512">
                  <c:v>13.423522048155872</c:v>
                </c:pt>
                <c:pt idx="513">
                  <c:v>13.423522048155872</c:v>
                </c:pt>
                <c:pt idx="514">
                  <c:v>13.423522048155872</c:v>
                </c:pt>
                <c:pt idx="515">
                  <c:v>13.423522048155872</c:v>
                </c:pt>
                <c:pt idx="516">
                  <c:v>13.423522048155872</c:v>
                </c:pt>
                <c:pt idx="517">
                  <c:v>13.423522048155872</c:v>
                </c:pt>
                <c:pt idx="518">
                  <c:v>13.423522048155872</c:v>
                </c:pt>
                <c:pt idx="519">
                  <c:v>13.423522048155872</c:v>
                </c:pt>
                <c:pt idx="520">
                  <c:v>13.423522048155872</c:v>
                </c:pt>
                <c:pt idx="521">
                  <c:v>13.423522048155872</c:v>
                </c:pt>
                <c:pt idx="522">
                  <c:v>13.423522048155872</c:v>
                </c:pt>
                <c:pt idx="523">
                  <c:v>13.423522048155872</c:v>
                </c:pt>
                <c:pt idx="524">
                  <c:v>13.423522048155872</c:v>
                </c:pt>
                <c:pt idx="525">
                  <c:v>13.423522048155872</c:v>
                </c:pt>
                <c:pt idx="526">
                  <c:v>13.423522048155872</c:v>
                </c:pt>
                <c:pt idx="527">
                  <c:v>13.423522048155872</c:v>
                </c:pt>
                <c:pt idx="528">
                  <c:v>13.423522048155872</c:v>
                </c:pt>
                <c:pt idx="529">
                  <c:v>13.423522048155872</c:v>
                </c:pt>
                <c:pt idx="530">
                  <c:v>13.423522048155872</c:v>
                </c:pt>
                <c:pt idx="531">
                  <c:v>13.423522048155872</c:v>
                </c:pt>
                <c:pt idx="532">
                  <c:v>13.423522048155872</c:v>
                </c:pt>
                <c:pt idx="533">
                  <c:v>13.423522048155872</c:v>
                </c:pt>
                <c:pt idx="534">
                  <c:v>13.423522048155872</c:v>
                </c:pt>
                <c:pt idx="535">
                  <c:v>13.423522048155872</c:v>
                </c:pt>
                <c:pt idx="536">
                  <c:v>13.423522048155872</c:v>
                </c:pt>
                <c:pt idx="537">
                  <c:v>13.423522048155872</c:v>
                </c:pt>
                <c:pt idx="538">
                  <c:v>13.423522048155872</c:v>
                </c:pt>
                <c:pt idx="539">
                  <c:v>13.423522048155872</c:v>
                </c:pt>
                <c:pt idx="540">
                  <c:v>13.423522048155872</c:v>
                </c:pt>
                <c:pt idx="541">
                  <c:v>13.423522048155872</c:v>
                </c:pt>
                <c:pt idx="542">
                  <c:v>13.423522048155872</c:v>
                </c:pt>
                <c:pt idx="543">
                  <c:v>13.423522048155872</c:v>
                </c:pt>
                <c:pt idx="544">
                  <c:v>13.423522048155872</c:v>
                </c:pt>
                <c:pt idx="545">
                  <c:v>13.423522048155872</c:v>
                </c:pt>
                <c:pt idx="546">
                  <c:v>13.423522048155872</c:v>
                </c:pt>
                <c:pt idx="547">
                  <c:v>13.423522048155872</c:v>
                </c:pt>
                <c:pt idx="548">
                  <c:v>13.423522048155872</c:v>
                </c:pt>
                <c:pt idx="549">
                  <c:v>13.423522048155872</c:v>
                </c:pt>
                <c:pt idx="550">
                  <c:v>13.423522048155872</c:v>
                </c:pt>
                <c:pt idx="551">
                  <c:v>13.423522048155872</c:v>
                </c:pt>
                <c:pt idx="552">
                  <c:v>13.423522048155872</c:v>
                </c:pt>
                <c:pt idx="553">
                  <c:v>13.423522048155872</c:v>
                </c:pt>
                <c:pt idx="554">
                  <c:v>13.423522048155872</c:v>
                </c:pt>
                <c:pt idx="555">
                  <c:v>13.423522048155872</c:v>
                </c:pt>
                <c:pt idx="556">
                  <c:v>13.423522048155872</c:v>
                </c:pt>
                <c:pt idx="557">
                  <c:v>13.423522048155872</c:v>
                </c:pt>
                <c:pt idx="558">
                  <c:v>13.423522048155872</c:v>
                </c:pt>
                <c:pt idx="559">
                  <c:v>13.423522048155872</c:v>
                </c:pt>
                <c:pt idx="560">
                  <c:v>13.423522048155872</c:v>
                </c:pt>
                <c:pt idx="561">
                  <c:v>13.423522048155872</c:v>
                </c:pt>
                <c:pt idx="562">
                  <c:v>13.423522048155872</c:v>
                </c:pt>
                <c:pt idx="563">
                  <c:v>13.423522048155872</c:v>
                </c:pt>
                <c:pt idx="564">
                  <c:v>13.423522048155872</c:v>
                </c:pt>
                <c:pt idx="565">
                  <c:v>13.423522048155872</c:v>
                </c:pt>
                <c:pt idx="566">
                  <c:v>13.423522048155872</c:v>
                </c:pt>
                <c:pt idx="567">
                  <c:v>13.423522048155872</c:v>
                </c:pt>
                <c:pt idx="568">
                  <c:v>13.423522048155872</c:v>
                </c:pt>
                <c:pt idx="569">
                  <c:v>13.423522048155872</c:v>
                </c:pt>
                <c:pt idx="570">
                  <c:v>13.423522048155872</c:v>
                </c:pt>
                <c:pt idx="571">
                  <c:v>13.423522048155872</c:v>
                </c:pt>
                <c:pt idx="572">
                  <c:v>13.423522048155872</c:v>
                </c:pt>
                <c:pt idx="573">
                  <c:v>13.423522048155872</c:v>
                </c:pt>
                <c:pt idx="574">
                  <c:v>13.423522048155872</c:v>
                </c:pt>
                <c:pt idx="575">
                  <c:v>13.423522048155872</c:v>
                </c:pt>
                <c:pt idx="576">
                  <c:v>13.423522048155872</c:v>
                </c:pt>
                <c:pt idx="577">
                  <c:v>13.423522048155872</c:v>
                </c:pt>
                <c:pt idx="578">
                  <c:v>13.423522048155872</c:v>
                </c:pt>
                <c:pt idx="579">
                  <c:v>13.423522048155872</c:v>
                </c:pt>
                <c:pt idx="580">
                  <c:v>13.423522048155872</c:v>
                </c:pt>
                <c:pt idx="581">
                  <c:v>13.423522048155872</c:v>
                </c:pt>
                <c:pt idx="582">
                  <c:v>13.423522048155872</c:v>
                </c:pt>
                <c:pt idx="583">
                  <c:v>13.423522048155872</c:v>
                </c:pt>
                <c:pt idx="584">
                  <c:v>13.423522048155872</c:v>
                </c:pt>
                <c:pt idx="585">
                  <c:v>13.423522048155872</c:v>
                </c:pt>
                <c:pt idx="586">
                  <c:v>13.423522048155872</c:v>
                </c:pt>
                <c:pt idx="587">
                  <c:v>13.423522048155872</c:v>
                </c:pt>
                <c:pt idx="588">
                  <c:v>13.423522048155872</c:v>
                </c:pt>
                <c:pt idx="589">
                  <c:v>13.423522048155872</c:v>
                </c:pt>
                <c:pt idx="590">
                  <c:v>13.423522048155872</c:v>
                </c:pt>
                <c:pt idx="591">
                  <c:v>13.423522048155872</c:v>
                </c:pt>
                <c:pt idx="592">
                  <c:v>13.423522048155872</c:v>
                </c:pt>
                <c:pt idx="593">
                  <c:v>13.423522048155872</c:v>
                </c:pt>
                <c:pt idx="594">
                  <c:v>13.423522048155872</c:v>
                </c:pt>
                <c:pt idx="595">
                  <c:v>13.423522048155872</c:v>
                </c:pt>
                <c:pt idx="596">
                  <c:v>13.423522048155872</c:v>
                </c:pt>
                <c:pt idx="597">
                  <c:v>13.423522048155872</c:v>
                </c:pt>
                <c:pt idx="598">
                  <c:v>13.423522048155872</c:v>
                </c:pt>
                <c:pt idx="599">
                  <c:v>13.423522048155872</c:v>
                </c:pt>
                <c:pt idx="600">
                  <c:v>13.423522048155872</c:v>
                </c:pt>
                <c:pt idx="601">
                  <c:v>13.423522048155872</c:v>
                </c:pt>
                <c:pt idx="602">
                  <c:v>13.423522048155872</c:v>
                </c:pt>
                <c:pt idx="603">
                  <c:v>13.423522048155872</c:v>
                </c:pt>
                <c:pt idx="604">
                  <c:v>13.423522048155872</c:v>
                </c:pt>
                <c:pt idx="605">
                  <c:v>13.423522048155872</c:v>
                </c:pt>
                <c:pt idx="606">
                  <c:v>13.423522048155872</c:v>
                </c:pt>
                <c:pt idx="607">
                  <c:v>13.423522048155872</c:v>
                </c:pt>
                <c:pt idx="608">
                  <c:v>13.423522048155872</c:v>
                </c:pt>
                <c:pt idx="609">
                  <c:v>13.423522048155872</c:v>
                </c:pt>
                <c:pt idx="610">
                  <c:v>13.423522048155872</c:v>
                </c:pt>
                <c:pt idx="611">
                  <c:v>13.423522048155872</c:v>
                </c:pt>
                <c:pt idx="612">
                  <c:v>13.423522048155872</c:v>
                </c:pt>
                <c:pt idx="613">
                  <c:v>13.423522048155872</c:v>
                </c:pt>
                <c:pt idx="614">
                  <c:v>13.423522048155872</c:v>
                </c:pt>
                <c:pt idx="615">
                  <c:v>13.423522048155872</c:v>
                </c:pt>
                <c:pt idx="616">
                  <c:v>13.423522048155872</c:v>
                </c:pt>
                <c:pt idx="617">
                  <c:v>13.423522048155872</c:v>
                </c:pt>
                <c:pt idx="618">
                  <c:v>13.423522048155872</c:v>
                </c:pt>
                <c:pt idx="619">
                  <c:v>13.423522048155872</c:v>
                </c:pt>
                <c:pt idx="620">
                  <c:v>13.423522048155872</c:v>
                </c:pt>
                <c:pt idx="621">
                  <c:v>13.423522048155872</c:v>
                </c:pt>
                <c:pt idx="622">
                  <c:v>13.423522048155872</c:v>
                </c:pt>
                <c:pt idx="623">
                  <c:v>13.423522048155872</c:v>
                </c:pt>
                <c:pt idx="624">
                  <c:v>13.423522048155872</c:v>
                </c:pt>
                <c:pt idx="625">
                  <c:v>13.423522048155872</c:v>
                </c:pt>
                <c:pt idx="626">
                  <c:v>13.423522048155872</c:v>
                </c:pt>
                <c:pt idx="627">
                  <c:v>13.423522048155872</c:v>
                </c:pt>
                <c:pt idx="628">
                  <c:v>13.423522048155872</c:v>
                </c:pt>
                <c:pt idx="629">
                  <c:v>13.423522048155872</c:v>
                </c:pt>
                <c:pt idx="630">
                  <c:v>13.423522048155872</c:v>
                </c:pt>
                <c:pt idx="631">
                  <c:v>13.423522048155872</c:v>
                </c:pt>
                <c:pt idx="632">
                  <c:v>13.423522048155872</c:v>
                </c:pt>
                <c:pt idx="633">
                  <c:v>13.423522048155872</c:v>
                </c:pt>
                <c:pt idx="634">
                  <c:v>13.423522048155872</c:v>
                </c:pt>
                <c:pt idx="635">
                  <c:v>13.423522048155872</c:v>
                </c:pt>
                <c:pt idx="636">
                  <c:v>13.423522048155872</c:v>
                </c:pt>
                <c:pt idx="637">
                  <c:v>13.423522048155872</c:v>
                </c:pt>
                <c:pt idx="638">
                  <c:v>13.423522048155872</c:v>
                </c:pt>
                <c:pt idx="639">
                  <c:v>13.423522048155872</c:v>
                </c:pt>
                <c:pt idx="640">
                  <c:v>13.423522048155872</c:v>
                </c:pt>
                <c:pt idx="641">
                  <c:v>13.423522048155872</c:v>
                </c:pt>
                <c:pt idx="642">
                  <c:v>13.423522048155872</c:v>
                </c:pt>
                <c:pt idx="643">
                  <c:v>13.423522048155872</c:v>
                </c:pt>
                <c:pt idx="644">
                  <c:v>13.423522048155872</c:v>
                </c:pt>
                <c:pt idx="645">
                  <c:v>13.423522048155872</c:v>
                </c:pt>
                <c:pt idx="646">
                  <c:v>13.423522048155872</c:v>
                </c:pt>
                <c:pt idx="647">
                  <c:v>13.423522048155872</c:v>
                </c:pt>
                <c:pt idx="648">
                  <c:v>13.423522048155872</c:v>
                </c:pt>
                <c:pt idx="649">
                  <c:v>13.423522048155872</c:v>
                </c:pt>
                <c:pt idx="650">
                  <c:v>13.423522048155872</c:v>
                </c:pt>
                <c:pt idx="651">
                  <c:v>13.423522048155872</c:v>
                </c:pt>
                <c:pt idx="652">
                  <c:v>13.423522048155872</c:v>
                </c:pt>
                <c:pt idx="653">
                  <c:v>13.423522048155872</c:v>
                </c:pt>
                <c:pt idx="654">
                  <c:v>13.423522048155872</c:v>
                </c:pt>
                <c:pt idx="655">
                  <c:v>13.423522048155872</c:v>
                </c:pt>
                <c:pt idx="656">
                  <c:v>13.423522048155872</c:v>
                </c:pt>
                <c:pt idx="657">
                  <c:v>13.423522048155872</c:v>
                </c:pt>
                <c:pt idx="658">
                  <c:v>13.423522048155872</c:v>
                </c:pt>
                <c:pt idx="659">
                  <c:v>13.423522048155872</c:v>
                </c:pt>
                <c:pt idx="660">
                  <c:v>13.423522048155872</c:v>
                </c:pt>
                <c:pt idx="661">
                  <c:v>13.423522048155872</c:v>
                </c:pt>
                <c:pt idx="662">
                  <c:v>13.423522048155872</c:v>
                </c:pt>
                <c:pt idx="663">
                  <c:v>13.423522048155872</c:v>
                </c:pt>
                <c:pt idx="664">
                  <c:v>13.423522048155872</c:v>
                </c:pt>
                <c:pt idx="665">
                  <c:v>13.423522048155872</c:v>
                </c:pt>
                <c:pt idx="666">
                  <c:v>13.423522048155872</c:v>
                </c:pt>
                <c:pt idx="667">
                  <c:v>13.423522048155872</c:v>
                </c:pt>
                <c:pt idx="668">
                  <c:v>13.423522048155872</c:v>
                </c:pt>
                <c:pt idx="669">
                  <c:v>13.423522048155872</c:v>
                </c:pt>
                <c:pt idx="670">
                  <c:v>13.423522048155872</c:v>
                </c:pt>
                <c:pt idx="671">
                  <c:v>13.423522048155872</c:v>
                </c:pt>
                <c:pt idx="672">
                  <c:v>13.423522048155872</c:v>
                </c:pt>
                <c:pt idx="673">
                  <c:v>13.423522048155872</c:v>
                </c:pt>
                <c:pt idx="674">
                  <c:v>13.423522048155872</c:v>
                </c:pt>
                <c:pt idx="675">
                  <c:v>13.423522048155872</c:v>
                </c:pt>
                <c:pt idx="676">
                  <c:v>13.423522048155872</c:v>
                </c:pt>
                <c:pt idx="677">
                  <c:v>13.423522048155872</c:v>
                </c:pt>
                <c:pt idx="678">
                  <c:v>13.423522048155872</c:v>
                </c:pt>
                <c:pt idx="679">
                  <c:v>13.423522048155872</c:v>
                </c:pt>
                <c:pt idx="680">
                  <c:v>13.423522048155872</c:v>
                </c:pt>
                <c:pt idx="681">
                  <c:v>13.423522048155872</c:v>
                </c:pt>
                <c:pt idx="682">
                  <c:v>13.423522048155872</c:v>
                </c:pt>
                <c:pt idx="683">
                  <c:v>13.423522048155872</c:v>
                </c:pt>
                <c:pt idx="684">
                  <c:v>13.423522048155872</c:v>
                </c:pt>
                <c:pt idx="685">
                  <c:v>13.423522048155872</c:v>
                </c:pt>
                <c:pt idx="686">
                  <c:v>13.423522048155872</c:v>
                </c:pt>
                <c:pt idx="687">
                  <c:v>13.423522048155872</c:v>
                </c:pt>
                <c:pt idx="688">
                  <c:v>13.423522048155872</c:v>
                </c:pt>
                <c:pt idx="689">
                  <c:v>13.423522048155872</c:v>
                </c:pt>
                <c:pt idx="690">
                  <c:v>13.423522048155872</c:v>
                </c:pt>
                <c:pt idx="691">
                  <c:v>13.423522048155872</c:v>
                </c:pt>
                <c:pt idx="692">
                  <c:v>13.423522048155872</c:v>
                </c:pt>
                <c:pt idx="693">
                  <c:v>13.423522048155872</c:v>
                </c:pt>
                <c:pt idx="694">
                  <c:v>13.423522048155872</c:v>
                </c:pt>
                <c:pt idx="695">
                  <c:v>13.423522048155872</c:v>
                </c:pt>
                <c:pt idx="696">
                  <c:v>13.423522048155872</c:v>
                </c:pt>
                <c:pt idx="697">
                  <c:v>13.423522048155872</c:v>
                </c:pt>
                <c:pt idx="698">
                  <c:v>13.423522048155872</c:v>
                </c:pt>
                <c:pt idx="699">
                  <c:v>13.423522048155872</c:v>
                </c:pt>
                <c:pt idx="700">
                  <c:v>13.423522048155872</c:v>
                </c:pt>
                <c:pt idx="701">
                  <c:v>13.423522048155872</c:v>
                </c:pt>
                <c:pt idx="702">
                  <c:v>13.423522048155872</c:v>
                </c:pt>
                <c:pt idx="703">
                  <c:v>13.423522048155872</c:v>
                </c:pt>
                <c:pt idx="704">
                  <c:v>13.423522048155872</c:v>
                </c:pt>
                <c:pt idx="705">
                  <c:v>13.423522048155872</c:v>
                </c:pt>
                <c:pt idx="706">
                  <c:v>13.423522048155872</c:v>
                </c:pt>
                <c:pt idx="707">
                  <c:v>13.423522048155872</c:v>
                </c:pt>
                <c:pt idx="708">
                  <c:v>13.423522048155872</c:v>
                </c:pt>
                <c:pt idx="709">
                  <c:v>13.423522048155872</c:v>
                </c:pt>
                <c:pt idx="710">
                  <c:v>13.423522048155872</c:v>
                </c:pt>
                <c:pt idx="711">
                  <c:v>13.423522048155872</c:v>
                </c:pt>
                <c:pt idx="712">
                  <c:v>13.423522048155872</c:v>
                </c:pt>
                <c:pt idx="713">
                  <c:v>13.423522048155872</c:v>
                </c:pt>
                <c:pt idx="714">
                  <c:v>13.423522048155872</c:v>
                </c:pt>
                <c:pt idx="715">
                  <c:v>13.423522048155872</c:v>
                </c:pt>
                <c:pt idx="716">
                  <c:v>13.423522048155872</c:v>
                </c:pt>
                <c:pt idx="717">
                  <c:v>13.423522048155872</c:v>
                </c:pt>
                <c:pt idx="718">
                  <c:v>13.423522048155872</c:v>
                </c:pt>
                <c:pt idx="719">
                  <c:v>13.423522048155872</c:v>
                </c:pt>
                <c:pt idx="720">
                  <c:v>13.423522048155872</c:v>
                </c:pt>
                <c:pt idx="721">
                  <c:v>13.423522048155872</c:v>
                </c:pt>
                <c:pt idx="722">
                  <c:v>13.423522048155872</c:v>
                </c:pt>
                <c:pt idx="723">
                  <c:v>13.423522048155872</c:v>
                </c:pt>
                <c:pt idx="724">
                  <c:v>13.423522048155872</c:v>
                </c:pt>
                <c:pt idx="725">
                  <c:v>13.423522048155872</c:v>
                </c:pt>
                <c:pt idx="726">
                  <c:v>13.423522048155872</c:v>
                </c:pt>
                <c:pt idx="727">
                  <c:v>13.423522048155872</c:v>
                </c:pt>
                <c:pt idx="728">
                  <c:v>13.423522048155872</c:v>
                </c:pt>
                <c:pt idx="729">
                  <c:v>13.423522048155872</c:v>
                </c:pt>
                <c:pt idx="730">
                  <c:v>13.423522048155872</c:v>
                </c:pt>
                <c:pt idx="731">
                  <c:v>13.423522048155872</c:v>
                </c:pt>
                <c:pt idx="732">
                  <c:v>13.423522048155872</c:v>
                </c:pt>
                <c:pt idx="733">
                  <c:v>13.423522048155872</c:v>
                </c:pt>
                <c:pt idx="734">
                  <c:v>13.423522048155872</c:v>
                </c:pt>
                <c:pt idx="735">
                  <c:v>13.423522048155872</c:v>
                </c:pt>
                <c:pt idx="736">
                  <c:v>13.423522048155872</c:v>
                </c:pt>
                <c:pt idx="737">
                  <c:v>13.423522048155872</c:v>
                </c:pt>
                <c:pt idx="738">
                  <c:v>13.423522048155872</c:v>
                </c:pt>
                <c:pt idx="739">
                  <c:v>13.423522048155872</c:v>
                </c:pt>
                <c:pt idx="740">
                  <c:v>13.423522048155872</c:v>
                </c:pt>
                <c:pt idx="741">
                  <c:v>13.423522048155872</c:v>
                </c:pt>
                <c:pt idx="742">
                  <c:v>13.423522048155872</c:v>
                </c:pt>
                <c:pt idx="743">
                  <c:v>13.423522048155872</c:v>
                </c:pt>
                <c:pt idx="744">
                  <c:v>13.423522048155872</c:v>
                </c:pt>
                <c:pt idx="745">
                  <c:v>13.423522048155872</c:v>
                </c:pt>
                <c:pt idx="746">
                  <c:v>13.423522048155872</c:v>
                </c:pt>
                <c:pt idx="747">
                  <c:v>13.423522048155872</c:v>
                </c:pt>
                <c:pt idx="748">
                  <c:v>13.423522048155872</c:v>
                </c:pt>
                <c:pt idx="749">
                  <c:v>13.423522048155872</c:v>
                </c:pt>
                <c:pt idx="750">
                  <c:v>13.423522048155872</c:v>
                </c:pt>
                <c:pt idx="751">
                  <c:v>13.423522048155872</c:v>
                </c:pt>
                <c:pt idx="752">
                  <c:v>13.423522048155872</c:v>
                </c:pt>
                <c:pt idx="753">
                  <c:v>13.423522048155872</c:v>
                </c:pt>
                <c:pt idx="754">
                  <c:v>13.423522048155872</c:v>
                </c:pt>
                <c:pt idx="755">
                  <c:v>13.423522048155872</c:v>
                </c:pt>
                <c:pt idx="756">
                  <c:v>13.423522048155872</c:v>
                </c:pt>
                <c:pt idx="757">
                  <c:v>13.423522048155872</c:v>
                </c:pt>
                <c:pt idx="758">
                  <c:v>13.423522048155872</c:v>
                </c:pt>
                <c:pt idx="759">
                  <c:v>13.423522048155872</c:v>
                </c:pt>
                <c:pt idx="760">
                  <c:v>13.423522048155872</c:v>
                </c:pt>
                <c:pt idx="761">
                  <c:v>13.423522048155872</c:v>
                </c:pt>
                <c:pt idx="762">
                  <c:v>13.423522048155872</c:v>
                </c:pt>
                <c:pt idx="763">
                  <c:v>13.423522048155872</c:v>
                </c:pt>
                <c:pt idx="764">
                  <c:v>13.423522048155872</c:v>
                </c:pt>
                <c:pt idx="765">
                  <c:v>13.423522048155872</c:v>
                </c:pt>
                <c:pt idx="766">
                  <c:v>13.423522048155872</c:v>
                </c:pt>
                <c:pt idx="767">
                  <c:v>13.423522048155872</c:v>
                </c:pt>
                <c:pt idx="768">
                  <c:v>13.423522048155872</c:v>
                </c:pt>
                <c:pt idx="769">
                  <c:v>13.423522048155872</c:v>
                </c:pt>
                <c:pt idx="770">
                  <c:v>13.423522048155872</c:v>
                </c:pt>
                <c:pt idx="771">
                  <c:v>13.423522048155872</c:v>
                </c:pt>
                <c:pt idx="772">
                  <c:v>13.423522048155872</c:v>
                </c:pt>
                <c:pt idx="773">
                  <c:v>13.423522048155872</c:v>
                </c:pt>
                <c:pt idx="774">
                  <c:v>13.423522048155872</c:v>
                </c:pt>
                <c:pt idx="775">
                  <c:v>13.423522048155872</c:v>
                </c:pt>
                <c:pt idx="776">
                  <c:v>13.423522048155872</c:v>
                </c:pt>
                <c:pt idx="777">
                  <c:v>13.423522048155872</c:v>
                </c:pt>
                <c:pt idx="778">
                  <c:v>13.423522048155872</c:v>
                </c:pt>
                <c:pt idx="779">
                  <c:v>13.423522048155872</c:v>
                </c:pt>
                <c:pt idx="780">
                  <c:v>13.423522048155872</c:v>
                </c:pt>
                <c:pt idx="781">
                  <c:v>13.423522048155872</c:v>
                </c:pt>
                <c:pt idx="782">
                  <c:v>13.423522048155872</c:v>
                </c:pt>
                <c:pt idx="783">
                  <c:v>13.423522048155872</c:v>
                </c:pt>
                <c:pt idx="784">
                  <c:v>13.423522048155872</c:v>
                </c:pt>
                <c:pt idx="785">
                  <c:v>13.423522048155872</c:v>
                </c:pt>
                <c:pt idx="786">
                  <c:v>13.423522048155872</c:v>
                </c:pt>
                <c:pt idx="787">
                  <c:v>13.423522048155872</c:v>
                </c:pt>
                <c:pt idx="788">
                  <c:v>13.423522048155872</c:v>
                </c:pt>
                <c:pt idx="789">
                  <c:v>13.423522048155872</c:v>
                </c:pt>
                <c:pt idx="790">
                  <c:v>13.423522048155872</c:v>
                </c:pt>
                <c:pt idx="791">
                  <c:v>13.423522048155872</c:v>
                </c:pt>
                <c:pt idx="792">
                  <c:v>13.423522048155872</c:v>
                </c:pt>
                <c:pt idx="793">
                  <c:v>13.423522048155872</c:v>
                </c:pt>
                <c:pt idx="794">
                  <c:v>13.423522048155872</c:v>
                </c:pt>
                <c:pt idx="795">
                  <c:v>13.423522048155872</c:v>
                </c:pt>
                <c:pt idx="796">
                  <c:v>13.423522048155872</c:v>
                </c:pt>
                <c:pt idx="797">
                  <c:v>13.423522048155872</c:v>
                </c:pt>
                <c:pt idx="798">
                  <c:v>13.423522048155872</c:v>
                </c:pt>
                <c:pt idx="799">
                  <c:v>13.423522048155872</c:v>
                </c:pt>
                <c:pt idx="800">
                  <c:v>13.423522048155872</c:v>
                </c:pt>
                <c:pt idx="801">
                  <c:v>13.423522048155872</c:v>
                </c:pt>
                <c:pt idx="802">
                  <c:v>13.423522048155872</c:v>
                </c:pt>
                <c:pt idx="803">
                  <c:v>13.423522048155872</c:v>
                </c:pt>
                <c:pt idx="804">
                  <c:v>13.423522048155872</c:v>
                </c:pt>
                <c:pt idx="805">
                  <c:v>13.423522048155872</c:v>
                </c:pt>
                <c:pt idx="806">
                  <c:v>13.423522048155872</c:v>
                </c:pt>
                <c:pt idx="807">
                  <c:v>13.423522048155872</c:v>
                </c:pt>
                <c:pt idx="808">
                  <c:v>13.423522048155872</c:v>
                </c:pt>
                <c:pt idx="809">
                  <c:v>13.423522048155872</c:v>
                </c:pt>
                <c:pt idx="810">
                  <c:v>13.423522048155872</c:v>
                </c:pt>
                <c:pt idx="811">
                  <c:v>13.423522048155872</c:v>
                </c:pt>
                <c:pt idx="812">
                  <c:v>13.423522048155872</c:v>
                </c:pt>
                <c:pt idx="813">
                  <c:v>13.423522048155872</c:v>
                </c:pt>
                <c:pt idx="814">
                  <c:v>13.423522048155872</c:v>
                </c:pt>
                <c:pt idx="815">
                  <c:v>13.423522048155872</c:v>
                </c:pt>
                <c:pt idx="816">
                  <c:v>13.423522048155872</c:v>
                </c:pt>
                <c:pt idx="817">
                  <c:v>13.423522048155872</c:v>
                </c:pt>
                <c:pt idx="818">
                  <c:v>13.423522048155872</c:v>
                </c:pt>
                <c:pt idx="819">
                  <c:v>13.423522048155872</c:v>
                </c:pt>
                <c:pt idx="820">
                  <c:v>13.423522048155872</c:v>
                </c:pt>
                <c:pt idx="821">
                  <c:v>13.423522048155872</c:v>
                </c:pt>
                <c:pt idx="822">
                  <c:v>13.423522048155872</c:v>
                </c:pt>
                <c:pt idx="823">
                  <c:v>13.423522048155872</c:v>
                </c:pt>
                <c:pt idx="824">
                  <c:v>13.423522048155872</c:v>
                </c:pt>
                <c:pt idx="825">
                  <c:v>13.423522048155872</c:v>
                </c:pt>
                <c:pt idx="826">
                  <c:v>13.423522048155872</c:v>
                </c:pt>
                <c:pt idx="827">
                  <c:v>13.423522048155872</c:v>
                </c:pt>
                <c:pt idx="828">
                  <c:v>13.423522048155872</c:v>
                </c:pt>
                <c:pt idx="829">
                  <c:v>13.423522048155872</c:v>
                </c:pt>
                <c:pt idx="830">
                  <c:v>13.423522048155872</c:v>
                </c:pt>
                <c:pt idx="831">
                  <c:v>13.423522048155872</c:v>
                </c:pt>
                <c:pt idx="832">
                  <c:v>13.423522048155872</c:v>
                </c:pt>
                <c:pt idx="833">
                  <c:v>13.423522048155872</c:v>
                </c:pt>
                <c:pt idx="834">
                  <c:v>13.423522048155872</c:v>
                </c:pt>
                <c:pt idx="835">
                  <c:v>13.423522048155872</c:v>
                </c:pt>
                <c:pt idx="836">
                  <c:v>13.423522048155872</c:v>
                </c:pt>
                <c:pt idx="837">
                  <c:v>13.423522048155872</c:v>
                </c:pt>
                <c:pt idx="838">
                  <c:v>13.423522048155872</c:v>
                </c:pt>
                <c:pt idx="839">
                  <c:v>13.423522048155872</c:v>
                </c:pt>
                <c:pt idx="840">
                  <c:v>13.423522048155872</c:v>
                </c:pt>
                <c:pt idx="841">
                  <c:v>13.423522048155872</c:v>
                </c:pt>
                <c:pt idx="842">
                  <c:v>13.423522048155872</c:v>
                </c:pt>
                <c:pt idx="843">
                  <c:v>13.423522048155872</c:v>
                </c:pt>
                <c:pt idx="844">
                  <c:v>13.423522048155872</c:v>
                </c:pt>
                <c:pt idx="845">
                  <c:v>13.423522048155872</c:v>
                </c:pt>
                <c:pt idx="846">
                  <c:v>13.423522048155872</c:v>
                </c:pt>
                <c:pt idx="847">
                  <c:v>13.423522048155872</c:v>
                </c:pt>
                <c:pt idx="848">
                  <c:v>13.423522048155872</c:v>
                </c:pt>
                <c:pt idx="849">
                  <c:v>13.423522048155872</c:v>
                </c:pt>
                <c:pt idx="850">
                  <c:v>13.423522048155872</c:v>
                </c:pt>
                <c:pt idx="851">
                  <c:v>13.423522048155872</c:v>
                </c:pt>
                <c:pt idx="852">
                  <c:v>13.423522048155872</c:v>
                </c:pt>
                <c:pt idx="853">
                  <c:v>13.423522048155872</c:v>
                </c:pt>
                <c:pt idx="854">
                  <c:v>13.423522048155872</c:v>
                </c:pt>
                <c:pt idx="855">
                  <c:v>13.423522048155872</c:v>
                </c:pt>
                <c:pt idx="856">
                  <c:v>13.423522048155872</c:v>
                </c:pt>
                <c:pt idx="857">
                  <c:v>13.423522048155872</c:v>
                </c:pt>
                <c:pt idx="858">
                  <c:v>13.423522048155872</c:v>
                </c:pt>
                <c:pt idx="859">
                  <c:v>13.423522048155872</c:v>
                </c:pt>
                <c:pt idx="860">
                  <c:v>13.423522048155872</c:v>
                </c:pt>
                <c:pt idx="861">
                  <c:v>13.423522048155872</c:v>
                </c:pt>
                <c:pt idx="862">
                  <c:v>13.423522048155872</c:v>
                </c:pt>
                <c:pt idx="863">
                  <c:v>13.423522048155872</c:v>
                </c:pt>
                <c:pt idx="864">
                  <c:v>13.423522048155872</c:v>
                </c:pt>
                <c:pt idx="865">
                  <c:v>13.423522048155872</c:v>
                </c:pt>
                <c:pt idx="866">
                  <c:v>13.423522048155872</c:v>
                </c:pt>
                <c:pt idx="867">
                  <c:v>13.423522048155872</c:v>
                </c:pt>
                <c:pt idx="868">
                  <c:v>13.423522048155872</c:v>
                </c:pt>
                <c:pt idx="869">
                  <c:v>13.423522048155872</c:v>
                </c:pt>
                <c:pt idx="870">
                  <c:v>13.423522048155872</c:v>
                </c:pt>
                <c:pt idx="871">
                  <c:v>13.423522048155872</c:v>
                </c:pt>
                <c:pt idx="872">
                  <c:v>13.423522048155872</c:v>
                </c:pt>
                <c:pt idx="873">
                  <c:v>13.423522048155872</c:v>
                </c:pt>
                <c:pt idx="874">
                  <c:v>13.423522048155872</c:v>
                </c:pt>
                <c:pt idx="875">
                  <c:v>13.423522048155872</c:v>
                </c:pt>
                <c:pt idx="876">
                  <c:v>13.423522048155872</c:v>
                </c:pt>
                <c:pt idx="877">
                  <c:v>13.423522048155872</c:v>
                </c:pt>
                <c:pt idx="878">
                  <c:v>13.423522048155872</c:v>
                </c:pt>
                <c:pt idx="879">
                  <c:v>13.423522048155872</c:v>
                </c:pt>
                <c:pt idx="880">
                  <c:v>13.423522048155872</c:v>
                </c:pt>
                <c:pt idx="881">
                  <c:v>13.423522048155872</c:v>
                </c:pt>
                <c:pt idx="882">
                  <c:v>13.423522048155872</c:v>
                </c:pt>
                <c:pt idx="883">
                  <c:v>13.423522048155872</c:v>
                </c:pt>
                <c:pt idx="884">
                  <c:v>13.423522048155872</c:v>
                </c:pt>
                <c:pt idx="885">
                  <c:v>13.423522048155872</c:v>
                </c:pt>
                <c:pt idx="886">
                  <c:v>13.423522048155872</c:v>
                </c:pt>
                <c:pt idx="887">
                  <c:v>13.423522048155872</c:v>
                </c:pt>
                <c:pt idx="888">
                  <c:v>13.423522048155872</c:v>
                </c:pt>
                <c:pt idx="889">
                  <c:v>13.423522048155872</c:v>
                </c:pt>
                <c:pt idx="890">
                  <c:v>13.423522048155872</c:v>
                </c:pt>
                <c:pt idx="891">
                  <c:v>13.423522048155872</c:v>
                </c:pt>
                <c:pt idx="892">
                  <c:v>13.423522048155872</c:v>
                </c:pt>
                <c:pt idx="893">
                  <c:v>13.423522048155872</c:v>
                </c:pt>
                <c:pt idx="894">
                  <c:v>13.423522048155872</c:v>
                </c:pt>
                <c:pt idx="895">
                  <c:v>13.423522048155872</c:v>
                </c:pt>
                <c:pt idx="896">
                  <c:v>13.423522048155872</c:v>
                </c:pt>
                <c:pt idx="897">
                  <c:v>13.423522048155872</c:v>
                </c:pt>
                <c:pt idx="898">
                  <c:v>13.423522048155872</c:v>
                </c:pt>
                <c:pt idx="899">
                  <c:v>13.423522048155872</c:v>
                </c:pt>
                <c:pt idx="900">
                  <c:v>13.423522048155872</c:v>
                </c:pt>
                <c:pt idx="901">
                  <c:v>13.423522048155872</c:v>
                </c:pt>
                <c:pt idx="902">
                  <c:v>13.423522048155872</c:v>
                </c:pt>
                <c:pt idx="903">
                  <c:v>13.423522048155872</c:v>
                </c:pt>
                <c:pt idx="904">
                  <c:v>13.423522048155872</c:v>
                </c:pt>
                <c:pt idx="905">
                  <c:v>13.423522048155872</c:v>
                </c:pt>
                <c:pt idx="906">
                  <c:v>13.423522048155872</c:v>
                </c:pt>
                <c:pt idx="907">
                  <c:v>13.423522048155872</c:v>
                </c:pt>
                <c:pt idx="908">
                  <c:v>13.423522048155872</c:v>
                </c:pt>
                <c:pt idx="909">
                  <c:v>13.423522048155872</c:v>
                </c:pt>
                <c:pt idx="910">
                  <c:v>13.423522048155872</c:v>
                </c:pt>
                <c:pt idx="911">
                  <c:v>13.423522048155872</c:v>
                </c:pt>
                <c:pt idx="912">
                  <c:v>13.423522048155872</c:v>
                </c:pt>
                <c:pt idx="913">
                  <c:v>13.423522048155872</c:v>
                </c:pt>
                <c:pt idx="914">
                  <c:v>13.423522048155872</c:v>
                </c:pt>
                <c:pt idx="915">
                  <c:v>13.423522048155872</c:v>
                </c:pt>
                <c:pt idx="916">
                  <c:v>13.423522048155872</c:v>
                </c:pt>
                <c:pt idx="917">
                  <c:v>13.423522048155872</c:v>
                </c:pt>
                <c:pt idx="918">
                  <c:v>13.423522048155872</c:v>
                </c:pt>
                <c:pt idx="919">
                  <c:v>13.423522048155872</c:v>
                </c:pt>
                <c:pt idx="920">
                  <c:v>13.423522048155872</c:v>
                </c:pt>
                <c:pt idx="921">
                  <c:v>13.423522048155872</c:v>
                </c:pt>
                <c:pt idx="922">
                  <c:v>13.423522048155872</c:v>
                </c:pt>
                <c:pt idx="923">
                  <c:v>13.423522048155872</c:v>
                </c:pt>
                <c:pt idx="924">
                  <c:v>13.423522048155872</c:v>
                </c:pt>
                <c:pt idx="925">
                  <c:v>13.423522048155872</c:v>
                </c:pt>
                <c:pt idx="926">
                  <c:v>13.423522048155872</c:v>
                </c:pt>
                <c:pt idx="927">
                  <c:v>13.423522048155872</c:v>
                </c:pt>
                <c:pt idx="928">
                  <c:v>13.423522048155872</c:v>
                </c:pt>
                <c:pt idx="929">
                  <c:v>13.423522048155872</c:v>
                </c:pt>
                <c:pt idx="930">
                  <c:v>13.423522048155872</c:v>
                </c:pt>
                <c:pt idx="931">
                  <c:v>13.423522048155872</c:v>
                </c:pt>
                <c:pt idx="932">
                  <c:v>13.423522048155872</c:v>
                </c:pt>
                <c:pt idx="933">
                  <c:v>13.423522048155872</c:v>
                </c:pt>
                <c:pt idx="934">
                  <c:v>13.423522048155872</c:v>
                </c:pt>
                <c:pt idx="935">
                  <c:v>13.423522048155872</c:v>
                </c:pt>
                <c:pt idx="936">
                  <c:v>13.423522048155872</c:v>
                </c:pt>
                <c:pt idx="937">
                  <c:v>13.423522048155872</c:v>
                </c:pt>
                <c:pt idx="938">
                  <c:v>13.423522048155872</c:v>
                </c:pt>
                <c:pt idx="939">
                  <c:v>13.423522048155872</c:v>
                </c:pt>
                <c:pt idx="940">
                  <c:v>13.423522048155872</c:v>
                </c:pt>
                <c:pt idx="941">
                  <c:v>13.423522048155872</c:v>
                </c:pt>
                <c:pt idx="942">
                  <c:v>13.423522048155872</c:v>
                </c:pt>
                <c:pt idx="943">
                  <c:v>13.423522048155872</c:v>
                </c:pt>
                <c:pt idx="944">
                  <c:v>13.423522048155872</c:v>
                </c:pt>
                <c:pt idx="945">
                  <c:v>13.423522048155872</c:v>
                </c:pt>
                <c:pt idx="946">
                  <c:v>13.423522048155872</c:v>
                </c:pt>
                <c:pt idx="947">
                  <c:v>13.423522048155872</c:v>
                </c:pt>
                <c:pt idx="948">
                  <c:v>13.423522048155872</c:v>
                </c:pt>
                <c:pt idx="949">
                  <c:v>13.423522048155872</c:v>
                </c:pt>
                <c:pt idx="950">
                  <c:v>13.423522048155872</c:v>
                </c:pt>
                <c:pt idx="951">
                  <c:v>13.423522048155872</c:v>
                </c:pt>
                <c:pt idx="952">
                  <c:v>13.423522048155872</c:v>
                </c:pt>
                <c:pt idx="953">
                  <c:v>13.423522048155872</c:v>
                </c:pt>
                <c:pt idx="954">
                  <c:v>13.423522048155872</c:v>
                </c:pt>
                <c:pt idx="955">
                  <c:v>13.423522048155872</c:v>
                </c:pt>
                <c:pt idx="956">
                  <c:v>13.423522048155872</c:v>
                </c:pt>
                <c:pt idx="957">
                  <c:v>13.423522048155872</c:v>
                </c:pt>
                <c:pt idx="958">
                  <c:v>13.423522048155872</c:v>
                </c:pt>
                <c:pt idx="959">
                  <c:v>13.423522048155872</c:v>
                </c:pt>
                <c:pt idx="960">
                  <c:v>13.423522048155872</c:v>
                </c:pt>
                <c:pt idx="961">
                  <c:v>13.423522048155872</c:v>
                </c:pt>
                <c:pt idx="962">
                  <c:v>13.423522048155872</c:v>
                </c:pt>
                <c:pt idx="963">
                  <c:v>13.423522048155872</c:v>
                </c:pt>
                <c:pt idx="964">
                  <c:v>13.423522048155872</c:v>
                </c:pt>
                <c:pt idx="965">
                  <c:v>13.423522048155872</c:v>
                </c:pt>
                <c:pt idx="966">
                  <c:v>13.423522048155872</c:v>
                </c:pt>
                <c:pt idx="967">
                  <c:v>13.423522048155872</c:v>
                </c:pt>
                <c:pt idx="968">
                  <c:v>13.423522048155872</c:v>
                </c:pt>
                <c:pt idx="969">
                  <c:v>13.423522048155872</c:v>
                </c:pt>
                <c:pt idx="970">
                  <c:v>13.423522048155872</c:v>
                </c:pt>
                <c:pt idx="971">
                  <c:v>13.423522048155872</c:v>
                </c:pt>
                <c:pt idx="972">
                  <c:v>13.423522048155872</c:v>
                </c:pt>
                <c:pt idx="973">
                  <c:v>13.423522048155872</c:v>
                </c:pt>
                <c:pt idx="974">
                  <c:v>13.423522048155872</c:v>
                </c:pt>
                <c:pt idx="975">
                  <c:v>13.423522048155872</c:v>
                </c:pt>
                <c:pt idx="976">
                  <c:v>13.423522048155872</c:v>
                </c:pt>
                <c:pt idx="977">
                  <c:v>13.423522048155872</c:v>
                </c:pt>
                <c:pt idx="978">
                  <c:v>13.423522048155872</c:v>
                </c:pt>
                <c:pt idx="979">
                  <c:v>13.423522048155872</c:v>
                </c:pt>
                <c:pt idx="980">
                  <c:v>13.423522048155872</c:v>
                </c:pt>
                <c:pt idx="981">
                  <c:v>13.423522048155872</c:v>
                </c:pt>
                <c:pt idx="982">
                  <c:v>13.423522048155872</c:v>
                </c:pt>
                <c:pt idx="983">
                  <c:v>13.423522048155872</c:v>
                </c:pt>
                <c:pt idx="984">
                  <c:v>13.423522048155872</c:v>
                </c:pt>
                <c:pt idx="985">
                  <c:v>13.423522048155872</c:v>
                </c:pt>
                <c:pt idx="986">
                  <c:v>13.423522048155872</c:v>
                </c:pt>
                <c:pt idx="987">
                  <c:v>13.423522048155872</c:v>
                </c:pt>
                <c:pt idx="988">
                  <c:v>13.423522048155872</c:v>
                </c:pt>
                <c:pt idx="989">
                  <c:v>13.423522048155872</c:v>
                </c:pt>
                <c:pt idx="990">
                  <c:v>13.423522048155872</c:v>
                </c:pt>
                <c:pt idx="991">
                  <c:v>13.423522048155872</c:v>
                </c:pt>
                <c:pt idx="992">
                  <c:v>13.423522048155872</c:v>
                </c:pt>
                <c:pt idx="993">
                  <c:v>13.423522048155872</c:v>
                </c:pt>
                <c:pt idx="994">
                  <c:v>13.423522048155872</c:v>
                </c:pt>
                <c:pt idx="995">
                  <c:v>13.423522048155872</c:v>
                </c:pt>
                <c:pt idx="996">
                  <c:v>13.423522048155872</c:v>
                </c:pt>
                <c:pt idx="997">
                  <c:v>13.423522048155872</c:v>
                </c:pt>
                <c:pt idx="998">
                  <c:v>13.423522048155872</c:v>
                </c:pt>
                <c:pt idx="999">
                  <c:v>13.423522048155872</c:v>
                </c:pt>
                <c:pt idx="1000">
                  <c:v>13.423522048155872</c:v>
                </c:pt>
                <c:pt idx="1001">
                  <c:v>13.423522048155872</c:v>
                </c:pt>
                <c:pt idx="1002">
                  <c:v>13.423522048155872</c:v>
                </c:pt>
                <c:pt idx="1003">
                  <c:v>13.423522048155872</c:v>
                </c:pt>
                <c:pt idx="1004">
                  <c:v>13.423522048155872</c:v>
                </c:pt>
                <c:pt idx="1005">
                  <c:v>13.423522048155872</c:v>
                </c:pt>
                <c:pt idx="1006">
                  <c:v>13.423522048155872</c:v>
                </c:pt>
                <c:pt idx="1007">
                  <c:v>13.423522048155872</c:v>
                </c:pt>
                <c:pt idx="1008">
                  <c:v>13.423522048155872</c:v>
                </c:pt>
                <c:pt idx="1009">
                  <c:v>13.423522048155872</c:v>
                </c:pt>
                <c:pt idx="1010">
                  <c:v>13.423522048155872</c:v>
                </c:pt>
                <c:pt idx="1011">
                  <c:v>13.423522048155872</c:v>
                </c:pt>
                <c:pt idx="1012">
                  <c:v>13.423522048155872</c:v>
                </c:pt>
                <c:pt idx="1013">
                  <c:v>13.423522048155872</c:v>
                </c:pt>
                <c:pt idx="1014">
                  <c:v>13.423522048155872</c:v>
                </c:pt>
                <c:pt idx="1015">
                  <c:v>13.423522048155872</c:v>
                </c:pt>
                <c:pt idx="1016">
                  <c:v>13.423522048155872</c:v>
                </c:pt>
                <c:pt idx="1017">
                  <c:v>13.423522048155872</c:v>
                </c:pt>
                <c:pt idx="1018">
                  <c:v>13.423522048155872</c:v>
                </c:pt>
                <c:pt idx="1019">
                  <c:v>13.423522048155872</c:v>
                </c:pt>
                <c:pt idx="1020">
                  <c:v>13.423522048155872</c:v>
                </c:pt>
                <c:pt idx="1021">
                  <c:v>13.423522048155872</c:v>
                </c:pt>
                <c:pt idx="1022">
                  <c:v>13.423522048155872</c:v>
                </c:pt>
                <c:pt idx="1023">
                  <c:v>13.423522048155872</c:v>
                </c:pt>
                <c:pt idx="1024">
                  <c:v>13.423522048155872</c:v>
                </c:pt>
                <c:pt idx="1025">
                  <c:v>13.423522048155872</c:v>
                </c:pt>
                <c:pt idx="1026">
                  <c:v>13.423522048155872</c:v>
                </c:pt>
                <c:pt idx="1027">
                  <c:v>13.423522048155872</c:v>
                </c:pt>
                <c:pt idx="1028">
                  <c:v>13.423522048155872</c:v>
                </c:pt>
                <c:pt idx="1029">
                  <c:v>13.423522048155872</c:v>
                </c:pt>
                <c:pt idx="1030">
                  <c:v>13.423522048155872</c:v>
                </c:pt>
                <c:pt idx="1031">
                  <c:v>13.423522048155872</c:v>
                </c:pt>
                <c:pt idx="1032">
                  <c:v>13.423522048155872</c:v>
                </c:pt>
                <c:pt idx="1033">
                  <c:v>13.423522048155872</c:v>
                </c:pt>
                <c:pt idx="1034">
                  <c:v>13.423522048155872</c:v>
                </c:pt>
                <c:pt idx="1035">
                  <c:v>13.423522048155872</c:v>
                </c:pt>
                <c:pt idx="1036">
                  <c:v>13.423522048155872</c:v>
                </c:pt>
                <c:pt idx="1037">
                  <c:v>13.423522048155872</c:v>
                </c:pt>
                <c:pt idx="1038">
                  <c:v>13.423522048155872</c:v>
                </c:pt>
                <c:pt idx="1039">
                  <c:v>13.423522048155872</c:v>
                </c:pt>
                <c:pt idx="1040">
                  <c:v>13.423522048155872</c:v>
                </c:pt>
                <c:pt idx="1041">
                  <c:v>13.423522048155872</c:v>
                </c:pt>
                <c:pt idx="1042">
                  <c:v>13.423522048155872</c:v>
                </c:pt>
                <c:pt idx="1043">
                  <c:v>13.423522048155872</c:v>
                </c:pt>
                <c:pt idx="1044">
                  <c:v>13.423522048155872</c:v>
                </c:pt>
                <c:pt idx="1045">
                  <c:v>13.423522048155872</c:v>
                </c:pt>
                <c:pt idx="1046">
                  <c:v>13.423522048155872</c:v>
                </c:pt>
                <c:pt idx="1047">
                  <c:v>13.423522048155872</c:v>
                </c:pt>
                <c:pt idx="1048">
                  <c:v>13.423522048155872</c:v>
                </c:pt>
                <c:pt idx="1049">
                  <c:v>13.423522048155872</c:v>
                </c:pt>
                <c:pt idx="1050">
                  <c:v>13.423522048155872</c:v>
                </c:pt>
                <c:pt idx="1051">
                  <c:v>13.423522048155872</c:v>
                </c:pt>
                <c:pt idx="1052">
                  <c:v>13.423522048155872</c:v>
                </c:pt>
                <c:pt idx="1053">
                  <c:v>13.423522048155872</c:v>
                </c:pt>
                <c:pt idx="1054">
                  <c:v>13.423522048155872</c:v>
                </c:pt>
                <c:pt idx="1055">
                  <c:v>13.423522048155872</c:v>
                </c:pt>
                <c:pt idx="1056">
                  <c:v>13.423522048155872</c:v>
                </c:pt>
                <c:pt idx="1057">
                  <c:v>13.423522048155872</c:v>
                </c:pt>
                <c:pt idx="1058">
                  <c:v>13.423522048155872</c:v>
                </c:pt>
                <c:pt idx="1059">
                  <c:v>13.423522048155872</c:v>
                </c:pt>
                <c:pt idx="1060">
                  <c:v>13.423522048155872</c:v>
                </c:pt>
                <c:pt idx="1061">
                  <c:v>13.423522048155872</c:v>
                </c:pt>
                <c:pt idx="1062">
                  <c:v>13.423522048155872</c:v>
                </c:pt>
                <c:pt idx="1063">
                  <c:v>13.423522048155872</c:v>
                </c:pt>
                <c:pt idx="1064">
                  <c:v>13.423522048155872</c:v>
                </c:pt>
                <c:pt idx="1065">
                  <c:v>13.423522048155872</c:v>
                </c:pt>
                <c:pt idx="1066">
                  <c:v>13.423522048155872</c:v>
                </c:pt>
                <c:pt idx="1067">
                  <c:v>13.423522048155872</c:v>
                </c:pt>
                <c:pt idx="1068">
                  <c:v>13.423522048155872</c:v>
                </c:pt>
                <c:pt idx="1069">
                  <c:v>13.423522048155872</c:v>
                </c:pt>
                <c:pt idx="1070">
                  <c:v>13.423522048155872</c:v>
                </c:pt>
                <c:pt idx="1071">
                  <c:v>13.423522048155872</c:v>
                </c:pt>
                <c:pt idx="1072">
                  <c:v>13.423522048155872</c:v>
                </c:pt>
                <c:pt idx="1073">
                  <c:v>13.423522048155872</c:v>
                </c:pt>
                <c:pt idx="1074">
                  <c:v>13.423522048155872</c:v>
                </c:pt>
                <c:pt idx="1075">
                  <c:v>13.423522048155872</c:v>
                </c:pt>
                <c:pt idx="1076">
                  <c:v>13.423522048155872</c:v>
                </c:pt>
                <c:pt idx="1077">
                  <c:v>13.423522048155872</c:v>
                </c:pt>
                <c:pt idx="1078">
                  <c:v>13.423522048155872</c:v>
                </c:pt>
                <c:pt idx="1079">
                  <c:v>13.423522048155872</c:v>
                </c:pt>
                <c:pt idx="1080">
                  <c:v>13.423522048155872</c:v>
                </c:pt>
                <c:pt idx="1081">
                  <c:v>13.423522048155872</c:v>
                </c:pt>
                <c:pt idx="1082">
                  <c:v>13.423522048155872</c:v>
                </c:pt>
                <c:pt idx="1083">
                  <c:v>13.423522048155872</c:v>
                </c:pt>
                <c:pt idx="1084">
                  <c:v>13.423522048155872</c:v>
                </c:pt>
                <c:pt idx="1085">
                  <c:v>13.423522048155872</c:v>
                </c:pt>
                <c:pt idx="1086">
                  <c:v>13.423522048155872</c:v>
                </c:pt>
                <c:pt idx="1087">
                  <c:v>13.423522048155872</c:v>
                </c:pt>
                <c:pt idx="1088">
                  <c:v>13.423522048155872</c:v>
                </c:pt>
                <c:pt idx="1089">
                  <c:v>13.423522048155872</c:v>
                </c:pt>
                <c:pt idx="1090">
                  <c:v>13.423522048155872</c:v>
                </c:pt>
                <c:pt idx="1091">
                  <c:v>13.423522048155872</c:v>
                </c:pt>
                <c:pt idx="1092">
                  <c:v>13.423522048155872</c:v>
                </c:pt>
                <c:pt idx="1093">
                  <c:v>13.423522048155872</c:v>
                </c:pt>
                <c:pt idx="1094">
                  <c:v>13.423522048155872</c:v>
                </c:pt>
                <c:pt idx="1095">
                  <c:v>13.423522048155872</c:v>
                </c:pt>
                <c:pt idx="1096">
                  <c:v>13.423522048155872</c:v>
                </c:pt>
                <c:pt idx="1097">
                  <c:v>13.423522048155872</c:v>
                </c:pt>
                <c:pt idx="1098">
                  <c:v>13.423522048155872</c:v>
                </c:pt>
                <c:pt idx="1099">
                  <c:v>13.423522048155872</c:v>
                </c:pt>
                <c:pt idx="1100">
                  <c:v>13.423522048155872</c:v>
                </c:pt>
                <c:pt idx="1101">
                  <c:v>13.423522048155872</c:v>
                </c:pt>
                <c:pt idx="1102">
                  <c:v>13.423522048155872</c:v>
                </c:pt>
                <c:pt idx="1103">
                  <c:v>13.423522048155872</c:v>
                </c:pt>
                <c:pt idx="1104">
                  <c:v>13.423522048155872</c:v>
                </c:pt>
                <c:pt idx="1105">
                  <c:v>13.423522048155872</c:v>
                </c:pt>
                <c:pt idx="1106">
                  <c:v>13.423522048155872</c:v>
                </c:pt>
                <c:pt idx="1107">
                  <c:v>13.423522048155872</c:v>
                </c:pt>
                <c:pt idx="1108">
                  <c:v>13.423522048155872</c:v>
                </c:pt>
                <c:pt idx="1109">
                  <c:v>13.423522048155872</c:v>
                </c:pt>
                <c:pt idx="1110">
                  <c:v>13.423522048155872</c:v>
                </c:pt>
                <c:pt idx="1111">
                  <c:v>13.423522048155872</c:v>
                </c:pt>
                <c:pt idx="1112">
                  <c:v>13.423522048155872</c:v>
                </c:pt>
                <c:pt idx="1113">
                  <c:v>13.423522048155872</c:v>
                </c:pt>
                <c:pt idx="1114">
                  <c:v>13.423522048155872</c:v>
                </c:pt>
                <c:pt idx="1115">
                  <c:v>13.423522048155872</c:v>
                </c:pt>
                <c:pt idx="1116">
                  <c:v>13.423522048155872</c:v>
                </c:pt>
                <c:pt idx="1117">
                  <c:v>13.423522048155872</c:v>
                </c:pt>
                <c:pt idx="1118">
                  <c:v>13.423522048155872</c:v>
                </c:pt>
                <c:pt idx="1119">
                  <c:v>13.423522048155872</c:v>
                </c:pt>
                <c:pt idx="1120">
                  <c:v>13.423522048155872</c:v>
                </c:pt>
                <c:pt idx="1121">
                  <c:v>13.423522048155872</c:v>
                </c:pt>
                <c:pt idx="1122">
                  <c:v>13.423522048155872</c:v>
                </c:pt>
                <c:pt idx="1123">
                  <c:v>13.423522048155872</c:v>
                </c:pt>
                <c:pt idx="1124">
                  <c:v>13.423522048155872</c:v>
                </c:pt>
                <c:pt idx="1125">
                  <c:v>13.423522048155872</c:v>
                </c:pt>
                <c:pt idx="1126">
                  <c:v>13.423522048155872</c:v>
                </c:pt>
                <c:pt idx="1127">
                  <c:v>13.423522048155872</c:v>
                </c:pt>
                <c:pt idx="1128">
                  <c:v>13.423522048155872</c:v>
                </c:pt>
                <c:pt idx="1129">
                  <c:v>13.423522048155872</c:v>
                </c:pt>
                <c:pt idx="1130">
                  <c:v>13.423522048155872</c:v>
                </c:pt>
                <c:pt idx="1131">
                  <c:v>13.423522048155872</c:v>
                </c:pt>
                <c:pt idx="1132">
                  <c:v>13.423522048155872</c:v>
                </c:pt>
                <c:pt idx="1133">
                  <c:v>13.423522048155872</c:v>
                </c:pt>
                <c:pt idx="1134">
                  <c:v>13.423522048155872</c:v>
                </c:pt>
                <c:pt idx="1135">
                  <c:v>13.423522048155872</c:v>
                </c:pt>
                <c:pt idx="1136">
                  <c:v>13.423522048155872</c:v>
                </c:pt>
                <c:pt idx="1137">
                  <c:v>13.423522048155872</c:v>
                </c:pt>
                <c:pt idx="1138">
                  <c:v>13.423522048155872</c:v>
                </c:pt>
                <c:pt idx="1139">
                  <c:v>13.423522048155872</c:v>
                </c:pt>
                <c:pt idx="1140">
                  <c:v>13.423522048155872</c:v>
                </c:pt>
                <c:pt idx="1141">
                  <c:v>13.423522048155872</c:v>
                </c:pt>
                <c:pt idx="1142">
                  <c:v>13.423522048155872</c:v>
                </c:pt>
                <c:pt idx="1143">
                  <c:v>13.423522048155872</c:v>
                </c:pt>
                <c:pt idx="1144">
                  <c:v>13.423522048155872</c:v>
                </c:pt>
                <c:pt idx="1145">
                  <c:v>13.423522048155872</c:v>
                </c:pt>
                <c:pt idx="1146">
                  <c:v>13.423522048155872</c:v>
                </c:pt>
                <c:pt idx="1147">
                  <c:v>13.423522048155872</c:v>
                </c:pt>
                <c:pt idx="1148">
                  <c:v>13.423522048155872</c:v>
                </c:pt>
                <c:pt idx="1149">
                  <c:v>13.423522048155872</c:v>
                </c:pt>
                <c:pt idx="1150">
                  <c:v>13.423522048155872</c:v>
                </c:pt>
                <c:pt idx="1151">
                  <c:v>13.423522048155872</c:v>
                </c:pt>
                <c:pt idx="1152">
                  <c:v>13.423522048155872</c:v>
                </c:pt>
                <c:pt idx="1153">
                  <c:v>13.423522048155872</c:v>
                </c:pt>
                <c:pt idx="1154">
                  <c:v>13.423522048155872</c:v>
                </c:pt>
                <c:pt idx="1155">
                  <c:v>13.423522048155872</c:v>
                </c:pt>
                <c:pt idx="1156">
                  <c:v>13.423522048155872</c:v>
                </c:pt>
                <c:pt idx="1157">
                  <c:v>13.423522048155872</c:v>
                </c:pt>
                <c:pt idx="1158">
                  <c:v>13.423522048155872</c:v>
                </c:pt>
                <c:pt idx="1159">
                  <c:v>13.423522048155872</c:v>
                </c:pt>
                <c:pt idx="1160">
                  <c:v>13.423522048155872</c:v>
                </c:pt>
                <c:pt idx="1161">
                  <c:v>13.423522048155872</c:v>
                </c:pt>
                <c:pt idx="1162">
                  <c:v>13.423522048155872</c:v>
                </c:pt>
                <c:pt idx="1163">
                  <c:v>13.423522048155872</c:v>
                </c:pt>
                <c:pt idx="1164">
                  <c:v>13.423522048155872</c:v>
                </c:pt>
                <c:pt idx="1165">
                  <c:v>13.423522048155872</c:v>
                </c:pt>
                <c:pt idx="1166">
                  <c:v>13.423522048155872</c:v>
                </c:pt>
                <c:pt idx="1167">
                  <c:v>13.423522048155872</c:v>
                </c:pt>
                <c:pt idx="1168">
                  <c:v>13.423522048155872</c:v>
                </c:pt>
                <c:pt idx="1169">
                  <c:v>13.423522048155872</c:v>
                </c:pt>
                <c:pt idx="1170">
                  <c:v>13.423522048155872</c:v>
                </c:pt>
                <c:pt idx="1171">
                  <c:v>13.423522048155872</c:v>
                </c:pt>
                <c:pt idx="1172">
                  <c:v>13.423522048155872</c:v>
                </c:pt>
                <c:pt idx="1173">
                  <c:v>13.423522048155872</c:v>
                </c:pt>
                <c:pt idx="1174">
                  <c:v>13.423522048155872</c:v>
                </c:pt>
                <c:pt idx="1175">
                  <c:v>13.423522048155872</c:v>
                </c:pt>
                <c:pt idx="1176">
                  <c:v>13.423522048155872</c:v>
                </c:pt>
                <c:pt idx="1177">
                  <c:v>13.423522048155872</c:v>
                </c:pt>
                <c:pt idx="1178">
                  <c:v>13.423522048155872</c:v>
                </c:pt>
                <c:pt idx="1179">
                  <c:v>13.423522048155872</c:v>
                </c:pt>
                <c:pt idx="1180">
                  <c:v>13.423522048155872</c:v>
                </c:pt>
                <c:pt idx="1181">
                  <c:v>13.423522048155872</c:v>
                </c:pt>
                <c:pt idx="1182">
                  <c:v>13.423522048155872</c:v>
                </c:pt>
                <c:pt idx="1183">
                  <c:v>13.423522048155872</c:v>
                </c:pt>
                <c:pt idx="1184">
                  <c:v>13.423522048155872</c:v>
                </c:pt>
                <c:pt idx="1185">
                  <c:v>13.423522048155872</c:v>
                </c:pt>
                <c:pt idx="1186">
                  <c:v>13.423522048155872</c:v>
                </c:pt>
                <c:pt idx="1187">
                  <c:v>13.423522048155872</c:v>
                </c:pt>
                <c:pt idx="1188">
                  <c:v>13.423522048155872</c:v>
                </c:pt>
                <c:pt idx="1189">
                  <c:v>13.423522048155872</c:v>
                </c:pt>
                <c:pt idx="1190">
                  <c:v>13.423522048155872</c:v>
                </c:pt>
                <c:pt idx="1191">
                  <c:v>13.423522048155872</c:v>
                </c:pt>
                <c:pt idx="1192">
                  <c:v>13.423522048155872</c:v>
                </c:pt>
                <c:pt idx="1193">
                  <c:v>13.423522048155872</c:v>
                </c:pt>
                <c:pt idx="1194">
                  <c:v>13.423522048155872</c:v>
                </c:pt>
                <c:pt idx="1195">
                  <c:v>13.423522048155872</c:v>
                </c:pt>
                <c:pt idx="1196">
                  <c:v>13.423522048155872</c:v>
                </c:pt>
                <c:pt idx="1197">
                  <c:v>13.423522048155872</c:v>
                </c:pt>
                <c:pt idx="1198">
                  <c:v>13.423522048155872</c:v>
                </c:pt>
                <c:pt idx="1199">
                  <c:v>13.423522048155872</c:v>
                </c:pt>
                <c:pt idx="1200">
                  <c:v>13.423522048155872</c:v>
                </c:pt>
                <c:pt idx="1201">
                  <c:v>13.423522048155872</c:v>
                </c:pt>
                <c:pt idx="1202">
                  <c:v>13.423522048155872</c:v>
                </c:pt>
                <c:pt idx="1203">
                  <c:v>13.423522048155872</c:v>
                </c:pt>
                <c:pt idx="1204">
                  <c:v>13.423522048155872</c:v>
                </c:pt>
                <c:pt idx="1205">
                  <c:v>13.423522048155872</c:v>
                </c:pt>
                <c:pt idx="1206">
                  <c:v>13.423522048155872</c:v>
                </c:pt>
                <c:pt idx="1207">
                  <c:v>13.423522048155872</c:v>
                </c:pt>
                <c:pt idx="1208">
                  <c:v>13.423522048155872</c:v>
                </c:pt>
                <c:pt idx="1209">
                  <c:v>13.423522048155872</c:v>
                </c:pt>
                <c:pt idx="1210">
                  <c:v>13.423522048155872</c:v>
                </c:pt>
                <c:pt idx="1211">
                  <c:v>13.423522048155872</c:v>
                </c:pt>
                <c:pt idx="1212">
                  <c:v>13.423522048155872</c:v>
                </c:pt>
                <c:pt idx="1213">
                  <c:v>13.423522048155872</c:v>
                </c:pt>
                <c:pt idx="1214">
                  <c:v>13.423522048155872</c:v>
                </c:pt>
                <c:pt idx="1215">
                  <c:v>13.423522048155872</c:v>
                </c:pt>
                <c:pt idx="1216">
                  <c:v>13.423522048155872</c:v>
                </c:pt>
                <c:pt idx="1217">
                  <c:v>13.423522048155872</c:v>
                </c:pt>
                <c:pt idx="1218">
                  <c:v>13.423522048155872</c:v>
                </c:pt>
                <c:pt idx="1219">
                  <c:v>13.423522048155872</c:v>
                </c:pt>
                <c:pt idx="1220">
                  <c:v>13.423522048155872</c:v>
                </c:pt>
                <c:pt idx="1221">
                  <c:v>13.423522048155872</c:v>
                </c:pt>
                <c:pt idx="1222">
                  <c:v>13.423522048155872</c:v>
                </c:pt>
                <c:pt idx="1223">
                  <c:v>13.423522048155872</c:v>
                </c:pt>
                <c:pt idx="1224">
                  <c:v>13.423522048155872</c:v>
                </c:pt>
                <c:pt idx="1225">
                  <c:v>13.423522048155872</c:v>
                </c:pt>
                <c:pt idx="1226">
                  <c:v>13.423522048155872</c:v>
                </c:pt>
                <c:pt idx="1227">
                  <c:v>13.423522048155872</c:v>
                </c:pt>
                <c:pt idx="1228">
                  <c:v>13.423522048155872</c:v>
                </c:pt>
                <c:pt idx="1229">
                  <c:v>13.423522048155872</c:v>
                </c:pt>
                <c:pt idx="1230">
                  <c:v>13.423522048155872</c:v>
                </c:pt>
                <c:pt idx="1231">
                  <c:v>13.423522048155872</c:v>
                </c:pt>
                <c:pt idx="1232">
                  <c:v>13.423522048155872</c:v>
                </c:pt>
                <c:pt idx="1233">
                  <c:v>13.423522048155872</c:v>
                </c:pt>
                <c:pt idx="1234">
                  <c:v>13.423522048155872</c:v>
                </c:pt>
                <c:pt idx="1235">
                  <c:v>13.423522048155872</c:v>
                </c:pt>
                <c:pt idx="1236">
                  <c:v>13.423522048155872</c:v>
                </c:pt>
                <c:pt idx="1237">
                  <c:v>13.423522048155872</c:v>
                </c:pt>
                <c:pt idx="1238">
                  <c:v>13.423522048155872</c:v>
                </c:pt>
                <c:pt idx="1239">
                  <c:v>13.423522048155872</c:v>
                </c:pt>
                <c:pt idx="1240">
                  <c:v>13.423522048155872</c:v>
                </c:pt>
                <c:pt idx="1241">
                  <c:v>13.423522048155872</c:v>
                </c:pt>
                <c:pt idx="1242">
                  <c:v>13.423522048155872</c:v>
                </c:pt>
                <c:pt idx="1243">
                  <c:v>13.423522048155872</c:v>
                </c:pt>
                <c:pt idx="1244">
                  <c:v>13.423522048155872</c:v>
                </c:pt>
                <c:pt idx="1245">
                  <c:v>13.423522048155872</c:v>
                </c:pt>
                <c:pt idx="1246">
                  <c:v>13.423522048155872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53-47A4-A715-399800330104}"/>
            </c:ext>
          </c:extLst>
        </c:ser>
        <c:ser>
          <c:idx val="2"/>
          <c:order val="1"/>
          <c:tx>
            <c:strRef>
              <c:f>'FX Data'!$H$956</c:f>
              <c:strCache>
                <c:ptCount val="1"/>
                <c:pt idx="0">
                  <c:v>=-1sd</c:v>
                </c:pt>
              </c:strCache>
            </c:strRef>
          </c:tx>
          <c:spPr>
            <a:ln w="12700" cap="rnd">
              <a:solidFill>
                <a:srgbClr val="F79646">
                  <a:lumMod val="60000"/>
                  <a:lumOff val="40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'FX Data'!$B$957:$B$2204</c:f>
              <c:numCache>
                <c:formatCode>m/d/yyyy</c:formatCode>
                <c:ptCount val="1248"/>
                <c:pt idx="0">
                  <c:v>44263</c:v>
                </c:pt>
                <c:pt idx="1">
                  <c:v>44264</c:v>
                </c:pt>
                <c:pt idx="2">
                  <c:v>44265</c:v>
                </c:pt>
                <c:pt idx="3">
                  <c:v>44266</c:v>
                </c:pt>
                <c:pt idx="4">
                  <c:v>44267</c:v>
                </c:pt>
                <c:pt idx="5">
                  <c:v>44270</c:v>
                </c:pt>
                <c:pt idx="6">
                  <c:v>44271</c:v>
                </c:pt>
                <c:pt idx="7">
                  <c:v>44272</c:v>
                </c:pt>
                <c:pt idx="8">
                  <c:v>44273</c:v>
                </c:pt>
                <c:pt idx="9">
                  <c:v>44274</c:v>
                </c:pt>
                <c:pt idx="10">
                  <c:v>44277</c:v>
                </c:pt>
                <c:pt idx="11">
                  <c:v>44278</c:v>
                </c:pt>
                <c:pt idx="12">
                  <c:v>44279</c:v>
                </c:pt>
                <c:pt idx="13">
                  <c:v>44280</c:v>
                </c:pt>
                <c:pt idx="14">
                  <c:v>44281</c:v>
                </c:pt>
                <c:pt idx="15">
                  <c:v>44284</c:v>
                </c:pt>
                <c:pt idx="16">
                  <c:v>44285</c:v>
                </c:pt>
                <c:pt idx="17">
                  <c:v>44286</c:v>
                </c:pt>
                <c:pt idx="18">
                  <c:v>44287</c:v>
                </c:pt>
                <c:pt idx="19">
                  <c:v>44288</c:v>
                </c:pt>
                <c:pt idx="20">
                  <c:v>44291</c:v>
                </c:pt>
                <c:pt idx="21">
                  <c:v>44292</c:v>
                </c:pt>
                <c:pt idx="22">
                  <c:v>44293</c:v>
                </c:pt>
                <c:pt idx="23">
                  <c:v>44294</c:v>
                </c:pt>
                <c:pt idx="24">
                  <c:v>44295</c:v>
                </c:pt>
                <c:pt idx="25">
                  <c:v>44298</c:v>
                </c:pt>
                <c:pt idx="26">
                  <c:v>44299</c:v>
                </c:pt>
                <c:pt idx="27">
                  <c:v>44300</c:v>
                </c:pt>
                <c:pt idx="28">
                  <c:v>44301</c:v>
                </c:pt>
                <c:pt idx="29">
                  <c:v>44302</c:v>
                </c:pt>
                <c:pt idx="30">
                  <c:v>44305</c:v>
                </c:pt>
                <c:pt idx="31">
                  <c:v>44306</c:v>
                </c:pt>
                <c:pt idx="32">
                  <c:v>44308</c:v>
                </c:pt>
                <c:pt idx="33">
                  <c:v>44309</c:v>
                </c:pt>
                <c:pt idx="34">
                  <c:v>44312</c:v>
                </c:pt>
                <c:pt idx="35">
                  <c:v>44313</c:v>
                </c:pt>
                <c:pt idx="36">
                  <c:v>44314</c:v>
                </c:pt>
                <c:pt idx="37">
                  <c:v>44315</c:v>
                </c:pt>
                <c:pt idx="38">
                  <c:v>44320</c:v>
                </c:pt>
                <c:pt idx="39">
                  <c:v>44321</c:v>
                </c:pt>
                <c:pt idx="40">
                  <c:v>44322</c:v>
                </c:pt>
                <c:pt idx="41">
                  <c:v>44323</c:v>
                </c:pt>
                <c:pt idx="42">
                  <c:v>44326</c:v>
                </c:pt>
                <c:pt idx="43">
                  <c:v>44327</c:v>
                </c:pt>
                <c:pt idx="44">
                  <c:v>44328</c:v>
                </c:pt>
                <c:pt idx="45">
                  <c:v>44329</c:v>
                </c:pt>
                <c:pt idx="46">
                  <c:v>44330</c:v>
                </c:pt>
                <c:pt idx="47">
                  <c:v>44333</c:v>
                </c:pt>
                <c:pt idx="48">
                  <c:v>44334</c:v>
                </c:pt>
                <c:pt idx="49">
                  <c:v>44335</c:v>
                </c:pt>
                <c:pt idx="50">
                  <c:v>44336</c:v>
                </c:pt>
                <c:pt idx="51">
                  <c:v>44337</c:v>
                </c:pt>
                <c:pt idx="52">
                  <c:v>44340</c:v>
                </c:pt>
                <c:pt idx="53">
                  <c:v>44341</c:v>
                </c:pt>
                <c:pt idx="54">
                  <c:v>44342</c:v>
                </c:pt>
                <c:pt idx="55">
                  <c:v>44343</c:v>
                </c:pt>
                <c:pt idx="56">
                  <c:v>44344</c:v>
                </c:pt>
                <c:pt idx="57">
                  <c:v>44347</c:v>
                </c:pt>
                <c:pt idx="58">
                  <c:v>44348</c:v>
                </c:pt>
                <c:pt idx="59">
                  <c:v>44349</c:v>
                </c:pt>
                <c:pt idx="60">
                  <c:v>44350</c:v>
                </c:pt>
                <c:pt idx="61">
                  <c:v>44351</c:v>
                </c:pt>
                <c:pt idx="62">
                  <c:v>44354</c:v>
                </c:pt>
                <c:pt idx="63">
                  <c:v>44355</c:v>
                </c:pt>
                <c:pt idx="64">
                  <c:v>44356</c:v>
                </c:pt>
                <c:pt idx="65">
                  <c:v>44357</c:v>
                </c:pt>
                <c:pt idx="66">
                  <c:v>44358</c:v>
                </c:pt>
                <c:pt idx="67">
                  <c:v>44361</c:v>
                </c:pt>
                <c:pt idx="68">
                  <c:v>44362</c:v>
                </c:pt>
                <c:pt idx="69">
                  <c:v>44363</c:v>
                </c:pt>
                <c:pt idx="70">
                  <c:v>44364</c:v>
                </c:pt>
                <c:pt idx="71">
                  <c:v>44365</c:v>
                </c:pt>
                <c:pt idx="72">
                  <c:v>44368</c:v>
                </c:pt>
                <c:pt idx="73">
                  <c:v>44369</c:v>
                </c:pt>
                <c:pt idx="74">
                  <c:v>44370</c:v>
                </c:pt>
                <c:pt idx="75">
                  <c:v>44371</c:v>
                </c:pt>
                <c:pt idx="76">
                  <c:v>44372</c:v>
                </c:pt>
                <c:pt idx="77">
                  <c:v>44375</c:v>
                </c:pt>
                <c:pt idx="78">
                  <c:v>44376</c:v>
                </c:pt>
                <c:pt idx="79">
                  <c:v>44377</c:v>
                </c:pt>
                <c:pt idx="80">
                  <c:v>44378</c:v>
                </c:pt>
                <c:pt idx="81">
                  <c:v>44379</c:v>
                </c:pt>
                <c:pt idx="82">
                  <c:v>44382</c:v>
                </c:pt>
                <c:pt idx="83">
                  <c:v>44383</c:v>
                </c:pt>
                <c:pt idx="84">
                  <c:v>44384</c:v>
                </c:pt>
                <c:pt idx="85">
                  <c:v>44385</c:v>
                </c:pt>
                <c:pt idx="86">
                  <c:v>44386</c:v>
                </c:pt>
                <c:pt idx="87">
                  <c:v>44389</c:v>
                </c:pt>
                <c:pt idx="88">
                  <c:v>44390</c:v>
                </c:pt>
                <c:pt idx="89">
                  <c:v>44391</c:v>
                </c:pt>
                <c:pt idx="90">
                  <c:v>44392</c:v>
                </c:pt>
                <c:pt idx="91">
                  <c:v>44393</c:v>
                </c:pt>
                <c:pt idx="92">
                  <c:v>44396</c:v>
                </c:pt>
                <c:pt idx="93">
                  <c:v>44397</c:v>
                </c:pt>
                <c:pt idx="94">
                  <c:v>44398</c:v>
                </c:pt>
                <c:pt idx="95">
                  <c:v>44399</c:v>
                </c:pt>
                <c:pt idx="96">
                  <c:v>44400</c:v>
                </c:pt>
                <c:pt idx="97">
                  <c:v>44403</c:v>
                </c:pt>
                <c:pt idx="98">
                  <c:v>44404</c:v>
                </c:pt>
                <c:pt idx="99">
                  <c:v>44405</c:v>
                </c:pt>
                <c:pt idx="100">
                  <c:v>44406</c:v>
                </c:pt>
                <c:pt idx="101">
                  <c:v>44407</c:v>
                </c:pt>
                <c:pt idx="102">
                  <c:v>44410</c:v>
                </c:pt>
                <c:pt idx="103">
                  <c:v>44411</c:v>
                </c:pt>
                <c:pt idx="104">
                  <c:v>44412</c:v>
                </c:pt>
                <c:pt idx="105">
                  <c:v>44413</c:v>
                </c:pt>
                <c:pt idx="106">
                  <c:v>44414</c:v>
                </c:pt>
                <c:pt idx="107">
                  <c:v>44417</c:v>
                </c:pt>
                <c:pt idx="108">
                  <c:v>44418</c:v>
                </c:pt>
                <c:pt idx="109">
                  <c:v>44419</c:v>
                </c:pt>
                <c:pt idx="110">
                  <c:v>44420</c:v>
                </c:pt>
                <c:pt idx="111">
                  <c:v>44421</c:v>
                </c:pt>
                <c:pt idx="112">
                  <c:v>44424</c:v>
                </c:pt>
                <c:pt idx="113">
                  <c:v>44425</c:v>
                </c:pt>
                <c:pt idx="114">
                  <c:v>44426</c:v>
                </c:pt>
                <c:pt idx="115">
                  <c:v>44427</c:v>
                </c:pt>
                <c:pt idx="116">
                  <c:v>44428</c:v>
                </c:pt>
                <c:pt idx="117">
                  <c:v>44431</c:v>
                </c:pt>
                <c:pt idx="118">
                  <c:v>44432</c:v>
                </c:pt>
                <c:pt idx="119">
                  <c:v>44433</c:v>
                </c:pt>
                <c:pt idx="120">
                  <c:v>44434</c:v>
                </c:pt>
                <c:pt idx="121">
                  <c:v>44435</c:v>
                </c:pt>
                <c:pt idx="122">
                  <c:v>44438</c:v>
                </c:pt>
                <c:pt idx="123">
                  <c:v>44439</c:v>
                </c:pt>
                <c:pt idx="124">
                  <c:v>44440</c:v>
                </c:pt>
                <c:pt idx="125">
                  <c:v>44445</c:v>
                </c:pt>
                <c:pt idx="126">
                  <c:v>44446</c:v>
                </c:pt>
                <c:pt idx="127">
                  <c:v>44447</c:v>
                </c:pt>
                <c:pt idx="128">
                  <c:v>44448</c:v>
                </c:pt>
                <c:pt idx="129">
                  <c:v>44449</c:v>
                </c:pt>
                <c:pt idx="130">
                  <c:v>44452</c:v>
                </c:pt>
                <c:pt idx="131">
                  <c:v>44453</c:v>
                </c:pt>
                <c:pt idx="132">
                  <c:v>44454</c:v>
                </c:pt>
                <c:pt idx="133">
                  <c:v>44455</c:v>
                </c:pt>
                <c:pt idx="134">
                  <c:v>44456</c:v>
                </c:pt>
                <c:pt idx="135">
                  <c:v>44459</c:v>
                </c:pt>
                <c:pt idx="136">
                  <c:v>44460</c:v>
                </c:pt>
                <c:pt idx="137">
                  <c:v>44461</c:v>
                </c:pt>
                <c:pt idx="138">
                  <c:v>44462</c:v>
                </c:pt>
                <c:pt idx="139">
                  <c:v>44463</c:v>
                </c:pt>
                <c:pt idx="140">
                  <c:v>44466</c:v>
                </c:pt>
                <c:pt idx="141">
                  <c:v>44467</c:v>
                </c:pt>
                <c:pt idx="142">
                  <c:v>44468</c:v>
                </c:pt>
                <c:pt idx="143">
                  <c:v>44469</c:v>
                </c:pt>
                <c:pt idx="144">
                  <c:v>44470</c:v>
                </c:pt>
                <c:pt idx="145">
                  <c:v>44473</c:v>
                </c:pt>
                <c:pt idx="146">
                  <c:v>44474</c:v>
                </c:pt>
                <c:pt idx="147">
                  <c:v>44475</c:v>
                </c:pt>
                <c:pt idx="148">
                  <c:v>44476</c:v>
                </c:pt>
                <c:pt idx="149">
                  <c:v>44477</c:v>
                </c:pt>
                <c:pt idx="150">
                  <c:v>44480</c:v>
                </c:pt>
                <c:pt idx="151">
                  <c:v>44481</c:v>
                </c:pt>
                <c:pt idx="152">
                  <c:v>44482</c:v>
                </c:pt>
                <c:pt idx="153">
                  <c:v>44483</c:v>
                </c:pt>
                <c:pt idx="154">
                  <c:v>44484</c:v>
                </c:pt>
                <c:pt idx="155">
                  <c:v>44487</c:v>
                </c:pt>
                <c:pt idx="156">
                  <c:v>44488</c:v>
                </c:pt>
                <c:pt idx="157">
                  <c:v>44489</c:v>
                </c:pt>
                <c:pt idx="158">
                  <c:v>44490</c:v>
                </c:pt>
                <c:pt idx="159">
                  <c:v>44491</c:v>
                </c:pt>
                <c:pt idx="160">
                  <c:v>44494</c:v>
                </c:pt>
                <c:pt idx="161">
                  <c:v>44495</c:v>
                </c:pt>
                <c:pt idx="162">
                  <c:v>44496</c:v>
                </c:pt>
                <c:pt idx="163">
                  <c:v>44497</c:v>
                </c:pt>
                <c:pt idx="164">
                  <c:v>44498</c:v>
                </c:pt>
                <c:pt idx="165">
                  <c:v>44501</c:v>
                </c:pt>
                <c:pt idx="166">
                  <c:v>44502</c:v>
                </c:pt>
                <c:pt idx="167">
                  <c:v>44503</c:v>
                </c:pt>
                <c:pt idx="168">
                  <c:v>44504</c:v>
                </c:pt>
                <c:pt idx="169">
                  <c:v>44505</c:v>
                </c:pt>
                <c:pt idx="170">
                  <c:v>44508</c:v>
                </c:pt>
                <c:pt idx="171">
                  <c:v>44509</c:v>
                </c:pt>
                <c:pt idx="172">
                  <c:v>44510</c:v>
                </c:pt>
                <c:pt idx="173">
                  <c:v>44511</c:v>
                </c:pt>
                <c:pt idx="174">
                  <c:v>44512</c:v>
                </c:pt>
                <c:pt idx="175">
                  <c:v>44515</c:v>
                </c:pt>
                <c:pt idx="176">
                  <c:v>44516</c:v>
                </c:pt>
                <c:pt idx="177">
                  <c:v>44517</c:v>
                </c:pt>
                <c:pt idx="178">
                  <c:v>44518</c:v>
                </c:pt>
                <c:pt idx="179">
                  <c:v>44519</c:v>
                </c:pt>
                <c:pt idx="180">
                  <c:v>44522</c:v>
                </c:pt>
                <c:pt idx="181">
                  <c:v>44523</c:v>
                </c:pt>
                <c:pt idx="182">
                  <c:v>44524</c:v>
                </c:pt>
                <c:pt idx="183">
                  <c:v>44525</c:v>
                </c:pt>
                <c:pt idx="184">
                  <c:v>44526</c:v>
                </c:pt>
                <c:pt idx="185">
                  <c:v>44529</c:v>
                </c:pt>
                <c:pt idx="186">
                  <c:v>44530</c:v>
                </c:pt>
                <c:pt idx="187">
                  <c:v>44531</c:v>
                </c:pt>
                <c:pt idx="188">
                  <c:v>44532</c:v>
                </c:pt>
                <c:pt idx="189">
                  <c:v>44533</c:v>
                </c:pt>
                <c:pt idx="190">
                  <c:v>44536</c:v>
                </c:pt>
                <c:pt idx="191">
                  <c:v>44537</c:v>
                </c:pt>
                <c:pt idx="192">
                  <c:v>44538</c:v>
                </c:pt>
                <c:pt idx="193">
                  <c:v>44539</c:v>
                </c:pt>
                <c:pt idx="194">
                  <c:v>44540</c:v>
                </c:pt>
                <c:pt idx="195">
                  <c:v>44543</c:v>
                </c:pt>
                <c:pt idx="196">
                  <c:v>44544</c:v>
                </c:pt>
                <c:pt idx="197">
                  <c:v>44545</c:v>
                </c:pt>
                <c:pt idx="198">
                  <c:v>44546</c:v>
                </c:pt>
                <c:pt idx="199">
                  <c:v>44547</c:v>
                </c:pt>
                <c:pt idx="200">
                  <c:v>44550</c:v>
                </c:pt>
                <c:pt idx="201">
                  <c:v>44551</c:v>
                </c:pt>
                <c:pt idx="202">
                  <c:v>44552</c:v>
                </c:pt>
                <c:pt idx="203">
                  <c:v>44553</c:v>
                </c:pt>
                <c:pt idx="204">
                  <c:v>44554</c:v>
                </c:pt>
                <c:pt idx="205">
                  <c:v>44557</c:v>
                </c:pt>
                <c:pt idx="206">
                  <c:v>44558</c:v>
                </c:pt>
                <c:pt idx="207">
                  <c:v>44559</c:v>
                </c:pt>
                <c:pt idx="208">
                  <c:v>44560</c:v>
                </c:pt>
                <c:pt idx="209">
                  <c:v>44561</c:v>
                </c:pt>
                <c:pt idx="210">
                  <c:v>44565</c:v>
                </c:pt>
                <c:pt idx="211">
                  <c:v>44566</c:v>
                </c:pt>
                <c:pt idx="212">
                  <c:v>44567</c:v>
                </c:pt>
                <c:pt idx="213">
                  <c:v>44568</c:v>
                </c:pt>
                <c:pt idx="214">
                  <c:v>44571</c:v>
                </c:pt>
                <c:pt idx="215">
                  <c:v>44572</c:v>
                </c:pt>
                <c:pt idx="216">
                  <c:v>44573</c:v>
                </c:pt>
                <c:pt idx="217">
                  <c:v>44574</c:v>
                </c:pt>
                <c:pt idx="218">
                  <c:v>44575</c:v>
                </c:pt>
                <c:pt idx="219">
                  <c:v>44578</c:v>
                </c:pt>
                <c:pt idx="220">
                  <c:v>44579</c:v>
                </c:pt>
                <c:pt idx="221">
                  <c:v>44580</c:v>
                </c:pt>
                <c:pt idx="222">
                  <c:v>44581</c:v>
                </c:pt>
                <c:pt idx="223">
                  <c:v>44582</c:v>
                </c:pt>
                <c:pt idx="224">
                  <c:v>44585</c:v>
                </c:pt>
                <c:pt idx="225">
                  <c:v>44586</c:v>
                </c:pt>
                <c:pt idx="226">
                  <c:v>44587</c:v>
                </c:pt>
                <c:pt idx="227">
                  <c:v>44588</c:v>
                </c:pt>
                <c:pt idx="228">
                  <c:v>44589</c:v>
                </c:pt>
                <c:pt idx="229">
                  <c:v>44599</c:v>
                </c:pt>
                <c:pt idx="230">
                  <c:v>44600</c:v>
                </c:pt>
                <c:pt idx="231">
                  <c:v>44601</c:v>
                </c:pt>
                <c:pt idx="232">
                  <c:v>44602</c:v>
                </c:pt>
                <c:pt idx="233">
                  <c:v>44603</c:v>
                </c:pt>
                <c:pt idx="234">
                  <c:v>44606</c:v>
                </c:pt>
                <c:pt idx="235">
                  <c:v>44607</c:v>
                </c:pt>
                <c:pt idx="236">
                  <c:v>44608</c:v>
                </c:pt>
                <c:pt idx="237">
                  <c:v>44609</c:v>
                </c:pt>
                <c:pt idx="238">
                  <c:v>44610</c:v>
                </c:pt>
                <c:pt idx="239">
                  <c:v>44613</c:v>
                </c:pt>
                <c:pt idx="240">
                  <c:v>44614</c:v>
                </c:pt>
                <c:pt idx="241">
                  <c:v>44615</c:v>
                </c:pt>
                <c:pt idx="242">
                  <c:v>44616</c:v>
                </c:pt>
                <c:pt idx="243">
                  <c:v>44617</c:v>
                </c:pt>
                <c:pt idx="244">
                  <c:v>44620</c:v>
                </c:pt>
                <c:pt idx="245">
                  <c:v>44621</c:v>
                </c:pt>
                <c:pt idx="246">
                  <c:v>44622</c:v>
                </c:pt>
                <c:pt idx="247">
                  <c:v>44623</c:v>
                </c:pt>
                <c:pt idx="248">
                  <c:v>44624</c:v>
                </c:pt>
                <c:pt idx="249">
                  <c:v>44627</c:v>
                </c:pt>
                <c:pt idx="250">
                  <c:v>44628</c:v>
                </c:pt>
                <c:pt idx="251">
                  <c:v>44629</c:v>
                </c:pt>
                <c:pt idx="252">
                  <c:v>44630</c:v>
                </c:pt>
                <c:pt idx="253">
                  <c:v>44631</c:v>
                </c:pt>
                <c:pt idx="254">
                  <c:v>44634</c:v>
                </c:pt>
                <c:pt idx="255">
                  <c:v>44635</c:v>
                </c:pt>
                <c:pt idx="256">
                  <c:v>44636</c:v>
                </c:pt>
                <c:pt idx="257">
                  <c:v>44637</c:v>
                </c:pt>
                <c:pt idx="258">
                  <c:v>44638</c:v>
                </c:pt>
                <c:pt idx="259">
                  <c:v>44641</c:v>
                </c:pt>
                <c:pt idx="260">
                  <c:v>44642</c:v>
                </c:pt>
                <c:pt idx="261">
                  <c:v>44643</c:v>
                </c:pt>
                <c:pt idx="262">
                  <c:v>44644</c:v>
                </c:pt>
                <c:pt idx="263">
                  <c:v>44645</c:v>
                </c:pt>
                <c:pt idx="264">
                  <c:v>44648</c:v>
                </c:pt>
                <c:pt idx="265">
                  <c:v>44649</c:v>
                </c:pt>
                <c:pt idx="266">
                  <c:v>44650</c:v>
                </c:pt>
                <c:pt idx="267">
                  <c:v>44651</c:v>
                </c:pt>
                <c:pt idx="268">
                  <c:v>44652</c:v>
                </c:pt>
                <c:pt idx="269">
                  <c:v>44655</c:v>
                </c:pt>
                <c:pt idx="270">
                  <c:v>44656</c:v>
                </c:pt>
                <c:pt idx="271">
                  <c:v>44657</c:v>
                </c:pt>
                <c:pt idx="272">
                  <c:v>44658</c:v>
                </c:pt>
                <c:pt idx="273">
                  <c:v>44659</c:v>
                </c:pt>
                <c:pt idx="274">
                  <c:v>44663</c:v>
                </c:pt>
                <c:pt idx="275">
                  <c:v>44664</c:v>
                </c:pt>
                <c:pt idx="276">
                  <c:v>44665</c:v>
                </c:pt>
                <c:pt idx="277">
                  <c:v>44666</c:v>
                </c:pt>
                <c:pt idx="278">
                  <c:v>44669</c:v>
                </c:pt>
                <c:pt idx="279">
                  <c:v>44670</c:v>
                </c:pt>
                <c:pt idx="280">
                  <c:v>44671</c:v>
                </c:pt>
                <c:pt idx="281">
                  <c:v>44672</c:v>
                </c:pt>
                <c:pt idx="282">
                  <c:v>44673</c:v>
                </c:pt>
                <c:pt idx="283">
                  <c:v>44676</c:v>
                </c:pt>
                <c:pt idx="284">
                  <c:v>44677</c:v>
                </c:pt>
                <c:pt idx="285">
                  <c:v>44678</c:v>
                </c:pt>
                <c:pt idx="286">
                  <c:v>44679</c:v>
                </c:pt>
                <c:pt idx="287">
                  <c:v>44680</c:v>
                </c:pt>
                <c:pt idx="288">
                  <c:v>44685</c:v>
                </c:pt>
                <c:pt idx="289">
                  <c:v>44686</c:v>
                </c:pt>
                <c:pt idx="290">
                  <c:v>44687</c:v>
                </c:pt>
                <c:pt idx="291">
                  <c:v>44690</c:v>
                </c:pt>
                <c:pt idx="292">
                  <c:v>44691</c:v>
                </c:pt>
                <c:pt idx="293">
                  <c:v>44692</c:v>
                </c:pt>
                <c:pt idx="294">
                  <c:v>44693</c:v>
                </c:pt>
                <c:pt idx="295">
                  <c:v>44694</c:v>
                </c:pt>
                <c:pt idx="296">
                  <c:v>44697</c:v>
                </c:pt>
                <c:pt idx="297">
                  <c:v>44698</c:v>
                </c:pt>
                <c:pt idx="298">
                  <c:v>44699</c:v>
                </c:pt>
                <c:pt idx="299">
                  <c:v>44700</c:v>
                </c:pt>
                <c:pt idx="300">
                  <c:v>44701</c:v>
                </c:pt>
                <c:pt idx="301">
                  <c:v>44704</c:v>
                </c:pt>
                <c:pt idx="302">
                  <c:v>44705</c:v>
                </c:pt>
                <c:pt idx="303">
                  <c:v>44706</c:v>
                </c:pt>
                <c:pt idx="304">
                  <c:v>44707</c:v>
                </c:pt>
                <c:pt idx="305">
                  <c:v>44708</c:v>
                </c:pt>
                <c:pt idx="306">
                  <c:v>44711</c:v>
                </c:pt>
                <c:pt idx="307">
                  <c:v>44712</c:v>
                </c:pt>
                <c:pt idx="308">
                  <c:v>44713</c:v>
                </c:pt>
                <c:pt idx="309">
                  <c:v>44714</c:v>
                </c:pt>
                <c:pt idx="310">
                  <c:v>44715</c:v>
                </c:pt>
                <c:pt idx="311">
                  <c:v>44718</c:v>
                </c:pt>
                <c:pt idx="312">
                  <c:v>44719</c:v>
                </c:pt>
                <c:pt idx="313">
                  <c:v>44720</c:v>
                </c:pt>
                <c:pt idx="314">
                  <c:v>44721</c:v>
                </c:pt>
                <c:pt idx="315">
                  <c:v>44722</c:v>
                </c:pt>
                <c:pt idx="316">
                  <c:v>44725</c:v>
                </c:pt>
                <c:pt idx="317">
                  <c:v>44726</c:v>
                </c:pt>
                <c:pt idx="318">
                  <c:v>44727</c:v>
                </c:pt>
                <c:pt idx="319">
                  <c:v>44728</c:v>
                </c:pt>
                <c:pt idx="320">
                  <c:v>44729</c:v>
                </c:pt>
                <c:pt idx="321">
                  <c:v>44732</c:v>
                </c:pt>
                <c:pt idx="322">
                  <c:v>44733</c:v>
                </c:pt>
                <c:pt idx="323">
                  <c:v>44734</c:v>
                </c:pt>
                <c:pt idx="324">
                  <c:v>44735</c:v>
                </c:pt>
                <c:pt idx="325">
                  <c:v>44736</c:v>
                </c:pt>
                <c:pt idx="326">
                  <c:v>44739</c:v>
                </c:pt>
                <c:pt idx="327">
                  <c:v>44740</c:v>
                </c:pt>
                <c:pt idx="328">
                  <c:v>44741</c:v>
                </c:pt>
                <c:pt idx="329">
                  <c:v>44742</c:v>
                </c:pt>
                <c:pt idx="330">
                  <c:v>44743</c:v>
                </c:pt>
                <c:pt idx="331">
                  <c:v>44746</c:v>
                </c:pt>
                <c:pt idx="332">
                  <c:v>44747</c:v>
                </c:pt>
                <c:pt idx="333">
                  <c:v>44748</c:v>
                </c:pt>
                <c:pt idx="334">
                  <c:v>44749</c:v>
                </c:pt>
                <c:pt idx="335">
                  <c:v>44750</c:v>
                </c:pt>
                <c:pt idx="336">
                  <c:v>44753</c:v>
                </c:pt>
                <c:pt idx="337">
                  <c:v>44754</c:v>
                </c:pt>
                <c:pt idx="338">
                  <c:v>44755</c:v>
                </c:pt>
                <c:pt idx="339">
                  <c:v>44756</c:v>
                </c:pt>
                <c:pt idx="340">
                  <c:v>44757</c:v>
                </c:pt>
                <c:pt idx="341">
                  <c:v>44760</c:v>
                </c:pt>
                <c:pt idx="342">
                  <c:v>44761</c:v>
                </c:pt>
                <c:pt idx="343">
                  <c:v>44762</c:v>
                </c:pt>
                <c:pt idx="344">
                  <c:v>44763</c:v>
                </c:pt>
                <c:pt idx="345">
                  <c:v>44764</c:v>
                </c:pt>
                <c:pt idx="346">
                  <c:v>44767</c:v>
                </c:pt>
                <c:pt idx="347">
                  <c:v>44768</c:v>
                </c:pt>
                <c:pt idx="348">
                  <c:v>44769</c:v>
                </c:pt>
                <c:pt idx="349">
                  <c:v>44770</c:v>
                </c:pt>
                <c:pt idx="350">
                  <c:v>44771</c:v>
                </c:pt>
                <c:pt idx="351">
                  <c:v>44774</c:v>
                </c:pt>
                <c:pt idx="352">
                  <c:v>44775</c:v>
                </c:pt>
                <c:pt idx="353">
                  <c:v>44776</c:v>
                </c:pt>
                <c:pt idx="354">
                  <c:v>44777</c:v>
                </c:pt>
                <c:pt idx="355">
                  <c:v>44778</c:v>
                </c:pt>
                <c:pt idx="356">
                  <c:v>44781</c:v>
                </c:pt>
                <c:pt idx="357">
                  <c:v>44782</c:v>
                </c:pt>
                <c:pt idx="358">
                  <c:v>44783</c:v>
                </c:pt>
                <c:pt idx="359">
                  <c:v>44784</c:v>
                </c:pt>
                <c:pt idx="360">
                  <c:v>44785</c:v>
                </c:pt>
                <c:pt idx="361">
                  <c:v>44788</c:v>
                </c:pt>
                <c:pt idx="362">
                  <c:v>44789</c:v>
                </c:pt>
                <c:pt idx="363">
                  <c:v>44790</c:v>
                </c:pt>
                <c:pt idx="364">
                  <c:v>44791</c:v>
                </c:pt>
                <c:pt idx="365">
                  <c:v>44792</c:v>
                </c:pt>
                <c:pt idx="366">
                  <c:v>44795</c:v>
                </c:pt>
                <c:pt idx="367">
                  <c:v>44796</c:v>
                </c:pt>
                <c:pt idx="368">
                  <c:v>44797</c:v>
                </c:pt>
                <c:pt idx="369">
                  <c:v>44798</c:v>
                </c:pt>
                <c:pt idx="370">
                  <c:v>44799</c:v>
                </c:pt>
                <c:pt idx="371">
                  <c:v>44802</c:v>
                </c:pt>
                <c:pt idx="372">
                  <c:v>44803</c:v>
                </c:pt>
                <c:pt idx="373">
                  <c:v>44804</c:v>
                </c:pt>
                <c:pt idx="374">
                  <c:v>44809</c:v>
                </c:pt>
                <c:pt idx="375">
                  <c:v>44810</c:v>
                </c:pt>
                <c:pt idx="376">
                  <c:v>44811</c:v>
                </c:pt>
                <c:pt idx="377">
                  <c:v>44812</c:v>
                </c:pt>
                <c:pt idx="378">
                  <c:v>44813</c:v>
                </c:pt>
                <c:pt idx="379">
                  <c:v>44816</c:v>
                </c:pt>
                <c:pt idx="380">
                  <c:v>44817</c:v>
                </c:pt>
                <c:pt idx="381">
                  <c:v>44818</c:v>
                </c:pt>
                <c:pt idx="382">
                  <c:v>44819</c:v>
                </c:pt>
                <c:pt idx="383">
                  <c:v>44820</c:v>
                </c:pt>
                <c:pt idx="384">
                  <c:v>44823</c:v>
                </c:pt>
                <c:pt idx="385">
                  <c:v>44824</c:v>
                </c:pt>
                <c:pt idx="386">
                  <c:v>44825</c:v>
                </c:pt>
                <c:pt idx="387">
                  <c:v>44826</c:v>
                </c:pt>
                <c:pt idx="388">
                  <c:v>44827</c:v>
                </c:pt>
                <c:pt idx="389">
                  <c:v>44830</c:v>
                </c:pt>
                <c:pt idx="390">
                  <c:v>44831</c:v>
                </c:pt>
                <c:pt idx="391">
                  <c:v>44832</c:v>
                </c:pt>
                <c:pt idx="392">
                  <c:v>44833</c:v>
                </c:pt>
                <c:pt idx="393">
                  <c:v>44834</c:v>
                </c:pt>
                <c:pt idx="394">
                  <c:v>44837</c:v>
                </c:pt>
                <c:pt idx="395">
                  <c:v>44838</c:v>
                </c:pt>
                <c:pt idx="396">
                  <c:v>44839</c:v>
                </c:pt>
                <c:pt idx="397">
                  <c:v>44840</c:v>
                </c:pt>
                <c:pt idx="398">
                  <c:v>44841</c:v>
                </c:pt>
                <c:pt idx="399">
                  <c:v>44844</c:v>
                </c:pt>
                <c:pt idx="400">
                  <c:v>44845</c:v>
                </c:pt>
                <c:pt idx="401">
                  <c:v>44846</c:v>
                </c:pt>
                <c:pt idx="402">
                  <c:v>44847</c:v>
                </c:pt>
                <c:pt idx="403">
                  <c:v>44848</c:v>
                </c:pt>
                <c:pt idx="404">
                  <c:v>44851</c:v>
                </c:pt>
                <c:pt idx="405">
                  <c:v>44852</c:v>
                </c:pt>
                <c:pt idx="406">
                  <c:v>44853</c:v>
                </c:pt>
                <c:pt idx="407">
                  <c:v>44854</c:v>
                </c:pt>
                <c:pt idx="408">
                  <c:v>44855</c:v>
                </c:pt>
                <c:pt idx="409">
                  <c:v>44858</c:v>
                </c:pt>
                <c:pt idx="410">
                  <c:v>44859</c:v>
                </c:pt>
                <c:pt idx="411">
                  <c:v>44860</c:v>
                </c:pt>
                <c:pt idx="412">
                  <c:v>44861</c:v>
                </c:pt>
                <c:pt idx="413">
                  <c:v>44862</c:v>
                </c:pt>
                <c:pt idx="414">
                  <c:v>44865</c:v>
                </c:pt>
                <c:pt idx="415">
                  <c:v>44866</c:v>
                </c:pt>
                <c:pt idx="416">
                  <c:v>44867</c:v>
                </c:pt>
                <c:pt idx="417">
                  <c:v>44868</c:v>
                </c:pt>
                <c:pt idx="418">
                  <c:v>44869</c:v>
                </c:pt>
                <c:pt idx="419">
                  <c:v>44872</c:v>
                </c:pt>
                <c:pt idx="420">
                  <c:v>44873</c:v>
                </c:pt>
                <c:pt idx="421">
                  <c:v>44874</c:v>
                </c:pt>
                <c:pt idx="422">
                  <c:v>44875</c:v>
                </c:pt>
                <c:pt idx="423">
                  <c:v>44876</c:v>
                </c:pt>
                <c:pt idx="424">
                  <c:v>44879</c:v>
                </c:pt>
                <c:pt idx="425">
                  <c:v>44880</c:v>
                </c:pt>
                <c:pt idx="426">
                  <c:v>44881</c:v>
                </c:pt>
                <c:pt idx="427">
                  <c:v>44882</c:v>
                </c:pt>
                <c:pt idx="428">
                  <c:v>44883</c:v>
                </c:pt>
                <c:pt idx="429">
                  <c:v>44886</c:v>
                </c:pt>
                <c:pt idx="430">
                  <c:v>44887</c:v>
                </c:pt>
                <c:pt idx="431">
                  <c:v>44888</c:v>
                </c:pt>
                <c:pt idx="432">
                  <c:v>44889</c:v>
                </c:pt>
                <c:pt idx="433">
                  <c:v>44890</c:v>
                </c:pt>
                <c:pt idx="434">
                  <c:v>44893</c:v>
                </c:pt>
                <c:pt idx="435">
                  <c:v>44894</c:v>
                </c:pt>
                <c:pt idx="436">
                  <c:v>44895</c:v>
                </c:pt>
                <c:pt idx="437">
                  <c:v>44896</c:v>
                </c:pt>
                <c:pt idx="438">
                  <c:v>44897</c:v>
                </c:pt>
                <c:pt idx="439">
                  <c:v>44900</c:v>
                </c:pt>
                <c:pt idx="440">
                  <c:v>44901</c:v>
                </c:pt>
                <c:pt idx="441">
                  <c:v>44902</c:v>
                </c:pt>
                <c:pt idx="442">
                  <c:v>44903</c:v>
                </c:pt>
                <c:pt idx="443">
                  <c:v>44904</c:v>
                </c:pt>
                <c:pt idx="444">
                  <c:v>44907</c:v>
                </c:pt>
                <c:pt idx="445">
                  <c:v>44908</c:v>
                </c:pt>
                <c:pt idx="446">
                  <c:v>44909</c:v>
                </c:pt>
                <c:pt idx="447">
                  <c:v>44910</c:v>
                </c:pt>
                <c:pt idx="448">
                  <c:v>44911</c:v>
                </c:pt>
                <c:pt idx="449">
                  <c:v>44914</c:v>
                </c:pt>
                <c:pt idx="450">
                  <c:v>44915</c:v>
                </c:pt>
                <c:pt idx="451">
                  <c:v>44916</c:v>
                </c:pt>
                <c:pt idx="452">
                  <c:v>44917</c:v>
                </c:pt>
                <c:pt idx="453">
                  <c:v>44918</c:v>
                </c:pt>
                <c:pt idx="454">
                  <c:v>44921</c:v>
                </c:pt>
                <c:pt idx="455">
                  <c:v>44922</c:v>
                </c:pt>
                <c:pt idx="456">
                  <c:v>44923</c:v>
                </c:pt>
                <c:pt idx="457">
                  <c:v>44924</c:v>
                </c:pt>
                <c:pt idx="458">
                  <c:v>44925</c:v>
                </c:pt>
                <c:pt idx="459">
                  <c:v>44929</c:v>
                </c:pt>
                <c:pt idx="460">
                  <c:v>44930</c:v>
                </c:pt>
                <c:pt idx="461">
                  <c:v>44931</c:v>
                </c:pt>
                <c:pt idx="462">
                  <c:v>44932</c:v>
                </c:pt>
                <c:pt idx="463">
                  <c:v>44935</c:v>
                </c:pt>
                <c:pt idx="464">
                  <c:v>44936</c:v>
                </c:pt>
                <c:pt idx="465">
                  <c:v>44937</c:v>
                </c:pt>
                <c:pt idx="466">
                  <c:v>44938</c:v>
                </c:pt>
                <c:pt idx="467">
                  <c:v>44939</c:v>
                </c:pt>
                <c:pt idx="468">
                  <c:v>44942</c:v>
                </c:pt>
                <c:pt idx="469">
                  <c:v>44943</c:v>
                </c:pt>
                <c:pt idx="470">
                  <c:v>44944</c:v>
                </c:pt>
                <c:pt idx="471">
                  <c:v>44945</c:v>
                </c:pt>
                <c:pt idx="472">
                  <c:v>44953</c:v>
                </c:pt>
                <c:pt idx="473">
                  <c:v>44956</c:v>
                </c:pt>
                <c:pt idx="474">
                  <c:v>44957</c:v>
                </c:pt>
                <c:pt idx="475">
                  <c:v>44958</c:v>
                </c:pt>
                <c:pt idx="476">
                  <c:v>44959</c:v>
                </c:pt>
                <c:pt idx="477">
                  <c:v>44960</c:v>
                </c:pt>
                <c:pt idx="478">
                  <c:v>44963</c:v>
                </c:pt>
                <c:pt idx="479">
                  <c:v>44964</c:v>
                </c:pt>
                <c:pt idx="480">
                  <c:v>44965</c:v>
                </c:pt>
                <c:pt idx="481">
                  <c:v>44966</c:v>
                </c:pt>
                <c:pt idx="482">
                  <c:v>44967</c:v>
                </c:pt>
                <c:pt idx="483">
                  <c:v>44970</c:v>
                </c:pt>
                <c:pt idx="484">
                  <c:v>44971</c:v>
                </c:pt>
                <c:pt idx="485">
                  <c:v>44972</c:v>
                </c:pt>
                <c:pt idx="486">
                  <c:v>44973</c:v>
                </c:pt>
                <c:pt idx="487">
                  <c:v>44974</c:v>
                </c:pt>
                <c:pt idx="488">
                  <c:v>44977</c:v>
                </c:pt>
                <c:pt idx="489">
                  <c:v>44978</c:v>
                </c:pt>
                <c:pt idx="490">
                  <c:v>44979</c:v>
                </c:pt>
                <c:pt idx="491">
                  <c:v>44980</c:v>
                </c:pt>
                <c:pt idx="492">
                  <c:v>44981</c:v>
                </c:pt>
                <c:pt idx="493">
                  <c:v>44984</c:v>
                </c:pt>
                <c:pt idx="494">
                  <c:v>44985</c:v>
                </c:pt>
                <c:pt idx="495">
                  <c:v>44986</c:v>
                </c:pt>
                <c:pt idx="496">
                  <c:v>44987</c:v>
                </c:pt>
                <c:pt idx="497">
                  <c:v>44988</c:v>
                </c:pt>
                <c:pt idx="498">
                  <c:v>44991</c:v>
                </c:pt>
                <c:pt idx="499">
                  <c:v>44992</c:v>
                </c:pt>
                <c:pt idx="500">
                  <c:v>44993</c:v>
                </c:pt>
                <c:pt idx="501">
                  <c:v>44994</c:v>
                </c:pt>
                <c:pt idx="502">
                  <c:v>44995</c:v>
                </c:pt>
                <c:pt idx="503">
                  <c:v>44998</c:v>
                </c:pt>
                <c:pt idx="504">
                  <c:v>44999</c:v>
                </c:pt>
                <c:pt idx="505">
                  <c:v>45000</c:v>
                </c:pt>
                <c:pt idx="506">
                  <c:v>45001</c:v>
                </c:pt>
                <c:pt idx="507">
                  <c:v>45002</c:v>
                </c:pt>
                <c:pt idx="508">
                  <c:v>45005</c:v>
                </c:pt>
                <c:pt idx="509">
                  <c:v>45006</c:v>
                </c:pt>
                <c:pt idx="510">
                  <c:v>45007</c:v>
                </c:pt>
                <c:pt idx="511">
                  <c:v>45008</c:v>
                </c:pt>
                <c:pt idx="512">
                  <c:v>45009</c:v>
                </c:pt>
                <c:pt idx="513">
                  <c:v>45012</c:v>
                </c:pt>
                <c:pt idx="514">
                  <c:v>45013</c:v>
                </c:pt>
                <c:pt idx="515">
                  <c:v>45014</c:v>
                </c:pt>
                <c:pt idx="516">
                  <c:v>45015</c:v>
                </c:pt>
                <c:pt idx="517">
                  <c:v>45016</c:v>
                </c:pt>
                <c:pt idx="518">
                  <c:v>45019</c:v>
                </c:pt>
                <c:pt idx="519">
                  <c:v>45020</c:v>
                </c:pt>
                <c:pt idx="520">
                  <c:v>45021</c:v>
                </c:pt>
                <c:pt idx="521">
                  <c:v>45022</c:v>
                </c:pt>
                <c:pt idx="522">
                  <c:v>45023</c:v>
                </c:pt>
                <c:pt idx="523">
                  <c:v>45026</c:v>
                </c:pt>
                <c:pt idx="524">
                  <c:v>45027</c:v>
                </c:pt>
                <c:pt idx="525">
                  <c:v>45028</c:v>
                </c:pt>
                <c:pt idx="526">
                  <c:v>45029</c:v>
                </c:pt>
                <c:pt idx="527">
                  <c:v>45030</c:v>
                </c:pt>
                <c:pt idx="528">
                  <c:v>45033</c:v>
                </c:pt>
                <c:pt idx="529">
                  <c:v>45034</c:v>
                </c:pt>
                <c:pt idx="530">
                  <c:v>45035</c:v>
                </c:pt>
                <c:pt idx="531">
                  <c:v>45036</c:v>
                </c:pt>
                <c:pt idx="532">
                  <c:v>45037</c:v>
                </c:pt>
                <c:pt idx="533">
                  <c:v>45040</c:v>
                </c:pt>
                <c:pt idx="534">
                  <c:v>45041</c:v>
                </c:pt>
                <c:pt idx="535">
                  <c:v>45042</c:v>
                </c:pt>
                <c:pt idx="536">
                  <c:v>45043</c:v>
                </c:pt>
                <c:pt idx="537">
                  <c:v>45044</c:v>
                </c:pt>
                <c:pt idx="538">
                  <c:v>45050</c:v>
                </c:pt>
                <c:pt idx="539">
                  <c:v>45051</c:v>
                </c:pt>
                <c:pt idx="540">
                  <c:v>45054</c:v>
                </c:pt>
                <c:pt idx="541">
                  <c:v>45055</c:v>
                </c:pt>
                <c:pt idx="542">
                  <c:v>45056</c:v>
                </c:pt>
                <c:pt idx="543">
                  <c:v>45057</c:v>
                </c:pt>
                <c:pt idx="544">
                  <c:v>45058</c:v>
                </c:pt>
                <c:pt idx="545">
                  <c:v>45061</c:v>
                </c:pt>
                <c:pt idx="546">
                  <c:v>45062</c:v>
                </c:pt>
                <c:pt idx="547">
                  <c:v>45063</c:v>
                </c:pt>
                <c:pt idx="548">
                  <c:v>45064</c:v>
                </c:pt>
                <c:pt idx="549">
                  <c:v>45065</c:v>
                </c:pt>
                <c:pt idx="550">
                  <c:v>45068</c:v>
                </c:pt>
                <c:pt idx="551">
                  <c:v>45069</c:v>
                </c:pt>
                <c:pt idx="552">
                  <c:v>45070</c:v>
                </c:pt>
                <c:pt idx="553">
                  <c:v>45071</c:v>
                </c:pt>
                <c:pt idx="554">
                  <c:v>45072</c:v>
                </c:pt>
                <c:pt idx="555">
                  <c:v>45075</c:v>
                </c:pt>
                <c:pt idx="556">
                  <c:v>45076</c:v>
                </c:pt>
                <c:pt idx="557">
                  <c:v>45077</c:v>
                </c:pt>
                <c:pt idx="558">
                  <c:v>45078</c:v>
                </c:pt>
                <c:pt idx="559">
                  <c:v>45079</c:v>
                </c:pt>
                <c:pt idx="560">
                  <c:v>45082</c:v>
                </c:pt>
                <c:pt idx="561">
                  <c:v>45083</c:v>
                </c:pt>
                <c:pt idx="562">
                  <c:v>45084</c:v>
                </c:pt>
                <c:pt idx="563">
                  <c:v>45085</c:v>
                </c:pt>
                <c:pt idx="564">
                  <c:v>45086</c:v>
                </c:pt>
                <c:pt idx="565">
                  <c:v>45089</c:v>
                </c:pt>
                <c:pt idx="566">
                  <c:v>45090</c:v>
                </c:pt>
                <c:pt idx="567">
                  <c:v>45091</c:v>
                </c:pt>
                <c:pt idx="568">
                  <c:v>45092</c:v>
                </c:pt>
                <c:pt idx="569">
                  <c:v>45093</c:v>
                </c:pt>
                <c:pt idx="570">
                  <c:v>45096</c:v>
                </c:pt>
                <c:pt idx="571">
                  <c:v>45097</c:v>
                </c:pt>
                <c:pt idx="572">
                  <c:v>45098</c:v>
                </c:pt>
                <c:pt idx="573">
                  <c:v>45099</c:v>
                </c:pt>
                <c:pt idx="574">
                  <c:v>45100</c:v>
                </c:pt>
                <c:pt idx="575">
                  <c:v>45103</c:v>
                </c:pt>
                <c:pt idx="576">
                  <c:v>45104</c:v>
                </c:pt>
                <c:pt idx="577">
                  <c:v>45105</c:v>
                </c:pt>
                <c:pt idx="578">
                  <c:v>45106</c:v>
                </c:pt>
                <c:pt idx="579">
                  <c:v>45107</c:v>
                </c:pt>
                <c:pt idx="580">
                  <c:v>45110</c:v>
                </c:pt>
                <c:pt idx="581">
                  <c:v>45111</c:v>
                </c:pt>
                <c:pt idx="582">
                  <c:v>45112</c:v>
                </c:pt>
                <c:pt idx="583">
                  <c:v>45113</c:v>
                </c:pt>
                <c:pt idx="584">
                  <c:v>45114</c:v>
                </c:pt>
                <c:pt idx="585">
                  <c:v>45117</c:v>
                </c:pt>
                <c:pt idx="586">
                  <c:v>45118</c:v>
                </c:pt>
                <c:pt idx="587">
                  <c:v>45119</c:v>
                </c:pt>
                <c:pt idx="588">
                  <c:v>45120</c:v>
                </c:pt>
                <c:pt idx="589">
                  <c:v>45121</c:v>
                </c:pt>
                <c:pt idx="590">
                  <c:v>45124</c:v>
                </c:pt>
                <c:pt idx="591">
                  <c:v>45125</c:v>
                </c:pt>
                <c:pt idx="592">
                  <c:v>45126</c:v>
                </c:pt>
                <c:pt idx="593">
                  <c:v>45127</c:v>
                </c:pt>
                <c:pt idx="594">
                  <c:v>45128</c:v>
                </c:pt>
                <c:pt idx="595">
                  <c:v>45131</c:v>
                </c:pt>
                <c:pt idx="596">
                  <c:v>45132</c:v>
                </c:pt>
                <c:pt idx="597">
                  <c:v>45133</c:v>
                </c:pt>
                <c:pt idx="598">
                  <c:v>45134</c:v>
                </c:pt>
                <c:pt idx="599">
                  <c:v>45135</c:v>
                </c:pt>
                <c:pt idx="600">
                  <c:v>45138</c:v>
                </c:pt>
                <c:pt idx="601">
                  <c:v>45139</c:v>
                </c:pt>
                <c:pt idx="602">
                  <c:v>45140</c:v>
                </c:pt>
                <c:pt idx="603">
                  <c:v>45141</c:v>
                </c:pt>
                <c:pt idx="604">
                  <c:v>45142</c:v>
                </c:pt>
                <c:pt idx="605">
                  <c:v>45145</c:v>
                </c:pt>
                <c:pt idx="606">
                  <c:v>45146</c:v>
                </c:pt>
                <c:pt idx="607">
                  <c:v>45147</c:v>
                </c:pt>
                <c:pt idx="608">
                  <c:v>45148</c:v>
                </c:pt>
                <c:pt idx="609">
                  <c:v>45149</c:v>
                </c:pt>
                <c:pt idx="610">
                  <c:v>45152</c:v>
                </c:pt>
                <c:pt idx="611">
                  <c:v>45153</c:v>
                </c:pt>
                <c:pt idx="612">
                  <c:v>45154</c:v>
                </c:pt>
                <c:pt idx="613">
                  <c:v>45155</c:v>
                </c:pt>
                <c:pt idx="614">
                  <c:v>45156</c:v>
                </c:pt>
                <c:pt idx="615">
                  <c:v>45159</c:v>
                </c:pt>
                <c:pt idx="616">
                  <c:v>45160</c:v>
                </c:pt>
                <c:pt idx="617">
                  <c:v>45161</c:v>
                </c:pt>
                <c:pt idx="618">
                  <c:v>45162</c:v>
                </c:pt>
                <c:pt idx="619">
                  <c:v>45163</c:v>
                </c:pt>
                <c:pt idx="620">
                  <c:v>45166</c:v>
                </c:pt>
                <c:pt idx="621">
                  <c:v>45167</c:v>
                </c:pt>
                <c:pt idx="622">
                  <c:v>45168</c:v>
                </c:pt>
                <c:pt idx="623">
                  <c:v>45169</c:v>
                </c:pt>
                <c:pt idx="624">
                  <c:v>45174</c:v>
                </c:pt>
                <c:pt idx="625">
                  <c:v>45175</c:v>
                </c:pt>
                <c:pt idx="626">
                  <c:v>45176</c:v>
                </c:pt>
                <c:pt idx="627">
                  <c:v>45177</c:v>
                </c:pt>
                <c:pt idx="628">
                  <c:v>45180</c:v>
                </c:pt>
                <c:pt idx="629">
                  <c:v>45181</c:v>
                </c:pt>
                <c:pt idx="630">
                  <c:v>45182</c:v>
                </c:pt>
                <c:pt idx="631">
                  <c:v>45183</c:v>
                </c:pt>
                <c:pt idx="632">
                  <c:v>45184</c:v>
                </c:pt>
                <c:pt idx="633">
                  <c:v>45187</c:v>
                </c:pt>
                <c:pt idx="634">
                  <c:v>45188</c:v>
                </c:pt>
                <c:pt idx="635">
                  <c:v>45189</c:v>
                </c:pt>
                <c:pt idx="636">
                  <c:v>45190</c:v>
                </c:pt>
                <c:pt idx="637">
                  <c:v>45191</c:v>
                </c:pt>
                <c:pt idx="638">
                  <c:v>45194</c:v>
                </c:pt>
                <c:pt idx="639">
                  <c:v>45195</c:v>
                </c:pt>
                <c:pt idx="640">
                  <c:v>45196</c:v>
                </c:pt>
                <c:pt idx="641">
                  <c:v>45197</c:v>
                </c:pt>
                <c:pt idx="642">
                  <c:v>45198</c:v>
                </c:pt>
                <c:pt idx="643">
                  <c:v>45201</c:v>
                </c:pt>
                <c:pt idx="644">
                  <c:v>45202</c:v>
                </c:pt>
                <c:pt idx="645">
                  <c:v>45203</c:v>
                </c:pt>
                <c:pt idx="646">
                  <c:v>45204</c:v>
                </c:pt>
                <c:pt idx="647">
                  <c:v>45205</c:v>
                </c:pt>
                <c:pt idx="648">
                  <c:v>45208</c:v>
                </c:pt>
                <c:pt idx="649">
                  <c:v>45209</c:v>
                </c:pt>
                <c:pt idx="650">
                  <c:v>45210</c:v>
                </c:pt>
                <c:pt idx="651">
                  <c:v>45211</c:v>
                </c:pt>
                <c:pt idx="652">
                  <c:v>45212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45222</c:v>
                </c:pt>
                <c:pt idx="659">
                  <c:v>45223</c:v>
                </c:pt>
                <c:pt idx="660">
                  <c:v>45224</c:v>
                </c:pt>
                <c:pt idx="661">
                  <c:v>45225</c:v>
                </c:pt>
                <c:pt idx="662">
                  <c:v>45226</c:v>
                </c:pt>
                <c:pt idx="663">
                  <c:v>45229</c:v>
                </c:pt>
                <c:pt idx="664">
                  <c:v>45230</c:v>
                </c:pt>
                <c:pt idx="665">
                  <c:v>45231</c:v>
                </c:pt>
                <c:pt idx="666">
                  <c:v>45232</c:v>
                </c:pt>
                <c:pt idx="667">
                  <c:v>45233</c:v>
                </c:pt>
                <c:pt idx="668">
                  <c:v>45236</c:v>
                </c:pt>
                <c:pt idx="669">
                  <c:v>45237</c:v>
                </c:pt>
                <c:pt idx="670">
                  <c:v>45238</c:v>
                </c:pt>
                <c:pt idx="671">
                  <c:v>45239</c:v>
                </c:pt>
                <c:pt idx="672">
                  <c:v>45240</c:v>
                </c:pt>
                <c:pt idx="673">
                  <c:v>45243</c:v>
                </c:pt>
                <c:pt idx="674">
                  <c:v>45244</c:v>
                </c:pt>
                <c:pt idx="675">
                  <c:v>45245</c:v>
                </c:pt>
                <c:pt idx="676">
                  <c:v>45246</c:v>
                </c:pt>
                <c:pt idx="677">
                  <c:v>45247</c:v>
                </c:pt>
                <c:pt idx="678">
                  <c:v>45250</c:v>
                </c:pt>
                <c:pt idx="679">
                  <c:v>45251</c:v>
                </c:pt>
                <c:pt idx="680">
                  <c:v>45252</c:v>
                </c:pt>
                <c:pt idx="681">
                  <c:v>45253</c:v>
                </c:pt>
                <c:pt idx="682">
                  <c:v>45254</c:v>
                </c:pt>
                <c:pt idx="683">
                  <c:v>45257</c:v>
                </c:pt>
                <c:pt idx="684">
                  <c:v>45258</c:v>
                </c:pt>
                <c:pt idx="685">
                  <c:v>45259</c:v>
                </c:pt>
                <c:pt idx="686">
                  <c:v>45260</c:v>
                </c:pt>
                <c:pt idx="687">
                  <c:v>45261</c:v>
                </c:pt>
                <c:pt idx="688">
                  <c:v>45264</c:v>
                </c:pt>
                <c:pt idx="689">
                  <c:v>45265</c:v>
                </c:pt>
                <c:pt idx="690">
                  <c:v>45266</c:v>
                </c:pt>
                <c:pt idx="691">
                  <c:v>45267</c:v>
                </c:pt>
                <c:pt idx="692">
                  <c:v>45268</c:v>
                </c:pt>
                <c:pt idx="693">
                  <c:v>45271</c:v>
                </c:pt>
                <c:pt idx="694">
                  <c:v>45272</c:v>
                </c:pt>
                <c:pt idx="695">
                  <c:v>45273</c:v>
                </c:pt>
                <c:pt idx="696">
                  <c:v>45274</c:v>
                </c:pt>
                <c:pt idx="697">
                  <c:v>45275</c:v>
                </c:pt>
                <c:pt idx="698">
                  <c:v>45278</c:v>
                </c:pt>
                <c:pt idx="699">
                  <c:v>45279</c:v>
                </c:pt>
                <c:pt idx="700">
                  <c:v>45280</c:v>
                </c:pt>
                <c:pt idx="701">
                  <c:v>45281</c:v>
                </c:pt>
                <c:pt idx="702">
                  <c:v>45282</c:v>
                </c:pt>
                <c:pt idx="703">
                  <c:v>45285</c:v>
                </c:pt>
                <c:pt idx="704">
                  <c:v>45286</c:v>
                </c:pt>
                <c:pt idx="705">
                  <c:v>45287</c:v>
                </c:pt>
                <c:pt idx="706">
                  <c:v>45288</c:v>
                </c:pt>
                <c:pt idx="707">
                  <c:v>45289</c:v>
                </c:pt>
                <c:pt idx="708">
                  <c:v>45293</c:v>
                </c:pt>
                <c:pt idx="709">
                  <c:v>45294</c:v>
                </c:pt>
                <c:pt idx="710">
                  <c:v>45295</c:v>
                </c:pt>
                <c:pt idx="711">
                  <c:v>45296</c:v>
                </c:pt>
                <c:pt idx="712">
                  <c:v>45299</c:v>
                </c:pt>
                <c:pt idx="713">
                  <c:v>45300</c:v>
                </c:pt>
                <c:pt idx="714">
                  <c:v>45301</c:v>
                </c:pt>
                <c:pt idx="715">
                  <c:v>45302</c:v>
                </c:pt>
                <c:pt idx="716">
                  <c:v>45303</c:v>
                </c:pt>
                <c:pt idx="717">
                  <c:v>45306</c:v>
                </c:pt>
                <c:pt idx="718">
                  <c:v>45307</c:v>
                </c:pt>
                <c:pt idx="719">
                  <c:v>45308</c:v>
                </c:pt>
                <c:pt idx="720">
                  <c:v>45309</c:v>
                </c:pt>
                <c:pt idx="721">
                  <c:v>45310</c:v>
                </c:pt>
                <c:pt idx="722">
                  <c:v>45313</c:v>
                </c:pt>
                <c:pt idx="723">
                  <c:v>45314</c:v>
                </c:pt>
                <c:pt idx="724">
                  <c:v>45315</c:v>
                </c:pt>
                <c:pt idx="725">
                  <c:v>45316</c:v>
                </c:pt>
                <c:pt idx="726">
                  <c:v>45317</c:v>
                </c:pt>
                <c:pt idx="727">
                  <c:v>45320</c:v>
                </c:pt>
                <c:pt idx="728">
                  <c:v>45321</c:v>
                </c:pt>
                <c:pt idx="729">
                  <c:v>45322</c:v>
                </c:pt>
                <c:pt idx="730">
                  <c:v>45323</c:v>
                </c:pt>
                <c:pt idx="731">
                  <c:v>45324</c:v>
                </c:pt>
                <c:pt idx="732">
                  <c:v>45327</c:v>
                </c:pt>
                <c:pt idx="733">
                  <c:v>45328</c:v>
                </c:pt>
                <c:pt idx="734">
                  <c:v>45329</c:v>
                </c:pt>
                <c:pt idx="735">
                  <c:v>45337</c:v>
                </c:pt>
                <c:pt idx="736">
                  <c:v>45338</c:v>
                </c:pt>
                <c:pt idx="737">
                  <c:v>45341</c:v>
                </c:pt>
                <c:pt idx="738">
                  <c:v>45342</c:v>
                </c:pt>
                <c:pt idx="739">
                  <c:v>45343</c:v>
                </c:pt>
                <c:pt idx="740">
                  <c:v>45344</c:v>
                </c:pt>
                <c:pt idx="741">
                  <c:v>45345</c:v>
                </c:pt>
                <c:pt idx="742">
                  <c:v>45348</c:v>
                </c:pt>
                <c:pt idx="743">
                  <c:v>45349</c:v>
                </c:pt>
                <c:pt idx="744">
                  <c:v>45350</c:v>
                </c:pt>
                <c:pt idx="745">
                  <c:v>45351</c:v>
                </c:pt>
                <c:pt idx="746">
                  <c:v>45352</c:v>
                </c:pt>
                <c:pt idx="747">
                  <c:v>45355</c:v>
                </c:pt>
                <c:pt idx="748">
                  <c:v>45356</c:v>
                </c:pt>
                <c:pt idx="749">
                  <c:v>45357</c:v>
                </c:pt>
                <c:pt idx="750">
                  <c:v>45358</c:v>
                </c:pt>
                <c:pt idx="751">
                  <c:v>45359</c:v>
                </c:pt>
                <c:pt idx="752">
                  <c:v>45362</c:v>
                </c:pt>
                <c:pt idx="753">
                  <c:v>45363</c:v>
                </c:pt>
                <c:pt idx="754">
                  <c:v>45364</c:v>
                </c:pt>
                <c:pt idx="755">
                  <c:v>45365</c:v>
                </c:pt>
                <c:pt idx="756">
                  <c:v>45366</c:v>
                </c:pt>
                <c:pt idx="757">
                  <c:v>45369</c:v>
                </c:pt>
                <c:pt idx="758">
                  <c:v>45370</c:v>
                </c:pt>
                <c:pt idx="759">
                  <c:v>45371</c:v>
                </c:pt>
                <c:pt idx="760">
                  <c:v>45372</c:v>
                </c:pt>
                <c:pt idx="761">
                  <c:v>45373</c:v>
                </c:pt>
                <c:pt idx="762">
                  <c:v>45376</c:v>
                </c:pt>
                <c:pt idx="763">
                  <c:v>45377</c:v>
                </c:pt>
                <c:pt idx="764">
                  <c:v>45378</c:v>
                </c:pt>
                <c:pt idx="765">
                  <c:v>45379</c:v>
                </c:pt>
                <c:pt idx="766">
                  <c:v>45380</c:v>
                </c:pt>
                <c:pt idx="767">
                  <c:v>45383</c:v>
                </c:pt>
                <c:pt idx="768">
                  <c:v>45384</c:v>
                </c:pt>
                <c:pt idx="769">
                  <c:v>45385</c:v>
                </c:pt>
                <c:pt idx="770">
                  <c:v>45386</c:v>
                </c:pt>
                <c:pt idx="771">
                  <c:v>45387</c:v>
                </c:pt>
                <c:pt idx="772">
                  <c:v>45390</c:v>
                </c:pt>
                <c:pt idx="773">
                  <c:v>45391</c:v>
                </c:pt>
                <c:pt idx="774">
                  <c:v>45392</c:v>
                </c:pt>
                <c:pt idx="775">
                  <c:v>45393</c:v>
                </c:pt>
                <c:pt idx="776">
                  <c:v>45394</c:v>
                </c:pt>
                <c:pt idx="777">
                  <c:v>45397</c:v>
                </c:pt>
                <c:pt idx="778">
                  <c:v>45398</c:v>
                </c:pt>
                <c:pt idx="779">
                  <c:v>45399</c:v>
                </c:pt>
                <c:pt idx="780">
                  <c:v>45401</c:v>
                </c:pt>
                <c:pt idx="781">
                  <c:v>45404</c:v>
                </c:pt>
                <c:pt idx="782">
                  <c:v>45405</c:v>
                </c:pt>
                <c:pt idx="783">
                  <c:v>45406</c:v>
                </c:pt>
                <c:pt idx="784">
                  <c:v>45407</c:v>
                </c:pt>
                <c:pt idx="785">
                  <c:v>45408</c:v>
                </c:pt>
                <c:pt idx="786">
                  <c:v>45414</c:v>
                </c:pt>
                <c:pt idx="787">
                  <c:v>45415</c:v>
                </c:pt>
                <c:pt idx="788">
                  <c:v>45418</c:v>
                </c:pt>
                <c:pt idx="789">
                  <c:v>45419</c:v>
                </c:pt>
                <c:pt idx="790">
                  <c:v>45420</c:v>
                </c:pt>
                <c:pt idx="791">
                  <c:v>45421</c:v>
                </c:pt>
                <c:pt idx="792">
                  <c:v>45422</c:v>
                </c:pt>
                <c:pt idx="793">
                  <c:v>45425</c:v>
                </c:pt>
                <c:pt idx="794">
                  <c:v>45426</c:v>
                </c:pt>
                <c:pt idx="795">
                  <c:v>45427</c:v>
                </c:pt>
                <c:pt idx="796">
                  <c:v>45428</c:v>
                </c:pt>
                <c:pt idx="797">
                  <c:v>45429</c:v>
                </c:pt>
                <c:pt idx="798">
                  <c:v>45432</c:v>
                </c:pt>
                <c:pt idx="799">
                  <c:v>45433</c:v>
                </c:pt>
                <c:pt idx="800">
                  <c:v>45434</c:v>
                </c:pt>
                <c:pt idx="801">
                  <c:v>45435</c:v>
                </c:pt>
                <c:pt idx="802">
                  <c:v>45436</c:v>
                </c:pt>
                <c:pt idx="803">
                  <c:v>45439</c:v>
                </c:pt>
                <c:pt idx="804">
                  <c:v>45440</c:v>
                </c:pt>
                <c:pt idx="805">
                  <c:v>45441</c:v>
                </c:pt>
                <c:pt idx="806">
                  <c:v>45442</c:v>
                </c:pt>
                <c:pt idx="807">
                  <c:v>45443</c:v>
                </c:pt>
                <c:pt idx="808">
                  <c:v>45446</c:v>
                </c:pt>
                <c:pt idx="809">
                  <c:v>45447</c:v>
                </c:pt>
                <c:pt idx="810">
                  <c:v>45448</c:v>
                </c:pt>
                <c:pt idx="811">
                  <c:v>45449</c:v>
                </c:pt>
                <c:pt idx="812">
                  <c:v>45450</c:v>
                </c:pt>
                <c:pt idx="813">
                  <c:v>45453</c:v>
                </c:pt>
                <c:pt idx="814">
                  <c:v>45454</c:v>
                </c:pt>
                <c:pt idx="815">
                  <c:v>45455</c:v>
                </c:pt>
                <c:pt idx="816">
                  <c:v>45456</c:v>
                </c:pt>
                <c:pt idx="817">
                  <c:v>45457</c:v>
                </c:pt>
                <c:pt idx="818">
                  <c:v>45460</c:v>
                </c:pt>
                <c:pt idx="819">
                  <c:v>45461</c:v>
                </c:pt>
                <c:pt idx="820">
                  <c:v>45462</c:v>
                </c:pt>
                <c:pt idx="821">
                  <c:v>45463</c:v>
                </c:pt>
                <c:pt idx="822">
                  <c:v>45464</c:v>
                </c:pt>
                <c:pt idx="823">
                  <c:v>45467</c:v>
                </c:pt>
                <c:pt idx="824">
                  <c:v>45468</c:v>
                </c:pt>
                <c:pt idx="825">
                  <c:v>45469</c:v>
                </c:pt>
                <c:pt idx="826">
                  <c:v>45470</c:v>
                </c:pt>
                <c:pt idx="827">
                  <c:v>45471</c:v>
                </c:pt>
                <c:pt idx="828">
                  <c:v>45474</c:v>
                </c:pt>
                <c:pt idx="829">
                  <c:v>45475</c:v>
                </c:pt>
                <c:pt idx="830">
                  <c:v>45476</c:v>
                </c:pt>
                <c:pt idx="831">
                  <c:v>45477</c:v>
                </c:pt>
                <c:pt idx="832">
                  <c:v>45478</c:v>
                </c:pt>
                <c:pt idx="833">
                  <c:v>45481</c:v>
                </c:pt>
                <c:pt idx="834">
                  <c:v>45482</c:v>
                </c:pt>
                <c:pt idx="835">
                  <c:v>45483</c:v>
                </c:pt>
                <c:pt idx="836">
                  <c:v>45484</c:v>
                </c:pt>
                <c:pt idx="837">
                  <c:v>45485</c:v>
                </c:pt>
                <c:pt idx="838">
                  <c:v>45488</c:v>
                </c:pt>
                <c:pt idx="839">
                  <c:v>45489</c:v>
                </c:pt>
                <c:pt idx="840">
                  <c:v>45490</c:v>
                </c:pt>
                <c:pt idx="841">
                  <c:v>45491</c:v>
                </c:pt>
                <c:pt idx="842">
                  <c:v>45492</c:v>
                </c:pt>
                <c:pt idx="843">
                  <c:v>45495</c:v>
                </c:pt>
                <c:pt idx="844">
                  <c:v>45496</c:v>
                </c:pt>
                <c:pt idx="845">
                  <c:v>45497</c:v>
                </c:pt>
                <c:pt idx="846">
                  <c:v>45498</c:v>
                </c:pt>
                <c:pt idx="847">
                  <c:v>45499</c:v>
                </c:pt>
                <c:pt idx="848">
                  <c:v>45502</c:v>
                </c:pt>
                <c:pt idx="849">
                  <c:v>45503</c:v>
                </c:pt>
                <c:pt idx="850">
                  <c:v>45504</c:v>
                </c:pt>
                <c:pt idx="851">
                  <c:v>45505</c:v>
                </c:pt>
                <c:pt idx="852">
                  <c:v>45506</c:v>
                </c:pt>
                <c:pt idx="853">
                  <c:v>45509</c:v>
                </c:pt>
                <c:pt idx="854">
                  <c:v>45510</c:v>
                </c:pt>
                <c:pt idx="855">
                  <c:v>45511</c:v>
                </c:pt>
                <c:pt idx="856">
                  <c:v>45512</c:v>
                </c:pt>
                <c:pt idx="857">
                  <c:v>45513</c:v>
                </c:pt>
                <c:pt idx="858">
                  <c:v>45516</c:v>
                </c:pt>
                <c:pt idx="859">
                  <c:v>45517</c:v>
                </c:pt>
                <c:pt idx="860">
                  <c:v>45518</c:v>
                </c:pt>
                <c:pt idx="861">
                  <c:v>45519</c:v>
                </c:pt>
                <c:pt idx="862">
                  <c:v>45520</c:v>
                </c:pt>
                <c:pt idx="863">
                  <c:v>45523</c:v>
                </c:pt>
                <c:pt idx="864">
                  <c:v>45524</c:v>
                </c:pt>
                <c:pt idx="865">
                  <c:v>45525</c:v>
                </c:pt>
                <c:pt idx="866">
                  <c:v>45526</c:v>
                </c:pt>
                <c:pt idx="867">
                  <c:v>45527</c:v>
                </c:pt>
                <c:pt idx="868">
                  <c:v>45530</c:v>
                </c:pt>
                <c:pt idx="869">
                  <c:v>45531</c:v>
                </c:pt>
                <c:pt idx="870">
                  <c:v>45532</c:v>
                </c:pt>
                <c:pt idx="871">
                  <c:v>45533</c:v>
                </c:pt>
                <c:pt idx="872">
                  <c:v>45534</c:v>
                </c:pt>
                <c:pt idx="873">
                  <c:v>45539</c:v>
                </c:pt>
                <c:pt idx="874">
                  <c:v>45540</c:v>
                </c:pt>
                <c:pt idx="875">
                  <c:v>45541</c:v>
                </c:pt>
                <c:pt idx="876">
                  <c:v>45544</c:v>
                </c:pt>
                <c:pt idx="877">
                  <c:v>45545</c:v>
                </c:pt>
                <c:pt idx="878">
                  <c:v>45546</c:v>
                </c:pt>
                <c:pt idx="879">
                  <c:v>45547</c:v>
                </c:pt>
                <c:pt idx="880">
                  <c:v>45548</c:v>
                </c:pt>
                <c:pt idx="881">
                  <c:v>45551</c:v>
                </c:pt>
                <c:pt idx="882">
                  <c:v>45552</c:v>
                </c:pt>
                <c:pt idx="883">
                  <c:v>45553</c:v>
                </c:pt>
                <c:pt idx="884">
                  <c:v>45554</c:v>
                </c:pt>
                <c:pt idx="885">
                  <c:v>45555</c:v>
                </c:pt>
                <c:pt idx="886">
                  <c:v>45558</c:v>
                </c:pt>
                <c:pt idx="887">
                  <c:v>45559</c:v>
                </c:pt>
                <c:pt idx="888">
                  <c:v>45560</c:v>
                </c:pt>
                <c:pt idx="889">
                  <c:v>45561</c:v>
                </c:pt>
                <c:pt idx="890">
                  <c:v>45562</c:v>
                </c:pt>
                <c:pt idx="891">
                  <c:v>45565</c:v>
                </c:pt>
                <c:pt idx="892">
                  <c:v>45566</c:v>
                </c:pt>
                <c:pt idx="893">
                  <c:v>45567</c:v>
                </c:pt>
                <c:pt idx="894">
                  <c:v>45568</c:v>
                </c:pt>
                <c:pt idx="895">
                  <c:v>45569</c:v>
                </c:pt>
                <c:pt idx="896">
                  <c:v>45572</c:v>
                </c:pt>
                <c:pt idx="897">
                  <c:v>45573</c:v>
                </c:pt>
                <c:pt idx="898">
                  <c:v>45574</c:v>
                </c:pt>
                <c:pt idx="899">
                  <c:v>45575</c:v>
                </c:pt>
                <c:pt idx="900">
                  <c:v>45576</c:v>
                </c:pt>
                <c:pt idx="901">
                  <c:v>45579</c:v>
                </c:pt>
                <c:pt idx="902">
                  <c:v>45580</c:v>
                </c:pt>
                <c:pt idx="903">
                  <c:v>45581</c:v>
                </c:pt>
                <c:pt idx="904">
                  <c:v>45582</c:v>
                </c:pt>
                <c:pt idx="905">
                  <c:v>45583</c:v>
                </c:pt>
                <c:pt idx="906">
                  <c:v>45586</c:v>
                </c:pt>
                <c:pt idx="907">
                  <c:v>45587</c:v>
                </c:pt>
                <c:pt idx="908">
                  <c:v>45588</c:v>
                </c:pt>
                <c:pt idx="909">
                  <c:v>45589</c:v>
                </c:pt>
                <c:pt idx="910">
                  <c:v>45590</c:v>
                </c:pt>
                <c:pt idx="911">
                  <c:v>45593</c:v>
                </c:pt>
                <c:pt idx="912">
                  <c:v>45594</c:v>
                </c:pt>
                <c:pt idx="913">
                  <c:v>45595</c:v>
                </c:pt>
                <c:pt idx="914">
                  <c:v>45596</c:v>
                </c:pt>
                <c:pt idx="915">
                  <c:v>45597</c:v>
                </c:pt>
                <c:pt idx="916">
                  <c:v>45600</c:v>
                </c:pt>
                <c:pt idx="917">
                  <c:v>45601</c:v>
                </c:pt>
                <c:pt idx="918">
                  <c:v>45602</c:v>
                </c:pt>
                <c:pt idx="919">
                  <c:v>45603</c:v>
                </c:pt>
                <c:pt idx="920">
                  <c:v>45604</c:v>
                </c:pt>
                <c:pt idx="921">
                  <c:v>45607</c:v>
                </c:pt>
                <c:pt idx="922">
                  <c:v>45608</c:v>
                </c:pt>
                <c:pt idx="923">
                  <c:v>45609</c:v>
                </c:pt>
                <c:pt idx="924">
                  <c:v>45610</c:v>
                </c:pt>
                <c:pt idx="925">
                  <c:v>45611</c:v>
                </c:pt>
                <c:pt idx="926">
                  <c:v>45614</c:v>
                </c:pt>
                <c:pt idx="927">
                  <c:v>45615</c:v>
                </c:pt>
                <c:pt idx="928">
                  <c:v>45616</c:v>
                </c:pt>
                <c:pt idx="929">
                  <c:v>45617</c:v>
                </c:pt>
                <c:pt idx="930">
                  <c:v>45618</c:v>
                </c:pt>
                <c:pt idx="931">
                  <c:v>45621</c:v>
                </c:pt>
                <c:pt idx="932">
                  <c:v>45622</c:v>
                </c:pt>
                <c:pt idx="933">
                  <c:v>45623</c:v>
                </c:pt>
                <c:pt idx="934">
                  <c:v>45624</c:v>
                </c:pt>
                <c:pt idx="935">
                  <c:v>45625</c:v>
                </c:pt>
                <c:pt idx="936">
                  <c:v>45628</c:v>
                </c:pt>
                <c:pt idx="937">
                  <c:v>45629</c:v>
                </c:pt>
                <c:pt idx="938">
                  <c:v>45630</c:v>
                </c:pt>
                <c:pt idx="939">
                  <c:v>45631</c:v>
                </c:pt>
                <c:pt idx="940">
                  <c:v>45632</c:v>
                </c:pt>
                <c:pt idx="941">
                  <c:v>45635</c:v>
                </c:pt>
                <c:pt idx="942">
                  <c:v>45636</c:v>
                </c:pt>
                <c:pt idx="943">
                  <c:v>45637</c:v>
                </c:pt>
                <c:pt idx="944">
                  <c:v>45638</c:v>
                </c:pt>
                <c:pt idx="945">
                  <c:v>45639</c:v>
                </c:pt>
                <c:pt idx="946">
                  <c:v>45642</c:v>
                </c:pt>
                <c:pt idx="947">
                  <c:v>45643</c:v>
                </c:pt>
                <c:pt idx="948">
                  <c:v>45644</c:v>
                </c:pt>
                <c:pt idx="949">
                  <c:v>45645</c:v>
                </c:pt>
                <c:pt idx="950">
                  <c:v>45646</c:v>
                </c:pt>
                <c:pt idx="951">
                  <c:v>45649</c:v>
                </c:pt>
                <c:pt idx="952">
                  <c:v>45650</c:v>
                </c:pt>
                <c:pt idx="953">
                  <c:v>45651</c:v>
                </c:pt>
                <c:pt idx="954">
                  <c:v>45652</c:v>
                </c:pt>
                <c:pt idx="955">
                  <c:v>45653</c:v>
                </c:pt>
                <c:pt idx="956">
                  <c:v>45656</c:v>
                </c:pt>
                <c:pt idx="957">
                  <c:v>45657</c:v>
                </c:pt>
                <c:pt idx="958">
                  <c:v>45659</c:v>
                </c:pt>
                <c:pt idx="959">
                  <c:v>45660</c:v>
                </c:pt>
                <c:pt idx="960">
                  <c:v>45663</c:v>
                </c:pt>
                <c:pt idx="961">
                  <c:v>45664</c:v>
                </c:pt>
                <c:pt idx="962">
                  <c:v>45665</c:v>
                </c:pt>
                <c:pt idx="963">
                  <c:v>45666</c:v>
                </c:pt>
                <c:pt idx="964">
                  <c:v>45667</c:v>
                </c:pt>
                <c:pt idx="965">
                  <c:v>45670</c:v>
                </c:pt>
                <c:pt idx="966">
                  <c:v>45671</c:v>
                </c:pt>
                <c:pt idx="967">
                  <c:v>45672</c:v>
                </c:pt>
                <c:pt idx="968">
                  <c:v>45673</c:v>
                </c:pt>
                <c:pt idx="969">
                  <c:v>45674</c:v>
                </c:pt>
                <c:pt idx="970">
                  <c:v>45677</c:v>
                </c:pt>
                <c:pt idx="971">
                  <c:v>45678</c:v>
                </c:pt>
                <c:pt idx="972">
                  <c:v>45679</c:v>
                </c:pt>
                <c:pt idx="973">
                  <c:v>45680</c:v>
                </c:pt>
                <c:pt idx="974">
                  <c:v>45681</c:v>
                </c:pt>
                <c:pt idx="975">
                  <c:v>45691</c:v>
                </c:pt>
                <c:pt idx="976">
                  <c:v>45692</c:v>
                </c:pt>
                <c:pt idx="977">
                  <c:v>45693</c:v>
                </c:pt>
                <c:pt idx="978">
                  <c:v>45694</c:v>
                </c:pt>
                <c:pt idx="979">
                  <c:v>45695</c:v>
                </c:pt>
                <c:pt idx="980">
                  <c:v>45698</c:v>
                </c:pt>
                <c:pt idx="981">
                  <c:v>45699</c:v>
                </c:pt>
                <c:pt idx="982">
                  <c:v>45700</c:v>
                </c:pt>
                <c:pt idx="983">
                  <c:v>45701</c:v>
                </c:pt>
                <c:pt idx="984">
                  <c:v>45702</c:v>
                </c:pt>
                <c:pt idx="985">
                  <c:v>45705</c:v>
                </c:pt>
                <c:pt idx="986">
                  <c:v>45706</c:v>
                </c:pt>
                <c:pt idx="987">
                  <c:v>45707</c:v>
                </c:pt>
                <c:pt idx="988">
                  <c:v>45708</c:v>
                </c:pt>
                <c:pt idx="989">
                  <c:v>45709</c:v>
                </c:pt>
                <c:pt idx="990">
                  <c:v>45712</c:v>
                </c:pt>
                <c:pt idx="991">
                  <c:v>45713</c:v>
                </c:pt>
                <c:pt idx="992">
                  <c:v>45714</c:v>
                </c:pt>
                <c:pt idx="993">
                  <c:v>45715</c:v>
                </c:pt>
                <c:pt idx="994">
                  <c:v>45716</c:v>
                </c:pt>
                <c:pt idx="995">
                  <c:v>45719</c:v>
                </c:pt>
                <c:pt idx="996">
                  <c:v>45720</c:v>
                </c:pt>
                <c:pt idx="997">
                  <c:v>45721</c:v>
                </c:pt>
                <c:pt idx="998">
                  <c:v>45722</c:v>
                </c:pt>
                <c:pt idx="999">
                  <c:v>45723</c:v>
                </c:pt>
                <c:pt idx="1000">
                  <c:v>45726</c:v>
                </c:pt>
                <c:pt idx="1001">
                  <c:v>45727</c:v>
                </c:pt>
                <c:pt idx="1002">
                  <c:v>45728</c:v>
                </c:pt>
                <c:pt idx="1003">
                  <c:v>45729</c:v>
                </c:pt>
                <c:pt idx="1004">
                  <c:v>45730</c:v>
                </c:pt>
                <c:pt idx="1005">
                  <c:v>45733</c:v>
                </c:pt>
                <c:pt idx="1006">
                  <c:v>45734</c:v>
                </c:pt>
                <c:pt idx="1007">
                  <c:v>45735</c:v>
                </c:pt>
                <c:pt idx="1008">
                  <c:v>45736</c:v>
                </c:pt>
                <c:pt idx="1009">
                  <c:v>45737</c:v>
                </c:pt>
                <c:pt idx="1010">
                  <c:v>45740</c:v>
                </c:pt>
                <c:pt idx="1011">
                  <c:v>45741</c:v>
                </c:pt>
                <c:pt idx="1012">
                  <c:v>45742</c:v>
                </c:pt>
                <c:pt idx="1013">
                  <c:v>45743</c:v>
                </c:pt>
                <c:pt idx="1014">
                  <c:v>45744</c:v>
                </c:pt>
                <c:pt idx="1015">
                  <c:v>45747</c:v>
                </c:pt>
                <c:pt idx="1016">
                  <c:v>45748</c:v>
                </c:pt>
                <c:pt idx="1017">
                  <c:v>45749</c:v>
                </c:pt>
                <c:pt idx="1018">
                  <c:v>45750</c:v>
                </c:pt>
                <c:pt idx="1019">
                  <c:v>45751</c:v>
                </c:pt>
                <c:pt idx="1020">
                  <c:v>45755</c:v>
                </c:pt>
                <c:pt idx="1021">
                  <c:v>45756</c:v>
                </c:pt>
                <c:pt idx="1022">
                  <c:v>45757</c:v>
                </c:pt>
                <c:pt idx="1023">
                  <c:v>45758</c:v>
                </c:pt>
                <c:pt idx="1024">
                  <c:v>45761</c:v>
                </c:pt>
                <c:pt idx="1025">
                  <c:v>45762</c:v>
                </c:pt>
                <c:pt idx="1026">
                  <c:v>45763</c:v>
                </c:pt>
                <c:pt idx="1027">
                  <c:v>45764</c:v>
                </c:pt>
                <c:pt idx="1028">
                  <c:v>45765</c:v>
                </c:pt>
                <c:pt idx="1029">
                  <c:v>45768</c:v>
                </c:pt>
                <c:pt idx="1030">
                  <c:v>45769</c:v>
                </c:pt>
                <c:pt idx="1031">
                  <c:v>45770</c:v>
                </c:pt>
                <c:pt idx="1032">
                  <c:v>45771</c:v>
                </c:pt>
                <c:pt idx="1033">
                  <c:v>45772</c:v>
                </c:pt>
                <c:pt idx="1034">
                  <c:v>45775</c:v>
                </c:pt>
                <c:pt idx="1035">
                  <c:v>45776</c:v>
                </c:pt>
                <c:pt idx="1036">
                  <c:v>45782</c:v>
                </c:pt>
                <c:pt idx="1037">
                  <c:v>45783</c:v>
                </c:pt>
                <c:pt idx="1038">
                  <c:v>45784</c:v>
                </c:pt>
                <c:pt idx="1039">
                  <c:v>45785</c:v>
                </c:pt>
                <c:pt idx="1040">
                  <c:v>45786</c:v>
                </c:pt>
                <c:pt idx="1041">
                  <c:v>45789</c:v>
                </c:pt>
                <c:pt idx="1042">
                  <c:v>45790</c:v>
                </c:pt>
                <c:pt idx="1043">
                  <c:v>45791</c:v>
                </c:pt>
                <c:pt idx="1044">
                  <c:v>45792</c:v>
                </c:pt>
                <c:pt idx="1045">
                  <c:v>45793</c:v>
                </c:pt>
                <c:pt idx="1046">
                  <c:v>45796</c:v>
                </c:pt>
                <c:pt idx="1047">
                  <c:v>45797</c:v>
                </c:pt>
                <c:pt idx="1048">
                  <c:v>45798</c:v>
                </c:pt>
                <c:pt idx="1049">
                  <c:v>45799</c:v>
                </c:pt>
                <c:pt idx="1050">
                  <c:v>45800</c:v>
                </c:pt>
                <c:pt idx="1051">
                  <c:v>45803</c:v>
                </c:pt>
                <c:pt idx="1052">
                  <c:v>45804</c:v>
                </c:pt>
                <c:pt idx="1053">
                  <c:v>45805</c:v>
                </c:pt>
                <c:pt idx="1054">
                  <c:v>45806</c:v>
                </c:pt>
                <c:pt idx="1055">
                  <c:v>45807</c:v>
                </c:pt>
                <c:pt idx="1056">
                  <c:v>45810</c:v>
                </c:pt>
                <c:pt idx="1057">
                  <c:v>45811</c:v>
                </c:pt>
                <c:pt idx="1058">
                  <c:v>45812</c:v>
                </c:pt>
                <c:pt idx="1059">
                  <c:v>45813</c:v>
                </c:pt>
                <c:pt idx="1060">
                  <c:v>45814</c:v>
                </c:pt>
                <c:pt idx="1061">
                  <c:v>45817</c:v>
                </c:pt>
                <c:pt idx="1062">
                  <c:v>45818</c:v>
                </c:pt>
                <c:pt idx="1063">
                  <c:v>45819</c:v>
                </c:pt>
                <c:pt idx="1064">
                  <c:v>45820</c:v>
                </c:pt>
                <c:pt idx="1065">
                  <c:v>45821</c:v>
                </c:pt>
                <c:pt idx="1066">
                  <c:v>45824</c:v>
                </c:pt>
                <c:pt idx="1067">
                  <c:v>45825</c:v>
                </c:pt>
                <c:pt idx="1068">
                  <c:v>45826</c:v>
                </c:pt>
                <c:pt idx="1069">
                  <c:v>45827</c:v>
                </c:pt>
                <c:pt idx="1070">
                  <c:v>45828</c:v>
                </c:pt>
                <c:pt idx="1071">
                  <c:v>45831</c:v>
                </c:pt>
                <c:pt idx="1072">
                  <c:v>45832</c:v>
                </c:pt>
                <c:pt idx="1073">
                  <c:v>45833</c:v>
                </c:pt>
                <c:pt idx="1074">
                  <c:v>45834</c:v>
                </c:pt>
                <c:pt idx="1075">
                  <c:v>45835</c:v>
                </c:pt>
                <c:pt idx="1076">
                  <c:v>45838</c:v>
                </c:pt>
                <c:pt idx="1077">
                  <c:v>45839</c:v>
                </c:pt>
                <c:pt idx="1078">
                  <c:v>45840</c:v>
                </c:pt>
                <c:pt idx="1079">
                  <c:v>45841</c:v>
                </c:pt>
                <c:pt idx="1080">
                  <c:v>45842</c:v>
                </c:pt>
                <c:pt idx="1081">
                  <c:v>45845</c:v>
                </c:pt>
                <c:pt idx="1082">
                  <c:v>45846</c:v>
                </c:pt>
                <c:pt idx="1083">
                  <c:v>45847</c:v>
                </c:pt>
                <c:pt idx="1084">
                  <c:v>45848</c:v>
                </c:pt>
                <c:pt idx="1085">
                  <c:v>45849</c:v>
                </c:pt>
                <c:pt idx="1086">
                  <c:v>45852</c:v>
                </c:pt>
                <c:pt idx="1087">
                  <c:v>45853</c:v>
                </c:pt>
                <c:pt idx="1088">
                  <c:v>45854</c:v>
                </c:pt>
                <c:pt idx="1089">
                  <c:v>45855</c:v>
                </c:pt>
                <c:pt idx="1090">
                  <c:v>45856</c:v>
                </c:pt>
                <c:pt idx="1091">
                  <c:v>45859</c:v>
                </c:pt>
                <c:pt idx="1092">
                  <c:v>45860</c:v>
                </c:pt>
                <c:pt idx="1093">
                  <c:v>45861</c:v>
                </c:pt>
                <c:pt idx="1094">
                  <c:v>45862</c:v>
                </c:pt>
                <c:pt idx="1095">
                  <c:v>45863</c:v>
                </c:pt>
                <c:pt idx="1096">
                  <c:v>45866</c:v>
                </c:pt>
                <c:pt idx="1097">
                  <c:v>45867</c:v>
                </c:pt>
                <c:pt idx="1098">
                  <c:v>45868</c:v>
                </c:pt>
                <c:pt idx="1099">
                  <c:v>45869</c:v>
                </c:pt>
                <c:pt idx="1100">
                  <c:v>45870</c:v>
                </c:pt>
                <c:pt idx="1101">
                  <c:v>45873</c:v>
                </c:pt>
                <c:pt idx="1102">
                  <c:v>45874</c:v>
                </c:pt>
                <c:pt idx="1103">
                  <c:v>45875</c:v>
                </c:pt>
                <c:pt idx="1104">
                  <c:v>45876</c:v>
                </c:pt>
                <c:pt idx="1105">
                  <c:v>45877</c:v>
                </c:pt>
                <c:pt idx="1106">
                  <c:v>45880</c:v>
                </c:pt>
                <c:pt idx="1107">
                  <c:v>45881</c:v>
                </c:pt>
                <c:pt idx="1108">
                  <c:v>45882</c:v>
                </c:pt>
                <c:pt idx="1109">
                  <c:v>45883</c:v>
                </c:pt>
                <c:pt idx="1110">
                  <c:v>45884</c:v>
                </c:pt>
                <c:pt idx="1111">
                  <c:v>45887</c:v>
                </c:pt>
                <c:pt idx="1112">
                  <c:v>45888</c:v>
                </c:pt>
                <c:pt idx="1113">
                  <c:v>45889</c:v>
                </c:pt>
                <c:pt idx="1114">
                  <c:v>45890</c:v>
                </c:pt>
                <c:pt idx="1115">
                  <c:v>45891</c:v>
                </c:pt>
                <c:pt idx="1116">
                  <c:v>45894</c:v>
                </c:pt>
                <c:pt idx="1117">
                  <c:v>45895</c:v>
                </c:pt>
                <c:pt idx="1118">
                  <c:v>45896</c:v>
                </c:pt>
                <c:pt idx="1119">
                  <c:v>45897</c:v>
                </c:pt>
                <c:pt idx="1120">
                  <c:v>45898</c:v>
                </c:pt>
                <c:pt idx="1121">
                  <c:v>45903</c:v>
                </c:pt>
                <c:pt idx="1122">
                  <c:v>45904</c:v>
                </c:pt>
                <c:pt idx="1123">
                  <c:v>45905</c:v>
                </c:pt>
                <c:pt idx="1124">
                  <c:v>45908</c:v>
                </c:pt>
                <c:pt idx="1125">
                  <c:v>45909</c:v>
                </c:pt>
                <c:pt idx="1126">
                  <c:v>45910</c:v>
                </c:pt>
                <c:pt idx="1127">
                  <c:v>45911</c:v>
                </c:pt>
                <c:pt idx="1128">
                  <c:v>45912</c:v>
                </c:pt>
                <c:pt idx="1129">
                  <c:v>45915</c:v>
                </c:pt>
                <c:pt idx="1130">
                  <c:v>45916</c:v>
                </c:pt>
                <c:pt idx="1131">
                  <c:v>45917</c:v>
                </c:pt>
                <c:pt idx="1132">
                  <c:v>45918</c:v>
                </c:pt>
                <c:pt idx="1133">
                  <c:v>45919</c:v>
                </c:pt>
                <c:pt idx="1134">
                  <c:v>45922</c:v>
                </c:pt>
                <c:pt idx="1135">
                  <c:v>45923</c:v>
                </c:pt>
                <c:pt idx="1136">
                  <c:v>45924</c:v>
                </c:pt>
                <c:pt idx="1137">
                  <c:v>45925</c:v>
                </c:pt>
                <c:pt idx="1138">
                  <c:v>45926</c:v>
                </c:pt>
                <c:pt idx="1139">
                  <c:v>45929</c:v>
                </c:pt>
                <c:pt idx="1140">
                  <c:v>45930</c:v>
                </c:pt>
                <c:pt idx="1141">
                  <c:v>45931</c:v>
                </c:pt>
                <c:pt idx="1142">
                  <c:v>45932</c:v>
                </c:pt>
                <c:pt idx="1143">
                  <c:v>45933</c:v>
                </c:pt>
                <c:pt idx="1144">
                  <c:v>45936</c:v>
                </c:pt>
                <c:pt idx="1145">
                  <c:v>45937</c:v>
                </c:pt>
                <c:pt idx="1146">
                  <c:v>45938</c:v>
                </c:pt>
                <c:pt idx="1147">
                  <c:v>45939</c:v>
                </c:pt>
                <c:pt idx="1148">
                  <c:v>45940</c:v>
                </c:pt>
                <c:pt idx="1149">
                  <c:v>45943</c:v>
                </c:pt>
                <c:pt idx="1150">
                  <c:v>45944</c:v>
                </c:pt>
                <c:pt idx="1151">
                  <c:v>45945</c:v>
                </c:pt>
                <c:pt idx="1152">
                  <c:v>45946</c:v>
                </c:pt>
                <c:pt idx="1153">
                  <c:v>45947</c:v>
                </c:pt>
                <c:pt idx="1154">
                  <c:v>45950</c:v>
                </c:pt>
                <c:pt idx="1155">
                  <c:v>45951</c:v>
                </c:pt>
                <c:pt idx="1156">
                  <c:v>45952</c:v>
                </c:pt>
                <c:pt idx="1157">
                  <c:v>45953</c:v>
                </c:pt>
                <c:pt idx="1158">
                  <c:v>45954</c:v>
                </c:pt>
                <c:pt idx="1159">
                  <c:v>45957</c:v>
                </c:pt>
                <c:pt idx="1160">
                  <c:v>45958</c:v>
                </c:pt>
                <c:pt idx="1161">
                  <c:v>45959</c:v>
                </c:pt>
                <c:pt idx="1162">
                  <c:v>45960</c:v>
                </c:pt>
                <c:pt idx="1163">
                  <c:v>45961</c:v>
                </c:pt>
                <c:pt idx="1164">
                  <c:v>45964</c:v>
                </c:pt>
                <c:pt idx="1165">
                  <c:v>45965</c:v>
                </c:pt>
                <c:pt idx="1166">
                  <c:v>45966</c:v>
                </c:pt>
                <c:pt idx="1167">
                  <c:v>45967</c:v>
                </c:pt>
                <c:pt idx="1168">
                  <c:v>45968</c:v>
                </c:pt>
                <c:pt idx="1169">
                  <c:v>45971</c:v>
                </c:pt>
                <c:pt idx="1170">
                  <c:v>45972</c:v>
                </c:pt>
                <c:pt idx="1171">
                  <c:v>45973</c:v>
                </c:pt>
                <c:pt idx="1172">
                  <c:v>45974</c:v>
                </c:pt>
                <c:pt idx="1173">
                  <c:v>45975</c:v>
                </c:pt>
                <c:pt idx="1174">
                  <c:v>45978</c:v>
                </c:pt>
                <c:pt idx="1175">
                  <c:v>45979</c:v>
                </c:pt>
                <c:pt idx="1176">
                  <c:v>45980</c:v>
                </c:pt>
                <c:pt idx="1177">
                  <c:v>45981</c:v>
                </c:pt>
                <c:pt idx="1178">
                  <c:v>45982</c:v>
                </c:pt>
                <c:pt idx="1179">
                  <c:v>45985</c:v>
                </c:pt>
                <c:pt idx="1180">
                  <c:v>45986</c:v>
                </c:pt>
                <c:pt idx="1181">
                  <c:v>45987</c:v>
                </c:pt>
                <c:pt idx="1182">
                  <c:v>45988</c:v>
                </c:pt>
                <c:pt idx="1183">
                  <c:v>45989</c:v>
                </c:pt>
                <c:pt idx="1184">
                  <c:v>45992</c:v>
                </c:pt>
                <c:pt idx="1185">
                  <c:v>45993</c:v>
                </c:pt>
                <c:pt idx="1186">
                  <c:v>45994</c:v>
                </c:pt>
                <c:pt idx="1187">
                  <c:v>45995</c:v>
                </c:pt>
                <c:pt idx="1188">
                  <c:v>45996</c:v>
                </c:pt>
                <c:pt idx="1189">
                  <c:v>45999</c:v>
                </c:pt>
                <c:pt idx="1190">
                  <c:v>46000</c:v>
                </c:pt>
                <c:pt idx="1191">
                  <c:v>46001</c:v>
                </c:pt>
                <c:pt idx="1192">
                  <c:v>46002</c:v>
                </c:pt>
                <c:pt idx="1193">
                  <c:v>46003</c:v>
                </c:pt>
                <c:pt idx="1194">
                  <c:v>46006</c:v>
                </c:pt>
                <c:pt idx="1195">
                  <c:v>46007</c:v>
                </c:pt>
                <c:pt idx="1196">
                  <c:v>46008</c:v>
                </c:pt>
                <c:pt idx="1197">
                  <c:v>46009</c:v>
                </c:pt>
                <c:pt idx="1198">
                  <c:v>46010</c:v>
                </c:pt>
                <c:pt idx="1199">
                  <c:v>46013</c:v>
                </c:pt>
                <c:pt idx="1200">
                  <c:v>46014</c:v>
                </c:pt>
                <c:pt idx="1201">
                  <c:v>46015</c:v>
                </c:pt>
                <c:pt idx="1202">
                  <c:v>46016</c:v>
                </c:pt>
                <c:pt idx="1203">
                  <c:v>46017</c:v>
                </c:pt>
                <c:pt idx="1204">
                  <c:v>46020</c:v>
                </c:pt>
                <c:pt idx="1205">
                  <c:v>46021</c:v>
                </c:pt>
                <c:pt idx="1206">
                  <c:v>46022</c:v>
                </c:pt>
                <c:pt idx="1207">
                  <c:v>46027</c:v>
                </c:pt>
                <c:pt idx="1208">
                  <c:v>46028</c:v>
                </c:pt>
                <c:pt idx="1209">
                  <c:v>46029</c:v>
                </c:pt>
                <c:pt idx="1210">
                  <c:v>46030</c:v>
                </c:pt>
                <c:pt idx="1211">
                  <c:v>46031</c:v>
                </c:pt>
                <c:pt idx="1212">
                  <c:v>46034</c:v>
                </c:pt>
                <c:pt idx="1213">
                  <c:v>46035</c:v>
                </c:pt>
                <c:pt idx="1214">
                  <c:v>46036</c:v>
                </c:pt>
                <c:pt idx="1215">
                  <c:v>46037</c:v>
                </c:pt>
                <c:pt idx="1216">
                  <c:v>46038</c:v>
                </c:pt>
                <c:pt idx="1217">
                  <c:v>46041</c:v>
                </c:pt>
                <c:pt idx="1218">
                  <c:v>46042</c:v>
                </c:pt>
                <c:pt idx="1219">
                  <c:v>46043</c:v>
                </c:pt>
                <c:pt idx="1220">
                  <c:v>46044</c:v>
                </c:pt>
                <c:pt idx="1221">
                  <c:v>46045</c:v>
                </c:pt>
                <c:pt idx="1222">
                  <c:v>46048</c:v>
                </c:pt>
                <c:pt idx="1223">
                  <c:v>46049</c:v>
                </c:pt>
                <c:pt idx="1224">
                  <c:v>46050</c:v>
                </c:pt>
                <c:pt idx="1225">
                  <c:v>46051</c:v>
                </c:pt>
                <c:pt idx="1226">
                  <c:v>46052</c:v>
                </c:pt>
                <c:pt idx="1227">
                  <c:v>46055</c:v>
                </c:pt>
                <c:pt idx="1228">
                  <c:v>46056</c:v>
                </c:pt>
                <c:pt idx="1229">
                  <c:v>46057</c:v>
                </c:pt>
                <c:pt idx="1230">
                  <c:v>46058</c:v>
                </c:pt>
                <c:pt idx="1231">
                  <c:v>46059</c:v>
                </c:pt>
                <c:pt idx="1232">
                  <c:v>46062</c:v>
                </c:pt>
                <c:pt idx="1233">
                  <c:v>46063</c:v>
                </c:pt>
                <c:pt idx="1234">
                  <c:v>46064</c:v>
                </c:pt>
                <c:pt idx="1235">
                  <c:v>46065</c:v>
                </c:pt>
                <c:pt idx="1236">
                  <c:v>46066</c:v>
                </c:pt>
                <c:pt idx="1237">
                  <c:v>46076</c:v>
                </c:pt>
                <c:pt idx="1238">
                  <c:v>46077</c:v>
                </c:pt>
                <c:pt idx="1239">
                  <c:v>46078</c:v>
                </c:pt>
                <c:pt idx="1240">
                  <c:v>46079</c:v>
                </c:pt>
                <c:pt idx="1241">
                  <c:v>46080</c:v>
                </c:pt>
                <c:pt idx="1242">
                  <c:v>46083</c:v>
                </c:pt>
                <c:pt idx="1243">
                  <c:v>46084</c:v>
                </c:pt>
                <c:pt idx="1244">
                  <c:v>46085</c:v>
                </c:pt>
                <c:pt idx="1245">
                  <c:v>46086</c:v>
                </c:pt>
                <c:pt idx="1246">
                  <c:v>46087</c:v>
                </c:pt>
                <c:pt idx="1247">
                  <c:v>45968</c:v>
                </c:pt>
              </c:numCache>
            </c:numRef>
          </c:cat>
          <c:val>
            <c:numRef>
              <c:f>'FX Data'!$H$957:$H$2204</c:f>
              <c:numCache>
                <c:formatCode>0.0</c:formatCode>
                <c:ptCount val="1248"/>
                <c:pt idx="0">
                  <c:v>16.960031496834333</c:v>
                </c:pt>
                <c:pt idx="1">
                  <c:v>16.960031496834333</c:v>
                </c:pt>
                <c:pt idx="2">
                  <c:v>16.960031496834333</c:v>
                </c:pt>
                <c:pt idx="3">
                  <c:v>16.960031496834333</c:v>
                </c:pt>
                <c:pt idx="4">
                  <c:v>16.960031496834333</c:v>
                </c:pt>
                <c:pt idx="5">
                  <c:v>16.960031496834333</c:v>
                </c:pt>
                <c:pt idx="6">
                  <c:v>16.960031496834333</c:v>
                </c:pt>
                <c:pt idx="7">
                  <c:v>16.960031496834333</c:v>
                </c:pt>
                <c:pt idx="8">
                  <c:v>16.960031496834333</c:v>
                </c:pt>
                <c:pt idx="9">
                  <c:v>16.960031496834333</c:v>
                </c:pt>
                <c:pt idx="10">
                  <c:v>16.960031496834333</c:v>
                </c:pt>
                <c:pt idx="11">
                  <c:v>16.960031496834333</c:v>
                </c:pt>
                <c:pt idx="12">
                  <c:v>16.960031496834333</c:v>
                </c:pt>
                <c:pt idx="13">
                  <c:v>16.960031496834333</c:v>
                </c:pt>
                <c:pt idx="14">
                  <c:v>16.960031496834333</c:v>
                </c:pt>
                <c:pt idx="15">
                  <c:v>16.960031496834333</c:v>
                </c:pt>
                <c:pt idx="16">
                  <c:v>16.960031496834333</c:v>
                </c:pt>
                <c:pt idx="17">
                  <c:v>16.960031496834333</c:v>
                </c:pt>
                <c:pt idx="18">
                  <c:v>16.960031496834333</c:v>
                </c:pt>
                <c:pt idx="19">
                  <c:v>16.960031496834333</c:v>
                </c:pt>
                <c:pt idx="20">
                  <c:v>16.960031496834333</c:v>
                </c:pt>
                <c:pt idx="21">
                  <c:v>16.960031496834333</c:v>
                </c:pt>
                <c:pt idx="22">
                  <c:v>16.960031496834333</c:v>
                </c:pt>
                <c:pt idx="23">
                  <c:v>16.960031496834333</c:v>
                </c:pt>
                <c:pt idx="24">
                  <c:v>16.960031496834333</c:v>
                </c:pt>
                <c:pt idx="25">
                  <c:v>16.960031496834333</c:v>
                </c:pt>
                <c:pt idx="26">
                  <c:v>16.960031496834333</c:v>
                </c:pt>
                <c:pt idx="27">
                  <c:v>16.960031496834333</c:v>
                </c:pt>
                <c:pt idx="28">
                  <c:v>16.960031496834333</c:v>
                </c:pt>
                <c:pt idx="29">
                  <c:v>16.960031496834333</c:v>
                </c:pt>
                <c:pt idx="30">
                  <c:v>16.960031496834333</c:v>
                </c:pt>
                <c:pt idx="31">
                  <c:v>16.960031496834333</c:v>
                </c:pt>
                <c:pt idx="32">
                  <c:v>16.960031496834333</c:v>
                </c:pt>
                <c:pt idx="33">
                  <c:v>16.960031496834333</c:v>
                </c:pt>
                <c:pt idx="34">
                  <c:v>16.960031496834333</c:v>
                </c:pt>
                <c:pt idx="35">
                  <c:v>16.960031496834333</c:v>
                </c:pt>
                <c:pt idx="36">
                  <c:v>16.960031496834333</c:v>
                </c:pt>
                <c:pt idx="37">
                  <c:v>16.960031496834333</c:v>
                </c:pt>
                <c:pt idx="38">
                  <c:v>16.960031496834333</c:v>
                </c:pt>
                <c:pt idx="39">
                  <c:v>16.960031496834333</c:v>
                </c:pt>
                <c:pt idx="40">
                  <c:v>16.960031496834333</c:v>
                </c:pt>
                <c:pt idx="41">
                  <c:v>16.960031496834333</c:v>
                </c:pt>
                <c:pt idx="42">
                  <c:v>16.960031496834333</c:v>
                </c:pt>
                <c:pt idx="43">
                  <c:v>16.960031496834333</c:v>
                </c:pt>
                <c:pt idx="44">
                  <c:v>16.960031496834333</c:v>
                </c:pt>
                <c:pt idx="45">
                  <c:v>16.960031496834333</c:v>
                </c:pt>
                <c:pt idx="46">
                  <c:v>16.960031496834333</c:v>
                </c:pt>
                <c:pt idx="47">
                  <c:v>16.960031496834333</c:v>
                </c:pt>
                <c:pt idx="48">
                  <c:v>16.960031496834333</c:v>
                </c:pt>
                <c:pt idx="49">
                  <c:v>16.960031496834333</c:v>
                </c:pt>
                <c:pt idx="50">
                  <c:v>16.960031496834333</c:v>
                </c:pt>
                <c:pt idx="51">
                  <c:v>16.960031496834333</c:v>
                </c:pt>
                <c:pt idx="52">
                  <c:v>16.960031496834333</c:v>
                </c:pt>
                <c:pt idx="53">
                  <c:v>16.960031496834333</c:v>
                </c:pt>
                <c:pt idx="54">
                  <c:v>16.960031496834333</c:v>
                </c:pt>
                <c:pt idx="55">
                  <c:v>16.960031496834333</c:v>
                </c:pt>
                <c:pt idx="56">
                  <c:v>16.960031496834333</c:v>
                </c:pt>
                <c:pt idx="57">
                  <c:v>16.960031496834333</c:v>
                </c:pt>
                <c:pt idx="58">
                  <c:v>16.960031496834333</c:v>
                </c:pt>
                <c:pt idx="59">
                  <c:v>16.960031496834333</c:v>
                </c:pt>
                <c:pt idx="60">
                  <c:v>16.960031496834333</c:v>
                </c:pt>
                <c:pt idx="61">
                  <c:v>16.960031496834333</c:v>
                </c:pt>
                <c:pt idx="62">
                  <c:v>16.960031496834333</c:v>
                </c:pt>
                <c:pt idx="63">
                  <c:v>16.960031496834333</c:v>
                </c:pt>
                <c:pt idx="64">
                  <c:v>16.960031496834333</c:v>
                </c:pt>
                <c:pt idx="65">
                  <c:v>16.960031496834333</c:v>
                </c:pt>
                <c:pt idx="66">
                  <c:v>16.960031496834333</c:v>
                </c:pt>
                <c:pt idx="67">
                  <c:v>16.960031496834333</c:v>
                </c:pt>
                <c:pt idx="68">
                  <c:v>16.960031496834333</c:v>
                </c:pt>
                <c:pt idx="69">
                  <c:v>16.960031496834333</c:v>
                </c:pt>
                <c:pt idx="70">
                  <c:v>16.960031496834333</c:v>
                </c:pt>
                <c:pt idx="71">
                  <c:v>16.960031496834333</c:v>
                </c:pt>
                <c:pt idx="72">
                  <c:v>16.960031496834333</c:v>
                </c:pt>
                <c:pt idx="73">
                  <c:v>16.960031496834333</c:v>
                </c:pt>
                <c:pt idx="74">
                  <c:v>16.960031496834333</c:v>
                </c:pt>
                <c:pt idx="75">
                  <c:v>16.960031496834333</c:v>
                </c:pt>
                <c:pt idx="76">
                  <c:v>16.960031496834333</c:v>
                </c:pt>
                <c:pt idx="77">
                  <c:v>16.960031496834333</c:v>
                </c:pt>
                <c:pt idx="78">
                  <c:v>16.960031496834333</c:v>
                </c:pt>
                <c:pt idx="79">
                  <c:v>16.960031496834333</c:v>
                </c:pt>
                <c:pt idx="80">
                  <c:v>16.960031496834333</c:v>
                </c:pt>
                <c:pt idx="81">
                  <c:v>16.960031496834333</c:v>
                </c:pt>
                <c:pt idx="82">
                  <c:v>16.960031496834333</c:v>
                </c:pt>
                <c:pt idx="83">
                  <c:v>16.960031496834333</c:v>
                </c:pt>
                <c:pt idx="84">
                  <c:v>16.960031496834333</c:v>
                </c:pt>
                <c:pt idx="85">
                  <c:v>16.960031496834333</c:v>
                </c:pt>
                <c:pt idx="86">
                  <c:v>16.960031496834333</c:v>
                </c:pt>
                <c:pt idx="87">
                  <c:v>16.960031496834333</c:v>
                </c:pt>
                <c:pt idx="88">
                  <c:v>16.960031496834333</c:v>
                </c:pt>
                <c:pt idx="89">
                  <c:v>16.960031496834333</c:v>
                </c:pt>
                <c:pt idx="90">
                  <c:v>16.960031496834333</c:v>
                </c:pt>
                <c:pt idx="91">
                  <c:v>16.960031496834333</c:v>
                </c:pt>
                <c:pt idx="92">
                  <c:v>16.960031496834333</c:v>
                </c:pt>
                <c:pt idx="93">
                  <c:v>16.960031496834333</c:v>
                </c:pt>
                <c:pt idx="94">
                  <c:v>16.960031496834333</c:v>
                </c:pt>
                <c:pt idx="95">
                  <c:v>16.960031496834333</c:v>
                </c:pt>
                <c:pt idx="96">
                  <c:v>16.960031496834333</c:v>
                </c:pt>
                <c:pt idx="97">
                  <c:v>16.960031496834333</c:v>
                </c:pt>
                <c:pt idx="98">
                  <c:v>16.960031496834333</c:v>
                </c:pt>
                <c:pt idx="99">
                  <c:v>16.960031496834333</c:v>
                </c:pt>
                <c:pt idx="100">
                  <c:v>16.960031496834333</c:v>
                </c:pt>
                <c:pt idx="101">
                  <c:v>16.960031496834333</c:v>
                </c:pt>
                <c:pt idx="102">
                  <c:v>16.960031496834333</c:v>
                </c:pt>
                <c:pt idx="103">
                  <c:v>16.960031496834333</c:v>
                </c:pt>
                <c:pt idx="104">
                  <c:v>16.960031496834333</c:v>
                </c:pt>
                <c:pt idx="105">
                  <c:v>16.960031496834333</c:v>
                </c:pt>
                <c:pt idx="106">
                  <c:v>16.960031496834333</c:v>
                </c:pt>
                <c:pt idx="107">
                  <c:v>16.960031496834333</c:v>
                </c:pt>
                <c:pt idx="108">
                  <c:v>16.960031496834333</c:v>
                </c:pt>
                <c:pt idx="109">
                  <c:v>16.960031496834333</c:v>
                </c:pt>
                <c:pt idx="110">
                  <c:v>16.960031496834333</c:v>
                </c:pt>
                <c:pt idx="111">
                  <c:v>16.960031496834333</c:v>
                </c:pt>
                <c:pt idx="112">
                  <c:v>16.960031496834333</c:v>
                </c:pt>
                <c:pt idx="113">
                  <c:v>16.960031496834333</c:v>
                </c:pt>
                <c:pt idx="114">
                  <c:v>16.960031496834333</c:v>
                </c:pt>
                <c:pt idx="115">
                  <c:v>16.960031496834333</c:v>
                </c:pt>
                <c:pt idx="116">
                  <c:v>16.960031496834333</c:v>
                </c:pt>
                <c:pt idx="117">
                  <c:v>16.960031496834333</c:v>
                </c:pt>
                <c:pt idx="118">
                  <c:v>16.960031496834333</c:v>
                </c:pt>
                <c:pt idx="119">
                  <c:v>16.960031496834333</c:v>
                </c:pt>
                <c:pt idx="120">
                  <c:v>16.960031496834333</c:v>
                </c:pt>
                <c:pt idx="121">
                  <c:v>16.960031496834333</c:v>
                </c:pt>
                <c:pt idx="122">
                  <c:v>16.960031496834333</c:v>
                </c:pt>
                <c:pt idx="123">
                  <c:v>16.960031496834333</c:v>
                </c:pt>
                <c:pt idx="124">
                  <c:v>16.960031496834333</c:v>
                </c:pt>
                <c:pt idx="125">
                  <c:v>16.960031496834333</c:v>
                </c:pt>
                <c:pt idx="126">
                  <c:v>16.960031496834333</c:v>
                </c:pt>
                <c:pt idx="127">
                  <c:v>16.960031496834333</c:v>
                </c:pt>
                <c:pt idx="128">
                  <c:v>16.960031496834333</c:v>
                </c:pt>
                <c:pt idx="129">
                  <c:v>16.960031496834333</c:v>
                </c:pt>
                <c:pt idx="130">
                  <c:v>16.960031496834333</c:v>
                </c:pt>
                <c:pt idx="131">
                  <c:v>16.960031496834333</c:v>
                </c:pt>
                <c:pt idx="132">
                  <c:v>16.960031496834333</c:v>
                </c:pt>
                <c:pt idx="133">
                  <c:v>16.960031496834333</c:v>
                </c:pt>
                <c:pt idx="134">
                  <c:v>16.960031496834333</c:v>
                </c:pt>
                <c:pt idx="135">
                  <c:v>16.960031496834333</c:v>
                </c:pt>
                <c:pt idx="136">
                  <c:v>16.960031496834333</c:v>
                </c:pt>
                <c:pt idx="137">
                  <c:v>16.960031496834333</c:v>
                </c:pt>
                <c:pt idx="138">
                  <c:v>16.960031496834333</c:v>
                </c:pt>
                <c:pt idx="139">
                  <c:v>16.960031496834333</c:v>
                </c:pt>
                <c:pt idx="140">
                  <c:v>16.960031496834333</c:v>
                </c:pt>
                <c:pt idx="141">
                  <c:v>16.960031496834333</c:v>
                </c:pt>
                <c:pt idx="142">
                  <c:v>16.960031496834333</c:v>
                </c:pt>
                <c:pt idx="143">
                  <c:v>16.960031496834333</c:v>
                </c:pt>
                <c:pt idx="144">
                  <c:v>16.960031496834333</c:v>
                </c:pt>
                <c:pt idx="145">
                  <c:v>16.960031496834333</c:v>
                </c:pt>
                <c:pt idx="146">
                  <c:v>16.960031496834333</c:v>
                </c:pt>
                <c:pt idx="147">
                  <c:v>16.960031496834333</c:v>
                </c:pt>
                <c:pt idx="148">
                  <c:v>16.960031496834333</c:v>
                </c:pt>
                <c:pt idx="149">
                  <c:v>16.960031496834333</c:v>
                </c:pt>
                <c:pt idx="150">
                  <c:v>16.960031496834333</c:v>
                </c:pt>
                <c:pt idx="151">
                  <c:v>16.960031496834333</c:v>
                </c:pt>
                <c:pt idx="152">
                  <c:v>16.960031496834333</c:v>
                </c:pt>
                <c:pt idx="153">
                  <c:v>16.960031496834333</c:v>
                </c:pt>
                <c:pt idx="154">
                  <c:v>16.960031496834333</c:v>
                </c:pt>
                <c:pt idx="155">
                  <c:v>16.960031496834333</c:v>
                </c:pt>
                <c:pt idx="156">
                  <c:v>16.960031496834333</c:v>
                </c:pt>
                <c:pt idx="157">
                  <c:v>16.960031496834333</c:v>
                </c:pt>
                <c:pt idx="158">
                  <c:v>16.960031496834333</c:v>
                </c:pt>
                <c:pt idx="159">
                  <c:v>16.960031496834333</c:v>
                </c:pt>
                <c:pt idx="160">
                  <c:v>16.960031496834333</c:v>
                </c:pt>
                <c:pt idx="161">
                  <c:v>16.960031496834333</c:v>
                </c:pt>
                <c:pt idx="162">
                  <c:v>16.960031496834333</c:v>
                </c:pt>
                <c:pt idx="163">
                  <c:v>16.960031496834333</c:v>
                </c:pt>
                <c:pt idx="164">
                  <c:v>16.960031496834333</c:v>
                </c:pt>
                <c:pt idx="165">
                  <c:v>16.960031496834333</c:v>
                </c:pt>
                <c:pt idx="166">
                  <c:v>16.960031496834333</c:v>
                </c:pt>
                <c:pt idx="167">
                  <c:v>16.960031496834333</c:v>
                </c:pt>
                <c:pt idx="168">
                  <c:v>16.960031496834333</c:v>
                </c:pt>
                <c:pt idx="169">
                  <c:v>16.960031496834333</c:v>
                </c:pt>
                <c:pt idx="170">
                  <c:v>16.960031496834333</c:v>
                </c:pt>
                <c:pt idx="171">
                  <c:v>16.960031496834333</c:v>
                </c:pt>
                <c:pt idx="172">
                  <c:v>16.960031496834333</c:v>
                </c:pt>
                <c:pt idx="173">
                  <c:v>16.960031496834333</c:v>
                </c:pt>
                <c:pt idx="174">
                  <c:v>16.960031496834333</c:v>
                </c:pt>
                <c:pt idx="175">
                  <c:v>16.960031496834333</c:v>
                </c:pt>
                <c:pt idx="176">
                  <c:v>16.960031496834333</c:v>
                </c:pt>
                <c:pt idx="177">
                  <c:v>16.960031496834333</c:v>
                </c:pt>
                <c:pt idx="178">
                  <c:v>16.960031496834333</c:v>
                </c:pt>
                <c:pt idx="179">
                  <c:v>16.960031496834333</c:v>
                </c:pt>
                <c:pt idx="180">
                  <c:v>16.960031496834333</c:v>
                </c:pt>
                <c:pt idx="181">
                  <c:v>16.960031496834333</c:v>
                </c:pt>
                <c:pt idx="182">
                  <c:v>16.960031496834333</c:v>
                </c:pt>
                <c:pt idx="183">
                  <c:v>16.960031496834333</c:v>
                </c:pt>
                <c:pt idx="184">
                  <c:v>16.960031496834333</c:v>
                </c:pt>
                <c:pt idx="185">
                  <c:v>16.960031496834333</c:v>
                </c:pt>
                <c:pt idx="186">
                  <c:v>16.960031496834333</c:v>
                </c:pt>
                <c:pt idx="187">
                  <c:v>16.960031496834333</c:v>
                </c:pt>
                <c:pt idx="188">
                  <c:v>16.960031496834333</c:v>
                </c:pt>
                <c:pt idx="189">
                  <c:v>16.960031496834333</c:v>
                </c:pt>
                <c:pt idx="190">
                  <c:v>16.960031496834333</c:v>
                </c:pt>
                <c:pt idx="191">
                  <c:v>16.960031496834333</c:v>
                </c:pt>
                <c:pt idx="192">
                  <c:v>16.960031496834333</c:v>
                </c:pt>
                <c:pt idx="193">
                  <c:v>16.960031496834333</c:v>
                </c:pt>
                <c:pt idx="194">
                  <c:v>16.960031496834333</c:v>
                </c:pt>
                <c:pt idx="195">
                  <c:v>16.960031496834333</c:v>
                </c:pt>
                <c:pt idx="196">
                  <c:v>16.960031496834333</c:v>
                </c:pt>
                <c:pt idx="197">
                  <c:v>16.960031496834333</c:v>
                </c:pt>
                <c:pt idx="198">
                  <c:v>16.960031496834333</c:v>
                </c:pt>
                <c:pt idx="199">
                  <c:v>16.960031496834333</c:v>
                </c:pt>
                <c:pt idx="200">
                  <c:v>16.960031496834333</c:v>
                </c:pt>
                <c:pt idx="201">
                  <c:v>16.960031496834333</c:v>
                </c:pt>
                <c:pt idx="202">
                  <c:v>16.960031496834333</c:v>
                </c:pt>
                <c:pt idx="203">
                  <c:v>16.960031496834333</c:v>
                </c:pt>
                <c:pt idx="204">
                  <c:v>16.960031496834333</c:v>
                </c:pt>
                <c:pt idx="205">
                  <c:v>16.960031496834333</c:v>
                </c:pt>
                <c:pt idx="206">
                  <c:v>16.960031496834333</c:v>
                </c:pt>
                <c:pt idx="207">
                  <c:v>16.960031496834333</c:v>
                </c:pt>
                <c:pt idx="208">
                  <c:v>16.960031496834333</c:v>
                </c:pt>
                <c:pt idx="209">
                  <c:v>16.960031496834333</c:v>
                </c:pt>
                <c:pt idx="210">
                  <c:v>16.960031496834333</c:v>
                </c:pt>
                <c:pt idx="211">
                  <c:v>16.960031496834333</c:v>
                </c:pt>
                <c:pt idx="212">
                  <c:v>16.960031496834333</c:v>
                </c:pt>
                <c:pt idx="213">
                  <c:v>16.960031496834333</c:v>
                </c:pt>
                <c:pt idx="214">
                  <c:v>16.960031496834333</c:v>
                </c:pt>
                <c:pt idx="215">
                  <c:v>16.960031496834333</c:v>
                </c:pt>
                <c:pt idx="216">
                  <c:v>16.960031496834333</c:v>
                </c:pt>
                <c:pt idx="217">
                  <c:v>16.960031496834333</c:v>
                </c:pt>
                <c:pt idx="218">
                  <c:v>16.960031496834333</c:v>
                </c:pt>
                <c:pt idx="219">
                  <c:v>16.960031496834333</c:v>
                </c:pt>
                <c:pt idx="220">
                  <c:v>16.960031496834333</c:v>
                </c:pt>
                <c:pt idx="221">
                  <c:v>16.960031496834333</c:v>
                </c:pt>
                <c:pt idx="222">
                  <c:v>16.960031496834333</c:v>
                </c:pt>
                <c:pt idx="223">
                  <c:v>16.960031496834333</c:v>
                </c:pt>
                <c:pt idx="224">
                  <c:v>16.960031496834333</c:v>
                </c:pt>
                <c:pt idx="225">
                  <c:v>16.960031496834333</c:v>
                </c:pt>
                <c:pt idx="226">
                  <c:v>16.960031496834333</c:v>
                </c:pt>
                <c:pt idx="227">
                  <c:v>16.960031496834333</c:v>
                </c:pt>
                <c:pt idx="228">
                  <c:v>16.960031496834333</c:v>
                </c:pt>
                <c:pt idx="229">
                  <c:v>16.960031496834333</c:v>
                </c:pt>
                <c:pt idx="230">
                  <c:v>16.960031496834333</c:v>
                </c:pt>
                <c:pt idx="231">
                  <c:v>16.960031496834333</c:v>
                </c:pt>
                <c:pt idx="232">
                  <c:v>16.960031496834333</c:v>
                </c:pt>
                <c:pt idx="233">
                  <c:v>16.960031496834333</c:v>
                </c:pt>
                <c:pt idx="234">
                  <c:v>16.960031496834333</c:v>
                </c:pt>
                <c:pt idx="235">
                  <c:v>16.960031496834333</c:v>
                </c:pt>
                <c:pt idx="236">
                  <c:v>16.960031496834333</c:v>
                </c:pt>
                <c:pt idx="237">
                  <c:v>16.960031496834333</c:v>
                </c:pt>
                <c:pt idx="238">
                  <c:v>16.960031496834333</c:v>
                </c:pt>
                <c:pt idx="239">
                  <c:v>16.960031496834333</c:v>
                </c:pt>
                <c:pt idx="240">
                  <c:v>16.960031496834333</c:v>
                </c:pt>
                <c:pt idx="241">
                  <c:v>16.960031496834333</c:v>
                </c:pt>
                <c:pt idx="242">
                  <c:v>16.960031496834333</c:v>
                </c:pt>
                <c:pt idx="243">
                  <c:v>16.960031496834333</c:v>
                </c:pt>
                <c:pt idx="244">
                  <c:v>16.960031496834333</c:v>
                </c:pt>
                <c:pt idx="245">
                  <c:v>16.960031496834333</c:v>
                </c:pt>
                <c:pt idx="246">
                  <c:v>16.960031496834333</c:v>
                </c:pt>
                <c:pt idx="247">
                  <c:v>16.960031496834333</c:v>
                </c:pt>
                <c:pt idx="248">
                  <c:v>16.960031496834333</c:v>
                </c:pt>
                <c:pt idx="249">
                  <c:v>16.960031496834333</c:v>
                </c:pt>
                <c:pt idx="250">
                  <c:v>16.960031496834333</c:v>
                </c:pt>
                <c:pt idx="251">
                  <c:v>16.960031496834333</c:v>
                </c:pt>
                <c:pt idx="252">
                  <c:v>16.960031496834333</c:v>
                </c:pt>
                <c:pt idx="253">
                  <c:v>16.960031496834333</c:v>
                </c:pt>
                <c:pt idx="254">
                  <c:v>16.960031496834333</c:v>
                </c:pt>
                <c:pt idx="255">
                  <c:v>16.960031496834333</c:v>
                </c:pt>
                <c:pt idx="256">
                  <c:v>16.960031496834333</c:v>
                </c:pt>
                <c:pt idx="257">
                  <c:v>16.960031496834333</c:v>
                </c:pt>
                <c:pt idx="258">
                  <c:v>16.960031496834333</c:v>
                </c:pt>
                <c:pt idx="259">
                  <c:v>16.960031496834333</c:v>
                </c:pt>
                <c:pt idx="260">
                  <c:v>16.960031496834333</c:v>
                </c:pt>
                <c:pt idx="261">
                  <c:v>16.960031496834333</c:v>
                </c:pt>
                <c:pt idx="262">
                  <c:v>16.960031496834333</c:v>
                </c:pt>
                <c:pt idx="263">
                  <c:v>16.960031496834333</c:v>
                </c:pt>
                <c:pt idx="264">
                  <c:v>16.960031496834333</c:v>
                </c:pt>
                <c:pt idx="265">
                  <c:v>16.960031496834333</c:v>
                </c:pt>
                <c:pt idx="266">
                  <c:v>16.960031496834333</c:v>
                </c:pt>
                <c:pt idx="267">
                  <c:v>16.960031496834333</c:v>
                </c:pt>
                <c:pt idx="268">
                  <c:v>16.960031496834333</c:v>
                </c:pt>
                <c:pt idx="269">
                  <c:v>16.960031496834333</c:v>
                </c:pt>
                <c:pt idx="270">
                  <c:v>16.960031496834333</c:v>
                </c:pt>
                <c:pt idx="271">
                  <c:v>16.960031496834333</c:v>
                </c:pt>
                <c:pt idx="272">
                  <c:v>16.960031496834333</c:v>
                </c:pt>
                <c:pt idx="273">
                  <c:v>16.960031496834333</c:v>
                </c:pt>
                <c:pt idx="274">
                  <c:v>16.960031496834333</c:v>
                </c:pt>
                <c:pt idx="275">
                  <c:v>16.960031496834333</c:v>
                </c:pt>
                <c:pt idx="276">
                  <c:v>16.960031496834333</c:v>
                </c:pt>
                <c:pt idx="277">
                  <c:v>16.960031496834333</c:v>
                </c:pt>
                <c:pt idx="278">
                  <c:v>16.960031496834333</c:v>
                </c:pt>
                <c:pt idx="279">
                  <c:v>16.960031496834333</c:v>
                </c:pt>
                <c:pt idx="280">
                  <c:v>16.960031496834333</c:v>
                </c:pt>
                <c:pt idx="281">
                  <c:v>16.960031496834333</c:v>
                </c:pt>
                <c:pt idx="282">
                  <c:v>16.960031496834333</c:v>
                </c:pt>
                <c:pt idx="283">
                  <c:v>16.960031496834333</c:v>
                </c:pt>
                <c:pt idx="284">
                  <c:v>16.960031496834333</c:v>
                </c:pt>
                <c:pt idx="285">
                  <c:v>16.960031496834333</c:v>
                </c:pt>
                <c:pt idx="286">
                  <c:v>16.960031496834333</c:v>
                </c:pt>
                <c:pt idx="287">
                  <c:v>16.960031496834333</c:v>
                </c:pt>
                <c:pt idx="288">
                  <c:v>16.960031496834333</c:v>
                </c:pt>
                <c:pt idx="289">
                  <c:v>16.960031496834333</c:v>
                </c:pt>
                <c:pt idx="290">
                  <c:v>16.960031496834333</c:v>
                </c:pt>
                <c:pt idx="291">
                  <c:v>16.960031496834333</c:v>
                </c:pt>
                <c:pt idx="292">
                  <c:v>16.960031496834333</c:v>
                </c:pt>
                <c:pt idx="293">
                  <c:v>16.960031496834333</c:v>
                </c:pt>
                <c:pt idx="294">
                  <c:v>16.960031496834333</c:v>
                </c:pt>
                <c:pt idx="295">
                  <c:v>16.960031496834333</c:v>
                </c:pt>
                <c:pt idx="296">
                  <c:v>16.960031496834333</c:v>
                </c:pt>
                <c:pt idx="297">
                  <c:v>16.960031496834333</c:v>
                </c:pt>
                <c:pt idx="298">
                  <c:v>16.960031496834333</c:v>
                </c:pt>
                <c:pt idx="299">
                  <c:v>16.960031496834333</c:v>
                </c:pt>
                <c:pt idx="300">
                  <c:v>16.960031496834333</c:v>
                </c:pt>
                <c:pt idx="301">
                  <c:v>16.960031496834333</c:v>
                </c:pt>
                <c:pt idx="302">
                  <c:v>16.960031496834333</c:v>
                </c:pt>
                <c:pt idx="303">
                  <c:v>16.960031496834333</c:v>
                </c:pt>
                <c:pt idx="304">
                  <c:v>16.960031496834333</c:v>
                </c:pt>
                <c:pt idx="305">
                  <c:v>16.960031496834333</c:v>
                </c:pt>
                <c:pt idx="306">
                  <c:v>16.960031496834333</c:v>
                </c:pt>
                <c:pt idx="307">
                  <c:v>16.960031496834333</c:v>
                </c:pt>
                <c:pt idx="308">
                  <c:v>16.960031496834333</c:v>
                </c:pt>
                <c:pt idx="309">
                  <c:v>16.960031496834333</c:v>
                </c:pt>
                <c:pt idx="310">
                  <c:v>16.960031496834333</c:v>
                </c:pt>
                <c:pt idx="311">
                  <c:v>16.960031496834333</c:v>
                </c:pt>
                <c:pt idx="312">
                  <c:v>16.960031496834333</c:v>
                </c:pt>
                <c:pt idx="313">
                  <c:v>16.960031496834333</c:v>
                </c:pt>
                <c:pt idx="314">
                  <c:v>16.960031496834333</c:v>
                </c:pt>
                <c:pt idx="315">
                  <c:v>16.960031496834333</c:v>
                </c:pt>
                <c:pt idx="316">
                  <c:v>16.960031496834333</c:v>
                </c:pt>
                <c:pt idx="317">
                  <c:v>16.960031496834333</c:v>
                </c:pt>
                <c:pt idx="318">
                  <c:v>16.960031496834333</c:v>
                </c:pt>
                <c:pt idx="319">
                  <c:v>16.960031496834333</c:v>
                </c:pt>
                <c:pt idx="320">
                  <c:v>16.960031496834333</c:v>
                </c:pt>
                <c:pt idx="321">
                  <c:v>16.960031496834333</c:v>
                </c:pt>
                <c:pt idx="322">
                  <c:v>16.960031496834333</c:v>
                </c:pt>
                <c:pt idx="323">
                  <c:v>16.960031496834333</c:v>
                </c:pt>
                <c:pt idx="324">
                  <c:v>16.960031496834333</c:v>
                </c:pt>
                <c:pt idx="325">
                  <c:v>16.960031496834333</c:v>
                </c:pt>
                <c:pt idx="326">
                  <c:v>16.960031496834333</c:v>
                </c:pt>
                <c:pt idx="327">
                  <c:v>16.960031496834333</c:v>
                </c:pt>
                <c:pt idx="328">
                  <c:v>16.960031496834333</c:v>
                </c:pt>
                <c:pt idx="329">
                  <c:v>16.960031496834333</c:v>
                </c:pt>
                <c:pt idx="330">
                  <c:v>16.960031496834333</c:v>
                </c:pt>
                <c:pt idx="331">
                  <c:v>16.960031496834333</c:v>
                </c:pt>
                <c:pt idx="332">
                  <c:v>16.960031496834333</c:v>
                </c:pt>
                <c:pt idx="333">
                  <c:v>16.960031496834333</c:v>
                </c:pt>
                <c:pt idx="334">
                  <c:v>16.960031496834333</c:v>
                </c:pt>
                <c:pt idx="335">
                  <c:v>16.960031496834333</c:v>
                </c:pt>
                <c:pt idx="336">
                  <c:v>16.960031496834333</c:v>
                </c:pt>
                <c:pt idx="337">
                  <c:v>16.960031496834333</c:v>
                </c:pt>
                <c:pt idx="338">
                  <c:v>16.960031496834333</c:v>
                </c:pt>
                <c:pt idx="339">
                  <c:v>16.960031496834333</c:v>
                </c:pt>
                <c:pt idx="340">
                  <c:v>16.960031496834333</c:v>
                </c:pt>
                <c:pt idx="341">
                  <c:v>16.960031496834333</c:v>
                </c:pt>
                <c:pt idx="342">
                  <c:v>16.960031496834333</c:v>
                </c:pt>
                <c:pt idx="343">
                  <c:v>16.960031496834333</c:v>
                </c:pt>
                <c:pt idx="344">
                  <c:v>16.960031496834333</c:v>
                </c:pt>
                <c:pt idx="345">
                  <c:v>16.960031496834333</c:v>
                </c:pt>
                <c:pt idx="346">
                  <c:v>16.960031496834333</c:v>
                </c:pt>
                <c:pt idx="347">
                  <c:v>16.960031496834333</c:v>
                </c:pt>
                <c:pt idx="348">
                  <c:v>16.960031496834333</c:v>
                </c:pt>
                <c:pt idx="349">
                  <c:v>16.960031496834333</c:v>
                </c:pt>
                <c:pt idx="350">
                  <c:v>16.960031496834333</c:v>
                </c:pt>
                <c:pt idx="351">
                  <c:v>16.960031496834333</c:v>
                </c:pt>
                <c:pt idx="352">
                  <c:v>16.960031496834333</c:v>
                </c:pt>
                <c:pt idx="353">
                  <c:v>16.960031496834333</c:v>
                </c:pt>
                <c:pt idx="354">
                  <c:v>16.960031496834333</c:v>
                </c:pt>
                <c:pt idx="355">
                  <c:v>16.960031496834333</c:v>
                </c:pt>
                <c:pt idx="356">
                  <c:v>16.960031496834333</c:v>
                </c:pt>
                <c:pt idx="357">
                  <c:v>16.960031496834333</c:v>
                </c:pt>
                <c:pt idx="358">
                  <c:v>16.960031496834333</c:v>
                </c:pt>
                <c:pt idx="359">
                  <c:v>16.960031496834333</c:v>
                </c:pt>
                <c:pt idx="360">
                  <c:v>16.960031496834333</c:v>
                </c:pt>
                <c:pt idx="361">
                  <c:v>16.960031496834333</c:v>
                </c:pt>
                <c:pt idx="362">
                  <c:v>16.960031496834333</c:v>
                </c:pt>
                <c:pt idx="363">
                  <c:v>16.960031496834333</c:v>
                </c:pt>
                <c:pt idx="364">
                  <c:v>16.960031496834333</c:v>
                </c:pt>
                <c:pt idx="365">
                  <c:v>16.960031496834333</c:v>
                </c:pt>
                <c:pt idx="366">
                  <c:v>16.960031496834333</c:v>
                </c:pt>
                <c:pt idx="367">
                  <c:v>16.960031496834333</c:v>
                </c:pt>
                <c:pt idx="368">
                  <c:v>16.960031496834333</c:v>
                </c:pt>
                <c:pt idx="369">
                  <c:v>16.960031496834333</c:v>
                </c:pt>
                <c:pt idx="370">
                  <c:v>16.960031496834333</c:v>
                </c:pt>
                <c:pt idx="371">
                  <c:v>16.960031496834333</c:v>
                </c:pt>
                <c:pt idx="372">
                  <c:v>16.960031496834333</c:v>
                </c:pt>
                <c:pt idx="373">
                  <c:v>16.960031496834333</c:v>
                </c:pt>
                <c:pt idx="374">
                  <c:v>16.960031496834333</c:v>
                </c:pt>
                <c:pt idx="375">
                  <c:v>16.960031496834333</c:v>
                </c:pt>
                <c:pt idx="376">
                  <c:v>16.960031496834333</c:v>
                </c:pt>
                <c:pt idx="377">
                  <c:v>16.960031496834333</c:v>
                </c:pt>
                <c:pt idx="378">
                  <c:v>16.960031496834333</c:v>
                </c:pt>
                <c:pt idx="379">
                  <c:v>16.960031496834333</c:v>
                </c:pt>
                <c:pt idx="380">
                  <c:v>16.960031496834333</c:v>
                </c:pt>
                <c:pt idx="381">
                  <c:v>16.960031496834333</c:v>
                </c:pt>
                <c:pt idx="382">
                  <c:v>16.960031496834333</c:v>
                </c:pt>
                <c:pt idx="383">
                  <c:v>16.960031496834333</c:v>
                </c:pt>
                <c:pt idx="384">
                  <c:v>16.960031496834333</c:v>
                </c:pt>
                <c:pt idx="385">
                  <c:v>16.960031496834333</c:v>
                </c:pt>
                <c:pt idx="386">
                  <c:v>16.960031496834333</c:v>
                </c:pt>
                <c:pt idx="387">
                  <c:v>16.960031496834333</c:v>
                </c:pt>
                <c:pt idx="388">
                  <c:v>16.960031496834333</c:v>
                </c:pt>
                <c:pt idx="389">
                  <c:v>16.960031496834333</c:v>
                </c:pt>
                <c:pt idx="390">
                  <c:v>16.960031496834333</c:v>
                </c:pt>
                <c:pt idx="391">
                  <c:v>16.960031496834333</c:v>
                </c:pt>
                <c:pt idx="392">
                  <c:v>16.960031496834333</c:v>
                </c:pt>
                <c:pt idx="393">
                  <c:v>16.960031496834333</c:v>
                </c:pt>
                <c:pt idx="394">
                  <c:v>16.960031496834333</c:v>
                </c:pt>
                <c:pt idx="395">
                  <c:v>16.960031496834333</c:v>
                </c:pt>
                <c:pt idx="396">
                  <c:v>16.960031496834333</c:v>
                </c:pt>
                <c:pt idx="397">
                  <c:v>16.960031496834333</c:v>
                </c:pt>
                <c:pt idx="398">
                  <c:v>16.960031496834333</c:v>
                </c:pt>
                <c:pt idx="399">
                  <c:v>16.960031496834333</c:v>
                </c:pt>
                <c:pt idx="400">
                  <c:v>16.960031496834333</c:v>
                </c:pt>
                <c:pt idx="401">
                  <c:v>16.960031496834333</c:v>
                </c:pt>
                <c:pt idx="402">
                  <c:v>16.960031496834333</c:v>
                </c:pt>
                <c:pt idx="403">
                  <c:v>16.960031496834333</c:v>
                </c:pt>
                <c:pt idx="404">
                  <c:v>16.960031496834333</c:v>
                </c:pt>
                <c:pt idx="405">
                  <c:v>16.960031496834333</c:v>
                </c:pt>
                <c:pt idx="406">
                  <c:v>16.960031496834333</c:v>
                </c:pt>
                <c:pt idx="407">
                  <c:v>16.960031496834333</c:v>
                </c:pt>
                <c:pt idx="408">
                  <c:v>16.960031496834333</c:v>
                </c:pt>
                <c:pt idx="409">
                  <c:v>16.960031496834333</c:v>
                </c:pt>
                <c:pt idx="410">
                  <c:v>16.960031496834333</c:v>
                </c:pt>
                <c:pt idx="411">
                  <c:v>16.960031496834333</c:v>
                </c:pt>
                <c:pt idx="412">
                  <c:v>16.960031496834333</c:v>
                </c:pt>
                <c:pt idx="413">
                  <c:v>16.960031496834333</c:v>
                </c:pt>
                <c:pt idx="414">
                  <c:v>16.960031496834333</c:v>
                </c:pt>
                <c:pt idx="415">
                  <c:v>16.960031496834333</c:v>
                </c:pt>
                <c:pt idx="416">
                  <c:v>16.960031496834333</c:v>
                </c:pt>
                <c:pt idx="417">
                  <c:v>16.960031496834333</c:v>
                </c:pt>
                <c:pt idx="418">
                  <c:v>16.960031496834333</c:v>
                </c:pt>
                <c:pt idx="419">
                  <c:v>16.960031496834333</c:v>
                </c:pt>
                <c:pt idx="420">
                  <c:v>16.960031496834333</c:v>
                </c:pt>
                <c:pt idx="421">
                  <c:v>16.960031496834333</c:v>
                </c:pt>
                <c:pt idx="422">
                  <c:v>16.960031496834333</c:v>
                </c:pt>
                <c:pt idx="423">
                  <c:v>16.960031496834333</c:v>
                </c:pt>
                <c:pt idx="424">
                  <c:v>16.960031496834333</c:v>
                </c:pt>
                <c:pt idx="425">
                  <c:v>16.960031496834333</c:v>
                </c:pt>
                <c:pt idx="426">
                  <c:v>16.960031496834333</c:v>
                </c:pt>
                <c:pt idx="427">
                  <c:v>16.960031496834333</c:v>
                </c:pt>
                <c:pt idx="428">
                  <c:v>16.960031496834333</c:v>
                </c:pt>
                <c:pt idx="429">
                  <c:v>16.960031496834333</c:v>
                </c:pt>
                <c:pt idx="430">
                  <c:v>16.960031496834333</c:v>
                </c:pt>
                <c:pt idx="431">
                  <c:v>16.960031496834333</c:v>
                </c:pt>
                <c:pt idx="432">
                  <c:v>16.960031496834333</c:v>
                </c:pt>
                <c:pt idx="433">
                  <c:v>16.960031496834333</c:v>
                </c:pt>
                <c:pt idx="434">
                  <c:v>16.960031496834333</c:v>
                </c:pt>
                <c:pt idx="435">
                  <c:v>16.960031496834333</c:v>
                </c:pt>
                <c:pt idx="436">
                  <c:v>16.960031496834333</c:v>
                </c:pt>
                <c:pt idx="437">
                  <c:v>16.960031496834333</c:v>
                </c:pt>
                <c:pt idx="438">
                  <c:v>16.960031496834333</c:v>
                </c:pt>
                <c:pt idx="439">
                  <c:v>16.960031496834333</c:v>
                </c:pt>
                <c:pt idx="440">
                  <c:v>16.960031496834333</c:v>
                </c:pt>
                <c:pt idx="441">
                  <c:v>16.960031496834333</c:v>
                </c:pt>
                <c:pt idx="442">
                  <c:v>16.960031496834333</c:v>
                </c:pt>
                <c:pt idx="443">
                  <c:v>16.960031496834333</c:v>
                </c:pt>
                <c:pt idx="444">
                  <c:v>16.960031496834333</c:v>
                </c:pt>
                <c:pt idx="445">
                  <c:v>16.960031496834333</c:v>
                </c:pt>
                <c:pt idx="446">
                  <c:v>16.960031496834333</c:v>
                </c:pt>
                <c:pt idx="447">
                  <c:v>16.960031496834333</c:v>
                </c:pt>
                <c:pt idx="448">
                  <c:v>16.960031496834333</c:v>
                </c:pt>
                <c:pt idx="449">
                  <c:v>16.960031496834333</c:v>
                </c:pt>
                <c:pt idx="450">
                  <c:v>16.960031496834333</c:v>
                </c:pt>
                <c:pt idx="451">
                  <c:v>16.960031496834333</c:v>
                </c:pt>
                <c:pt idx="452">
                  <c:v>16.960031496834333</c:v>
                </c:pt>
                <c:pt idx="453">
                  <c:v>16.960031496834333</c:v>
                </c:pt>
                <c:pt idx="454">
                  <c:v>16.960031496834333</c:v>
                </c:pt>
                <c:pt idx="455">
                  <c:v>16.960031496834333</c:v>
                </c:pt>
                <c:pt idx="456">
                  <c:v>16.960031496834333</c:v>
                </c:pt>
                <c:pt idx="457">
                  <c:v>16.960031496834333</c:v>
                </c:pt>
                <c:pt idx="458">
                  <c:v>16.960031496834333</c:v>
                </c:pt>
                <c:pt idx="459">
                  <c:v>16.960031496834333</c:v>
                </c:pt>
                <c:pt idx="460">
                  <c:v>16.960031496834333</c:v>
                </c:pt>
                <c:pt idx="461">
                  <c:v>16.960031496834333</c:v>
                </c:pt>
                <c:pt idx="462">
                  <c:v>16.960031496834333</c:v>
                </c:pt>
                <c:pt idx="463">
                  <c:v>16.960031496834333</c:v>
                </c:pt>
                <c:pt idx="464">
                  <c:v>16.960031496834333</c:v>
                </c:pt>
                <c:pt idx="465">
                  <c:v>16.960031496834333</c:v>
                </c:pt>
                <c:pt idx="466">
                  <c:v>16.960031496834333</c:v>
                </c:pt>
                <c:pt idx="467">
                  <c:v>16.960031496834333</c:v>
                </c:pt>
                <c:pt idx="468">
                  <c:v>16.960031496834333</c:v>
                </c:pt>
                <c:pt idx="469">
                  <c:v>16.960031496834333</c:v>
                </c:pt>
                <c:pt idx="470">
                  <c:v>16.960031496834333</c:v>
                </c:pt>
                <c:pt idx="471">
                  <c:v>16.960031496834333</c:v>
                </c:pt>
                <c:pt idx="472">
                  <c:v>16.960031496834333</c:v>
                </c:pt>
                <c:pt idx="473">
                  <c:v>16.960031496834333</c:v>
                </c:pt>
                <c:pt idx="474">
                  <c:v>16.960031496834333</c:v>
                </c:pt>
                <c:pt idx="475">
                  <c:v>16.960031496834333</c:v>
                </c:pt>
                <c:pt idx="476">
                  <c:v>16.960031496834333</c:v>
                </c:pt>
                <c:pt idx="477">
                  <c:v>16.960031496834333</c:v>
                </c:pt>
                <c:pt idx="478">
                  <c:v>16.960031496834333</c:v>
                </c:pt>
                <c:pt idx="479">
                  <c:v>16.960031496834333</c:v>
                </c:pt>
                <c:pt idx="480">
                  <c:v>16.960031496834333</c:v>
                </c:pt>
                <c:pt idx="481">
                  <c:v>16.960031496834333</c:v>
                </c:pt>
                <c:pt idx="482">
                  <c:v>16.960031496834333</c:v>
                </c:pt>
                <c:pt idx="483">
                  <c:v>16.960031496834333</c:v>
                </c:pt>
                <c:pt idx="484">
                  <c:v>16.960031496834333</c:v>
                </c:pt>
                <c:pt idx="485">
                  <c:v>16.960031496834333</c:v>
                </c:pt>
                <c:pt idx="486">
                  <c:v>16.960031496834333</c:v>
                </c:pt>
                <c:pt idx="487">
                  <c:v>16.960031496834333</c:v>
                </c:pt>
                <c:pt idx="488">
                  <c:v>16.960031496834333</c:v>
                </c:pt>
                <c:pt idx="489">
                  <c:v>16.960031496834333</c:v>
                </c:pt>
                <c:pt idx="490">
                  <c:v>16.960031496834333</c:v>
                </c:pt>
                <c:pt idx="491">
                  <c:v>16.960031496834333</c:v>
                </c:pt>
                <c:pt idx="492">
                  <c:v>16.960031496834333</c:v>
                </c:pt>
                <c:pt idx="493">
                  <c:v>16.960031496834333</c:v>
                </c:pt>
                <c:pt idx="494">
                  <c:v>16.960031496834333</c:v>
                </c:pt>
                <c:pt idx="495">
                  <c:v>16.960031496834333</c:v>
                </c:pt>
                <c:pt idx="496">
                  <c:v>16.960031496834333</c:v>
                </c:pt>
                <c:pt idx="497">
                  <c:v>16.960031496834333</c:v>
                </c:pt>
                <c:pt idx="498">
                  <c:v>16.960031496834333</c:v>
                </c:pt>
                <c:pt idx="499">
                  <c:v>16.960031496834333</c:v>
                </c:pt>
                <c:pt idx="500">
                  <c:v>16.960031496834333</c:v>
                </c:pt>
                <c:pt idx="501">
                  <c:v>16.960031496834333</c:v>
                </c:pt>
                <c:pt idx="502">
                  <c:v>16.960031496834333</c:v>
                </c:pt>
                <c:pt idx="503">
                  <c:v>16.960031496834333</c:v>
                </c:pt>
                <c:pt idx="504">
                  <c:v>16.960031496834333</c:v>
                </c:pt>
                <c:pt idx="505">
                  <c:v>16.960031496834333</c:v>
                </c:pt>
                <c:pt idx="506">
                  <c:v>16.960031496834333</c:v>
                </c:pt>
                <c:pt idx="507">
                  <c:v>16.960031496834333</c:v>
                </c:pt>
                <c:pt idx="508">
                  <c:v>16.960031496834333</c:v>
                </c:pt>
                <c:pt idx="509">
                  <c:v>16.960031496834333</c:v>
                </c:pt>
                <c:pt idx="510">
                  <c:v>16.960031496834333</c:v>
                </c:pt>
                <c:pt idx="511">
                  <c:v>16.960031496834333</c:v>
                </c:pt>
                <c:pt idx="512">
                  <c:v>16.960031496834333</c:v>
                </c:pt>
                <c:pt idx="513">
                  <c:v>16.960031496834333</c:v>
                </c:pt>
                <c:pt idx="514">
                  <c:v>16.960031496834333</c:v>
                </c:pt>
                <c:pt idx="515">
                  <c:v>16.960031496834333</c:v>
                </c:pt>
                <c:pt idx="516">
                  <c:v>16.960031496834333</c:v>
                </c:pt>
                <c:pt idx="517">
                  <c:v>16.960031496834333</c:v>
                </c:pt>
                <c:pt idx="518">
                  <c:v>16.960031496834333</c:v>
                </c:pt>
                <c:pt idx="519">
                  <c:v>16.960031496834333</c:v>
                </c:pt>
                <c:pt idx="520">
                  <c:v>16.960031496834333</c:v>
                </c:pt>
                <c:pt idx="521">
                  <c:v>16.960031496834333</c:v>
                </c:pt>
                <c:pt idx="522">
                  <c:v>16.960031496834333</c:v>
                </c:pt>
                <c:pt idx="523">
                  <c:v>16.960031496834333</c:v>
                </c:pt>
                <c:pt idx="524">
                  <c:v>16.960031496834333</c:v>
                </c:pt>
                <c:pt idx="525">
                  <c:v>16.960031496834333</c:v>
                </c:pt>
                <c:pt idx="526">
                  <c:v>16.960031496834333</c:v>
                </c:pt>
                <c:pt idx="527">
                  <c:v>16.960031496834333</c:v>
                </c:pt>
                <c:pt idx="528">
                  <c:v>16.960031496834333</c:v>
                </c:pt>
                <c:pt idx="529">
                  <c:v>16.960031496834333</c:v>
                </c:pt>
                <c:pt idx="530">
                  <c:v>16.960031496834333</c:v>
                </c:pt>
                <c:pt idx="531">
                  <c:v>16.960031496834333</c:v>
                </c:pt>
                <c:pt idx="532">
                  <c:v>16.960031496834333</c:v>
                </c:pt>
                <c:pt idx="533">
                  <c:v>16.960031496834333</c:v>
                </c:pt>
                <c:pt idx="534">
                  <c:v>16.960031496834333</c:v>
                </c:pt>
                <c:pt idx="535">
                  <c:v>16.960031496834333</c:v>
                </c:pt>
                <c:pt idx="536">
                  <c:v>16.960031496834333</c:v>
                </c:pt>
                <c:pt idx="537">
                  <c:v>16.960031496834333</c:v>
                </c:pt>
                <c:pt idx="538">
                  <c:v>16.960031496834333</c:v>
                </c:pt>
                <c:pt idx="539">
                  <c:v>16.960031496834333</c:v>
                </c:pt>
                <c:pt idx="540">
                  <c:v>16.960031496834333</c:v>
                </c:pt>
                <c:pt idx="541">
                  <c:v>16.960031496834333</c:v>
                </c:pt>
                <c:pt idx="542">
                  <c:v>16.960031496834333</c:v>
                </c:pt>
                <c:pt idx="543">
                  <c:v>16.960031496834333</c:v>
                </c:pt>
                <c:pt idx="544">
                  <c:v>16.960031496834333</c:v>
                </c:pt>
                <c:pt idx="545">
                  <c:v>16.960031496834333</c:v>
                </c:pt>
                <c:pt idx="546">
                  <c:v>16.960031496834333</c:v>
                </c:pt>
                <c:pt idx="547">
                  <c:v>16.960031496834333</c:v>
                </c:pt>
                <c:pt idx="548">
                  <c:v>16.960031496834333</c:v>
                </c:pt>
                <c:pt idx="549">
                  <c:v>16.960031496834333</c:v>
                </c:pt>
                <c:pt idx="550">
                  <c:v>16.960031496834333</c:v>
                </c:pt>
                <c:pt idx="551">
                  <c:v>16.960031496834333</c:v>
                </c:pt>
                <c:pt idx="552">
                  <c:v>16.960031496834333</c:v>
                </c:pt>
                <c:pt idx="553">
                  <c:v>16.960031496834333</c:v>
                </c:pt>
                <c:pt idx="554">
                  <c:v>16.960031496834333</c:v>
                </c:pt>
                <c:pt idx="555">
                  <c:v>16.960031496834333</c:v>
                </c:pt>
                <c:pt idx="556">
                  <c:v>16.960031496834333</c:v>
                </c:pt>
                <c:pt idx="557">
                  <c:v>16.960031496834333</c:v>
                </c:pt>
                <c:pt idx="558">
                  <c:v>16.960031496834333</c:v>
                </c:pt>
                <c:pt idx="559">
                  <c:v>16.960031496834333</c:v>
                </c:pt>
                <c:pt idx="560">
                  <c:v>16.960031496834333</c:v>
                </c:pt>
                <c:pt idx="561">
                  <c:v>16.960031496834333</c:v>
                </c:pt>
                <c:pt idx="562">
                  <c:v>16.960031496834333</c:v>
                </c:pt>
                <c:pt idx="563">
                  <c:v>16.960031496834333</c:v>
                </c:pt>
                <c:pt idx="564">
                  <c:v>16.960031496834333</c:v>
                </c:pt>
                <c:pt idx="565">
                  <c:v>16.960031496834333</c:v>
                </c:pt>
                <c:pt idx="566">
                  <c:v>16.960031496834333</c:v>
                </c:pt>
                <c:pt idx="567">
                  <c:v>16.960031496834333</c:v>
                </c:pt>
                <c:pt idx="568">
                  <c:v>16.960031496834333</c:v>
                </c:pt>
                <c:pt idx="569">
                  <c:v>16.960031496834333</c:v>
                </c:pt>
                <c:pt idx="570">
                  <c:v>16.960031496834333</c:v>
                </c:pt>
                <c:pt idx="571">
                  <c:v>16.960031496834333</c:v>
                </c:pt>
                <c:pt idx="572">
                  <c:v>16.960031496834333</c:v>
                </c:pt>
                <c:pt idx="573">
                  <c:v>16.960031496834333</c:v>
                </c:pt>
                <c:pt idx="574">
                  <c:v>16.960031496834333</c:v>
                </c:pt>
                <c:pt idx="575">
                  <c:v>16.960031496834333</c:v>
                </c:pt>
                <c:pt idx="576">
                  <c:v>16.960031496834333</c:v>
                </c:pt>
                <c:pt idx="577">
                  <c:v>16.960031496834333</c:v>
                </c:pt>
                <c:pt idx="578">
                  <c:v>16.960031496834333</c:v>
                </c:pt>
                <c:pt idx="579">
                  <c:v>16.960031496834333</c:v>
                </c:pt>
                <c:pt idx="580">
                  <c:v>16.960031496834333</c:v>
                </c:pt>
                <c:pt idx="581">
                  <c:v>16.960031496834333</c:v>
                </c:pt>
                <c:pt idx="582">
                  <c:v>16.960031496834333</c:v>
                </c:pt>
                <c:pt idx="583">
                  <c:v>16.960031496834333</c:v>
                </c:pt>
                <c:pt idx="584">
                  <c:v>16.960031496834333</c:v>
                </c:pt>
                <c:pt idx="585">
                  <c:v>16.960031496834333</c:v>
                </c:pt>
                <c:pt idx="586">
                  <c:v>16.960031496834333</c:v>
                </c:pt>
                <c:pt idx="587">
                  <c:v>16.960031496834333</c:v>
                </c:pt>
                <c:pt idx="588">
                  <c:v>16.960031496834333</c:v>
                </c:pt>
                <c:pt idx="589">
                  <c:v>16.960031496834333</c:v>
                </c:pt>
                <c:pt idx="590">
                  <c:v>16.960031496834333</c:v>
                </c:pt>
                <c:pt idx="591">
                  <c:v>16.960031496834333</c:v>
                </c:pt>
                <c:pt idx="592">
                  <c:v>16.960031496834333</c:v>
                </c:pt>
                <c:pt idx="593">
                  <c:v>16.960031496834333</c:v>
                </c:pt>
                <c:pt idx="594">
                  <c:v>16.960031496834333</c:v>
                </c:pt>
                <c:pt idx="595">
                  <c:v>16.960031496834333</c:v>
                </c:pt>
                <c:pt idx="596">
                  <c:v>16.960031496834333</c:v>
                </c:pt>
                <c:pt idx="597">
                  <c:v>16.960031496834333</c:v>
                </c:pt>
                <c:pt idx="598">
                  <c:v>16.960031496834333</c:v>
                </c:pt>
                <c:pt idx="599">
                  <c:v>16.960031496834333</c:v>
                </c:pt>
                <c:pt idx="600">
                  <c:v>16.960031496834333</c:v>
                </c:pt>
                <c:pt idx="601">
                  <c:v>16.960031496834333</c:v>
                </c:pt>
                <c:pt idx="602">
                  <c:v>16.960031496834333</c:v>
                </c:pt>
                <c:pt idx="603">
                  <c:v>16.960031496834333</c:v>
                </c:pt>
                <c:pt idx="604">
                  <c:v>16.960031496834333</c:v>
                </c:pt>
                <c:pt idx="605">
                  <c:v>16.960031496834333</c:v>
                </c:pt>
                <c:pt idx="606">
                  <c:v>16.960031496834333</c:v>
                </c:pt>
                <c:pt idx="607">
                  <c:v>16.960031496834333</c:v>
                </c:pt>
                <c:pt idx="608">
                  <c:v>16.960031496834333</c:v>
                </c:pt>
                <c:pt idx="609">
                  <c:v>16.960031496834333</c:v>
                </c:pt>
                <c:pt idx="610">
                  <c:v>16.960031496834333</c:v>
                </c:pt>
                <c:pt idx="611">
                  <c:v>16.960031496834333</c:v>
                </c:pt>
                <c:pt idx="612">
                  <c:v>16.960031496834333</c:v>
                </c:pt>
                <c:pt idx="613">
                  <c:v>16.960031496834333</c:v>
                </c:pt>
                <c:pt idx="614">
                  <c:v>16.960031496834333</c:v>
                </c:pt>
                <c:pt idx="615">
                  <c:v>16.960031496834333</c:v>
                </c:pt>
                <c:pt idx="616">
                  <c:v>16.960031496834333</c:v>
                </c:pt>
                <c:pt idx="617">
                  <c:v>16.960031496834333</c:v>
                </c:pt>
                <c:pt idx="618">
                  <c:v>16.960031496834333</c:v>
                </c:pt>
                <c:pt idx="619">
                  <c:v>16.960031496834333</c:v>
                </c:pt>
                <c:pt idx="620">
                  <c:v>16.960031496834333</c:v>
                </c:pt>
                <c:pt idx="621">
                  <c:v>16.960031496834333</c:v>
                </c:pt>
                <c:pt idx="622">
                  <c:v>16.960031496834333</c:v>
                </c:pt>
                <c:pt idx="623">
                  <c:v>16.960031496834333</c:v>
                </c:pt>
                <c:pt idx="624">
                  <c:v>16.960031496834333</c:v>
                </c:pt>
                <c:pt idx="625">
                  <c:v>16.960031496834333</c:v>
                </c:pt>
                <c:pt idx="626">
                  <c:v>16.960031496834333</c:v>
                </c:pt>
                <c:pt idx="627">
                  <c:v>16.960031496834333</c:v>
                </c:pt>
                <c:pt idx="628">
                  <c:v>16.960031496834333</c:v>
                </c:pt>
                <c:pt idx="629">
                  <c:v>16.960031496834333</c:v>
                </c:pt>
                <c:pt idx="630">
                  <c:v>16.960031496834333</c:v>
                </c:pt>
                <c:pt idx="631">
                  <c:v>16.960031496834333</c:v>
                </c:pt>
                <c:pt idx="632">
                  <c:v>16.960031496834333</c:v>
                </c:pt>
                <c:pt idx="633">
                  <c:v>16.960031496834333</c:v>
                </c:pt>
                <c:pt idx="634">
                  <c:v>16.960031496834333</c:v>
                </c:pt>
                <c:pt idx="635">
                  <c:v>16.960031496834333</c:v>
                </c:pt>
                <c:pt idx="636">
                  <c:v>16.960031496834333</c:v>
                </c:pt>
                <c:pt idx="637">
                  <c:v>16.960031496834333</c:v>
                </c:pt>
                <c:pt idx="638">
                  <c:v>16.960031496834333</c:v>
                </c:pt>
                <c:pt idx="639">
                  <c:v>16.960031496834333</c:v>
                </c:pt>
                <c:pt idx="640">
                  <c:v>16.960031496834333</c:v>
                </c:pt>
                <c:pt idx="641">
                  <c:v>16.960031496834333</c:v>
                </c:pt>
                <c:pt idx="642">
                  <c:v>16.960031496834333</c:v>
                </c:pt>
                <c:pt idx="643">
                  <c:v>16.960031496834333</c:v>
                </c:pt>
                <c:pt idx="644">
                  <c:v>16.960031496834333</c:v>
                </c:pt>
                <c:pt idx="645">
                  <c:v>16.960031496834333</c:v>
                </c:pt>
                <c:pt idx="646">
                  <c:v>16.960031496834333</c:v>
                </c:pt>
                <c:pt idx="647">
                  <c:v>16.960031496834333</c:v>
                </c:pt>
                <c:pt idx="648">
                  <c:v>16.960031496834333</c:v>
                </c:pt>
                <c:pt idx="649">
                  <c:v>16.960031496834333</c:v>
                </c:pt>
                <c:pt idx="650">
                  <c:v>16.960031496834333</c:v>
                </c:pt>
                <c:pt idx="651">
                  <c:v>16.960031496834333</c:v>
                </c:pt>
                <c:pt idx="652">
                  <c:v>16.960031496834333</c:v>
                </c:pt>
                <c:pt idx="653">
                  <c:v>16.960031496834333</c:v>
                </c:pt>
                <c:pt idx="654">
                  <c:v>16.960031496834333</c:v>
                </c:pt>
                <c:pt idx="655">
                  <c:v>16.960031496834333</c:v>
                </c:pt>
                <c:pt idx="656">
                  <c:v>16.960031496834333</c:v>
                </c:pt>
                <c:pt idx="657">
                  <c:v>16.960031496834333</c:v>
                </c:pt>
                <c:pt idx="658">
                  <c:v>16.960031496834333</c:v>
                </c:pt>
                <c:pt idx="659">
                  <c:v>16.960031496834333</c:v>
                </c:pt>
                <c:pt idx="660">
                  <c:v>16.960031496834333</c:v>
                </c:pt>
                <c:pt idx="661">
                  <c:v>16.960031496834333</c:v>
                </c:pt>
                <c:pt idx="662">
                  <c:v>16.960031496834333</c:v>
                </c:pt>
                <c:pt idx="663">
                  <c:v>16.960031496834333</c:v>
                </c:pt>
                <c:pt idx="664">
                  <c:v>16.960031496834333</c:v>
                </c:pt>
                <c:pt idx="665">
                  <c:v>16.960031496834333</c:v>
                </c:pt>
                <c:pt idx="666">
                  <c:v>16.960031496834333</c:v>
                </c:pt>
                <c:pt idx="667">
                  <c:v>16.960031496834333</c:v>
                </c:pt>
                <c:pt idx="668">
                  <c:v>16.960031496834333</c:v>
                </c:pt>
                <c:pt idx="669">
                  <c:v>16.960031496834333</c:v>
                </c:pt>
                <c:pt idx="670">
                  <c:v>16.960031496834333</c:v>
                </c:pt>
                <c:pt idx="671">
                  <c:v>16.960031496834333</c:v>
                </c:pt>
                <c:pt idx="672">
                  <c:v>16.960031496834333</c:v>
                </c:pt>
                <c:pt idx="673">
                  <c:v>16.960031496834333</c:v>
                </c:pt>
                <c:pt idx="674">
                  <c:v>16.960031496834333</c:v>
                </c:pt>
                <c:pt idx="675">
                  <c:v>16.960031496834333</c:v>
                </c:pt>
                <c:pt idx="676">
                  <c:v>16.960031496834333</c:v>
                </c:pt>
                <c:pt idx="677">
                  <c:v>16.960031496834333</c:v>
                </c:pt>
                <c:pt idx="678">
                  <c:v>16.960031496834333</c:v>
                </c:pt>
                <c:pt idx="679">
                  <c:v>16.960031496834333</c:v>
                </c:pt>
                <c:pt idx="680">
                  <c:v>16.960031496834333</c:v>
                </c:pt>
                <c:pt idx="681">
                  <c:v>16.960031496834333</c:v>
                </c:pt>
                <c:pt idx="682">
                  <c:v>16.960031496834333</c:v>
                </c:pt>
                <c:pt idx="683">
                  <c:v>16.960031496834333</c:v>
                </c:pt>
                <c:pt idx="684">
                  <c:v>16.960031496834333</c:v>
                </c:pt>
                <c:pt idx="685">
                  <c:v>16.960031496834333</c:v>
                </c:pt>
                <c:pt idx="686">
                  <c:v>16.960031496834333</c:v>
                </c:pt>
                <c:pt idx="687">
                  <c:v>16.960031496834333</c:v>
                </c:pt>
                <c:pt idx="688">
                  <c:v>16.960031496834333</c:v>
                </c:pt>
                <c:pt idx="689">
                  <c:v>16.960031496834333</c:v>
                </c:pt>
                <c:pt idx="690">
                  <c:v>16.960031496834333</c:v>
                </c:pt>
                <c:pt idx="691">
                  <c:v>16.960031496834333</c:v>
                </c:pt>
                <c:pt idx="692">
                  <c:v>16.960031496834333</c:v>
                </c:pt>
                <c:pt idx="693">
                  <c:v>16.960031496834333</c:v>
                </c:pt>
                <c:pt idx="694">
                  <c:v>16.960031496834333</c:v>
                </c:pt>
                <c:pt idx="695">
                  <c:v>16.960031496834333</c:v>
                </c:pt>
                <c:pt idx="696">
                  <c:v>16.960031496834333</c:v>
                </c:pt>
                <c:pt idx="697">
                  <c:v>16.960031496834333</c:v>
                </c:pt>
                <c:pt idx="698">
                  <c:v>16.960031496834333</c:v>
                </c:pt>
                <c:pt idx="699">
                  <c:v>16.960031496834333</c:v>
                </c:pt>
                <c:pt idx="700">
                  <c:v>16.960031496834333</c:v>
                </c:pt>
                <c:pt idx="701">
                  <c:v>16.960031496834333</c:v>
                </c:pt>
                <c:pt idx="702">
                  <c:v>16.960031496834333</c:v>
                </c:pt>
                <c:pt idx="703">
                  <c:v>16.960031496834333</c:v>
                </c:pt>
                <c:pt idx="704">
                  <c:v>16.960031496834333</c:v>
                </c:pt>
                <c:pt idx="705">
                  <c:v>16.960031496834333</c:v>
                </c:pt>
                <c:pt idx="706">
                  <c:v>16.960031496834333</c:v>
                </c:pt>
                <c:pt idx="707">
                  <c:v>16.960031496834333</c:v>
                </c:pt>
                <c:pt idx="708">
                  <c:v>16.960031496834333</c:v>
                </c:pt>
                <c:pt idx="709">
                  <c:v>16.960031496834333</c:v>
                </c:pt>
                <c:pt idx="710">
                  <c:v>16.960031496834333</c:v>
                </c:pt>
                <c:pt idx="711">
                  <c:v>16.960031496834333</c:v>
                </c:pt>
                <c:pt idx="712">
                  <c:v>16.960031496834333</c:v>
                </c:pt>
                <c:pt idx="713">
                  <c:v>16.960031496834333</c:v>
                </c:pt>
                <c:pt idx="714">
                  <c:v>16.960031496834333</c:v>
                </c:pt>
                <c:pt idx="715">
                  <c:v>16.960031496834333</c:v>
                </c:pt>
                <c:pt idx="716">
                  <c:v>16.960031496834333</c:v>
                </c:pt>
                <c:pt idx="717">
                  <c:v>16.960031496834333</c:v>
                </c:pt>
                <c:pt idx="718">
                  <c:v>16.960031496834333</c:v>
                </c:pt>
                <c:pt idx="719">
                  <c:v>16.960031496834333</c:v>
                </c:pt>
                <c:pt idx="720">
                  <c:v>16.960031496834333</c:v>
                </c:pt>
                <c:pt idx="721">
                  <c:v>16.960031496834333</c:v>
                </c:pt>
                <c:pt idx="722">
                  <c:v>16.960031496834333</c:v>
                </c:pt>
                <c:pt idx="723">
                  <c:v>16.960031496834333</c:v>
                </c:pt>
                <c:pt idx="724">
                  <c:v>16.960031496834333</c:v>
                </c:pt>
                <c:pt idx="725">
                  <c:v>16.960031496834333</c:v>
                </c:pt>
                <c:pt idx="726">
                  <c:v>16.960031496834333</c:v>
                </c:pt>
                <c:pt idx="727">
                  <c:v>16.960031496834333</c:v>
                </c:pt>
                <c:pt idx="728">
                  <c:v>16.960031496834333</c:v>
                </c:pt>
                <c:pt idx="729">
                  <c:v>16.960031496834333</c:v>
                </c:pt>
                <c:pt idx="730">
                  <c:v>16.960031496834333</c:v>
                </c:pt>
                <c:pt idx="731">
                  <c:v>16.960031496834333</c:v>
                </c:pt>
                <c:pt idx="732">
                  <c:v>16.960031496834333</c:v>
                </c:pt>
                <c:pt idx="733">
                  <c:v>16.960031496834333</c:v>
                </c:pt>
                <c:pt idx="734">
                  <c:v>16.960031496834333</c:v>
                </c:pt>
                <c:pt idx="735">
                  <c:v>16.960031496834333</c:v>
                </c:pt>
                <c:pt idx="736">
                  <c:v>16.960031496834333</c:v>
                </c:pt>
                <c:pt idx="737">
                  <c:v>16.960031496834333</c:v>
                </c:pt>
                <c:pt idx="738">
                  <c:v>16.960031496834333</c:v>
                </c:pt>
                <c:pt idx="739">
                  <c:v>16.960031496834333</c:v>
                </c:pt>
                <c:pt idx="740">
                  <c:v>16.960031496834333</c:v>
                </c:pt>
                <c:pt idx="741">
                  <c:v>16.960031496834333</c:v>
                </c:pt>
                <c:pt idx="742">
                  <c:v>16.960031496834333</c:v>
                </c:pt>
                <c:pt idx="743">
                  <c:v>16.960031496834333</c:v>
                </c:pt>
                <c:pt idx="744">
                  <c:v>16.960031496834333</c:v>
                </c:pt>
                <c:pt idx="745">
                  <c:v>16.960031496834333</c:v>
                </c:pt>
                <c:pt idx="746">
                  <c:v>16.960031496834333</c:v>
                </c:pt>
                <c:pt idx="747">
                  <c:v>16.960031496834333</c:v>
                </c:pt>
                <c:pt idx="748">
                  <c:v>16.960031496834333</c:v>
                </c:pt>
                <c:pt idx="749">
                  <c:v>16.960031496834333</c:v>
                </c:pt>
                <c:pt idx="750">
                  <c:v>16.960031496834333</c:v>
                </c:pt>
                <c:pt idx="751">
                  <c:v>16.960031496834333</c:v>
                </c:pt>
                <c:pt idx="752">
                  <c:v>16.960031496834333</c:v>
                </c:pt>
                <c:pt idx="753">
                  <c:v>16.960031496834333</c:v>
                </c:pt>
                <c:pt idx="754">
                  <c:v>16.960031496834333</c:v>
                </c:pt>
                <c:pt idx="755">
                  <c:v>16.960031496834333</c:v>
                </c:pt>
                <c:pt idx="756">
                  <c:v>16.960031496834333</c:v>
                </c:pt>
                <c:pt idx="757">
                  <c:v>16.960031496834333</c:v>
                </c:pt>
                <c:pt idx="758">
                  <c:v>16.960031496834333</c:v>
                </c:pt>
                <c:pt idx="759">
                  <c:v>16.960031496834333</c:v>
                </c:pt>
                <c:pt idx="760">
                  <c:v>16.960031496834333</c:v>
                </c:pt>
                <c:pt idx="761">
                  <c:v>16.960031496834333</c:v>
                </c:pt>
                <c:pt idx="762">
                  <c:v>16.960031496834333</c:v>
                </c:pt>
                <c:pt idx="763">
                  <c:v>16.960031496834333</c:v>
                </c:pt>
                <c:pt idx="764">
                  <c:v>16.960031496834333</c:v>
                </c:pt>
                <c:pt idx="765">
                  <c:v>16.960031496834333</c:v>
                </c:pt>
                <c:pt idx="766">
                  <c:v>16.960031496834333</c:v>
                </c:pt>
                <c:pt idx="767">
                  <c:v>16.960031496834333</c:v>
                </c:pt>
                <c:pt idx="768">
                  <c:v>16.960031496834333</c:v>
                </c:pt>
                <c:pt idx="769">
                  <c:v>16.960031496834333</c:v>
                </c:pt>
                <c:pt idx="770">
                  <c:v>16.960031496834333</c:v>
                </c:pt>
                <c:pt idx="771">
                  <c:v>16.960031496834333</c:v>
                </c:pt>
                <c:pt idx="772">
                  <c:v>16.960031496834333</c:v>
                </c:pt>
                <c:pt idx="773">
                  <c:v>16.960031496834333</c:v>
                </c:pt>
                <c:pt idx="774">
                  <c:v>16.960031496834333</c:v>
                </c:pt>
                <c:pt idx="775">
                  <c:v>16.960031496834333</c:v>
                </c:pt>
                <c:pt idx="776">
                  <c:v>16.960031496834333</c:v>
                </c:pt>
                <c:pt idx="777">
                  <c:v>16.960031496834333</c:v>
                </c:pt>
                <c:pt idx="778">
                  <c:v>16.960031496834333</c:v>
                </c:pt>
                <c:pt idx="779">
                  <c:v>16.960031496834333</c:v>
                </c:pt>
                <c:pt idx="780">
                  <c:v>16.960031496834333</c:v>
                </c:pt>
                <c:pt idx="781">
                  <c:v>16.960031496834333</c:v>
                </c:pt>
                <c:pt idx="782">
                  <c:v>16.960031496834333</c:v>
                </c:pt>
                <c:pt idx="783">
                  <c:v>16.960031496834333</c:v>
                </c:pt>
                <c:pt idx="784">
                  <c:v>16.960031496834333</c:v>
                </c:pt>
                <c:pt idx="785">
                  <c:v>16.960031496834333</c:v>
                </c:pt>
                <c:pt idx="786">
                  <c:v>16.960031496834333</c:v>
                </c:pt>
                <c:pt idx="787">
                  <c:v>16.960031496834333</c:v>
                </c:pt>
                <c:pt idx="788">
                  <c:v>16.960031496834333</c:v>
                </c:pt>
                <c:pt idx="789">
                  <c:v>16.960031496834333</c:v>
                </c:pt>
                <c:pt idx="790">
                  <c:v>16.960031496834333</c:v>
                </c:pt>
                <c:pt idx="791">
                  <c:v>16.960031496834333</c:v>
                </c:pt>
                <c:pt idx="792">
                  <c:v>16.960031496834333</c:v>
                </c:pt>
                <c:pt idx="793">
                  <c:v>16.960031496834333</c:v>
                </c:pt>
                <c:pt idx="794">
                  <c:v>16.960031496834333</c:v>
                </c:pt>
                <c:pt idx="795">
                  <c:v>16.960031496834333</c:v>
                </c:pt>
                <c:pt idx="796">
                  <c:v>16.960031496834333</c:v>
                </c:pt>
                <c:pt idx="797">
                  <c:v>16.960031496834333</c:v>
                </c:pt>
                <c:pt idx="798">
                  <c:v>16.960031496834333</c:v>
                </c:pt>
                <c:pt idx="799">
                  <c:v>16.960031496834333</c:v>
                </c:pt>
                <c:pt idx="800">
                  <c:v>16.960031496834333</c:v>
                </c:pt>
                <c:pt idx="801">
                  <c:v>16.960031496834333</c:v>
                </c:pt>
                <c:pt idx="802">
                  <c:v>16.960031496834333</c:v>
                </c:pt>
                <c:pt idx="803">
                  <c:v>16.960031496834333</c:v>
                </c:pt>
                <c:pt idx="804">
                  <c:v>16.960031496834333</c:v>
                </c:pt>
                <c:pt idx="805">
                  <c:v>16.960031496834333</c:v>
                </c:pt>
                <c:pt idx="806">
                  <c:v>16.960031496834333</c:v>
                </c:pt>
                <c:pt idx="807">
                  <c:v>16.960031496834333</c:v>
                </c:pt>
                <c:pt idx="808">
                  <c:v>16.960031496834333</c:v>
                </c:pt>
                <c:pt idx="809">
                  <c:v>16.960031496834333</c:v>
                </c:pt>
                <c:pt idx="810">
                  <c:v>16.960031496834333</c:v>
                </c:pt>
                <c:pt idx="811">
                  <c:v>16.960031496834333</c:v>
                </c:pt>
                <c:pt idx="812">
                  <c:v>16.960031496834333</c:v>
                </c:pt>
                <c:pt idx="813">
                  <c:v>16.960031496834333</c:v>
                </c:pt>
                <c:pt idx="814">
                  <c:v>16.960031496834333</c:v>
                </c:pt>
                <c:pt idx="815">
                  <c:v>16.960031496834333</c:v>
                </c:pt>
                <c:pt idx="816">
                  <c:v>16.960031496834333</c:v>
                </c:pt>
                <c:pt idx="817">
                  <c:v>16.960031496834333</c:v>
                </c:pt>
                <c:pt idx="818">
                  <c:v>16.960031496834333</c:v>
                </c:pt>
                <c:pt idx="819">
                  <c:v>16.960031496834333</c:v>
                </c:pt>
                <c:pt idx="820">
                  <c:v>16.960031496834333</c:v>
                </c:pt>
                <c:pt idx="821">
                  <c:v>16.960031496834333</c:v>
                </c:pt>
                <c:pt idx="822">
                  <c:v>16.960031496834333</c:v>
                </c:pt>
                <c:pt idx="823">
                  <c:v>16.960031496834333</c:v>
                </c:pt>
                <c:pt idx="824">
                  <c:v>16.960031496834333</c:v>
                </c:pt>
                <c:pt idx="825">
                  <c:v>16.960031496834333</c:v>
                </c:pt>
                <c:pt idx="826">
                  <c:v>16.960031496834333</c:v>
                </c:pt>
                <c:pt idx="827">
                  <c:v>16.960031496834333</c:v>
                </c:pt>
                <c:pt idx="828">
                  <c:v>16.960031496834333</c:v>
                </c:pt>
                <c:pt idx="829">
                  <c:v>16.960031496834333</c:v>
                </c:pt>
                <c:pt idx="830">
                  <c:v>16.960031496834333</c:v>
                </c:pt>
                <c:pt idx="831">
                  <c:v>16.960031496834333</c:v>
                </c:pt>
                <c:pt idx="832">
                  <c:v>16.960031496834333</c:v>
                </c:pt>
                <c:pt idx="833">
                  <c:v>16.960031496834333</c:v>
                </c:pt>
                <c:pt idx="834">
                  <c:v>16.960031496834333</c:v>
                </c:pt>
                <c:pt idx="835">
                  <c:v>16.960031496834333</c:v>
                </c:pt>
                <c:pt idx="836">
                  <c:v>16.960031496834333</c:v>
                </c:pt>
                <c:pt idx="837">
                  <c:v>16.960031496834333</c:v>
                </c:pt>
                <c:pt idx="838">
                  <c:v>16.960031496834333</c:v>
                </c:pt>
                <c:pt idx="839">
                  <c:v>16.960031496834333</c:v>
                </c:pt>
                <c:pt idx="840">
                  <c:v>16.960031496834333</c:v>
                </c:pt>
                <c:pt idx="841">
                  <c:v>16.960031496834333</c:v>
                </c:pt>
                <c:pt idx="842">
                  <c:v>16.960031496834333</c:v>
                </c:pt>
                <c:pt idx="843">
                  <c:v>16.960031496834333</c:v>
                </c:pt>
                <c:pt idx="844">
                  <c:v>16.960031496834333</c:v>
                </c:pt>
                <c:pt idx="845">
                  <c:v>16.960031496834333</c:v>
                </c:pt>
                <c:pt idx="846">
                  <c:v>16.960031496834333</c:v>
                </c:pt>
                <c:pt idx="847">
                  <c:v>16.960031496834333</c:v>
                </c:pt>
                <c:pt idx="848">
                  <c:v>16.960031496834333</c:v>
                </c:pt>
                <c:pt idx="849">
                  <c:v>16.960031496834333</c:v>
                </c:pt>
                <c:pt idx="850">
                  <c:v>16.960031496834333</c:v>
                </c:pt>
                <c:pt idx="851">
                  <c:v>16.960031496834333</c:v>
                </c:pt>
                <c:pt idx="852">
                  <c:v>16.960031496834333</c:v>
                </c:pt>
                <c:pt idx="853">
                  <c:v>16.960031496834333</c:v>
                </c:pt>
                <c:pt idx="854">
                  <c:v>16.960031496834333</c:v>
                </c:pt>
                <c:pt idx="855">
                  <c:v>16.960031496834333</c:v>
                </c:pt>
                <c:pt idx="856">
                  <c:v>16.960031496834333</c:v>
                </c:pt>
                <c:pt idx="857">
                  <c:v>16.960031496834333</c:v>
                </c:pt>
                <c:pt idx="858">
                  <c:v>16.960031496834333</c:v>
                </c:pt>
                <c:pt idx="859">
                  <c:v>16.960031496834333</c:v>
                </c:pt>
                <c:pt idx="860">
                  <c:v>16.960031496834333</c:v>
                </c:pt>
                <c:pt idx="861">
                  <c:v>16.960031496834333</c:v>
                </c:pt>
                <c:pt idx="862">
                  <c:v>16.960031496834333</c:v>
                </c:pt>
                <c:pt idx="863">
                  <c:v>16.960031496834333</c:v>
                </c:pt>
                <c:pt idx="864">
                  <c:v>16.960031496834333</c:v>
                </c:pt>
                <c:pt idx="865">
                  <c:v>16.960031496834333</c:v>
                </c:pt>
                <c:pt idx="866">
                  <c:v>16.960031496834333</c:v>
                </c:pt>
                <c:pt idx="867">
                  <c:v>16.960031496834333</c:v>
                </c:pt>
                <c:pt idx="868">
                  <c:v>16.960031496834333</c:v>
                </c:pt>
                <c:pt idx="869">
                  <c:v>16.960031496834333</c:v>
                </c:pt>
                <c:pt idx="870">
                  <c:v>16.960031496834333</c:v>
                </c:pt>
                <c:pt idx="871">
                  <c:v>16.960031496834333</c:v>
                </c:pt>
                <c:pt idx="872">
                  <c:v>16.960031496834333</c:v>
                </c:pt>
                <c:pt idx="873">
                  <c:v>16.960031496834333</c:v>
                </c:pt>
                <c:pt idx="874">
                  <c:v>16.960031496834333</c:v>
                </c:pt>
                <c:pt idx="875">
                  <c:v>16.960031496834333</c:v>
                </c:pt>
                <c:pt idx="876">
                  <c:v>16.960031496834333</c:v>
                </c:pt>
                <c:pt idx="877">
                  <c:v>16.960031496834333</c:v>
                </c:pt>
                <c:pt idx="878">
                  <c:v>16.960031496834333</c:v>
                </c:pt>
                <c:pt idx="879">
                  <c:v>16.960031496834333</c:v>
                </c:pt>
                <c:pt idx="880">
                  <c:v>16.960031496834333</c:v>
                </c:pt>
                <c:pt idx="881">
                  <c:v>16.960031496834333</c:v>
                </c:pt>
                <c:pt idx="882">
                  <c:v>16.960031496834333</c:v>
                </c:pt>
                <c:pt idx="883">
                  <c:v>16.960031496834333</c:v>
                </c:pt>
                <c:pt idx="884">
                  <c:v>16.960031496834333</c:v>
                </c:pt>
                <c:pt idx="885">
                  <c:v>16.960031496834333</c:v>
                </c:pt>
                <c:pt idx="886">
                  <c:v>16.960031496834333</c:v>
                </c:pt>
                <c:pt idx="887">
                  <c:v>16.960031496834333</c:v>
                </c:pt>
                <c:pt idx="888">
                  <c:v>16.960031496834333</c:v>
                </c:pt>
                <c:pt idx="889">
                  <c:v>16.960031496834333</c:v>
                </c:pt>
                <c:pt idx="890">
                  <c:v>16.960031496834333</c:v>
                </c:pt>
                <c:pt idx="891">
                  <c:v>16.960031496834333</c:v>
                </c:pt>
                <c:pt idx="892">
                  <c:v>16.960031496834333</c:v>
                </c:pt>
                <c:pt idx="893">
                  <c:v>16.960031496834333</c:v>
                </c:pt>
                <c:pt idx="894">
                  <c:v>16.960031496834333</c:v>
                </c:pt>
                <c:pt idx="895">
                  <c:v>16.960031496834333</c:v>
                </c:pt>
                <c:pt idx="896">
                  <c:v>16.960031496834333</c:v>
                </c:pt>
                <c:pt idx="897">
                  <c:v>16.960031496834333</c:v>
                </c:pt>
                <c:pt idx="898">
                  <c:v>16.960031496834333</c:v>
                </c:pt>
                <c:pt idx="899">
                  <c:v>16.960031496834333</c:v>
                </c:pt>
                <c:pt idx="900">
                  <c:v>16.960031496834333</c:v>
                </c:pt>
                <c:pt idx="901">
                  <c:v>16.960031496834333</c:v>
                </c:pt>
                <c:pt idx="902">
                  <c:v>16.960031496834333</c:v>
                </c:pt>
                <c:pt idx="903">
                  <c:v>16.960031496834333</c:v>
                </c:pt>
                <c:pt idx="904">
                  <c:v>16.960031496834333</c:v>
                </c:pt>
                <c:pt idx="905">
                  <c:v>16.960031496834333</c:v>
                </c:pt>
                <c:pt idx="906">
                  <c:v>16.960031496834333</c:v>
                </c:pt>
                <c:pt idx="907">
                  <c:v>16.960031496834333</c:v>
                </c:pt>
                <c:pt idx="908">
                  <c:v>16.960031496834333</c:v>
                </c:pt>
                <c:pt idx="909">
                  <c:v>16.960031496834333</c:v>
                </c:pt>
                <c:pt idx="910">
                  <c:v>16.960031496834333</c:v>
                </c:pt>
                <c:pt idx="911">
                  <c:v>16.960031496834333</c:v>
                </c:pt>
                <c:pt idx="912">
                  <c:v>16.960031496834333</c:v>
                </c:pt>
                <c:pt idx="913">
                  <c:v>16.960031496834333</c:v>
                </c:pt>
                <c:pt idx="914">
                  <c:v>16.960031496834333</c:v>
                </c:pt>
                <c:pt idx="915">
                  <c:v>16.960031496834333</c:v>
                </c:pt>
                <c:pt idx="916">
                  <c:v>16.960031496834333</c:v>
                </c:pt>
                <c:pt idx="917">
                  <c:v>16.960031496834333</c:v>
                </c:pt>
                <c:pt idx="918">
                  <c:v>16.960031496834333</c:v>
                </c:pt>
                <c:pt idx="919">
                  <c:v>16.960031496834333</c:v>
                </c:pt>
                <c:pt idx="920">
                  <c:v>16.960031496834333</c:v>
                </c:pt>
                <c:pt idx="921">
                  <c:v>16.960031496834333</c:v>
                </c:pt>
                <c:pt idx="922">
                  <c:v>16.960031496834333</c:v>
                </c:pt>
                <c:pt idx="923">
                  <c:v>16.960031496834333</c:v>
                </c:pt>
                <c:pt idx="924">
                  <c:v>16.960031496834333</c:v>
                </c:pt>
                <c:pt idx="925">
                  <c:v>16.960031496834333</c:v>
                </c:pt>
                <c:pt idx="926">
                  <c:v>16.960031496834333</c:v>
                </c:pt>
                <c:pt idx="927">
                  <c:v>16.960031496834333</c:v>
                </c:pt>
                <c:pt idx="928">
                  <c:v>16.960031496834333</c:v>
                </c:pt>
                <c:pt idx="929">
                  <c:v>16.960031496834333</c:v>
                </c:pt>
                <c:pt idx="930">
                  <c:v>16.960031496834333</c:v>
                </c:pt>
                <c:pt idx="931">
                  <c:v>16.960031496834333</c:v>
                </c:pt>
                <c:pt idx="932">
                  <c:v>16.960031496834333</c:v>
                </c:pt>
                <c:pt idx="933">
                  <c:v>16.960031496834333</c:v>
                </c:pt>
                <c:pt idx="934">
                  <c:v>16.960031496834333</c:v>
                </c:pt>
                <c:pt idx="935">
                  <c:v>16.960031496834333</c:v>
                </c:pt>
                <c:pt idx="936">
                  <c:v>16.960031496834333</c:v>
                </c:pt>
                <c:pt idx="937">
                  <c:v>16.960031496834333</c:v>
                </c:pt>
                <c:pt idx="938">
                  <c:v>16.960031496834333</c:v>
                </c:pt>
                <c:pt idx="939">
                  <c:v>16.960031496834333</c:v>
                </c:pt>
                <c:pt idx="940">
                  <c:v>16.960031496834333</c:v>
                </c:pt>
                <c:pt idx="941">
                  <c:v>16.960031496834333</c:v>
                </c:pt>
                <c:pt idx="942">
                  <c:v>16.960031496834333</c:v>
                </c:pt>
                <c:pt idx="943">
                  <c:v>16.960031496834333</c:v>
                </c:pt>
                <c:pt idx="944">
                  <c:v>16.960031496834333</c:v>
                </c:pt>
                <c:pt idx="945">
                  <c:v>16.960031496834333</c:v>
                </c:pt>
                <c:pt idx="946">
                  <c:v>16.960031496834333</c:v>
                </c:pt>
                <c:pt idx="947">
                  <c:v>16.960031496834333</c:v>
                </c:pt>
                <c:pt idx="948">
                  <c:v>16.960031496834333</c:v>
                </c:pt>
                <c:pt idx="949">
                  <c:v>16.960031496834333</c:v>
                </c:pt>
                <c:pt idx="950">
                  <c:v>16.960031496834333</c:v>
                </c:pt>
                <c:pt idx="951">
                  <c:v>16.960031496834333</c:v>
                </c:pt>
                <c:pt idx="952">
                  <c:v>16.960031496834333</c:v>
                </c:pt>
                <c:pt idx="953">
                  <c:v>16.960031496834333</c:v>
                </c:pt>
                <c:pt idx="954">
                  <c:v>16.960031496834333</c:v>
                </c:pt>
                <c:pt idx="955">
                  <c:v>16.960031496834333</c:v>
                </c:pt>
                <c:pt idx="956">
                  <c:v>16.960031496834333</c:v>
                </c:pt>
                <c:pt idx="957">
                  <c:v>16.960031496834333</c:v>
                </c:pt>
                <c:pt idx="958">
                  <c:v>16.960031496834333</c:v>
                </c:pt>
                <c:pt idx="959">
                  <c:v>16.960031496834333</c:v>
                </c:pt>
                <c:pt idx="960">
                  <c:v>16.960031496834333</c:v>
                </c:pt>
                <c:pt idx="961">
                  <c:v>16.960031496834333</c:v>
                </c:pt>
                <c:pt idx="962">
                  <c:v>16.960031496834333</c:v>
                </c:pt>
                <c:pt idx="963">
                  <c:v>16.960031496834333</c:v>
                </c:pt>
                <c:pt idx="964">
                  <c:v>16.960031496834333</c:v>
                </c:pt>
                <c:pt idx="965">
                  <c:v>16.960031496834333</c:v>
                </c:pt>
                <c:pt idx="966">
                  <c:v>16.960031496834333</c:v>
                </c:pt>
                <c:pt idx="967">
                  <c:v>16.960031496834333</c:v>
                </c:pt>
                <c:pt idx="968">
                  <c:v>16.960031496834333</c:v>
                </c:pt>
                <c:pt idx="969">
                  <c:v>16.960031496834333</c:v>
                </c:pt>
                <c:pt idx="970">
                  <c:v>16.960031496834333</c:v>
                </c:pt>
                <c:pt idx="971">
                  <c:v>16.960031496834333</c:v>
                </c:pt>
                <c:pt idx="972">
                  <c:v>16.960031496834333</c:v>
                </c:pt>
                <c:pt idx="973">
                  <c:v>16.960031496834333</c:v>
                </c:pt>
                <c:pt idx="974">
                  <c:v>16.960031496834333</c:v>
                </c:pt>
                <c:pt idx="975">
                  <c:v>16.960031496834333</c:v>
                </c:pt>
                <c:pt idx="976">
                  <c:v>16.960031496834333</c:v>
                </c:pt>
                <c:pt idx="977">
                  <c:v>16.960031496834333</c:v>
                </c:pt>
                <c:pt idx="978">
                  <c:v>16.960031496834333</c:v>
                </c:pt>
                <c:pt idx="979">
                  <c:v>16.960031496834333</c:v>
                </c:pt>
                <c:pt idx="980">
                  <c:v>16.960031496834333</c:v>
                </c:pt>
                <c:pt idx="981">
                  <c:v>16.960031496834333</c:v>
                </c:pt>
                <c:pt idx="982">
                  <c:v>16.960031496834333</c:v>
                </c:pt>
                <c:pt idx="983">
                  <c:v>16.960031496834333</c:v>
                </c:pt>
                <c:pt idx="984">
                  <c:v>16.960031496834333</c:v>
                </c:pt>
                <c:pt idx="985">
                  <c:v>16.960031496834333</c:v>
                </c:pt>
                <c:pt idx="986">
                  <c:v>16.960031496834333</c:v>
                </c:pt>
                <c:pt idx="987">
                  <c:v>16.960031496834333</c:v>
                </c:pt>
                <c:pt idx="988">
                  <c:v>16.960031496834333</c:v>
                </c:pt>
                <c:pt idx="989">
                  <c:v>16.960031496834333</c:v>
                </c:pt>
                <c:pt idx="990">
                  <c:v>16.960031496834333</c:v>
                </c:pt>
                <c:pt idx="991">
                  <c:v>16.960031496834333</c:v>
                </c:pt>
                <c:pt idx="992">
                  <c:v>16.960031496834333</c:v>
                </c:pt>
                <c:pt idx="993">
                  <c:v>16.960031496834333</c:v>
                </c:pt>
                <c:pt idx="994">
                  <c:v>16.960031496834333</c:v>
                </c:pt>
                <c:pt idx="995">
                  <c:v>16.960031496834333</c:v>
                </c:pt>
                <c:pt idx="996">
                  <c:v>16.960031496834333</c:v>
                </c:pt>
                <c:pt idx="997">
                  <c:v>16.960031496834333</c:v>
                </c:pt>
                <c:pt idx="998">
                  <c:v>16.960031496834333</c:v>
                </c:pt>
                <c:pt idx="999">
                  <c:v>16.960031496834333</c:v>
                </c:pt>
                <c:pt idx="1000">
                  <c:v>16.960031496834333</c:v>
                </c:pt>
                <c:pt idx="1001">
                  <c:v>16.960031496834333</c:v>
                </c:pt>
                <c:pt idx="1002">
                  <c:v>16.960031496834333</c:v>
                </c:pt>
                <c:pt idx="1003">
                  <c:v>16.960031496834333</c:v>
                </c:pt>
                <c:pt idx="1004">
                  <c:v>16.960031496834333</c:v>
                </c:pt>
                <c:pt idx="1005">
                  <c:v>16.960031496834333</c:v>
                </c:pt>
                <c:pt idx="1006">
                  <c:v>16.960031496834333</c:v>
                </c:pt>
                <c:pt idx="1007">
                  <c:v>16.960031496834333</c:v>
                </c:pt>
                <c:pt idx="1008">
                  <c:v>16.960031496834333</c:v>
                </c:pt>
                <c:pt idx="1009">
                  <c:v>16.960031496834333</c:v>
                </c:pt>
                <c:pt idx="1010">
                  <c:v>16.960031496834333</c:v>
                </c:pt>
                <c:pt idx="1011">
                  <c:v>16.960031496834333</c:v>
                </c:pt>
                <c:pt idx="1012">
                  <c:v>16.960031496834333</c:v>
                </c:pt>
                <c:pt idx="1013">
                  <c:v>16.960031496834333</c:v>
                </c:pt>
                <c:pt idx="1014">
                  <c:v>16.960031496834333</c:v>
                </c:pt>
                <c:pt idx="1015">
                  <c:v>16.960031496834333</c:v>
                </c:pt>
                <c:pt idx="1016">
                  <c:v>16.960031496834333</c:v>
                </c:pt>
                <c:pt idx="1017">
                  <c:v>16.960031496834333</c:v>
                </c:pt>
                <c:pt idx="1018">
                  <c:v>16.960031496834333</c:v>
                </c:pt>
                <c:pt idx="1019">
                  <c:v>16.960031496834333</c:v>
                </c:pt>
                <c:pt idx="1020">
                  <c:v>16.960031496834333</c:v>
                </c:pt>
                <c:pt idx="1021">
                  <c:v>16.960031496834333</c:v>
                </c:pt>
                <c:pt idx="1022">
                  <c:v>16.960031496834333</c:v>
                </c:pt>
                <c:pt idx="1023">
                  <c:v>16.960031496834333</c:v>
                </c:pt>
                <c:pt idx="1024">
                  <c:v>16.960031496834333</c:v>
                </c:pt>
                <c:pt idx="1025">
                  <c:v>16.960031496834333</c:v>
                </c:pt>
                <c:pt idx="1026">
                  <c:v>16.960031496834333</c:v>
                </c:pt>
                <c:pt idx="1027">
                  <c:v>16.960031496834333</c:v>
                </c:pt>
                <c:pt idx="1028">
                  <c:v>16.960031496834333</c:v>
                </c:pt>
                <c:pt idx="1029">
                  <c:v>16.960031496834333</c:v>
                </c:pt>
                <c:pt idx="1030">
                  <c:v>16.960031496834333</c:v>
                </c:pt>
                <c:pt idx="1031">
                  <c:v>16.960031496834333</c:v>
                </c:pt>
                <c:pt idx="1032">
                  <c:v>16.960031496834333</c:v>
                </c:pt>
                <c:pt idx="1033">
                  <c:v>16.960031496834333</c:v>
                </c:pt>
                <c:pt idx="1034">
                  <c:v>16.960031496834333</c:v>
                </c:pt>
                <c:pt idx="1035">
                  <c:v>16.960031496834333</c:v>
                </c:pt>
                <c:pt idx="1036">
                  <c:v>16.960031496834333</c:v>
                </c:pt>
                <c:pt idx="1037">
                  <c:v>16.960031496834333</c:v>
                </c:pt>
                <c:pt idx="1038">
                  <c:v>16.960031496834333</c:v>
                </c:pt>
                <c:pt idx="1039">
                  <c:v>16.960031496834333</c:v>
                </c:pt>
                <c:pt idx="1040">
                  <c:v>16.960031496834333</c:v>
                </c:pt>
                <c:pt idx="1041">
                  <c:v>16.960031496834333</c:v>
                </c:pt>
                <c:pt idx="1042">
                  <c:v>16.960031496834333</c:v>
                </c:pt>
                <c:pt idx="1043">
                  <c:v>16.960031496834333</c:v>
                </c:pt>
                <c:pt idx="1044">
                  <c:v>16.960031496834333</c:v>
                </c:pt>
                <c:pt idx="1045">
                  <c:v>16.960031496834333</c:v>
                </c:pt>
                <c:pt idx="1046">
                  <c:v>16.960031496834333</c:v>
                </c:pt>
                <c:pt idx="1047">
                  <c:v>16.960031496834333</c:v>
                </c:pt>
                <c:pt idx="1048">
                  <c:v>16.960031496834333</c:v>
                </c:pt>
                <c:pt idx="1049">
                  <c:v>16.960031496834333</c:v>
                </c:pt>
                <c:pt idx="1050">
                  <c:v>16.960031496834333</c:v>
                </c:pt>
                <c:pt idx="1051">
                  <c:v>16.960031496834333</c:v>
                </c:pt>
                <c:pt idx="1052">
                  <c:v>16.960031496834333</c:v>
                </c:pt>
                <c:pt idx="1053">
                  <c:v>16.960031496834333</c:v>
                </c:pt>
                <c:pt idx="1054">
                  <c:v>16.960031496834333</c:v>
                </c:pt>
                <c:pt idx="1055">
                  <c:v>16.960031496834333</c:v>
                </c:pt>
                <c:pt idx="1056">
                  <c:v>16.960031496834333</c:v>
                </c:pt>
                <c:pt idx="1057">
                  <c:v>16.960031496834333</c:v>
                </c:pt>
                <c:pt idx="1058">
                  <c:v>16.960031496834333</c:v>
                </c:pt>
                <c:pt idx="1059">
                  <c:v>16.960031496834333</c:v>
                </c:pt>
                <c:pt idx="1060">
                  <c:v>16.960031496834333</c:v>
                </c:pt>
                <c:pt idx="1061">
                  <c:v>16.960031496834333</c:v>
                </c:pt>
                <c:pt idx="1062">
                  <c:v>16.960031496834333</c:v>
                </c:pt>
                <c:pt idx="1063">
                  <c:v>16.960031496834333</c:v>
                </c:pt>
                <c:pt idx="1064">
                  <c:v>16.960031496834333</c:v>
                </c:pt>
                <c:pt idx="1065">
                  <c:v>16.960031496834333</c:v>
                </c:pt>
                <c:pt idx="1066">
                  <c:v>16.960031496834333</c:v>
                </c:pt>
                <c:pt idx="1067">
                  <c:v>16.960031496834333</c:v>
                </c:pt>
                <c:pt idx="1068">
                  <c:v>16.960031496834333</c:v>
                </c:pt>
                <c:pt idx="1069">
                  <c:v>16.960031496834333</c:v>
                </c:pt>
                <c:pt idx="1070">
                  <c:v>16.960031496834333</c:v>
                </c:pt>
                <c:pt idx="1071">
                  <c:v>16.960031496834333</c:v>
                </c:pt>
                <c:pt idx="1072">
                  <c:v>16.960031496834333</c:v>
                </c:pt>
                <c:pt idx="1073">
                  <c:v>16.960031496834333</c:v>
                </c:pt>
                <c:pt idx="1074">
                  <c:v>16.960031496834333</c:v>
                </c:pt>
                <c:pt idx="1075">
                  <c:v>16.960031496834333</c:v>
                </c:pt>
                <c:pt idx="1076">
                  <c:v>16.960031496834333</c:v>
                </c:pt>
                <c:pt idx="1077">
                  <c:v>16.960031496834333</c:v>
                </c:pt>
                <c:pt idx="1078">
                  <c:v>16.960031496834333</c:v>
                </c:pt>
                <c:pt idx="1079">
                  <c:v>16.960031496834333</c:v>
                </c:pt>
                <c:pt idx="1080">
                  <c:v>16.960031496834333</c:v>
                </c:pt>
                <c:pt idx="1081">
                  <c:v>16.960031496834333</c:v>
                </c:pt>
                <c:pt idx="1082">
                  <c:v>16.960031496834333</c:v>
                </c:pt>
                <c:pt idx="1083">
                  <c:v>16.960031496834333</c:v>
                </c:pt>
                <c:pt idx="1084">
                  <c:v>16.960031496834333</c:v>
                </c:pt>
                <c:pt idx="1085">
                  <c:v>16.960031496834333</c:v>
                </c:pt>
                <c:pt idx="1086">
                  <c:v>16.960031496834333</c:v>
                </c:pt>
                <c:pt idx="1087">
                  <c:v>16.960031496834333</c:v>
                </c:pt>
                <c:pt idx="1088">
                  <c:v>16.960031496834333</c:v>
                </c:pt>
                <c:pt idx="1089">
                  <c:v>16.960031496834333</c:v>
                </c:pt>
                <c:pt idx="1090">
                  <c:v>16.960031496834333</c:v>
                </c:pt>
                <c:pt idx="1091">
                  <c:v>16.960031496834333</c:v>
                </c:pt>
                <c:pt idx="1092">
                  <c:v>16.960031496834333</c:v>
                </c:pt>
                <c:pt idx="1093">
                  <c:v>16.960031496834333</c:v>
                </c:pt>
                <c:pt idx="1094">
                  <c:v>16.960031496834333</c:v>
                </c:pt>
                <c:pt idx="1095">
                  <c:v>16.960031496834333</c:v>
                </c:pt>
                <c:pt idx="1096">
                  <c:v>16.960031496834333</c:v>
                </c:pt>
                <c:pt idx="1097">
                  <c:v>16.960031496834333</c:v>
                </c:pt>
                <c:pt idx="1098">
                  <c:v>16.960031496834333</c:v>
                </c:pt>
                <c:pt idx="1099">
                  <c:v>16.960031496834333</c:v>
                </c:pt>
                <c:pt idx="1100">
                  <c:v>16.960031496834333</c:v>
                </c:pt>
                <c:pt idx="1101">
                  <c:v>16.960031496834333</c:v>
                </c:pt>
                <c:pt idx="1102">
                  <c:v>16.960031496834333</c:v>
                </c:pt>
                <c:pt idx="1103">
                  <c:v>16.960031496834333</c:v>
                </c:pt>
                <c:pt idx="1104">
                  <c:v>16.960031496834333</c:v>
                </c:pt>
                <c:pt idx="1105">
                  <c:v>16.960031496834333</c:v>
                </c:pt>
                <c:pt idx="1106">
                  <c:v>16.960031496834333</c:v>
                </c:pt>
                <c:pt idx="1107">
                  <c:v>16.960031496834333</c:v>
                </c:pt>
                <c:pt idx="1108">
                  <c:v>16.960031496834333</c:v>
                </c:pt>
                <c:pt idx="1109">
                  <c:v>16.960031496834333</c:v>
                </c:pt>
                <c:pt idx="1110">
                  <c:v>16.960031496834333</c:v>
                </c:pt>
                <c:pt idx="1111">
                  <c:v>16.960031496834333</c:v>
                </c:pt>
                <c:pt idx="1112">
                  <c:v>16.960031496834333</c:v>
                </c:pt>
                <c:pt idx="1113">
                  <c:v>16.960031496834333</c:v>
                </c:pt>
                <c:pt idx="1114">
                  <c:v>16.960031496834333</c:v>
                </c:pt>
                <c:pt idx="1115">
                  <c:v>16.960031496834333</c:v>
                </c:pt>
                <c:pt idx="1116">
                  <c:v>16.960031496834333</c:v>
                </c:pt>
                <c:pt idx="1117">
                  <c:v>16.960031496834333</c:v>
                </c:pt>
                <c:pt idx="1118">
                  <c:v>16.960031496834333</c:v>
                </c:pt>
                <c:pt idx="1119">
                  <c:v>16.960031496834333</c:v>
                </c:pt>
                <c:pt idx="1120">
                  <c:v>16.960031496834333</c:v>
                </c:pt>
                <c:pt idx="1121">
                  <c:v>16.960031496834333</c:v>
                </c:pt>
                <c:pt idx="1122">
                  <c:v>16.960031496834333</c:v>
                </c:pt>
                <c:pt idx="1123">
                  <c:v>16.960031496834333</c:v>
                </c:pt>
                <c:pt idx="1124">
                  <c:v>16.960031496834333</c:v>
                </c:pt>
                <c:pt idx="1125">
                  <c:v>16.960031496834333</c:v>
                </c:pt>
                <c:pt idx="1126">
                  <c:v>16.960031496834333</c:v>
                </c:pt>
                <c:pt idx="1127">
                  <c:v>16.960031496834333</c:v>
                </c:pt>
                <c:pt idx="1128">
                  <c:v>16.960031496834333</c:v>
                </c:pt>
                <c:pt idx="1129">
                  <c:v>16.960031496834333</c:v>
                </c:pt>
                <c:pt idx="1130">
                  <c:v>16.960031496834333</c:v>
                </c:pt>
                <c:pt idx="1131">
                  <c:v>16.960031496834333</c:v>
                </c:pt>
                <c:pt idx="1132">
                  <c:v>16.960031496834333</c:v>
                </c:pt>
                <c:pt idx="1133">
                  <c:v>16.960031496834333</c:v>
                </c:pt>
                <c:pt idx="1134">
                  <c:v>16.960031496834333</c:v>
                </c:pt>
                <c:pt idx="1135">
                  <c:v>16.960031496834333</c:v>
                </c:pt>
                <c:pt idx="1136">
                  <c:v>16.960031496834333</c:v>
                </c:pt>
                <c:pt idx="1137">
                  <c:v>16.960031496834333</c:v>
                </c:pt>
                <c:pt idx="1138">
                  <c:v>16.960031496834333</c:v>
                </c:pt>
                <c:pt idx="1139">
                  <c:v>16.960031496834333</c:v>
                </c:pt>
                <c:pt idx="1140">
                  <c:v>16.960031496834333</c:v>
                </c:pt>
                <c:pt idx="1141">
                  <c:v>16.960031496834333</c:v>
                </c:pt>
                <c:pt idx="1142">
                  <c:v>16.960031496834333</c:v>
                </c:pt>
                <c:pt idx="1143">
                  <c:v>16.960031496834333</c:v>
                </c:pt>
                <c:pt idx="1144">
                  <c:v>16.960031496834333</c:v>
                </c:pt>
                <c:pt idx="1145">
                  <c:v>16.960031496834333</c:v>
                </c:pt>
                <c:pt idx="1146">
                  <c:v>16.960031496834333</c:v>
                </c:pt>
                <c:pt idx="1147">
                  <c:v>16.960031496834333</c:v>
                </c:pt>
                <c:pt idx="1148">
                  <c:v>16.960031496834333</c:v>
                </c:pt>
                <c:pt idx="1149">
                  <c:v>16.960031496834333</c:v>
                </c:pt>
                <c:pt idx="1150">
                  <c:v>16.960031496834333</c:v>
                </c:pt>
                <c:pt idx="1151">
                  <c:v>16.960031496834333</c:v>
                </c:pt>
                <c:pt idx="1152">
                  <c:v>16.960031496834333</c:v>
                </c:pt>
                <c:pt idx="1153">
                  <c:v>16.960031496834333</c:v>
                </c:pt>
                <c:pt idx="1154">
                  <c:v>16.960031496834333</c:v>
                </c:pt>
                <c:pt idx="1155">
                  <c:v>16.960031496834333</c:v>
                </c:pt>
                <c:pt idx="1156">
                  <c:v>16.960031496834333</c:v>
                </c:pt>
                <c:pt idx="1157">
                  <c:v>16.960031496834333</c:v>
                </c:pt>
                <c:pt idx="1158">
                  <c:v>16.960031496834333</c:v>
                </c:pt>
                <c:pt idx="1159">
                  <c:v>16.960031496834333</c:v>
                </c:pt>
                <c:pt idx="1160">
                  <c:v>16.960031496834333</c:v>
                </c:pt>
                <c:pt idx="1161">
                  <c:v>16.960031496834333</c:v>
                </c:pt>
                <c:pt idx="1162">
                  <c:v>16.960031496834333</c:v>
                </c:pt>
                <c:pt idx="1163">
                  <c:v>16.960031496834333</c:v>
                </c:pt>
                <c:pt idx="1164">
                  <c:v>16.960031496834333</c:v>
                </c:pt>
                <c:pt idx="1165">
                  <c:v>16.960031496834333</c:v>
                </c:pt>
                <c:pt idx="1166">
                  <c:v>16.960031496834333</c:v>
                </c:pt>
                <c:pt idx="1167">
                  <c:v>16.960031496834333</c:v>
                </c:pt>
                <c:pt idx="1168">
                  <c:v>16.960031496834333</c:v>
                </c:pt>
                <c:pt idx="1169">
                  <c:v>16.960031496834333</c:v>
                </c:pt>
                <c:pt idx="1170">
                  <c:v>16.960031496834333</c:v>
                </c:pt>
                <c:pt idx="1171">
                  <c:v>16.960031496834333</c:v>
                </c:pt>
                <c:pt idx="1172">
                  <c:v>16.960031496834333</c:v>
                </c:pt>
                <c:pt idx="1173">
                  <c:v>16.960031496834333</c:v>
                </c:pt>
                <c:pt idx="1174">
                  <c:v>16.960031496834333</c:v>
                </c:pt>
                <c:pt idx="1175">
                  <c:v>16.960031496834333</c:v>
                </c:pt>
                <c:pt idx="1176">
                  <c:v>16.960031496834333</c:v>
                </c:pt>
                <c:pt idx="1177">
                  <c:v>16.960031496834333</c:v>
                </c:pt>
                <c:pt idx="1178">
                  <c:v>16.960031496834333</c:v>
                </c:pt>
                <c:pt idx="1179">
                  <c:v>16.960031496834333</c:v>
                </c:pt>
                <c:pt idx="1180">
                  <c:v>16.960031496834333</c:v>
                </c:pt>
                <c:pt idx="1181">
                  <c:v>16.960031496834333</c:v>
                </c:pt>
                <c:pt idx="1182">
                  <c:v>16.960031496834333</c:v>
                </c:pt>
                <c:pt idx="1183">
                  <c:v>16.960031496834333</c:v>
                </c:pt>
                <c:pt idx="1184">
                  <c:v>16.960031496834333</c:v>
                </c:pt>
                <c:pt idx="1185">
                  <c:v>16.960031496834333</c:v>
                </c:pt>
                <c:pt idx="1186">
                  <c:v>16.960031496834333</c:v>
                </c:pt>
                <c:pt idx="1187">
                  <c:v>16.960031496834333</c:v>
                </c:pt>
                <c:pt idx="1188">
                  <c:v>16.960031496834333</c:v>
                </c:pt>
                <c:pt idx="1189">
                  <c:v>16.960031496834333</c:v>
                </c:pt>
                <c:pt idx="1190">
                  <c:v>16.960031496834333</c:v>
                </c:pt>
                <c:pt idx="1191">
                  <c:v>16.960031496834333</c:v>
                </c:pt>
                <c:pt idx="1192">
                  <c:v>16.960031496834333</c:v>
                </c:pt>
                <c:pt idx="1193">
                  <c:v>16.960031496834333</c:v>
                </c:pt>
                <c:pt idx="1194">
                  <c:v>16.960031496834333</c:v>
                </c:pt>
                <c:pt idx="1195">
                  <c:v>16.960031496834333</c:v>
                </c:pt>
                <c:pt idx="1196">
                  <c:v>16.960031496834333</c:v>
                </c:pt>
                <c:pt idx="1197">
                  <c:v>16.960031496834333</c:v>
                </c:pt>
                <c:pt idx="1198">
                  <c:v>16.960031496834333</c:v>
                </c:pt>
                <c:pt idx="1199">
                  <c:v>16.960031496834333</c:v>
                </c:pt>
                <c:pt idx="1200">
                  <c:v>16.960031496834333</c:v>
                </c:pt>
                <c:pt idx="1201">
                  <c:v>16.960031496834333</c:v>
                </c:pt>
                <c:pt idx="1202">
                  <c:v>16.960031496834333</c:v>
                </c:pt>
                <c:pt idx="1203">
                  <c:v>16.960031496834333</c:v>
                </c:pt>
                <c:pt idx="1204">
                  <c:v>16.960031496834333</c:v>
                </c:pt>
                <c:pt idx="1205">
                  <c:v>16.960031496834333</c:v>
                </c:pt>
                <c:pt idx="1206">
                  <c:v>16.960031496834333</c:v>
                </c:pt>
                <c:pt idx="1207">
                  <c:v>16.960031496834333</c:v>
                </c:pt>
                <c:pt idx="1208">
                  <c:v>16.960031496834333</c:v>
                </c:pt>
                <c:pt idx="1209">
                  <c:v>16.960031496834333</c:v>
                </c:pt>
                <c:pt idx="1210">
                  <c:v>16.960031496834333</c:v>
                </c:pt>
                <c:pt idx="1211">
                  <c:v>16.960031496834333</c:v>
                </c:pt>
                <c:pt idx="1212">
                  <c:v>16.960031496834333</c:v>
                </c:pt>
                <c:pt idx="1213">
                  <c:v>16.960031496834333</c:v>
                </c:pt>
                <c:pt idx="1214">
                  <c:v>16.960031496834333</c:v>
                </c:pt>
                <c:pt idx="1215">
                  <c:v>16.960031496834333</c:v>
                </c:pt>
                <c:pt idx="1216">
                  <c:v>16.960031496834333</c:v>
                </c:pt>
                <c:pt idx="1217">
                  <c:v>16.960031496834333</c:v>
                </c:pt>
                <c:pt idx="1218">
                  <c:v>16.960031496834333</c:v>
                </c:pt>
                <c:pt idx="1219">
                  <c:v>16.960031496834333</c:v>
                </c:pt>
                <c:pt idx="1220">
                  <c:v>16.960031496834333</c:v>
                </c:pt>
                <c:pt idx="1221">
                  <c:v>16.960031496834333</c:v>
                </c:pt>
                <c:pt idx="1222">
                  <c:v>16.960031496834333</c:v>
                </c:pt>
                <c:pt idx="1223">
                  <c:v>16.960031496834333</c:v>
                </c:pt>
                <c:pt idx="1224">
                  <c:v>16.960031496834333</c:v>
                </c:pt>
                <c:pt idx="1225">
                  <c:v>16.960031496834333</c:v>
                </c:pt>
                <c:pt idx="1226">
                  <c:v>16.960031496834333</c:v>
                </c:pt>
                <c:pt idx="1227">
                  <c:v>16.960031496834333</c:v>
                </c:pt>
                <c:pt idx="1228">
                  <c:v>16.960031496834333</c:v>
                </c:pt>
                <c:pt idx="1229">
                  <c:v>16.960031496834333</c:v>
                </c:pt>
                <c:pt idx="1230">
                  <c:v>16.960031496834333</c:v>
                </c:pt>
                <c:pt idx="1231">
                  <c:v>16.960031496834333</c:v>
                </c:pt>
                <c:pt idx="1232">
                  <c:v>16.960031496834333</c:v>
                </c:pt>
                <c:pt idx="1233">
                  <c:v>16.960031496834333</c:v>
                </c:pt>
                <c:pt idx="1234">
                  <c:v>16.960031496834333</c:v>
                </c:pt>
                <c:pt idx="1235">
                  <c:v>16.960031496834333</c:v>
                </c:pt>
                <c:pt idx="1236">
                  <c:v>16.960031496834333</c:v>
                </c:pt>
                <c:pt idx="1237">
                  <c:v>16.960031496834333</c:v>
                </c:pt>
                <c:pt idx="1238">
                  <c:v>16.960031496834333</c:v>
                </c:pt>
                <c:pt idx="1239">
                  <c:v>16.960031496834333</c:v>
                </c:pt>
                <c:pt idx="1240">
                  <c:v>16.960031496834333</c:v>
                </c:pt>
                <c:pt idx="1241">
                  <c:v>16.960031496834333</c:v>
                </c:pt>
                <c:pt idx="1242">
                  <c:v>16.960031496834333</c:v>
                </c:pt>
                <c:pt idx="1243">
                  <c:v>16.960031496834333</c:v>
                </c:pt>
                <c:pt idx="1244">
                  <c:v>16.960031496834333</c:v>
                </c:pt>
                <c:pt idx="1245">
                  <c:v>16.960031496834333</c:v>
                </c:pt>
                <c:pt idx="1246">
                  <c:v>16.960031496834333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53-47A4-A715-399800330104}"/>
            </c:ext>
          </c:extLst>
        </c:ser>
        <c:ser>
          <c:idx val="3"/>
          <c:order val="2"/>
          <c:tx>
            <c:strRef>
              <c:f>'FX Data'!$I$952</c:f>
              <c:strCache>
                <c:ptCount val="1"/>
                <c:pt idx="0">
                  <c:v>Average P/E</c:v>
                </c:pt>
              </c:strCache>
            </c:strRef>
          </c:tx>
          <c:spPr>
            <a:ln w="28575" cap="rnd">
              <a:solidFill>
                <a:srgbClr val="000000">
                  <a:lumMod val="50000"/>
                  <a:lumOff val="50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'FX Data'!$B$957:$B$2204</c:f>
              <c:numCache>
                <c:formatCode>m/d/yyyy</c:formatCode>
                <c:ptCount val="1248"/>
                <c:pt idx="0">
                  <c:v>44263</c:v>
                </c:pt>
                <c:pt idx="1">
                  <c:v>44264</c:v>
                </c:pt>
                <c:pt idx="2">
                  <c:v>44265</c:v>
                </c:pt>
                <c:pt idx="3">
                  <c:v>44266</c:v>
                </c:pt>
                <c:pt idx="4">
                  <c:v>44267</c:v>
                </c:pt>
                <c:pt idx="5">
                  <c:v>44270</c:v>
                </c:pt>
                <c:pt idx="6">
                  <c:v>44271</c:v>
                </c:pt>
                <c:pt idx="7">
                  <c:v>44272</c:v>
                </c:pt>
                <c:pt idx="8">
                  <c:v>44273</c:v>
                </c:pt>
                <c:pt idx="9">
                  <c:v>44274</c:v>
                </c:pt>
                <c:pt idx="10">
                  <c:v>44277</c:v>
                </c:pt>
                <c:pt idx="11">
                  <c:v>44278</c:v>
                </c:pt>
                <c:pt idx="12">
                  <c:v>44279</c:v>
                </c:pt>
                <c:pt idx="13">
                  <c:v>44280</c:v>
                </c:pt>
                <c:pt idx="14">
                  <c:v>44281</c:v>
                </c:pt>
                <c:pt idx="15">
                  <c:v>44284</c:v>
                </c:pt>
                <c:pt idx="16">
                  <c:v>44285</c:v>
                </c:pt>
                <c:pt idx="17">
                  <c:v>44286</c:v>
                </c:pt>
                <c:pt idx="18">
                  <c:v>44287</c:v>
                </c:pt>
                <c:pt idx="19">
                  <c:v>44288</c:v>
                </c:pt>
                <c:pt idx="20">
                  <c:v>44291</c:v>
                </c:pt>
                <c:pt idx="21">
                  <c:v>44292</c:v>
                </c:pt>
                <c:pt idx="22">
                  <c:v>44293</c:v>
                </c:pt>
                <c:pt idx="23">
                  <c:v>44294</c:v>
                </c:pt>
                <c:pt idx="24">
                  <c:v>44295</c:v>
                </c:pt>
                <c:pt idx="25">
                  <c:v>44298</c:v>
                </c:pt>
                <c:pt idx="26">
                  <c:v>44299</c:v>
                </c:pt>
                <c:pt idx="27">
                  <c:v>44300</c:v>
                </c:pt>
                <c:pt idx="28">
                  <c:v>44301</c:v>
                </c:pt>
                <c:pt idx="29">
                  <c:v>44302</c:v>
                </c:pt>
                <c:pt idx="30">
                  <c:v>44305</c:v>
                </c:pt>
                <c:pt idx="31">
                  <c:v>44306</c:v>
                </c:pt>
                <c:pt idx="32">
                  <c:v>44308</c:v>
                </c:pt>
                <c:pt idx="33">
                  <c:v>44309</c:v>
                </c:pt>
                <c:pt idx="34">
                  <c:v>44312</c:v>
                </c:pt>
                <c:pt idx="35">
                  <c:v>44313</c:v>
                </c:pt>
                <c:pt idx="36">
                  <c:v>44314</c:v>
                </c:pt>
                <c:pt idx="37">
                  <c:v>44315</c:v>
                </c:pt>
                <c:pt idx="38">
                  <c:v>44320</c:v>
                </c:pt>
                <c:pt idx="39">
                  <c:v>44321</c:v>
                </c:pt>
                <c:pt idx="40">
                  <c:v>44322</c:v>
                </c:pt>
                <c:pt idx="41">
                  <c:v>44323</c:v>
                </c:pt>
                <c:pt idx="42">
                  <c:v>44326</c:v>
                </c:pt>
                <c:pt idx="43">
                  <c:v>44327</c:v>
                </c:pt>
                <c:pt idx="44">
                  <c:v>44328</c:v>
                </c:pt>
                <c:pt idx="45">
                  <c:v>44329</c:v>
                </c:pt>
                <c:pt idx="46">
                  <c:v>44330</c:v>
                </c:pt>
                <c:pt idx="47">
                  <c:v>44333</c:v>
                </c:pt>
                <c:pt idx="48">
                  <c:v>44334</c:v>
                </c:pt>
                <c:pt idx="49">
                  <c:v>44335</c:v>
                </c:pt>
                <c:pt idx="50">
                  <c:v>44336</c:v>
                </c:pt>
                <c:pt idx="51">
                  <c:v>44337</c:v>
                </c:pt>
                <c:pt idx="52">
                  <c:v>44340</c:v>
                </c:pt>
                <c:pt idx="53">
                  <c:v>44341</c:v>
                </c:pt>
                <c:pt idx="54">
                  <c:v>44342</c:v>
                </c:pt>
                <c:pt idx="55">
                  <c:v>44343</c:v>
                </c:pt>
                <c:pt idx="56">
                  <c:v>44344</c:v>
                </c:pt>
                <c:pt idx="57">
                  <c:v>44347</c:v>
                </c:pt>
                <c:pt idx="58">
                  <c:v>44348</c:v>
                </c:pt>
                <c:pt idx="59">
                  <c:v>44349</c:v>
                </c:pt>
                <c:pt idx="60">
                  <c:v>44350</c:v>
                </c:pt>
                <c:pt idx="61">
                  <c:v>44351</c:v>
                </c:pt>
                <c:pt idx="62">
                  <c:v>44354</c:v>
                </c:pt>
                <c:pt idx="63">
                  <c:v>44355</c:v>
                </c:pt>
                <c:pt idx="64">
                  <c:v>44356</c:v>
                </c:pt>
                <c:pt idx="65">
                  <c:v>44357</c:v>
                </c:pt>
                <c:pt idx="66">
                  <c:v>44358</c:v>
                </c:pt>
                <c:pt idx="67">
                  <c:v>44361</c:v>
                </c:pt>
                <c:pt idx="68">
                  <c:v>44362</c:v>
                </c:pt>
                <c:pt idx="69">
                  <c:v>44363</c:v>
                </c:pt>
                <c:pt idx="70">
                  <c:v>44364</c:v>
                </c:pt>
                <c:pt idx="71">
                  <c:v>44365</c:v>
                </c:pt>
                <c:pt idx="72">
                  <c:v>44368</c:v>
                </c:pt>
                <c:pt idx="73">
                  <c:v>44369</c:v>
                </c:pt>
                <c:pt idx="74">
                  <c:v>44370</c:v>
                </c:pt>
                <c:pt idx="75">
                  <c:v>44371</c:v>
                </c:pt>
                <c:pt idx="76">
                  <c:v>44372</c:v>
                </c:pt>
                <c:pt idx="77">
                  <c:v>44375</c:v>
                </c:pt>
                <c:pt idx="78">
                  <c:v>44376</c:v>
                </c:pt>
                <c:pt idx="79">
                  <c:v>44377</c:v>
                </c:pt>
                <c:pt idx="80">
                  <c:v>44378</c:v>
                </c:pt>
                <c:pt idx="81">
                  <c:v>44379</c:v>
                </c:pt>
                <c:pt idx="82">
                  <c:v>44382</c:v>
                </c:pt>
                <c:pt idx="83">
                  <c:v>44383</c:v>
                </c:pt>
                <c:pt idx="84">
                  <c:v>44384</c:v>
                </c:pt>
                <c:pt idx="85">
                  <c:v>44385</c:v>
                </c:pt>
                <c:pt idx="86">
                  <c:v>44386</c:v>
                </c:pt>
                <c:pt idx="87">
                  <c:v>44389</c:v>
                </c:pt>
                <c:pt idx="88">
                  <c:v>44390</c:v>
                </c:pt>
                <c:pt idx="89">
                  <c:v>44391</c:v>
                </c:pt>
                <c:pt idx="90">
                  <c:v>44392</c:v>
                </c:pt>
                <c:pt idx="91">
                  <c:v>44393</c:v>
                </c:pt>
                <c:pt idx="92">
                  <c:v>44396</c:v>
                </c:pt>
                <c:pt idx="93">
                  <c:v>44397</c:v>
                </c:pt>
                <c:pt idx="94">
                  <c:v>44398</c:v>
                </c:pt>
                <c:pt idx="95">
                  <c:v>44399</c:v>
                </c:pt>
                <c:pt idx="96">
                  <c:v>44400</c:v>
                </c:pt>
                <c:pt idx="97">
                  <c:v>44403</c:v>
                </c:pt>
                <c:pt idx="98">
                  <c:v>44404</c:v>
                </c:pt>
                <c:pt idx="99">
                  <c:v>44405</c:v>
                </c:pt>
                <c:pt idx="100">
                  <c:v>44406</c:v>
                </c:pt>
                <c:pt idx="101">
                  <c:v>44407</c:v>
                </c:pt>
                <c:pt idx="102">
                  <c:v>44410</c:v>
                </c:pt>
                <c:pt idx="103">
                  <c:v>44411</c:v>
                </c:pt>
                <c:pt idx="104">
                  <c:v>44412</c:v>
                </c:pt>
                <c:pt idx="105">
                  <c:v>44413</c:v>
                </c:pt>
                <c:pt idx="106">
                  <c:v>44414</c:v>
                </c:pt>
                <c:pt idx="107">
                  <c:v>44417</c:v>
                </c:pt>
                <c:pt idx="108">
                  <c:v>44418</c:v>
                </c:pt>
                <c:pt idx="109">
                  <c:v>44419</c:v>
                </c:pt>
                <c:pt idx="110">
                  <c:v>44420</c:v>
                </c:pt>
                <c:pt idx="111">
                  <c:v>44421</c:v>
                </c:pt>
                <c:pt idx="112">
                  <c:v>44424</c:v>
                </c:pt>
                <c:pt idx="113">
                  <c:v>44425</c:v>
                </c:pt>
                <c:pt idx="114">
                  <c:v>44426</c:v>
                </c:pt>
                <c:pt idx="115">
                  <c:v>44427</c:v>
                </c:pt>
                <c:pt idx="116">
                  <c:v>44428</c:v>
                </c:pt>
                <c:pt idx="117">
                  <c:v>44431</c:v>
                </c:pt>
                <c:pt idx="118">
                  <c:v>44432</c:v>
                </c:pt>
                <c:pt idx="119">
                  <c:v>44433</c:v>
                </c:pt>
                <c:pt idx="120">
                  <c:v>44434</c:v>
                </c:pt>
                <c:pt idx="121">
                  <c:v>44435</c:v>
                </c:pt>
                <c:pt idx="122">
                  <c:v>44438</c:v>
                </c:pt>
                <c:pt idx="123">
                  <c:v>44439</c:v>
                </c:pt>
                <c:pt idx="124">
                  <c:v>44440</c:v>
                </c:pt>
                <c:pt idx="125">
                  <c:v>44445</c:v>
                </c:pt>
                <c:pt idx="126">
                  <c:v>44446</c:v>
                </c:pt>
                <c:pt idx="127">
                  <c:v>44447</c:v>
                </c:pt>
                <c:pt idx="128">
                  <c:v>44448</c:v>
                </c:pt>
                <c:pt idx="129">
                  <c:v>44449</c:v>
                </c:pt>
                <c:pt idx="130">
                  <c:v>44452</c:v>
                </c:pt>
                <c:pt idx="131">
                  <c:v>44453</c:v>
                </c:pt>
                <c:pt idx="132">
                  <c:v>44454</c:v>
                </c:pt>
                <c:pt idx="133">
                  <c:v>44455</c:v>
                </c:pt>
                <c:pt idx="134">
                  <c:v>44456</c:v>
                </c:pt>
                <c:pt idx="135">
                  <c:v>44459</c:v>
                </c:pt>
                <c:pt idx="136">
                  <c:v>44460</c:v>
                </c:pt>
                <c:pt idx="137">
                  <c:v>44461</c:v>
                </c:pt>
                <c:pt idx="138">
                  <c:v>44462</c:v>
                </c:pt>
                <c:pt idx="139">
                  <c:v>44463</c:v>
                </c:pt>
                <c:pt idx="140">
                  <c:v>44466</c:v>
                </c:pt>
                <c:pt idx="141">
                  <c:v>44467</c:v>
                </c:pt>
                <c:pt idx="142">
                  <c:v>44468</c:v>
                </c:pt>
                <c:pt idx="143">
                  <c:v>44469</c:v>
                </c:pt>
                <c:pt idx="144">
                  <c:v>44470</c:v>
                </c:pt>
                <c:pt idx="145">
                  <c:v>44473</c:v>
                </c:pt>
                <c:pt idx="146">
                  <c:v>44474</c:v>
                </c:pt>
                <c:pt idx="147">
                  <c:v>44475</c:v>
                </c:pt>
                <c:pt idx="148">
                  <c:v>44476</c:v>
                </c:pt>
                <c:pt idx="149">
                  <c:v>44477</c:v>
                </c:pt>
                <c:pt idx="150">
                  <c:v>44480</c:v>
                </c:pt>
                <c:pt idx="151">
                  <c:v>44481</c:v>
                </c:pt>
                <c:pt idx="152">
                  <c:v>44482</c:v>
                </c:pt>
                <c:pt idx="153">
                  <c:v>44483</c:v>
                </c:pt>
                <c:pt idx="154">
                  <c:v>44484</c:v>
                </c:pt>
                <c:pt idx="155">
                  <c:v>44487</c:v>
                </c:pt>
                <c:pt idx="156">
                  <c:v>44488</c:v>
                </c:pt>
                <c:pt idx="157">
                  <c:v>44489</c:v>
                </c:pt>
                <c:pt idx="158">
                  <c:v>44490</c:v>
                </c:pt>
                <c:pt idx="159">
                  <c:v>44491</c:v>
                </c:pt>
                <c:pt idx="160">
                  <c:v>44494</c:v>
                </c:pt>
                <c:pt idx="161">
                  <c:v>44495</c:v>
                </c:pt>
                <c:pt idx="162">
                  <c:v>44496</c:v>
                </c:pt>
                <c:pt idx="163">
                  <c:v>44497</c:v>
                </c:pt>
                <c:pt idx="164">
                  <c:v>44498</c:v>
                </c:pt>
                <c:pt idx="165">
                  <c:v>44501</c:v>
                </c:pt>
                <c:pt idx="166">
                  <c:v>44502</c:v>
                </c:pt>
                <c:pt idx="167">
                  <c:v>44503</c:v>
                </c:pt>
                <c:pt idx="168">
                  <c:v>44504</c:v>
                </c:pt>
                <c:pt idx="169">
                  <c:v>44505</c:v>
                </c:pt>
                <c:pt idx="170">
                  <c:v>44508</c:v>
                </c:pt>
                <c:pt idx="171">
                  <c:v>44509</c:v>
                </c:pt>
                <c:pt idx="172">
                  <c:v>44510</c:v>
                </c:pt>
                <c:pt idx="173">
                  <c:v>44511</c:v>
                </c:pt>
                <c:pt idx="174">
                  <c:v>44512</c:v>
                </c:pt>
                <c:pt idx="175">
                  <c:v>44515</c:v>
                </c:pt>
                <c:pt idx="176">
                  <c:v>44516</c:v>
                </c:pt>
                <c:pt idx="177">
                  <c:v>44517</c:v>
                </c:pt>
                <c:pt idx="178">
                  <c:v>44518</c:v>
                </c:pt>
                <c:pt idx="179">
                  <c:v>44519</c:v>
                </c:pt>
                <c:pt idx="180">
                  <c:v>44522</c:v>
                </c:pt>
                <c:pt idx="181">
                  <c:v>44523</c:v>
                </c:pt>
                <c:pt idx="182">
                  <c:v>44524</c:v>
                </c:pt>
                <c:pt idx="183">
                  <c:v>44525</c:v>
                </c:pt>
                <c:pt idx="184">
                  <c:v>44526</c:v>
                </c:pt>
                <c:pt idx="185">
                  <c:v>44529</c:v>
                </c:pt>
                <c:pt idx="186">
                  <c:v>44530</c:v>
                </c:pt>
                <c:pt idx="187">
                  <c:v>44531</c:v>
                </c:pt>
                <c:pt idx="188">
                  <c:v>44532</c:v>
                </c:pt>
                <c:pt idx="189">
                  <c:v>44533</c:v>
                </c:pt>
                <c:pt idx="190">
                  <c:v>44536</c:v>
                </c:pt>
                <c:pt idx="191">
                  <c:v>44537</c:v>
                </c:pt>
                <c:pt idx="192">
                  <c:v>44538</c:v>
                </c:pt>
                <c:pt idx="193">
                  <c:v>44539</c:v>
                </c:pt>
                <c:pt idx="194">
                  <c:v>44540</c:v>
                </c:pt>
                <c:pt idx="195">
                  <c:v>44543</c:v>
                </c:pt>
                <c:pt idx="196">
                  <c:v>44544</c:v>
                </c:pt>
                <c:pt idx="197">
                  <c:v>44545</c:v>
                </c:pt>
                <c:pt idx="198">
                  <c:v>44546</c:v>
                </c:pt>
                <c:pt idx="199">
                  <c:v>44547</c:v>
                </c:pt>
                <c:pt idx="200">
                  <c:v>44550</c:v>
                </c:pt>
                <c:pt idx="201">
                  <c:v>44551</c:v>
                </c:pt>
                <c:pt idx="202">
                  <c:v>44552</c:v>
                </c:pt>
                <c:pt idx="203">
                  <c:v>44553</c:v>
                </c:pt>
                <c:pt idx="204">
                  <c:v>44554</c:v>
                </c:pt>
                <c:pt idx="205">
                  <c:v>44557</c:v>
                </c:pt>
                <c:pt idx="206">
                  <c:v>44558</c:v>
                </c:pt>
                <c:pt idx="207">
                  <c:v>44559</c:v>
                </c:pt>
                <c:pt idx="208">
                  <c:v>44560</c:v>
                </c:pt>
                <c:pt idx="209">
                  <c:v>44561</c:v>
                </c:pt>
                <c:pt idx="210">
                  <c:v>44565</c:v>
                </c:pt>
                <c:pt idx="211">
                  <c:v>44566</c:v>
                </c:pt>
                <c:pt idx="212">
                  <c:v>44567</c:v>
                </c:pt>
                <c:pt idx="213">
                  <c:v>44568</c:v>
                </c:pt>
                <c:pt idx="214">
                  <c:v>44571</c:v>
                </c:pt>
                <c:pt idx="215">
                  <c:v>44572</c:v>
                </c:pt>
                <c:pt idx="216">
                  <c:v>44573</c:v>
                </c:pt>
                <c:pt idx="217">
                  <c:v>44574</c:v>
                </c:pt>
                <c:pt idx="218">
                  <c:v>44575</c:v>
                </c:pt>
                <c:pt idx="219">
                  <c:v>44578</c:v>
                </c:pt>
                <c:pt idx="220">
                  <c:v>44579</c:v>
                </c:pt>
                <c:pt idx="221">
                  <c:v>44580</c:v>
                </c:pt>
                <c:pt idx="222">
                  <c:v>44581</c:v>
                </c:pt>
                <c:pt idx="223">
                  <c:v>44582</c:v>
                </c:pt>
                <c:pt idx="224">
                  <c:v>44585</c:v>
                </c:pt>
                <c:pt idx="225">
                  <c:v>44586</c:v>
                </c:pt>
                <c:pt idx="226">
                  <c:v>44587</c:v>
                </c:pt>
                <c:pt idx="227">
                  <c:v>44588</c:v>
                </c:pt>
                <c:pt idx="228">
                  <c:v>44589</c:v>
                </c:pt>
                <c:pt idx="229">
                  <c:v>44599</c:v>
                </c:pt>
                <c:pt idx="230">
                  <c:v>44600</c:v>
                </c:pt>
                <c:pt idx="231">
                  <c:v>44601</c:v>
                </c:pt>
                <c:pt idx="232">
                  <c:v>44602</c:v>
                </c:pt>
                <c:pt idx="233">
                  <c:v>44603</c:v>
                </c:pt>
                <c:pt idx="234">
                  <c:v>44606</c:v>
                </c:pt>
                <c:pt idx="235">
                  <c:v>44607</c:v>
                </c:pt>
                <c:pt idx="236">
                  <c:v>44608</c:v>
                </c:pt>
                <c:pt idx="237">
                  <c:v>44609</c:v>
                </c:pt>
                <c:pt idx="238">
                  <c:v>44610</c:v>
                </c:pt>
                <c:pt idx="239">
                  <c:v>44613</c:v>
                </c:pt>
                <c:pt idx="240">
                  <c:v>44614</c:v>
                </c:pt>
                <c:pt idx="241">
                  <c:v>44615</c:v>
                </c:pt>
                <c:pt idx="242">
                  <c:v>44616</c:v>
                </c:pt>
                <c:pt idx="243">
                  <c:v>44617</c:v>
                </c:pt>
                <c:pt idx="244">
                  <c:v>44620</c:v>
                </c:pt>
                <c:pt idx="245">
                  <c:v>44621</c:v>
                </c:pt>
                <c:pt idx="246">
                  <c:v>44622</c:v>
                </c:pt>
                <c:pt idx="247">
                  <c:v>44623</c:v>
                </c:pt>
                <c:pt idx="248">
                  <c:v>44624</c:v>
                </c:pt>
                <c:pt idx="249">
                  <c:v>44627</c:v>
                </c:pt>
                <c:pt idx="250">
                  <c:v>44628</c:v>
                </c:pt>
                <c:pt idx="251">
                  <c:v>44629</c:v>
                </c:pt>
                <c:pt idx="252">
                  <c:v>44630</c:v>
                </c:pt>
                <c:pt idx="253">
                  <c:v>44631</c:v>
                </c:pt>
                <c:pt idx="254">
                  <c:v>44634</c:v>
                </c:pt>
                <c:pt idx="255">
                  <c:v>44635</c:v>
                </c:pt>
                <c:pt idx="256">
                  <c:v>44636</c:v>
                </c:pt>
                <c:pt idx="257">
                  <c:v>44637</c:v>
                </c:pt>
                <c:pt idx="258">
                  <c:v>44638</c:v>
                </c:pt>
                <c:pt idx="259">
                  <c:v>44641</c:v>
                </c:pt>
                <c:pt idx="260">
                  <c:v>44642</c:v>
                </c:pt>
                <c:pt idx="261">
                  <c:v>44643</c:v>
                </c:pt>
                <c:pt idx="262">
                  <c:v>44644</c:v>
                </c:pt>
                <c:pt idx="263">
                  <c:v>44645</c:v>
                </c:pt>
                <c:pt idx="264">
                  <c:v>44648</c:v>
                </c:pt>
                <c:pt idx="265">
                  <c:v>44649</c:v>
                </c:pt>
                <c:pt idx="266">
                  <c:v>44650</c:v>
                </c:pt>
                <c:pt idx="267">
                  <c:v>44651</c:v>
                </c:pt>
                <c:pt idx="268">
                  <c:v>44652</c:v>
                </c:pt>
                <c:pt idx="269">
                  <c:v>44655</c:v>
                </c:pt>
                <c:pt idx="270">
                  <c:v>44656</c:v>
                </c:pt>
                <c:pt idx="271">
                  <c:v>44657</c:v>
                </c:pt>
                <c:pt idx="272">
                  <c:v>44658</c:v>
                </c:pt>
                <c:pt idx="273">
                  <c:v>44659</c:v>
                </c:pt>
                <c:pt idx="274">
                  <c:v>44663</c:v>
                </c:pt>
                <c:pt idx="275">
                  <c:v>44664</c:v>
                </c:pt>
                <c:pt idx="276">
                  <c:v>44665</c:v>
                </c:pt>
                <c:pt idx="277">
                  <c:v>44666</c:v>
                </c:pt>
                <c:pt idx="278">
                  <c:v>44669</c:v>
                </c:pt>
                <c:pt idx="279">
                  <c:v>44670</c:v>
                </c:pt>
                <c:pt idx="280">
                  <c:v>44671</c:v>
                </c:pt>
                <c:pt idx="281">
                  <c:v>44672</c:v>
                </c:pt>
                <c:pt idx="282">
                  <c:v>44673</c:v>
                </c:pt>
                <c:pt idx="283">
                  <c:v>44676</c:v>
                </c:pt>
                <c:pt idx="284">
                  <c:v>44677</c:v>
                </c:pt>
                <c:pt idx="285">
                  <c:v>44678</c:v>
                </c:pt>
                <c:pt idx="286">
                  <c:v>44679</c:v>
                </c:pt>
                <c:pt idx="287">
                  <c:v>44680</c:v>
                </c:pt>
                <c:pt idx="288">
                  <c:v>44685</c:v>
                </c:pt>
                <c:pt idx="289">
                  <c:v>44686</c:v>
                </c:pt>
                <c:pt idx="290">
                  <c:v>44687</c:v>
                </c:pt>
                <c:pt idx="291">
                  <c:v>44690</c:v>
                </c:pt>
                <c:pt idx="292">
                  <c:v>44691</c:v>
                </c:pt>
                <c:pt idx="293">
                  <c:v>44692</c:v>
                </c:pt>
                <c:pt idx="294">
                  <c:v>44693</c:v>
                </c:pt>
                <c:pt idx="295">
                  <c:v>44694</c:v>
                </c:pt>
                <c:pt idx="296">
                  <c:v>44697</c:v>
                </c:pt>
                <c:pt idx="297">
                  <c:v>44698</c:v>
                </c:pt>
                <c:pt idx="298">
                  <c:v>44699</c:v>
                </c:pt>
                <c:pt idx="299">
                  <c:v>44700</c:v>
                </c:pt>
                <c:pt idx="300">
                  <c:v>44701</c:v>
                </c:pt>
                <c:pt idx="301">
                  <c:v>44704</c:v>
                </c:pt>
                <c:pt idx="302">
                  <c:v>44705</c:v>
                </c:pt>
                <c:pt idx="303">
                  <c:v>44706</c:v>
                </c:pt>
                <c:pt idx="304">
                  <c:v>44707</c:v>
                </c:pt>
                <c:pt idx="305">
                  <c:v>44708</c:v>
                </c:pt>
                <c:pt idx="306">
                  <c:v>44711</c:v>
                </c:pt>
                <c:pt idx="307">
                  <c:v>44712</c:v>
                </c:pt>
                <c:pt idx="308">
                  <c:v>44713</c:v>
                </c:pt>
                <c:pt idx="309">
                  <c:v>44714</c:v>
                </c:pt>
                <c:pt idx="310">
                  <c:v>44715</c:v>
                </c:pt>
                <c:pt idx="311">
                  <c:v>44718</c:v>
                </c:pt>
                <c:pt idx="312">
                  <c:v>44719</c:v>
                </c:pt>
                <c:pt idx="313">
                  <c:v>44720</c:v>
                </c:pt>
                <c:pt idx="314">
                  <c:v>44721</c:v>
                </c:pt>
                <c:pt idx="315">
                  <c:v>44722</c:v>
                </c:pt>
                <c:pt idx="316">
                  <c:v>44725</c:v>
                </c:pt>
                <c:pt idx="317">
                  <c:v>44726</c:v>
                </c:pt>
                <c:pt idx="318">
                  <c:v>44727</c:v>
                </c:pt>
                <c:pt idx="319">
                  <c:v>44728</c:v>
                </c:pt>
                <c:pt idx="320">
                  <c:v>44729</c:v>
                </c:pt>
                <c:pt idx="321">
                  <c:v>44732</c:v>
                </c:pt>
                <c:pt idx="322">
                  <c:v>44733</c:v>
                </c:pt>
                <c:pt idx="323">
                  <c:v>44734</c:v>
                </c:pt>
                <c:pt idx="324">
                  <c:v>44735</c:v>
                </c:pt>
                <c:pt idx="325">
                  <c:v>44736</c:v>
                </c:pt>
                <c:pt idx="326">
                  <c:v>44739</c:v>
                </c:pt>
                <c:pt idx="327">
                  <c:v>44740</c:v>
                </c:pt>
                <c:pt idx="328">
                  <c:v>44741</c:v>
                </c:pt>
                <c:pt idx="329">
                  <c:v>44742</c:v>
                </c:pt>
                <c:pt idx="330">
                  <c:v>44743</c:v>
                </c:pt>
                <c:pt idx="331">
                  <c:v>44746</c:v>
                </c:pt>
                <c:pt idx="332">
                  <c:v>44747</c:v>
                </c:pt>
                <c:pt idx="333">
                  <c:v>44748</c:v>
                </c:pt>
                <c:pt idx="334">
                  <c:v>44749</c:v>
                </c:pt>
                <c:pt idx="335">
                  <c:v>44750</c:v>
                </c:pt>
                <c:pt idx="336">
                  <c:v>44753</c:v>
                </c:pt>
                <c:pt idx="337">
                  <c:v>44754</c:v>
                </c:pt>
                <c:pt idx="338">
                  <c:v>44755</c:v>
                </c:pt>
                <c:pt idx="339">
                  <c:v>44756</c:v>
                </c:pt>
                <c:pt idx="340">
                  <c:v>44757</c:v>
                </c:pt>
                <c:pt idx="341">
                  <c:v>44760</c:v>
                </c:pt>
                <c:pt idx="342">
                  <c:v>44761</c:v>
                </c:pt>
                <c:pt idx="343">
                  <c:v>44762</c:v>
                </c:pt>
                <c:pt idx="344">
                  <c:v>44763</c:v>
                </c:pt>
                <c:pt idx="345">
                  <c:v>44764</c:v>
                </c:pt>
                <c:pt idx="346">
                  <c:v>44767</c:v>
                </c:pt>
                <c:pt idx="347">
                  <c:v>44768</c:v>
                </c:pt>
                <c:pt idx="348">
                  <c:v>44769</c:v>
                </c:pt>
                <c:pt idx="349">
                  <c:v>44770</c:v>
                </c:pt>
                <c:pt idx="350">
                  <c:v>44771</c:v>
                </c:pt>
                <c:pt idx="351">
                  <c:v>44774</c:v>
                </c:pt>
                <c:pt idx="352">
                  <c:v>44775</c:v>
                </c:pt>
                <c:pt idx="353">
                  <c:v>44776</c:v>
                </c:pt>
                <c:pt idx="354">
                  <c:v>44777</c:v>
                </c:pt>
                <c:pt idx="355">
                  <c:v>44778</c:v>
                </c:pt>
                <c:pt idx="356">
                  <c:v>44781</c:v>
                </c:pt>
                <c:pt idx="357">
                  <c:v>44782</c:v>
                </c:pt>
                <c:pt idx="358">
                  <c:v>44783</c:v>
                </c:pt>
                <c:pt idx="359">
                  <c:v>44784</c:v>
                </c:pt>
                <c:pt idx="360">
                  <c:v>44785</c:v>
                </c:pt>
                <c:pt idx="361">
                  <c:v>44788</c:v>
                </c:pt>
                <c:pt idx="362">
                  <c:v>44789</c:v>
                </c:pt>
                <c:pt idx="363">
                  <c:v>44790</c:v>
                </c:pt>
                <c:pt idx="364">
                  <c:v>44791</c:v>
                </c:pt>
                <c:pt idx="365">
                  <c:v>44792</c:v>
                </c:pt>
                <c:pt idx="366">
                  <c:v>44795</c:v>
                </c:pt>
                <c:pt idx="367">
                  <c:v>44796</c:v>
                </c:pt>
                <c:pt idx="368">
                  <c:v>44797</c:v>
                </c:pt>
                <c:pt idx="369">
                  <c:v>44798</c:v>
                </c:pt>
                <c:pt idx="370">
                  <c:v>44799</c:v>
                </c:pt>
                <c:pt idx="371">
                  <c:v>44802</c:v>
                </c:pt>
                <c:pt idx="372">
                  <c:v>44803</c:v>
                </c:pt>
                <c:pt idx="373">
                  <c:v>44804</c:v>
                </c:pt>
                <c:pt idx="374">
                  <c:v>44809</c:v>
                </c:pt>
                <c:pt idx="375">
                  <c:v>44810</c:v>
                </c:pt>
                <c:pt idx="376">
                  <c:v>44811</c:v>
                </c:pt>
                <c:pt idx="377">
                  <c:v>44812</c:v>
                </c:pt>
                <c:pt idx="378">
                  <c:v>44813</c:v>
                </c:pt>
                <c:pt idx="379">
                  <c:v>44816</c:v>
                </c:pt>
                <c:pt idx="380">
                  <c:v>44817</c:v>
                </c:pt>
                <c:pt idx="381">
                  <c:v>44818</c:v>
                </c:pt>
                <c:pt idx="382">
                  <c:v>44819</c:v>
                </c:pt>
                <c:pt idx="383">
                  <c:v>44820</c:v>
                </c:pt>
                <c:pt idx="384">
                  <c:v>44823</c:v>
                </c:pt>
                <c:pt idx="385">
                  <c:v>44824</c:v>
                </c:pt>
                <c:pt idx="386">
                  <c:v>44825</c:v>
                </c:pt>
                <c:pt idx="387">
                  <c:v>44826</c:v>
                </c:pt>
                <c:pt idx="388">
                  <c:v>44827</c:v>
                </c:pt>
                <c:pt idx="389">
                  <c:v>44830</c:v>
                </c:pt>
                <c:pt idx="390">
                  <c:v>44831</c:v>
                </c:pt>
                <c:pt idx="391">
                  <c:v>44832</c:v>
                </c:pt>
                <c:pt idx="392">
                  <c:v>44833</c:v>
                </c:pt>
                <c:pt idx="393">
                  <c:v>44834</c:v>
                </c:pt>
                <c:pt idx="394">
                  <c:v>44837</c:v>
                </c:pt>
                <c:pt idx="395">
                  <c:v>44838</c:v>
                </c:pt>
                <c:pt idx="396">
                  <c:v>44839</c:v>
                </c:pt>
                <c:pt idx="397">
                  <c:v>44840</c:v>
                </c:pt>
                <c:pt idx="398">
                  <c:v>44841</c:v>
                </c:pt>
                <c:pt idx="399">
                  <c:v>44844</c:v>
                </c:pt>
                <c:pt idx="400">
                  <c:v>44845</c:v>
                </c:pt>
                <c:pt idx="401">
                  <c:v>44846</c:v>
                </c:pt>
                <c:pt idx="402">
                  <c:v>44847</c:v>
                </c:pt>
                <c:pt idx="403">
                  <c:v>44848</c:v>
                </c:pt>
                <c:pt idx="404">
                  <c:v>44851</c:v>
                </c:pt>
                <c:pt idx="405">
                  <c:v>44852</c:v>
                </c:pt>
                <c:pt idx="406">
                  <c:v>44853</c:v>
                </c:pt>
                <c:pt idx="407">
                  <c:v>44854</c:v>
                </c:pt>
                <c:pt idx="408">
                  <c:v>44855</c:v>
                </c:pt>
                <c:pt idx="409">
                  <c:v>44858</c:v>
                </c:pt>
                <c:pt idx="410">
                  <c:v>44859</c:v>
                </c:pt>
                <c:pt idx="411">
                  <c:v>44860</c:v>
                </c:pt>
                <c:pt idx="412">
                  <c:v>44861</c:v>
                </c:pt>
                <c:pt idx="413">
                  <c:v>44862</c:v>
                </c:pt>
                <c:pt idx="414">
                  <c:v>44865</c:v>
                </c:pt>
                <c:pt idx="415">
                  <c:v>44866</c:v>
                </c:pt>
                <c:pt idx="416">
                  <c:v>44867</c:v>
                </c:pt>
                <c:pt idx="417">
                  <c:v>44868</c:v>
                </c:pt>
                <c:pt idx="418">
                  <c:v>44869</c:v>
                </c:pt>
                <c:pt idx="419">
                  <c:v>44872</c:v>
                </c:pt>
                <c:pt idx="420">
                  <c:v>44873</c:v>
                </c:pt>
                <c:pt idx="421">
                  <c:v>44874</c:v>
                </c:pt>
                <c:pt idx="422">
                  <c:v>44875</c:v>
                </c:pt>
                <c:pt idx="423">
                  <c:v>44876</c:v>
                </c:pt>
                <c:pt idx="424">
                  <c:v>44879</c:v>
                </c:pt>
                <c:pt idx="425">
                  <c:v>44880</c:v>
                </c:pt>
                <c:pt idx="426">
                  <c:v>44881</c:v>
                </c:pt>
                <c:pt idx="427">
                  <c:v>44882</c:v>
                </c:pt>
                <c:pt idx="428">
                  <c:v>44883</c:v>
                </c:pt>
                <c:pt idx="429">
                  <c:v>44886</c:v>
                </c:pt>
                <c:pt idx="430">
                  <c:v>44887</c:v>
                </c:pt>
                <c:pt idx="431">
                  <c:v>44888</c:v>
                </c:pt>
                <c:pt idx="432">
                  <c:v>44889</c:v>
                </c:pt>
                <c:pt idx="433">
                  <c:v>44890</c:v>
                </c:pt>
                <c:pt idx="434">
                  <c:v>44893</c:v>
                </c:pt>
                <c:pt idx="435">
                  <c:v>44894</c:v>
                </c:pt>
                <c:pt idx="436">
                  <c:v>44895</c:v>
                </c:pt>
                <c:pt idx="437">
                  <c:v>44896</c:v>
                </c:pt>
                <c:pt idx="438">
                  <c:v>44897</c:v>
                </c:pt>
                <c:pt idx="439">
                  <c:v>44900</c:v>
                </c:pt>
                <c:pt idx="440">
                  <c:v>44901</c:v>
                </c:pt>
                <c:pt idx="441">
                  <c:v>44902</c:v>
                </c:pt>
                <c:pt idx="442">
                  <c:v>44903</c:v>
                </c:pt>
                <c:pt idx="443">
                  <c:v>44904</c:v>
                </c:pt>
                <c:pt idx="444">
                  <c:v>44907</c:v>
                </c:pt>
                <c:pt idx="445">
                  <c:v>44908</c:v>
                </c:pt>
                <c:pt idx="446">
                  <c:v>44909</c:v>
                </c:pt>
                <c:pt idx="447">
                  <c:v>44910</c:v>
                </c:pt>
                <c:pt idx="448">
                  <c:v>44911</c:v>
                </c:pt>
                <c:pt idx="449">
                  <c:v>44914</c:v>
                </c:pt>
                <c:pt idx="450">
                  <c:v>44915</c:v>
                </c:pt>
                <c:pt idx="451">
                  <c:v>44916</c:v>
                </c:pt>
                <c:pt idx="452">
                  <c:v>44917</c:v>
                </c:pt>
                <c:pt idx="453">
                  <c:v>44918</c:v>
                </c:pt>
                <c:pt idx="454">
                  <c:v>44921</c:v>
                </c:pt>
                <c:pt idx="455">
                  <c:v>44922</c:v>
                </c:pt>
                <c:pt idx="456">
                  <c:v>44923</c:v>
                </c:pt>
                <c:pt idx="457">
                  <c:v>44924</c:v>
                </c:pt>
                <c:pt idx="458">
                  <c:v>44925</c:v>
                </c:pt>
                <c:pt idx="459">
                  <c:v>44929</c:v>
                </c:pt>
                <c:pt idx="460">
                  <c:v>44930</c:v>
                </c:pt>
                <c:pt idx="461">
                  <c:v>44931</c:v>
                </c:pt>
                <c:pt idx="462">
                  <c:v>44932</c:v>
                </c:pt>
                <c:pt idx="463">
                  <c:v>44935</c:v>
                </c:pt>
                <c:pt idx="464">
                  <c:v>44936</c:v>
                </c:pt>
                <c:pt idx="465">
                  <c:v>44937</c:v>
                </c:pt>
                <c:pt idx="466">
                  <c:v>44938</c:v>
                </c:pt>
                <c:pt idx="467">
                  <c:v>44939</c:v>
                </c:pt>
                <c:pt idx="468">
                  <c:v>44942</c:v>
                </c:pt>
                <c:pt idx="469">
                  <c:v>44943</c:v>
                </c:pt>
                <c:pt idx="470">
                  <c:v>44944</c:v>
                </c:pt>
                <c:pt idx="471">
                  <c:v>44945</c:v>
                </c:pt>
                <c:pt idx="472">
                  <c:v>44953</c:v>
                </c:pt>
                <c:pt idx="473">
                  <c:v>44956</c:v>
                </c:pt>
                <c:pt idx="474">
                  <c:v>44957</c:v>
                </c:pt>
                <c:pt idx="475">
                  <c:v>44958</c:v>
                </c:pt>
                <c:pt idx="476">
                  <c:v>44959</c:v>
                </c:pt>
                <c:pt idx="477">
                  <c:v>44960</c:v>
                </c:pt>
                <c:pt idx="478">
                  <c:v>44963</c:v>
                </c:pt>
                <c:pt idx="479">
                  <c:v>44964</c:v>
                </c:pt>
                <c:pt idx="480">
                  <c:v>44965</c:v>
                </c:pt>
                <c:pt idx="481">
                  <c:v>44966</c:v>
                </c:pt>
                <c:pt idx="482">
                  <c:v>44967</c:v>
                </c:pt>
                <c:pt idx="483">
                  <c:v>44970</c:v>
                </c:pt>
                <c:pt idx="484">
                  <c:v>44971</c:v>
                </c:pt>
                <c:pt idx="485">
                  <c:v>44972</c:v>
                </c:pt>
                <c:pt idx="486">
                  <c:v>44973</c:v>
                </c:pt>
                <c:pt idx="487">
                  <c:v>44974</c:v>
                </c:pt>
                <c:pt idx="488">
                  <c:v>44977</c:v>
                </c:pt>
                <c:pt idx="489">
                  <c:v>44978</c:v>
                </c:pt>
                <c:pt idx="490">
                  <c:v>44979</c:v>
                </c:pt>
                <c:pt idx="491">
                  <c:v>44980</c:v>
                </c:pt>
                <c:pt idx="492">
                  <c:v>44981</c:v>
                </c:pt>
                <c:pt idx="493">
                  <c:v>44984</c:v>
                </c:pt>
                <c:pt idx="494">
                  <c:v>44985</c:v>
                </c:pt>
                <c:pt idx="495">
                  <c:v>44986</c:v>
                </c:pt>
                <c:pt idx="496">
                  <c:v>44987</c:v>
                </c:pt>
                <c:pt idx="497">
                  <c:v>44988</c:v>
                </c:pt>
                <c:pt idx="498">
                  <c:v>44991</c:v>
                </c:pt>
                <c:pt idx="499">
                  <c:v>44992</c:v>
                </c:pt>
                <c:pt idx="500">
                  <c:v>44993</c:v>
                </c:pt>
                <c:pt idx="501">
                  <c:v>44994</c:v>
                </c:pt>
                <c:pt idx="502">
                  <c:v>44995</c:v>
                </c:pt>
                <c:pt idx="503">
                  <c:v>44998</c:v>
                </c:pt>
                <c:pt idx="504">
                  <c:v>44999</c:v>
                </c:pt>
                <c:pt idx="505">
                  <c:v>45000</c:v>
                </c:pt>
                <c:pt idx="506">
                  <c:v>45001</c:v>
                </c:pt>
                <c:pt idx="507">
                  <c:v>45002</c:v>
                </c:pt>
                <c:pt idx="508">
                  <c:v>45005</c:v>
                </c:pt>
                <c:pt idx="509">
                  <c:v>45006</c:v>
                </c:pt>
                <c:pt idx="510">
                  <c:v>45007</c:v>
                </c:pt>
                <c:pt idx="511">
                  <c:v>45008</c:v>
                </c:pt>
                <c:pt idx="512">
                  <c:v>45009</c:v>
                </c:pt>
                <c:pt idx="513">
                  <c:v>45012</c:v>
                </c:pt>
                <c:pt idx="514">
                  <c:v>45013</c:v>
                </c:pt>
                <c:pt idx="515">
                  <c:v>45014</c:v>
                </c:pt>
                <c:pt idx="516">
                  <c:v>45015</c:v>
                </c:pt>
                <c:pt idx="517">
                  <c:v>45016</c:v>
                </c:pt>
                <c:pt idx="518">
                  <c:v>45019</c:v>
                </c:pt>
                <c:pt idx="519">
                  <c:v>45020</c:v>
                </c:pt>
                <c:pt idx="520">
                  <c:v>45021</c:v>
                </c:pt>
                <c:pt idx="521">
                  <c:v>45022</c:v>
                </c:pt>
                <c:pt idx="522">
                  <c:v>45023</c:v>
                </c:pt>
                <c:pt idx="523">
                  <c:v>45026</c:v>
                </c:pt>
                <c:pt idx="524">
                  <c:v>45027</c:v>
                </c:pt>
                <c:pt idx="525">
                  <c:v>45028</c:v>
                </c:pt>
                <c:pt idx="526">
                  <c:v>45029</c:v>
                </c:pt>
                <c:pt idx="527">
                  <c:v>45030</c:v>
                </c:pt>
                <c:pt idx="528">
                  <c:v>45033</c:v>
                </c:pt>
                <c:pt idx="529">
                  <c:v>45034</c:v>
                </c:pt>
                <c:pt idx="530">
                  <c:v>45035</c:v>
                </c:pt>
                <c:pt idx="531">
                  <c:v>45036</c:v>
                </c:pt>
                <c:pt idx="532">
                  <c:v>45037</c:v>
                </c:pt>
                <c:pt idx="533">
                  <c:v>45040</c:v>
                </c:pt>
                <c:pt idx="534">
                  <c:v>45041</c:v>
                </c:pt>
                <c:pt idx="535">
                  <c:v>45042</c:v>
                </c:pt>
                <c:pt idx="536">
                  <c:v>45043</c:v>
                </c:pt>
                <c:pt idx="537">
                  <c:v>45044</c:v>
                </c:pt>
                <c:pt idx="538">
                  <c:v>45050</c:v>
                </c:pt>
                <c:pt idx="539">
                  <c:v>45051</c:v>
                </c:pt>
                <c:pt idx="540">
                  <c:v>45054</c:v>
                </c:pt>
                <c:pt idx="541">
                  <c:v>45055</c:v>
                </c:pt>
                <c:pt idx="542">
                  <c:v>45056</c:v>
                </c:pt>
                <c:pt idx="543">
                  <c:v>45057</c:v>
                </c:pt>
                <c:pt idx="544">
                  <c:v>45058</c:v>
                </c:pt>
                <c:pt idx="545">
                  <c:v>45061</c:v>
                </c:pt>
                <c:pt idx="546">
                  <c:v>45062</c:v>
                </c:pt>
                <c:pt idx="547">
                  <c:v>45063</c:v>
                </c:pt>
                <c:pt idx="548">
                  <c:v>45064</c:v>
                </c:pt>
                <c:pt idx="549">
                  <c:v>45065</c:v>
                </c:pt>
                <c:pt idx="550">
                  <c:v>45068</c:v>
                </c:pt>
                <c:pt idx="551">
                  <c:v>45069</c:v>
                </c:pt>
                <c:pt idx="552">
                  <c:v>45070</c:v>
                </c:pt>
                <c:pt idx="553">
                  <c:v>45071</c:v>
                </c:pt>
                <c:pt idx="554">
                  <c:v>45072</c:v>
                </c:pt>
                <c:pt idx="555">
                  <c:v>45075</c:v>
                </c:pt>
                <c:pt idx="556">
                  <c:v>45076</c:v>
                </c:pt>
                <c:pt idx="557">
                  <c:v>45077</c:v>
                </c:pt>
                <c:pt idx="558">
                  <c:v>45078</c:v>
                </c:pt>
                <c:pt idx="559">
                  <c:v>45079</c:v>
                </c:pt>
                <c:pt idx="560">
                  <c:v>45082</c:v>
                </c:pt>
                <c:pt idx="561">
                  <c:v>45083</c:v>
                </c:pt>
                <c:pt idx="562">
                  <c:v>45084</c:v>
                </c:pt>
                <c:pt idx="563">
                  <c:v>45085</c:v>
                </c:pt>
                <c:pt idx="564">
                  <c:v>45086</c:v>
                </c:pt>
                <c:pt idx="565">
                  <c:v>45089</c:v>
                </c:pt>
                <c:pt idx="566">
                  <c:v>45090</c:v>
                </c:pt>
                <c:pt idx="567">
                  <c:v>45091</c:v>
                </c:pt>
                <c:pt idx="568">
                  <c:v>45092</c:v>
                </c:pt>
                <c:pt idx="569">
                  <c:v>45093</c:v>
                </c:pt>
                <c:pt idx="570">
                  <c:v>45096</c:v>
                </c:pt>
                <c:pt idx="571">
                  <c:v>45097</c:v>
                </c:pt>
                <c:pt idx="572">
                  <c:v>45098</c:v>
                </c:pt>
                <c:pt idx="573">
                  <c:v>45099</c:v>
                </c:pt>
                <c:pt idx="574">
                  <c:v>45100</c:v>
                </c:pt>
                <c:pt idx="575">
                  <c:v>45103</c:v>
                </c:pt>
                <c:pt idx="576">
                  <c:v>45104</c:v>
                </c:pt>
                <c:pt idx="577">
                  <c:v>45105</c:v>
                </c:pt>
                <c:pt idx="578">
                  <c:v>45106</c:v>
                </c:pt>
                <c:pt idx="579">
                  <c:v>45107</c:v>
                </c:pt>
                <c:pt idx="580">
                  <c:v>45110</c:v>
                </c:pt>
                <c:pt idx="581">
                  <c:v>45111</c:v>
                </c:pt>
                <c:pt idx="582">
                  <c:v>45112</c:v>
                </c:pt>
                <c:pt idx="583">
                  <c:v>45113</c:v>
                </c:pt>
                <c:pt idx="584">
                  <c:v>45114</c:v>
                </c:pt>
                <c:pt idx="585">
                  <c:v>45117</c:v>
                </c:pt>
                <c:pt idx="586">
                  <c:v>45118</c:v>
                </c:pt>
                <c:pt idx="587">
                  <c:v>45119</c:v>
                </c:pt>
                <c:pt idx="588">
                  <c:v>45120</c:v>
                </c:pt>
                <c:pt idx="589">
                  <c:v>45121</c:v>
                </c:pt>
                <c:pt idx="590">
                  <c:v>45124</c:v>
                </c:pt>
                <c:pt idx="591">
                  <c:v>45125</c:v>
                </c:pt>
                <c:pt idx="592">
                  <c:v>45126</c:v>
                </c:pt>
                <c:pt idx="593">
                  <c:v>45127</c:v>
                </c:pt>
                <c:pt idx="594">
                  <c:v>45128</c:v>
                </c:pt>
                <c:pt idx="595">
                  <c:v>45131</c:v>
                </c:pt>
                <c:pt idx="596">
                  <c:v>45132</c:v>
                </c:pt>
                <c:pt idx="597">
                  <c:v>45133</c:v>
                </c:pt>
                <c:pt idx="598">
                  <c:v>45134</c:v>
                </c:pt>
                <c:pt idx="599">
                  <c:v>45135</c:v>
                </c:pt>
                <c:pt idx="600">
                  <c:v>45138</c:v>
                </c:pt>
                <c:pt idx="601">
                  <c:v>45139</c:v>
                </c:pt>
                <c:pt idx="602">
                  <c:v>45140</c:v>
                </c:pt>
                <c:pt idx="603">
                  <c:v>45141</c:v>
                </c:pt>
                <c:pt idx="604">
                  <c:v>45142</c:v>
                </c:pt>
                <c:pt idx="605">
                  <c:v>45145</c:v>
                </c:pt>
                <c:pt idx="606">
                  <c:v>45146</c:v>
                </c:pt>
                <c:pt idx="607">
                  <c:v>45147</c:v>
                </c:pt>
                <c:pt idx="608">
                  <c:v>45148</c:v>
                </c:pt>
                <c:pt idx="609">
                  <c:v>45149</c:v>
                </c:pt>
                <c:pt idx="610">
                  <c:v>45152</c:v>
                </c:pt>
                <c:pt idx="611">
                  <c:v>45153</c:v>
                </c:pt>
                <c:pt idx="612">
                  <c:v>45154</c:v>
                </c:pt>
                <c:pt idx="613">
                  <c:v>45155</c:v>
                </c:pt>
                <c:pt idx="614">
                  <c:v>45156</c:v>
                </c:pt>
                <c:pt idx="615">
                  <c:v>45159</c:v>
                </c:pt>
                <c:pt idx="616">
                  <c:v>45160</c:v>
                </c:pt>
                <c:pt idx="617">
                  <c:v>45161</c:v>
                </c:pt>
                <c:pt idx="618">
                  <c:v>45162</c:v>
                </c:pt>
                <c:pt idx="619">
                  <c:v>45163</c:v>
                </c:pt>
                <c:pt idx="620">
                  <c:v>45166</c:v>
                </c:pt>
                <c:pt idx="621">
                  <c:v>45167</c:v>
                </c:pt>
                <c:pt idx="622">
                  <c:v>45168</c:v>
                </c:pt>
                <c:pt idx="623">
                  <c:v>45169</c:v>
                </c:pt>
                <c:pt idx="624">
                  <c:v>45174</c:v>
                </c:pt>
                <c:pt idx="625">
                  <c:v>45175</c:v>
                </c:pt>
                <c:pt idx="626">
                  <c:v>45176</c:v>
                </c:pt>
                <c:pt idx="627">
                  <c:v>45177</c:v>
                </c:pt>
                <c:pt idx="628">
                  <c:v>45180</c:v>
                </c:pt>
                <c:pt idx="629">
                  <c:v>45181</c:v>
                </c:pt>
                <c:pt idx="630">
                  <c:v>45182</c:v>
                </c:pt>
                <c:pt idx="631">
                  <c:v>45183</c:v>
                </c:pt>
                <c:pt idx="632">
                  <c:v>45184</c:v>
                </c:pt>
                <c:pt idx="633">
                  <c:v>45187</c:v>
                </c:pt>
                <c:pt idx="634">
                  <c:v>45188</c:v>
                </c:pt>
                <c:pt idx="635">
                  <c:v>45189</c:v>
                </c:pt>
                <c:pt idx="636">
                  <c:v>45190</c:v>
                </c:pt>
                <c:pt idx="637">
                  <c:v>45191</c:v>
                </c:pt>
                <c:pt idx="638">
                  <c:v>45194</c:v>
                </c:pt>
                <c:pt idx="639">
                  <c:v>45195</c:v>
                </c:pt>
                <c:pt idx="640">
                  <c:v>45196</c:v>
                </c:pt>
                <c:pt idx="641">
                  <c:v>45197</c:v>
                </c:pt>
                <c:pt idx="642">
                  <c:v>45198</c:v>
                </c:pt>
                <c:pt idx="643">
                  <c:v>45201</c:v>
                </c:pt>
                <c:pt idx="644">
                  <c:v>45202</c:v>
                </c:pt>
                <c:pt idx="645">
                  <c:v>45203</c:v>
                </c:pt>
                <c:pt idx="646">
                  <c:v>45204</c:v>
                </c:pt>
                <c:pt idx="647">
                  <c:v>45205</c:v>
                </c:pt>
                <c:pt idx="648">
                  <c:v>45208</c:v>
                </c:pt>
                <c:pt idx="649">
                  <c:v>45209</c:v>
                </c:pt>
                <c:pt idx="650">
                  <c:v>45210</c:v>
                </c:pt>
                <c:pt idx="651">
                  <c:v>45211</c:v>
                </c:pt>
                <c:pt idx="652">
                  <c:v>45212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45222</c:v>
                </c:pt>
                <c:pt idx="659">
                  <c:v>45223</c:v>
                </c:pt>
                <c:pt idx="660">
                  <c:v>45224</c:v>
                </c:pt>
                <c:pt idx="661">
                  <c:v>45225</c:v>
                </c:pt>
                <c:pt idx="662">
                  <c:v>45226</c:v>
                </c:pt>
                <c:pt idx="663">
                  <c:v>45229</c:v>
                </c:pt>
                <c:pt idx="664">
                  <c:v>45230</c:v>
                </c:pt>
                <c:pt idx="665">
                  <c:v>45231</c:v>
                </c:pt>
                <c:pt idx="666">
                  <c:v>45232</c:v>
                </c:pt>
                <c:pt idx="667">
                  <c:v>45233</c:v>
                </c:pt>
                <c:pt idx="668">
                  <c:v>45236</c:v>
                </c:pt>
                <c:pt idx="669">
                  <c:v>45237</c:v>
                </c:pt>
                <c:pt idx="670">
                  <c:v>45238</c:v>
                </c:pt>
                <c:pt idx="671">
                  <c:v>45239</c:v>
                </c:pt>
                <c:pt idx="672">
                  <c:v>45240</c:v>
                </c:pt>
                <c:pt idx="673">
                  <c:v>45243</c:v>
                </c:pt>
                <c:pt idx="674">
                  <c:v>45244</c:v>
                </c:pt>
                <c:pt idx="675">
                  <c:v>45245</c:v>
                </c:pt>
                <c:pt idx="676">
                  <c:v>45246</c:v>
                </c:pt>
                <c:pt idx="677">
                  <c:v>45247</c:v>
                </c:pt>
                <c:pt idx="678">
                  <c:v>45250</c:v>
                </c:pt>
                <c:pt idx="679">
                  <c:v>45251</c:v>
                </c:pt>
                <c:pt idx="680">
                  <c:v>45252</c:v>
                </c:pt>
                <c:pt idx="681">
                  <c:v>45253</c:v>
                </c:pt>
                <c:pt idx="682">
                  <c:v>45254</c:v>
                </c:pt>
                <c:pt idx="683">
                  <c:v>45257</c:v>
                </c:pt>
                <c:pt idx="684">
                  <c:v>45258</c:v>
                </c:pt>
                <c:pt idx="685">
                  <c:v>45259</c:v>
                </c:pt>
                <c:pt idx="686">
                  <c:v>45260</c:v>
                </c:pt>
                <c:pt idx="687">
                  <c:v>45261</c:v>
                </c:pt>
                <c:pt idx="688">
                  <c:v>45264</c:v>
                </c:pt>
                <c:pt idx="689">
                  <c:v>45265</c:v>
                </c:pt>
                <c:pt idx="690">
                  <c:v>45266</c:v>
                </c:pt>
                <c:pt idx="691">
                  <c:v>45267</c:v>
                </c:pt>
                <c:pt idx="692">
                  <c:v>45268</c:v>
                </c:pt>
                <c:pt idx="693">
                  <c:v>45271</c:v>
                </c:pt>
                <c:pt idx="694">
                  <c:v>45272</c:v>
                </c:pt>
                <c:pt idx="695">
                  <c:v>45273</c:v>
                </c:pt>
                <c:pt idx="696">
                  <c:v>45274</c:v>
                </c:pt>
                <c:pt idx="697">
                  <c:v>45275</c:v>
                </c:pt>
                <c:pt idx="698">
                  <c:v>45278</c:v>
                </c:pt>
                <c:pt idx="699">
                  <c:v>45279</c:v>
                </c:pt>
                <c:pt idx="700">
                  <c:v>45280</c:v>
                </c:pt>
                <c:pt idx="701">
                  <c:v>45281</c:v>
                </c:pt>
                <c:pt idx="702">
                  <c:v>45282</c:v>
                </c:pt>
                <c:pt idx="703">
                  <c:v>45285</c:v>
                </c:pt>
                <c:pt idx="704">
                  <c:v>45286</c:v>
                </c:pt>
                <c:pt idx="705">
                  <c:v>45287</c:v>
                </c:pt>
                <c:pt idx="706">
                  <c:v>45288</c:v>
                </c:pt>
                <c:pt idx="707">
                  <c:v>45289</c:v>
                </c:pt>
                <c:pt idx="708">
                  <c:v>45293</c:v>
                </c:pt>
                <c:pt idx="709">
                  <c:v>45294</c:v>
                </c:pt>
                <c:pt idx="710">
                  <c:v>45295</c:v>
                </c:pt>
                <c:pt idx="711">
                  <c:v>45296</c:v>
                </c:pt>
                <c:pt idx="712">
                  <c:v>45299</c:v>
                </c:pt>
                <c:pt idx="713">
                  <c:v>45300</c:v>
                </c:pt>
                <c:pt idx="714">
                  <c:v>45301</c:v>
                </c:pt>
                <c:pt idx="715">
                  <c:v>45302</c:v>
                </c:pt>
                <c:pt idx="716">
                  <c:v>45303</c:v>
                </c:pt>
                <c:pt idx="717">
                  <c:v>45306</c:v>
                </c:pt>
                <c:pt idx="718">
                  <c:v>45307</c:v>
                </c:pt>
                <c:pt idx="719">
                  <c:v>45308</c:v>
                </c:pt>
                <c:pt idx="720">
                  <c:v>45309</c:v>
                </c:pt>
                <c:pt idx="721">
                  <c:v>45310</c:v>
                </c:pt>
                <c:pt idx="722">
                  <c:v>45313</c:v>
                </c:pt>
                <c:pt idx="723">
                  <c:v>45314</c:v>
                </c:pt>
                <c:pt idx="724">
                  <c:v>45315</c:v>
                </c:pt>
                <c:pt idx="725">
                  <c:v>45316</c:v>
                </c:pt>
                <c:pt idx="726">
                  <c:v>45317</c:v>
                </c:pt>
                <c:pt idx="727">
                  <c:v>45320</c:v>
                </c:pt>
                <c:pt idx="728">
                  <c:v>45321</c:v>
                </c:pt>
                <c:pt idx="729">
                  <c:v>45322</c:v>
                </c:pt>
                <c:pt idx="730">
                  <c:v>45323</c:v>
                </c:pt>
                <c:pt idx="731">
                  <c:v>45324</c:v>
                </c:pt>
                <c:pt idx="732">
                  <c:v>45327</c:v>
                </c:pt>
                <c:pt idx="733">
                  <c:v>45328</c:v>
                </c:pt>
                <c:pt idx="734">
                  <c:v>45329</c:v>
                </c:pt>
                <c:pt idx="735">
                  <c:v>45337</c:v>
                </c:pt>
                <c:pt idx="736">
                  <c:v>45338</c:v>
                </c:pt>
                <c:pt idx="737">
                  <c:v>45341</c:v>
                </c:pt>
                <c:pt idx="738">
                  <c:v>45342</c:v>
                </c:pt>
                <c:pt idx="739">
                  <c:v>45343</c:v>
                </c:pt>
                <c:pt idx="740">
                  <c:v>45344</c:v>
                </c:pt>
                <c:pt idx="741">
                  <c:v>45345</c:v>
                </c:pt>
                <c:pt idx="742">
                  <c:v>45348</c:v>
                </c:pt>
                <c:pt idx="743">
                  <c:v>45349</c:v>
                </c:pt>
                <c:pt idx="744">
                  <c:v>45350</c:v>
                </c:pt>
                <c:pt idx="745">
                  <c:v>45351</c:v>
                </c:pt>
                <c:pt idx="746">
                  <c:v>45352</c:v>
                </c:pt>
                <c:pt idx="747">
                  <c:v>45355</c:v>
                </c:pt>
                <c:pt idx="748">
                  <c:v>45356</c:v>
                </c:pt>
                <c:pt idx="749">
                  <c:v>45357</c:v>
                </c:pt>
                <c:pt idx="750">
                  <c:v>45358</c:v>
                </c:pt>
                <c:pt idx="751">
                  <c:v>45359</c:v>
                </c:pt>
                <c:pt idx="752">
                  <c:v>45362</c:v>
                </c:pt>
                <c:pt idx="753">
                  <c:v>45363</c:v>
                </c:pt>
                <c:pt idx="754">
                  <c:v>45364</c:v>
                </c:pt>
                <c:pt idx="755">
                  <c:v>45365</c:v>
                </c:pt>
                <c:pt idx="756">
                  <c:v>45366</c:v>
                </c:pt>
                <c:pt idx="757">
                  <c:v>45369</c:v>
                </c:pt>
                <c:pt idx="758">
                  <c:v>45370</c:v>
                </c:pt>
                <c:pt idx="759">
                  <c:v>45371</c:v>
                </c:pt>
                <c:pt idx="760">
                  <c:v>45372</c:v>
                </c:pt>
                <c:pt idx="761">
                  <c:v>45373</c:v>
                </c:pt>
                <c:pt idx="762">
                  <c:v>45376</c:v>
                </c:pt>
                <c:pt idx="763">
                  <c:v>45377</c:v>
                </c:pt>
                <c:pt idx="764">
                  <c:v>45378</c:v>
                </c:pt>
                <c:pt idx="765">
                  <c:v>45379</c:v>
                </c:pt>
                <c:pt idx="766">
                  <c:v>45380</c:v>
                </c:pt>
                <c:pt idx="767">
                  <c:v>45383</c:v>
                </c:pt>
                <c:pt idx="768">
                  <c:v>45384</c:v>
                </c:pt>
                <c:pt idx="769">
                  <c:v>45385</c:v>
                </c:pt>
                <c:pt idx="770">
                  <c:v>45386</c:v>
                </c:pt>
                <c:pt idx="771">
                  <c:v>45387</c:v>
                </c:pt>
                <c:pt idx="772">
                  <c:v>45390</c:v>
                </c:pt>
                <c:pt idx="773">
                  <c:v>45391</c:v>
                </c:pt>
                <c:pt idx="774">
                  <c:v>45392</c:v>
                </c:pt>
                <c:pt idx="775">
                  <c:v>45393</c:v>
                </c:pt>
                <c:pt idx="776">
                  <c:v>45394</c:v>
                </c:pt>
                <c:pt idx="777">
                  <c:v>45397</c:v>
                </c:pt>
                <c:pt idx="778">
                  <c:v>45398</c:v>
                </c:pt>
                <c:pt idx="779">
                  <c:v>45399</c:v>
                </c:pt>
                <c:pt idx="780">
                  <c:v>45401</c:v>
                </c:pt>
                <c:pt idx="781">
                  <c:v>45404</c:v>
                </c:pt>
                <c:pt idx="782">
                  <c:v>45405</c:v>
                </c:pt>
                <c:pt idx="783">
                  <c:v>45406</c:v>
                </c:pt>
                <c:pt idx="784">
                  <c:v>45407</c:v>
                </c:pt>
                <c:pt idx="785">
                  <c:v>45408</c:v>
                </c:pt>
                <c:pt idx="786">
                  <c:v>45414</c:v>
                </c:pt>
                <c:pt idx="787">
                  <c:v>45415</c:v>
                </c:pt>
                <c:pt idx="788">
                  <c:v>45418</c:v>
                </c:pt>
                <c:pt idx="789">
                  <c:v>45419</c:v>
                </c:pt>
                <c:pt idx="790">
                  <c:v>45420</c:v>
                </c:pt>
                <c:pt idx="791">
                  <c:v>45421</c:v>
                </c:pt>
                <c:pt idx="792">
                  <c:v>45422</c:v>
                </c:pt>
                <c:pt idx="793">
                  <c:v>45425</c:v>
                </c:pt>
                <c:pt idx="794">
                  <c:v>45426</c:v>
                </c:pt>
                <c:pt idx="795">
                  <c:v>45427</c:v>
                </c:pt>
                <c:pt idx="796">
                  <c:v>45428</c:v>
                </c:pt>
                <c:pt idx="797">
                  <c:v>45429</c:v>
                </c:pt>
                <c:pt idx="798">
                  <c:v>45432</c:v>
                </c:pt>
                <c:pt idx="799">
                  <c:v>45433</c:v>
                </c:pt>
                <c:pt idx="800">
                  <c:v>45434</c:v>
                </c:pt>
                <c:pt idx="801">
                  <c:v>45435</c:v>
                </c:pt>
                <c:pt idx="802">
                  <c:v>45436</c:v>
                </c:pt>
                <c:pt idx="803">
                  <c:v>45439</c:v>
                </c:pt>
                <c:pt idx="804">
                  <c:v>45440</c:v>
                </c:pt>
                <c:pt idx="805">
                  <c:v>45441</c:v>
                </c:pt>
                <c:pt idx="806">
                  <c:v>45442</c:v>
                </c:pt>
                <c:pt idx="807">
                  <c:v>45443</c:v>
                </c:pt>
                <c:pt idx="808">
                  <c:v>45446</c:v>
                </c:pt>
                <c:pt idx="809">
                  <c:v>45447</c:v>
                </c:pt>
                <c:pt idx="810">
                  <c:v>45448</c:v>
                </c:pt>
                <c:pt idx="811">
                  <c:v>45449</c:v>
                </c:pt>
                <c:pt idx="812">
                  <c:v>45450</c:v>
                </c:pt>
                <c:pt idx="813">
                  <c:v>45453</c:v>
                </c:pt>
                <c:pt idx="814">
                  <c:v>45454</c:v>
                </c:pt>
                <c:pt idx="815">
                  <c:v>45455</c:v>
                </c:pt>
                <c:pt idx="816">
                  <c:v>45456</c:v>
                </c:pt>
                <c:pt idx="817">
                  <c:v>45457</c:v>
                </c:pt>
                <c:pt idx="818">
                  <c:v>45460</c:v>
                </c:pt>
                <c:pt idx="819">
                  <c:v>45461</c:v>
                </c:pt>
                <c:pt idx="820">
                  <c:v>45462</c:v>
                </c:pt>
                <c:pt idx="821">
                  <c:v>45463</c:v>
                </c:pt>
                <c:pt idx="822">
                  <c:v>45464</c:v>
                </c:pt>
                <c:pt idx="823">
                  <c:v>45467</c:v>
                </c:pt>
                <c:pt idx="824">
                  <c:v>45468</c:v>
                </c:pt>
                <c:pt idx="825">
                  <c:v>45469</c:v>
                </c:pt>
                <c:pt idx="826">
                  <c:v>45470</c:v>
                </c:pt>
                <c:pt idx="827">
                  <c:v>45471</c:v>
                </c:pt>
                <c:pt idx="828">
                  <c:v>45474</c:v>
                </c:pt>
                <c:pt idx="829">
                  <c:v>45475</c:v>
                </c:pt>
                <c:pt idx="830">
                  <c:v>45476</c:v>
                </c:pt>
                <c:pt idx="831">
                  <c:v>45477</c:v>
                </c:pt>
                <c:pt idx="832">
                  <c:v>45478</c:v>
                </c:pt>
                <c:pt idx="833">
                  <c:v>45481</c:v>
                </c:pt>
                <c:pt idx="834">
                  <c:v>45482</c:v>
                </c:pt>
                <c:pt idx="835">
                  <c:v>45483</c:v>
                </c:pt>
                <c:pt idx="836">
                  <c:v>45484</c:v>
                </c:pt>
                <c:pt idx="837">
                  <c:v>45485</c:v>
                </c:pt>
                <c:pt idx="838">
                  <c:v>45488</c:v>
                </c:pt>
                <c:pt idx="839">
                  <c:v>45489</c:v>
                </c:pt>
                <c:pt idx="840">
                  <c:v>45490</c:v>
                </c:pt>
                <c:pt idx="841">
                  <c:v>45491</c:v>
                </c:pt>
                <c:pt idx="842">
                  <c:v>45492</c:v>
                </c:pt>
                <c:pt idx="843">
                  <c:v>45495</c:v>
                </c:pt>
                <c:pt idx="844">
                  <c:v>45496</c:v>
                </c:pt>
                <c:pt idx="845">
                  <c:v>45497</c:v>
                </c:pt>
                <c:pt idx="846">
                  <c:v>45498</c:v>
                </c:pt>
                <c:pt idx="847">
                  <c:v>45499</c:v>
                </c:pt>
                <c:pt idx="848">
                  <c:v>45502</c:v>
                </c:pt>
                <c:pt idx="849">
                  <c:v>45503</c:v>
                </c:pt>
                <c:pt idx="850">
                  <c:v>45504</c:v>
                </c:pt>
                <c:pt idx="851">
                  <c:v>45505</c:v>
                </c:pt>
                <c:pt idx="852">
                  <c:v>45506</c:v>
                </c:pt>
                <c:pt idx="853">
                  <c:v>45509</c:v>
                </c:pt>
                <c:pt idx="854">
                  <c:v>45510</c:v>
                </c:pt>
                <c:pt idx="855">
                  <c:v>45511</c:v>
                </c:pt>
                <c:pt idx="856">
                  <c:v>45512</c:v>
                </c:pt>
                <c:pt idx="857">
                  <c:v>45513</c:v>
                </c:pt>
                <c:pt idx="858">
                  <c:v>45516</c:v>
                </c:pt>
                <c:pt idx="859">
                  <c:v>45517</c:v>
                </c:pt>
                <c:pt idx="860">
                  <c:v>45518</c:v>
                </c:pt>
                <c:pt idx="861">
                  <c:v>45519</c:v>
                </c:pt>
                <c:pt idx="862">
                  <c:v>45520</c:v>
                </c:pt>
                <c:pt idx="863">
                  <c:v>45523</c:v>
                </c:pt>
                <c:pt idx="864">
                  <c:v>45524</c:v>
                </c:pt>
                <c:pt idx="865">
                  <c:v>45525</c:v>
                </c:pt>
                <c:pt idx="866">
                  <c:v>45526</c:v>
                </c:pt>
                <c:pt idx="867">
                  <c:v>45527</c:v>
                </c:pt>
                <c:pt idx="868">
                  <c:v>45530</c:v>
                </c:pt>
                <c:pt idx="869">
                  <c:v>45531</c:v>
                </c:pt>
                <c:pt idx="870">
                  <c:v>45532</c:v>
                </c:pt>
                <c:pt idx="871">
                  <c:v>45533</c:v>
                </c:pt>
                <c:pt idx="872">
                  <c:v>45534</c:v>
                </c:pt>
                <c:pt idx="873">
                  <c:v>45539</c:v>
                </c:pt>
                <c:pt idx="874">
                  <c:v>45540</c:v>
                </c:pt>
                <c:pt idx="875">
                  <c:v>45541</c:v>
                </c:pt>
                <c:pt idx="876">
                  <c:v>45544</c:v>
                </c:pt>
                <c:pt idx="877">
                  <c:v>45545</c:v>
                </c:pt>
                <c:pt idx="878">
                  <c:v>45546</c:v>
                </c:pt>
                <c:pt idx="879">
                  <c:v>45547</c:v>
                </c:pt>
                <c:pt idx="880">
                  <c:v>45548</c:v>
                </c:pt>
                <c:pt idx="881">
                  <c:v>45551</c:v>
                </c:pt>
                <c:pt idx="882">
                  <c:v>45552</c:v>
                </c:pt>
                <c:pt idx="883">
                  <c:v>45553</c:v>
                </c:pt>
                <c:pt idx="884">
                  <c:v>45554</c:v>
                </c:pt>
                <c:pt idx="885">
                  <c:v>45555</c:v>
                </c:pt>
                <c:pt idx="886">
                  <c:v>45558</c:v>
                </c:pt>
                <c:pt idx="887">
                  <c:v>45559</c:v>
                </c:pt>
                <c:pt idx="888">
                  <c:v>45560</c:v>
                </c:pt>
                <c:pt idx="889">
                  <c:v>45561</c:v>
                </c:pt>
                <c:pt idx="890">
                  <c:v>45562</c:v>
                </c:pt>
                <c:pt idx="891">
                  <c:v>45565</c:v>
                </c:pt>
                <c:pt idx="892">
                  <c:v>45566</c:v>
                </c:pt>
                <c:pt idx="893">
                  <c:v>45567</c:v>
                </c:pt>
                <c:pt idx="894">
                  <c:v>45568</c:v>
                </c:pt>
                <c:pt idx="895">
                  <c:v>45569</c:v>
                </c:pt>
                <c:pt idx="896">
                  <c:v>45572</c:v>
                </c:pt>
                <c:pt idx="897">
                  <c:v>45573</c:v>
                </c:pt>
                <c:pt idx="898">
                  <c:v>45574</c:v>
                </c:pt>
                <c:pt idx="899">
                  <c:v>45575</c:v>
                </c:pt>
                <c:pt idx="900">
                  <c:v>45576</c:v>
                </c:pt>
                <c:pt idx="901">
                  <c:v>45579</c:v>
                </c:pt>
                <c:pt idx="902">
                  <c:v>45580</c:v>
                </c:pt>
                <c:pt idx="903">
                  <c:v>45581</c:v>
                </c:pt>
                <c:pt idx="904">
                  <c:v>45582</c:v>
                </c:pt>
                <c:pt idx="905">
                  <c:v>45583</c:v>
                </c:pt>
                <c:pt idx="906">
                  <c:v>45586</c:v>
                </c:pt>
                <c:pt idx="907">
                  <c:v>45587</c:v>
                </c:pt>
                <c:pt idx="908">
                  <c:v>45588</c:v>
                </c:pt>
                <c:pt idx="909">
                  <c:v>45589</c:v>
                </c:pt>
                <c:pt idx="910">
                  <c:v>45590</c:v>
                </c:pt>
                <c:pt idx="911">
                  <c:v>45593</c:v>
                </c:pt>
                <c:pt idx="912">
                  <c:v>45594</c:v>
                </c:pt>
                <c:pt idx="913">
                  <c:v>45595</c:v>
                </c:pt>
                <c:pt idx="914">
                  <c:v>45596</c:v>
                </c:pt>
                <c:pt idx="915">
                  <c:v>45597</c:v>
                </c:pt>
                <c:pt idx="916">
                  <c:v>45600</c:v>
                </c:pt>
                <c:pt idx="917">
                  <c:v>45601</c:v>
                </c:pt>
                <c:pt idx="918">
                  <c:v>45602</c:v>
                </c:pt>
                <c:pt idx="919">
                  <c:v>45603</c:v>
                </c:pt>
                <c:pt idx="920">
                  <c:v>45604</c:v>
                </c:pt>
                <c:pt idx="921">
                  <c:v>45607</c:v>
                </c:pt>
                <c:pt idx="922">
                  <c:v>45608</c:v>
                </c:pt>
                <c:pt idx="923">
                  <c:v>45609</c:v>
                </c:pt>
                <c:pt idx="924">
                  <c:v>45610</c:v>
                </c:pt>
                <c:pt idx="925">
                  <c:v>45611</c:v>
                </c:pt>
                <c:pt idx="926">
                  <c:v>45614</c:v>
                </c:pt>
                <c:pt idx="927">
                  <c:v>45615</c:v>
                </c:pt>
                <c:pt idx="928">
                  <c:v>45616</c:v>
                </c:pt>
                <c:pt idx="929">
                  <c:v>45617</c:v>
                </c:pt>
                <c:pt idx="930">
                  <c:v>45618</c:v>
                </c:pt>
                <c:pt idx="931">
                  <c:v>45621</c:v>
                </c:pt>
                <c:pt idx="932">
                  <c:v>45622</c:v>
                </c:pt>
                <c:pt idx="933">
                  <c:v>45623</c:v>
                </c:pt>
                <c:pt idx="934">
                  <c:v>45624</c:v>
                </c:pt>
                <c:pt idx="935">
                  <c:v>45625</c:v>
                </c:pt>
                <c:pt idx="936">
                  <c:v>45628</c:v>
                </c:pt>
                <c:pt idx="937">
                  <c:v>45629</c:v>
                </c:pt>
                <c:pt idx="938">
                  <c:v>45630</c:v>
                </c:pt>
                <c:pt idx="939">
                  <c:v>45631</c:v>
                </c:pt>
                <c:pt idx="940">
                  <c:v>45632</c:v>
                </c:pt>
                <c:pt idx="941">
                  <c:v>45635</c:v>
                </c:pt>
                <c:pt idx="942">
                  <c:v>45636</c:v>
                </c:pt>
                <c:pt idx="943">
                  <c:v>45637</c:v>
                </c:pt>
                <c:pt idx="944">
                  <c:v>45638</c:v>
                </c:pt>
                <c:pt idx="945">
                  <c:v>45639</c:v>
                </c:pt>
                <c:pt idx="946">
                  <c:v>45642</c:v>
                </c:pt>
                <c:pt idx="947">
                  <c:v>45643</c:v>
                </c:pt>
                <c:pt idx="948">
                  <c:v>45644</c:v>
                </c:pt>
                <c:pt idx="949">
                  <c:v>45645</c:v>
                </c:pt>
                <c:pt idx="950">
                  <c:v>45646</c:v>
                </c:pt>
                <c:pt idx="951">
                  <c:v>45649</c:v>
                </c:pt>
                <c:pt idx="952">
                  <c:v>45650</c:v>
                </c:pt>
                <c:pt idx="953">
                  <c:v>45651</c:v>
                </c:pt>
                <c:pt idx="954">
                  <c:v>45652</c:v>
                </c:pt>
                <c:pt idx="955">
                  <c:v>45653</c:v>
                </c:pt>
                <c:pt idx="956">
                  <c:v>45656</c:v>
                </c:pt>
                <c:pt idx="957">
                  <c:v>45657</c:v>
                </c:pt>
                <c:pt idx="958">
                  <c:v>45659</c:v>
                </c:pt>
                <c:pt idx="959">
                  <c:v>45660</c:v>
                </c:pt>
                <c:pt idx="960">
                  <c:v>45663</c:v>
                </c:pt>
                <c:pt idx="961">
                  <c:v>45664</c:v>
                </c:pt>
                <c:pt idx="962">
                  <c:v>45665</c:v>
                </c:pt>
                <c:pt idx="963">
                  <c:v>45666</c:v>
                </c:pt>
                <c:pt idx="964">
                  <c:v>45667</c:v>
                </c:pt>
                <c:pt idx="965">
                  <c:v>45670</c:v>
                </c:pt>
                <c:pt idx="966">
                  <c:v>45671</c:v>
                </c:pt>
                <c:pt idx="967">
                  <c:v>45672</c:v>
                </c:pt>
                <c:pt idx="968">
                  <c:v>45673</c:v>
                </c:pt>
                <c:pt idx="969">
                  <c:v>45674</c:v>
                </c:pt>
                <c:pt idx="970">
                  <c:v>45677</c:v>
                </c:pt>
                <c:pt idx="971">
                  <c:v>45678</c:v>
                </c:pt>
                <c:pt idx="972">
                  <c:v>45679</c:v>
                </c:pt>
                <c:pt idx="973">
                  <c:v>45680</c:v>
                </c:pt>
                <c:pt idx="974">
                  <c:v>45681</c:v>
                </c:pt>
                <c:pt idx="975">
                  <c:v>45691</c:v>
                </c:pt>
                <c:pt idx="976">
                  <c:v>45692</c:v>
                </c:pt>
                <c:pt idx="977">
                  <c:v>45693</c:v>
                </c:pt>
                <c:pt idx="978">
                  <c:v>45694</c:v>
                </c:pt>
                <c:pt idx="979">
                  <c:v>45695</c:v>
                </c:pt>
                <c:pt idx="980">
                  <c:v>45698</c:v>
                </c:pt>
                <c:pt idx="981">
                  <c:v>45699</c:v>
                </c:pt>
                <c:pt idx="982">
                  <c:v>45700</c:v>
                </c:pt>
                <c:pt idx="983">
                  <c:v>45701</c:v>
                </c:pt>
                <c:pt idx="984">
                  <c:v>45702</c:v>
                </c:pt>
                <c:pt idx="985">
                  <c:v>45705</c:v>
                </c:pt>
                <c:pt idx="986">
                  <c:v>45706</c:v>
                </c:pt>
                <c:pt idx="987">
                  <c:v>45707</c:v>
                </c:pt>
                <c:pt idx="988">
                  <c:v>45708</c:v>
                </c:pt>
                <c:pt idx="989">
                  <c:v>45709</c:v>
                </c:pt>
                <c:pt idx="990">
                  <c:v>45712</c:v>
                </c:pt>
                <c:pt idx="991">
                  <c:v>45713</c:v>
                </c:pt>
                <c:pt idx="992">
                  <c:v>45714</c:v>
                </c:pt>
                <c:pt idx="993">
                  <c:v>45715</c:v>
                </c:pt>
                <c:pt idx="994">
                  <c:v>45716</c:v>
                </c:pt>
                <c:pt idx="995">
                  <c:v>45719</c:v>
                </c:pt>
                <c:pt idx="996">
                  <c:v>45720</c:v>
                </c:pt>
                <c:pt idx="997">
                  <c:v>45721</c:v>
                </c:pt>
                <c:pt idx="998">
                  <c:v>45722</c:v>
                </c:pt>
                <c:pt idx="999">
                  <c:v>45723</c:v>
                </c:pt>
                <c:pt idx="1000">
                  <c:v>45726</c:v>
                </c:pt>
                <c:pt idx="1001">
                  <c:v>45727</c:v>
                </c:pt>
                <c:pt idx="1002">
                  <c:v>45728</c:v>
                </c:pt>
                <c:pt idx="1003">
                  <c:v>45729</c:v>
                </c:pt>
                <c:pt idx="1004">
                  <c:v>45730</c:v>
                </c:pt>
                <c:pt idx="1005">
                  <c:v>45733</c:v>
                </c:pt>
                <c:pt idx="1006">
                  <c:v>45734</c:v>
                </c:pt>
                <c:pt idx="1007">
                  <c:v>45735</c:v>
                </c:pt>
                <c:pt idx="1008">
                  <c:v>45736</c:v>
                </c:pt>
                <c:pt idx="1009">
                  <c:v>45737</c:v>
                </c:pt>
                <c:pt idx="1010">
                  <c:v>45740</c:v>
                </c:pt>
                <c:pt idx="1011">
                  <c:v>45741</c:v>
                </c:pt>
                <c:pt idx="1012">
                  <c:v>45742</c:v>
                </c:pt>
                <c:pt idx="1013">
                  <c:v>45743</c:v>
                </c:pt>
                <c:pt idx="1014">
                  <c:v>45744</c:v>
                </c:pt>
                <c:pt idx="1015">
                  <c:v>45747</c:v>
                </c:pt>
                <c:pt idx="1016">
                  <c:v>45748</c:v>
                </c:pt>
                <c:pt idx="1017">
                  <c:v>45749</c:v>
                </c:pt>
                <c:pt idx="1018">
                  <c:v>45750</c:v>
                </c:pt>
                <c:pt idx="1019">
                  <c:v>45751</c:v>
                </c:pt>
                <c:pt idx="1020">
                  <c:v>45755</c:v>
                </c:pt>
                <c:pt idx="1021">
                  <c:v>45756</c:v>
                </c:pt>
                <c:pt idx="1022">
                  <c:v>45757</c:v>
                </c:pt>
                <c:pt idx="1023">
                  <c:v>45758</c:v>
                </c:pt>
                <c:pt idx="1024">
                  <c:v>45761</c:v>
                </c:pt>
                <c:pt idx="1025">
                  <c:v>45762</c:v>
                </c:pt>
                <c:pt idx="1026">
                  <c:v>45763</c:v>
                </c:pt>
                <c:pt idx="1027">
                  <c:v>45764</c:v>
                </c:pt>
                <c:pt idx="1028">
                  <c:v>45765</c:v>
                </c:pt>
                <c:pt idx="1029">
                  <c:v>45768</c:v>
                </c:pt>
                <c:pt idx="1030">
                  <c:v>45769</c:v>
                </c:pt>
                <c:pt idx="1031">
                  <c:v>45770</c:v>
                </c:pt>
                <c:pt idx="1032">
                  <c:v>45771</c:v>
                </c:pt>
                <c:pt idx="1033">
                  <c:v>45772</c:v>
                </c:pt>
                <c:pt idx="1034">
                  <c:v>45775</c:v>
                </c:pt>
                <c:pt idx="1035">
                  <c:v>45776</c:v>
                </c:pt>
                <c:pt idx="1036">
                  <c:v>45782</c:v>
                </c:pt>
                <c:pt idx="1037">
                  <c:v>45783</c:v>
                </c:pt>
                <c:pt idx="1038">
                  <c:v>45784</c:v>
                </c:pt>
                <c:pt idx="1039">
                  <c:v>45785</c:v>
                </c:pt>
                <c:pt idx="1040">
                  <c:v>45786</c:v>
                </c:pt>
                <c:pt idx="1041">
                  <c:v>45789</c:v>
                </c:pt>
                <c:pt idx="1042">
                  <c:v>45790</c:v>
                </c:pt>
                <c:pt idx="1043">
                  <c:v>45791</c:v>
                </c:pt>
                <c:pt idx="1044">
                  <c:v>45792</c:v>
                </c:pt>
                <c:pt idx="1045">
                  <c:v>45793</c:v>
                </c:pt>
                <c:pt idx="1046">
                  <c:v>45796</c:v>
                </c:pt>
                <c:pt idx="1047">
                  <c:v>45797</c:v>
                </c:pt>
                <c:pt idx="1048">
                  <c:v>45798</c:v>
                </c:pt>
                <c:pt idx="1049">
                  <c:v>45799</c:v>
                </c:pt>
                <c:pt idx="1050">
                  <c:v>45800</c:v>
                </c:pt>
                <c:pt idx="1051">
                  <c:v>45803</c:v>
                </c:pt>
                <c:pt idx="1052">
                  <c:v>45804</c:v>
                </c:pt>
                <c:pt idx="1053">
                  <c:v>45805</c:v>
                </c:pt>
                <c:pt idx="1054">
                  <c:v>45806</c:v>
                </c:pt>
                <c:pt idx="1055">
                  <c:v>45807</c:v>
                </c:pt>
                <c:pt idx="1056">
                  <c:v>45810</c:v>
                </c:pt>
                <c:pt idx="1057">
                  <c:v>45811</c:v>
                </c:pt>
                <c:pt idx="1058">
                  <c:v>45812</c:v>
                </c:pt>
                <c:pt idx="1059">
                  <c:v>45813</c:v>
                </c:pt>
                <c:pt idx="1060">
                  <c:v>45814</c:v>
                </c:pt>
                <c:pt idx="1061">
                  <c:v>45817</c:v>
                </c:pt>
                <c:pt idx="1062">
                  <c:v>45818</c:v>
                </c:pt>
                <c:pt idx="1063">
                  <c:v>45819</c:v>
                </c:pt>
                <c:pt idx="1064">
                  <c:v>45820</c:v>
                </c:pt>
                <c:pt idx="1065">
                  <c:v>45821</c:v>
                </c:pt>
                <c:pt idx="1066">
                  <c:v>45824</c:v>
                </c:pt>
                <c:pt idx="1067">
                  <c:v>45825</c:v>
                </c:pt>
                <c:pt idx="1068">
                  <c:v>45826</c:v>
                </c:pt>
                <c:pt idx="1069">
                  <c:v>45827</c:v>
                </c:pt>
                <c:pt idx="1070">
                  <c:v>45828</c:v>
                </c:pt>
                <c:pt idx="1071">
                  <c:v>45831</c:v>
                </c:pt>
                <c:pt idx="1072">
                  <c:v>45832</c:v>
                </c:pt>
                <c:pt idx="1073">
                  <c:v>45833</c:v>
                </c:pt>
                <c:pt idx="1074">
                  <c:v>45834</c:v>
                </c:pt>
                <c:pt idx="1075">
                  <c:v>45835</c:v>
                </c:pt>
                <c:pt idx="1076">
                  <c:v>45838</c:v>
                </c:pt>
                <c:pt idx="1077">
                  <c:v>45839</c:v>
                </c:pt>
                <c:pt idx="1078">
                  <c:v>45840</c:v>
                </c:pt>
                <c:pt idx="1079">
                  <c:v>45841</c:v>
                </c:pt>
                <c:pt idx="1080">
                  <c:v>45842</c:v>
                </c:pt>
                <c:pt idx="1081">
                  <c:v>45845</c:v>
                </c:pt>
                <c:pt idx="1082">
                  <c:v>45846</c:v>
                </c:pt>
                <c:pt idx="1083">
                  <c:v>45847</c:v>
                </c:pt>
                <c:pt idx="1084">
                  <c:v>45848</c:v>
                </c:pt>
                <c:pt idx="1085">
                  <c:v>45849</c:v>
                </c:pt>
                <c:pt idx="1086">
                  <c:v>45852</c:v>
                </c:pt>
                <c:pt idx="1087">
                  <c:v>45853</c:v>
                </c:pt>
                <c:pt idx="1088">
                  <c:v>45854</c:v>
                </c:pt>
                <c:pt idx="1089">
                  <c:v>45855</c:v>
                </c:pt>
                <c:pt idx="1090">
                  <c:v>45856</c:v>
                </c:pt>
                <c:pt idx="1091">
                  <c:v>45859</c:v>
                </c:pt>
                <c:pt idx="1092">
                  <c:v>45860</c:v>
                </c:pt>
                <c:pt idx="1093">
                  <c:v>45861</c:v>
                </c:pt>
                <c:pt idx="1094">
                  <c:v>45862</c:v>
                </c:pt>
                <c:pt idx="1095">
                  <c:v>45863</c:v>
                </c:pt>
                <c:pt idx="1096">
                  <c:v>45866</c:v>
                </c:pt>
                <c:pt idx="1097">
                  <c:v>45867</c:v>
                </c:pt>
                <c:pt idx="1098">
                  <c:v>45868</c:v>
                </c:pt>
                <c:pt idx="1099">
                  <c:v>45869</c:v>
                </c:pt>
                <c:pt idx="1100">
                  <c:v>45870</c:v>
                </c:pt>
                <c:pt idx="1101">
                  <c:v>45873</c:v>
                </c:pt>
                <c:pt idx="1102">
                  <c:v>45874</c:v>
                </c:pt>
                <c:pt idx="1103">
                  <c:v>45875</c:v>
                </c:pt>
                <c:pt idx="1104">
                  <c:v>45876</c:v>
                </c:pt>
                <c:pt idx="1105">
                  <c:v>45877</c:v>
                </c:pt>
                <c:pt idx="1106">
                  <c:v>45880</c:v>
                </c:pt>
                <c:pt idx="1107">
                  <c:v>45881</c:v>
                </c:pt>
                <c:pt idx="1108">
                  <c:v>45882</c:v>
                </c:pt>
                <c:pt idx="1109">
                  <c:v>45883</c:v>
                </c:pt>
                <c:pt idx="1110">
                  <c:v>45884</c:v>
                </c:pt>
                <c:pt idx="1111">
                  <c:v>45887</c:v>
                </c:pt>
                <c:pt idx="1112">
                  <c:v>45888</c:v>
                </c:pt>
                <c:pt idx="1113">
                  <c:v>45889</c:v>
                </c:pt>
                <c:pt idx="1114">
                  <c:v>45890</c:v>
                </c:pt>
                <c:pt idx="1115">
                  <c:v>45891</c:v>
                </c:pt>
                <c:pt idx="1116">
                  <c:v>45894</c:v>
                </c:pt>
                <c:pt idx="1117">
                  <c:v>45895</c:v>
                </c:pt>
                <c:pt idx="1118">
                  <c:v>45896</c:v>
                </c:pt>
                <c:pt idx="1119">
                  <c:v>45897</c:v>
                </c:pt>
                <c:pt idx="1120">
                  <c:v>45898</c:v>
                </c:pt>
                <c:pt idx="1121">
                  <c:v>45903</c:v>
                </c:pt>
                <c:pt idx="1122">
                  <c:v>45904</c:v>
                </c:pt>
                <c:pt idx="1123">
                  <c:v>45905</c:v>
                </c:pt>
                <c:pt idx="1124">
                  <c:v>45908</c:v>
                </c:pt>
                <c:pt idx="1125">
                  <c:v>45909</c:v>
                </c:pt>
                <c:pt idx="1126">
                  <c:v>45910</c:v>
                </c:pt>
                <c:pt idx="1127">
                  <c:v>45911</c:v>
                </c:pt>
                <c:pt idx="1128">
                  <c:v>45912</c:v>
                </c:pt>
                <c:pt idx="1129">
                  <c:v>45915</c:v>
                </c:pt>
                <c:pt idx="1130">
                  <c:v>45916</c:v>
                </c:pt>
                <c:pt idx="1131">
                  <c:v>45917</c:v>
                </c:pt>
                <c:pt idx="1132">
                  <c:v>45918</c:v>
                </c:pt>
                <c:pt idx="1133">
                  <c:v>45919</c:v>
                </c:pt>
                <c:pt idx="1134">
                  <c:v>45922</c:v>
                </c:pt>
                <c:pt idx="1135">
                  <c:v>45923</c:v>
                </c:pt>
                <c:pt idx="1136">
                  <c:v>45924</c:v>
                </c:pt>
                <c:pt idx="1137">
                  <c:v>45925</c:v>
                </c:pt>
                <c:pt idx="1138">
                  <c:v>45926</c:v>
                </c:pt>
                <c:pt idx="1139">
                  <c:v>45929</c:v>
                </c:pt>
                <c:pt idx="1140">
                  <c:v>45930</c:v>
                </c:pt>
                <c:pt idx="1141">
                  <c:v>45931</c:v>
                </c:pt>
                <c:pt idx="1142">
                  <c:v>45932</c:v>
                </c:pt>
                <c:pt idx="1143">
                  <c:v>45933</c:v>
                </c:pt>
                <c:pt idx="1144">
                  <c:v>45936</c:v>
                </c:pt>
                <c:pt idx="1145">
                  <c:v>45937</c:v>
                </c:pt>
                <c:pt idx="1146">
                  <c:v>45938</c:v>
                </c:pt>
                <c:pt idx="1147">
                  <c:v>45939</c:v>
                </c:pt>
                <c:pt idx="1148">
                  <c:v>45940</c:v>
                </c:pt>
                <c:pt idx="1149">
                  <c:v>45943</c:v>
                </c:pt>
                <c:pt idx="1150">
                  <c:v>45944</c:v>
                </c:pt>
                <c:pt idx="1151">
                  <c:v>45945</c:v>
                </c:pt>
                <c:pt idx="1152">
                  <c:v>45946</c:v>
                </c:pt>
                <c:pt idx="1153">
                  <c:v>45947</c:v>
                </c:pt>
                <c:pt idx="1154">
                  <c:v>45950</c:v>
                </c:pt>
                <c:pt idx="1155">
                  <c:v>45951</c:v>
                </c:pt>
                <c:pt idx="1156">
                  <c:v>45952</c:v>
                </c:pt>
                <c:pt idx="1157">
                  <c:v>45953</c:v>
                </c:pt>
                <c:pt idx="1158">
                  <c:v>45954</c:v>
                </c:pt>
                <c:pt idx="1159">
                  <c:v>45957</c:v>
                </c:pt>
                <c:pt idx="1160">
                  <c:v>45958</c:v>
                </c:pt>
                <c:pt idx="1161">
                  <c:v>45959</c:v>
                </c:pt>
                <c:pt idx="1162">
                  <c:v>45960</c:v>
                </c:pt>
                <c:pt idx="1163">
                  <c:v>45961</c:v>
                </c:pt>
                <c:pt idx="1164">
                  <c:v>45964</c:v>
                </c:pt>
                <c:pt idx="1165">
                  <c:v>45965</c:v>
                </c:pt>
                <c:pt idx="1166">
                  <c:v>45966</c:v>
                </c:pt>
                <c:pt idx="1167">
                  <c:v>45967</c:v>
                </c:pt>
                <c:pt idx="1168">
                  <c:v>45968</c:v>
                </c:pt>
                <c:pt idx="1169">
                  <c:v>45971</c:v>
                </c:pt>
                <c:pt idx="1170">
                  <c:v>45972</c:v>
                </c:pt>
                <c:pt idx="1171">
                  <c:v>45973</c:v>
                </c:pt>
                <c:pt idx="1172">
                  <c:v>45974</c:v>
                </c:pt>
                <c:pt idx="1173">
                  <c:v>45975</c:v>
                </c:pt>
                <c:pt idx="1174">
                  <c:v>45978</c:v>
                </c:pt>
                <c:pt idx="1175">
                  <c:v>45979</c:v>
                </c:pt>
                <c:pt idx="1176">
                  <c:v>45980</c:v>
                </c:pt>
                <c:pt idx="1177">
                  <c:v>45981</c:v>
                </c:pt>
                <c:pt idx="1178">
                  <c:v>45982</c:v>
                </c:pt>
                <c:pt idx="1179">
                  <c:v>45985</c:v>
                </c:pt>
                <c:pt idx="1180">
                  <c:v>45986</c:v>
                </c:pt>
                <c:pt idx="1181">
                  <c:v>45987</c:v>
                </c:pt>
                <c:pt idx="1182">
                  <c:v>45988</c:v>
                </c:pt>
                <c:pt idx="1183">
                  <c:v>45989</c:v>
                </c:pt>
                <c:pt idx="1184">
                  <c:v>45992</c:v>
                </c:pt>
                <c:pt idx="1185">
                  <c:v>45993</c:v>
                </c:pt>
                <c:pt idx="1186">
                  <c:v>45994</c:v>
                </c:pt>
                <c:pt idx="1187">
                  <c:v>45995</c:v>
                </c:pt>
                <c:pt idx="1188">
                  <c:v>45996</c:v>
                </c:pt>
                <c:pt idx="1189">
                  <c:v>45999</c:v>
                </c:pt>
                <c:pt idx="1190">
                  <c:v>46000</c:v>
                </c:pt>
                <c:pt idx="1191">
                  <c:v>46001</c:v>
                </c:pt>
                <c:pt idx="1192">
                  <c:v>46002</c:v>
                </c:pt>
                <c:pt idx="1193">
                  <c:v>46003</c:v>
                </c:pt>
                <c:pt idx="1194">
                  <c:v>46006</c:v>
                </c:pt>
                <c:pt idx="1195">
                  <c:v>46007</c:v>
                </c:pt>
                <c:pt idx="1196">
                  <c:v>46008</c:v>
                </c:pt>
                <c:pt idx="1197">
                  <c:v>46009</c:v>
                </c:pt>
                <c:pt idx="1198">
                  <c:v>46010</c:v>
                </c:pt>
                <c:pt idx="1199">
                  <c:v>46013</c:v>
                </c:pt>
                <c:pt idx="1200">
                  <c:v>46014</c:v>
                </c:pt>
                <c:pt idx="1201">
                  <c:v>46015</c:v>
                </c:pt>
                <c:pt idx="1202">
                  <c:v>46016</c:v>
                </c:pt>
                <c:pt idx="1203">
                  <c:v>46017</c:v>
                </c:pt>
                <c:pt idx="1204">
                  <c:v>46020</c:v>
                </c:pt>
                <c:pt idx="1205">
                  <c:v>46021</c:v>
                </c:pt>
                <c:pt idx="1206">
                  <c:v>46022</c:v>
                </c:pt>
                <c:pt idx="1207">
                  <c:v>46027</c:v>
                </c:pt>
                <c:pt idx="1208">
                  <c:v>46028</c:v>
                </c:pt>
                <c:pt idx="1209">
                  <c:v>46029</c:v>
                </c:pt>
                <c:pt idx="1210">
                  <c:v>46030</c:v>
                </c:pt>
                <c:pt idx="1211">
                  <c:v>46031</c:v>
                </c:pt>
                <c:pt idx="1212">
                  <c:v>46034</c:v>
                </c:pt>
                <c:pt idx="1213">
                  <c:v>46035</c:v>
                </c:pt>
                <c:pt idx="1214">
                  <c:v>46036</c:v>
                </c:pt>
                <c:pt idx="1215">
                  <c:v>46037</c:v>
                </c:pt>
                <c:pt idx="1216">
                  <c:v>46038</c:v>
                </c:pt>
                <c:pt idx="1217">
                  <c:v>46041</c:v>
                </c:pt>
                <c:pt idx="1218">
                  <c:v>46042</c:v>
                </c:pt>
                <c:pt idx="1219">
                  <c:v>46043</c:v>
                </c:pt>
                <c:pt idx="1220">
                  <c:v>46044</c:v>
                </c:pt>
                <c:pt idx="1221">
                  <c:v>46045</c:v>
                </c:pt>
                <c:pt idx="1222">
                  <c:v>46048</c:v>
                </c:pt>
                <c:pt idx="1223">
                  <c:v>46049</c:v>
                </c:pt>
                <c:pt idx="1224">
                  <c:v>46050</c:v>
                </c:pt>
                <c:pt idx="1225">
                  <c:v>46051</c:v>
                </c:pt>
                <c:pt idx="1226">
                  <c:v>46052</c:v>
                </c:pt>
                <c:pt idx="1227">
                  <c:v>46055</c:v>
                </c:pt>
                <c:pt idx="1228">
                  <c:v>46056</c:v>
                </c:pt>
                <c:pt idx="1229">
                  <c:v>46057</c:v>
                </c:pt>
                <c:pt idx="1230">
                  <c:v>46058</c:v>
                </c:pt>
                <c:pt idx="1231">
                  <c:v>46059</c:v>
                </c:pt>
                <c:pt idx="1232">
                  <c:v>46062</c:v>
                </c:pt>
                <c:pt idx="1233">
                  <c:v>46063</c:v>
                </c:pt>
                <c:pt idx="1234">
                  <c:v>46064</c:v>
                </c:pt>
                <c:pt idx="1235">
                  <c:v>46065</c:v>
                </c:pt>
                <c:pt idx="1236">
                  <c:v>46066</c:v>
                </c:pt>
                <c:pt idx="1237">
                  <c:v>46076</c:v>
                </c:pt>
                <c:pt idx="1238">
                  <c:v>46077</c:v>
                </c:pt>
                <c:pt idx="1239">
                  <c:v>46078</c:v>
                </c:pt>
                <c:pt idx="1240">
                  <c:v>46079</c:v>
                </c:pt>
                <c:pt idx="1241">
                  <c:v>46080</c:v>
                </c:pt>
                <c:pt idx="1242">
                  <c:v>46083</c:v>
                </c:pt>
                <c:pt idx="1243">
                  <c:v>46084</c:v>
                </c:pt>
                <c:pt idx="1244">
                  <c:v>46085</c:v>
                </c:pt>
                <c:pt idx="1245">
                  <c:v>46086</c:v>
                </c:pt>
                <c:pt idx="1246">
                  <c:v>46087</c:v>
                </c:pt>
                <c:pt idx="1247">
                  <c:v>45968</c:v>
                </c:pt>
              </c:numCache>
            </c:numRef>
          </c:cat>
          <c:val>
            <c:numRef>
              <c:f>'FX Data'!$C$957:$C$2204</c:f>
              <c:numCache>
                <c:formatCode>General</c:formatCode>
                <c:ptCount val="1248"/>
                <c:pt idx="0">
                  <c:v>16.771000000000001</c:v>
                </c:pt>
                <c:pt idx="1">
                  <c:v>16.594000000000001</c:v>
                </c:pt>
                <c:pt idx="2">
                  <c:v>16.881699999999999</c:v>
                </c:pt>
                <c:pt idx="3">
                  <c:v>16.970199999999998</c:v>
                </c:pt>
                <c:pt idx="4">
                  <c:v>16.925899999999999</c:v>
                </c:pt>
                <c:pt idx="5">
                  <c:v>16.925899999999999</c:v>
                </c:pt>
                <c:pt idx="6">
                  <c:v>17.921600000000002</c:v>
                </c:pt>
                <c:pt idx="7">
                  <c:v>17.877300000000002</c:v>
                </c:pt>
                <c:pt idx="8">
                  <c:v>17.921600000000002</c:v>
                </c:pt>
                <c:pt idx="9">
                  <c:v>17.655999999999999</c:v>
                </c:pt>
                <c:pt idx="10">
                  <c:v>17.412700000000001</c:v>
                </c:pt>
                <c:pt idx="11">
                  <c:v>17.434799999999999</c:v>
                </c:pt>
                <c:pt idx="12">
                  <c:v>17.0365</c:v>
                </c:pt>
                <c:pt idx="13">
                  <c:v>16.948</c:v>
                </c:pt>
                <c:pt idx="14">
                  <c:v>16.837399999999999</c:v>
                </c:pt>
                <c:pt idx="15">
                  <c:v>17.1693</c:v>
                </c:pt>
                <c:pt idx="16">
                  <c:v>17.058700000000002</c:v>
                </c:pt>
                <c:pt idx="17">
                  <c:v>16.4678</c:v>
                </c:pt>
                <c:pt idx="18">
                  <c:v>16.8917</c:v>
                </c:pt>
                <c:pt idx="19">
                  <c:v>16.912800000000001</c:v>
                </c:pt>
                <c:pt idx="20">
                  <c:v>16.8705</c:v>
                </c:pt>
                <c:pt idx="21">
                  <c:v>16.828099999999999</c:v>
                </c:pt>
                <c:pt idx="22">
                  <c:v>16.8705</c:v>
                </c:pt>
                <c:pt idx="23">
                  <c:v>16.8705</c:v>
                </c:pt>
                <c:pt idx="24">
                  <c:v>17.400300000000001</c:v>
                </c:pt>
                <c:pt idx="25">
                  <c:v>17.400300000000001</c:v>
                </c:pt>
                <c:pt idx="26">
                  <c:v>17.1036</c:v>
                </c:pt>
                <c:pt idx="27">
                  <c:v>17.167200000000001</c:v>
                </c:pt>
                <c:pt idx="28">
                  <c:v>16.955200000000001</c:v>
                </c:pt>
                <c:pt idx="29">
                  <c:v>16.8917</c:v>
                </c:pt>
                <c:pt idx="30">
                  <c:v>17.273099999999999</c:v>
                </c:pt>
                <c:pt idx="31">
                  <c:v>17.569900000000001</c:v>
                </c:pt>
                <c:pt idx="32">
                  <c:v>16.955200000000001</c:v>
                </c:pt>
                <c:pt idx="33">
                  <c:v>17.591100000000001</c:v>
                </c:pt>
                <c:pt idx="34">
                  <c:v>17.167200000000001</c:v>
                </c:pt>
                <c:pt idx="35">
                  <c:v>17.1036</c:v>
                </c:pt>
                <c:pt idx="36">
                  <c:v>17.1248</c:v>
                </c:pt>
                <c:pt idx="37">
                  <c:v>17.146000000000001</c:v>
                </c:pt>
                <c:pt idx="38">
                  <c:v>17.569900000000001</c:v>
                </c:pt>
                <c:pt idx="39">
                  <c:v>17.569900000000001</c:v>
                </c:pt>
                <c:pt idx="40">
                  <c:v>17.5275</c:v>
                </c:pt>
                <c:pt idx="41">
                  <c:v>17.591100000000001</c:v>
                </c:pt>
                <c:pt idx="42">
                  <c:v>18.1845</c:v>
                </c:pt>
                <c:pt idx="43">
                  <c:v>18.057300000000001</c:v>
                </c:pt>
                <c:pt idx="44">
                  <c:v>18.099699999999999</c:v>
                </c:pt>
                <c:pt idx="45">
                  <c:v>17.803000000000001</c:v>
                </c:pt>
                <c:pt idx="46">
                  <c:v>17.9726</c:v>
                </c:pt>
                <c:pt idx="47">
                  <c:v>18.1633</c:v>
                </c:pt>
                <c:pt idx="48">
                  <c:v>18.438800000000001</c:v>
                </c:pt>
                <c:pt idx="49">
                  <c:v>19.244199999999999</c:v>
                </c:pt>
                <c:pt idx="50">
                  <c:v>20.240300000000001</c:v>
                </c:pt>
                <c:pt idx="51">
                  <c:v>19.88</c:v>
                </c:pt>
                <c:pt idx="52">
                  <c:v>19.816400000000002</c:v>
                </c:pt>
                <c:pt idx="53">
                  <c:v>19.88</c:v>
                </c:pt>
                <c:pt idx="54">
                  <c:v>20.197900000000001</c:v>
                </c:pt>
                <c:pt idx="55">
                  <c:v>19.88</c:v>
                </c:pt>
                <c:pt idx="56">
                  <c:v>20.091999999999999</c:v>
                </c:pt>
                <c:pt idx="57">
                  <c:v>20.748999999999999</c:v>
                </c:pt>
                <c:pt idx="58">
                  <c:v>21.228999999999999</c:v>
                </c:pt>
                <c:pt idx="59">
                  <c:v>20.838999999999999</c:v>
                </c:pt>
                <c:pt idx="60">
                  <c:v>20.765899999999998</c:v>
                </c:pt>
                <c:pt idx="61">
                  <c:v>20.644100000000002</c:v>
                </c:pt>
                <c:pt idx="62">
                  <c:v>20.156600000000001</c:v>
                </c:pt>
                <c:pt idx="63">
                  <c:v>19.6935</c:v>
                </c:pt>
                <c:pt idx="64">
                  <c:v>19.9129</c:v>
                </c:pt>
                <c:pt idx="65">
                  <c:v>19.961600000000001</c:v>
                </c:pt>
                <c:pt idx="66">
                  <c:v>20.351600000000001</c:v>
                </c:pt>
                <c:pt idx="67">
                  <c:v>20.424700000000001</c:v>
                </c:pt>
                <c:pt idx="68">
                  <c:v>20.278500000000001</c:v>
                </c:pt>
                <c:pt idx="69">
                  <c:v>20.254100000000001</c:v>
                </c:pt>
                <c:pt idx="70">
                  <c:v>20.132200000000001</c:v>
                </c:pt>
                <c:pt idx="71">
                  <c:v>20.424700000000001</c:v>
                </c:pt>
                <c:pt idx="72">
                  <c:v>20.863399999999999</c:v>
                </c:pt>
                <c:pt idx="73">
                  <c:v>20.814699999999998</c:v>
                </c:pt>
                <c:pt idx="74">
                  <c:v>20.692799999999998</c:v>
                </c:pt>
                <c:pt idx="75">
                  <c:v>20.644100000000002</c:v>
                </c:pt>
                <c:pt idx="76">
                  <c:v>20.765899999999998</c:v>
                </c:pt>
                <c:pt idx="77">
                  <c:v>20.887799999999999</c:v>
                </c:pt>
                <c:pt idx="78">
                  <c:v>21.5946</c:v>
                </c:pt>
                <c:pt idx="79">
                  <c:v>20.7865</c:v>
                </c:pt>
                <c:pt idx="80">
                  <c:v>20.999099999999999</c:v>
                </c:pt>
                <c:pt idx="81">
                  <c:v>21.707799999999999</c:v>
                </c:pt>
                <c:pt idx="82">
                  <c:v>21.896699999999999</c:v>
                </c:pt>
                <c:pt idx="83">
                  <c:v>20.5503</c:v>
                </c:pt>
                <c:pt idx="84">
                  <c:v>21.377099999999999</c:v>
                </c:pt>
                <c:pt idx="85">
                  <c:v>21.2117</c:v>
                </c:pt>
                <c:pt idx="86">
                  <c:v>21.188099999999999</c:v>
                </c:pt>
                <c:pt idx="87">
                  <c:v>20.337700000000002</c:v>
                </c:pt>
                <c:pt idx="88">
                  <c:v>20.5503</c:v>
                </c:pt>
                <c:pt idx="89">
                  <c:v>20.1251</c:v>
                </c:pt>
                <c:pt idx="90">
                  <c:v>20.1724</c:v>
                </c:pt>
                <c:pt idx="91">
                  <c:v>20.5031</c:v>
                </c:pt>
                <c:pt idx="92">
                  <c:v>20.007000000000001</c:v>
                </c:pt>
                <c:pt idx="93">
                  <c:v>20.5031</c:v>
                </c:pt>
                <c:pt idx="94">
                  <c:v>20.4558</c:v>
                </c:pt>
                <c:pt idx="95">
                  <c:v>21.1172</c:v>
                </c:pt>
                <c:pt idx="96">
                  <c:v>21.377099999999999</c:v>
                </c:pt>
                <c:pt idx="97">
                  <c:v>22.132899999999999</c:v>
                </c:pt>
                <c:pt idx="98">
                  <c:v>22.014800000000001</c:v>
                </c:pt>
                <c:pt idx="99">
                  <c:v>21.731400000000001</c:v>
                </c:pt>
                <c:pt idx="100">
                  <c:v>22.062100000000001</c:v>
                </c:pt>
                <c:pt idx="101">
                  <c:v>22.203800000000001</c:v>
                </c:pt>
                <c:pt idx="102">
                  <c:v>22.581700000000001</c:v>
                </c:pt>
                <c:pt idx="103">
                  <c:v>22.629000000000001</c:v>
                </c:pt>
                <c:pt idx="104">
                  <c:v>22.581700000000001</c:v>
                </c:pt>
                <c:pt idx="105">
                  <c:v>22.817900000000002</c:v>
                </c:pt>
                <c:pt idx="106">
                  <c:v>22.817900000000002</c:v>
                </c:pt>
                <c:pt idx="107">
                  <c:v>23.0305</c:v>
                </c:pt>
                <c:pt idx="108">
                  <c:v>23.101400000000002</c:v>
                </c:pt>
                <c:pt idx="109">
                  <c:v>22.6998</c:v>
                </c:pt>
                <c:pt idx="110">
                  <c:v>22.156600000000001</c:v>
                </c:pt>
                <c:pt idx="111">
                  <c:v>22.44</c:v>
                </c:pt>
                <c:pt idx="112">
                  <c:v>22.345500000000001</c:v>
                </c:pt>
                <c:pt idx="113">
                  <c:v>22.156600000000001</c:v>
                </c:pt>
                <c:pt idx="114">
                  <c:v>22.203800000000001</c:v>
                </c:pt>
                <c:pt idx="115">
                  <c:v>22.321899999999999</c:v>
                </c:pt>
                <c:pt idx="116">
                  <c:v>21.920300000000001</c:v>
                </c:pt>
                <c:pt idx="117">
                  <c:v>21.495200000000001</c:v>
                </c:pt>
                <c:pt idx="118">
                  <c:v>21.707799999999999</c:v>
                </c:pt>
                <c:pt idx="119">
                  <c:v>21.707799999999999</c:v>
                </c:pt>
                <c:pt idx="120">
                  <c:v>21.589600000000001</c:v>
                </c:pt>
                <c:pt idx="121">
                  <c:v>21.731400000000001</c:v>
                </c:pt>
                <c:pt idx="122">
                  <c:v>21.778600000000001</c:v>
                </c:pt>
                <c:pt idx="123">
                  <c:v>21.825900000000001</c:v>
                </c:pt>
                <c:pt idx="124">
                  <c:v>21.825900000000001</c:v>
                </c:pt>
                <c:pt idx="125">
                  <c:v>22.416399999999999</c:v>
                </c:pt>
                <c:pt idx="126">
                  <c:v>22.085699999999999</c:v>
                </c:pt>
                <c:pt idx="127">
                  <c:v>21.991199999999999</c:v>
                </c:pt>
                <c:pt idx="128">
                  <c:v>22.014800000000001</c:v>
                </c:pt>
                <c:pt idx="129">
                  <c:v>22.085699999999999</c:v>
                </c:pt>
                <c:pt idx="130">
                  <c:v>21.967600000000001</c:v>
                </c:pt>
                <c:pt idx="131">
                  <c:v>22.156600000000001</c:v>
                </c:pt>
                <c:pt idx="132">
                  <c:v>22.227399999999999</c:v>
                </c:pt>
                <c:pt idx="133">
                  <c:v>22.3691</c:v>
                </c:pt>
                <c:pt idx="134">
                  <c:v>22.605399999999999</c:v>
                </c:pt>
                <c:pt idx="135">
                  <c:v>22.298300000000001</c:v>
                </c:pt>
                <c:pt idx="136">
                  <c:v>22.085699999999999</c:v>
                </c:pt>
                <c:pt idx="137">
                  <c:v>22.014800000000001</c:v>
                </c:pt>
                <c:pt idx="138">
                  <c:v>21.991199999999999</c:v>
                </c:pt>
                <c:pt idx="139">
                  <c:v>21.896699999999999</c:v>
                </c:pt>
                <c:pt idx="140">
                  <c:v>21.754999999999999</c:v>
                </c:pt>
                <c:pt idx="141">
                  <c:v>21.967600000000001</c:v>
                </c:pt>
                <c:pt idx="142">
                  <c:v>22.014800000000001</c:v>
                </c:pt>
                <c:pt idx="143">
                  <c:v>20.930199999999999</c:v>
                </c:pt>
                <c:pt idx="144">
                  <c:v>20.907699999999998</c:v>
                </c:pt>
                <c:pt idx="145">
                  <c:v>21.290299999999998</c:v>
                </c:pt>
                <c:pt idx="146">
                  <c:v>21.2453</c:v>
                </c:pt>
                <c:pt idx="147">
                  <c:v>21.2453</c:v>
                </c:pt>
                <c:pt idx="148">
                  <c:v>21.222799999999999</c:v>
                </c:pt>
                <c:pt idx="149">
                  <c:v>22.257999999999999</c:v>
                </c:pt>
                <c:pt idx="150">
                  <c:v>22.325600000000001</c:v>
                </c:pt>
                <c:pt idx="151">
                  <c:v>22.2806</c:v>
                </c:pt>
                <c:pt idx="152">
                  <c:v>22.3706</c:v>
                </c:pt>
                <c:pt idx="153">
                  <c:v>22.235499999999998</c:v>
                </c:pt>
                <c:pt idx="154">
                  <c:v>22.257999999999999</c:v>
                </c:pt>
                <c:pt idx="155">
                  <c:v>22.2806</c:v>
                </c:pt>
                <c:pt idx="156">
                  <c:v>22.1905</c:v>
                </c:pt>
                <c:pt idx="157">
                  <c:v>21.965499999999999</c:v>
                </c:pt>
                <c:pt idx="158">
                  <c:v>21.762899999999998</c:v>
                </c:pt>
                <c:pt idx="159">
                  <c:v>21.650400000000001</c:v>
                </c:pt>
                <c:pt idx="160">
                  <c:v>21.357800000000001</c:v>
                </c:pt>
                <c:pt idx="161">
                  <c:v>21.8079</c:v>
                </c:pt>
                <c:pt idx="162">
                  <c:v>22.1005</c:v>
                </c:pt>
                <c:pt idx="163">
                  <c:v>22.055499999999999</c:v>
                </c:pt>
                <c:pt idx="164">
                  <c:v>21.8079</c:v>
                </c:pt>
                <c:pt idx="165">
                  <c:v>21.560400000000001</c:v>
                </c:pt>
                <c:pt idx="166">
                  <c:v>21.6279</c:v>
                </c:pt>
                <c:pt idx="167">
                  <c:v>21.6279</c:v>
                </c:pt>
                <c:pt idx="168">
                  <c:v>21.605399999999999</c:v>
                </c:pt>
                <c:pt idx="169">
                  <c:v>21.965499999999999</c:v>
                </c:pt>
                <c:pt idx="170">
                  <c:v>21.920500000000001</c:v>
                </c:pt>
                <c:pt idx="171">
                  <c:v>21.695399999999999</c:v>
                </c:pt>
                <c:pt idx="172">
                  <c:v>21.830400000000001</c:v>
                </c:pt>
                <c:pt idx="173">
                  <c:v>21.605399999999999</c:v>
                </c:pt>
                <c:pt idx="174">
                  <c:v>22.055499999999999</c:v>
                </c:pt>
                <c:pt idx="175">
                  <c:v>21.898</c:v>
                </c:pt>
                <c:pt idx="176">
                  <c:v>22.123000000000001</c:v>
                </c:pt>
                <c:pt idx="177">
                  <c:v>22.123000000000001</c:v>
                </c:pt>
                <c:pt idx="178">
                  <c:v>21.7179</c:v>
                </c:pt>
                <c:pt idx="179">
                  <c:v>21.447800000000001</c:v>
                </c:pt>
                <c:pt idx="180">
                  <c:v>21.380299999999998</c:v>
                </c:pt>
                <c:pt idx="181">
                  <c:v>21.740400000000001</c:v>
                </c:pt>
                <c:pt idx="182">
                  <c:v>22.033000000000001</c:v>
                </c:pt>
                <c:pt idx="183">
                  <c:v>22.505600000000001</c:v>
                </c:pt>
                <c:pt idx="184">
                  <c:v>22.257999999999999</c:v>
                </c:pt>
                <c:pt idx="185">
                  <c:v>22.077999999999999</c:v>
                </c:pt>
                <c:pt idx="186">
                  <c:v>21.852900000000002</c:v>
                </c:pt>
                <c:pt idx="187">
                  <c:v>22.1005</c:v>
                </c:pt>
                <c:pt idx="188">
                  <c:v>21.875499999999999</c:v>
                </c:pt>
                <c:pt idx="189">
                  <c:v>21.492899999999999</c:v>
                </c:pt>
                <c:pt idx="190">
                  <c:v>21.267800000000001</c:v>
                </c:pt>
                <c:pt idx="191">
                  <c:v>21.605399999999999</c:v>
                </c:pt>
                <c:pt idx="192">
                  <c:v>21.5154</c:v>
                </c:pt>
                <c:pt idx="193">
                  <c:v>21.830400000000001</c:v>
                </c:pt>
                <c:pt idx="194">
                  <c:v>21.560400000000001</c:v>
                </c:pt>
                <c:pt idx="195">
                  <c:v>21.605399999999999</c:v>
                </c:pt>
                <c:pt idx="196">
                  <c:v>21.5379</c:v>
                </c:pt>
                <c:pt idx="197">
                  <c:v>21.582899999999999</c:v>
                </c:pt>
                <c:pt idx="198">
                  <c:v>21.492899999999999</c:v>
                </c:pt>
                <c:pt idx="199">
                  <c:v>21.695399999999999</c:v>
                </c:pt>
                <c:pt idx="200">
                  <c:v>21.560400000000001</c:v>
                </c:pt>
                <c:pt idx="201">
                  <c:v>21.4253</c:v>
                </c:pt>
                <c:pt idx="202">
                  <c:v>21.380299999999998</c:v>
                </c:pt>
                <c:pt idx="203">
                  <c:v>20.975200000000001</c:v>
                </c:pt>
                <c:pt idx="204">
                  <c:v>21.110299999999999</c:v>
                </c:pt>
                <c:pt idx="205">
                  <c:v>21.267800000000001</c:v>
                </c:pt>
                <c:pt idx="206">
                  <c:v>21.267800000000001</c:v>
                </c:pt>
                <c:pt idx="207">
                  <c:v>21.065300000000001</c:v>
                </c:pt>
                <c:pt idx="208">
                  <c:v>21.065300000000001</c:v>
                </c:pt>
                <c:pt idx="209">
                  <c:v>19.406600000000001</c:v>
                </c:pt>
                <c:pt idx="210">
                  <c:v>19.510899999999999</c:v>
                </c:pt>
                <c:pt idx="211">
                  <c:v>19.5318</c:v>
                </c:pt>
                <c:pt idx="212">
                  <c:v>19.510899999999999</c:v>
                </c:pt>
                <c:pt idx="213">
                  <c:v>19.489999999999998</c:v>
                </c:pt>
                <c:pt idx="214">
                  <c:v>19.197900000000001</c:v>
                </c:pt>
                <c:pt idx="215">
                  <c:v>18.676200000000001</c:v>
                </c:pt>
                <c:pt idx="216">
                  <c:v>18.697099999999999</c:v>
                </c:pt>
                <c:pt idx="217">
                  <c:v>19.218800000000002</c:v>
                </c:pt>
                <c:pt idx="218">
                  <c:v>19.0518</c:v>
                </c:pt>
                <c:pt idx="219">
                  <c:v>18.571899999999999</c:v>
                </c:pt>
                <c:pt idx="220">
                  <c:v>18.3841</c:v>
                </c:pt>
                <c:pt idx="221">
                  <c:v>18.425799999999999</c:v>
                </c:pt>
                <c:pt idx="222">
                  <c:v>18.530100000000001</c:v>
                </c:pt>
                <c:pt idx="223">
                  <c:v>18.404900000000001</c:v>
                </c:pt>
                <c:pt idx="224">
                  <c:v>17.799800000000001</c:v>
                </c:pt>
                <c:pt idx="225">
                  <c:v>18.0502</c:v>
                </c:pt>
                <c:pt idx="226">
                  <c:v>17.945900000000002</c:v>
                </c:pt>
                <c:pt idx="227">
                  <c:v>17.925000000000001</c:v>
                </c:pt>
                <c:pt idx="228">
                  <c:v>18.676200000000001</c:v>
                </c:pt>
                <c:pt idx="229">
                  <c:v>18.676200000000001</c:v>
                </c:pt>
                <c:pt idx="230">
                  <c:v>18.905799999999999</c:v>
                </c:pt>
                <c:pt idx="231">
                  <c:v>18.926600000000001</c:v>
                </c:pt>
                <c:pt idx="232">
                  <c:v>19.197900000000001</c:v>
                </c:pt>
                <c:pt idx="233">
                  <c:v>19.1144</c:v>
                </c:pt>
                <c:pt idx="234">
                  <c:v>18.9892</c:v>
                </c:pt>
                <c:pt idx="235">
                  <c:v>19.010100000000001</c:v>
                </c:pt>
                <c:pt idx="236">
                  <c:v>19.0518</c:v>
                </c:pt>
                <c:pt idx="237">
                  <c:v>19.364799999999999</c:v>
                </c:pt>
                <c:pt idx="238">
                  <c:v>19.239599999999999</c:v>
                </c:pt>
                <c:pt idx="239">
                  <c:v>19.510899999999999</c:v>
                </c:pt>
                <c:pt idx="240">
                  <c:v>19.3857</c:v>
                </c:pt>
                <c:pt idx="241">
                  <c:v>19.406600000000001</c:v>
                </c:pt>
                <c:pt idx="242">
                  <c:v>19.197900000000001</c:v>
                </c:pt>
                <c:pt idx="243">
                  <c:v>19.2605</c:v>
                </c:pt>
                <c:pt idx="244">
                  <c:v>19.469200000000001</c:v>
                </c:pt>
                <c:pt idx="245">
                  <c:v>19.489999999999998</c:v>
                </c:pt>
                <c:pt idx="246">
                  <c:v>19.427399999999999</c:v>
                </c:pt>
                <c:pt idx="247">
                  <c:v>19.489999999999998</c:v>
                </c:pt>
                <c:pt idx="248">
                  <c:v>19.510899999999999</c:v>
                </c:pt>
                <c:pt idx="249">
                  <c:v>19.573499999999999</c:v>
                </c:pt>
                <c:pt idx="250">
                  <c:v>19.7822</c:v>
                </c:pt>
                <c:pt idx="251">
                  <c:v>19.9283</c:v>
                </c:pt>
                <c:pt idx="252">
                  <c:v>19.740400000000001</c:v>
                </c:pt>
                <c:pt idx="253">
                  <c:v>19.4483</c:v>
                </c:pt>
                <c:pt idx="254">
                  <c:v>19.156199999999998</c:v>
                </c:pt>
                <c:pt idx="255">
                  <c:v>18.9892</c:v>
                </c:pt>
                <c:pt idx="256">
                  <c:v>19.1144</c:v>
                </c:pt>
                <c:pt idx="257">
                  <c:v>19.197900000000001</c:v>
                </c:pt>
                <c:pt idx="258">
                  <c:v>19.844799999999999</c:v>
                </c:pt>
                <c:pt idx="259">
                  <c:v>19.886500000000002</c:v>
                </c:pt>
                <c:pt idx="260">
                  <c:v>20.116099999999999</c:v>
                </c:pt>
                <c:pt idx="261">
                  <c:v>20.136900000000001</c:v>
                </c:pt>
                <c:pt idx="262">
                  <c:v>20.032599999999999</c:v>
                </c:pt>
                <c:pt idx="263">
                  <c:v>19.97</c:v>
                </c:pt>
                <c:pt idx="264">
                  <c:v>20.470800000000001</c:v>
                </c:pt>
                <c:pt idx="265">
                  <c:v>21.889800000000001</c:v>
                </c:pt>
                <c:pt idx="266">
                  <c:v>22.119299999999999</c:v>
                </c:pt>
                <c:pt idx="267">
                  <c:v>20.768699999999999</c:v>
                </c:pt>
                <c:pt idx="268">
                  <c:v>21.545100000000001</c:v>
                </c:pt>
                <c:pt idx="269">
                  <c:v>21.215199999999999</c:v>
                </c:pt>
                <c:pt idx="270">
                  <c:v>21.1569</c:v>
                </c:pt>
                <c:pt idx="271">
                  <c:v>21.933299999999999</c:v>
                </c:pt>
                <c:pt idx="272">
                  <c:v>21.991599999999998</c:v>
                </c:pt>
                <c:pt idx="273">
                  <c:v>21.059899999999999</c:v>
                </c:pt>
                <c:pt idx="274">
                  <c:v>21.312200000000001</c:v>
                </c:pt>
                <c:pt idx="275">
                  <c:v>22.341000000000001</c:v>
                </c:pt>
                <c:pt idx="276">
                  <c:v>22.632100000000001</c:v>
                </c:pt>
                <c:pt idx="277">
                  <c:v>22.3215</c:v>
                </c:pt>
                <c:pt idx="278">
                  <c:v>22.418600000000001</c:v>
                </c:pt>
                <c:pt idx="279">
                  <c:v>21.7392</c:v>
                </c:pt>
                <c:pt idx="280">
                  <c:v>21.7392</c:v>
                </c:pt>
                <c:pt idx="281">
                  <c:v>21.7392</c:v>
                </c:pt>
                <c:pt idx="282">
                  <c:v>21.564599999999999</c:v>
                </c:pt>
                <c:pt idx="283">
                  <c:v>20.07</c:v>
                </c:pt>
                <c:pt idx="284">
                  <c:v>20.244700000000002</c:v>
                </c:pt>
                <c:pt idx="285">
                  <c:v>19.9923</c:v>
                </c:pt>
                <c:pt idx="286">
                  <c:v>20.477599999999999</c:v>
                </c:pt>
                <c:pt idx="287">
                  <c:v>20.380500000000001</c:v>
                </c:pt>
                <c:pt idx="288">
                  <c:v>20.2835</c:v>
                </c:pt>
                <c:pt idx="289">
                  <c:v>20.322299999999998</c:v>
                </c:pt>
                <c:pt idx="290">
                  <c:v>19.448899999999998</c:v>
                </c:pt>
                <c:pt idx="291">
                  <c:v>18.2454</c:v>
                </c:pt>
                <c:pt idx="292">
                  <c:v>19.099499999999999</c:v>
                </c:pt>
                <c:pt idx="293">
                  <c:v>19.7788</c:v>
                </c:pt>
                <c:pt idx="294">
                  <c:v>18.556000000000001</c:v>
                </c:pt>
                <c:pt idx="295">
                  <c:v>18.1678</c:v>
                </c:pt>
                <c:pt idx="296">
                  <c:v>18.090199999999999</c:v>
                </c:pt>
                <c:pt idx="297">
                  <c:v>19.351800000000001</c:v>
                </c:pt>
                <c:pt idx="298">
                  <c:v>18.9636</c:v>
                </c:pt>
                <c:pt idx="299">
                  <c:v>18.8277</c:v>
                </c:pt>
                <c:pt idx="300">
                  <c:v>18.924800000000001</c:v>
                </c:pt>
                <c:pt idx="301">
                  <c:v>18.730699999999999</c:v>
                </c:pt>
                <c:pt idx="302">
                  <c:v>19.060700000000001</c:v>
                </c:pt>
                <c:pt idx="303">
                  <c:v>20.380500000000001</c:v>
                </c:pt>
                <c:pt idx="304">
                  <c:v>20.497</c:v>
                </c:pt>
                <c:pt idx="305">
                  <c:v>21.700399999999998</c:v>
                </c:pt>
                <c:pt idx="306">
                  <c:v>21.603400000000001</c:v>
                </c:pt>
                <c:pt idx="307">
                  <c:v>21.331600000000002</c:v>
                </c:pt>
                <c:pt idx="308">
                  <c:v>21.700399999999998</c:v>
                </c:pt>
                <c:pt idx="309">
                  <c:v>21.642199999999999</c:v>
                </c:pt>
                <c:pt idx="310">
                  <c:v>22.127400000000002</c:v>
                </c:pt>
                <c:pt idx="311">
                  <c:v>21.933299999999999</c:v>
                </c:pt>
                <c:pt idx="312">
                  <c:v>22.437999999999999</c:v>
                </c:pt>
                <c:pt idx="313">
                  <c:v>22.3215</c:v>
                </c:pt>
                <c:pt idx="314">
                  <c:v>22.379799999999999</c:v>
                </c:pt>
                <c:pt idx="315">
                  <c:v>21.350999999999999</c:v>
                </c:pt>
                <c:pt idx="316">
                  <c:v>20.0777</c:v>
                </c:pt>
                <c:pt idx="317">
                  <c:v>20.7532</c:v>
                </c:pt>
                <c:pt idx="318">
                  <c:v>21.0793</c:v>
                </c:pt>
                <c:pt idx="319">
                  <c:v>21.428699999999999</c:v>
                </c:pt>
                <c:pt idx="320">
                  <c:v>21.428699999999999</c:v>
                </c:pt>
                <c:pt idx="321">
                  <c:v>21.428699999999999</c:v>
                </c:pt>
                <c:pt idx="322">
                  <c:v>20.7532</c:v>
                </c:pt>
                <c:pt idx="323">
                  <c:v>19.681799999999999</c:v>
                </c:pt>
                <c:pt idx="324">
                  <c:v>19.9147</c:v>
                </c:pt>
                <c:pt idx="325">
                  <c:v>19.9147</c:v>
                </c:pt>
                <c:pt idx="326">
                  <c:v>20.147600000000001</c:v>
                </c:pt>
                <c:pt idx="327">
                  <c:v>20.893000000000001</c:v>
                </c:pt>
                <c:pt idx="328">
                  <c:v>20.962800000000001</c:v>
                </c:pt>
                <c:pt idx="329">
                  <c:v>19.103100000000001</c:v>
                </c:pt>
                <c:pt idx="330">
                  <c:v>19.501999999999999</c:v>
                </c:pt>
                <c:pt idx="331">
                  <c:v>19.213899999999999</c:v>
                </c:pt>
                <c:pt idx="332">
                  <c:v>18.925799999999999</c:v>
                </c:pt>
                <c:pt idx="333">
                  <c:v>18.5047</c:v>
                </c:pt>
                <c:pt idx="334">
                  <c:v>18.4161</c:v>
                </c:pt>
                <c:pt idx="335">
                  <c:v>18.526900000000001</c:v>
                </c:pt>
                <c:pt idx="336">
                  <c:v>18.349599999999999</c:v>
                </c:pt>
                <c:pt idx="337">
                  <c:v>18.5047</c:v>
                </c:pt>
                <c:pt idx="338">
                  <c:v>18.283100000000001</c:v>
                </c:pt>
                <c:pt idx="339">
                  <c:v>18.349599999999999</c:v>
                </c:pt>
                <c:pt idx="340">
                  <c:v>18.2166</c:v>
                </c:pt>
                <c:pt idx="341">
                  <c:v>18.393899999999999</c:v>
                </c:pt>
                <c:pt idx="342">
                  <c:v>18.393899999999999</c:v>
                </c:pt>
                <c:pt idx="343">
                  <c:v>18.815000000000001</c:v>
                </c:pt>
                <c:pt idx="344">
                  <c:v>18.8371</c:v>
                </c:pt>
                <c:pt idx="345">
                  <c:v>18.859300000000001</c:v>
                </c:pt>
                <c:pt idx="346">
                  <c:v>18.925799999999999</c:v>
                </c:pt>
                <c:pt idx="347">
                  <c:v>18.7928</c:v>
                </c:pt>
                <c:pt idx="348">
                  <c:v>18.881499999999999</c:v>
                </c:pt>
                <c:pt idx="349">
                  <c:v>18.815000000000001</c:v>
                </c:pt>
                <c:pt idx="350">
                  <c:v>18.5047</c:v>
                </c:pt>
                <c:pt idx="351">
                  <c:v>18.615500000000001</c:v>
                </c:pt>
                <c:pt idx="352">
                  <c:v>18.8371</c:v>
                </c:pt>
                <c:pt idx="353">
                  <c:v>18.7928</c:v>
                </c:pt>
                <c:pt idx="354">
                  <c:v>19.0809</c:v>
                </c:pt>
                <c:pt idx="355">
                  <c:v>19.014399999999998</c:v>
                </c:pt>
                <c:pt idx="356">
                  <c:v>19.058700000000002</c:v>
                </c:pt>
                <c:pt idx="357">
                  <c:v>19.103100000000001</c:v>
                </c:pt>
                <c:pt idx="358">
                  <c:v>19.058700000000002</c:v>
                </c:pt>
                <c:pt idx="359">
                  <c:v>19.058700000000002</c:v>
                </c:pt>
                <c:pt idx="360">
                  <c:v>19.169499999999999</c:v>
                </c:pt>
                <c:pt idx="361">
                  <c:v>19.7014</c:v>
                </c:pt>
                <c:pt idx="362">
                  <c:v>19.6571</c:v>
                </c:pt>
                <c:pt idx="363">
                  <c:v>19.5685</c:v>
                </c:pt>
                <c:pt idx="364">
                  <c:v>19.5685</c:v>
                </c:pt>
                <c:pt idx="365">
                  <c:v>19.258199999999999</c:v>
                </c:pt>
                <c:pt idx="366">
                  <c:v>19.236000000000001</c:v>
                </c:pt>
                <c:pt idx="367">
                  <c:v>19.2804</c:v>
                </c:pt>
                <c:pt idx="368">
                  <c:v>19.103100000000001</c:v>
                </c:pt>
                <c:pt idx="369">
                  <c:v>19.1252</c:v>
                </c:pt>
                <c:pt idx="370">
                  <c:v>19.3247</c:v>
                </c:pt>
                <c:pt idx="371">
                  <c:v>19.169499999999999</c:v>
                </c:pt>
                <c:pt idx="372">
                  <c:v>19.147400000000001</c:v>
                </c:pt>
                <c:pt idx="373">
                  <c:v>19.191700000000001</c:v>
                </c:pt>
                <c:pt idx="374">
                  <c:v>19.103100000000001</c:v>
                </c:pt>
                <c:pt idx="375">
                  <c:v>19.014399999999998</c:v>
                </c:pt>
                <c:pt idx="376">
                  <c:v>18.615500000000001</c:v>
                </c:pt>
                <c:pt idx="377">
                  <c:v>18.681999999999999</c:v>
                </c:pt>
                <c:pt idx="378">
                  <c:v>18.681999999999999</c:v>
                </c:pt>
                <c:pt idx="379">
                  <c:v>18.7485</c:v>
                </c:pt>
                <c:pt idx="380">
                  <c:v>18.7485</c:v>
                </c:pt>
                <c:pt idx="381">
                  <c:v>18.615500000000001</c:v>
                </c:pt>
                <c:pt idx="382">
                  <c:v>18.548999999999999</c:v>
                </c:pt>
                <c:pt idx="383">
                  <c:v>18.283100000000001</c:v>
                </c:pt>
                <c:pt idx="384">
                  <c:v>18.4161</c:v>
                </c:pt>
                <c:pt idx="385">
                  <c:v>18.482500000000002</c:v>
                </c:pt>
                <c:pt idx="386">
                  <c:v>18.238800000000001</c:v>
                </c:pt>
                <c:pt idx="387">
                  <c:v>18.371700000000001</c:v>
                </c:pt>
                <c:pt idx="388">
                  <c:v>18.260899999999999</c:v>
                </c:pt>
                <c:pt idx="389">
                  <c:v>18.061499999999999</c:v>
                </c:pt>
                <c:pt idx="390">
                  <c:v>17.8399</c:v>
                </c:pt>
                <c:pt idx="391">
                  <c:v>17.285799999999998</c:v>
                </c:pt>
                <c:pt idx="392">
                  <c:v>17.0642</c:v>
                </c:pt>
                <c:pt idx="393">
                  <c:v>16.7621</c:v>
                </c:pt>
                <c:pt idx="394">
                  <c:v>16.033300000000001</c:v>
                </c:pt>
                <c:pt idx="395">
                  <c:v>16.1374</c:v>
                </c:pt>
                <c:pt idx="396">
                  <c:v>16.3248</c:v>
                </c:pt>
                <c:pt idx="397">
                  <c:v>15.9292</c:v>
                </c:pt>
                <c:pt idx="398">
                  <c:v>15.4086</c:v>
                </c:pt>
                <c:pt idx="399">
                  <c:v>15.4086</c:v>
                </c:pt>
                <c:pt idx="400">
                  <c:v>14.783899999999999</c:v>
                </c:pt>
                <c:pt idx="401">
                  <c:v>15.0755</c:v>
                </c:pt>
                <c:pt idx="402">
                  <c:v>15.2004</c:v>
                </c:pt>
                <c:pt idx="403">
                  <c:v>15.4086</c:v>
                </c:pt>
                <c:pt idx="404">
                  <c:v>15.367000000000001</c:v>
                </c:pt>
                <c:pt idx="405">
                  <c:v>15.596</c:v>
                </c:pt>
                <c:pt idx="406">
                  <c:v>15.721</c:v>
                </c:pt>
                <c:pt idx="407">
                  <c:v>16.1999</c:v>
                </c:pt>
                <c:pt idx="408">
                  <c:v>15.3878</c:v>
                </c:pt>
                <c:pt idx="409">
                  <c:v>14.8048</c:v>
                </c:pt>
                <c:pt idx="410">
                  <c:v>15.242000000000001</c:v>
                </c:pt>
                <c:pt idx="411">
                  <c:v>15.367000000000001</c:v>
                </c:pt>
                <c:pt idx="412">
                  <c:v>15.7834</c:v>
                </c:pt>
                <c:pt idx="413">
                  <c:v>15.6168</c:v>
                </c:pt>
                <c:pt idx="414">
                  <c:v>15.7418</c:v>
                </c:pt>
                <c:pt idx="415">
                  <c:v>15.721</c:v>
                </c:pt>
                <c:pt idx="416">
                  <c:v>15.4086</c:v>
                </c:pt>
                <c:pt idx="417">
                  <c:v>15.429399999999999</c:v>
                </c:pt>
                <c:pt idx="418">
                  <c:v>15.179600000000001</c:v>
                </c:pt>
                <c:pt idx="419">
                  <c:v>15.117100000000001</c:v>
                </c:pt>
                <c:pt idx="420">
                  <c:v>15.2629</c:v>
                </c:pt>
                <c:pt idx="421">
                  <c:v>15.4086</c:v>
                </c:pt>
                <c:pt idx="422">
                  <c:v>15.2004</c:v>
                </c:pt>
                <c:pt idx="423">
                  <c:v>15.1587</c:v>
                </c:pt>
                <c:pt idx="424">
                  <c:v>14.7423</c:v>
                </c:pt>
                <c:pt idx="425">
                  <c:v>13.722</c:v>
                </c:pt>
                <c:pt idx="426">
                  <c:v>14.43</c:v>
                </c:pt>
                <c:pt idx="427">
                  <c:v>14.783899999999999</c:v>
                </c:pt>
                <c:pt idx="428">
                  <c:v>14.8881</c:v>
                </c:pt>
                <c:pt idx="429">
                  <c:v>14.596500000000001</c:v>
                </c:pt>
                <c:pt idx="430">
                  <c:v>14.6798</c:v>
                </c:pt>
                <c:pt idx="431">
                  <c:v>14.6798</c:v>
                </c:pt>
                <c:pt idx="432">
                  <c:v>14.6798</c:v>
                </c:pt>
                <c:pt idx="433">
                  <c:v>14.9922</c:v>
                </c:pt>
                <c:pt idx="434">
                  <c:v>15.4711</c:v>
                </c:pt>
                <c:pt idx="435">
                  <c:v>15.4711</c:v>
                </c:pt>
                <c:pt idx="436">
                  <c:v>15.5336</c:v>
                </c:pt>
                <c:pt idx="437">
                  <c:v>15.554399999999999</c:v>
                </c:pt>
                <c:pt idx="438">
                  <c:v>16.116599999999998</c:v>
                </c:pt>
                <c:pt idx="439">
                  <c:v>16.303999999999998</c:v>
                </c:pt>
                <c:pt idx="440">
                  <c:v>15.825100000000001</c:v>
                </c:pt>
                <c:pt idx="441">
                  <c:v>15.9292</c:v>
                </c:pt>
                <c:pt idx="442">
                  <c:v>16.033300000000001</c:v>
                </c:pt>
                <c:pt idx="443">
                  <c:v>16.241499999999998</c:v>
                </c:pt>
                <c:pt idx="444">
                  <c:v>16.033300000000001</c:v>
                </c:pt>
                <c:pt idx="445">
                  <c:v>16.0749</c:v>
                </c:pt>
                <c:pt idx="446">
                  <c:v>15.887499999999999</c:v>
                </c:pt>
                <c:pt idx="447">
                  <c:v>16.178999999999998</c:v>
                </c:pt>
                <c:pt idx="448">
                  <c:v>16.220700000000001</c:v>
                </c:pt>
                <c:pt idx="449">
                  <c:v>15.95</c:v>
                </c:pt>
                <c:pt idx="450">
                  <c:v>15.95</c:v>
                </c:pt>
                <c:pt idx="451">
                  <c:v>16.0749</c:v>
                </c:pt>
                <c:pt idx="452">
                  <c:v>16.0749</c:v>
                </c:pt>
                <c:pt idx="453">
                  <c:v>16.241499999999998</c:v>
                </c:pt>
                <c:pt idx="454">
                  <c:v>15.9084</c:v>
                </c:pt>
                <c:pt idx="455">
                  <c:v>15.9292</c:v>
                </c:pt>
                <c:pt idx="456">
                  <c:v>15.970800000000001</c:v>
                </c:pt>
                <c:pt idx="457">
                  <c:v>15.8667</c:v>
                </c:pt>
                <c:pt idx="458">
                  <c:v>15.860099999999999</c:v>
                </c:pt>
                <c:pt idx="459">
                  <c:v>16.499400000000001</c:v>
                </c:pt>
                <c:pt idx="460">
                  <c:v>16.499400000000001</c:v>
                </c:pt>
                <c:pt idx="461">
                  <c:v>16.623200000000001</c:v>
                </c:pt>
                <c:pt idx="462">
                  <c:v>16.561299999999999</c:v>
                </c:pt>
                <c:pt idx="463">
                  <c:v>16.561299999999999</c:v>
                </c:pt>
                <c:pt idx="464">
                  <c:v>16.581900000000001</c:v>
                </c:pt>
                <c:pt idx="465">
                  <c:v>16.685099999999998</c:v>
                </c:pt>
                <c:pt idx="466">
                  <c:v>16.643799999999999</c:v>
                </c:pt>
                <c:pt idx="467">
                  <c:v>16.499400000000001</c:v>
                </c:pt>
                <c:pt idx="468">
                  <c:v>16.664400000000001</c:v>
                </c:pt>
                <c:pt idx="469">
                  <c:v>16.911899999999999</c:v>
                </c:pt>
                <c:pt idx="470">
                  <c:v>17.200700000000001</c:v>
                </c:pt>
                <c:pt idx="471">
                  <c:v>17.303799999999999</c:v>
                </c:pt>
                <c:pt idx="472">
                  <c:v>17.324400000000001</c:v>
                </c:pt>
                <c:pt idx="473">
                  <c:v>17.262499999999999</c:v>
                </c:pt>
                <c:pt idx="474">
                  <c:v>17.221299999999999</c:v>
                </c:pt>
                <c:pt idx="475">
                  <c:v>16.911899999999999</c:v>
                </c:pt>
                <c:pt idx="476">
                  <c:v>16.891300000000001</c:v>
                </c:pt>
                <c:pt idx="477">
                  <c:v>16.520099999999999</c:v>
                </c:pt>
                <c:pt idx="478">
                  <c:v>16.602599999999999</c:v>
                </c:pt>
                <c:pt idx="479">
                  <c:v>16.643799999999999</c:v>
                </c:pt>
                <c:pt idx="480">
                  <c:v>16.7469</c:v>
                </c:pt>
                <c:pt idx="481">
                  <c:v>16.643799999999999</c:v>
                </c:pt>
                <c:pt idx="482">
                  <c:v>16.643799999999999</c:v>
                </c:pt>
                <c:pt idx="483">
                  <c:v>16.643799999999999</c:v>
                </c:pt>
                <c:pt idx="484">
                  <c:v>16.664400000000001</c:v>
                </c:pt>
                <c:pt idx="485">
                  <c:v>16.8294</c:v>
                </c:pt>
                <c:pt idx="486">
                  <c:v>16.8294</c:v>
                </c:pt>
                <c:pt idx="487">
                  <c:v>16.8294</c:v>
                </c:pt>
                <c:pt idx="488">
                  <c:v>17.076899999999998</c:v>
                </c:pt>
                <c:pt idx="489">
                  <c:v>17.076899999999998</c:v>
                </c:pt>
                <c:pt idx="490">
                  <c:v>16.870699999999999</c:v>
                </c:pt>
                <c:pt idx="491">
                  <c:v>16.7882</c:v>
                </c:pt>
                <c:pt idx="492">
                  <c:v>16.664400000000001</c:v>
                </c:pt>
                <c:pt idx="493">
                  <c:v>16.561299999999999</c:v>
                </c:pt>
                <c:pt idx="494">
                  <c:v>16.602599999999999</c:v>
                </c:pt>
                <c:pt idx="495">
                  <c:v>16.602599999999999</c:v>
                </c:pt>
                <c:pt idx="496">
                  <c:v>16.499400000000001</c:v>
                </c:pt>
                <c:pt idx="497">
                  <c:v>16.190100000000001</c:v>
                </c:pt>
                <c:pt idx="498">
                  <c:v>16.1282</c:v>
                </c:pt>
                <c:pt idx="499">
                  <c:v>16.251899999999999</c:v>
                </c:pt>
                <c:pt idx="500">
                  <c:v>16.3963</c:v>
                </c:pt>
                <c:pt idx="501">
                  <c:v>16.623200000000001</c:v>
                </c:pt>
                <c:pt idx="502">
                  <c:v>16.3963</c:v>
                </c:pt>
                <c:pt idx="503">
                  <c:v>16.272600000000001</c:v>
                </c:pt>
                <c:pt idx="504">
                  <c:v>16.231300000000001</c:v>
                </c:pt>
                <c:pt idx="505">
                  <c:v>16.602599999999999</c:v>
                </c:pt>
                <c:pt idx="506">
                  <c:v>16.334399999999999</c:v>
                </c:pt>
                <c:pt idx="507">
                  <c:v>16.293199999999999</c:v>
                </c:pt>
                <c:pt idx="508">
                  <c:v>16.0045</c:v>
                </c:pt>
                <c:pt idx="509">
                  <c:v>16.107600000000001</c:v>
                </c:pt>
                <c:pt idx="510">
                  <c:v>16.190100000000001</c:v>
                </c:pt>
                <c:pt idx="511">
                  <c:v>16.087</c:v>
                </c:pt>
                <c:pt idx="512">
                  <c:v>16.210699999999999</c:v>
                </c:pt>
                <c:pt idx="513">
                  <c:v>16.313800000000001</c:v>
                </c:pt>
                <c:pt idx="514">
                  <c:v>16.334399999999999</c:v>
                </c:pt>
                <c:pt idx="515">
                  <c:v>16.293199999999999</c:v>
                </c:pt>
                <c:pt idx="516">
                  <c:v>16.313800000000001</c:v>
                </c:pt>
                <c:pt idx="517">
                  <c:v>15.595000000000001</c:v>
                </c:pt>
                <c:pt idx="518">
                  <c:v>15.9498</c:v>
                </c:pt>
                <c:pt idx="519">
                  <c:v>15.871</c:v>
                </c:pt>
                <c:pt idx="520">
                  <c:v>15.890700000000001</c:v>
                </c:pt>
                <c:pt idx="521">
                  <c:v>15.8316</c:v>
                </c:pt>
                <c:pt idx="522">
                  <c:v>15.871</c:v>
                </c:pt>
                <c:pt idx="523">
                  <c:v>15.8316</c:v>
                </c:pt>
                <c:pt idx="524">
                  <c:v>15.8316</c:v>
                </c:pt>
                <c:pt idx="525">
                  <c:v>15.8316</c:v>
                </c:pt>
                <c:pt idx="526">
                  <c:v>15.6935</c:v>
                </c:pt>
                <c:pt idx="527">
                  <c:v>15.6935</c:v>
                </c:pt>
                <c:pt idx="528">
                  <c:v>15.6935</c:v>
                </c:pt>
                <c:pt idx="529">
                  <c:v>15.6541</c:v>
                </c:pt>
                <c:pt idx="530">
                  <c:v>15.634399999999999</c:v>
                </c:pt>
                <c:pt idx="531">
                  <c:v>15.6541</c:v>
                </c:pt>
                <c:pt idx="532">
                  <c:v>15.634399999999999</c:v>
                </c:pt>
                <c:pt idx="533">
                  <c:v>15.595000000000001</c:v>
                </c:pt>
                <c:pt idx="534">
                  <c:v>15.457000000000001</c:v>
                </c:pt>
                <c:pt idx="535">
                  <c:v>15.437200000000001</c:v>
                </c:pt>
                <c:pt idx="536">
                  <c:v>15.437200000000001</c:v>
                </c:pt>
                <c:pt idx="537">
                  <c:v>15.279500000000001</c:v>
                </c:pt>
                <c:pt idx="538">
                  <c:v>15.476699999999999</c:v>
                </c:pt>
                <c:pt idx="539">
                  <c:v>15.457000000000001</c:v>
                </c:pt>
                <c:pt idx="540">
                  <c:v>15.476699999999999</c:v>
                </c:pt>
                <c:pt idx="541">
                  <c:v>15.5555</c:v>
                </c:pt>
                <c:pt idx="542">
                  <c:v>15.5753</c:v>
                </c:pt>
                <c:pt idx="543">
                  <c:v>15.595000000000001</c:v>
                </c:pt>
                <c:pt idx="544">
                  <c:v>15.871</c:v>
                </c:pt>
                <c:pt idx="545">
                  <c:v>15.9696</c:v>
                </c:pt>
                <c:pt idx="546">
                  <c:v>16.068100000000001</c:v>
                </c:pt>
                <c:pt idx="547">
                  <c:v>16.068100000000001</c:v>
                </c:pt>
                <c:pt idx="548">
                  <c:v>16.344200000000001</c:v>
                </c:pt>
                <c:pt idx="549">
                  <c:v>16.324400000000001</c:v>
                </c:pt>
                <c:pt idx="550">
                  <c:v>16.2653</c:v>
                </c:pt>
                <c:pt idx="551">
                  <c:v>16.166699999999999</c:v>
                </c:pt>
                <c:pt idx="552">
                  <c:v>16.028700000000001</c:v>
                </c:pt>
                <c:pt idx="553">
                  <c:v>16.403300000000002</c:v>
                </c:pt>
                <c:pt idx="554">
                  <c:v>16.383600000000001</c:v>
                </c:pt>
                <c:pt idx="555">
                  <c:v>16.383600000000001</c:v>
                </c:pt>
                <c:pt idx="556">
                  <c:v>16.561</c:v>
                </c:pt>
                <c:pt idx="557">
                  <c:v>16.5807</c:v>
                </c:pt>
                <c:pt idx="558">
                  <c:v>16.462399999999999</c:v>
                </c:pt>
                <c:pt idx="559">
                  <c:v>16.521599999999999</c:v>
                </c:pt>
                <c:pt idx="560">
                  <c:v>16.758199999999999</c:v>
                </c:pt>
                <c:pt idx="561">
                  <c:v>16.817299999999999</c:v>
                </c:pt>
                <c:pt idx="562">
                  <c:v>16.758199999999999</c:v>
                </c:pt>
                <c:pt idx="563">
                  <c:v>16.482199999999999</c:v>
                </c:pt>
                <c:pt idx="564">
                  <c:v>16.679300000000001</c:v>
                </c:pt>
                <c:pt idx="565">
                  <c:v>16.738499999999998</c:v>
                </c:pt>
                <c:pt idx="566">
                  <c:v>16.639900000000001</c:v>
                </c:pt>
                <c:pt idx="567">
                  <c:v>16.6005</c:v>
                </c:pt>
                <c:pt idx="568">
                  <c:v>16.5807</c:v>
                </c:pt>
                <c:pt idx="569">
                  <c:v>16.659600000000001</c:v>
                </c:pt>
                <c:pt idx="570">
                  <c:v>16.699000000000002</c:v>
                </c:pt>
                <c:pt idx="571">
                  <c:v>16.8568</c:v>
                </c:pt>
                <c:pt idx="572">
                  <c:v>16.915900000000001</c:v>
                </c:pt>
                <c:pt idx="573">
                  <c:v>16.8568</c:v>
                </c:pt>
                <c:pt idx="574">
                  <c:v>16.777899999999999</c:v>
                </c:pt>
                <c:pt idx="575">
                  <c:v>16.915900000000001</c:v>
                </c:pt>
                <c:pt idx="576">
                  <c:v>17.211600000000001</c:v>
                </c:pt>
                <c:pt idx="577">
                  <c:v>17.1525</c:v>
                </c:pt>
                <c:pt idx="578">
                  <c:v>17.053899999999999</c:v>
                </c:pt>
                <c:pt idx="579">
                  <c:v>16.211300000000001</c:v>
                </c:pt>
                <c:pt idx="580">
                  <c:v>16.2867</c:v>
                </c:pt>
                <c:pt idx="581">
                  <c:v>16.399799999999999</c:v>
                </c:pt>
                <c:pt idx="582">
                  <c:v>16.215</c:v>
                </c:pt>
                <c:pt idx="583">
                  <c:v>16.171700000000001</c:v>
                </c:pt>
                <c:pt idx="584">
                  <c:v>16.323399999999999</c:v>
                </c:pt>
                <c:pt idx="585">
                  <c:v>16.323399999999999</c:v>
                </c:pt>
                <c:pt idx="586">
                  <c:v>16.258400000000002</c:v>
                </c:pt>
                <c:pt idx="587">
                  <c:v>16.323399999999999</c:v>
                </c:pt>
                <c:pt idx="588">
                  <c:v>16.431799999999999</c:v>
                </c:pt>
                <c:pt idx="589">
                  <c:v>16.973700000000001</c:v>
                </c:pt>
                <c:pt idx="590">
                  <c:v>17.125499999999999</c:v>
                </c:pt>
                <c:pt idx="591">
                  <c:v>17.060500000000001</c:v>
                </c:pt>
                <c:pt idx="592">
                  <c:v>17.017099999999999</c:v>
                </c:pt>
                <c:pt idx="593">
                  <c:v>17.407299999999999</c:v>
                </c:pt>
                <c:pt idx="594">
                  <c:v>17.559000000000001</c:v>
                </c:pt>
                <c:pt idx="595">
                  <c:v>17.559000000000001</c:v>
                </c:pt>
                <c:pt idx="596">
                  <c:v>17.624099999999999</c:v>
                </c:pt>
                <c:pt idx="597">
                  <c:v>17.927600000000002</c:v>
                </c:pt>
                <c:pt idx="598">
                  <c:v>18.144300000000001</c:v>
                </c:pt>
                <c:pt idx="599">
                  <c:v>18.296099999999999</c:v>
                </c:pt>
                <c:pt idx="600">
                  <c:v>18.5562</c:v>
                </c:pt>
                <c:pt idx="601">
                  <c:v>18.317799999999998</c:v>
                </c:pt>
                <c:pt idx="602">
                  <c:v>18.100999999999999</c:v>
                </c:pt>
                <c:pt idx="603">
                  <c:v>18.144300000000001</c:v>
                </c:pt>
                <c:pt idx="604">
                  <c:v>18.057600000000001</c:v>
                </c:pt>
                <c:pt idx="605">
                  <c:v>18.317799999999998</c:v>
                </c:pt>
                <c:pt idx="606">
                  <c:v>18.252700000000001</c:v>
                </c:pt>
                <c:pt idx="607">
                  <c:v>18.014299999999999</c:v>
                </c:pt>
                <c:pt idx="608">
                  <c:v>17.819199999999999</c:v>
                </c:pt>
                <c:pt idx="609">
                  <c:v>17.7758</c:v>
                </c:pt>
                <c:pt idx="610">
                  <c:v>17.905899999999999</c:v>
                </c:pt>
                <c:pt idx="611">
                  <c:v>18.209399999999999</c:v>
                </c:pt>
                <c:pt idx="612">
                  <c:v>18.447800000000001</c:v>
                </c:pt>
                <c:pt idx="613">
                  <c:v>18.642900000000001</c:v>
                </c:pt>
                <c:pt idx="614">
                  <c:v>18.534600000000001</c:v>
                </c:pt>
                <c:pt idx="615">
                  <c:v>18.621300000000002</c:v>
                </c:pt>
                <c:pt idx="616">
                  <c:v>18.751300000000001</c:v>
                </c:pt>
                <c:pt idx="617">
                  <c:v>18.751300000000001</c:v>
                </c:pt>
                <c:pt idx="618">
                  <c:v>19.510100000000001</c:v>
                </c:pt>
                <c:pt idx="619">
                  <c:v>19.6401</c:v>
                </c:pt>
                <c:pt idx="620">
                  <c:v>20.377199999999998</c:v>
                </c:pt>
                <c:pt idx="621">
                  <c:v>20.290500000000002</c:v>
                </c:pt>
                <c:pt idx="622">
                  <c:v>20.940799999999999</c:v>
                </c:pt>
                <c:pt idx="623">
                  <c:v>20.962499999999999</c:v>
                </c:pt>
                <c:pt idx="624">
                  <c:v>20.984100000000002</c:v>
                </c:pt>
                <c:pt idx="625">
                  <c:v>21.461099999999998</c:v>
                </c:pt>
                <c:pt idx="626">
                  <c:v>21.2226</c:v>
                </c:pt>
                <c:pt idx="627">
                  <c:v>21.157599999999999</c:v>
                </c:pt>
                <c:pt idx="628">
                  <c:v>21.1142</c:v>
                </c:pt>
                <c:pt idx="629">
                  <c:v>21.439399999999999</c:v>
                </c:pt>
                <c:pt idx="630">
                  <c:v>21.244299999999999</c:v>
                </c:pt>
                <c:pt idx="631">
                  <c:v>20.789000000000001</c:v>
                </c:pt>
                <c:pt idx="632">
                  <c:v>21.135899999999999</c:v>
                </c:pt>
                <c:pt idx="633">
                  <c:v>21.005800000000001</c:v>
                </c:pt>
                <c:pt idx="634">
                  <c:v>21.331</c:v>
                </c:pt>
                <c:pt idx="635">
                  <c:v>21.352699999999999</c:v>
                </c:pt>
                <c:pt idx="636">
                  <c:v>20.984100000000002</c:v>
                </c:pt>
                <c:pt idx="637">
                  <c:v>20.962499999999999</c:v>
                </c:pt>
                <c:pt idx="638">
                  <c:v>20.4422</c:v>
                </c:pt>
                <c:pt idx="639">
                  <c:v>20.268799999999999</c:v>
                </c:pt>
                <c:pt idx="640">
                  <c:v>20.4422</c:v>
                </c:pt>
                <c:pt idx="641">
                  <c:v>20.377199999999998</c:v>
                </c:pt>
                <c:pt idx="642">
                  <c:v>19.2121</c:v>
                </c:pt>
                <c:pt idx="643">
                  <c:v>19.294899999999998</c:v>
                </c:pt>
                <c:pt idx="644">
                  <c:v>19.087800000000001</c:v>
                </c:pt>
                <c:pt idx="645">
                  <c:v>19.149899999999999</c:v>
                </c:pt>
                <c:pt idx="646">
                  <c:v>18.9636</c:v>
                </c:pt>
                <c:pt idx="647">
                  <c:v>19.191299999999998</c:v>
                </c:pt>
                <c:pt idx="648">
                  <c:v>19.791699999999999</c:v>
                </c:pt>
                <c:pt idx="649">
                  <c:v>19.936599999999999</c:v>
                </c:pt>
                <c:pt idx="650">
                  <c:v>20.081600000000002</c:v>
                </c:pt>
                <c:pt idx="651">
                  <c:v>19.9573</c:v>
                </c:pt>
                <c:pt idx="652">
                  <c:v>19.895199999999999</c:v>
                </c:pt>
                <c:pt idx="653">
                  <c:v>20.040199999999999</c:v>
                </c:pt>
                <c:pt idx="654">
                  <c:v>19.2742</c:v>
                </c:pt>
                <c:pt idx="655">
                  <c:v>19.253499999999999</c:v>
                </c:pt>
                <c:pt idx="656">
                  <c:v>19.046399999999998</c:v>
                </c:pt>
                <c:pt idx="657">
                  <c:v>19.232800000000001</c:v>
                </c:pt>
                <c:pt idx="658">
                  <c:v>18.839400000000001</c:v>
                </c:pt>
                <c:pt idx="659">
                  <c:v>19.046399999999998</c:v>
                </c:pt>
                <c:pt idx="660">
                  <c:v>18.8187</c:v>
                </c:pt>
                <c:pt idx="661">
                  <c:v>17.969899999999999</c:v>
                </c:pt>
                <c:pt idx="662">
                  <c:v>18.011299999999999</c:v>
                </c:pt>
                <c:pt idx="663">
                  <c:v>17.597200000000001</c:v>
                </c:pt>
                <c:pt idx="664">
                  <c:v>17.183199999999999</c:v>
                </c:pt>
                <c:pt idx="665">
                  <c:v>17.680099999999999</c:v>
                </c:pt>
                <c:pt idx="666">
                  <c:v>18.4253</c:v>
                </c:pt>
                <c:pt idx="667">
                  <c:v>18.011299999999999</c:v>
                </c:pt>
                <c:pt idx="668">
                  <c:v>18.3218</c:v>
                </c:pt>
                <c:pt idx="669">
                  <c:v>18.2804</c:v>
                </c:pt>
                <c:pt idx="670">
                  <c:v>19.1706</c:v>
                </c:pt>
                <c:pt idx="671">
                  <c:v>19.149899999999999</c:v>
                </c:pt>
                <c:pt idx="672">
                  <c:v>18.942900000000002</c:v>
                </c:pt>
                <c:pt idx="673">
                  <c:v>18.9222</c:v>
                </c:pt>
                <c:pt idx="674">
                  <c:v>19.1706</c:v>
                </c:pt>
                <c:pt idx="675">
                  <c:v>19.129200000000001</c:v>
                </c:pt>
                <c:pt idx="676">
                  <c:v>19.253499999999999</c:v>
                </c:pt>
                <c:pt idx="677">
                  <c:v>18.839400000000001</c:v>
                </c:pt>
                <c:pt idx="678">
                  <c:v>18.7773</c:v>
                </c:pt>
                <c:pt idx="679">
                  <c:v>19.025700000000001</c:v>
                </c:pt>
                <c:pt idx="680">
                  <c:v>19.253499999999999</c:v>
                </c:pt>
                <c:pt idx="681">
                  <c:v>18.797999999999998</c:v>
                </c:pt>
                <c:pt idx="682">
                  <c:v>18.880800000000001</c:v>
                </c:pt>
                <c:pt idx="683">
                  <c:v>18.7773</c:v>
                </c:pt>
                <c:pt idx="684">
                  <c:v>18.860099999999999</c:v>
                </c:pt>
                <c:pt idx="685">
                  <c:v>18.984300000000001</c:v>
                </c:pt>
                <c:pt idx="686">
                  <c:v>19.025700000000001</c:v>
                </c:pt>
                <c:pt idx="687">
                  <c:v>19.129200000000001</c:v>
                </c:pt>
                <c:pt idx="688">
                  <c:v>19.377700000000001</c:v>
                </c:pt>
                <c:pt idx="689">
                  <c:v>19.626100000000001</c:v>
                </c:pt>
                <c:pt idx="690">
                  <c:v>19.6675</c:v>
                </c:pt>
                <c:pt idx="691">
                  <c:v>19.522600000000001</c:v>
                </c:pt>
                <c:pt idx="692">
                  <c:v>19.501899999999999</c:v>
                </c:pt>
                <c:pt idx="693">
                  <c:v>19.6675</c:v>
                </c:pt>
                <c:pt idx="694">
                  <c:v>20.040199999999999</c:v>
                </c:pt>
                <c:pt idx="695">
                  <c:v>19.7089</c:v>
                </c:pt>
                <c:pt idx="696">
                  <c:v>19.915900000000001</c:v>
                </c:pt>
                <c:pt idx="697">
                  <c:v>19.915900000000001</c:v>
                </c:pt>
                <c:pt idx="698">
                  <c:v>19.4605</c:v>
                </c:pt>
                <c:pt idx="699">
                  <c:v>19.584700000000002</c:v>
                </c:pt>
                <c:pt idx="700">
                  <c:v>19.605399999999999</c:v>
                </c:pt>
                <c:pt idx="701">
                  <c:v>19.688199999999998</c:v>
                </c:pt>
                <c:pt idx="702">
                  <c:v>19.584700000000002</c:v>
                </c:pt>
                <c:pt idx="703">
                  <c:v>19.874500000000001</c:v>
                </c:pt>
                <c:pt idx="704">
                  <c:v>20.123000000000001</c:v>
                </c:pt>
                <c:pt idx="705">
                  <c:v>20.0609</c:v>
                </c:pt>
                <c:pt idx="706">
                  <c:v>19.998799999999999</c:v>
                </c:pt>
                <c:pt idx="707">
                  <c:v>18.8292</c:v>
                </c:pt>
                <c:pt idx="708">
                  <c:v>18.790099999999999</c:v>
                </c:pt>
                <c:pt idx="709">
                  <c:v>18.868400000000001</c:v>
                </c:pt>
                <c:pt idx="710">
                  <c:v>19.044799999999999</c:v>
                </c:pt>
                <c:pt idx="711">
                  <c:v>19.084</c:v>
                </c:pt>
                <c:pt idx="712">
                  <c:v>19.064399999999999</c:v>
                </c:pt>
                <c:pt idx="713">
                  <c:v>18.927199999999999</c:v>
                </c:pt>
                <c:pt idx="714">
                  <c:v>18.5549</c:v>
                </c:pt>
                <c:pt idx="715">
                  <c:v>18.613700000000001</c:v>
                </c:pt>
                <c:pt idx="716">
                  <c:v>18.5549</c:v>
                </c:pt>
                <c:pt idx="717">
                  <c:v>18.6921</c:v>
                </c:pt>
                <c:pt idx="718">
                  <c:v>18.750900000000001</c:v>
                </c:pt>
                <c:pt idx="719">
                  <c:v>18.750900000000001</c:v>
                </c:pt>
                <c:pt idx="720">
                  <c:v>18.731300000000001</c:v>
                </c:pt>
                <c:pt idx="721">
                  <c:v>18.868400000000001</c:v>
                </c:pt>
                <c:pt idx="722">
                  <c:v>18.888000000000002</c:v>
                </c:pt>
                <c:pt idx="723">
                  <c:v>18.731300000000001</c:v>
                </c:pt>
                <c:pt idx="724">
                  <c:v>18.613700000000001</c:v>
                </c:pt>
                <c:pt idx="725">
                  <c:v>18.633299999999998</c:v>
                </c:pt>
                <c:pt idx="726">
                  <c:v>18.790099999999999</c:v>
                </c:pt>
                <c:pt idx="727">
                  <c:v>18.790099999999999</c:v>
                </c:pt>
                <c:pt idx="728">
                  <c:v>18.731300000000001</c:v>
                </c:pt>
                <c:pt idx="729">
                  <c:v>18.750900000000001</c:v>
                </c:pt>
                <c:pt idx="730">
                  <c:v>19.573799999999999</c:v>
                </c:pt>
                <c:pt idx="731">
                  <c:v>19.985299999999999</c:v>
                </c:pt>
                <c:pt idx="732">
                  <c:v>20.279199999999999</c:v>
                </c:pt>
                <c:pt idx="733">
                  <c:v>20.396699999999999</c:v>
                </c:pt>
                <c:pt idx="734">
                  <c:v>20.5535</c:v>
                </c:pt>
                <c:pt idx="735">
                  <c:v>20.377099999999999</c:v>
                </c:pt>
                <c:pt idx="736">
                  <c:v>20.592600000000001</c:v>
                </c:pt>
                <c:pt idx="737">
                  <c:v>20.5731</c:v>
                </c:pt>
                <c:pt idx="738">
                  <c:v>20.4359</c:v>
                </c:pt>
                <c:pt idx="739">
                  <c:v>20.749400000000001</c:v>
                </c:pt>
                <c:pt idx="740">
                  <c:v>20.494700000000002</c:v>
                </c:pt>
                <c:pt idx="741">
                  <c:v>20.357500000000002</c:v>
                </c:pt>
                <c:pt idx="742">
                  <c:v>21.160900000000002</c:v>
                </c:pt>
                <c:pt idx="743">
                  <c:v>21.141300000000001</c:v>
                </c:pt>
                <c:pt idx="744">
                  <c:v>21.258800000000001</c:v>
                </c:pt>
                <c:pt idx="745">
                  <c:v>21.3568</c:v>
                </c:pt>
                <c:pt idx="746">
                  <c:v>21.709499999999998</c:v>
                </c:pt>
                <c:pt idx="747">
                  <c:v>21.827000000000002</c:v>
                </c:pt>
                <c:pt idx="748">
                  <c:v>21.689900000000002</c:v>
                </c:pt>
                <c:pt idx="749">
                  <c:v>21.3764</c:v>
                </c:pt>
                <c:pt idx="750">
                  <c:v>21.807400000000001</c:v>
                </c:pt>
                <c:pt idx="751">
                  <c:v>21.552700000000002</c:v>
                </c:pt>
                <c:pt idx="752">
                  <c:v>21.552700000000002</c:v>
                </c:pt>
                <c:pt idx="753">
                  <c:v>21.925000000000001</c:v>
                </c:pt>
                <c:pt idx="754">
                  <c:v>22.924299999999999</c:v>
                </c:pt>
                <c:pt idx="755">
                  <c:v>22.924299999999999</c:v>
                </c:pt>
                <c:pt idx="756">
                  <c:v>22.728300000000001</c:v>
                </c:pt>
                <c:pt idx="757">
                  <c:v>22.140499999999999</c:v>
                </c:pt>
                <c:pt idx="758">
                  <c:v>21.944600000000001</c:v>
                </c:pt>
                <c:pt idx="759">
                  <c:v>22.4344</c:v>
                </c:pt>
                <c:pt idx="760">
                  <c:v>22.767499999999998</c:v>
                </c:pt>
                <c:pt idx="761">
                  <c:v>22.512799999999999</c:v>
                </c:pt>
                <c:pt idx="762">
                  <c:v>22.336500000000001</c:v>
                </c:pt>
                <c:pt idx="763">
                  <c:v>22.532399999999999</c:v>
                </c:pt>
                <c:pt idx="764">
                  <c:v>22.5716</c:v>
                </c:pt>
                <c:pt idx="765">
                  <c:v>22.943899999999999</c:v>
                </c:pt>
                <c:pt idx="766">
                  <c:v>21.831700000000001</c:v>
                </c:pt>
                <c:pt idx="767">
                  <c:v>21.887899999999998</c:v>
                </c:pt>
                <c:pt idx="768">
                  <c:v>21.9254</c:v>
                </c:pt>
                <c:pt idx="769">
                  <c:v>21.569299999999998</c:v>
                </c:pt>
                <c:pt idx="770">
                  <c:v>21.363199999999999</c:v>
                </c:pt>
                <c:pt idx="771">
                  <c:v>21.306999999999999</c:v>
                </c:pt>
                <c:pt idx="772">
                  <c:v>21.1008</c:v>
                </c:pt>
                <c:pt idx="773">
                  <c:v>21.175799999999999</c:v>
                </c:pt>
                <c:pt idx="774">
                  <c:v>21.325700000000001</c:v>
                </c:pt>
                <c:pt idx="775">
                  <c:v>21.5318</c:v>
                </c:pt>
                <c:pt idx="776">
                  <c:v>21.644300000000001</c:v>
                </c:pt>
                <c:pt idx="777">
                  <c:v>20.913399999999999</c:v>
                </c:pt>
                <c:pt idx="778">
                  <c:v>21.175799999999999</c:v>
                </c:pt>
                <c:pt idx="779">
                  <c:v>20.950900000000001</c:v>
                </c:pt>
                <c:pt idx="780">
                  <c:v>20.426200000000001</c:v>
                </c:pt>
                <c:pt idx="781">
                  <c:v>20.669799999999999</c:v>
                </c:pt>
                <c:pt idx="782">
                  <c:v>21.044599999999999</c:v>
                </c:pt>
                <c:pt idx="783">
                  <c:v>22.5063</c:v>
                </c:pt>
                <c:pt idx="784">
                  <c:v>23.087199999999999</c:v>
                </c:pt>
                <c:pt idx="785">
                  <c:v>23.087199999999999</c:v>
                </c:pt>
                <c:pt idx="786">
                  <c:v>23.855499999999999</c:v>
                </c:pt>
                <c:pt idx="787">
                  <c:v>23.5932</c:v>
                </c:pt>
                <c:pt idx="788">
                  <c:v>23.911799999999999</c:v>
                </c:pt>
                <c:pt idx="789">
                  <c:v>24.6051</c:v>
                </c:pt>
                <c:pt idx="790">
                  <c:v>24.5489</c:v>
                </c:pt>
                <c:pt idx="791">
                  <c:v>24.4177</c:v>
                </c:pt>
                <c:pt idx="792">
                  <c:v>24.5489</c:v>
                </c:pt>
                <c:pt idx="793">
                  <c:v>24.305299999999999</c:v>
                </c:pt>
                <c:pt idx="794">
                  <c:v>24.455200000000001</c:v>
                </c:pt>
                <c:pt idx="795">
                  <c:v>25.129799999999999</c:v>
                </c:pt>
                <c:pt idx="796">
                  <c:v>25.3735</c:v>
                </c:pt>
                <c:pt idx="797">
                  <c:v>25.204799999999999</c:v>
                </c:pt>
                <c:pt idx="798">
                  <c:v>24.9237</c:v>
                </c:pt>
                <c:pt idx="799">
                  <c:v>25.485900000000001</c:v>
                </c:pt>
                <c:pt idx="800">
                  <c:v>25.860700000000001</c:v>
                </c:pt>
                <c:pt idx="801">
                  <c:v>25.766999999999999</c:v>
                </c:pt>
                <c:pt idx="802">
                  <c:v>24.717600000000001</c:v>
                </c:pt>
                <c:pt idx="803">
                  <c:v>24.886199999999999</c:v>
                </c:pt>
                <c:pt idx="804">
                  <c:v>25.673300000000001</c:v>
                </c:pt>
                <c:pt idx="805">
                  <c:v>25.4297</c:v>
                </c:pt>
                <c:pt idx="806">
                  <c:v>25.298500000000001</c:v>
                </c:pt>
                <c:pt idx="807">
                  <c:v>25.223500000000001</c:v>
                </c:pt>
                <c:pt idx="808">
                  <c:v>25.654499999999999</c:v>
                </c:pt>
                <c:pt idx="809">
                  <c:v>26.066800000000001</c:v>
                </c:pt>
                <c:pt idx="810">
                  <c:v>26.254200000000001</c:v>
                </c:pt>
                <c:pt idx="811">
                  <c:v>26.160499999999999</c:v>
                </c:pt>
                <c:pt idx="812">
                  <c:v>26.610299999999999</c:v>
                </c:pt>
                <c:pt idx="813">
                  <c:v>26.985099999999999</c:v>
                </c:pt>
                <c:pt idx="814">
                  <c:v>27.453600000000002</c:v>
                </c:pt>
                <c:pt idx="815">
                  <c:v>28.4468</c:v>
                </c:pt>
                <c:pt idx="816">
                  <c:v>28.015699999999999</c:v>
                </c:pt>
                <c:pt idx="817">
                  <c:v>28.231200000000001</c:v>
                </c:pt>
                <c:pt idx="818">
                  <c:v>27.757100000000001</c:v>
                </c:pt>
                <c:pt idx="819">
                  <c:v>27.584700000000002</c:v>
                </c:pt>
                <c:pt idx="820">
                  <c:v>28.338999999999999</c:v>
                </c:pt>
                <c:pt idx="821">
                  <c:v>28.726900000000001</c:v>
                </c:pt>
                <c:pt idx="822">
                  <c:v>29.330300000000001</c:v>
                </c:pt>
                <c:pt idx="823">
                  <c:v>28.468299999999999</c:v>
                </c:pt>
                <c:pt idx="824">
                  <c:v>28.015699999999999</c:v>
                </c:pt>
                <c:pt idx="825">
                  <c:v>28.403700000000001</c:v>
                </c:pt>
                <c:pt idx="826">
                  <c:v>28.619199999999999</c:v>
                </c:pt>
                <c:pt idx="827">
                  <c:v>26.7088</c:v>
                </c:pt>
                <c:pt idx="828">
                  <c:v>26.32</c:v>
                </c:pt>
                <c:pt idx="829">
                  <c:v>26.197199999999999</c:v>
                </c:pt>
                <c:pt idx="830">
                  <c:v>26.811199999999999</c:v>
                </c:pt>
                <c:pt idx="831">
                  <c:v>27.793600000000001</c:v>
                </c:pt>
                <c:pt idx="832">
                  <c:v>28.3871</c:v>
                </c:pt>
                <c:pt idx="833">
                  <c:v>28.571300000000001</c:v>
                </c:pt>
                <c:pt idx="834">
                  <c:v>28.141500000000001</c:v>
                </c:pt>
                <c:pt idx="835">
                  <c:v>27.4252</c:v>
                </c:pt>
                <c:pt idx="836">
                  <c:v>27.220500000000001</c:v>
                </c:pt>
                <c:pt idx="837">
                  <c:v>27.3842</c:v>
                </c:pt>
                <c:pt idx="838">
                  <c:v>27.159099999999999</c:v>
                </c:pt>
                <c:pt idx="839">
                  <c:v>27.4252</c:v>
                </c:pt>
                <c:pt idx="840">
                  <c:v>26.9954</c:v>
                </c:pt>
                <c:pt idx="841">
                  <c:v>26.1767</c:v>
                </c:pt>
                <c:pt idx="842">
                  <c:v>25.787800000000001</c:v>
                </c:pt>
                <c:pt idx="843">
                  <c:v>25.399000000000001</c:v>
                </c:pt>
                <c:pt idx="844">
                  <c:v>25.685500000000001</c:v>
                </c:pt>
                <c:pt idx="845">
                  <c:v>25.787800000000001</c:v>
                </c:pt>
                <c:pt idx="846">
                  <c:v>25.583200000000001</c:v>
                </c:pt>
                <c:pt idx="847">
                  <c:v>26.197199999999999</c:v>
                </c:pt>
                <c:pt idx="848">
                  <c:v>26.401800000000001</c:v>
                </c:pt>
                <c:pt idx="849">
                  <c:v>26.197199999999999</c:v>
                </c:pt>
                <c:pt idx="850">
                  <c:v>26.32</c:v>
                </c:pt>
                <c:pt idx="851">
                  <c:v>25.542200000000001</c:v>
                </c:pt>
                <c:pt idx="852">
                  <c:v>25.2148</c:v>
                </c:pt>
                <c:pt idx="853">
                  <c:v>24.273299999999999</c:v>
                </c:pt>
                <c:pt idx="854">
                  <c:v>24.723600000000001</c:v>
                </c:pt>
                <c:pt idx="855">
                  <c:v>24.969200000000001</c:v>
                </c:pt>
                <c:pt idx="856">
                  <c:v>24.846399999999999</c:v>
                </c:pt>
                <c:pt idx="857">
                  <c:v>25.972000000000001</c:v>
                </c:pt>
                <c:pt idx="858">
                  <c:v>26.6065</c:v>
                </c:pt>
                <c:pt idx="859">
                  <c:v>26.545100000000001</c:v>
                </c:pt>
                <c:pt idx="860">
                  <c:v>26.504200000000001</c:v>
                </c:pt>
                <c:pt idx="861">
                  <c:v>26.340399999999999</c:v>
                </c:pt>
                <c:pt idx="862">
                  <c:v>26.729299999999999</c:v>
                </c:pt>
                <c:pt idx="863">
                  <c:v>26.7088</c:v>
                </c:pt>
                <c:pt idx="864">
                  <c:v>26.913499999999999</c:v>
                </c:pt>
                <c:pt idx="865">
                  <c:v>27.322800000000001</c:v>
                </c:pt>
                <c:pt idx="866">
                  <c:v>27.3842</c:v>
                </c:pt>
                <c:pt idx="867">
                  <c:v>27.241</c:v>
                </c:pt>
                <c:pt idx="868">
                  <c:v>26.913499999999999</c:v>
                </c:pt>
                <c:pt idx="869">
                  <c:v>27.118200000000002</c:v>
                </c:pt>
                <c:pt idx="870">
                  <c:v>27.2819</c:v>
                </c:pt>
                <c:pt idx="871">
                  <c:v>27.363800000000001</c:v>
                </c:pt>
                <c:pt idx="872">
                  <c:v>27.588899999999999</c:v>
                </c:pt>
                <c:pt idx="873">
                  <c:v>27.220500000000001</c:v>
                </c:pt>
                <c:pt idx="874">
                  <c:v>26.729299999999999</c:v>
                </c:pt>
                <c:pt idx="875">
                  <c:v>27.036300000000001</c:v>
                </c:pt>
                <c:pt idx="876">
                  <c:v>26.872599999999998</c:v>
                </c:pt>
                <c:pt idx="877">
                  <c:v>26.6065</c:v>
                </c:pt>
                <c:pt idx="878">
                  <c:v>26.729299999999999</c:v>
                </c:pt>
                <c:pt idx="879">
                  <c:v>27.077200000000001</c:v>
                </c:pt>
                <c:pt idx="880">
                  <c:v>27.220500000000001</c:v>
                </c:pt>
                <c:pt idx="881">
                  <c:v>26.831600000000002</c:v>
                </c:pt>
                <c:pt idx="882">
                  <c:v>27.2</c:v>
                </c:pt>
                <c:pt idx="883">
                  <c:v>27.547999999999998</c:v>
                </c:pt>
                <c:pt idx="884">
                  <c:v>27.6708</c:v>
                </c:pt>
                <c:pt idx="885">
                  <c:v>27.691199999999998</c:v>
                </c:pt>
                <c:pt idx="886">
                  <c:v>27.4252</c:v>
                </c:pt>
                <c:pt idx="887">
                  <c:v>27.5275</c:v>
                </c:pt>
                <c:pt idx="888">
                  <c:v>27.588899999999999</c:v>
                </c:pt>
                <c:pt idx="889">
                  <c:v>27.486599999999999</c:v>
                </c:pt>
                <c:pt idx="890">
                  <c:v>27.466100000000001</c:v>
                </c:pt>
                <c:pt idx="891">
                  <c:v>26.243500000000001</c:v>
                </c:pt>
                <c:pt idx="892">
                  <c:v>26.5167</c:v>
                </c:pt>
                <c:pt idx="893">
                  <c:v>26.4191</c:v>
                </c:pt>
                <c:pt idx="894">
                  <c:v>26.146000000000001</c:v>
                </c:pt>
                <c:pt idx="895">
                  <c:v>26.165500000000002</c:v>
                </c:pt>
                <c:pt idx="896">
                  <c:v>26.165500000000002</c:v>
                </c:pt>
                <c:pt idx="897">
                  <c:v>26.1069</c:v>
                </c:pt>
                <c:pt idx="898">
                  <c:v>26.4191</c:v>
                </c:pt>
                <c:pt idx="899">
                  <c:v>27.648399999999999</c:v>
                </c:pt>
                <c:pt idx="900">
                  <c:v>27.238600000000002</c:v>
                </c:pt>
                <c:pt idx="901">
                  <c:v>26.848400000000002</c:v>
                </c:pt>
                <c:pt idx="902">
                  <c:v>26.731300000000001</c:v>
                </c:pt>
                <c:pt idx="903">
                  <c:v>26.5947</c:v>
                </c:pt>
                <c:pt idx="904">
                  <c:v>26.731300000000001</c:v>
                </c:pt>
                <c:pt idx="905">
                  <c:v>26.731300000000001</c:v>
                </c:pt>
                <c:pt idx="906">
                  <c:v>26.438600000000001</c:v>
                </c:pt>
                <c:pt idx="907">
                  <c:v>25.970400000000001</c:v>
                </c:pt>
                <c:pt idx="908">
                  <c:v>26.184999999999999</c:v>
                </c:pt>
                <c:pt idx="909">
                  <c:v>26.204499999999999</c:v>
                </c:pt>
                <c:pt idx="910">
                  <c:v>26.146000000000001</c:v>
                </c:pt>
                <c:pt idx="911">
                  <c:v>26.3216</c:v>
                </c:pt>
                <c:pt idx="912">
                  <c:v>26.4191</c:v>
                </c:pt>
                <c:pt idx="913">
                  <c:v>26.5167</c:v>
                </c:pt>
                <c:pt idx="914">
                  <c:v>26.5167</c:v>
                </c:pt>
                <c:pt idx="915">
                  <c:v>26.263000000000002</c:v>
                </c:pt>
                <c:pt idx="916">
                  <c:v>25.911799999999999</c:v>
                </c:pt>
                <c:pt idx="917">
                  <c:v>25.872800000000002</c:v>
                </c:pt>
                <c:pt idx="918">
                  <c:v>26.263000000000002</c:v>
                </c:pt>
                <c:pt idx="919">
                  <c:v>26.360600000000002</c:v>
                </c:pt>
                <c:pt idx="920">
                  <c:v>26.497199999999999</c:v>
                </c:pt>
                <c:pt idx="921">
                  <c:v>26.984999999999999</c:v>
                </c:pt>
                <c:pt idx="922">
                  <c:v>26.692299999999999</c:v>
                </c:pt>
                <c:pt idx="923">
                  <c:v>26.8874</c:v>
                </c:pt>
                <c:pt idx="924">
                  <c:v>26.536200000000001</c:v>
                </c:pt>
                <c:pt idx="925">
                  <c:v>26.1265</c:v>
                </c:pt>
                <c:pt idx="926">
                  <c:v>26.146000000000001</c:v>
                </c:pt>
                <c:pt idx="927">
                  <c:v>25.365500000000001</c:v>
                </c:pt>
                <c:pt idx="928">
                  <c:v>25.8338</c:v>
                </c:pt>
                <c:pt idx="929">
                  <c:v>25.950800000000001</c:v>
                </c:pt>
                <c:pt idx="930">
                  <c:v>26.1265</c:v>
                </c:pt>
                <c:pt idx="931">
                  <c:v>26.1265</c:v>
                </c:pt>
                <c:pt idx="932">
                  <c:v>26.380099999999999</c:v>
                </c:pt>
                <c:pt idx="933">
                  <c:v>27.102</c:v>
                </c:pt>
                <c:pt idx="934">
                  <c:v>27.1996</c:v>
                </c:pt>
                <c:pt idx="935">
                  <c:v>28.1557</c:v>
                </c:pt>
                <c:pt idx="936">
                  <c:v>27.745899999999999</c:v>
                </c:pt>
                <c:pt idx="937">
                  <c:v>28.292300000000001</c:v>
                </c:pt>
                <c:pt idx="938">
                  <c:v>27.999600000000001</c:v>
                </c:pt>
                <c:pt idx="939">
                  <c:v>28.975200000000001</c:v>
                </c:pt>
                <c:pt idx="940">
                  <c:v>29.170300000000001</c:v>
                </c:pt>
                <c:pt idx="941">
                  <c:v>28.682500000000001</c:v>
                </c:pt>
                <c:pt idx="942">
                  <c:v>29.170300000000001</c:v>
                </c:pt>
                <c:pt idx="943">
                  <c:v>29.365400000000001</c:v>
                </c:pt>
                <c:pt idx="944">
                  <c:v>29.306899999999999</c:v>
                </c:pt>
                <c:pt idx="945">
                  <c:v>29.170300000000001</c:v>
                </c:pt>
                <c:pt idx="946">
                  <c:v>29.2484</c:v>
                </c:pt>
                <c:pt idx="947">
                  <c:v>28.877600000000001</c:v>
                </c:pt>
                <c:pt idx="948">
                  <c:v>29.014199999999999</c:v>
                </c:pt>
                <c:pt idx="949">
                  <c:v>28.897099999999998</c:v>
                </c:pt>
                <c:pt idx="950">
                  <c:v>29.170300000000001</c:v>
                </c:pt>
                <c:pt idx="951">
                  <c:v>29.2288</c:v>
                </c:pt>
                <c:pt idx="952">
                  <c:v>29.3459</c:v>
                </c:pt>
                <c:pt idx="953">
                  <c:v>29.423999999999999</c:v>
                </c:pt>
                <c:pt idx="954">
                  <c:v>29.2288</c:v>
                </c:pt>
                <c:pt idx="955">
                  <c:v>29.189800000000002</c:v>
                </c:pt>
                <c:pt idx="956">
                  <c:v>29.365400000000001</c:v>
                </c:pt>
                <c:pt idx="957">
                  <c:v>28.3934</c:v>
                </c:pt>
                <c:pt idx="958">
                  <c:v>28.3004</c:v>
                </c:pt>
                <c:pt idx="959">
                  <c:v>27.741800000000001</c:v>
                </c:pt>
                <c:pt idx="960">
                  <c:v>27.797699999999999</c:v>
                </c:pt>
                <c:pt idx="961">
                  <c:v>27.9466</c:v>
                </c:pt>
                <c:pt idx="962">
                  <c:v>27.611499999999999</c:v>
                </c:pt>
                <c:pt idx="963">
                  <c:v>27.704599999999999</c:v>
                </c:pt>
                <c:pt idx="964">
                  <c:v>27.4253</c:v>
                </c:pt>
                <c:pt idx="965">
                  <c:v>27.481100000000001</c:v>
                </c:pt>
                <c:pt idx="966">
                  <c:v>27.015699999999999</c:v>
                </c:pt>
                <c:pt idx="967">
                  <c:v>27.0901</c:v>
                </c:pt>
                <c:pt idx="968">
                  <c:v>27.276299999999999</c:v>
                </c:pt>
                <c:pt idx="969">
                  <c:v>27.741800000000001</c:v>
                </c:pt>
                <c:pt idx="970">
                  <c:v>27.928000000000001</c:v>
                </c:pt>
                <c:pt idx="971">
                  <c:v>27.909400000000002</c:v>
                </c:pt>
                <c:pt idx="972">
                  <c:v>27.8721</c:v>
                </c:pt>
                <c:pt idx="973">
                  <c:v>28.7286</c:v>
                </c:pt>
                <c:pt idx="974">
                  <c:v>28.561</c:v>
                </c:pt>
                <c:pt idx="975">
                  <c:v>27.0901</c:v>
                </c:pt>
                <c:pt idx="976">
                  <c:v>27.220500000000001</c:v>
                </c:pt>
                <c:pt idx="977">
                  <c:v>27.239100000000001</c:v>
                </c:pt>
                <c:pt idx="978">
                  <c:v>27.276299999999999</c:v>
                </c:pt>
                <c:pt idx="979">
                  <c:v>27.201899999999998</c:v>
                </c:pt>
                <c:pt idx="980">
                  <c:v>26.438500000000001</c:v>
                </c:pt>
                <c:pt idx="981">
                  <c:v>27.0715</c:v>
                </c:pt>
                <c:pt idx="982">
                  <c:v>26.997</c:v>
                </c:pt>
                <c:pt idx="983">
                  <c:v>26.6433</c:v>
                </c:pt>
                <c:pt idx="984">
                  <c:v>26.978400000000001</c:v>
                </c:pt>
                <c:pt idx="985">
                  <c:v>26.7364</c:v>
                </c:pt>
                <c:pt idx="986">
                  <c:v>26.792200000000001</c:v>
                </c:pt>
                <c:pt idx="987">
                  <c:v>26.8109</c:v>
                </c:pt>
                <c:pt idx="988">
                  <c:v>26.624700000000001</c:v>
                </c:pt>
                <c:pt idx="989">
                  <c:v>26.438500000000001</c:v>
                </c:pt>
                <c:pt idx="990">
                  <c:v>26.159199999999998</c:v>
                </c:pt>
                <c:pt idx="991">
                  <c:v>25.879899999999999</c:v>
                </c:pt>
                <c:pt idx="992">
                  <c:v>26.401299999999999</c:v>
                </c:pt>
                <c:pt idx="993">
                  <c:v>26.308199999999999</c:v>
                </c:pt>
                <c:pt idx="994">
                  <c:v>26.122</c:v>
                </c:pt>
                <c:pt idx="995">
                  <c:v>26.159199999999998</c:v>
                </c:pt>
                <c:pt idx="996">
                  <c:v>26.066099999999999</c:v>
                </c:pt>
                <c:pt idx="997">
                  <c:v>25.898499999999999</c:v>
                </c:pt>
                <c:pt idx="998">
                  <c:v>26.364000000000001</c:v>
                </c:pt>
                <c:pt idx="999">
                  <c:v>26.326799999999999</c:v>
                </c:pt>
                <c:pt idx="1000">
                  <c:v>25.9358</c:v>
                </c:pt>
                <c:pt idx="1001">
                  <c:v>25.6007</c:v>
                </c:pt>
                <c:pt idx="1002">
                  <c:v>25.302800000000001</c:v>
                </c:pt>
                <c:pt idx="1003">
                  <c:v>25.4145</c:v>
                </c:pt>
                <c:pt idx="1004">
                  <c:v>24.4649</c:v>
                </c:pt>
                <c:pt idx="1005">
                  <c:v>24.2043</c:v>
                </c:pt>
                <c:pt idx="1006">
                  <c:v>24.2043</c:v>
                </c:pt>
                <c:pt idx="1007">
                  <c:v>23.198799999999999</c:v>
                </c:pt>
                <c:pt idx="1008">
                  <c:v>23.273299999999999</c:v>
                </c:pt>
                <c:pt idx="1009">
                  <c:v>23.831900000000001</c:v>
                </c:pt>
                <c:pt idx="1010">
                  <c:v>24.0181</c:v>
                </c:pt>
                <c:pt idx="1011">
                  <c:v>23.552600000000002</c:v>
                </c:pt>
                <c:pt idx="1012">
                  <c:v>22.9009</c:v>
                </c:pt>
                <c:pt idx="1013">
                  <c:v>23.496700000000001</c:v>
                </c:pt>
                <c:pt idx="1014">
                  <c:v>23.0871</c:v>
                </c:pt>
                <c:pt idx="1015">
                  <c:v>21.539200000000001</c:v>
                </c:pt>
                <c:pt idx="1016">
                  <c:v>21.450199999999999</c:v>
                </c:pt>
                <c:pt idx="1017">
                  <c:v>21.717300000000002</c:v>
                </c:pt>
                <c:pt idx="1018">
                  <c:v>20.2042</c:v>
                </c:pt>
                <c:pt idx="1019">
                  <c:v>20.115200000000002</c:v>
                </c:pt>
                <c:pt idx="1020">
                  <c:v>18.7089</c:v>
                </c:pt>
                <c:pt idx="1021">
                  <c:v>18.744499999999999</c:v>
                </c:pt>
                <c:pt idx="1022">
                  <c:v>20.044</c:v>
                </c:pt>
                <c:pt idx="1023">
                  <c:v>21.094200000000001</c:v>
                </c:pt>
                <c:pt idx="1024">
                  <c:v>21.094200000000001</c:v>
                </c:pt>
                <c:pt idx="1025">
                  <c:v>20.6492</c:v>
                </c:pt>
                <c:pt idx="1026">
                  <c:v>19.2073</c:v>
                </c:pt>
                <c:pt idx="1027">
                  <c:v>19.474299999999999</c:v>
                </c:pt>
                <c:pt idx="1028">
                  <c:v>19.8659</c:v>
                </c:pt>
                <c:pt idx="1029">
                  <c:v>19.883700000000001</c:v>
                </c:pt>
                <c:pt idx="1030">
                  <c:v>19.6523</c:v>
                </c:pt>
                <c:pt idx="1031">
                  <c:v>19.6523</c:v>
                </c:pt>
                <c:pt idx="1032">
                  <c:v>19.937200000000001</c:v>
                </c:pt>
                <c:pt idx="1033">
                  <c:v>20.008400000000002</c:v>
                </c:pt>
                <c:pt idx="1034">
                  <c:v>19.492100000000001</c:v>
                </c:pt>
                <c:pt idx="1035">
                  <c:v>19.474299999999999</c:v>
                </c:pt>
                <c:pt idx="1036">
                  <c:v>19.331900000000001</c:v>
                </c:pt>
                <c:pt idx="1037">
                  <c:v>19.527699999999999</c:v>
                </c:pt>
                <c:pt idx="1038">
                  <c:v>19.527699999999999</c:v>
                </c:pt>
                <c:pt idx="1039">
                  <c:v>20.346599999999999</c:v>
                </c:pt>
                <c:pt idx="1040">
                  <c:v>20.6492</c:v>
                </c:pt>
                <c:pt idx="1041">
                  <c:v>21.058599999999998</c:v>
                </c:pt>
                <c:pt idx="1042">
                  <c:v>21.272200000000002</c:v>
                </c:pt>
                <c:pt idx="1043">
                  <c:v>22.482700000000001</c:v>
                </c:pt>
                <c:pt idx="1044">
                  <c:v>22.251300000000001</c:v>
                </c:pt>
                <c:pt idx="1045">
                  <c:v>21.539200000000001</c:v>
                </c:pt>
                <c:pt idx="1046">
                  <c:v>21.040800000000001</c:v>
                </c:pt>
                <c:pt idx="1047">
                  <c:v>21.218800000000002</c:v>
                </c:pt>
                <c:pt idx="1048">
                  <c:v>21.058599999999998</c:v>
                </c:pt>
                <c:pt idx="1049">
                  <c:v>20.791599999999999</c:v>
                </c:pt>
                <c:pt idx="1050">
                  <c:v>20.844999999999999</c:v>
                </c:pt>
                <c:pt idx="1051">
                  <c:v>20.880600000000001</c:v>
                </c:pt>
                <c:pt idx="1052">
                  <c:v>21.183199999999999</c:v>
                </c:pt>
                <c:pt idx="1053">
                  <c:v>21.0764</c:v>
                </c:pt>
                <c:pt idx="1054">
                  <c:v>20.844999999999999</c:v>
                </c:pt>
                <c:pt idx="1055">
                  <c:v>20.738199999999999</c:v>
                </c:pt>
                <c:pt idx="1056">
                  <c:v>20.667000000000002</c:v>
                </c:pt>
                <c:pt idx="1057">
                  <c:v>20.898399999999999</c:v>
                </c:pt>
                <c:pt idx="1058">
                  <c:v>20.844999999999999</c:v>
                </c:pt>
                <c:pt idx="1059">
                  <c:v>20.791599999999999</c:v>
                </c:pt>
                <c:pt idx="1060">
                  <c:v>20.4712</c:v>
                </c:pt>
                <c:pt idx="1061">
                  <c:v>20.684799999999999</c:v>
                </c:pt>
                <c:pt idx="1062">
                  <c:v>20.595800000000001</c:v>
                </c:pt>
                <c:pt idx="1063">
                  <c:v>20.987400000000001</c:v>
                </c:pt>
                <c:pt idx="1064">
                  <c:v>20.827200000000001</c:v>
                </c:pt>
                <c:pt idx="1065">
                  <c:v>20.542400000000001</c:v>
                </c:pt>
                <c:pt idx="1066">
                  <c:v>21.183199999999999</c:v>
                </c:pt>
                <c:pt idx="1067">
                  <c:v>21.147600000000001</c:v>
                </c:pt>
                <c:pt idx="1068">
                  <c:v>20.827200000000001</c:v>
                </c:pt>
                <c:pt idx="1069">
                  <c:v>20.6492</c:v>
                </c:pt>
                <c:pt idx="1070">
                  <c:v>20.667000000000002</c:v>
                </c:pt>
                <c:pt idx="1071">
                  <c:v>20.631399999999999</c:v>
                </c:pt>
                <c:pt idx="1072">
                  <c:v>20.738199999999999</c:v>
                </c:pt>
                <c:pt idx="1073">
                  <c:v>20.844999999999999</c:v>
                </c:pt>
                <c:pt idx="1074">
                  <c:v>20.827200000000001</c:v>
                </c:pt>
                <c:pt idx="1075">
                  <c:v>20.880600000000001</c:v>
                </c:pt>
                <c:pt idx="1076">
                  <c:v>20.178799999999999</c:v>
                </c:pt>
                <c:pt idx="1077">
                  <c:v>20.281199999999998</c:v>
                </c:pt>
                <c:pt idx="1078">
                  <c:v>20.2471</c:v>
                </c:pt>
                <c:pt idx="1079">
                  <c:v>20.1447</c:v>
                </c:pt>
                <c:pt idx="1080">
                  <c:v>20.9129</c:v>
                </c:pt>
                <c:pt idx="1081">
                  <c:v>21.134799999999998</c:v>
                </c:pt>
                <c:pt idx="1082">
                  <c:v>21.254300000000001</c:v>
                </c:pt>
                <c:pt idx="1083">
                  <c:v>20.964099999999998</c:v>
                </c:pt>
                <c:pt idx="1084">
                  <c:v>21.151900000000001</c:v>
                </c:pt>
                <c:pt idx="1085">
                  <c:v>21.6128</c:v>
                </c:pt>
                <c:pt idx="1086">
                  <c:v>21.6982</c:v>
                </c:pt>
                <c:pt idx="1087">
                  <c:v>21.510400000000001</c:v>
                </c:pt>
                <c:pt idx="1088">
                  <c:v>21.561599999999999</c:v>
                </c:pt>
                <c:pt idx="1089">
                  <c:v>21.681100000000001</c:v>
                </c:pt>
                <c:pt idx="1090">
                  <c:v>21.510400000000001</c:v>
                </c:pt>
                <c:pt idx="1091">
                  <c:v>21.654599999999999</c:v>
                </c:pt>
                <c:pt idx="1092">
                  <c:v>22.007999999999999</c:v>
                </c:pt>
                <c:pt idx="1093">
                  <c:v>21.949100000000001</c:v>
                </c:pt>
                <c:pt idx="1094">
                  <c:v>21.811699999999998</c:v>
                </c:pt>
                <c:pt idx="1095">
                  <c:v>21.7332</c:v>
                </c:pt>
                <c:pt idx="1096">
                  <c:v>21.850999999999999</c:v>
                </c:pt>
                <c:pt idx="1097">
                  <c:v>20.810400000000001</c:v>
                </c:pt>
                <c:pt idx="1098">
                  <c:v>20.830100000000002</c:v>
                </c:pt>
                <c:pt idx="1099">
                  <c:v>20.4178</c:v>
                </c:pt>
                <c:pt idx="1100">
                  <c:v>21.006799999999998</c:v>
                </c:pt>
                <c:pt idx="1101">
                  <c:v>20.9282</c:v>
                </c:pt>
                <c:pt idx="1102">
                  <c:v>20.7712</c:v>
                </c:pt>
                <c:pt idx="1103">
                  <c:v>20.5945</c:v>
                </c:pt>
                <c:pt idx="1104">
                  <c:v>20.849699999999999</c:v>
                </c:pt>
                <c:pt idx="1105">
                  <c:v>20.7319</c:v>
                </c:pt>
                <c:pt idx="1106">
                  <c:v>20.888999999999999</c:v>
                </c:pt>
                <c:pt idx="1107">
                  <c:v>21.104900000000001</c:v>
                </c:pt>
                <c:pt idx="1108">
                  <c:v>20.633800000000001</c:v>
                </c:pt>
                <c:pt idx="1109">
                  <c:v>20.378499999999999</c:v>
                </c:pt>
                <c:pt idx="1110">
                  <c:v>19.907399999999999</c:v>
                </c:pt>
                <c:pt idx="1111">
                  <c:v>19.730699999999999</c:v>
                </c:pt>
                <c:pt idx="1112">
                  <c:v>19.691400000000002</c:v>
                </c:pt>
                <c:pt idx="1113">
                  <c:v>19.181000000000001</c:v>
                </c:pt>
                <c:pt idx="1114">
                  <c:v>19.9663</c:v>
                </c:pt>
                <c:pt idx="1115">
                  <c:v>19.436199999999999</c:v>
                </c:pt>
                <c:pt idx="1116">
                  <c:v>19.396899999999999</c:v>
                </c:pt>
                <c:pt idx="1117">
                  <c:v>19.6325</c:v>
                </c:pt>
                <c:pt idx="1118">
                  <c:v>20.614100000000001</c:v>
                </c:pt>
                <c:pt idx="1119">
                  <c:v>20.515999999999998</c:v>
                </c:pt>
                <c:pt idx="1120">
                  <c:v>19.9466</c:v>
                </c:pt>
                <c:pt idx="1121">
                  <c:v>20.2607</c:v>
                </c:pt>
                <c:pt idx="1122">
                  <c:v>20.614100000000001</c:v>
                </c:pt>
                <c:pt idx="1123">
                  <c:v>20.3</c:v>
                </c:pt>
                <c:pt idx="1124">
                  <c:v>20.005500000000001</c:v>
                </c:pt>
                <c:pt idx="1125">
                  <c:v>20.044799999999999</c:v>
                </c:pt>
                <c:pt idx="1126">
                  <c:v>19.868099999999998</c:v>
                </c:pt>
                <c:pt idx="1127">
                  <c:v>20.025099999999998</c:v>
                </c:pt>
                <c:pt idx="1128">
                  <c:v>19.9466</c:v>
                </c:pt>
                <c:pt idx="1129">
                  <c:v>20.005500000000001</c:v>
                </c:pt>
                <c:pt idx="1130">
                  <c:v>20.319600000000001</c:v>
                </c:pt>
                <c:pt idx="1131">
                  <c:v>20.712299999999999</c:v>
                </c:pt>
                <c:pt idx="1132">
                  <c:v>20.221499999999999</c:v>
                </c:pt>
                <c:pt idx="1133">
                  <c:v>20.221499999999999</c:v>
                </c:pt>
                <c:pt idx="1134">
                  <c:v>19.573599999999999</c:v>
                </c:pt>
                <c:pt idx="1135">
                  <c:v>19.239799999999999</c:v>
                </c:pt>
                <c:pt idx="1136">
                  <c:v>19.534300000000002</c:v>
                </c:pt>
                <c:pt idx="1137">
                  <c:v>19.239799999999999</c:v>
                </c:pt>
                <c:pt idx="1138">
                  <c:v>19.1417</c:v>
                </c:pt>
                <c:pt idx="1139">
                  <c:v>18.748999999999999</c:v>
                </c:pt>
                <c:pt idx="1140">
                  <c:v>17.615600000000001</c:v>
                </c:pt>
                <c:pt idx="1141">
                  <c:v>17.691299999999998</c:v>
                </c:pt>
                <c:pt idx="1142">
                  <c:v>17.4451</c:v>
                </c:pt>
                <c:pt idx="1143">
                  <c:v>17.691299999999998</c:v>
                </c:pt>
                <c:pt idx="1144">
                  <c:v>18.089099999999998</c:v>
                </c:pt>
                <c:pt idx="1145">
                  <c:v>18.089099999999998</c:v>
                </c:pt>
                <c:pt idx="1146">
                  <c:v>17.899699999999999</c:v>
                </c:pt>
                <c:pt idx="1147">
                  <c:v>17.8429</c:v>
                </c:pt>
                <c:pt idx="1148">
                  <c:v>18.2027</c:v>
                </c:pt>
                <c:pt idx="1149">
                  <c:v>17.805</c:v>
                </c:pt>
                <c:pt idx="1150">
                  <c:v>17.501899999999999</c:v>
                </c:pt>
                <c:pt idx="1151">
                  <c:v>16.971599999999999</c:v>
                </c:pt>
                <c:pt idx="1152">
                  <c:v>17.009399999999999</c:v>
                </c:pt>
                <c:pt idx="1153">
                  <c:v>16.6874</c:v>
                </c:pt>
                <c:pt idx="1154">
                  <c:v>16.479099999999999</c:v>
                </c:pt>
                <c:pt idx="1155">
                  <c:v>17.615600000000001</c:v>
                </c:pt>
                <c:pt idx="1156">
                  <c:v>18.373200000000001</c:v>
                </c:pt>
                <c:pt idx="1157">
                  <c:v>17.994399999999999</c:v>
                </c:pt>
                <c:pt idx="1158">
                  <c:v>18.505800000000001</c:v>
                </c:pt>
                <c:pt idx="1159">
                  <c:v>18.5626</c:v>
                </c:pt>
                <c:pt idx="1160">
                  <c:v>19.3582</c:v>
                </c:pt>
                <c:pt idx="1161">
                  <c:v>19.263500000000001</c:v>
                </c:pt>
                <c:pt idx="1162">
                  <c:v>19.4529</c:v>
                </c:pt>
                <c:pt idx="1163">
                  <c:v>19.680199999999999</c:v>
                </c:pt>
                <c:pt idx="1164">
                  <c:v>19.888500000000001</c:v>
                </c:pt>
                <c:pt idx="1165">
                  <c:v>19.566500000000001</c:v>
                </c:pt>
                <c:pt idx="1166">
                  <c:v>19.111899999999999</c:v>
                </c:pt>
                <c:pt idx="1167">
                  <c:v>18.979299999999999</c:v>
                </c:pt>
                <c:pt idx="1168">
                  <c:v>19.1309</c:v>
                </c:pt>
                <c:pt idx="1169">
                  <c:v>18.221699999999998</c:v>
                </c:pt>
                <c:pt idx="1170">
                  <c:v>18.2027</c:v>
                </c:pt>
                <c:pt idx="1171">
                  <c:v>19.055099999999999</c:v>
                </c:pt>
                <c:pt idx="1172">
                  <c:v>18.7331</c:v>
                </c:pt>
                <c:pt idx="1173">
                  <c:v>18.941500000000001</c:v>
                </c:pt>
                <c:pt idx="1174">
                  <c:v>19.1309</c:v>
                </c:pt>
                <c:pt idx="1175">
                  <c:v>18.941500000000001</c:v>
                </c:pt>
                <c:pt idx="1176">
                  <c:v>18.5626</c:v>
                </c:pt>
                <c:pt idx="1177">
                  <c:v>18.752099999999999</c:v>
                </c:pt>
                <c:pt idx="1178">
                  <c:v>19.093</c:v>
                </c:pt>
                <c:pt idx="1179">
                  <c:v>18.979299999999999</c:v>
                </c:pt>
                <c:pt idx="1180">
                  <c:v>18.884599999999999</c:v>
                </c:pt>
                <c:pt idx="1181">
                  <c:v>18.752099999999999</c:v>
                </c:pt>
                <c:pt idx="1182">
                  <c:v>18.846800000000002</c:v>
                </c:pt>
                <c:pt idx="1183">
                  <c:v>18.392199999999999</c:v>
                </c:pt>
                <c:pt idx="1184">
                  <c:v>18.297499999999999</c:v>
                </c:pt>
                <c:pt idx="1185">
                  <c:v>18.297499999999999</c:v>
                </c:pt>
                <c:pt idx="1186">
                  <c:v>18.297499999999999</c:v>
                </c:pt>
                <c:pt idx="1187">
                  <c:v>18.4679</c:v>
                </c:pt>
                <c:pt idx="1188">
                  <c:v>18.221699999999998</c:v>
                </c:pt>
                <c:pt idx="1189">
                  <c:v>18.089099999999998</c:v>
                </c:pt>
                <c:pt idx="1190">
                  <c:v>18.354299999999999</c:v>
                </c:pt>
                <c:pt idx="1191">
                  <c:v>18.108000000000001</c:v>
                </c:pt>
                <c:pt idx="1192">
                  <c:v>18.183800000000002</c:v>
                </c:pt>
                <c:pt idx="1193">
                  <c:v>17.748200000000001</c:v>
                </c:pt>
                <c:pt idx="1194">
                  <c:v>17.767099999999999</c:v>
                </c:pt>
                <c:pt idx="1195">
                  <c:v>17.9755</c:v>
                </c:pt>
                <c:pt idx="1196">
                  <c:v>18.164899999999999</c:v>
                </c:pt>
                <c:pt idx="1197">
                  <c:v>17.880700000000001</c:v>
                </c:pt>
                <c:pt idx="1198">
                  <c:v>17.786000000000001</c:v>
                </c:pt>
                <c:pt idx="1199">
                  <c:v>17.748200000000001</c:v>
                </c:pt>
                <c:pt idx="1200">
                  <c:v>17.805</c:v>
                </c:pt>
                <c:pt idx="1201">
                  <c:v>17.729199999999999</c:v>
                </c:pt>
                <c:pt idx="1202">
                  <c:v>17.615600000000001</c:v>
                </c:pt>
                <c:pt idx="1203">
                  <c:v>17.520900000000001</c:v>
                </c:pt>
                <c:pt idx="1204">
                  <c:v>17.861799999999999</c:v>
                </c:pt>
                <c:pt idx="1205">
                  <c:v>18.278500000000001</c:v>
                </c:pt>
                <c:pt idx="1206">
                  <c:v>17.3902</c:v>
                </c:pt>
                <c:pt idx="1207">
                  <c:v>17.245000000000001</c:v>
                </c:pt>
                <c:pt idx="1208">
                  <c:v>17.063500000000001</c:v>
                </c:pt>
                <c:pt idx="1209">
                  <c:v>17.698799999999999</c:v>
                </c:pt>
                <c:pt idx="1210">
                  <c:v>17.517299999999999</c:v>
                </c:pt>
                <c:pt idx="1211">
                  <c:v>17.680700000000002</c:v>
                </c:pt>
                <c:pt idx="1212">
                  <c:v>18.061900000000001</c:v>
                </c:pt>
                <c:pt idx="1213">
                  <c:v>17.952999999999999</c:v>
                </c:pt>
                <c:pt idx="1214">
                  <c:v>18.116299999999999</c:v>
                </c:pt>
                <c:pt idx="1215">
                  <c:v>17.880400000000002</c:v>
                </c:pt>
                <c:pt idx="1216">
                  <c:v>19.114699999999999</c:v>
                </c:pt>
                <c:pt idx="1217">
                  <c:v>19.205500000000001</c:v>
                </c:pt>
                <c:pt idx="1218">
                  <c:v>18.896899999999999</c:v>
                </c:pt>
                <c:pt idx="1219">
                  <c:v>19.060300000000002</c:v>
                </c:pt>
                <c:pt idx="1220">
                  <c:v>18.788</c:v>
                </c:pt>
                <c:pt idx="1221">
                  <c:v>18.334199999999999</c:v>
                </c:pt>
                <c:pt idx="1222">
                  <c:v>17.880400000000002</c:v>
                </c:pt>
                <c:pt idx="1223">
                  <c:v>18.533899999999999</c:v>
                </c:pt>
                <c:pt idx="1224">
                  <c:v>18.9695</c:v>
                </c:pt>
                <c:pt idx="1225">
                  <c:v>19.260000000000002</c:v>
                </c:pt>
                <c:pt idx="1226">
                  <c:v>18.9695</c:v>
                </c:pt>
                <c:pt idx="1227">
                  <c:v>18.933199999999999</c:v>
                </c:pt>
                <c:pt idx="1228">
                  <c:v>18.860600000000002</c:v>
                </c:pt>
                <c:pt idx="1229">
                  <c:v>18.497499999999999</c:v>
                </c:pt>
                <c:pt idx="1230">
                  <c:v>17.9711</c:v>
                </c:pt>
                <c:pt idx="1231">
                  <c:v>17.716999999999999</c:v>
                </c:pt>
                <c:pt idx="1232">
                  <c:v>17.9711</c:v>
                </c:pt>
                <c:pt idx="1233">
                  <c:v>17.753299999999999</c:v>
                </c:pt>
                <c:pt idx="1234">
                  <c:v>17.898499999999999</c:v>
                </c:pt>
                <c:pt idx="1235">
                  <c:v>17.934799999999999</c:v>
                </c:pt>
                <c:pt idx="1236">
                  <c:v>17.481000000000002</c:v>
                </c:pt>
                <c:pt idx="1237">
                  <c:v>17.154299999999999</c:v>
                </c:pt>
                <c:pt idx="1238">
                  <c:v>16.7912</c:v>
                </c:pt>
                <c:pt idx="1239">
                  <c:v>16.173999999999999</c:v>
                </c:pt>
                <c:pt idx="1240">
                  <c:v>16.428100000000001</c:v>
                </c:pt>
                <c:pt idx="1241">
                  <c:v>16.863800000000001</c:v>
                </c:pt>
                <c:pt idx="1242">
                  <c:v>16.264800000000001</c:v>
                </c:pt>
                <c:pt idx="1243">
                  <c:v>15.7928</c:v>
                </c:pt>
                <c:pt idx="1244">
                  <c:v>15.447900000000001</c:v>
                </c:pt>
                <c:pt idx="1245">
                  <c:v>15.3208</c:v>
                </c:pt>
                <c:pt idx="1246">
                  <c:v>14.8126</c:v>
                </c:pt>
                <c:pt idx="1247">
                  <c:v>19.1309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53-47A4-A715-399800330104}"/>
            </c:ext>
          </c:extLst>
        </c:ser>
        <c:ser>
          <c:idx val="4"/>
          <c:order val="3"/>
          <c:tx>
            <c:strRef>
              <c:f>'FX Data'!$F$956</c:f>
              <c:strCache>
                <c:ptCount val="1"/>
                <c:pt idx="0">
                  <c:v>=+1sd</c:v>
                </c:pt>
              </c:strCache>
            </c:strRef>
          </c:tx>
          <c:spPr>
            <a:ln w="12700" cap="rnd">
              <a:solidFill>
                <a:srgbClr val="F79646">
                  <a:lumMod val="60000"/>
                  <a:lumOff val="40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'FX Data'!$B$957:$B$2204</c:f>
              <c:numCache>
                <c:formatCode>m/d/yyyy</c:formatCode>
                <c:ptCount val="1248"/>
                <c:pt idx="0">
                  <c:v>44263</c:v>
                </c:pt>
                <c:pt idx="1">
                  <c:v>44264</c:v>
                </c:pt>
                <c:pt idx="2">
                  <c:v>44265</c:v>
                </c:pt>
                <c:pt idx="3">
                  <c:v>44266</c:v>
                </c:pt>
                <c:pt idx="4">
                  <c:v>44267</c:v>
                </c:pt>
                <c:pt idx="5">
                  <c:v>44270</c:v>
                </c:pt>
                <c:pt idx="6">
                  <c:v>44271</c:v>
                </c:pt>
                <c:pt idx="7">
                  <c:v>44272</c:v>
                </c:pt>
                <c:pt idx="8">
                  <c:v>44273</c:v>
                </c:pt>
                <c:pt idx="9">
                  <c:v>44274</c:v>
                </c:pt>
                <c:pt idx="10">
                  <c:v>44277</c:v>
                </c:pt>
                <c:pt idx="11">
                  <c:v>44278</c:v>
                </c:pt>
                <c:pt idx="12">
                  <c:v>44279</c:v>
                </c:pt>
                <c:pt idx="13">
                  <c:v>44280</c:v>
                </c:pt>
                <c:pt idx="14">
                  <c:v>44281</c:v>
                </c:pt>
                <c:pt idx="15">
                  <c:v>44284</c:v>
                </c:pt>
                <c:pt idx="16">
                  <c:v>44285</c:v>
                </c:pt>
                <c:pt idx="17">
                  <c:v>44286</c:v>
                </c:pt>
                <c:pt idx="18">
                  <c:v>44287</c:v>
                </c:pt>
                <c:pt idx="19">
                  <c:v>44288</c:v>
                </c:pt>
                <c:pt idx="20">
                  <c:v>44291</c:v>
                </c:pt>
                <c:pt idx="21">
                  <c:v>44292</c:v>
                </c:pt>
                <c:pt idx="22">
                  <c:v>44293</c:v>
                </c:pt>
                <c:pt idx="23">
                  <c:v>44294</c:v>
                </c:pt>
                <c:pt idx="24">
                  <c:v>44295</c:v>
                </c:pt>
                <c:pt idx="25">
                  <c:v>44298</c:v>
                </c:pt>
                <c:pt idx="26">
                  <c:v>44299</c:v>
                </c:pt>
                <c:pt idx="27">
                  <c:v>44300</c:v>
                </c:pt>
                <c:pt idx="28">
                  <c:v>44301</c:v>
                </c:pt>
                <c:pt idx="29">
                  <c:v>44302</c:v>
                </c:pt>
                <c:pt idx="30">
                  <c:v>44305</c:v>
                </c:pt>
                <c:pt idx="31">
                  <c:v>44306</c:v>
                </c:pt>
                <c:pt idx="32">
                  <c:v>44308</c:v>
                </c:pt>
                <c:pt idx="33">
                  <c:v>44309</c:v>
                </c:pt>
                <c:pt idx="34">
                  <c:v>44312</c:v>
                </c:pt>
                <c:pt idx="35">
                  <c:v>44313</c:v>
                </c:pt>
                <c:pt idx="36">
                  <c:v>44314</c:v>
                </c:pt>
                <c:pt idx="37">
                  <c:v>44315</c:v>
                </c:pt>
                <c:pt idx="38">
                  <c:v>44320</c:v>
                </c:pt>
                <c:pt idx="39">
                  <c:v>44321</c:v>
                </c:pt>
                <c:pt idx="40">
                  <c:v>44322</c:v>
                </c:pt>
                <c:pt idx="41">
                  <c:v>44323</c:v>
                </c:pt>
                <c:pt idx="42">
                  <c:v>44326</c:v>
                </c:pt>
                <c:pt idx="43">
                  <c:v>44327</c:v>
                </c:pt>
                <c:pt idx="44">
                  <c:v>44328</c:v>
                </c:pt>
                <c:pt idx="45">
                  <c:v>44329</c:v>
                </c:pt>
                <c:pt idx="46">
                  <c:v>44330</c:v>
                </c:pt>
                <c:pt idx="47">
                  <c:v>44333</c:v>
                </c:pt>
                <c:pt idx="48">
                  <c:v>44334</c:v>
                </c:pt>
                <c:pt idx="49">
                  <c:v>44335</c:v>
                </c:pt>
                <c:pt idx="50">
                  <c:v>44336</c:v>
                </c:pt>
                <c:pt idx="51">
                  <c:v>44337</c:v>
                </c:pt>
                <c:pt idx="52">
                  <c:v>44340</c:v>
                </c:pt>
                <c:pt idx="53">
                  <c:v>44341</c:v>
                </c:pt>
                <c:pt idx="54">
                  <c:v>44342</c:v>
                </c:pt>
                <c:pt idx="55">
                  <c:v>44343</c:v>
                </c:pt>
                <c:pt idx="56">
                  <c:v>44344</c:v>
                </c:pt>
                <c:pt idx="57">
                  <c:v>44347</c:v>
                </c:pt>
                <c:pt idx="58">
                  <c:v>44348</c:v>
                </c:pt>
                <c:pt idx="59">
                  <c:v>44349</c:v>
                </c:pt>
                <c:pt idx="60">
                  <c:v>44350</c:v>
                </c:pt>
                <c:pt idx="61">
                  <c:v>44351</c:v>
                </c:pt>
                <c:pt idx="62">
                  <c:v>44354</c:v>
                </c:pt>
                <c:pt idx="63">
                  <c:v>44355</c:v>
                </c:pt>
                <c:pt idx="64">
                  <c:v>44356</c:v>
                </c:pt>
                <c:pt idx="65">
                  <c:v>44357</c:v>
                </c:pt>
                <c:pt idx="66">
                  <c:v>44358</c:v>
                </c:pt>
                <c:pt idx="67">
                  <c:v>44361</c:v>
                </c:pt>
                <c:pt idx="68">
                  <c:v>44362</c:v>
                </c:pt>
                <c:pt idx="69">
                  <c:v>44363</c:v>
                </c:pt>
                <c:pt idx="70">
                  <c:v>44364</c:v>
                </c:pt>
                <c:pt idx="71">
                  <c:v>44365</c:v>
                </c:pt>
                <c:pt idx="72">
                  <c:v>44368</c:v>
                </c:pt>
                <c:pt idx="73">
                  <c:v>44369</c:v>
                </c:pt>
                <c:pt idx="74">
                  <c:v>44370</c:v>
                </c:pt>
                <c:pt idx="75">
                  <c:v>44371</c:v>
                </c:pt>
                <c:pt idx="76">
                  <c:v>44372</c:v>
                </c:pt>
                <c:pt idx="77">
                  <c:v>44375</c:v>
                </c:pt>
                <c:pt idx="78">
                  <c:v>44376</c:v>
                </c:pt>
                <c:pt idx="79">
                  <c:v>44377</c:v>
                </c:pt>
                <c:pt idx="80">
                  <c:v>44378</c:v>
                </c:pt>
                <c:pt idx="81">
                  <c:v>44379</c:v>
                </c:pt>
                <c:pt idx="82">
                  <c:v>44382</c:v>
                </c:pt>
                <c:pt idx="83">
                  <c:v>44383</c:v>
                </c:pt>
                <c:pt idx="84">
                  <c:v>44384</c:v>
                </c:pt>
                <c:pt idx="85">
                  <c:v>44385</c:v>
                </c:pt>
                <c:pt idx="86">
                  <c:v>44386</c:v>
                </c:pt>
                <c:pt idx="87">
                  <c:v>44389</c:v>
                </c:pt>
                <c:pt idx="88">
                  <c:v>44390</c:v>
                </c:pt>
                <c:pt idx="89">
                  <c:v>44391</c:v>
                </c:pt>
                <c:pt idx="90">
                  <c:v>44392</c:v>
                </c:pt>
                <c:pt idx="91">
                  <c:v>44393</c:v>
                </c:pt>
                <c:pt idx="92">
                  <c:v>44396</c:v>
                </c:pt>
                <c:pt idx="93">
                  <c:v>44397</c:v>
                </c:pt>
                <c:pt idx="94">
                  <c:v>44398</c:v>
                </c:pt>
                <c:pt idx="95">
                  <c:v>44399</c:v>
                </c:pt>
                <c:pt idx="96">
                  <c:v>44400</c:v>
                </c:pt>
                <c:pt idx="97">
                  <c:v>44403</c:v>
                </c:pt>
                <c:pt idx="98">
                  <c:v>44404</c:v>
                </c:pt>
                <c:pt idx="99">
                  <c:v>44405</c:v>
                </c:pt>
                <c:pt idx="100">
                  <c:v>44406</c:v>
                </c:pt>
                <c:pt idx="101">
                  <c:v>44407</c:v>
                </c:pt>
                <c:pt idx="102">
                  <c:v>44410</c:v>
                </c:pt>
                <c:pt idx="103">
                  <c:v>44411</c:v>
                </c:pt>
                <c:pt idx="104">
                  <c:v>44412</c:v>
                </c:pt>
                <c:pt idx="105">
                  <c:v>44413</c:v>
                </c:pt>
                <c:pt idx="106">
                  <c:v>44414</c:v>
                </c:pt>
                <c:pt idx="107">
                  <c:v>44417</c:v>
                </c:pt>
                <c:pt idx="108">
                  <c:v>44418</c:v>
                </c:pt>
                <c:pt idx="109">
                  <c:v>44419</c:v>
                </c:pt>
                <c:pt idx="110">
                  <c:v>44420</c:v>
                </c:pt>
                <c:pt idx="111">
                  <c:v>44421</c:v>
                </c:pt>
                <c:pt idx="112">
                  <c:v>44424</c:v>
                </c:pt>
                <c:pt idx="113">
                  <c:v>44425</c:v>
                </c:pt>
                <c:pt idx="114">
                  <c:v>44426</c:v>
                </c:pt>
                <c:pt idx="115">
                  <c:v>44427</c:v>
                </c:pt>
                <c:pt idx="116">
                  <c:v>44428</c:v>
                </c:pt>
                <c:pt idx="117">
                  <c:v>44431</c:v>
                </c:pt>
                <c:pt idx="118">
                  <c:v>44432</c:v>
                </c:pt>
                <c:pt idx="119">
                  <c:v>44433</c:v>
                </c:pt>
                <c:pt idx="120">
                  <c:v>44434</c:v>
                </c:pt>
                <c:pt idx="121">
                  <c:v>44435</c:v>
                </c:pt>
                <c:pt idx="122">
                  <c:v>44438</c:v>
                </c:pt>
                <c:pt idx="123">
                  <c:v>44439</c:v>
                </c:pt>
                <c:pt idx="124">
                  <c:v>44440</c:v>
                </c:pt>
                <c:pt idx="125">
                  <c:v>44445</c:v>
                </c:pt>
                <c:pt idx="126">
                  <c:v>44446</c:v>
                </c:pt>
                <c:pt idx="127">
                  <c:v>44447</c:v>
                </c:pt>
                <c:pt idx="128">
                  <c:v>44448</c:v>
                </c:pt>
                <c:pt idx="129">
                  <c:v>44449</c:v>
                </c:pt>
                <c:pt idx="130">
                  <c:v>44452</c:v>
                </c:pt>
                <c:pt idx="131">
                  <c:v>44453</c:v>
                </c:pt>
                <c:pt idx="132">
                  <c:v>44454</c:v>
                </c:pt>
                <c:pt idx="133">
                  <c:v>44455</c:v>
                </c:pt>
                <c:pt idx="134">
                  <c:v>44456</c:v>
                </c:pt>
                <c:pt idx="135">
                  <c:v>44459</c:v>
                </c:pt>
                <c:pt idx="136">
                  <c:v>44460</c:v>
                </c:pt>
                <c:pt idx="137">
                  <c:v>44461</c:v>
                </c:pt>
                <c:pt idx="138">
                  <c:v>44462</c:v>
                </c:pt>
                <c:pt idx="139">
                  <c:v>44463</c:v>
                </c:pt>
                <c:pt idx="140">
                  <c:v>44466</c:v>
                </c:pt>
                <c:pt idx="141">
                  <c:v>44467</c:v>
                </c:pt>
                <c:pt idx="142">
                  <c:v>44468</c:v>
                </c:pt>
                <c:pt idx="143">
                  <c:v>44469</c:v>
                </c:pt>
                <c:pt idx="144">
                  <c:v>44470</c:v>
                </c:pt>
                <c:pt idx="145">
                  <c:v>44473</c:v>
                </c:pt>
                <c:pt idx="146">
                  <c:v>44474</c:v>
                </c:pt>
                <c:pt idx="147">
                  <c:v>44475</c:v>
                </c:pt>
                <c:pt idx="148">
                  <c:v>44476</c:v>
                </c:pt>
                <c:pt idx="149">
                  <c:v>44477</c:v>
                </c:pt>
                <c:pt idx="150">
                  <c:v>44480</c:v>
                </c:pt>
                <c:pt idx="151">
                  <c:v>44481</c:v>
                </c:pt>
                <c:pt idx="152">
                  <c:v>44482</c:v>
                </c:pt>
                <c:pt idx="153">
                  <c:v>44483</c:v>
                </c:pt>
                <c:pt idx="154">
                  <c:v>44484</c:v>
                </c:pt>
                <c:pt idx="155">
                  <c:v>44487</c:v>
                </c:pt>
                <c:pt idx="156">
                  <c:v>44488</c:v>
                </c:pt>
                <c:pt idx="157">
                  <c:v>44489</c:v>
                </c:pt>
                <c:pt idx="158">
                  <c:v>44490</c:v>
                </c:pt>
                <c:pt idx="159">
                  <c:v>44491</c:v>
                </c:pt>
                <c:pt idx="160">
                  <c:v>44494</c:v>
                </c:pt>
                <c:pt idx="161">
                  <c:v>44495</c:v>
                </c:pt>
                <c:pt idx="162">
                  <c:v>44496</c:v>
                </c:pt>
                <c:pt idx="163">
                  <c:v>44497</c:v>
                </c:pt>
                <c:pt idx="164">
                  <c:v>44498</c:v>
                </c:pt>
                <c:pt idx="165">
                  <c:v>44501</c:v>
                </c:pt>
                <c:pt idx="166">
                  <c:v>44502</c:v>
                </c:pt>
                <c:pt idx="167">
                  <c:v>44503</c:v>
                </c:pt>
                <c:pt idx="168">
                  <c:v>44504</c:v>
                </c:pt>
                <c:pt idx="169">
                  <c:v>44505</c:v>
                </c:pt>
                <c:pt idx="170">
                  <c:v>44508</c:v>
                </c:pt>
                <c:pt idx="171">
                  <c:v>44509</c:v>
                </c:pt>
                <c:pt idx="172">
                  <c:v>44510</c:v>
                </c:pt>
                <c:pt idx="173">
                  <c:v>44511</c:v>
                </c:pt>
                <c:pt idx="174">
                  <c:v>44512</c:v>
                </c:pt>
                <c:pt idx="175">
                  <c:v>44515</c:v>
                </c:pt>
                <c:pt idx="176">
                  <c:v>44516</c:v>
                </c:pt>
                <c:pt idx="177">
                  <c:v>44517</c:v>
                </c:pt>
                <c:pt idx="178">
                  <c:v>44518</c:v>
                </c:pt>
                <c:pt idx="179">
                  <c:v>44519</c:v>
                </c:pt>
                <c:pt idx="180">
                  <c:v>44522</c:v>
                </c:pt>
                <c:pt idx="181">
                  <c:v>44523</c:v>
                </c:pt>
                <c:pt idx="182">
                  <c:v>44524</c:v>
                </c:pt>
                <c:pt idx="183">
                  <c:v>44525</c:v>
                </c:pt>
                <c:pt idx="184">
                  <c:v>44526</c:v>
                </c:pt>
                <c:pt idx="185">
                  <c:v>44529</c:v>
                </c:pt>
                <c:pt idx="186">
                  <c:v>44530</c:v>
                </c:pt>
                <c:pt idx="187">
                  <c:v>44531</c:v>
                </c:pt>
                <c:pt idx="188">
                  <c:v>44532</c:v>
                </c:pt>
                <c:pt idx="189">
                  <c:v>44533</c:v>
                </c:pt>
                <c:pt idx="190">
                  <c:v>44536</c:v>
                </c:pt>
                <c:pt idx="191">
                  <c:v>44537</c:v>
                </c:pt>
                <c:pt idx="192">
                  <c:v>44538</c:v>
                </c:pt>
                <c:pt idx="193">
                  <c:v>44539</c:v>
                </c:pt>
                <c:pt idx="194">
                  <c:v>44540</c:v>
                </c:pt>
                <c:pt idx="195">
                  <c:v>44543</c:v>
                </c:pt>
                <c:pt idx="196">
                  <c:v>44544</c:v>
                </c:pt>
                <c:pt idx="197">
                  <c:v>44545</c:v>
                </c:pt>
                <c:pt idx="198">
                  <c:v>44546</c:v>
                </c:pt>
                <c:pt idx="199">
                  <c:v>44547</c:v>
                </c:pt>
                <c:pt idx="200">
                  <c:v>44550</c:v>
                </c:pt>
                <c:pt idx="201">
                  <c:v>44551</c:v>
                </c:pt>
                <c:pt idx="202">
                  <c:v>44552</c:v>
                </c:pt>
                <c:pt idx="203">
                  <c:v>44553</c:v>
                </c:pt>
                <c:pt idx="204">
                  <c:v>44554</c:v>
                </c:pt>
                <c:pt idx="205">
                  <c:v>44557</c:v>
                </c:pt>
                <c:pt idx="206">
                  <c:v>44558</c:v>
                </c:pt>
                <c:pt idx="207">
                  <c:v>44559</c:v>
                </c:pt>
                <c:pt idx="208">
                  <c:v>44560</c:v>
                </c:pt>
                <c:pt idx="209">
                  <c:v>44561</c:v>
                </c:pt>
                <c:pt idx="210">
                  <c:v>44565</c:v>
                </c:pt>
                <c:pt idx="211">
                  <c:v>44566</c:v>
                </c:pt>
                <c:pt idx="212">
                  <c:v>44567</c:v>
                </c:pt>
                <c:pt idx="213">
                  <c:v>44568</c:v>
                </c:pt>
                <c:pt idx="214">
                  <c:v>44571</c:v>
                </c:pt>
                <c:pt idx="215">
                  <c:v>44572</c:v>
                </c:pt>
                <c:pt idx="216">
                  <c:v>44573</c:v>
                </c:pt>
                <c:pt idx="217">
                  <c:v>44574</c:v>
                </c:pt>
                <c:pt idx="218">
                  <c:v>44575</c:v>
                </c:pt>
                <c:pt idx="219">
                  <c:v>44578</c:v>
                </c:pt>
                <c:pt idx="220">
                  <c:v>44579</c:v>
                </c:pt>
                <c:pt idx="221">
                  <c:v>44580</c:v>
                </c:pt>
                <c:pt idx="222">
                  <c:v>44581</c:v>
                </c:pt>
                <c:pt idx="223">
                  <c:v>44582</c:v>
                </c:pt>
                <c:pt idx="224">
                  <c:v>44585</c:v>
                </c:pt>
                <c:pt idx="225">
                  <c:v>44586</c:v>
                </c:pt>
                <c:pt idx="226">
                  <c:v>44587</c:v>
                </c:pt>
                <c:pt idx="227">
                  <c:v>44588</c:v>
                </c:pt>
                <c:pt idx="228">
                  <c:v>44589</c:v>
                </c:pt>
                <c:pt idx="229">
                  <c:v>44599</c:v>
                </c:pt>
                <c:pt idx="230">
                  <c:v>44600</c:v>
                </c:pt>
                <c:pt idx="231">
                  <c:v>44601</c:v>
                </c:pt>
                <c:pt idx="232">
                  <c:v>44602</c:v>
                </c:pt>
                <c:pt idx="233">
                  <c:v>44603</c:v>
                </c:pt>
                <c:pt idx="234">
                  <c:v>44606</c:v>
                </c:pt>
                <c:pt idx="235">
                  <c:v>44607</c:v>
                </c:pt>
                <c:pt idx="236">
                  <c:v>44608</c:v>
                </c:pt>
                <c:pt idx="237">
                  <c:v>44609</c:v>
                </c:pt>
                <c:pt idx="238">
                  <c:v>44610</c:v>
                </c:pt>
                <c:pt idx="239">
                  <c:v>44613</c:v>
                </c:pt>
                <c:pt idx="240">
                  <c:v>44614</c:v>
                </c:pt>
                <c:pt idx="241">
                  <c:v>44615</c:v>
                </c:pt>
                <c:pt idx="242">
                  <c:v>44616</c:v>
                </c:pt>
                <c:pt idx="243">
                  <c:v>44617</c:v>
                </c:pt>
                <c:pt idx="244">
                  <c:v>44620</c:v>
                </c:pt>
                <c:pt idx="245">
                  <c:v>44621</c:v>
                </c:pt>
                <c:pt idx="246">
                  <c:v>44622</c:v>
                </c:pt>
                <c:pt idx="247">
                  <c:v>44623</c:v>
                </c:pt>
                <c:pt idx="248">
                  <c:v>44624</c:v>
                </c:pt>
                <c:pt idx="249">
                  <c:v>44627</c:v>
                </c:pt>
                <c:pt idx="250">
                  <c:v>44628</c:v>
                </c:pt>
                <c:pt idx="251">
                  <c:v>44629</c:v>
                </c:pt>
                <c:pt idx="252">
                  <c:v>44630</c:v>
                </c:pt>
                <c:pt idx="253">
                  <c:v>44631</c:v>
                </c:pt>
                <c:pt idx="254">
                  <c:v>44634</c:v>
                </c:pt>
                <c:pt idx="255">
                  <c:v>44635</c:v>
                </c:pt>
                <c:pt idx="256">
                  <c:v>44636</c:v>
                </c:pt>
                <c:pt idx="257">
                  <c:v>44637</c:v>
                </c:pt>
                <c:pt idx="258">
                  <c:v>44638</c:v>
                </c:pt>
                <c:pt idx="259">
                  <c:v>44641</c:v>
                </c:pt>
                <c:pt idx="260">
                  <c:v>44642</c:v>
                </c:pt>
                <c:pt idx="261">
                  <c:v>44643</c:v>
                </c:pt>
                <c:pt idx="262">
                  <c:v>44644</c:v>
                </c:pt>
                <c:pt idx="263">
                  <c:v>44645</c:v>
                </c:pt>
                <c:pt idx="264">
                  <c:v>44648</c:v>
                </c:pt>
                <c:pt idx="265">
                  <c:v>44649</c:v>
                </c:pt>
                <c:pt idx="266">
                  <c:v>44650</c:v>
                </c:pt>
                <c:pt idx="267">
                  <c:v>44651</c:v>
                </c:pt>
                <c:pt idx="268">
                  <c:v>44652</c:v>
                </c:pt>
                <c:pt idx="269">
                  <c:v>44655</c:v>
                </c:pt>
                <c:pt idx="270">
                  <c:v>44656</c:v>
                </c:pt>
                <c:pt idx="271">
                  <c:v>44657</c:v>
                </c:pt>
                <c:pt idx="272">
                  <c:v>44658</c:v>
                </c:pt>
                <c:pt idx="273">
                  <c:v>44659</c:v>
                </c:pt>
                <c:pt idx="274">
                  <c:v>44663</c:v>
                </c:pt>
                <c:pt idx="275">
                  <c:v>44664</c:v>
                </c:pt>
                <c:pt idx="276">
                  <c:v>44665</c:v>
                </c:pt>
                <c:pt idx="277">
                  <c:v>44666</c:v>
                </c:pt>
                <c:pt idx="278">
                  <c:v>44669</c:v>
                </c:pt>
                <c:pt idx="279">
                  <c:v>44670</c:v>
                </c:pt>
                <c:pt idx="280">
                  <c:v>44671</c:v>
                </c:pt>
                <c:pt idx="281">
                  <c:v>44672</c:v>
                </c:pt>
                <c:pt idx="282">
                  <c:v>44673</c:v>
                </c:pt>
                <c:pt idx="283">
                  <c:v>44676</c:v>
                </c:pt>
                <c:pt idx="284">
                  <c:v>44677</c:v>
                </c:pt>
                <c:pt idx="285">
                  <c:v>44678</c:v>
                </c:pt>
                <c:pt idx="286">
                  <c:v>44679</c:v>
                </c:pt>
                <c:pt idx="287">
                  <c:v>44680</c:v>
                </c:pt>
                <c:pt idx="288">
                  <c:v>44685</c:v>
                </c:pt>
                <c:pt idx="289">
                  <c:v>44686</c:v>
                </c:pt>
                <c:pt idx="290">
                  <c:v>44687</c:v>
                </c:pt>
                <c:pt idx="291">
                  <c:v>44690</c:v>
                </c:pt>
                <c:pt idx="292">
                  <c:v>44691</c:v>
                </c:pt>
                <c:pt idx="293">
                  <c:v>44692</c:v>
                </c:pt>
                <c:pt idx="294">
                  <c:v>44693</c:v>
                </c:pt>
                <c:pt idx="295">
                  <c:v>44694</c:v>
                </c:pt>
                <c:pt idx="296">
                  <c:v>44697</c:v>
                </c:pt>
                <c:pt idx="297">
                  <c:v>44698</c:v>
                </c:pt>
                <c:pt idx="298">
                  <c:v>44699</c:v>
                </c:pt>
                <c:pt idx="299">
                  <c:v>44700</c:v>
                </c:pt>
                <c:pt idx="300">
                  <c:v>44701</c:v>
                </c:pt>
                <c:pt idx="301">
                  <c:v>44704</c:v>
                </c:pt>
                <c:pt idx="302">
                  <c:v>44705</c:v>
                </c:pt>
                <c:pt idx="303">
                  <c:v>44706</c:v>
                </c:pt>
                <c:pt idx="304">
                  <c:v>44707</c:v>
                </c:pt>
                <c:pt idx="305">
                  <c:v>44708</c:v>
                </c:pt>
                <c:pt idx="306">
                  <c:v>44711</c:v>
                </c:pt>
                <c:pt idx="307">
                  <c:v>44712</c:v>
                </c:pt>
                <c:pt idx="308">
                  <c:v>44713</c:v>
                </c:pt>
                <c:pt idx="309">
                  <c:v>44714</c:v>
                </c:pt>
                <c:pt idx="310">
                  <c:v>44715</c:v>
                </c:pt>
                <c:pt idx="311">
                  <c:v>44718</c:v>
                </c:pt>
                <c:pt idx="312">
                  <c:v>44719</c:v>
                </c:pt>
                <c:pt idx="313">
                  <c:v>44720</c:v>
                </c:pt>
                <c:pt idx="314">
                  <c:v>44721</c:v>
                </c:pt>
                <c:pt idx="315">
                  <c:v>44722</c:v>
                </c:pt>
                <c:pt idx="316">
                  <c:v>44725</c:v>
                </c:pt>
                <c:pt idx="317">
                  <c:v>44726</c:v>
                </c:pt>
                <c:pt idx="318">
                  <c:v>44727</c:v>
                </c:pt>
                <c:pt idx="319">
                  <c:v>44728</c:v>
                </c:pt>
                <c:pt idx="320">
                  <c:v>44729</c:v>
                </c:pt>
                <c:pt idx="321">
                  <c:v>44732</c:v>
                </c:pt>
                <c:pt idx="322">
                  <c:v>44733</c:v>
                </c:pt>
                <c:pt idx="323">
                  <c:v>44734</c:v>
                </c:pt>
                <c:pt idx="324">
                  <c:v>44735</c:v>
                </c:pt>
                <c:pt idx="325">
                  <c:v>44736</c:v>
                </c:pt>
                <c:pt idx="326">
                  <c:v>44739</c:v>
                </c:pt>
                <c:pt idx="327">
                  <c:v>44740</c:v>
                </c:pt>
                <c:pt idx="328">
                  <c:v>44741</c:v>
                </c:pt>
                <c:pt idx="329">
                  <c:v>44742</c:v>
                </c:pt>
                <c:pt idx="330">
                  <c:v>44743</c:v>
                </c:pt>
                <c:pt idx="331">
                  <c:v>44746</c:v>
                </c:pt>
                <c:pt idx="332">
                  <c:v>44747</c:v>
                </c:pt>
                <c:pt idx="333">
                  <c:v>44748</c:v>
                </c:pt>
                <c:pt idx="334">
                  <c:v>44749</c:v>
                </c:pt>
                <c:pt idx="335">
                  <c:v>44750</c:v>
                </c:pt>
                <c:pt idx="336">
                  <c:v>44753</c:v>
                </c:pt>
                <c:pt idx="337">
                  <c:v>44754</c:v>
                </c:pt>
                <c:pt idx="338">
                  <c:v>44755</c:v>
                </c:pt>
                <c:pt idx="339">
                  <c:v>44756</c:v>
                </c:pt>
                <c:pt idx="340">
                  <c:v>44757</c:v>
                </c:pt>
                <c:pt idx="341">
                  <c:v>44760</c:v>
                </c:pt>
                <c:pt idx="342">
                  <c:v>44761</c:v>
                </c:pt>
                <c:pt idx="343">
                  <c:v>44762</c:v>
                </c:pt>
                <c:pt idx="344">
                  <c:v>44763</c:v>
                </c:pt>
                <c:pt idx="345">
                  <c:v>44764</c:v>
                </c:pt>
                <c:pt idx="346">
                  <c:v>44767</c:v>
                </c:pt>
                <c:pt idx="347">
                  <c:v>44768</c:v>
                </c:pt>
                <c:pt idx="348">
                  <c:v>44769</c:v>
                </c:pt>
                <c:pt idx="349">
                  <c:v>44770</c:v>
                </c:pt>
                <c:pt idx="350">
                  <c:v>44771</c:v>
                </c:pt>
                <c:pt idx="351">
                  <c:v>44774</c:v>
                </c:pt>
                <c:pt idx="352">
                  <c:v>44775</c:v>
                </c:pt>
                <c:pt idx="353">
                  <c:v>44776</c:v>
                </c:pt>
                <c:pt idx="354">
                  <c:v>44777</c:v>
                </c:pt>
                <c:pt idx="355">
                  <c:v>44778</c:v>
                </c:pt>
                <c:pt idx="356">
                  <c:v>44781</c:v>
                </c:pt>
                <c:pt idx="357">
                  <c:v>44782</c:v>
                </c:pt>
                <c:pt idx="358">
                  <c:v>44783</c:v>
                </c:pt>
                <c:pt idx="359">
                  <c:v>44784</c:v>
                </c:pt>
                <c:pt idx="360">
                  <c:v>44785</c:v>
                </c:pt>
                <c:pt idx="361">
                  <c:v>44788</c:v>
                </c:pt>
                <c:pt idx="362">
                  <c:v>44789</c:v>
                </c:pt>
                <c:pt idx="363">
                  <c:v>44790</c:v>
                </c:pt>
                <c:pt idx="364">
                  <c:v>44791</c:v>
                </c:pt>
                <c:pt idx="365">
                  <c:v>44792</c:v>
                </c:pt>
                <c:pt idx="366">
                  <c:v>44795</c:v>
                </c:pt>
                <c:pt idx="367">
                  <c:v>44796</c:v>
                </c:pt>
                <c:pt idx="368">
                  <c:v>44797</c:v>
                </c:pt>
                <c:pt idx="369">
                  <c:v>44798</c:v>
                </c:pt>
                <c:pt idx="370">
                  <c:v>44799</c:v>
                </c:pt>
                <c:pt idx="371">
                  <c:v>44802</c:v>
                </c:pt>
                <c:pt idx="372">
                  <c:v>44803</c:v>
                </c:pt>
                <c:pt idx="373">
                  <c:v>44804</c:v>
                </c:pt>
                <c:pt idx="374">
                  <c:v>44809</c:v>
                </c:pt>
                <c:pt idx="375">
                  <c:v>44810</c:v>
                </c:pt>
                <c:pt idx="376">
                  <c:v>44811</c:v>
                </c:pt>
                <c:pt idx="377">
                  <c:v>44812</c:v>
                </c:pt>
                <c:pt idx="378">
                  <c:v>44813</c:v>
                </c:pt>
                <c:pt idx="379">
                  <c:v>44816</c:v>
                </c:pt>
                <c:pt idx="380">
                  <c:v>44817</c:v>
                </c:pt>
                <c:pt idx="381">
                  <c:v>44818</c:v>
                </c:pt>
                <c:pt idx="382">
                  <c:v>44819</c:v>
                </c:pt>
                <c:pt idx="383">
                  <c:v>44820</c:v>
                </c:pt>
                <c:pt idx="384">
                  <c:v>44823</c:v>
                </c:pt>
                <c:pt idx="385">
                  <c:v>44824</c:v>
                </c:pt>
                <c:pt idx="386">
                  <c:v>44825</c:v>
                </c:pt>
                <c:pt idx="387">
                  <c:v>44826</c:v>
                </c:pt>
                <c:pt idx="388">
                  <c:v>44827</c:v>
                </c:pt>
                <c:pt idx="389">
                  <c:v>44830</c:v>
                </c:pt>
                <c:pt idx="390">
                  <c:v>44831</c:v>
                </c:pt>
                <c:pt idx="391">
                  <c:v>44832</c:v>
                </c:pt>
                <c:pt idx="392">
                  <c:v>44833</c:v>
                </c:pt>
                <c:pt idx="393">
                  <c:v>44834</c:v>
                </c:pt>
                <c:pt idx="394">
                  <c:v>44837</c:v>
                </c:pt>
                <c:pt idx="395">
                  <c:v>44838</c:v>
                </c:pt>
                <c:pt idx="396">
                  <c:v>44839</c:v>
                </c:pt>
                <c:pt idx="397">
                  <c:v>44840</c:v>
                </c:pt>
                <c:pt idx="398">
                  <c:v>44841</c:v>
                </c:pt>
                <c:pt idx="399">
                  <c:v>44844</c:v>
                </c:pt>
                <c:pt idx="400">
                  <c:v>44845</c:v>
                </c:pt>
                <c:pt idx="401">
                  <c:v>44846</c:v>
                </c:pt>
                <c:pt idx="402">
                  <c:v>44847</c:v>
                </c:pt>
                <c:pt idx="403">
                  <c:v>44848</c:v>
                </c:pt>
                <c:pt idx="404">
                  <c:v>44851</c:v>
                </c:pt>
                <c:pt idx="405">
                  <c:v>44852</c:v>
                </c:pt>
                <c:pt idx="406">
                  <c:v>44853</c:v>
                </c:pt>
                <c:pt idx="407">
                  <c:v>44854</c:v>
                </c:pt>
                <c:pt idx="408">
                  <c:v>44855</c:v>
                </c:pt>
                <c:pt idx="409">
                  <c:v>44858</c:v>
                </c:pt>
                <c:pt idx="410">
                  <c:v>44859</c:v>
                </c:pt>
                <c:pt idx="411">
                  <c:v>44860</c:v>
                </c:pt>
                <c:pt idx="412">
                  <c:v>44861</c:v>
                </c:pt>
                <c:pt idx="413">
                  <c:v>44862</c:v>
                </c:pt>
                <c:pt idx="414">
                  <c:v>44865</c:v>
                </c:pt>
                <c:pt idx="415">
                  <c:v>44866</c:v>
                </c:pt>
                <c:pt idx="416">
                  <c:v>44867</c:v>
                </c:pt>
                <c:pt idx="417">
                  <c:v>44868</c:v>
                </c:pt>
                <c:pt idx="418">
                  <c:v>44869</c:v>
                </c:pt>
                <c:pt idx="419">
                  <c:v>44872</c:v>
                </c:pt>
                <c:pt idx="420">
                  <c:v>44873</c:v>
                </c:pt>
                <c:pt idx="421">
                  <c:v>44874</c:v>
                </c:pt>
                <c:pt idx="422">
                  <c:v>44875</c:v>
                </c:pt>
                <c:pt idx="423">
                  <c:v>44876</c:v>
                </c:pt>
                <c:pt idx="424">
                  <c:v>44879</c:v>
                </c:pt>
                <c:pt idx="425">
                  <c:v>44880</c:v>
                </c:pt>
                <c:pt idx="426">
                  <c:v>44881</c:v>
                </c:pt>
                <c:pt idx="427">
                  <c:v>44882</c:v>
                </c:pt>
                <c:pt idx="428">
                  <c:v>44883</c:v>
                </c:pt>
                <c:pt idx="429">
                  <c:v>44886</c:v>
                </c:pt>
                <c:pt idx="430">
                  <c:v>44887</c:v>
                </c:pt>
                <c:pt idx="431">
                  <c:v>44888</c:v>
                </c:pt>
                <c:pt idx="432">
                  <c:v>44889</c:v>
                </c:pt>
                <c:pt idx="433">
                  <c:v>44890</c:v>
                </c:pt>
                <c:pt idx="434">
                  <c:v>44893</c:v>
                </c:pt>
                <c:pt idx="435">
                  <c:v>44894</c:v>
                </c:pt>
                <c:pt idx="436">
                  <c:v>44895</c:v>
                </c:pt>
                <c:pt idx="437">
                  <c:v>44896</c:v>
                </c:pt>
                <c:pt idx="438">
                  <c:v>44897</c:v>
                </c:pt>
                <c:pt idx="439">
                  <c:v>44900</c:v>
                </c:pt>
                <c:pt idx="440">
                  <c:v>44901</c:v>
                </c:pt>
                <c:pt idx="441">
                  <c:v>44902</c:v>
                </c:pt>
                <c:pt idx="442">
                  <c:v>44903</c:v>
                </c:pt>
                <c:pt idx="443">
                  <c:v>44904</c:v>
                </c:pt>
                <c:pt idx="444">
                  <c:v>44907</c:v>
                </c:pt>
                <c:pt idx="445">
                  <c:v>44908</c:v>
                </c:pt>
                <c:pt idx="446">
                  <c:v>44909</c:v>
                </c:pt>
                <c:pt idx="447">
                  <c:v>44910</c:v>
                </c:pt>
                <c:pt idx="448">
                  <c:v>44911</c:v>
                </c:pt>
                <c:pt idx="449">
                  <c:v>44914</c:v>
                </c:pt>
                <c:pt idx="450">
                  <c:v>44915</c:v>
                </c:pt>
                <c:pt idx="451">
                  <c:v>44916</c:v>
                </c:pt>
                <c:pt idx="452">
                  <c:v>44917</c:v>
                </c:pt>
                <c:pt idx="453">
                  <c:v>44918</c:v>
                </c:pt>
                <c:pt idx="454">
                  <c:v>44921</c:v>
                </c:pt>
                <c:pt idx="455">
                  <c:v>44922</c:v>
                </c:pt>
                <c:pt idx="456">
                  <c:v>44923</c:v>
                </c:pt>
                <c:pt idx="457">
                  <c:v>44924</c:v>
                </c:pt>
                <c:pt idx="458">
                  <c:v>44925</c:v>
                </c:pt>
                <c:pt idx="459">
                  <c:v>44929</c:v>
                </c:pt>
                <c:pt idx="460">
                  <c:v>44930</c:v>
                </c:pt>
                <c:pt idx="461">
                  <c:v>44931</c:v>
                </c:pt>
                <c:pt idx="462">
                  <c:v>44932</c:v>
                </c:pt>
                <c:pt idx="463">
                  <c:v>44935</c:v>
                </c:pt>
                <c:pt idx="464">
                  <c:v>44936</c:v>
                </c:pt>
                <c:pt idx="465">
                  <c:v>44937</c:v>
                </c:pt>
                <c:pt idx="466">
                  <c:v>44938</c:v>
                </c:pt>
                <c:pt idx="467">
                  <c:v>44939</c:v>
                </c:pt>
                <c:pt idx="468">
                  <c:v>44942</c:v>
                </c:pt>
                <c:pt idx="469">
                  <c:v>44943</c:v>
                </c:pt>
                <c:pt idx="470">
                  <c:v>44944</c:v>
                </c:pt>
                <c:pt idx="471">
                  <c:v>44945</c:v>
                </c:pt>
                <c:pt idx="472">
                  <c:v>44953</c:v>
                </c:pt>
                <c:pt idx="473">
                  <c:v>44956</c:v>
                </c:pt>
                <c:pt idx="474">
                  <c:v>44957</c:v>
                </c:pt>
                <c:pt idx="475">
                  <c:v>44958</c:v>
                </c:pt>
                <c:pt idx="476">
                  <c:v>44959</c:v>
                </c:pt>
                <c:pt idx="477">
                  <c:v>44960</c:v>
                </c:pt>
                <c:pt idx="478">
                  <c:v>44963</c:v>
                </c:pt>
                <c:pt idx="479">
                  <c:v>44964</c:v>
                </c:pt>
                <c:pt idx="480">
                  <c:v>44965</c:v>
                </c:pt>
                <c:pt idx="481">
                  <c:v>44966</c:v>
                </c:pt>
                <c:pt idx="482">
                  <c:v>44967</c:v>
                </c:pt>
                <c:pt idx="483">
                  <c:v>44970</c:v>
                </c:pt>
                <c:pt idx="484">
                  <c:v>44971</c:v>
                </c:pt>
                <c:pt idx="485">
                  <c:v>44972</c:v>
                </c:pt>
                <c:pt idx="486">
                  <c:v>44973</c:v>
                </c:pt>
                <c:pt idx="487">
                  <c:v>44974</c:v>
                </c:pt>
                <c:pt idx="488">
                  <c:v>44977</c:v>
                </c:pt>
                <c:pt idx="489">
                  <c:v>44978</c:v>
                </c:pt>
                <c:pt idx="490">
                  <c:v>44979</c:v>
                </c:pt>
                <c:pt idx="491">
                  <c:v>44980</c:v>
                </c:pt>
                <c:pt idx="492">
                  <c:v>44981</c:v>
                </c:pt>
                <c:pt idx="493">
                  <c:v>44984</c:v>
                </c:pt>
                <c:pt idx="494">
                  <c:v>44985</c:v>
                </c:pt>
                <c:pt idx="495">
                  <c:v>44986</c:v>
                </c:pt>
                <c:pt idx="496">
                  <c:v>44987</c:v>
                </c:pt>
                <c:pt idx="497">
                  <c:v>44988</c:v>
                </c:pt>
                <c:pt idx="498">
                  <c:v>44991</c:v>
                </c:pt>
                <c:pt idx="499">
                  <c:v>44992</c:v>
                </c:pt>
                <c:pt idx="500">
                  <c:v>44993</c:v>
                </c:pt>
                <c:pt idx="501">
                  <c:v>44994</c:v>
                </c:pt>
                <c:pt idx="502">
                  <c:v>44995</c:v>
                </c:pt>
                <c:pt idx="503">
                  <c:v>44998</c:v>
                </c:pt>
                <c:pt idx="504">
                  <c:v>44999</c:v>
                </c:pt>
                <c:pt idx="505">
                  <c:v>45000</c:v>
                </c:pt>
                <c:pt idx="506">
                  <c:v>45001</c:v>
                </c:pt>
                <c:pt idx="507">
                  <c:v>45002</c:v>
                </c:pt>
                <c:pt idx="508">
                  <c:v>45005</c:v>
                </c:pt>
                <c:pt idx="509">
                  <c:v>45006</c:v>
                </c:pt>
                <c:pt idx="510">
                  <c:v>45007</c:v>
                </c:pt>
                <c:pt idx="511">
                  <c:v>45008</c:v>
                </c:pt>
                <c:pt idx="512">
                  <c:v>45009</c:v>
                </c:pt>
                <c:pt idx="513">
                  <c:v>45012</c:v>
                </c:pt>
                <c:pt idx="514">
                  <c:v>45013</c:v>
                </c:pt>
                <c:pt idx="515">
                  <c:v>45014</c:v>
                </c:pt>
                <c:pt idx="516">
                  <c:v>45015</c:v>
                </c:pt>
                <c:pt idx="517">
                  <c:v>45016</c:v>
                </c:pt>
                <c:pt idx="518">
                  <c:v>45019</c:v>
                </c:pt>
                <c:pt idx="519">
                  <c:v>45020</c:v>
                </c:pt>
                <c:pt idx="520">
                  <c:v>45021</c:v>
                </c:pt>
                <c:pt idx="521">
                  <c:v>45022</c:v>
                </c:pt>
                <c:pt idx="522">
                  <c:v>45023</c:v>
                </c:pt>
                <c:pt idx="523">
                  <c:v>45026</c:v>
                </c:pt>
                <c:pt idx="524">
                  <c:v>45027</c:v>
                </c:pt>
                <c:pt idx="525">
                  <c:v>45028</c:v>
                </c:pt>
                <c:pt idx="526">
                  <c:v>45029</c:v>
                </c:pt>
                <c:pt idx="527">
                  <c:v>45030</c:v>
                </c:pt>
                <c:pt idx="528">
                  <c:v>45033</c:v>
                </c:pt>
                <c:pt idx="529">
                  <c:v>45034</c:v>
                </c:pt>
                <c:pt idx="530">
                  <c:v>45035</c:v>
                </c:pt>
                <c:pt idx="531">
                  <c:v>45036</c:v>
                </c:pt>
                <c:pt idx="532">
                  <c:v>45037</c:v>
                </c:pt>
                <c:pt idx="533">
                  <c:v>45040</c:v>
                </c:pt>
                <c:pt idx="534">
                  <c:v>45041</c:v>
                </c:pt>
                <c:pt idx="535">
                  <c:v>45042</c:v>
                </c:pt>
                <c:pt idx="536">
                  <c:v>45043</c:v>
                </c:pt>
                <c:pt idx="537">
                  <c:v>45044</c:v>
                </c:pt>
                <c:pt idx="538">
                  <c:v>45050</c:v>
                </c:pt>
                <c:pt idx="539">
                  <c:v>45051</c:v>
                </c:pt>
                <c:pt idx="540">
                  <c:v>45054</c:v>
                </c:pt>
                <c:pt idx="541">
                  <c:v>45055</c:v>
                </c:pt>
                <c:pt idx="542">
                  <c:v>45056</c:v>
                </c:pt>
                <c:pt idx="543">
                  <c:v>45057</c:v>
                </c:pt>
                <c:pt idx="544">
                  <c:v>45058</c:v>
                </c:pt>
                <c:pt idx="545">
                  <c:v>45061</c:v>
                </c:pt>
                <c:pt idx="546">
                  <c:v>45062</c:v>
                </c:pt>
                <c:pt idx="547">
                  <c:v>45063</c:v>
                </c:pt>
                <c:pt idx="548">
                  <c:v>45064</c:v>
                </c:pt>
                <c:pt idx="549">
                  <c:v>45065</c:v>
                </c:pt>
                <c:pt idx="550">
                  <c:v>45068</c:v>
                </c:pt>
                <c:pt idx="551">
                  <c:v>45069</c:v>
                </c:pt>
                <c:pt idx="552">
                  <c:v>45070</c:v>
                </c:pt>
                <c:pt idx="553">
                  <c:v>45071</c:v>
                </c:pt>
                <c:pt idx="554">
                  <c:v>45072</c:v>
                </c:pt>
                <c:pt idx="555">
                  <c:v>45075</c:v>
                </c:pt>
                <c:pt idx="556">
                  <c:v>45076</c:v>
                </c:pt>
                <c:pt idx="557">
                  <c:v>45077</c:v>
                </c:pt>
                <c:pt idx="558">
                  <c:v>45078</c:v>
                </c:pt>
                <c:pt idx="559">
                  <c:v>45079</c:v>
                </c:pt>
                <c:pt idx="560">
                  <c:v>45082</c:v>
                </c:pt>
                <c:pt idx="561">
                  <c:v>45083</c:v>
                </c:pt>
                <c:pt idx="562">
                  <c:v>45084</c:v>
                </c:pt>
                <c:pt idx="563">
                  <c:v>45085</c:v>
                </c:pt>
                <c:pt idx="564">
                  <c:v>45086</c:v>
                </c:pt>
                <c:pt idx="565">
                  <c:v>45089</c:v>
                </c:pt>
                <c:pt idx="566">
                  <c:v>45090</c:v>
                </c:pt>
                <c:pt idx="567">
                  <c:v>45091</c:v>
                </c:pt>
                <c:pt idx="568">
                  <c:v>45092</c:v>
                </c:pt>
                <c:pt idx="569">
                  <c:v>45093</c:v>
                </c:pt>
                <c:pt idx="570">
                  <c:v>45096</c:v>
                </c:pt>
                <c:pt idx="571">
                  <c:v>45097</c:v>
                </c:pt>
                <c:pt idx="572">
                  <c:v>45098</c:v>
                </c:pt>
                <c:pt idx="573">
                  <c:v>45099</c:v>
                </c:pt>
                <c:pt idx="574">
                  <c:v>45100</c:v>
                </c:pt>
                <c:pt idx="575">
                  <c:v>45103</c:v>
                </c:pt>
                <c:pt idx="576">
                  <c:v>45104</c:v>
                </c:pt>
                <c:pt idx="577">
                  <c:v>45105</c:v>
                </c:pt>
                <c:pt idx="578">
                  <c:v>45106</c:v>
                </c:pt>
                <c:pt idx="579">
                  <c:v>45107</c:v>
                </c:pt>
                <c:pt idx="580">
                  <c:v>45110</c:v>
                </c:pt>
                <c:pt idx="581">
                  <c:v>45111</c:v>
                </c:pt>
                <c:pt idx="582">
                  <c:v>45112</c:v>
                </c:pt>
                <c:pt idx="583">
                  <c:v>45113</c:v>
                </c:pt>
                <c:pt idx="584">
                  <c:v>45114</c:v>
                </c:pt>
                <c:pt idx="585">
                  <c:v>45117</c:v>
                </c:pt>
                <c:pt idx="586">
                  <c:v>45118</c:v>
                </c:pt>
                <c:pt idx="587">
                  <c:v>45119</c:v>
                </c:pt>
                <c:pt idx="588">
                  <c:v>45120</c:v>
                </c:pt>
                <c:pt idx="589">
                  <c:v>45121</c:v>
                </c:pt>
                <c:pt idx="590">
                  <c:v>45124</c:v>
                </c:pt>
                <c:pt idx="591">
                  <c:v>45125</c:v>
                </c:pt>
                <c:pt idx="592">
                  <c:v>45126</c:v>
                </c:pt>
                <c:pt idx="593">
                  <c:v>45127</c:v>
                </c:pt>
                <c:pt idx="594">
                  <c:v>45128</c:v>
                </c:pt>
                <c:pt idx="595">
                  <c:v>45131</c:v>
                </c:pt>
                <c:pt idx="596">
                  <c:v>45132</c:v>
                </c:pt>
                <c:pt idx="597">
                  <c:v>45133</c:v>
                </c:pt>
                <c:pt idx="598">
                  <c:v>45134</c:v>
                </c:pt>
                <c:pt idx="599">
                  <c:v>45135</c:v>
                </c:pt>
                <c:pt idx="600">
                  <c:v>45138</c:v>
                </c:pt>
                <c:pt idx="601">
                  <c:v>45139</c:v>
                </c:pt>
                <c:pt idx="602">
                  <c:v>45140</c:v>
                </c:pt>
                <c:pt idx="603">
                  <c:v>45141</c:v>
                </c:pt>
                <c:pt idx="604">
                  <c:v>45142</c:v>
                </c:pt>
                <c:pt idx="605">
                  <c:v>45145</c:v>
                </c:pt>
                <c:pt idx="606">
                  <c:v>45146</c:v>
                </c:pt>
                <c:pt idx="607">
                  <c:v>45147</c:v>
                </c:pt>
                <c:pt idx="608">
                  <c:v>45148</c:v>
                </c:pt>
                <c:pt idx="609">
                  <c:v>45149</c:v>
                </c:pt>
                <c:pt idx="610">
                  <c:v>45152</c:v>
                </c:pt>
                <c:pt idx="611">
                  <c:v>45153</c:v>
                </c:pt>
                <c:pt idx="612">
                  <c:v>45154</c:v>
                </c:pt>
                <c:pt idx="613">
                  <c:v>45155</c:v>
                </c:pt>
                <c:pt idx="614">
                  <c:v>45156</c:v>
                </c:pt>
                <c:pt idx="615">
                  <c:v>45159</c:v>
                </c:pt>
                <c:pt idx="616">
                  <c:v>45160</c:v>
                </c:pt>
                <c:pt idx="617">
                  <c:v>45161</c:v>
                </c:pt>
                <c:pt idx="618">
                  <c:v>45162</c:v>
                </c:pt>
                <c:pt idx="619">
                  <c:v>45163</c:v>
                </c:pt>
                <c:pt idx="620">
                  <c:v>45166</c:v>
                </c:pt>
                <c:pt idx="621">
                  <c:v>45167</c:v>
                </c:pt>
                <c:pt idx="622">
                  <c:v>45168</c:v>
                </c:pt>
                <c:pt idx="623">
                  <c:v>45169</c:v>
                </c:pt>
                <c:pt idx="624">
                  <c:v>45174</c:v>
                </c:pt>
                <c:pt idx="625">
                  <c:v>45175</c:v>
                </c:pt>
                <c:pt idx="626">
                  <c:v>45176</c:v>
                </c:pt>
                <c:pt idx="627">
                  <c:v>45177</c:v>
                </c:pt>
                <c:pt idx="628">
                  <c:v>45180</c:v>
                </c:pt>
                <c:pt idx="629">
                  <c:v>45181</c:v>
                </c:pt>
                <c:pt idx="630">
                  <c:v>45182</c:v>
                </c:pt>
                <c:pt idx="631">
                  <c:v>45183</c:v>
                </c:pt>
                <c:pt idx="632">
                  <c:v>45184</c:v>
                </c:pt>
                <c:pt idx="633">
                  <c:v>45187</c:v>
                </c:pt>
                <c:pt idx="634">
                  <c:v>45188</c:v>
                </c:pt>
                <c:pt idx="635">
                  <c:v>45189</c:v>
                </c:pt>
                <c:pt idx="636">
                  <c:v>45190</c:v>
                </c:pt>
                <c:pt idx="637">
                  <c:v>45191</c:v>
                </c:pt>
                <c:pt idx="638">
                  <c:v>45194</c:v>
                </c:pt>
                <c:pt idx="639">
                  <c:v>45195</c:v>
                </c:pt>
                <c:pt idx="640">
                  <c:v>45196</c:v>
                </c:pt>
                <c:pt idx="641">
                  <c:v>45197</c:v>
                </c:pt>
                <c:pt idx="642">
                  <c:v>45198</c:v>
                </c:pt>
                <c:pt idx="643">
                  <c:v>45201</c:v>
                </c:pt>
                <c:pt idx="644">
                  <c:v>45202</c:v>
                </c:pt>
                <c:pt idx="645">
                  <c:v>45203</c:v>
                </c:pt>
                <c:pt idx="646">
                  <c:v>45204</c:v>
                </c:pt>
                <c:pt idx="647">
                  <c:v>45205</c:v>
                </c:pt>
                <c:pt idx="648">
                  <c:v>45208</c:v>
                </c:pt>
                <c:pt idx="649">
                  <c:v>45209</c:v>
                </c:pt>
                <c:pt idx="650">
                  <c:v>45210</c:v>
                </c:pt>
                <c:pt idx="651">
                  <c:v>45211</c:v>
                </c:pt>
                <c:pt idx="652">
                  <c:v>45212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45222</c:v>
                </c:pt>
                <c:pt idx="659">
                  <c:v>45223</c:v>
                </c:pt>
                <c:pt idx="660">
                  <c:v>45224</c:v>
                </c:pt>
                <c:pt idx="661">
                  <c:v>45225</c:v>
                </c:pt>
                <c:pt idx="662">
                  <c:v>45226</c:v>
                </c:pt>
                <c:pt idx="663">
                  <c:v>45229</c:v>
                </c:pt>
                <c:pt idx="664">
                  <c:v>45230</c:v>
                </c:pt>
                <c:pt idx="665">
                  <c:v>45231</c:v>
                </c:pt>
                <c:pt idx="666">
                  <c:v>45232</c:v>
                </c:pt>
                <c:pt idx="667">
                  <c:v>45233</c:v>
                </c:pt>
                <c:pt idx="668">
                  <c:v>45236</c:v>
                </c:pt>
                <c:pt idx="669">
                  <c:v>45237</c:v>
                </c:pt>
                <c:pt idx="670">
                  <c:v>45238</c:v>
                </c:pt>
                <c:pt idx="671">
                  <c:v>45239</c:v>
                </c:pt>
                <c:pt idx="672">
                  <c:v>45240</c:v>
                </c:pt>
                <c:pt idx="673">
                  <c:v>45243</c:v>
                </c:pt>
                <c:pt idx="674">
                  <c:v>45244</c:v>
                </c:pt>
                <c:pt idx="675">
                  <c:v>45245</c:v>
                </c:pt>
                <c:pt idx="676">
                  <c:v>45246</c:v>
                </c:pt>
                <c:pt idx="677">
                  <c:v>45247</c:v>
                </c:pt>
                <c:pt idx="678">
                  <c:v>45250</c:v>
                </c:pt>
                <c:pt idx="679">
                  <c:v>45251</c:v>
                </c:pt>
                <c:pt idx="680">
                  <c:v>45252</c:v>
                </c:pt>
                <c:pt idx="681">
                  <c:v>45253</c:v>
                </c:pt>
                <c:pt idx="682">
                  <c:v>45254</c:v>
                </c:pt>
                <c:pt idx="683">
                  <c:v>45257</c:v>
                </c:pt>
                <c:pt idx="684">
                  <c:v>45258</c:v>
                </c:pt>
                <c:pt idx="685">
                  <c:v>45259</c:v>
                </c:pt>
                <c:pt idx="686">
                  <c:v>45260</c:v>
                </c:pt>
                <c:pt idx="687">
                  <c:v>45261</c:v>
                </c:pt>
                <c:pt idx="688">
                  <c:v>45264</c:v>
                </c:pt>
                <c:pt idx="689">
                  <c:v>45265</c:v>
                </c:pt>
                <c:pt idx="690">
                  <c:v>45266</c:v>
                </c:pt>
                <c:pt idx="691">
                  <c:v>45267</c:v>
                </c:pt>
                <c:pt idx="692">
                  <c:v>45268</c:v>
                </c:pt>
                <c:pt idx="693">
                  <c:v>45271</c:v>
                </c:pt>
                <c:pt idx="694">
                  <c:v>45272</c:v>
                </c:pt>
                <c:pt idx="695">
                  <c:v>45273</c:v>
                </c:pt>
                <c:pt idx="696">
                  <c:v>45274</c:v>
                </c:pt>
                <c:pt idx="697">
                  <c:v>45275</c:v>
                </c:pt>
                <c:pt idx="698">
                  <c:v>45278</c:v>
                </c:pt>
                <c:pt idx="699">
                  <c:v>45279</c:v>
                </c:pt>
                <c:pt idx="700">
                  <c:v>45280</c:v>
                </c:pt>
                <c:pt idx="701">
                  <c:v>45281</c:v>
                </c:pt>
                <c:pt idx="702">
                  <c:v>45282</c:v>
                </c:pt>
                <c:pt idx="703">
                  <c:v>45285</c:v>
                </c:pt>
                <c:pt idx="704">
                  <c:v>45286</c:v>
                </c:pt>
                <c:pt idx="705">
                  <c:v>45287</c:v>
                </c:pt>
                <c:pt idx="706">
                  <c:v>45288</c:v>
                </c:pt>
                <c:pt idx="707">
                  <c:v>45289</c:v>
                </c:pt>
                <c:pt idx="708">
                  <c:v>45293</c:v>
                </c:pt>
                <c:pt idx="709">
                  <c:v>45294</c:v>
                </c:pt>
                <c:pt idx="710">
                  <c:v>45295</c:v>
                </c:pt>
                <c:pt idx="711">
                  <c:v>45296</c:v>
                </c:pt>
                <c:pt idx="712">
                  <c:v>45299</c:v>
                </c:pt>
                <c:pt idx="713">
                  <c:v>45300</c:v>
                </c:pt>
                <c:pt idx="714">
                  <c:v>45301</c:v>
                </c:pt>
                <c:pt idx="715">
                  <c:v>45302</c:v>
                </c:pt>
                <c:pt idx="716">
                  <c:v>45303</c:v>
                </c:pt>
                <c:pt idx="717">
                  <c:v>45306</c:v>
                </c:pt>
                <c:pt idx="718">
                  <c:v>45307</c:v>
                </c:pt>
                <c:pt idx="719">
                  <c:v>45308</c:v>
                </c:pt>
                <c:pt idx="720">
                  <c:v>45309</c:v>
                </c:pt>
                <c:pt idx="721">
                  <c:v>45310</c:v>
                </c:pt>
                <c:pt idx="722">
                  <c:v>45313</c:v>
                </c:pt>
                <c:pt idx="723">
                  <c:v>45314</c:v>
                </c:pt>
                <c:pt idx="724">
                  <c:v>45315</c:v>
                </c:pt>
                <c:pt idx="725">
                  <c:v>45316</c:v>
                </c:pt>
                <c:pt idx="726">
                  <c:v>45317</c:v>
                </c:pt>
                <c:pt idx="727">
                  <c:v>45320</c:v>
                </c:pt>
                <c:pt idx="728">
                  <c:v>45321</c:v>
                </c:pt>
                <c:pt idx="729">
                  <c:v>45322</c:v>
                </c:pt>
                <c:pt idx="730">
                  <c:v>45323</c:v>
                </c:pt>
                <c:pt idx="731">
                  <c:v>45324</c:v>
                </c:pt>
                <c:pt idx="732">
                  <c:v>45327</c:v>
                </c:pt>
                <c:pt idx="733">
                  <c:v>45328</c:v>
                </c:pt>
                <c:pt idx="734">
                  <c:v>45329</c:v>
                </c:pt>
                <c:pt idx="735">
                  <c:v>45337</c:v>
                </c:pt>
                <c:pt idx="736">
                  <c:v>45338</c:v>
                </c:pt>
                <c:pt idx="737">
                  <c:v>45341</c:v>
                </c:pt>
                <c:pt idx="738">
                  <c:v>45342</c:v>
                </c:pt>
                <c:pt idx="739">
                  <c:v>45343</c:v>
                </c:pt>
                <c:pt idx="740">
                  <c:v>45344</c:v>
                </c:pt>
                <c:pt idx="741">
                  <c:v>45345</c:v>
                </c:pt>
                <c:pt idx="742">
                  <c:v>45348</c:v>
                </c:pt>
                <c:pt idx="743">
                  <c:v>45349</c:v>
                </c:pt>
                <c:pt idx="744">
                  <c:v>45350</c:v>
                </c:pt>
                <c:pt idx="745">
                  <c:v>45351</c:v>
                </c:pt>
                <c:pt idx="746">
                  <c:v>45352</c:v>
                </c:pt>
                <c:pt idx="747">
                  <c:v>45355</c:v>
                </c:pt>
                <c:pt idx="748">
                  <c:v>45356</c:v>
                </c:pt>
                <c:pt idx="749">
                  <c:v>45357</c:v>
                </c:pt>
                <c:pt idx="750">
                  <c:v>45358</c:v>
                </c:pt>
                <c:pt idx="751">
                  <c:v>45359</c:v>
                </c:pt>
                <c:pt idx="752">
                  <c:v>45362</c:v>
                </c:pt>
                <c:pt idx="753">
                  <c:v>45363</c:v>
                </c:pt>
                <c:pt idx="754">
                  <c:v>45364</c:v>
                </c:pt>
                <c:pt idx="755">
                  <c:v>45365</c:v>
                </c:pt>
                <c:pt idx="756">
                  <c:v>45366</c:v>
                </c:pt>
                <c:pt idx="757">
                  <c:v>45369</c:v>
                </c:pt>
                <c:pt idx="758">
                  <c:v>45370</c:v>
                </c:pt>
                <c:pt idx="759">
                  <c:v>45371</c:v>
                </c:pt>
                <c:pt idx="760">
                  <c:v>45372</c:v>
                </c:pt>
                <c:pt idx="761">
                  <c:v>45373</c:v>
                </c:pt>
                <c:pt idx="762">
                  <c:v>45376</c:v>
                </c:pt>
                <c:pt idx="763">
                  <c:v>45377</c:v>
                </c:pt>
                <c:pt idx="764">
                  <c:v>45378</c:v>
                </c:pt>
                <c:pt idx="765">
                  <c:v>45379</c:v>
                </c:pt>
                <c:pt idx="766">
                  <c:v>45380</c:v>
                </c:pt>
                <c:pt idx="767">
                  <c:v>45383</c:v>
                </c:pt>
                <c:pt idx="768">
                  <c:v>45384</c:v>
                </c:pt>
                <c:pt idx="769">
                  <c:v>45385</c:v>
                </c:pt>
                <c:pt idx="770">
                  <c:v>45386</c:v>
                </c:pt>
                <c:pt idx="771">
                  <c:v>45387</c:v>
                </c:pt>
                <c:pt idx="772">
                  <c:v>45390</c:v>
                </c:pt>
                <c:pt idx="773">
                  <c:v>45391</c:v>
                </c:pt>
                <c:pt idx="774">
                  <c:v>45392</c:v>
                </c:pt>
                <c:pt idx="775">
                  <c:v>45393</c:v>
                </c:pt>
                <c:pt idx="776">
                  <c:v>45394</c:v>
                </c:pt>
                <c:pt idx="777">
                  <c:v>45397</c:v>
                </c:pt>
                <c:pt idx="778">
                  <c:v>45398</c:v>
                </c:pt>
                <c:pt idx="779">
                  <c:v>45399</c:v>
                </c:pt>
                <c:pt idx="780">
                  <c:v>45401</c:v>
                </c:pt>
                <c:pt idx="781">
                  <c:v>45404</c:v>
                </c:pt>
                <c:pt idx="782">
                  <c:v>45405</c:v>
                </c:pt>
                <c:pt idx="783">
                  <c:v>45406</c:v>
                </c:pt>
                <c:pt idx="784">
                  <c:v>45407</c:v>
                </c:pt>
                <c:pt idx="785">
                  <c:v>45408</c:v>
                </c:pt>
                <c:pt idx="786">
                  <c:v>45414</c:v>
                </c:pt>
                <c:pt idx="787">
                  <c:v>45415</c:v>
                </c:pt>
                <c:pt idx="788">
                  <c:v>45418</c:v>
                </c:pt>
                <c:pt idx="789">
                  <c:v>45419</c:v>
                </c:pt>
                <c:pt idx="790">
                  <c:v>45420</c:v>
                </c:pt>
                <c:pt idx="791">
                  <c:v>45421</c:v>
                </c:pt>
                <c:pt idx="792">
                  <c:v>45422</c:v>
                </c:pt>
                <c:pt idx="793">
                  <c:v>45425</c:v>
                </c:pt>
                <c:pt idx="794">
                  <c:v>45426</c:v>
                </c:pt>
                <c:pt idx="795">
                  <c:v>45427</c:v>
                </c:pt>
                <c:pt idx="796">
                  <c:v>45428</c:v>
                </c:pt>
                <c:pt idx="797">
                  <c:v>45429</c:v>
                </c:pt>
                <c:pt idx="798">
                  <c:v>45432</c:v>
                </c:pt>
                <c:pt idx="799">
                  <c:v>45433</c:v>
                </c:pt>
                <c:pt idx="800">
                  <c:v>45434</c:v>
                </c:pt>
                <c:pt idx="801">
                  <c:v>45435</c:v>
                </c:pt>
                <c:pt idx="802">
                  <c:v>45436</c:v>
                </c:pt>
                <c:pt idx="803">
                  <c:v>45439</c:v>
                </c:pt>
                <c:pt idx="804">
                  <c:v>45440</c:v>
                </c:pt>
                <c:pt idx="805">
                  <c:v>45441</c:v>
                </c:pt>
                <c:pt idx="806">
                  <c:v>45442</c:v>
                </c:pt>
                <c:pt idx="807">
                  <c:v>45443</c:v>
                </c:pt>
                <c:pt idx="808">
                  <c:v>45446</c:v>
                </c:pt>
                <c:pt idx="809">
                  <c:v>45447</c:v>
                </c:pt>
                <c:pt idx="810">
                  <c:v>45448</c:v>
                </c:pt>
                <c:pt idx="811">
                  <c:v>45449</c:v>
                </c:pt>
                <c:pt idx="812">
                  <c:v>45450</c:v>
                </c:pt>
                <c:pt idx="813">
                  <c:v>45453</c:v>
                </c:pt>
                <c:pt idx="814">
                  <c:v>45454</c:v>
                </c:pt>
                <c:pt idx="815">
                  <c:v>45455</c:v>
                </c:pt>
                <c:pt idx="816">
                  <c:v>45456</c:v>
                </c:pt>
                <c:pt idx="817">
                  <c:v>45457</c:v>
                </c:pt>
                <c:pt idx="818">
                  <c:v>45460</c:v>
                </c:pt>
                <c:pt idx="819">
                  <c:v>45461</c:v>
                </c:pt>
                <c:pt idx="820">
                  <c:v>45462</c:v>
                </c:pt>
                <c:pt idx="821">
                  <c:v>45463</c:v>
                </c:pt>
                <c:pt idx="822">
                  <c:v>45464</c:v>
                </c:pt>
                <c:pt idx="823">
                  <c:v>45467</c:v>
                </c:pt>
                <c:pt idx="824">
                  <c:v>45468</c:v>
                </c:pt>
                <c:pt idx="825">
                  <c:v>45469</c:v>
                </c:pt>
                <c:pt idx="826">
                  <c:v>45470</c:v>
                </c:pt>
                <c:pt idx="827">
                  <c:v>45471</c:v>
                </c:pt>
                <c:pt idx="828">
                  <c:v>45474</c:v>
                </c:pt>
                <c:pt idx="829">
                  <c:v>45475</c:v>
                </c:pt>
                <c:pt idx="830">
                  <c:v>45476</c:v>
                </c:pt>
                <c:pt idx="831">
                  <c:v>45477</c:v>
                </c:pt>
                <c:pt idx="832">
                  <c:v>45478</c:v>
                </c:pt>
                <c:pt idx="833">
                  <c:v>45481</c:v>
                </c:pt>
                <c:pt idx="834">
                  <c:v>45482</c:v>
                </c:pt>
                <c:pt idx="835">
                  <c:v>45483</c:v>
                </c:pt>
                <c:pt idx="836">
                  <c:v>45484</c:v>
                </c:pt>
                <c:pt idx="837">
                  <c:v>45485</c:v>
                </c:pt>
                <c:pt idx="838">
                  <c:v>45488</c:v>
                </c:pt>
                <c:pt idx="839">
                  <c:v>45489</c:v>
                </c:pt>
                <c:pt idx="840">
                  <c:v>45490</c:v>
                </c:pt>
                <c:pt idx="841">
                  <c:v>45491</c:v>
                </c:pt>
                <c:pt idx="842">
                  <c:v>45492</c:v>
                </c:pt>
                <c:pt idx="843">
                  <c:v>45495</c:v>
                </c:pt>
                <c:pt idx="844">
                  <c:v>45496</c:v>
                </c:pt>
                <c:pt idx="845">
                  <c:v>45497</c:v>
                </c:pt>
                <c:pt idx="846">
                  <c:v>45498</c:v>
                </c:pt>
                <c:pt idx="847">
                  <c:v>45499</c:v>
                </c:pt>
                <c:pt idx="848">
                  <c:v>45502</c:v>
                </c:pt>
                <c:pt idx="849">
                  <c:v>45503</c:v>
                </c:pt>
                <c:pt idx="850">
                  <c:v>45504</c:v>
                </c:pt>
                <c:pt idx="851">
                  <c:v>45505</c:v>
                </c:pt>
                <c:pt idx="852">
                  <c:v>45506</c:v>
                </c:pt>
                <c:pt idx="853">
                  <c:v>45509</c:v>
                </c:pt>
                <c:pt idx="854">
                  <c:v>45510</c:v>
                </c:pt>
                <c:pt idx="855">
                  <c:v>45511</c:v>
                </c:pt>
                <c:pt idx="856">
                  <c:v>45512</c:v>
                </c:pt>
                <c:pt idx="857">
                  <c:v>45513</c:v>
                </c:pt>
                <c:pt idx="858">
                  <c:v>45516</c:v>
                </c:pt>
                <c:pt idx="859">
                  <c:v>45517</c:v>
                </c:pt>
                <c:pt idx="860">
                  <c:v>45518</c:v>
                </c:pt>
                <c:pt idx="861">
                  <c:v>45519</c:v>
                </c:pt>
                <c:pt idx="862">
                  <c:v>45520</c:v>
                </c:pt>
                <c:pt idx="863">
                  <c:v>45523</c:v>
                </c:pt>
                <c:pt idx="864">
                  <c:v>45524</c:v>
                </c:pt>
                <c:pt idx="865">
                  <c:v>45525</c:v>
                </c:pt>
                <c:pt idx="866">
                  <c:v>45526</c:v>
                </c:pt>
                <c:pt idx="867">
                  <c:v>45527</c:v>
                </c:pt>
                <c:pt idx="868">
                  <c:v>45530</c:v>
                </c:pt>
                <c:pt idx="869">
                  <c:v>45531</c:v>
                </c:pt>
                <c:pt idx="870">
                  <c:v>45532</c:v>
                </c:pt>
                <c:pt idx="871">
                  <c:v>45533</c:v>
                </c:pt>
                <c:pt idx="872">
                  <c:v>45534</c:v>
                </c:pt>
                <c:pt idx="873">
                  <c:v>45539</c:v>
                </c:pt>
                <c:pt idx="874">
                  <c:v>45540</c:v>
                </c:pt>
                <c:pt idx="875">
                  <c:v>45541</c:v>
                </c:pt>
                <c:pt idx="876">
                  <c:v>45544</c:v>
                </c:pt>
                <c:pt idx="877">
                  <c:v>45545</c:v>
                </c:pt>
                <c:pt idx="878">
                  <c:v>45546</c:v>
                </c:pt>
                <c:pt idx="879">
                  <c:v>45547</c:v>
                </c:pt>
                <c:pt idx="880">
                  <c:v>45548</c:v>
                </c:pt>
                <c:pt idx="881">
                  <c:v>45551</c:v>
                </c:pt>
                <c:pt idx="882">
                  <c:v>45552</c:v>
                </c:pt>
                <c:pt idx="883">
                  <c:v>45553</c:v>
                </c:pt>
                <c:pt idx="884">
                  <c:v>45554</c:v>
                </c:pt>
                <c:pt idx="885">
                  <c:v>45555</c:v>
                </c:pt>
                <c:pt idx="886">
                  <c:v>45558</c:v>
                </c:pt>
                <c:pt idx="887">
                  <c:v>45559</c:v>
                </c:pt>
                <c:pt idx="888">
                  <c:v>45560</c:v>
                </c:pt>
                <c:pt idx="889">
                  <c:v>45561</c:v>
                </c:pt>
                <c:pt idx="890">
                  <c:v>45562</c:v>
                </c:pt>
                <c:pt idx="891">
                  <c:v>45565</c:v>
                </c:pt>
                <c:pt idx="892">
                  <c:v>45566</c:v>
                </c:pt>
                <c:pt idx="893">
                  <c:v>45567</c:v>
                </c:pt>
                <c:pt idx="894">
                  <c:v>45568</c:v>
                </c:pt>
                <c:pt idx="895">
                  <c:v>45569</c:v>
                </c:pt>
                <c:pt idx="896">
                  <c:v>45572</c:v>
                </c:pt>
                <c:pt idx="897">
                  <c:v>45573</c:v>
                </c:pt>
                <c:pt idx="898">
                  <c:v>45574</c:v>
                </c:pt>
                <c:pt idx="899">
                  <c:v>45575</c:v>
                </c:pt>
                <c:pt idx="900">
                  <c:v>45576</c:v>
                </c:pt>
                <c:pt idx="901">
                  <c:v>45579</c:v>
                </c:pt>
                <c:pt idx="902">
                  <c:v>45580</c:v>
                </c:pt>
                <c:pt idx="903">
                  <c:v>45581</c:v>
                </c:pt>
                <c:pt idx="904">
                  <c:v>45582</c:v>
                </c:pt>
                <c:pt idx="905">
                  <c:v>45583</c:v>
                </c:pt>
                <c:pt idx="906">
                  <c:v>45586</c:v>
                </c:pt>
                <c:pt idx="907">
                  <c:v>45587</c:v>
                </c:pt>
                <c:pt idx="908">
                  <c:v>45588</c:v>
                </c:pt>
                <c:pt idx="909">
                  <c:v>45589</c:v>
                </c:pt>
                <c:pt idx="910">
                  <c:v>45590</c:v>
                </c:pt>
                <c:pt idx="911">
                  <c:v>45593</c:v>
                </c:pt>
                <c:pt idx="912">
                  <c:v>45594</c:v>
                </c:pt>
                <c:pt idx="913">
                  <c:v>45595</c:v>
                </c:pt>
                <c:pt idx="914">
                  <c:v>45596</c:v>
                </c:pt>
                <c:pt idx="915">
                  <c:v>45597</c:v>
                </c:pt>
                <c:pt idx="916">
                  <c:v>45600</c:v>
                </c:pt>
                <c:pt idx="917">
                  <c:v>45601</c:v>
                </c:pt>
                <c:pt idx="918">
                  <c:v>45602</c:v>
                </c:pt>
                <c:pt idx="919">
                  <c:v>45603</c:v>
                </c:pt>
                <c:pt idx="920">
                  <c:v>45604</c:v>
                </c:pt>
                <c:pt idx="921">
                  <c:v>45607</c:v>
                </c:pt>
                <c:pt idx="922">
                  <c:v>45608</c:v>
                </c:pt>
                <c:pt idx="923">
                  <c:v>45609</c:v>
                </c:pt>
                <c:pt idx="924">
                  <c:v>45610</c:v>
                </c:pt>
                <c:pt idx="925">
                  <c:v>45611</c:v>
                </c:pt>
                <c:pt idx="926">
                  <c:v>45614</c:v>
                </c:pt>
                <c:pt idx="927">
                  <c:v>45615</c:v>
                </c:pt>
                <c:pt idx="928">
                  <c:v>45616</c:v>
                </c:pt>
                <c:pt idx="929">
                  <c:v>45617</c:v>
                </c:pt>
                <c:pt idx="930">
                  <c:v>45618</c:v>
                </c:pt>
                <c:pt idx="931">
                  <c:v>45621</c:v>
                </c:pt>
                <c:pt idx="932">
                  <c:v>45622</c:v>
                </c:pt>
                <c:pt idx="933">
                  <c:v>45623</c:v>
                </c:pt>
                <c:pt idx="934">
                  <c:v>45624</c:v>
                </c:pt>
                <c:pt idx="935">
                  <c:v>45625</c:v>
                </c:pt>
                <c:pt idx="936">
                  <c:v>45628</c:v>
                </c:pt>
                <c:pt idx="937">
                  <c:v>45629</c:v>
                </c:pt>
                <c:pt idx="938">
                  <c:v>45630</c:v>
                </c:pt>
                <c:pt idx="939">
                  <c:v>45631</c:v>
                </c:pt>
                <c:pt idx="940">
                  <c:v>45632</c:v>
                </c:pt>
                <c:pt idx="941">
                  <c:v>45635</c:v>
                </c:pt>
                <c:pt idx="942">
                  <c:v>45636</c:v>
                </c:pt>
                <c:pt idx="943">
                  <c:v>45637</c:v>
                </c:pt>
                <c:pt idx="944">
                  <c:v>45638</c:v>
                </c:pt>
                <c:pt idx="945">
                  <c:v>45639</c:v>
                </c:pt>
                <c:pt idx="946">
                  <c:v>45642</c:v>
                </c:pt>
                <c:pt idx="947">
                  <c:v>45643</c:v>
                </c:pt>
                <c:pt idx="948">
                  <c:v>45644</c:v>
                </c:pt>
                <c:pt idx="949">
                  <c:v>45645</c:v>
                </c:pt>
                <c:pt idx="950">
                  <c:v>45646</c:v>
                </c:pt>
                <c:pt idx="951">
                  <c:v>45649</c:v>
                </c:pt>
                <c:pt idx="952">
                  <c:v>45650</c:v>
                </c:pt>
                <c:pt idx="953">
                  <c:v>45651</c:v>
                </c:pt>
                <c:pt idx="954">
                  <c:v>45652</c:v>
                </c:pt>
                <c:pt idx="955">
                  <c:v>45653</c:v>
                </c:pt>
                <c:pt idx="956">
                  <c:v>45656</c:v>
                </c:pt>
                <c:pt idx="957">
                  <c:v>45657</c:v>
                </c:pt>
                <c:pt idx="958">
                  <c:v>45659</c:v>
                </c:pt>
                <c:pt idx="959">
                  <c:v>45660</c:v>
                </c:pt>
                <c:pt idx="960">
                  <c:v>45663</c:v>
                </c:pt>
                <c:pt idx="961">
                  <c:v>45664</c:v>
                </c:pt>
                <c:pt idx="962">
                  <c:v>45665</c:v>
                </c:pt>
                <c:pt idx="963">
                  <c:v>45666</c:v>
                </c:pt>
                <c:pt idx="964">
                  <c:v>45667</c:v>
                </c:pt>
                <c:pt idx="965">
                  <c:v>45670</c:v>
                </c:pt>
                <c:pt idx="966">
                  <c:v>45671</c:v>
                </c:pt>
                <c:pt idx="967">
                  <c:v>45672</c:v>
                </c:pt>
                <c:pt idx="968">
                  <c:v>45673</c:v>
                </c:pt>
                <c:pt idx="969">
                  <c:v>45674</c:v>
                </c:pt>
                <c:pt idx="970">
                  <c:v>45677</c:v>
                </c:pt>
                <c:pt idx="971">
                  <c:v>45678</c:v>
                </c:pt>
                <c:pt idx="972">
                  <c:v>45679</c:v>
                </c:pt>
                <c:pt idx="973">
                  <c:v>45680</c:v>
                </c:pt>
                <c:pt idx="974">
                  <c:v>45681</c:v>
                </c:pt>
                <c:pt idx="975">
                  <c:v>45691</c:v>
                </c:pt>
                <c:pt idx="976">
                  <c:v>45692</c:v>
                </c:pt>
                <c:pt idx="977">
                  <c:v>45693</c:v>
                </c:pt>
                <c:pt idx="978">
                  <c:v>45694</c:v>
                </c:pt>
                <c:pt idx="979">
                  <c:v>45695</c:v>
                </c:pt>
                <c:pt idx="980">
                  <c:v>45698</c:v>
                </c:pt>
                <c:pt idx="981">
                  <c:v>45699</c:v>
                </c:pt>
                <c:pt idx="982">
                  <c:v>45700</c:v>
                </c:pt>
                <c:pt idx="983">
                  <c:v>45701</c:v>
                </c:pt>
                <c:pt idx="984">
                  <c:v>45702</c:v>
                </c:pt>
                <c:pt idx="985">
                  <c:v>45705</c:v>
                </c:pt>
                <c:pt idx="986">
                  <c:v>45706</c:v>
                </c:pt>
                <c:pt idx="987">
                  <c:v>45707</c:v>
                </c:pt>
                <c:pt idx="988">
                  <c:v>45708</c:v>
                </c:pt>
                <c:pt idx="989">
                  <c:v>45709</c:v>
                </c:pt>
                <c:pt idx="990">
                  <c:v>45712</c:v>
                </c:pt>
                <c:pt idx="991">
                  <c:v>45713</c:v>
                </c:pt>
                <c:pt idx="992">
                  <c:v>45714</c:v>
                </c:pt>
                <c:pt idx="993">
                  <c:v>45715</c:v>
                </c:pt>
                <c:pt idx="994">
                  <c:v>45716</c:v>
                </c:pt>
                <c:pt idx="995">
                  <c:v>45719</c:v>
                </c:pt>
                <c:pt idx="996">
                  <c:v>45720</c:v>
                </c:pt>
                <c:pt idx="997">
                  <c:v>45721</c:v>
                </c:pt>
                <c:pt idx="998">
                  <c:v>45722</c:v>
                </c:pt>
                <c:pt idx="999">
                  <c:v>45723</c:v>
                </c:pt>
                <c:pt idx="1000">
                  <c:v>45726</c:v>
                </c:pt>
                <c:pt idx="1001">
                  <c:v>45727</c:v>
                </c:pt>
                <c:pt idx="1002">
                  <c:v>45728</c:v>
                </c:pt>
                <c:pt idx="1003">
                  <c:v>45729</c:v>
                </c:pt>
                <c:pt idx="1004">
                  <c:v>45730</c:v>
                </c:pt>
                <c:pt idx="1005">
                  <c:v>45733</c:v>
                </c:pt>
                <c:pt idx="1006">
                  <c:v>45734</c:v>
                </c:pt>
                <c:pt idx="1007">
                  <c:v>45735</c:v>
                </c:pt>
                <c:pt idx="1008">
                  <c:v>45736</c:v>
                </c:pt>
                <c:pt idx="1009">
                  <c:v>45737</c:v>
                </c:pt>
                <c:pt idx="1010">
                  <c:v>45740</c:v>
                </c:pt>
                <c:pt idx="1011">
                  <c:v>45741</c:v>
                </c:pt>
                <c:pt idx="1012">
                  <c:v>45742</c:v>
                </c:pt>
                <c:pt idx="1013">
                  <c:v>45743</c:v>
                </c:pt>
                <c:pt idx="1014">
                  <c:v>45744</c:v>
                </c:pt>
                <c:pt idx="1015">
                  <c:v>45747</c:v>
                </c:pt>
                <c:pt idx="1016">
                  <c:v>45748</c:v>
                </c:pt>
                <c:pt idx="1017">
                  <c:v>45749</c:v>
                </c:pt>
                <c:pt idx="1018">
                  <c:v>45750</c:v>
                </c:pt>
                <c:pt idx="1019">
                  <c:v>45751</c:v>
                </c:pt>
                <c:pt idx="1020">
                  <c:v>45755</c:v>
                </c:pt>
                <c:pt idx="1021">
                  <c:v>45756</c:v>
                </c:pt>
                <c:pt idx="1022">
                  <c:v>45757</c:v>
                </c:pt>
                <c:pt idx="1023">
                  <c:v>45758</c:v>
                </c:pt>
                <c:pt idx="1024">
                  <c:v>45761</c:v>
                </c:pt>
                <c:pt idx="1025">
                  <c:v>45762</c:v>
                </c:pt>
                <c:pt idx="1026">
                  <c:v>45763</c:v>
                </c:pt>
                <c:pt idx="1027">
                  <c:v>45764</c:v>
                </c:pt>
                <c:pt idx="1028">
                  <c:v>45765</c:v>
                </c:pt>
                <c:pt idx="1029">
                  <c:v>45768</c:v>
                </c:pt>
                <c:pt idx="1030">
                  <c:v>45769</c:v>
                </c:pt>
                <c:pt idx="1031">
                  <c:v>45770</c:v>
                </c:pt>
                <c:pt idx="1032">
                  <c:v>45771</c:v>
                </c:pt>
                <c:pt idx="1033">
                  <c:v>45772</c:v>
                </c:pt>
                <c:pt idx="1034">
                  <c:v>45775</c:v>
                </c:pt>
                <c:pt idx="1035">
                  <c:v>45776</c:v>
                </c:pt>
                <c:pt idx="1036">
                  <c:v>45782</c:v>
                </c:pt>
                <c:pt idx="1037">
                  <c:v>45783</c:v>
                </c:pt>
                <c:pt idx="1038">
                  <c:v>45784</c:v>
                </c:pt>
                <c:pt idx="1039">
                  <c:v>45785</c:v>
                </c:pt>
                <c:pt idx="1040">
                  <c:v>45786</c:v>
                </c:pt>
                <c:pt idx="1041">
                  <c:v>45789</c:v>
                </c:pt>
                <c:pt idx="1042">
                  <c:v>45790</c:v>
                </c:pt>
                <c:pt idx="1043">
                  <c:v>45791</c:v>
                </c:pt>
                <c:pt idx="1044">
                  <c:v>45792</c:v>
                </c:pt>
                <c:pt idx="1045">
                  <c:v>45793</c:v>
                </c:pt>
                <c:pt idx="1046">
                  <c:v>45796</c:v>
                </c:pt>
                <c:pt idx="1047">
                  <c:v>45797</c:v>
                </c:pt>
                <c:pt idx="1048">
                  <c:v>45798</c:v>
                </c:pt>
                <c:pt idx="1049">
                  <c:v>45799</c:v>
                </c:pt>
                <c:pt idx="1050">
                  <c:v>45800</c:v>
                </c:pt>
                <c:pt idx="1051">
                  <c:v>45803</c:v>
                </c:pt>
                <c:pt idx="1052">
                  <c:v>45804</c:v>
                </c:pt>
                <c:pt idx="1053">
                  <c:v>45805</c:v>
                </c:pt>
                <c:pt idx="1054">
                  <c:v>45806</c:v>
                </c:pt>
                <c:pt idx="1055">
                  <c:v>45807</c:v>
                </c:pt>
                <c:pt idx="1056">
                  <c:v>45810</c:v>
                </c:pt>
                <c:pt idx="1057">
                  <c:v>45811</c:v>
                </c:pt>
                <c:pt idx="1058">
                  <c:v>45812</c:v>
                </c:pt>
                <c:pt idx="1059">
                  <c:v>45813</c:v>
                </c:pt>
                <c:pt idx="1060">
                  <c:v>45814</c:v>
                </c:pt>
                <c:pt idx="1061">
                  <c:v>45817</c:v>
                </c:pt>
                <c:pt idx="1062">
                  <c:v>45818</c:v>
                </c:pt>
                <c:pt idx="1063">
                  <c:v>45819</c:v>
                </c:pt>
                <c:pt idx="1064">
                  <c:v>45820</c:v>
                </c:pt>
                <c:pt idx="1065">
                  <c:v>45821</c:v>
                </c:pt>
                <c:pt idx="1066">
                  <c:v>45824</c:v>
                </c:pt>
                <c:pt idx="1067">
                  <c:v>45825</c:v>
                </c:pt>
                <c:pt idx="1068">
                  <c:v>45826</c:v>
                </c:pt>
                <c:pt idx="1069">
                  <c:v>45827</c:v>
                </c:pt>
                <c:pt idx="1070">
                  <c:v>45828</c:v>
                </c:pt>
                <c:pt idx="1071">
                  <c:v>45831</c:v>
                </c:pt>
                <c:pt idx="1072">
                  <c:v>45832</c:v>
                </c:pt>
                <c:pt idx="1073">
                  <c:v>45833</c:v>
                </c:pt>
                <c:pt idx="1074">
                  <c:v>45834</c:v>
                </c:pt>
                <c:pt idx="1075">
                  <c:v>45835</c:v>
                </c:pt>
                <c:pt idx="1076">
                  <c:v>45838</c:v>
                </c:pt>
                <c:pt idx="1077">
                  <c:v>45839</c:v>
                </c:pt>
                <c:pt idx="1078">
                  <c:v>45840</c:v>
                </c:pt>
                <c:pt idx="1079">
                  <c:v>45841</c:v>
                </c:pt>
                <c:pt idx="1080">
                  <c:v>45842</c:v>
                </c:pt>
                <c:pt idx="1081">
                  <c:v>45845</c:v>
                </c:pt>
                <c:pt idx="1082">
                  <c:v>45846</c:v>
                </c:pt>
                <c:pt idx="1083">
                  <c:v>45847</c:v>
                </c:pt>
                <c:pt idx="1084">
                  <c:v>45848</c:v>
                </c:pt>
                <c:pt idx="1085">
                  <c:v>45849</c:v>
                </c:pt>
                <c:pt idx="1086">
                  <c:v>45852</c:v>
                </c:pt>
                <c:pt idx="1087">
                  <c:v>45853</c:v>
                </c:pt>
                <c:pt idx="1088">
                  <c:v>45854</c:v>
                </c:pt>
                <c:pt idx="1089">
                  <c:v>45855</c:v>
                </c:pt>
                <c:pt idx="1090">
                  <c:v>45856</c:v>
                </c:pt>
                <c:pt idx="1091">
                  <c:v>45859</c:v>
                </c:pt>
                <c:pt idx="1092">
                  <c:v>45860</c:v>
                </c:pt>
                <c:pt idx="1093">
                  <c:v>45861</c:v>
                </c:pt>
                <c:pt idx="1094">
                  <c:v>45862</c:v>
                </c:pt>
                <c:pt idx="1095">
                  <c:v>45863</c:v>
                </c:pt>
                <c:pt idx="1096">
                  <c:v>45866</c:v>
                </c:pt>
                <c:pt idx="1097">
                  <c:v>45867</c:v>
                </c:pt>
                <c:pt idx="1098">
                  <c:v>45868</c:v>
                </c:pt>
                <c:pt idx="1099">
                  <c:v>45869</c:v>
                </c:pt>
                <c:pt idx="1100">
                  <c:v>45870</c:v>
                </c:pt>
                <c:pt idx="1101">
                  <c:v>45873</c:v>
                </c:pt>
                <c:pt idx="1102">
                  <c:v>45874</c:v>
                </c:pt>
                <c:pt idx="1103">
                  <c:v>45875</c:v>
                </c:pt>
                <c:pt idx="1104">
                  <c:v>45876</c:v>
                </c:pt>
                <c:pt idx="1105">
                  <c:v>45877</c:v>
                </c:pt>
                <c:pt idx="1106">
                  <c:v>45880</c:v>
                </c:pt>
                <c:pt idx="1107">
                  <c:v>45881</c:v>
                </c:pt>
                <c:pt idx="1108">
                  <c:v>45882</c:v>
                </c:pt>
                <c:pt idx="1109">
                  <c:v>45883</c:v>
                </c:pt>
                <c:pt idx="1110">
                  <c:v>45884</c:v>
                </c:pt>
                <c:pt idx="1111">
                  <c:v>45887</c:v>
                </c:pt>
                <c:pt idx="1112">
                  <c:v>45888</c:v>
                </c:pt>
                <c:pt idx="1113">
                  <c:v>45889</c:v>
                </c:pt>
                <c:pt idx="1114">
                  <c:v>45890</c:v>
                </c:pt>
                <c:pt idx="1115">
                  <c:v>45891</c:v>
                </c:pt>
                <c:pt idx="1116">
                  <c:v>45894</c:v>
                </c:pt>
                <c:pt idx="1117">
                  <c:v>45895</c:v>
                </c:pt>
                <c:pt idx="1118">
                  <c:v>45896</c:v>
                </c:pt>
                <c:pt idx="1119">
                  <c:v>45897</c:v>
                </c:pt>
                <c:pt idx="1120">
                  <c:v>45898</c:v>
                </c:pt>
                <c:pt idx="1121">
                  <c:v>45903</c:v>
                </c:pt>
                <c:pt idx="1122">
                  <c:v>45904</c:v>
                </c:pt>
                <c:pt idx="1123">
                  <c:v>45905</c:v>
                </c:pt>
                <c:pt idx="1124">
                  <c:v>45908</c:v>
                </c:pt>
                <c:pt idx="1125">
                  <c:v>45909</c:v>
                </c:pt>
                <c:pt idx="1126">
                  <c:v>45910</c:v>
                </c:pt>
                <c:pt idx="1127">
                  <c:v>45911</c:v>
                </c:pt>
                <c:pt idx="1128">
                  <c:v>45912</c:v>
                </c:pt>
                <c:pt idx="1129">
                  <c:v>45915</c:v>
                </c:pt>
                <c:pt idx="1130">
                  <c:v>45916</c:v>
                </c:pt>
                <c:pt idx="1131">
                  <c:v>45917</c:v>
                </c:pt>
                <c:pt idx="1132">
                  <c:v>45918</c:v>
                </c:pt>
                <c:pt idx="1133">
                  <c:v>45919</c:v>
                </c:pt>
                <c:pt idx="1134">
                  <c:v>45922</c:v>
                </c:pt>
                <c:pt idx="1135">
                  <c:v>45923</c:v>
                </c:pt>
                <c:pt idx="1136">
                  <c:v>45924</c:v>
                </c:pt>
                <c:pt idx="1137">
                  <c:v>45925</c:v>
                </c:pt>
                <c:pt idx="1138">
                  <c:v>45926</c:v>
                </c:pt>
                <c:pt idx="1139">
                  <c:v>45929</c:v>
                </c:pt>
                <c:pt idx="1140">
                  <c:v>45930</c:v>
                </c:pt>
                <c:pt idx="1141">
                  <c:v>45931</c:v>
                </c:pt>
                <c:pt idx="1142">
                  <c:v>45932</c:v>
                </c:pt>
                <c:pt idx="1143">
                  <c:v>45933</c:v>
                </c:pt>
                <c:pt idx="1144">
                  <c:v>45936</c:v>
                </c:pt>
                <c:pt idx="1145">
                  <c:v>45937</c:v>
                </c:pt>
                <c:pt idx="1146">
                  <c:v>45938</c:v>
                </c:pt>
                <c:pt idx="1147">
                  <c:v>45939</c:v>
                </c:pt>
                <c:pt idx="1148">
                  <c:v>45940</c:v>
                </c:pt>
                <c:pt idx="1149">
                  <c:v>45943</c:v>
                </c:pt>
                <c:pt idx="1150">
                  <c:v>45944</c:v>
                </c:pt>
                <c:pt idx="1151">
                  <c:v>45945</c:v>
                </c:pt>
                <c:pt idx="1152">
                  <c:v>45946</c:v>
                </c:pt>
                <c:pt idx="1153">
                  <c:v>45947</c:v>
                </c:pt>
                <c:pt idx="1154">
                  <c:v>45950</c:v>
                </c:pt>
                <c:pt idx="1155">
                  <c:v>45951</c:v>
                </c:pt>
                <c:pt idx="1156">
                  <c:v>45952</c:v>
                </c:pt>
                <c:pt idx="1157">
                  <c:v>45953</c:v>
                </c:pt>
                <c:pt idx="1158">
                  <c:v>45954</c:v>
                </c:pt>
                <c:pt idx="1159">
                  <c:v>45957</c:v>
                </c:pt>
                <c:pt idx="1160">
                  <c:v>45958</c:v>
                </c:pt>
                <c:pt idx="1161">
                  <c:v>45959</c:v>
                </c:pt>
                <c:pt idx="1162">
                  <c:v>45960</c:v>
                </c:pt>
                <c:pt idx="1163">
                  <c:v>45961</c:v>
                </c:pt>
                <c:pt idx="1164">
                  <c:v>45964</c:v>
                </c:pt>
                <c:pt idx="1165">
                  <c:v>45965</c:v>
                </c:pt>
                <c:pt idx="1166">
                  <c:v>45966</c:v>
                </c:pt>
                <c:pt idx="1167">
                  <c:v>45967</c:v>
                </c:pt>
                <c:pt idx="1168">
                  <c:v>45968</c:v>
                </c:pt>
                <c:pt idx="1169">
                  <c:v>45971</c:v>
                </c:pt>
                <c:pt idx="1170">
                  <c:v>45972</c:v>
                </c:pt>
                <c:pt idx="1171">
                  <c:v>45973</c:v>
                </c:pt>
                <c:pt idx="1172">
                  <c:v>45974</c:v>
                </c:pt>
                <c:pt idx="1173">
                  <c:v>45975</c:v>
                </c:pt>
                <c:pt idx="1174">
                  <c:v>45978</c:v>
                </c:pt>
                <c:pt idx="1175">
                  <c:v>45979</c:v>
                </c:pt>
                <c:pt idx="1176">
                  <c:v>45980</c:v>
                </c:pt>
                <c:pt idx="1177">
                  <c:v>45981</c:v>
                </c:pt>
                <c:pt idx="1178">
                  <c:v>45982</c:v>
                </c:pt>
                <c:pt idx="1179">
                  <c:v>45985</c:v>
                </c:pt>
                <c:pt idx="1180">
                  <c:v>45986</c:v>
                </c:pt>
                <c:pt idx="1181">
                  <c:v>45987</c:v>
                </c:pt>
                <c:pt idx="1182">
                  <c:v>45988</c:v>
                </c:pt>
                <c:pt idx="1183">
                  <c:v>45989</c:v>
                </c:pt>
                <c:pt idx="1184">
                  <c:v>45992</c:v>
                </c:pt>
                <c:pt idx="1185">
                  <c:v>45993</c:v>
                </c:pt>
                <c:pt idx="1186">
                  <c:v>45994</c:v>
                </c:pt>
                <c:pt idx="1187">
                  <c:v>45995</c:v>
                </c:pt>
                <c:pt idx="1188">
                  <c:v>45996</c:v>
                </c:pt>
                <c:pt idx="1189">
                  <c:v>45999</c:v>
                </c:pt>
                <c:pt idx="1190">
                  <c:v>46000</c:v>
                </c:pt>
                <c:pt idx="1191">
                  <c:v>46001</c:v>
                </c:pt>
                <c:pt idx="1192">
                  <c:v>46002</c:v>
                </c:pt>
                <c:pt idx="1193">
                  <c:v>46003</c:v>
                </c:pt>
                <c:pt idx="1194">
                  <c:v>46006</c:v>
                </c:pt>
                <c:pt idx="1195">
                  <c:v>46007</c:v>
                </c:pt>
                <c:pt idx="1196">
                  <c:v>46008</c:v>
                </c:pt>
                <c:pt idx="1197">
                  <c:v>46009</c:v>
                </c:pt>
                <c:pt idx="1198">
                  <c:v>46010</c:v>
                </c:pt>
                <c:pt idx="1199">
                  <c:v>46013</c:v>
                </c:pt>
                <c:pt idx="1200">
                  <c:v>46014</c:v>
                </c:pt>
                <c:pt idx="1201">
                  <c:v>46015</c:v>
                </c:pt>
                <c:pt idx="1202">
                  <c:v>46016</c:v>
                </c:pt>
                <c:pt idx="1203">
                  <c:v>46017</c:v>
                </c:pt>
                <c:pt idx="1204">
                  <c:v>46020</c:v>
                </c:pt>
                <c:pt idx="1205">
                  <c:v>46021</c:v>
                </c:pt>
                <c:pt idx="1206">
                  <c:v>46022</c:v>
                </c:pt>
                <c:pt idx="1207">
                  <c:v>46027</c:v>
                </c:pt>
                <c:pt idx="1208">
                  <c:v>46028</c:v>
                </c:pt>
                <c:pt idx="1209">
                  <c:v>46029</c:v>
                </c:pt>
                <c:pt idx="1210">
                  <c:v>46030</c:v>
                </c:pt>
                <c:pt idx="1211">
                  <c:v>46031</c:v>
                </c:pt>
                <c:pt idx="1212">
                  <c:v>46034</c:v>
                </c:pt>
                <c:pt idx="1213">
                  <c:v>46035</c:v>
                </c:pt>
                <c:pt idx="1214">
                  <c:v>46036</c:v>
                </c:pt>
                <c:pt idx="1215">
                  <c:v>46037</c:v>
                </c:pt>
                <c:pt idx="1216">
                  <c:v>46038</c:v>
                </c:pt>
                <c:pt idx="1217">
                  <c:v>46041</c:v>
                </c:pt>
                <c:pt idx="1218">
                  <c:v>46042</c:v>
                </c:pt>
                <c:pt idx="1219">
                  <c:v>46043</c:v>
                </c:pt>
                <c:pt idx="1220">
                  <c:v>46044</c:v>
                </c:pt>
                <c:pt idx="1221">
                  <c:v>46045</c:v>
                </c:pt>
                <c:pt idx="1222">
                  <c:v>46048</c:v>
                </c:pt>
                <c:pt idx="1223">
                  <c:v>46049</c:v>
                </c:pt>
                <c:pt idx="1224">
                  <c:v>46050</c:v>
                </c:pt>
                <c:pt idx="1225">
                  <c:v>46051</c:v>
                </c:pt>
                <c:pt idx="1226">
                  <c:v>46052</c:v>
                </c:pt>
                <c:pt idx="1227">
                  <c:v>46055</c:v>
                </c:pt>
                <c:pt idx="1228">
                  <c:v>46056</c:v>
                </c:pt>
                <c:pt idx="1229">
                  <c:v>46057</c:v>
                </c:pt>
                <c:pt idx="1230">
                  <c:v>46058</c:v>
                </c:pt>
                <c:pt idx="1231">
                  <c:v>46059</c:v>
                </c:pt>
                <c:pt idx="1232">
                  <c:v>46062</c:v>
                </c:pt>
                <c:pt idx="1233">
                  <c:v>46063</c:v>
                </c:pt>
                <c:pt idx="1234">
                  <c:v>46064</c:v>
                </c:pt>
                <c:pt idx="1235">
                  <c:v>46065</c:v>
                </c:pt>
                <c:pt idx="1236">
                  <c:v>46066</c:v>
                </c:pt>
                <c:pt idx="1237">
                  <c:v>46076</c:v>
                </c:pt>
                <c:pt idx="1238">
                  <c:v>46077</c:v>
                </c:pt>
                <c:pt idx="1239">
                  <c:v>46078</c:v>
                </c:pt>
                <c:pt idx="1240">
                  <c:v>46079</c:v>
                </c:pt>
                <c:pt idx="1241">
                  <c:v>46080</c:v>
                </c:pt>
                <c:pt idx="1242">
                  <c:v>46083</c:v>
                </c:pt>
                <c:pt idx="1243">
                  <c:v>46084</c:v>
                </c:pt>
                <c:pt idx="1244">
                  <c:v>46085</c:v>
                </c:pt>
                <c:pt idx="1245">
                  <c:v>46086</c:v>
                </c:pt>
                <c:pt idx="1246">
                  <c:v>46087</c:v>
                </c:pt>
                <c:pt idx="1247">
                  <c:v>45968</c:v>
                </c:pt>
              </c:numCache>
            </c:numRef>
          </c:cat>
          <c:val>
            <c:numRef>
              <c:f>'FX Data'!$F$957:$F$2204</c:f>
              <c:numCache>
                <c:formatCode>0.0</c:formatCode>
                <c:ptCount val="1248"/>
                <c:pt idx="0">
                  <c:v>24.033050394191257</c:v>
                </c:pt>
                <c:pt idx="1">
                  <c:v>24.033050394191257</c:v>
                </c:pt>
                <c:pt idx="2">
                  <c:v>24.033050394191257</c:v>
                </c:pt>
                <c:pt idx="3">
                  <c:v>24.033050394191257</c:v>
                </c:pt>
                <c:pt idx="4">
                  <c:v>24.033050394191257</c:v>
                </c:pt>
                <c:pt idx="5">
                  <c:v>24.033050394191257</c:v>
                </c:pt>
                <c:pt idx="6">
                  <c:v>24.033050394191257</c:v>
                </c:pt>
                <c:pt idx="7">
                  <c:v>24.033050394191257</c:v>
                </c:pt>
                <c:pt idx="8">
                  <c:v>24.033050394191257</c:v>
                </c:pt>
                <c:pt idx="9">
                  <c:v>24.033050394191257</c:v>
                </c:pt>
                <c:pt idx="10">
                  <c:v>24.033050394191257</c:v>
                </c:pt>
                <c:pt idx="11">
                  <c:v>24.033050394191257</c:v>
                </c:pt>
                <c:pt idx="12">
                  <c:v>24.033050394191257</c:v>
                </c:pt>
                <c:pt idx="13">
                  <c:v>24.033050394191257</c:v>
                </c:pt>
                <c:pt idx="14">
                  <c:v>24.033050394191257</c:v>
                </c:pt>
                <c:pt idx="15">
                  <c:v>24.033050394191257</c:v>
                </c:pt>
                <c:pt idx="16">
                  <c:v>24.033050394191257</c:v>
                </c:pt>
                <c:pt idx="17">
                  <c:v>24.033050394191257</c:v>
                </c:pt>
                <c:pt idx="18">
                  <c:v>24.033050394191257</c:v>
                </c:pt>
                <c:pt idx="19">
                  <c:v>24.033050394191257</c:v>
                </c:pt>
                <c:pt idx="20">
                  <c:v>24.033050394191257</c:v>
                </c:pt>
                <c:pt idx="21">
                  <c:v>24.033050394191257</c:v>
                </c:pt>
                <c:pt idx="22">
                  <c:v>24.033050394191257</c:v>
                </c:pt>
                <c:pt idx="23">
                  <c:v>24.033050394191257</c:v>
                </c:pt>
                <c:pt idx="24">
                  <c:v>24.033050394191257</c:v>
                </c:pt>
                <c:pt idx="25">
                  <c:v>24.033050394191257</c:v>
                </c:pt>
                <c:pt idx="26">
                  <c:v>24.033050394191257</c:v>
                </c:pt>
                <c:pt idx="27">
                  <c:v>24.033050394191257</c:v>
                </c:pt>
                <c:pt idx="28">
                  <c:v>24.033050394191257</c:v>
                </c:pt>
                <c:pt idx="29">
                  <c:v>24.033050394191257</c:v>
                </c:pt>
                <c:pt idx="30">
                  <c:v>24.033050394191257</c:v>
                </c:pt>
                <c:pt idx="31">
                  <c:v>24.033050394191257</c:v>
                </c:pt>
                <c:pt idx="32">
                  <c:v>24.033050394191257</c:v>
                </c:pt>
                <c:pt idx="33">
                  <c:v>24.033050394191257</c:v>
                </c:pt>
                <c:pt idx="34">
                  <c:v>24.033050394191257</c:v>
                </c:pt>
                <c:pt idx="35">
                  <c:v>24.033050394191257</c:v>
                </c:pt>
                <c:pt idx="36">
                  <c:v>24.033050394191257</c:v>
                </c:pt>
                <c:pt idx="37">
                  <c:v>24.033050394191257</c:v>
                </c:pt>
                <c:pt idx="38">
                  <c:v>24.033050394191257</c:v>
                </c:pt>
                <c:pt idx="39">
                  <c:v>24.033050394191257</c:v>
                </c:pt>
                <c:pt idx="40">
                  <c:v>24.033050394191257</c:v>
                </c:pt>
                <c:pt idx="41">
                  <c:v>24.033050394191257</c:v>
                </c:pt>
                <c:pt idx="42">
                  <c:v>24.033050394191257</c:v>
                </c:pt>
                <c:pt idx="43">
                  <c:v>24.033050394191257</c:v>
                </c:pt>
                <c:pt idx="44">
                  <c:v>24.033050394191257</c:v>
                </c:pt>
                <c:pt idx="45">
                  <c:v>24.033050394191257</c:v>
                </c:pt>
                <c:pt idx="46">
                  <c:v>24.033050394191257</c:v>
                </c:pt>
                <c:pt idx="47">
                  <c:v>24.033050394191257</c:v>
                </c:pt>
                <c:pt idx="48">
                  <c:v>24.033050394191257</c:v>
                </c:pt>
                <c:pt idx="49">
                  <c:v>24.033050394191257</c:v>
                </c:pt>
                <c:pt idx="50">
                  <c:v>24.033050394191257</c:v>
                </c:pt>
                <c:pt idx="51">
                  <c:v>24.033050394191257</c:v>
                </c:pt>
                <c:pt idx="52">
                  <c:v>24.033050394191257</c:v>
                </c:pt>
                <c:pt idx="53">
                  <c:v>24.033050394191257</c:v>
                </c:pt>
                <c:pt idx="54">
                  <c:v>24.033050394191257</c:v>
                </c:pt>
                <c:pt idx="55">
                  <c:v>24.033050394191257</c:v>
                </c:pt>
                <c:pt idx="56">
                  <c:v>24.033050394191257</c:v>
                </c:pt>
                <c:pt idx="57">
                  <c:v>24.033050394191257</c:v>
                </c:pt>
                <c:pt idx="58">
                  <c:v>24.033050394191257</c:v>
                </c:pt>
                <c:pt idx="59">
                  <c:v>24.033050394191257</c:v>
                </c:pt>
                <c:pt idx="60">
                  <c:v>24.033050394191257</c:v>
                </c:pt>
                <c:pt idx="61">
                  <c:v>24.033050394191257</c:v>
                </c:pt>
                <c:pt idx="62">
                  <c:v>24.033050394191257</c:v>
                </c:pt>
                <c:pt idx="63">
                  <c:v>24.033050394191257</c:v>
                </c:pt>
                <c:pt idx="64">
                  <c:v>24.033050394191257</c:v>
                </c:pt>
                <c:pt idx="65">
                  <c:v>24.033050394191257</c:v>
                </c:pt>
                <c:pt idx="66">
                  <c:v>24.033050394191257</c:v>
                </c:pt>
                <c:pt idx="67">
                  <c:v>24.033050394191257</c:v>
                </c:pt>
                <c:pt idx="68">
                  <c:v>24.033050394191257</c:v>
                </c:pt>
                <c:pt idx="69">
                  <c:v>24.033050394191257</c:v>
                </c:pt>
                <c:pt idx="70">
                  <c:v>24.033050394191257</c:v>
                </c:pt>
                <c:pt idx="71">
                  <c:v>24.033050394191257</c:v>
                </c:pt>
                <c:pt idx="72">
                  <c:v>24.033050394191257</c:v>
                </c:pt>
                <c:pt idx="73">
                  <c:v>24.033050394191257</c:v>
                </c:pt>
                <c:pt idx="74">
                  <c:v>24.033050394191257</c:v>
                </c:pt>
                <c:pt idx="75">
                  <c:v>24.033050394191257</c:v>
                </c:pt>
                <c:pt idx="76">
                  <c:v>24.033050394191257</c:v>
                </c:pt>
                <c:pt idx="77">
                  <c:v>24.033050394191257</c:v>
                </c:pt>
                <c:pt idx="78">
                  <c:v>24.033050394191257</c:v>
                </c:pt>
                <c:pt idx="79">
                  <c:v>24.033050394191257</c:v>
                </c:pt>
                <c:pt idx="80">
                  <c:v>24.033050394191257</c:v>
                </c:pt>
                <c:pt idx="81">
                  <c:v>24.033050394191257</c:v>
                </c:pt>
                <c:pt idx="82">
                  <c:v>24.033050394191257</c:v>
                </c:pt>
                <c:pt idx="83">
                  <c:v>24.033050394191257</c:v>
                </c:pt>
                <c:pt idx="84">
                  <c:v>24.033050394191257</c:v>
                </c:pt>
                <c:pt idx="85">
                  <c:v>24.033050394191257</c:v>
                </c:pt>
                <c:pt idx="86">
                  <c:v>24.033050394191257</c:v>
                </c:pt>
                <c:pt idx="87">
                  <c:v>24.033050394191257</c:v>
                </c:pt>
                <c:pt idx="88">
                  <c:v>24.033050394191257</c:v>
                </c:pt>
                <c:pt idx="89">
                  <c:v>24.033050394191257</c:v>
                </c:pt>
                <c:pt idx="90">
                  <c:v>24.033050394191257</c:v>
                </c:pt>
                <c:pt idx="91">
                  <c:v>24.033050394191257</c:v>
                </c:pt>
                <c:pt idx="92">
                  <c:v>24.033050394191257</c:v>
                </c:pt>
                <c:pt idx="93">
                  <c:v>24.033050394191257</c:v>
                </c:pt>
                <c:pt idx="94">
                  <c:v>24.033050394191257</c:v>
                </c:pt>
                <c:pt idx="95">
                  <c:v>24.033050394191257</c:v>
                </c:pt>
                <c:pt idx="96">
                  <c:v>24.033050394191257</c:v>
                </c:pt>
                <c:pt idx="97">
                  <c:v>24.033050394191257</c:v>
                </c:pt>
                <c:pt idx="98">
                  <c:v>24.033050394191257</c:v>
                </c:pt>
                <c:pt idx="99">
                  <c:v>24.033050394191257</c:v>
                </c:pt>
                <c:pt idx="100">
                  <c:v>24.033050394191257</c:v>
                </c:pt>
                <c:pt idx="101">
                  <c:v>24.033050394191257</c:v>
                </c:pt>
                <c:pt idx="102">
                  <c:v>24.033050394191257</c:v>
                </c:pt>
                <c:pt idx="103">
                  <c:v>24.033050394191257</c:v>
                </c:pt>
                <c:pt idx="104">
                  <c:v>24.033050394191257</c:v>
                </c:pt>
                <c:pt idx="105">
                  <c:v>24.033050394191257</c:v>
                </c:pt>
                <c:pt idx="106">
                  <c:v>24.033050394191257</c:v>
                </c:pt>
                <c:pt idx="107">
                  <c:v>24.033050394191257</c:v>
                </c:pt>
                <c:pt idx="108">
                  <c:v>24.033050394191257</c:v>
                </c:pt>
                <c:pt idx="109">
                  <c:v>24.033050394191257</c:v>
                </c:pt>
                <c:pt idx="110">
                  <c:v>24.033050394191257</c:v>
                </c:pt>
                <c:pt idx="111">
                  <c:v>24.033050394191257</c:v>
                </c:pt>
                <c:pt idx="112">
                  <c:v>24.033050394191257</c:v>
                </c:pt>
                <c:pt idx="113">
                  <c:v>24.033050394191257</c:v>
                </c:pt>
                <c:pt idx="114">
                  <c:v>24.033050394191257</c:v>
                </c:pt>
                <c:pt idx="115">
                  <c:v>24.033050394191257</c:v>
                </c:pt>
                <c:pt idx="116">
                  <c:v>24.033050394191257</c:v>
                </c:pt>
                <c:pt idx="117">
                  <c:v>24.033050394191257</c:v>
                </c:pt>
                <c:pt idx="118">
                  <c:v>24.033050394191257</c:v>
                </c:pt>
                <c:pt idx="119">
                  <c:v>24.033050394191257</c:v>
                </c:pt>
                <c:pt idx="120">
                  <c:v>24.033050394191257</c:v>
                </c:pt>
                <c:pt idx="121">
                  <c:v>24.033050394191257</c:v>
                </c:pt>
                <c:pt idx="122">
                  <c:v>24.033050394191257</c:v>
                </c:pt>
                <c:pt idx="123">
                  <c:v>24.033050394191257</c:v>
                </c:pt>
                <c:pt idx="124">
                  <c:v>24.033050394191257</c:v>
                </c:pt>
                <c:pt idx="125">
                  <c:v>24.033050394191257</c:v>
                </c:pt>
                <c:pt idx="126">
                  <c:v>24.033050394191257</c:v>
                </c:pt>
                <c:pt idx="127">
                  <c:v>24.033050394191257</c:v>
                </c:pt>
                <c:pt idx="128">
                  <c:v>24.033050394191257</c:v>
                </c:pt>
                <c:pt idx="129">
                  <c:v>24.033050394191257</c:v>
                </c:pt>
                <c:pt idx="130">
                  <c:v>24.033050394191257</c:v>
                </c:pt>
                <c:pt idx="131">
                  <c:v>24.033050394191257</c:v>
                </c:pt>
                <c:pt idx="132">
                  <c:v>24.033050394191257</c:v>
                </c:pt>
                <c:pt idx="133">
                  <c:v>24.033050394191257</c:v>
                </c:pt>
                <c:pt idx="134">
                  <c:v>24.033050394191257</c:v>
                </c:pt>
                <c:pt idx="135">
                  <c:v>24.033050394191257</c:v>
                </c:pt>
                <c:pt idx="136">
                  <c:v>24.033050394191257</c:v>
                </c:pt>
                <c:pt idx="137">
                  <c:v>24.033050394191257</c:v>
                </c:pt>
                <c:pt idx="138">
                  <c:v>24.033050394191257</c:v>
                </c:pt>
                <c:pt idx="139">
                  <c:v>24.033050394191257</c:v>
                </c:pt>
                <c:pt idx="140">
                  <c:v>24.033050394191257</c:v>
                </c:pt>
                <c:pt idx="141">
                  <c:v>24.033050394191257</c:v>
                </c:pt>
                <c:pt idx="142">
                  <c:v>24.033050394191257</c:v>
                </c:pt>
                <c:pt idx="143">
                  <c:v>24.033050394191257</c:v>
                </c:pt>
                <c:pt idx="144">
                  <c:v>24.033050394191257</c:v>
                </c:pt>
                <c:pt idx="145">
                  <c:v>24.033050394191257</c:v>
                </c:pt>
                <c:pt idx="146">
                  <c:v>24.033050394191257</c:v>
                </c:pt>
                <c:pt idx="147">
                  <c:v>24.033050394191257</c:v>
                </c:pt>
                <c:pt idx="148">
                  <c:v>24.033050394191257</c:v>
                </c:pt>
                <c:pt idx="149">
                  <c:v>24.033050394191257</c:v>
                </c:pt>
                <c:pt idx="150">
                  <c:v>24.033050394191257</c:v>
                </c:pt>
                <c:pt idx="151">
                  <c:v>24.033050394191257</c:v>
                </c:pt>
                <c:pt idx="152">
                  <c:v>24.033050394191257</c:v>
                </c:pt>
                <c:pt idx="153">
                  <c:v>24.033050394191257</c:v>
                </c:pt>
                <c:pt idx="154">
                  <c:v>24.033050394191257</c:v>
                </c:pt>
                <c:pt idx="155">
                  <c:v>24.033050394191257</c:v>
                </c:pt>
                <c:pt idx="156">
                  <c:v>24.033050394191257</c:v>
                </c:pt>
                <c:pt idx="157">
                  <c:v>24.033050394191257</c:v>
                </c:pt>
                <c:pt idx="158">
                  <c:v>24.033050394191257</c:v>
                </c:pt>
                <c:pt idx="159">
                  <c:v>24.033050394191257</c:v>
                </c:pt>
                <c:pt idx="160">
                  <c:v>24.033050394191257</c:v>
                </c:pt>
                <c:pt idx="161">
                  <c:v>24.033050394191257</c:v>
                </c:pt>
                <c:pt idx="162">
                  <c:v>24.033050394191257</c:v>
                </c:pt>
                <c:pt idx="163">
                  <c:v>24.033050394191257</c:v>
                </c:pt>
                <c:pt idx="164">
                  <c:v>24.033050394191257</c:v>
                </c:pt>
                <c:pt idx="165">
                  <c:v>24.033050394191257</c:v>
                </c:pt>
                <c:pt idx="166">
                  <c:v>24.033050394191257</c:v>
                </c:pt>
                <c:pt idx="167">
                  <c:v>24.033050394191257</c:v>
                </c:pt>
                <c:pt idx="168">
                  <c:v>24.033050394191257</c:v>
                </c:pt>
                <c:pt idx="169">
                  <c:v>24.033050394191257</c:v>
                </c:pt>
                <c:pt idx="170">
                  <c:v>24.033050394191257</c:v>
                </c:pt>
                <c:pt idx="171">
                  <c:v>24.033050394191257</c:v>
                </c:pt>
                <c:pt idx="172">
                  <c:v>24.033050394191257</c:v>
                </c:pt>
                <c:pt idx="173">
                  <c:v>24.033050394191257</c:v>
                </c:pt>
                <c:pt idx="174">
                  <c:v>24.033050394191257</c:v>
                </c:pt>
                <c:pt idx="175">
                  <c:v>24.033050394191257</c:v>
                </c:pt>
                <c:pt idx="176">
                  <c:v>24.033050394191257</c:v>
                </c:pt>
                <c:pt idx="177">
                  <c:v>24.033050394191257</c:v>
                </c:pt>
                <c:pt idx="178">
                  <c:v>24.033050394191257</c:v>
                </c:pt>
                <c:pt idx="179">
                  <c:v>24.033050394191257</c:v>
                </c:pt>
                <c:pt idx="180">
                  <c:v>24.033050394191257</c:v>
                </c:pt>
                <c:pt idx="181">
                  <c:v>24.033050394191257</c:v>
                </c:pt>
                <c:pt idx="182">
                  <c:v>24.033050394191257</c:v>
                </c:pt>
                <c:pt idx="183">
                  <c:v>24.033050394191257</c:v>
                </c:pt>
                <c:pt idx="184">
                  <c:v>24.033050394191257</c:v>
                </c:pt>
                <c:pt idx="185">
                  <c:v>24.033050394191257</c:v>
                </c:pt>
                <c:pt idx="186">
                  <c:v>24.033050394191257</c:v>
                </c:pt>
                <c:pt idx="187">
                  <c:v>24.033050394191257</c:v>
                </c:pt>
                <c:pt idx="188">
                  <c:v>24.033050394191257</c:v>
                </c:pt>
                <c:pt idx="189">
                  <c:v>24.033050394191257</c:v>
                </c:pt>
                <c:pt idx="190">
                  <c:v>24.033050394191257</c:v>
                </c:pt>
                <c:pt idx="191">
                  <c:v>24.033050394191257</c:v>
                </c:pt>
                <c:pt idx="192">
                  <c:v>24.033050394191257</c:v>
                </c:pt>
                <c:pt idx="193">
                  <c:v>24.033050394191257</c:v>
                </c:pt>
                <c:pt idx="194">
                  <c:v>24.033050394191257</c:v>
                </c:pt>
                <c:pt idx="195">
                  <c:v>24.033050394191257</c:v>
                </c:pt>
                <c:pt idx="196">
                  <c:v>24.033050394191257</c:v>
                </c:pt>
                <c:pt idx="197">
                  <c:v>24.033050394191257</c:v>
                </c:pt>
                <c:pt idx="198">
                  <c:v>24.033050394191257</c:v>
                </c:pt>
                <c:pt idx="199">
                  <c:v>24.033050394191257</c:v>
                </c:pt>
                <c:pt idx="200">
                  <c:v>24.033050394191257</c:v>
                </c:pt>
                <c:pt idx="201">
                  <c:v>24.033050394191257</c:v>
                </c:pt>
                <c:pt idx="202">
                  <c:v>24.033050394191257</c:v>
                </c:pt>
                <c:pt idx="203">
                  <c:v>24.033050394191257</c:v>
                </c:pt>
                <c:pt idx="204">
                  <c:v>24.033050394191257</c:v>
                </c:pt>
                <c:pt idx="205">
                  <c:v>24.033050394191257</c:v>
                </c:pt>
                <c:pt idx="206">
                  <c:v>24.033050394191257</c:v>
                </c:pt>
                <c:pt idx="207">
                  <c:v>24.033050394191257</c:v>
                </c:pt>
                <c:pt idx="208">
                  <c:v>24.033050394191257</c:v>
                </c:pt>
                <c:pt idx="209">
                  <c:v>24.033050394191257</c:v>
                </c:pt>
                <c:pt idx="210">
                  <c:v>24.033050394191257</c:v>
                </c:pt>
                <c:pt idx="211">
                  <c:v>24.033050394191257</c:v>
                </c:pt>
                <c:pt idx="212">
                  <c:v>24.033050394191257</c:v>
                </c:pt>
                <c:pt idx="213">
                  <c:v>24.033050394191257</c:v>
                </c:pt>
                <c:pt idx="214">
                  <c:v>24.033050394191257</c:v>
                </c:pt>
                <c:pt idx="215">
                  <c:v>24.033050394191257</c:v>
                </c:pt>
                <c:pt idx="216">
                  <c:v>24.033050394191257</c:v>
                </c:pt>
                <c:pt idx="217">
                  <c:v>24.033050394191257</c:v>
                </c:pt>
                <c:pt idx="218">
                  <c:v>24.033050394191257</c:v>
                </c:pt>
                <c:pt idx="219">
                  <c:v>24.033050394191257</c:v>
                </c:pt>
                <c:pt idx="220">
                  <c:v>24.033050394191257</c:v>
                </c:pt>
                <c:pt idx="221">
                  <c:v>24.033050394191257</c:v>
                </c:pt>
                <c:pt idx="222">
                  <c:v>24.033050394191257</c:v>
                </c:pt>
                <c:pt idx="223">
                  <c:v>24.033050394191257</c:v>
                </c:pt>
                <c:pt idx="224">
                  <c:v>24.033050394191257</c:v>
                </c:pt>
                <c:pt idx="225">
                  <c:v>24.033050394191257</c:v>
                </c:pt>
                <c:pt idx="226">
                  <c:v>24.033050394191257</c:v>
                </c:pt>
                <c:pt idx="227">
                  <c:v>24.033050394191257</c:v>
                </c:pt>
                <c:pt idx="228">
                  <c:v>24.033050394191257</c:v>
                </c:pt>
                <c:pt idx="229">
                  <c:v>24.033050394191257</c:v>
                </c:pt>
                <c:pt idx="230">
                  <c:v>24.033050394191257</c:v>
                </c:pt>
                <c:pt idx="231">
                  <c:v>24.033050394191257</c:v>
                </c:pt>
                <c:pt idx="232">
                  <c:v>24.033050394191257</c:v>
                </c:pt>
                <c:pt idx="233">
                  <c:v>24.033050394191257</c:v>
                </c:pt>
                <c:pt idx="234">
                  <c:v>24.033050394191257</c:v>
                </c:pt>
                <c:pt idx="235">
                  <c:v>24.033050394191257</c:v>
                </c:pt>
                <c:pt idx="236">
                  <c:v>24.033050394191257</c:v>
                </c:pt>
                <c:pt idx="237">
                  <c:v>24.033050394191257</c:v>
                </c:pt>
                <c:pt idx="238">
                  <c:v>24.033050394191257</c:v>
                </c:pt>
                <c:pt idx="239">
                  <c:v>24.033050394191257</c:v>
                </c:pt>
                <c:pt idx="240">
                  <c:v>24.033050394191257</c:v>
                </c:pt>
                <c:pt idx="241">
                  <c:v>24.033050394191257</c:v>
                </c:pt>
                <c:pt idx="242">
                  <c:v>24.033050394191257</c:v>
                </c:pt>
                <c:pt idx="243">
                  <c:v>24.033050394191257</c:v>
                </c:pt>
                <c:pt idx="244">
                  <c:v>24.033050394191257</c:v>
                </c:pt>
                <c:pt idx="245">
                  <c:v>24.033050394191257</c:v>
                </c:pt>
                <c:pt idx="246">
                  <c:v>24.033050394191257</c:v>
                </c:pt>
                <c:pt idx="247">
                  <c:v>24.033050394191257</c:v>
                </c:pt>
                <c:pt idx="248">
                  <c:v>24.033050394191257</c:v>
                </c:pt>
                <c:pt idx="249">
                  <c:v>24.033050394191257</c:v>
                </c:pt>
                <c:pt idx="250">
                  <c:v>24.033050394191257</c:v>
                </c:pt>
                <c:pt idx="251">
                  <c:v>24.033050394191257</c:v>
                </c:pt>
                <c:pt idx="252">
                  <c:v>24.033050394191257</c:v>
                </c:pt>
                <c:pt idx="253">
                  <c:v>24.033050394191257</c:v>
                </c:pt>
                <c:pt idx="254">
                  <c:v>24.033050394191257</c:v>
                </c:pt>
                <c:pt idx="255">
                  <c:v>24.033050394191257</c:v>
                </c:pt>
                <c:pt idx="256">
                  <c:v>24.033050394191257</c:v>
                </c:pt>
                <c:pt idx="257">
                  <c:v>24.033050394191257</c:v>
                </c:pt>
                <c:pt idx="258">
                  <c:v>24.033050394191257</c:v>
                </c:pt>
                <c:pt idx="259">
                  <c:v>24.033050394191257</c:v>
                </c:pt>
                <c:pt idx="260">
                  <c:v>24.033050394191257</c:v>
                </c:pt>
                <c:pt idx="261">
                  <c:v>24.033050394191257</c:v>
                </c:pt>
                <c:pt idx="262">
                  <c:v>24.033050394191257</c:v>
                </c:pt>
                <c:pt idx="263">
                  <c:v>24.033050394191257</c:v>
                </c:pt>
                <c:pt idx="264">
                  <c:v>24.033050394191257</c:v>
                </c:pt>
                <c:pt idx="265">
                  <c:v>24.033050394191257</c:v>
                </c:pt>
                <c:pt idx="266">
                  <c:v>24.033050394191257</c:v>
                </c:pt>
                <c:pt idx="267">
                  <c:v>24.033050394191257</c:v>
                </c:pt>
                <c:pt idx="268">
                  <c:v>24.033050394191257</c:v>
                </c:pt>
                <c:pt idx="269">
                  <c:v>24.033050394191257</c:v>
                </c:pt>
                <c:pt idx="270">
                  <c:v>24.033050394191257</c:v>
                </c:pt>
                <c:pt idx="271">
                  <c:v>24.033050394191257</c:v>
                </c:pt>
                <c:pt idx="272">
                  <c:v>24.033050394191257</c:v>
                </c:pt>
                <c:pt idx="273">
                  <c:v>24.033050394191257</c:v>
                </c:pt>
                <c:pt idx="274">
                  <c:v>24.033050394191257</c:v>
                </c:pt>
                <c:pt idx="275">
                  <c:v>24.033050394191257</c:v>
                </c:pt>
                <c:pt idx="276">
                  <c:v>24.033050394191257</c:v>
                </c:pt>
                <c:pt idx="277">
                  <c:v>24.033050394191257</c:v>
                </c:pt>
                <c:pt idx="278">
                  <c:v>24.033050394191257</c:v>
                </c:pt>
                <c:pt idx="279">
                  <c:v>24.033050394191257</c:v>
                </c:pt>
                <c:pt idx="280">
                  <c:v>24.033050394191257</c:v>
                </c:pt>
                <c:pt idx="281">
                  <c:v>24.033050394191257</c:v>
                </c:pt>
                <c:pt idx="282">
                  <c:v>24.033050394191257</c:v>
                </c:pt>
                <c:pt idx="283">
                  <c:v>24.033050394191257</c:v>
                </c:pt>
                <c:pt idx="284">
                  <c:v>24.033050394191257</c:v>
                </c:pt>
                <c:pt idx="285">
                  <c:v>24.033050394191257</c:v>
                </c:pt>
                <c:pt idx="286">
                  <c:v>24.033050394191257</c:v>
                </c:pt>
                <c:pt idx="287">
                  <c:v>24.033050394191257</c:v>
                </c:pt>
                <c:pt idx="288">
                  <c:v>24.033050394191257</c:v>
                </c:pt>
                <c:pt idx="289">
                  <c:v>24.033050394191257</c:v>
                </c:pt>
                <c:pt idx="290">
                  <c:v>24.033050394191257</c:v>
                </c:pt>
                <c:pt idx="291">
                  <c:v>24.033050394191257</c:v>
                </c:pt>
                <c:pt idx="292">
                  <c:v>24.033050394191257</c:v>
                </c:pt>
                <c:pt idx="293">
                  <c:v>24.033050394191257</c:v>
                </c:pt>
                <c:pt idx="294">
                  <c:v>24.033050394191257</c:v>
                </c:pt>
                <c:pt idx="295">
                  <c:v>24.033050394191257</c:v>
                </c:pt>
                <c:pt idx="296">
                  <c:v>24.033050394191257</c:v>
                </c:pt>
                <c:pt idx="297">
                  <c:v>24.033050394191257</c:v>
                </c:pt>
                <c:pt idx="298">
                  <c:v>24.033050394191257</c:v>
                </c:pt>
                <c:pt idx="299">
                  <c:v>24.033050394191257</c:v>
                </c:pt>
                <c:pt idx="300">
                  <c:v>24.033050394191257</c:v>
                </c:pt>
                <c:pt idx="301">
                  <c:v>24.033050394191257</c:v>
                </c:pt>
                <c:pt idx="302">
                  <c:v>24.033050394191257</c:v>
                </c:pt>
                <c:pt idx="303">
                  <c:v>24.033050394191257</c:v>
                </c:pt>
                <c:pt idx="304">
                  <c:v>24.033050394191257</c:v>
                </c:pt>
                <c:pt idx="305">
                  <c:v>24.033050394191257</c:v>
                </c:pt>
                <c:pt idx="306">
                  <c:v>24.033050394191257</c:v>
                </c:pt>
                <c:pt idx="307">
                  <c:v>24.033050394191257</c:v>
                </c:pt>
                <c:pt idx="308">
                  <c:v>24.033050394191257</c:v>
                </c:pt>
                <c:pt idx="309">
                  <c:v>24.033050394191257</c:v>
                </c:pt>
                <c:pt idx="310">
                  <c:v>24.033050394191257</c:v>
                </c:pt>
                <c:pt idx="311">
                  <c:v>24.033050394191257</c:v>
                </c:pt>
                <c:pt idx="312">
                  <c:v>24.033050394191257</c:v>
                </c:pt>
                <c:pt idx="313">
                  <c:v>24.033050394191257</c:v>
                </c:pt>
                <c:pt idx="314">
                  <c:v>24.033050394191257</c:v>
                </c:pt>
                <c:pt idx="315">
                  <c:v>24.033050394191257</c:v>
                </c:pt>
                <c:pt idx="316">
                  <c:v>24.033050394191257</c:v>
                </c:pt>
                <c:pt idx="317">
                  <c:v>24.033050394191257</c:v>
                </c:pt>
                <c:pt idx="318">
                  <c:v>24.033050394191257</c:v>
                </c:pt>
                <c:pt idx="319">
                  <c:v>24.033050394191257</c:v>
                </c:pt>
                <c:pt idx="320">
                  <c:v>24.033050394191257</c:v>
                </c:pt>
                <c:pt idx="321">
                  <c:v>24.033050394191257</c:v>
                </c:pt>
                <c:pt idx="322">
                  <c:v>24.033050394191257</c:v>
                </c:pt>
                <c:pt idx="323">
                  <c:v>24.033050394191257</c:v>
                </c:pt>
                <c:pt idx="324">
                  <c:v>24.033050394191257</c:v>
                </c:pt>
                <c:pt idx="325">
                  <c:v>24.033050394191257</c:v>
                </c:pt>
                <c:pt idx="326">
                  <c:v>24.033050394191257</c:v>
                </c:pt>
                <c:pt idx="327">
                  <c:v>24.033050394191257</c:v>
                </c:pt>
                <c:pt idx="328">
                  <c:v>24.033050394191257</c:v>
                </c:pt>
                <c:pt idx="329">
                  <c:v>24.033050394191257</c:v>
                </c:pt>
                <c:pt idx="330">
                  <c:v>24.033050394191257</c:v>
                </c:pt>
                <c:pt idx="331">
                  <c:v>24.033050394191257</c:v>
                </c:pt>
                <c:pt idx="332">
                  <c:v>24.033050394191257</c:v>
                </c:pt>
                <c:pt idx="333">
                  <c:v>24.033050394191257</c:v>
                </c:pt>
                <c:pt idx="334">
                  <c:v>24.033050394191257</c:v>
                </c:pt>
                <c:pt idx="335">
                  <c:v>24.033050394191257</c:v>
                </c:pt>
                <c:pt idx="336">
                  <c:v>24.033050394191257</c:v>
                </c:pt>
                <c:pt idx="337">
                  <c:v>24.033050394191257</c:v>
                </c:pt>
                <c:pt idx="338">
                  <c:v>24.033050394191257</c:v>
                </c:pt>
                <c:pt idx="339">
                  <c:v>24.033050394191257</c:v>
                </c:pt>
                <c:pt idx="340">
                  <c:v>24.033050394191257</c:v>
                </c:pt>
                <c:pt idx="341">
                  <c:v>24.033050394191257</c:v>
                </c:pt>
                <c:pt idx="342">
                  <c:v>24.033050394191257</c:v>
                </c:pt>
                <c:pt idx="343">
                  <c:v>24.033050394191257</c:v>
                </c:pt>
                <c:pt idx="344">
                  <c:v>24.033050394191257</c:v>
                </c:pt>
                <c:pt idx="345">
                  <c:v>24.033050394191257</c:v>
                </c:pt>
                <c:pt idx="346">
                  <c:v>24.033050394191257</c:v>
                </c:pt>
                <c:pt idx="347">
                  <c:v>24.033050394191257</c:v>
                </c:pt>
                <c:pt idx="348">
                  <c:v>24.033050394191257</c:v>
                </c:pt>
                <c:pt idx="349">
                  <c:v>24.033050394191257</c:v>
                </c:pt>
                <c:pt idx="350">
                  <c:v>24.033050394191257</c:v>
                </c:pt>
                <c:pt idx="351">
                  <c:v>24.033050394191257</c:v>
                </c:pt>
                <c:pt idx="352">
                  <c:v>24.033050394191257</c:v>
                </c:pt>
                <c:pt idx="353">
                  <c:v>24.033050394191257</c:v>
                </c:pt>
                <c:pt idx="354">
                  <c:v>24.033050394191257</c:v>
                </c:pt>
                <c:pt idx="355">
                  <c:v>24.033050394191257</c:v>
                </c:pt>
                <c:pt idx="356">
                  <c:v>24.033050394191257</c:v>
                </c:pt>
                <c:pt idx="357">
                  <c:v>24.033050394191257</c:v>
                </c:pt>
                <c:pt idx="358">
                  <c:v>24.033050394191257</c:v>
                </c:pt>
                <c:pt idx="359">
                  <c:v>24.033050394191257</c:v>
                </c:pt>
                <c:pt idx="360">
                  <c:v>24.033050394191257</c:v>
                </c:pt>
                <c:pt idx="361">
                  <c:v>24.033050394191257</c:v>
                </c:pt>
                <c:pt idx="362">
                  <c:v>24.033050394191257</c:v>
                </c:pt>
                <c:pt idx="363">
                  <c:v>24.033050394191257</c:v>
                </c:pt>
                <c:pt idx="364">
                  <c:v>24.033050394191257</c:v>
                </c:pt>
                <c:pt idx="365">
                  <c:v>24.033050394191257</c:v>
                </c:pt>
                <c:pt idx="366">
                  <c:v>24.033050394191257</c:v>
                </c:pt>
                <c:pt idx="367">
                  <c:v>24.033050394191257</c:v>
                </c:pt>
                <c:pt idx="368">
                  <c:v>24.033050394191257</c:v>
                </c:pt>
                <c:pt idx="369">
                  <c:v>24.033050394191257</c:v>
                </c:pt>
                <c:pt idx="370">
                  <c:v>24.033050394191257</c:v>
                </c:pt>
                <c:pt idx="371">
                  <c:v>24.033050394191257</c:v>
                </c:pt>
                <c:pt idx="372">
                  <c:v>24.033050394191257</c:v>
                </c:pt>
                <c:pt idx="373">
                  <c:v>24.033050394191257</c:v>
                </c:pt>
                <c:pt idx="374">
                  <c:v>24.033050394191257</c:v>
                </c:pt>
                <c:pt idx="375">
                  <c:v>24.033050394191257</c:v>
                </c:pt>
                <c:pt idx="376">
                  <c:v>24.033050394191257</c:v>
                </c:pt>
                <c:pt idx="377">
                  <c:v>24.033050394191257</c:v>
                </c:pt>
                <c:pt idx="378">
                  <c:v>24.033050394191257</c:v>
                </c:pt>
                <c:pt idx="379">
                  <c:v>24.033050394191257</c:v>
                </c:pt>
                <c:pt idx="380">
                  <c:v>24.033050394191257</c:v>
                </c:pt>
                <c:pt idx="381">
                  <c:v>24.033050394191257</c:v>
                </c:pt>
                <c:pt idx="382">
                  <c:v>24.033050394191257</c:v>
                </c:pt>
                <c:pt idx="383">
                  <c:v>24.033050394191257</c:v>
                </c:pt>
                <c:pt idx="384">
                  <c:v>24.033050394191257</c:v>
                </c:pt>
                <c:pt idx="385">
                  <c:v>24.033050394191257</c:v>
                </c:pt>
                <c:pt idx="386">
                  <c:v>24.033050394191257</c:v>
                </c:pt>
                <c:pt idx="387">
                  <c:v>24.033050394191257</c:v>
                </c:pt>
                <c:pt idx="388">
                  <c:v>24.033050394191257</c:v>
                </c:pt>
                <c:pt idx="389">
                  <c:v>24.033050394191257</c:v>
                </c:pt>
                <c:pt idx="390">
                  <c:v>24.033050394191257</c:v>
                </c:pt>
                <c:pt idx="391">
                  <c:v>24.033050394191257</c:v>
                </c:pt>
                <c:pt idx="392">
                  <c:v>24.033050394191257</c:v>
                </c:pt>
                <c:pt idx="393">
                  <c:v>24.033050394191257</c:v>
                </c:pt>
                <c:pt idx="394">
                  <c:v>24.033050394191257</c:v>
                </c:pt>
                <c:pt idx="395">
                  <c:v>24.033050394191257</c:v>
                </c:pt>
                <c:pt idx="396">
                  <c:v>24.033050394191257</c:v>
                </c:pt>
                <c:pt idx="397">
                  <c:v>24.033050394191257</c:v>
                </c:pt>
                <c:pt idx="398">
                  <c:v>24.033050394191257</c:v>
                </c:pt>
                <c:pt idx="399">
                  <c:v>24.033050394191257</c:v>
                </c:pt>
                <c:pt idx="400">
                  <c:v>24.033050394191257</c:v>
                </c:pt>
                <c:pt idx="401">
                  <c:v>24.033050394191257</c:v>
                </c:pt>
                <c:pt idx="402">
                  <c:v>24.033050394191257</c:v>
                </c:pt>
                <c:pt idx="403">
                  <c:v>24.033050394191257</c:v>
                </c:pt>
                <c:pt idx="404">
                  <c:v>24.033050394191257</c:v>
                </c:pt>
                <c:pt idx="405">
                  <c:v>24.033050394191257</c:v>
                </c:pt>
                <c:pt idx="406">
                  <c:v>24.033050394191257</c:v>
                </c:pt>
                <c:pt idx="407">
                  <c:v>24.033050394191257</c:v>
                </c:pt>
                <c:pt idx="408">
                  <c:v>24.033050394191257</c:v>
                </c:pt>
                <c:pt idx="409">
                  <c:v>24.033050394191257</c:v>
                </c:pt>
                <c:pt idx="410">
                  <c:v>24.033050394191257</c:v>
                </c:pt>
                <c:pt idx="411">
                  <c:v>24.033050394191257</c:v>
                </c:pt>
                <c:pt idx="412">
                  <c:v>24.033050394191257</c:v>
                </c:pt>
                <c:pt idx="413">
                  <c:v>24.033050394191257</c:v>
                </c:pt>
                <c:pt idx="414">
                  <c:v>24.033050394191257</c:v>
                </c:pt>
                <c:pt idx="415">
                  <c:v>24.033050394191257</c:v>
                </c:pt>
                <c:pt idx="416">
                  <c:v>24.033050394191257</c:v>
                </c:pt>
                <c:pt idx="417">
                  <c:v>24.033050394191257</c:v>
                </c:pt>
                <c:pt idx="418">
                  <c:v>24.033050394191257</c:v>
                </c:pt>
                <c:pt idx="419">
                  <c:v>24.033050394191257</c:v>
                </c:pt>
                <c:pt idx="420">
                  <c:v>24.033050394191257</c:v>
                </c:pt>
                <c:pt idx="421">
                  <c:v>24.033050394191257</c:v>
                </c:pt>
                <c:pt idx="422">
                  <c:v>24.033050394191257</c:v>
                </c:pt>
                <c:pt idx="423">
                  <c:v>24.033050394191257</c:v>
                </c:pt>
                <c:pt idx="424">
                  <c:v>24.033050394191257</c:v>
                </c:pt>
                <c:pt idx="425">
                  <c:v>24.033050394191257</c:v>
                </c:pt>
                <c:pt idx="426">
                  <c:v>24.033050394191257</c:v>
                </c:pt>
                <c:pt idx="427">
                  <c:v>24.033050394191257</c:v>
                </c:pt>
                <c:pt idx="428">
                  <c:v>24.033050394191257</c:v>
                </c:pt>
                <c:pt idx="429">
                  <c:v>24.033050394191257</c:v>
                </c:pt>
                <c:pt idx="430">
                  <c:v>24.033050394191257</c:v>
                </c:pt>
                <c:pt idx="431">
                  <c:v>24.033050394191257</c:v>
                </c:pt>
                <c:pt idx="432">
                  <c:v>24.033050394191257</c:v>
                </c:pt>
                <c:pt idx="433">
                  <c:v>24.033050394191257</c:v>
                </c:pt>
                <c:pt idx="434">
                  <c:v>24.033050394191257</c:v>
                </c:pt>
                <c:pt idx="435">
                  <c:v>24.033050394191257</c:v>
                </c:pt>
                <c:pt idx="436">
                  <c:v>24.033050394191257</c:v>
                </c:pt>
                <c:pt idx="437">
                  <c:v>24.033050394191257</c:v>
                </c:pt>
                <c:pt idx="438">
                  <c:v>24.033050394191257</c:v>
                </c:pt>
                <c:pt idx="439">
                  <c:v>24.033050394191257</c:v>
                </c:pt>
                <c:pt idx="440">
                  <c:v>24.033050394191257</c:v>
                </c:pt>
                <c:pt idx="441">
                  <c:v>24.033050394191257</c:v>
                </c:pt>
                <c:pt idx="442">
                  <c:v>24.033050394191257</c:v>
                </c:pt>
                <c:pt idx="443">
                  <c:v>24.033050394191257</c:v>
                </c:pt>
                <c:pt idx="444">
                  <c:v>24.033050394191257</c:v>
                </c:pt>
                <c:pt idx="445">
                  <c:v>24.033050394191257</c:v>
                </c:pt>
                <c:pt idx="446">
                  <c:v>24.033050394191257</c:v>
                </c:pt>
                <c:pt idx="447">
                  <c:v>24.033050394191257</c:v>
                </c:pt>
                <c:pt idx="448">
                  <c:v>24.033050394191257</c:v>
                </c:pt>
                <c:pt idx="449">
                  <c:v>24.033050394191257</c:v>
                </c:pt>
                <c:pt idx="450">
                  <c:v>24.033050394191257</c:v>
                </c:pt>
                <c:pt idx="451">
                  <c:v>24.033050394191257</c:v>
                </c:pt>
                <c:pt idx="452">
                  <c:v>24.033050394191257</c:v>
                </c:pt>
                <c:pt idx="453">
                  <c:v>24.033050394191257</c:v>
                </c:pt>
                <c:pt idx="454">
                  <c:v>24.033050394191257</c:v>
                </c:pt>
                <c:pt idx="455">
                  <c:v>24.033050394191257</c:v>
                </c:pt>
                <c:pt idx="456">
                  <c:v>24.033050394191257</c:v>
                </c:pt>
                <c:pt idx="457">
                  <c:v>24.033050394191257</c:v>
                </c:pt>
                <c:pt idx="458">
                  <c:v>24.033050394191257</c:v>
                </c:pt>
                <c:pt idx="459">
                  <c:v>24.033050394191257</c:v>
                </c:pt>
                <c:pt idx="460">
                  <c:v>24.033050394191257</c:v>
                </c:pt>
                <c:pt idx="461">
                  <c:v>24.033050394191257</c:v>
                </c:pt>
                <c:pt idx="462">
                  <c:v>24.033050394191257</c:v>
                </c:pt>
                <c:pt idx="463">
                  <c:v>24.033050394191257</c:v>
                </c:pt>
                <c:pt idx="464">
                  <c:v>24.033050394191257</c:v>
                </c:pt>
                <c:pt idx="465">
                  <c:v>24.033050394191257</c:v>
                </c:pt>
                <c:pt idx="466">
                  <c:v>24.033050394191257</c:v>
                </c:pt>
                <c:pt idx="467">
                  <c:v>24.033050394191257</c:v>
                </c:pt>
                <c:pt idx="468">
                  <c:v>24.033050394191257</c:v>
                </c:pt>
                <c:pt idx="469">
                  <c:v>24.033050394191257</c:v>
                </c:pt>
                <c:pt idx="470">
                  <c:v>24.033050394191257</c:v>
                </c:pt>
                <c:pt idx="471">
                  <c:v>24.033050394191257</c:v>
                </c:pt>
                <c:pt idx="472">
                  <c:v>24.033050394191257</c:v>
                </c:pt>
                <c:pt idx="473">
                  <c:v>24.033050394191257</c:v>
                </c:pt>
                <c:pt idx="474">
                  <c:v>24.033050394191257</c:v>
                </c:pt>
                <c:pt idx="475">
                  <c:v>24.033050394191257</c:v>
                </c:pt>
                <c:pt idx="476">
                  <c:v>24.033050394191257</c:v>
                </c:pt>
                <c:pt idx="477">
                  <c:v>24.033050394191257</c:v>
                </c:pt>
                <c:pt idx="478">
                  <c:v>24.033050394191257</c:v>
                </c:pt>
                <c:pt idx="479">
                  <c:v>24.033050394191257</c:v>
                </c:pt>
                <c:pt idx="480">
                  <c:v>24.033050394191257</c:v>
                </c:pt>
                <c:pt idx="481">
                  <c:v>24.033050394191257</c:v>
                </c:pt>
                <c:pt idx="482">
                  <c:v>24.033050394191257</c:v>
                </c:pt>
                <c:pt idx="483">
                  <c:v>24.033050394191257</c:v>
                </c:pt>
                <c:pt idx="484">
                  <c:v>24.033050394191257</c:v>
                </c:pt>
                <c:pt idx="485">
                  <c:v>24.033050394191257</c:v>
                </c:pt>
                <c:pt idx="486">
                  <c:v>24.033050394191257</c:v>
                </c:pt>
                <c:pt idx="487">
                  <c:v>24.033050394191257</c:v>
                </c:pt>
                <c:pt idx="488">
                  <c:v>24.033050394191257</c:v>
                </c:pt>
                <c:pt idx="489">
                  <c:v>24.033050394191257</c:v>
                </c:pt>
                <c:pt idx="490">
                  <c:v>24.033050394191257</c:v>
                </c:pt>
                <c:pt idx="491">
                  <c:v>24.033050394191257</c:v>
                </c:pt>
                <c:pt idx="492">
                  <c:v>24.033050394191257</c:v>
                </c:pt>
                <c:pt idx="493">
                  <c:v>24.033050394191257</c:v>
                </c:pt>
                <c:pt idx="494">
                  <c:v>24.033050394191257</c:v>
                </c:pt>
                <c:pt idx="495">
                  <c:v>24.033050394191257</c:v>
                </c:pt>
                <c:pt idx="496">
                  <c:v>24.033050394191257</c:v>
                </c:pt>
                <c:pt idx="497">
                  <c:v>24.033050394191257</c:v>
                </c:pt>
                <c:pt idx="498">
                  <c:v>24.033050394191257</c:v>
                </c:pt>
                <c:pt idx="499">
                  <c:v>24.033050394191257</c:v>
                </c:pt>
                <c:pt idx="500">
                  <c:v>24.033050394191257</c:v>
                </c:pt>
                <c:pt idx="501">
                  <c:v>24.033050394191257</c:v>
                </c:pt>
                <c:pt idx="502">
                  <c:v>24.033050394191257</c:v>
                </c:pt>
                <c:pt idx="503">
                  <c:v>24.033050394191257</c:v>
                </c:pt>
                <c:pt idx="504">
                  <c:v>24.033050394191257</c:v>
                </c:pt>
                <c:pt idx="505">
                  <c:v>24.033050394191257</c:v>
                </c:pt>
                <c:pt idx="506">
                  <c:v>24.033050394191257</c:v>
                </c:pt>
                <c:pt idx="507">
                  <c:v>24.033050394191257</c:v>
                </c:pt>
                <c:pt idx="508">
                  <c:v>24.033050394191257</c:v>
                </c:pt>
                <c:pt idx="509">
                  <c:v>24.033050394191257</c:v>
                </c:pt>
                <c:pt idx="510">
                  <c:v>24.033050394191257</c:v>
                </c:pt>
                <c:pt idx="511">
                  <c:v>24.033050394191257</c:v>
                </c:pt>
                <c:pt idx="512">
                  <c:v>24.033050394191257</c:v>
                </c:pt>
                <c:pt idx="513">
                  <c:v>24.033050394191257</c:v>
                </c:pt>
                <c:pt idx="514">
                  <c:v>24.033050394191257</c:v>
                </c:pt>
                <c:pt idx="515">
                  <c:v>24.033050394191257</c:v>
                </c:pt>
                <c:pt idx="516">
                  <c:v>24.033050394191257</c:v>
                </c:pt>
                <c:pt idx="517">
                  <c:v>24.033050394191257</c:v>
                </c:pt>
                <c:pt idx="518">
                  <c:v>24.033050394191257</c:v>
                </c:pt>
                <c:pt idx="519">
                  <c:v>24.033050394191257</c:v>
                </c:pt>
                <c:pt idx="520">
                  <c:v>24.033050394191257</c:v>
                </c:pt>
                <c:pt idx="521">
                  <c:v>24.033050394191257</c:v>
                </c:pt>
                <c:pt idx="522">
                  <c:v>24.033050394191257</c:v>
                </c:pt>
                <c:pt idx="523">
                  <c:v>24.033050394191257</c:v>
                </c:pt>
                <c:pt idx="524">
                  <c:v>24.033050394191257</c:v>
                </c:pt>
                <c:pt idx="525">
                  <c:v>24.033050394191257</c:v>
                </c:pt>
                <c:pt idx="526">
                  <c:v>24.033050394191257</c:v>
                </c:pt>
                <c:pt idx="527">
                  <c:v>24.033050394191257</c:v>
                </c:pt>
                <c:pt idx="528">
                  <c:v>24.033050394191257</c:v>
                </c:pt>
                <c:pt idx="529">
                  <c:v>24.033050394191257</c:v>
                </c:pt>
                <c:pt idx="530">
                  <c:v>24.033050394191257</c:v>
                </c:pt>
                <c:pt idx="531">
                  <c:v>24.033050394191257</c:v>
                </c:pt>
                <c:pt idx="532">
                  <c:v>24.033050394191257</c:v>
                </c:pt>
                <c:pt idx="533">
                  <c:v>24.033050394191257</c:v>
                </c:pt>
                <c:pt idx="534">
                  <c:v>24.033050394191257</c:v>
                </c:pt>
                <c:pt idx="535">
                  <c:v>24.033050394191257</c:v>
                </c:pt>
                <c:pt idx="536">
                  <c:v>24.033050394191257</c:v>
                </c:pt>
                <c:pt idx="537">
                  <c:v>24.033050394191257</c:v>
                </c:pt>
                <c:pt idx="538">
                  <c:v>24.033050394191257</c:v>
                </c:pt>
                <c:pt idx="539">
                  <c:v>24.033050394191257</c:v>
                </c:pt>
                <c:pt idx="540">
                  <c:v>24.033050394191257</c:v>
                </c:pt>
                <c:pt idx="541">
                  <c:v>24.033050394191257</c:v>
                </c:pt>
                <c:pt idx="542">
                  <c:v>24.033050394191257</c:v>
                </c:pt>
                <c:pt idx="543">
                  <c:v>24.033050394191257</c:v>
                </c:pt>
                <c:pt idx="544">
                  <c:v>24.033050394191257</c:v>
                </c:pt>
                <c:pt idx="545">
                  <c:v>24.033050394191257</c:v>
                </c:pt>
                <c:pt idx="546">
                  <c:v>24.033050394191257</c:v>
                </c:pt>
                <c:pt idx="547">
                  <c:v>24.033050394191257</c:v>
                </c:pt>
                <c:pt idx="548">
                  <c:v>24.033050394191257</c:v>
                </c:pt>
                <c:pt idx="549">
                  <c:v>24.033050394191257</c:v>
                </c:pt>
                <c:pt idx="550">
                  <c:v>24.033050394191257</c:v>
                </c:pt>
                <c:pt idx="551">
                  <c:v>24.033050394191257</c:v>
                </c:pt>
                <c:pt idx="552">
                  <c:v>24.033050394191257</c:v>
                </c:pt>
                <c:pt idx="553">
                  <c:v>24.033050394191257</c:v>
                </c:pt>
                <c:pt idx="554">
                  <c:v>24.033050394191257</c:v>
                </c:pt>
                <c:pt idx="555">
                  <c:v>24.033050394191257</c:v>
                </c:pt>
                <c:pt idx="556">
                  <c:v>24.033050394191257</c:v>
                </c:pt>
                <c:pt idx="557">
                  <c:v>24.033050394191257</c:v>
                </c:pt>
                <c:pt idx="558">
                  <c:v>24.033050394191257</c:v>
                </c:pt>
                <c:pt idx="559">
                  <c:v>24.033050394191257</c:v>
                </c:pt>
                <c:pt idx="560">
                  <c:v>24.033050394191257</c:v>
                </c:pt>
                <c:pt idx="561">
                  <c:v>24.033050394191257</c:v>
                </c:pt>
                <c:pt idx="562">
                  <c:v>24.033050394191257</c:v>
                </c:pt>
                <c:pt idx="563">
                  <c:v>24.033050394191257</c:v>
                </c:pt>
                <c:pt idx="564">
                  <c:v>24.033050394191257</c:v>
                </c:pt>
                <c:pt idx="565">
                  <c:v>24.033050394191257</c:v>
                </c:pt>
                <c:pt idx="566">
                  <c:v>24.033050394191257</c:v>
                </c:pt>
                <c:pt idx="567">
                  <c:v>24.033050394191257</c:v>
                </c:pt>
                <c:pt idx="568">
                  <c:v>24.033050394191257</c:v>
                </c:pt>
                <c:pt idx="569">
                  <c:v>24.033050394191257</c:v>
                </c:pt>
                <c:pt idx="570">
                  <c:v>24.033050394191257</c:v>
                </c:pt>
                <c:pt idx="571">
                  <c:v>24.033050394191257</c:v>
                </c:pt>
                <c:pt idx="572">
                  <c:v>24.033050394191257</c:v>
                </c:pt>
                <c:pt idx="573">
                  <c:v>24.033050394191257</c:v>
                </c:pt>
                <c:pt idx="574">
                  <c:v>24.033050394191257</c:v>
                </c:pt>
                <c:pt idx="575">
                  <c:v>24.033050394191257</c:v>
                </c:pt>
                <c:pt idx="576">
                  <c:v>24.033050394191257</c:v>
                </c:pt>
                <c:pt idx="577">
                  <c:v>24.033050394191257</c:v>
                </c:pt>
                <c:pt idx="578">
                  <c:v>24.033050394191257</c:v>
                </c:pt>
                <c:pt idx="579">
                  <c:v>24.033050394191257</c:v>
                </c:pt>
                <c:pt idx="580">
                  <c:v>24.033050394191257</c:v>
                </c:pt>
                <c:pt idx="581">
                  <c:v>24.033050394191257</c:v>
                </c:pt>
                <c:pt idx="582">
                  <c:v>24.033050394191257</c:v>
                </c:pt>
                <c:pt idx="583">
                  <c:v>24.033050394191257</c:v>
                </c:pt>
                <c:pt idx="584">
                  <c:v>24.033050394191257</c:v>
                </c:pt>
                <c:pt idx="585">
                  <c:v>24.033050394191257</c:v>
                </c:pt>
                <c:pt idx="586">
                  <c:v>24.033050394191257</c:v>
                </c:pt>
                <c:pt idx="587">
                  <c:v>24.033050394191257</c:v>
                </c:pt>
                <c:pt idx="588">
                  <c:v>24.033050394191257</c:v>
                </c:pt>
                <c:pt idx="589">
                  <c:v>24.033050394191257</c:v>
                </c:pt>
                <c:pt idx="590">
                  <c:v>24.033050394191257</c:v>
                </c:pt>
                <c:pt idx="591">
                  <c:v>24.033050394191257</c:v>
                </c:pt>
                <c:pt idx="592">
                  <c:v>24.033050394191257</c:v>
                </c:pt>
                <c:pt idx="593">
                  <c:v>24.033050394191257</c:v>
                </c:pt>
                <c:pt idx="594">
                  <c:v>24.033050394191257</c:v>
                </c:pt>
                <c:pt idx="595">
                  <c:v>24.033050394191257</c:v>
                </c:pt>
                <c:pt idx="596">
                  <c:v>24.033050394191257</c:v>
                </c:pt>
                <c:pt idx="597">
                  <c:v>24.033050394191257</c:v>
                </c:pt>
                <c:pt idx="598">
                  <c:v>24.033050394191257</c:v>
                </c:pt>
                <c:pt idx="599">
                  <c:v>24.033050394191257</c:v>
                </c:pt>
                <c:pt idx="600">
                  <c:v>24.033050394191257</c:v>
                </c:pt>
                <c:pt idx="601">
                  <c:v>24.033050394191257</c:v>
                </c:pt>
                <c:pt idx="602">
                  <c:v>24.033050394191257</c:v>
                </c:pt>
                <c:pt idx="603">
                  <c:v>24.033050394191257</c:v>
                </c:pt>
                <c:pt idx="604">
                  <c:v>24.033050394191257</c:v>
                </c:pt>
                <c:pt idx="605">
                  <c:v>24.033050394191257</c:v>
                </c:pt>
                <c:pt idx="606">
                  <c:v>24.033050394191257</c:v>
                </c:pt>
                <c:pt idx="607">
                  <c:v>24.033050394191257</c:v>
                </c:pt>
                <c:pt idx="608">
                  <c:v>24.033050394191257</c:v>
                </c:pt>
                <c:pt idx="609">
                  <c:v>24.033050394191257</c:v>
                </c:pt>
                <c:pt idx="610">
                  <c:v>24.033050394191257</c:v>
                </c:pt>
                <c:pt idx="611">
                  <c:v>24.033050394191257</c:v>
                </c:pt>
                <c:pt idx="612">
                  <c:v>24.033050394191257</c:v>
                </c:pt>
                <c:pt idx="613">
                  <c:v>24.033050394191257</c:v>
                </c:pt>
                <c:pt idx="614">
                  <c:v>24.033050394191257</c:v>
                </c:pt>
                <c:pt idx="615">
                  <c:v>24.033050394191257</c:v>
                </c:pt>
                <c:pt idx="616">
                  <c:v>24.033050394191257</c:v>
                </c:pt>
                <c:pt idx="617">
                  <c:v>24.033050394191257</c:v>
                </c:pt>
                <c:pt idx="618">
                  <c:v>24.033050394191257</c:v>
                </c:pt>
                <c:pt idx="619">
                  <c:v>24.033050394191257</c:v>
                </c:pt>
                <c:pt idx="620">
                  <c:v>24.033050394191257</c:v>
                </c:pt>
                <c:pt idx="621">
                  <c:v>24.033050394191257</c:v>
                </c:pt>
                <c:pt idx="622">
                  <c:v>24.033050394191257</c:v>
                </c:pt>
                <c:pt idx="623">
                  <c:v>24.033050394191257</c:v>
                </c:pt>
                <c:pt idx="624">
                  <c:v>24.033050394191257</c:v>
                </c:pt>
                <c:pt idx="625">
                  <c:v>24.033050394191257</c:v>
                </c:pt>
                <c:pt idx="626">
                  <c:v>24.033050394191257</c:v>
                </c:pt>
                <c:pt idx="627">
                  <c:v>24.033050394191257</c:v>
                </c:pt>
                <c:pt idx="628">
                  <c:v>24.033050394191257</c:v>
                </c:pt>
                <c:pt idx="629">
                  <c:v>24.033050394191257</c:v>
                </c:pt>
                <c:pt idx="630">
                  <c:v>24.033050394191257</c:v>
                </c:pt>
                <c:pt idx="631">
                  <c:v>24.033050394191257</c:v>
                </c:pt>
                <c:pt idx="632">
                  <c:v>24.033050394191257</c:v>
                </c:pt>
                <c:pt idx="633">
                  <c:v>24.033050394191257</c:v>
                </c:pt>
                <c:pt idx="634">
                  <c:v>24.033050394191257</c:v>
                </c:pt>
                <c:pt idx="635">
                  <c:v>24.033050394191257</c:v>
                </c:pt>
                <c:pt idx="636">
                  <c:v>24.033050394191257</c:v>
                </c:pt>
                <c:pt idx="637">
                  <c:v>24.033050394191257</c:v>
                </c:pt>
                <c:pt idx="638">
                  <c:v>24.033050394191257</c:v>
                </c:pt>
                <c:pt idx="639">
                  <c:v>24.033050394191257</c:v>
                </c:pt>
                <c:pt idx="640">
                  <c:v>24.033050394191257</c:v>
                </c:pt>
                <c:pt idx="641">
                  <c:v>24.033050394191257</c:v>
                </c:pt>
                <c:pt idx="642">
                  <c:v>24.033050394191257</c:v>
                </c:pt>
                <c:pt idx="643">
                  <c:v>24.033050394191257</c:v>
                </c:pt>
                <c:pt idx="644">
                  <c:v>24.033050394191257</c:v>
                </c:pt>
                <c:pt idx="645">
                  <c:v>24.033050394191257</c:v>
                </c:pt>
                <c:pt idx="646">
                  <c:v>24.033050394191257</c:v>
                </c:pt>
                <c:pt idx="647">
                  <c:v>24.033050394191257</c:v>
                </c:pt>
                <c:pt idx="648">
                  <c:v>24.033050394191257</c:v>
                </c:pt>
                <c:pt idx="649">
                  <c:v>24.033050394191257</c:v>
                </c:pt>
                <c:pt idx="650">
                  <c:v>24.033050394191257</c:v>
                </c:pt>
                <c:pt idx="651">
                  <c:v>24.033050394191257</c:v>
                </c:pt>
                <c:pt idx="652">
                  <c:v>24.033050394191257</c:v>
                </c:pt>
                <c:pt idx="653">
                  <c:v>24.033050394191257</c:v>
                </c:pt>
                <c:pt idx="654">
                  <c:v>24.033050394191257</c:v>
                </c:pt>
                <c:pt idx="655">
                  <c:v>24.033050394191257</c:v>
                </c:pt>
                <c:pt idx="656">
                  <c:v>24.033050394191257</c:v>
                </c:pt>
                <c:pt idx="657">
                  <c:v>24.033050394191257</c:v>
                </c:pt>
                <c:pt idx="658">
                  <c:v>24.033050394191257</c:v>
                </c:pt>
                <c:pt idx="659">
                  <c:v>24.033050394191257</c:v>
                </c:pt>
                <c:pt idx="660">
                  <c:v>24.033050394191257</c:v>
                </c:pt>
                <c:pt idx="661">
                  <c:v>24.033050394191257</c:v>
                </c:pt>
                <c:pt idx="662">
                  <c:v>24.033050394191257</c:v>
                </c:pt>
                <c:pt idx="663">
                  <c:v>24.033050394191257</c:v>
                </c:pt>
                <c:pt idx="664">
                  <c:v>24.033050394191257</c:v>
                </c:pt>
                <c:pt idx="665">
                  <c:v>24.033050394191257</c:v>
                </c:pt>
                <c:pt idx="666">
                  <c:v>24.033050394191257</c:v>
                </c:pt>
                <c:pt idx="667">
                  <c:v>24.033050394191257</c:v>
                </c:pt>
                <c:pt idx="668">
                  <c:v>24.033050394191257</c:v>
                </c:pt>
                <c:pt idx="669">
                  <c:v>24.033050394191257</c:v>
                </c:pt>
                <c:pt idx="670">
                  <c:v>24.033050394191257</c:v>
                </c:pt>
                <c:pt idx="671">
                  <c:v>24.033050394191257</c:v>
                </c:pt>
                <c:pt idx="672">
                  <c:v>24.033050394191257</c:v>
                </c:pt>
                <c:pt idx="673">
                  <c:v>24.033050394191257</c:v>
                </c:pt>
                <c:pt idx="674">
                  <c:v>24.033050394191257</c:v>
                </c:pt>
                <c:pt idx="675">
                  <c:v>24.033050394191257</c:v>
                </c:pt>
                <c:pt idx="676">
                  <c:v>24.033050394191257</c:v>
                </c:pt>
                <c:pt idx="677">
                  <c:v>24.033050394191257</c:v>
                </c:pt>
                <c:pt idx="678">
                  <c:v>24.033050394191257</c:v>
                </c:pt>
                <c:pt idx="679">
                  <c:v>24.033050394191257</c:v>
                </c:pt>
                <c:pt idx="680">
                  <c:v>24.033050394191257</c:v>
                </c:pt>
                <c:pt idx="681">
                  <c:v>24.033050394191257</c:v>
                </c:pt>
                <c:pt idx="682">
                  <c:v>24.033050394191257</c:v>
                </c:pt>
                <c:pt idx="683">
                  <c:v>24.033050394191257</c:v>
                </c:pt>
                <c:pt idx="684">
                  <c:v>24.033050394191257</c:v>
                </c:pt>
                <c:pt idx="685">
                  <c:v>24.033050394191257</c:v>
                </c:pt>
                <c:pt idx="686">
                  <c:v>24.033050394191257</c:v>
                </c:pt>
                <c:pt idx="687">
                  <c:v>24.033050394191257</c:v>
                </c:pt>
                <c:pt idx="688">
                  <c:v>24.033050394191257</c:v>
                </c:pt>
                <c:pt idx="689">
                  <c:v>24.033050394191257</c:v>
                </c:pt>
                <c:pt idx="690">
                  <c:v>24.033050394191257</c:v>
                </c:pt>
                <c:pt idx="691">
                  <c:v>24.033050394191257</c:v>
                </c:pt>
                <c:pt idx="692">
                  <c:v>24.033050394191257</c:v>
                </c:pt>
                <c:pt idx="693">
                  <c:v>24.033050394191257</c:v>
                </c:pt>
                <c:pt idx="694">
                  <c:v>24.033050394191257</c:v>
                </c:pt>
                <c:pt idx="695">
                  <c:v>24.033050394191257</c:v>
                </c:pt>
                <c:pt idx="696">
                  <c:v>24.033050394191257</c:v>
                </c:pt>
                <c:pt idx="697">
                  <c:v>24.033050394191257</c:v>
                </c:pt>
                <c:pt idx="698">
                  <c:v>24.033050394191257</c:v>
                </c:pt>
                <c:pt idx="699">
                  <c:v>24.033050394191257</c:v>
                </c:pt>
                <c:pt idx="700">
                  <c:v>24.033050394191257</c:v>
                </c:pt>
                <c:pt idx="701">
                  <c:v>24.033050394191257</c:v>
                </c:pt>
                <c:pt idx="702">
                  <c:v>24.033050394191257</c:v>
                </c:pt>
                <c:pt idx="703">
                  <c:v>24.033050394191257</c:v>
                </c:pt>
                <c:pt idx="704">
                  <c:v>24.033050394191257</c:v>
                </c:pt>
                <c:pt idx="705">
                  <c:v>24.033050394191257</c:v>
                </c:pt>
                <c:pt idx="706">
                  <c:v>24.033050394191257</c:v>
                </c:pt>
                <c:pt idx="707">
                  <c:v>24.033050394191257</c:v>
                </c:pt>
                <c:pt idx="708">
                  <c:v>24.033050394191257</c:v>
                </c:pt>
                <c:pt idx="709">
                  <c:v>24.033050394191257</c:v>
                </c:pt>
                <c:pt idx="710">
                  <c:v>24.033050394191257</c:v>
                </c:pt>
                <c:pt idx="711">
                  <c:v>24.033050394191257</c:v>
                </c:pt>
                <c:pt idx="712">
                  <c:v>24.033050394191257</c:v>
                </c:pt>
                <c:pt idx="713">
                  <c:v>24.033050394191257</c:v>
                </c:pt>
                <c:pt idx="714">
                  <c:v>24.033050394191257</c:v>
                </c:pt>
                <c:pt idx="715">
                  <c:v>24.033050394191257</c:v>
                </c:pt>
                <c:pt idx="716">
                  <c:v>24.033050394191257</c:v>
                </c:pt>
                <c:pt idx="717">
                  <c:v>24.033050394191257</c:v>
                </c:pt>
                <c:pt idx="718">
                  <c:v>24.033050394191257</c:v>
                </c:pt>
                <c:pt idx="719">
                  <c:v>24.033050394191257</c:v>
                </c:pt>
                <c:pt idx="720">
                  <c:v>24.033050394191257</c:v>
                </c:pt>
                <c:pt idx="721">
                  <c:v>24.033050394191257</c:v>
                </c:pt>
                <c:pt idx="722">
                  <c:v>24.033050394191257</c:v>
                </c:pt>
                <c:pt idx="723">
                  <c:v>24.033050394191257</c:v>
                </c:pt>
                <c:pt idx="724">
                  <c:v>24.033050394191257</c:v>
                </c:pt>
                <c:pt idx="725">
                  <c:v>24.033050394191257</c:v>
                </c:pt>
                <c:pt idx="726">
                  <c:v>24.033050394191257</c:v>
                </c:pt>
                <c:pt idx="727">
                  <c:v>24.033050394191257</c:v>
                </c:pt>
                <c:pt idx="728">
                  <c:v>24.033050394191257</c:v>
                </c:pt>
                <c:pt idx="729">
                  <c:v>24.033050394191257</c:v>
                </c:pt>
                <c:pt idx="730">
                  <c:v>24.033050394191257</c:v>
                </c:pt>
                <c:pt idx="731">
                  <c:v>24.033050394191257</c:v>
                </c:pt>
                <c:pt idx="732">
                  <c:v>24.033050394191257</c:v>
                </c:pt>
                <c:pt idx="733">
                  <c:v>24.033050394191257</c:v>
                </c:pt>
                <c:pt idx="734">
                  <c:v>24.033050394191257</c:v>
                </c:pt>
                <c:pt idx="735">
                  <c:v>24.033050394191257</c:v>
                </c:pt>
                <c:pt idx="736">
                  <c:v>24.033050394191257</c:v>
                </c:pt>
                <c:pt idx="737">
                  <c:v>24.033050394191257</c:v>
                </c:pt>
                <c:pt idx="738">
                  <c:v>24.033050394191257</c:v>
                </c:pt>
                <c:pt idx="739">
                  <c:v>24.033050394191257</c:v>
                </c:pt>
                <c:pt idx="740">
                  <c:v>24.033050394191257</c:v>
                </c:pt>
                <c:pt idx="741">
                  <c:v>24.033050394191257</c:v>
                </c:pt>
                <c:pt idx="742">
                  <c:v>24.033050394191257</c:v>
                </c:pt>
                <c:pt idx="743">
                  <c:v>24.033050394191257</c:v>
                </c:pt>
                <c:pt idx="744">
                  <c:v>24.033050394191257</c:v>
                </c:pt>
                <c:pt idx="745">
                  <c:v>24.033050394191257</c:v>
                </c:pt>
                <c:pt idx="746">
                  <c:v>24.033050394191257</c:v>
                </c:pt>
                <c:pt idx="747">
                  <c:v>24.033050394191257</c:v>
                </c:pt>
                <c:pt idx="748">
                  <c:v>24.033050394191257</c:v>
                </c:pt>
                <c:pt idx="749">
                  <c:v>24.033050394191257</c:v>
                </c:pt>
                <c:pt idx="750">
                  <c:v>24.033050394191257</c:v>
                </c:pt>
                <c:pt idx="751">
                  <c:v>24.033050394191257</c:v>
                </c:pt>
                <c:pt idx="752">
                  <c:v>24.033050394191257</c:v>
                </c:pt>
                <c:pt idx="753">
                  <c:v>24.033050394191257</c:v>
                </c:pt>
                <c:pt idx="754">
                  <c:v>24.033050394191257</c:v>
                </c:pt>
                <c:pt idx="755">
                  <c:v>24.033050394191257</c:v>
                </c:pt>
                <c:pt idx="756">
                  <c:v>24.033050394191257</c:v>
                </c:pt>
                <c:pt idx="757">
                  <c:v>24.033050394191257</c:v>
                </c:pt>
                <c:pt idx="758">
                  <c:v>24.033050394191257</c:v>
                </c:pt>
                <c:pt idx="759">
                  <c:v>24.033050394191257</c:v>
                </c:pt>
                <c:pt idx="760">
                  <c:v>24.033050394191257</c:v>
                </c:pt>
                <c:pt idx="761">
                  <c:v>24.033050394191257</c:v>
                </c:pt>
                <c:pt idx="762">
                  <c:v>24.033050394191257</c:v>
                </c:pt>
                <c:pt idx="763">
                  <c:v>24.033050394191257</c:v>
                </c:pt>
                <c:pt idx="764">
                  <c:v>24.033050394191257</c:v>
                </c:pt>
                <c:pt idx="765">
                  <c:v>24.033050394191257</c:v>
                </c:pt>
                <c:pt idx="766">
                  <c:v>24.033050394191257</c:v>
                </c:pt>
                <c:pt idx="767">
                  <c:v>24.033050394191257</c:v>
                </c:pt>
                <c:pt idx="768">
                  <c:v>24.033050394191257</c:v>
                </c:pt>
                <c:pt idx="769">
                  <c:v>24.033050394191257</c:v>
                </c:pt>
                <c:pt idx="770">
                  <c:v>24.033050394191257</c:v>
                </c:pt>
                <c:pt idx="771">
                  <c:v>24.033050394191257</c:v>
                </c:pt>
                <c:pt idx="772">
                  <c:v>24.033050394191257</c:v>
                </c:pt>
                <c:pt idx="773">
                  <c:v>24.033050394191257</c:v>
                </c:pt>
                <c:pt idx="774">
                  <c:v>24.033050394191257</c:v>
                </c:pt>
                <c:pt idx="775">
                  <c:v>24.033050394191257</c:v>
                </c:pt>
                <c:pt idx="776">
                  <c:v>24.033050394191257</c:v>
                </c:pt>
                <c:pt idx="777">
                  <c:v>24.033050394191257</c:v>
                </c:pt>
                <c:pt idx="778">
                  <c:v>24.033050394191257</c:v>
                </c:pt>
                <c:pt idx="779">
                  <c:v>24.033050394191257</c:v>
                </c:pt>
                <c:pt idx="780">
                  <c:v>24.033050394191257</c:v>
                </c:pt>
                <c:pt idx="781">
                  <c:v>24.033050394191257</c:v>
                </c:pt>
                <c:pt idx="782">
                  <c:v>24.033050394191257</c:v>
                </c:pt>
                <c:pt idx="783">
                  <c:v>24.033050394191257</c:v>
                </c:pt>
                <c:pt idx="784">
                  <c:v>24.033050394191257</c:v>
                </c:pt>
                <c:pt idx="785">
                  <c:v>24.033050394191257</c:v>
                </c:pt>
                <c:pt idx="786">
                  <c:v>24.033050394191257</c:v>
                </c:pt>
                <c:pt idx="787">
                  <c:v>24.033050394191257</c:v>
                </c:pt>
                <c:pt idx="788">
                  <c:v>24.033050394191257</c:v>
                </c:pt>
                <c:pt idx="789">
                  <c:v>24.033050394191257</c:v>
                </c:pt>
                <c:pt idx="790">
                  <c:v>24.033050394191257</c:v>
                </c:pt>
                <c:pt idx="791">
                  <c:v>24.033050394191257</c:v>
                </c:pt>
                <c:pt idx="792">
                  <c:v>24.033050394191257</c:v>
                </c:pt>
                <c:pt idx="793">
                  <c:v>24.033050394191257</c:v>
                </c:pt>
                <c:pt idx="794">
                  <c:v>24.033050394191257</c:v>
                </c:pt>
                <c:pt idx="795">
                  <c:v>24.033050394191257</c:v>
                </c:pt>
                <c:pt idx="796">
                  <c:v>24.033050394191257</c:v>
                </c:pt>
                <c:pt idx="797">
                  <c:v>24.033050394191257</c:v>
                </c:pt>
                <c:pt idx="798">
                  <c:v>24.033050394191257</c:v>
                </c:pt>
                <c:pt idx="799">
                  <c:v>24.033050394191257</c:v>
                </c:pt>
                <c:pt idx="800">
                  <c:v>24.033050394191257</c:v>
                </c:pt>
                <c:pt idx="801">
                  <c:v>24.033050394191257</c:v>
                </c:pt>
                <c:pt idx="802">
                  <c:v>24.033050394191257</c:v>
                </c:pt>
                <c:pt idx="803">
                  <c:v>24.033050394191257</c:v>
                </c:pt>
                <c:pt idx="804">
                  <c:v>24.033050394191257</c:v>
                </c:pt>
                <c:pt idx="805">
                  <c:v>24.033050394191257</c:v>
                </c:pt>
                <c:pt idx="806">
                  <c:v>24.033050394191257</c:v>
                </c:pt>
                <c:pt idx="807">
                  <c:v>24.033050394191257</c:v>
                </c:pt>
                <c:pt idx="808">
                  <c:v>24.033050394191257</c:v>
                </c:pt>
                <c:pt idx="809">
                  <c:v>24.033050394191257</c:v>
                </c:pt>
                <c:pt idx="810">
                  <c:v>24.033050394191257</c:v>
                </c:pt>
                <c:pt idx="811">
                  <c:v>24.033050394191257</c:v>
                </c:pt>
                <c:pt idx="812">
                  <c:v>24.033050394191257</c:v>
                </c:pt>
                <c:pt idx="813">
                  <c:v>24.033050394191257</c:v>
                </c:pt>
                <c:pt idx="814">
                  <c:v>24.033050394191257</c:v>
                </c:pt>
                <c:pt idx="815">
                  <c:v>24.033050394191257</c:v>
                </c:pt>
                <c:pt idx="816">
                  <c:v>24.033050394191257</c:v>
                </c:pt>
                <c:pt idx="817">
                  <c:v>24.033050394191257</c:v>
                </c:pt>
                <c:pt idx="818">
                  <c:v>24.033050394191257</c:v>
                </c:pt>
                <c:pt idx="819">
                  <c:v>24.033050394191257</c:v>
                </c:pt>
                <c:pt idx="820">
                  <c:v>24.033050394191257</c:v>
                </c:pt>
                <c:pt idx="821">
                  <c:v>24.033050394191257</c:v>
                </c:pt>
                <c:pt idx="822">
                  <c:v>24.033050394191257</c:v>
                </c:pt>
                <c:pt idx="823">
                  <c:v>24.033050394191257</c:v>
                </c:pt>
                <c:pt idx="824">
                  <c:v>24.033050394191257</c:v>
                </c:pt>
                <c:pt idx="825">
                  <c:v>24.033050394191257</c:v>
                </c:pt>
                <c:pt idx="826">
                  <c:v>24.033050394191257</c:v>
                </c:pt>
                <c:pt idx="827">
                  <c:v>24.033050394191257</c:v>
                </c:pt>
                <c:pt idx="828">
                  <c:v>24.033050394191257</c:v>
                </c:pt>
                <c:pt idx="829">
                  <c:v>24.033050394191257</c:v>
                </c:pt>
                <c:pt idx="830">
                  <c:v>24.033050394191257</c:v>
                </c:pt>
                <c:pt idx="831">
                  <c:v>24.033050394191257</c:v>
                </c:pt>
                <c:pt idx="832">
                  <c:v>24.033050394191257</c:v>
                </c:pt>
                <c:pt idx="833">
                  <c:v>24.033050394191257</c:v>
                </c:pt>
                <c:pt idx="834">
                  <c:v>24.033050394191257</c:v>
                </c:pt>
                <c:pt idx="835">
                  <c:v>24.033050394191257</c:v>
                </c:pt>
                <c:pt idx="836">
                  <c:v>24.033050394191257</c:v>
                </c:pt>
                <c:pt idx="837">
                  <c:v>24.033050394191257</c:v>
                </c:pt>
                <c:pt idx="838">
                  <c:v>24.033050394191257</c:v>
                </c:pt>
                <c:pt idx="839">
                  <c:v>24.033050394191257</c:v>
                </c:pt>
                <c:pt idx="840">
                  <c:v>24.033050394191257</c:v>
                </c:pt>
                <c:pt idx="841">
                  <c:v>24.033050394191257</c:v>
                </c:pt>
                <c:pt idx="842">
                  <c:v>24.033050394191257</c:v>
                </c:pt>
                <c:pt idx="843">
                  <c:v>24.033050394191257</c:v>
                </c:pt>
                <c:pt idx="844">
                  <c:v>24.033050394191257</c:v>
                </c:pt>
                <c:pt idx="845">
                  <c:v>24.033050394191257</c:v>
                </c:pt>
                <c:pt idx="846">
                  <c:v>24.033050394191257</c:v>
                </c:pt>
                <c:pt idx="847">
                  <c:v>24.033050394191257</c:v>
                </c:pt>
                <c:pt idx="848">
                  <c:v>24.033050394191257</c:v>
                </c:pt>
                <c:pt idx="849">
                  <c:v>24.033050394191257</c:v>
                </c:pt>
                <c:pt idx="850">
                  <c:v>24.033050394191257</c:v>
                </c:pt>
                <c:pt idx="851">
                  <c:v>24.033050394191257</c:v>
                </c:pt>
                <c:pt idx="852">
                  <c:v>24.033050394191257</c:v>
                </c:pt>
                <c:pt idx="853">
                  <c:v>24.033050394191257</c:v>
                </c:pt>
                <c:pt idx="854">
                  <c:v>24.033050394191257</c:v>
                </c:pt>
                <c:pt idx="855">
                  <c:v>24.033050394191257</c:v>
                </c:pt>
                <c:pt idx="856">
                  <c:v>24.033050394191257</c:v>
                </c:pt>
                <c:pt idx="857">
                  <c:v>24.033050394191257</c:v>
                </c:pt>
                <c:pt idx="858">
                  <c:v>24.033050394191257</c:v>
                </c:pt>
                <c:pt idx="859">
                  <c:v>24.033050394191257</c:v>
                </c:pt>
                <c:pt idx="860">
                  <c:v>24.033050394191257</c:v>
                </c:pt>
                <c:pt idx="861">
                  <c:v>24.033050394191257</c:v>
                </c:pt>
                <c:pt idx="862">
                  <c:v>24.033050394191257</c:v>
                </c:pt>
                <c:pt idx="863">
                  <c:v>24.033050394191257</c:v>
                </c:pt>
                <c:pt idx="864">
                  <c:v>24.033050394191257</c:v>
                </c:pt>
                <c:pt idx="865">
                  <c:v>24.033050394191257</c:v>
                </c:pt>
                <c:pt idx="866">
                  <c:v>24.033050394191257</c:v>
                </c:pt>
                <c:pt idx="867">
                  <c:v>24.033050394191257</c:v>
                </c:pt>
                <c:pt idx="868">
                  <c:v>24.033050394191257</c:v>
                </c:pt>
                <c:pt idx="869">
                  <c:v>24.033050394191257</c:v>
                </c:pt>
                <c:pt idx="870">
                  <c:v>24.033050394191257</c:v>
                </c:pt>
                <c:pt idx="871">
                  <c:v>24.033050394191257</c:v>
                </c:pt>
                <c:pt idx="872">
                  <c:v>24.033050394191257</c:v>
                </c:pt>
                <c:pt idx="873">
                  <c:v>24.033050394191257</c:v>
                </c:pt>
                <c:pt idx="874">
                  <c:v>24.033050394191257</c:v>
                </c:pt>
                <c:pt idx="875">
                  <c:v>24.033050394191257</c:v>
                </c:pt>
                <c:pt idx="876">
                  <c:v>24.033050394191257</c:v>
                </c:pt>
                <c:pt idx="877">
                  <c:v>24.033050394191257</c:v>
                </c:pt>
                <c:pt idx="878">
                  <c:v>24.033050394191257</c:v>
                </c:pt>
                <c:pt idx="879">
                  <c:v>24.033050394191257</c:v>
                </c:pt>
                <c:pt idx="880">
                  <c:v>24.033050394191257</c:v>
                </c:pt>
                <c:pt idx="881">
                  <c:v>24.033050394191257</c:v>
                </c:pt>
                <c:pt idx="882">
                  <c:v>24.033050394191257</c:v>
                </c:pt>
                <c:pt idx="883">
                  <c:v>24.033050394191257</c:v>
                </c:pt>
                <c:pt idx="884">
                  <c:v>24.033050394191257</c:v>
                </c:pt>
                <c:pt idx="885">
                  <c:v>24.033050394191257</c:v>
                </c:pt>
                <c:pt idx="886">
                  <c:v>24.033050394191257</c:v>
                </c:pt>
                <c:pt idx="887">
                  <c:v>24.033050394191257</c:v>
                </c:pt>
                <c:pt idx="888">
                  <c:v>24.033050394191257</c:v>
                </c:pt>
                <c:pt idx="889">
                  <c:v>24.033050394191257</c:v>
                </c:pt>
                <c:pt idx="890">
                  <c:v>24.033050394191257</c:v>
                </c:pt>
                <c:pt idx="891">
                  <c:v>24.033050394191257</c:v>
                </c:pt>
                <c:pt idx="892">
                  <c:v>24.033050394191257</c:v>
                </c:pt>
                <c:pt idx="893">
                  <c:v>24.033050394191257</c:v>
                </c:pt>
                <c:pt idx="894">
                  <c:v>24.033050394191257</c:v>
                </c:pt>
                <c:pt idx="895">
                  <c:v>24.033050394191257</c:v>
                </c:pt>
                <c:pt idx="896">
                  <c:v>24.033050394191257</c:v>
                </c:pt>
                <c:pt idx="897">
                  <c:v>24.033050394191257</c:v>
                </c:pt>
                <c:pt idx="898">
                  <c:v>24.033050394191257</c:v>
                </c:pt>
                <c:pt idx="899">
                  <c:v>24.033050394191257</c:v>
                </c:pt>
                <c:pt idx="900">
                  <c:v>24.033050394191257</c:v>
                </c:pt>
                <c:pt idx="901">
                  <c:v>24.033050394191257</c:v>
                </c:pt>
                <c:pt idx="902">
                  <c:v>24.033050394191257</c:v>
                </c:pt>
                <c:pt idx="903">
                  <c:v>24.033050394191257</c:v>
                </c:pt>
                <c:pt idx="904">
                  <c:v>24.033050394191257</c:v>
                </c:pt>
                <c:pt idx="905">
                  <c:v>24.033050394191257</c:v>
                </c:pt>
                <c:pt idx="906">
                  <c:v>24.033050394191257</c:v>
                </c:pt>
                <c:pt idx="907">
                  <c:v>24.033050394191257</c:v>
                </c:pt>
                <c:pt idx="908">
                  <c:v>24.033050394191257</c:v>
                </c:pt>
                <c:pt idx="909">
                  <c:v>24.033050394191257</c:v>
                </c:pt>
                <c:pt idx="910">
                  <c:v>24.033050394191257</c:v>
                </c:pt>
                <c:pt idx="911">
                  <c:v>24.033050394191257</c:v>
                </c:pt>
                <c:pt idx="912">
                  <c:v>24.033050394191257</c:v>
                </c:pt>
                <c:pt idx="913">
                  <c:v>24.033050394191257</c:v>
                </c:pt>
                <c:pt idx="914">
                  <c:v>24.033050394191257</c:v>
                </c:pt>
                <c:pt idx="915">
                  <c:v>24.033050394191257</c:v>
                </c:pt>
                <c:pt idx="916">
                  <c:v>24.033050394191257</c:v>
                </c:pt>
                <c:pt idx="917">
                  <c:v>24.033050394191257</c:v>
                </c:pt>
                <c:pt idx="918">
                  <c:v>24.033050394191257</c:v>
                </c:pt>
                <c:pt idx="919">
                  <c:v>24.033050394191257</c:v>
                </c:pt>
                <c:pt idx="920">
                  <c:v>24.033050394191257</c:v>
                </c:pt>
                <c:pt idx="921">
                  <c:v>24.033050394191257</c:v>
                </c:pt>
                <c:pt idx="922">
                  <c:v>24.033050394191257</c:v>
                </c:pt>
                <c:pt idx="923">
                  <c:v>24.033050394191257</c:v>
                </c:pt>
                <c:pt idx="924">
                  <c:v>24.033050394191257</c:v>
                </c:pt>
                <c:pt idx="925">
                  <c:v>24.033050394191257</c:v>
                </c:pt>
                <c:pt idx="926">
                  <c:v>24.033050394191257</c:v>
                </c:pt>
                <c:pt idx="927">
                  <c:v>24.033050394191257</c:v>
                </c:pt>
                <c:pt idx="928">
                  <c:v>24.033050394191257</c:v>
                </c:pt>
                <c:pt idx="929">
                  <c:v>24.033050394191257</c:v>
                </c:pt>
                <c:pt idx="930">
                  <c:v>24.033050394191257</c:v>
                </c:pt>
                <c:pt idx="931">
                  <c:v>24.033050394191257</c:v>
                </c:pt>
                <c:pt idx="932">
                  <c:v>24.033050394191257</c:v>
                </c:pt>
                <c:pt idx="933">
                  <c:v>24.033050394191257</c:v>
                </c:pt>
                <c:pt idx="934">
                  <c:v>24.033050394191257</c:v>
                </c:pt>
                <c:pt idx="935">
                  <c:v>24.033050394191257</c:v>
                </c:pt>
                <c:pt idx="936">
                  <c:v>24.033050394191257</c:v>
                </c:pt>
                <c:pt idx="937">
                  <c:v>24.033050394191257</c:v>
                </c:pt>
                <c:pt idx="938">
                  <c:v>24.033050394191257</c:v>
                </c:pt>
                <c:pt idx="939">
                  <c:v>24.033050394191257</c:v>
                </c:pt>
                <c:pt idx="940">
                  <c:v>24.033050394191257</c:v>
                </c:pt>
                <c:pt idx="941">
                  <c:v>24.033050394191257</c:v>
                </c:pt>
                <c:pt idx="942">
                  <c:v>24.033050394191257</c:v>
                </c:pt>
                <c:pt idx="943">
                  <c:v>24.033050394191257</c:v>
                </c:pt>
                <c:pt idx="944">
                  <c:v>24.033050394191257</c:v>
                </c:pt>
                <c:pt idx="945">
                  <c:v>24.033050394191257</c:v>
                </c:pt>
                <c:pt idx="946">
                  <c:v>24.033050394191257</c:v>
                </c:pt>
                <c:pt idx="947">
                  <c:v>24.033050394191257</c:v>
                </c:pt>
                <c:pt idx="948">
                  <c:v>24.033050394191257</c:v>
                </c:pt>
                <c:pt idx="949">
                  <c:v>24.033050394191257</c:v>
                </c:pt>
                <c:pt idx="950">
                  <c:v>24.033050394191257</c:v>
                </c:pt>
                <c:pt idx="951">
                  <c:v>24.033050394191257</c:v>
                </c:pt>
                <c:pt idx="952">
                  <c:v>24.033050394191257</c:v>
                </c:pt>
                <c:pt idx="953">
                  <c:v>24.033050394191257</c:v>
                </c:pt>
                <c:pt idx="954">
                  <c:v>24.033050394191257</c:v>
                </c:pt>
                <c:pt idx="955">
                  <c:v>24.033050394191257</c:v>
                </c:pt>
                <c:pt idx="956">
                  <c:v>24.033050394191257</c:v>
                </c:pt>
                <c:pt idx="957">
                  <c:v>24.033050394191257</c:v>
                </c:pt>
                <c:pt idx="958">
                  <c:v>24.033050394191257</c:v>
                </c:pt>
                <c:pt idx="959">
                  <c:v>24.033050394191257</c:v>
                </c:pt>
                <c:pt idx="960">
                  <c:v>24.033050394191257</c:v>
                </c:pt>
                <c:pt idx="961">
                  <c:v>24.033050394191257</c:v>
                </c:pt>
                <c:pt idx="962">
                  <c:v>24.033050394191257</c:v>
                </c:pt>
                <c:pt idx="963">
                  <c:v>24.033050394191257</c:v>
                </c:pt>
                <c:pt idx="964">
                  <c:v>24.033050394191257</c:v>
                </c:pt>
                <c:pt idx="965">
                  <c:v>24.033050394191257</c:v>
                </c:pt>
                <c:pt idx="966">
                  <c:v>24.033050394191257</c:v>
                </c:pt>
                <c:pt idx="967">
                  <c:v>24.033050394191257</c:v>
                </c:pt>
                <c:pt idx="968">
                  <c:v>24.033050394191257</c:v>
                </c:pt>
                <c:pt idx="969">
                  <c:v>24.033050394191257</c:v>
                </c:pt>
                <c:pt idx="970">
                  <c:v>24.033050394191257</c:v>
                </c:pt>
                <c:pt idx="971">
                  <c:v>24.033050394191257</c:v>
                </c:pt>
                <c:pt idx="972">
                  <c:v>24.033050394191257</c:v>
                </c:pt>
                <c:pt idx="973">
                  <c:v>24.033050394191257</c:v>
                </c:pt>
                <c:pt idx="974">
                  <c:v>24.033050394191257</c:v>
                </c:pt>
                <c:pt idx="975">
                  <c:v>24.033050394191257</c:v>
                </c:pt>
                <c:pt idx="976">
                  <c:v>24.033050394191257</c:v>
                </c:pt>
                <c:pt idx="977">
                  <c:v>24.033050394191257</c:v>
                </c:pt>
                <c:pt idx="978">
                  <c:v>24.033050394191257</c:v>
                </c:pt>
                <c:pt idx="979">
                  <c:v>24.033050394191257</c:v>
                </c:pt>
                <c:pt idx="980">
                  <c:v>24.033050394191257</c:v>
                </c:pt>
                <c:pt idx="981">
                  <c:v>24.033050394191257</c:v>
                </c:pt>
                <c:pt idx="982">
                  <c:v>24.033050394191257</c:v>
                </c:pt>
                <c:pt idx="983">
                  <c:v>24.033050394191257</c:v>
                </c:pt>
                <c:pt idx="984">
                  <c:v>24.033050394191257</c:v>
                </c:pt>
                <c:pt idx="985">
                  <c:v>24.033050394191257</c:v>
                </c:pt>
                <c:pt idx="986">
                  <c:v>24.033050394191257</c:v>
                </c:pt>
                <c:pt idx="987">
                  <c:v>24.033050394191257</c:v>
                </c:pt>
                <c:pt idx="988">
                  <c:v>24.033050394191257</c:v>
                </c:pt>
                <c:pt idx="989">
                  <c:v>24.033050394191257</c:v>
                </c:pt>
                <c:pt idx="990">
                  <c:v>24.033050394191257</c:v>
                </c:pt>
                <c:pt idx="991">
                  <c:v>24.033050394191257</c:v>
                </c:pt>
                <c:pt idx="992">
                  <c:v>24.033050394191257</c:v>
                </c:pt>
                <c:pt idx="993">
                  <c:v>24.033050394191257</c:v>
                </c:pt>
                <c:pt idx="994">
                  <c:v>24.033050394191257</c:v>
                </c:pt>
                <c:pt idx="995">
                  <c:v>24.033050394191257</c:v>
                </c:pt>
                <c:pt idx="996">
                  <c:v>24.033050394191257</c:v>
                </c:pt>
                <c:pt idx="997">
                  <c:v>24.033050394191257</c:v>
                </c:pt>
                <c:pt idx="998">
                  <c:v>24.033050394191257</c:v>
                </c:pt>
                <c:pt idx="999">
                  <c:v>24.033050394191257</c:v>
                </c:pt>
                <c:pt idx="1000">
                  <c:v>24.033050394191257</c:v>
                </c:pt>
                <c:pt idx="1001">
                  <c:v>24.033050394191257</c:v>
                </c:pt>
                <c:pt idx="1002">
                  <c:v>24.033050394191257</c:v>
                </c:pt>
                <c:pt idx="1003">
                  <c:v>24.033050394191257</c:v>
                </c:pt>
                <c:pt idx="1004">
                  <c:v>24.033050394191257</c:v>
                </c:pt>
                <c:pt idx="1005">
                  <c:v>24.033050394191257</c:v>
                </c:pt>
                <c:pt idx="1006">
                  <c:v>24.033050394191257</c:v>
                </c:pt>
                <c:pt idx="1007">
                  <c:v>24.033050394191257</c:v>
                </c:pt>
                <c:pt idx="1008">
                  <c:v>24.033050394191257</c:v>
                </c:pt>
                <c:pt idx="1009">
                  <c:v>24.033050394191257</c:v>
                </c:pt>
                <c:pt idx="1010">
                  <c:v>24.033050394191257</c:v>
                </c:pt>
                <c:pt idx="1011">
                  <c:v>24.033050394191257</c:v>
                </c:pt>
                <c:pt idx="1012">
                  <c:v>24.033050394191257</c:v>
                </c:pt>
                <c:pt idx="1013">
                  <c:v>24.033050394191257</c:v>
                </c:pt>
                <c:pt idx="1014">
                  <c:v>24.033050394191257</c:v>
                </c:pt>
                <c:pt idx="1015">
                  <c:v>24.033050394191257</c:v>
                </c:pt>
                <c:pt idx="1016">
                  <c:v>24.033050394191257</c:v>
                </c:pt>
                <c:pt idx="1017">
                  <c:v>24.033050394191257</c:v>
                </c:pt>
                <c:pt idx="1018">
                  <c:v>24.033050394191257</c:v>
                </c:pt>
                <c:pt idx="1019">
                  <c:v>24.033050394191257</c:v>
                </c:pt>
                <c:pt idx="1020">
                  <c:v>24.033050394191257</c:v>
                </c:pt>
                <c:pt idx="1021">
                  <c:v>24.033050394191257</c:v>
                </c:pt>
                <c:pt idx="1022">
                  <c:v>24.033050394191257</c:v>
                </c:pt>
                <c:pt idx="1023">
                  <c:v>24.033050394191257</c:v>
                </c:pt>
                <c:pt idx="1024">
                  <c:v>24.033050394191257</c:v>
                </c:pt>
                <c:pt idx="1025">
                  <c:v>24.033050394191257</c:v>
                </c:pt>
                <c:pt idx="1026">
                  <c:v>24.033050394191257</c:v>
                </c:pt>
                <c:pt idx="1027">
                  <c:v>24.033050394191257</c:v>
                </c:pt>
                <c:pt idx="1028">
                  <c:v>24.033050394191257</c:v>
                </c:pt>
                <c:pt idx="1029">
                  <c:v>24.033050394191257</c:v>
                </c:pt>
                <c:pt idx="1030">
                  <c:v>24.033050394191257</c:v>
                </c:pt>
                <c:pt idx="1031">
                  <c:v>24.033050394191257</c:v>
                </c:pt>
                <c:pt idx="1032">
                  <c:v>24.033050394191257</c:v>
                </c:pt>
                <c:pt idx="1033">
                  <c:v>24.033050394191257</c:v>
                </c:pt>
                <c:pt idx="1034">
                  <c:v>24.033050394191257</c:v>
                </c:pt>
                <c:pt idx="1035">
                  <c:v>24.033050394191257</c:v>
                </c:pt>
                <c:pt idx="1036">
                  <c:v>24.033050394191257</c:v>
                </c:pt>
                <c:pt idx="1037">
                  <c:v>24.033050394191257</c:v>
                </c:pt>
                <c:pt idx="1038">
                  <c:v>24.033050394191257</c:v>
                </c:pt>
                <c:pt idx="1039">
                  <c:v>24.033050394191257</c:v>
                </c:pt>
                <c:pt idx="1040">
                  <c:v>24.033050394191257</c:v>
                </c:pt>
                <c:pt idx="1041">
                  <c:v>24.033050394191257</c:v>
                </c:pt>
                <c:pt idx="1042">
                  <c:v>24.033050394191257</c:v>
                </c:pt>
                <c:pt idx="1043">
                  <c:v>24.033050394191257</c:v>
                </c:pt>
                <c:pt idx="1044">
                  <c:v>24.033050394191257</c:v>
                </c:pt>
                <c:pt idx="1045">
                  <c:v>24.033050394191257</c:v>
                </c:pt>
                <c:pt idx="1046">
                  <c:v>24.033050394191257</c:v>
                </c:pt>
                <c:pt idx="1047">
                  <c:v>24.033050394191257</c:v>
                </c:pt>
                <c:pt idx="1048">
                  <c:v>24.033050394191257</c:v>
                </c:pt>
                <c:pt idx="1049">
                  <c:v>24.033050394191257</c:v>
                </c:pt>
                <c:pt idx="1050">
                  <c:v>24.033050394191257</c:v>
                </c:pt>
                <c:pt idx="1051">
                  <c:v>24.033050394191257</c:v>
                </c:pt>
                <c:pt idx="1052">
                  <c:v>24.033050394191257</c:v>
                </c:pt>
                <c:pt idx="1053">
                  <c:v>24.033050394191257</c:v>
                </c:pt>
                <c:pt idx="1054">
                  <c:v>24.033050394191257</c:v>
                </c:pt>
                <c:pt idx="1055">
                  <c:v>24.033050394191257</c:v>
                </c:pt>
                <c:pt idx="1056">
                  <c:v>24.033050394191257</c:v>
                </c:pt>
                <c:pt idx="1057">
                  <c:v>24.033050394191257</c:v>
                </c:pt>
                <c:pt idx="1058">
                  <c:v>24.033050394191257</c:v>
                </c:pt>
                <c:pt idx="1059">
                  <c:v>24.033050394191257</c:v>
                </c:pt>
                <c:pt idx="1060">
                  <c:v>24.033050394191257</c:v>
                </c:pt>
                <c:pt idx="1061">
                  <c:v>24.033050394191257</c:v>
                </c:pt>
                <c:pt idx="1062">
                  <c:v>24.033050394191257</c:v>
                </c:pt>
                <c:pt idx="1063">
                  <c:v>24.033050394191257</c:v>
                </c:pt>
                <c:pt idx="1064">
                  <c:v>24.033050394191257</c:v>
                </c:pt>
                <c:pt idx="1065">
                  <c:v>24.033050394191257</c:v>
                </c:pt>
                <c:pt idx="1066">
                  <c:v>24.033050394191257</c:v>
                </c:pt>
                <c:pt idx="1067">
                  <c:v>24.033050394191257</c:v>
                </c:pt>
                <c:pt idx="1068">
                  <c:v>24.033050394191257</c:v>
                </c:pt>
                <c:pt idx="1069">
                  <c:v>24.033050394191257</c:v>
                </c:pt>
                <c:pt idx="1070">
                  <c:v>24.033050394191257</c:v>
                </c:pt>
                <c:pt idx="1071">
                  <c:v>24.033050394191257</c:v>
                </c:pt>
                <c:pt idx="1072">
                  <c:v>24.033050394191257</c:v>
                </c:pt>
                <c:pt idx="1073">
                  <c:v>24.033050394191257</c:v>
                </c:pt>
                <c:pt idx="1074">
                  <c:v>24.033050394191257</c:v>
                </c:pt>
                <c:pt idx="1075">
                  <c:v>24.033050394191257</c:v>
                </c:pt>
                <c:pt idx="1076">
                  <c:v>24.033050394191257</c:v>
                </c:pt>
                <c:pt idx="1077">
                  <c:v>24.033050394191257</c:v>
                </c:pt>
                <c:pt idx="1078">
                  <c:v>24.033050394191257</c:v>
                </c:pt>
                <c:pt idx="1079">
                  <c:v>24.033050394191257</c:v>
                </c:pt>
                <c:pt idx="1080">
                  <c:v>24.033050394191257</c:v>
                </c:pt>
                <c:pt idx="1081">
                  <c:v>24.033050394191257</c:v>
                </c:pt>
                <c:pt idx="1082">
                  <c:v>24.033050394191257</c:v>
                </c:pt>
                <c:pt idx="1083">
                  <c:v>24.033050394191257</c:v>
                </c:pt>
                <c:pt idx="1084">
                  <c:v>24.033050394191257</c:v>
                </c:pt>
                <c:pt idx="1085">
                  <c:v>24.033050394191257</c:v>
                </c:pt>
                <c:pt idx="1086">
                  <c:v>24.033050394191257</c:v>
                </c:pt>
                <c:pt idx="1087">
                  <c:v>24.033050394191257</c:v>
                </c:pt>
                <c:pt idx="1088">
                  <c:v>24.033050394191257</c:v>
                </c:pt>
                <c:pt idx="1089">
                  <c:v>24.033050394191257</c:v>
                </c:pt>
                <c:pt idx="1090">
                  <c:v>24.033050394191257</c:v>
                </c:pt>
                <c:pt idx="1091">
                  <c:v>24.033050394191257</c:v>
                </c:pt>
                <c:pt idx="1092">
                  <c:v>24.033050394191257</c:v>
                </c:pt>
                <c:pt idx="1093">
                  <c:v>24.033050394191257</c:v>
                </c:pt>
                <c:pt idx="1094">
                  <c:v>24.033050394191257</c:v>
                </c:pt>
                <c:pt idx="1095">
                  <c:v>24.033050394191257</c:v>
                </c:pt>
                <c:pt idx="1096">
                  <c:v>24.033050394191257</c:v>
                </c:pt>
                <c:pt idx="1097">
                  <c:v>24.033050394191257</c:v>
                </c:pt>
                <c:pt idx="1098">
                  <c:v>24.033050394191257</c:v>
                </c:pt>
                <c:pt idx="1099">
                  <c:v>24.033050394191257</c:v>
                </c:pt>
                <c:pt idx="1100">
                  <c:v>24.033050394191257</c:v>
                </c:pt>
                <c:pt idx="1101">
                  <c:v>24.033050394191257</c:v>
                </c:pt>
                <c:pt idx="1102">
                  <c:v>24.033050394191257</c:v>
                </c:pt>
                <c:pt idx="1103">
                  <c:v>24.033050394191257</c:v>
                </c:pt>
                <c:pt idx="1104">
                  <c:v>24.033050394191257</c:v>
                </c:pt>
                <c:pt idx="1105">
                  <c:v>24.033050394191257</c:v>
                </c:pt>
                <c:pt idx="1106">
                  <c:v>24.033050394191257</c:v>
                </c:pt>
                <c:pt idx="1107">
                  <c:v>24.033050394191257</c:v>
                </c:pt>
                <c:pt idx="1108">
                  <c:v>24.033050394191257</c:v>
                </c:pt>
                <c:pt idx="1109">
                  <c:v>24.033050394191257</c:v>
                </c:pt>
                <c:pt idx="1110">
                  <c:v>24.033050394191257</c:v>
                </c:pt>
                <c:pt idx="1111">
                  <c:v>24.033050394191257</c:v>
                </c:pt>
                <c:pt idx="1112">
                  <c:v>24.033050394191257</c:v>
                </c:pt>
                <c:pt idx="1113">
                  <c:v>24.033050394191257</c:v>
                </c:pt>
                <c:pt idx="1114">
                  <c:v>24.033050394191257</c:v>
                </c:pt>
                <c:pt idx="1115">
                  <c:v>24.033050394191257</c:v>
                </c:pt>
                <c:pt idx="1116">
                  <c:v>24.033050394191257</c:v>
                </c:pt>
                <c:pt idx="1117">
                  <c:v>24.033050394191257</c:v>
                </c:pt>
                <c:pt idx="1118">
                  <c:v>24.033050394191257</c:v>
                </c:pt>
                <c:pt idx="1119">
                  <c:v>24.033050394191257</c:v>
                </c:pt>
                <c:pt idx="1120">
                  <c:v>24.033050394191257</c:v>
                </c:pt>
                <c:pt idx="1121">
                  <c:v>24.033050394191257</c:v>
                </c:pt>
                <c:pt idx="1122">
                  <c:v>24.033050394191257</c:v>
                </c:pt>
                <c:pt idx="1123">
                  <c:v>24.033050394191257</c:v>
                </c:pt>
                <c:pt idx="1124">
                  <c:v>24.033050394191257</c:v>
                </c:pt>
                <c:pt idx="1125">
                  <c:v>24.033050394191257</c:v>
                </c:pt>
                <c:pt idx="1126">
                  <c:v>24.033050394191257</c:v>
                </c:pt>
                <c:pt idx="1127">
                  <c:v>24.033050394191257</c:v>
                </c:pt>
                <c:pt idx="1128">
                  <c:v>24.033050394191257</c:v>
                </c:pt>
                <c:pt idx="1129">
                  <c:v>24.033050394191257</c:v>
                </c:pt>
                <c:pt idx="1130">
                  <c:v>24.033050394191257</c:v>
                </c:pt>
                <c:pt idx="1131">
                  <c:v>24.033050394191257</c:v>
                </c:pt>
                <c:pt idx="1132">
                  <c:v>24.033050394191257</c:v>
                </c:pt>
                <c:pt idx="1133">
                  <c:v>24.033050394191257</c:v>
                </c:pt>
                <c:pt idx="1134">
                  <c:v>24.033050394191257</c:v>
                </c:pt>
                <c:pt idx="1135">
                  <c:v>24.033050394191257</c:v>
                </c:pt>
                <c:pt idx="1136">
                  <c:v>24.033050394191257</c:v>
                </c:pt>
                <c:pt idx="1137">
                  <c:v>24.033050394191257</c:v>
                </c:pt>
                <c:pt idx="1138">
                  <c:v>24.033050394191257</c:v>
                </c:pt>
                <c:pt idx="1139">
                  <c:v>24.033050394191257</c:v>
                </c:pt>
                <c:pt idx="1140">
                  <c:v>24.033050394191257</c:v>
                </c:pt>
                <c:pt idx="1141">
                  <c:v>24.033050394191257</c:v>
                </c:pt>
                <c:pt idx="1142">
                  <c:v>24.033050394191257</c:v>
                </c:pt>
                <c:pt idx="1143">
                  <c:v>24.033050394191257</c:v>
                </c:pt>
                <c:pt idx="1144">
                  <c:v>24.033050394191257</c:v>
                </c:pt>
                <c:pt idx="1145">
                  <c:v>24.033050394191257</c:v>
                </c:pt>
                <c:pt idx="1146">
                  <c:v>24.033050394191257</c:v>
                </c:pt>
                <c:pt idx="1147">
                  <c:v>24.033050394191257</c:v>
                </c:pt>
                <c:pt idx="1148">
                  <c:v>24.033050394191257</c:v>
                </c:pt>
                <c:pt idx="1149">
                  <c:v>24.033050394191257</c:v>
                </c:pt>
                <c:pt idx="1150">
                  <c:v>24.033050394191257</c:v>
                </c:pt>
                <c:pt idx="1151">
                  <c:v>24.033050394191257</c:v>
                </c:pt>
                <c:pt idx="1152">
                  <c:v>24.033050394191257</c:v>
                </c:pt>
                <c:pt idx="1153">
                  <c:v>24.033050394191257</c:v>
                </c:pt>
                <c:pt idx="1154">
                  <c:v>24.033050394191257</c:v>
                </c:pt>
                <c:pt idx="1155">
                  <c:v>24.033050394191257</c:v>
                </c:pt>
                <c:pt idx="1156">
                  <c:v>24.033050394191257</c:v>
                </c:pt>
                <c:pt idx="1157">
                  <c:v>24.033050394191257</c:v>
                </c:pt>
                <c:pt idx="1158">
                  <c:v>24.033050394191257</c:v>
                </c:pt>
                <c:pt idx="1159">
                  <c:v>24.033050394191257</c:v>
                </c:pt>
                <c:pt idx="1160">
                  <c:v>24.033050394191257</c:v>
                </c:pt>
                <c:pt idx="1161">
                  <c:v>24.033050394191257</c:v>
                </c:pt>
                <c:pt idx="1162">
                  <c:v>24.033050394191257</c:v>
                </c:pt>
                <c:pt idx="1163">
                  <c:v>24.033050394191257</c:v>
                </c:pt>
                <c:pt idx="1164">
                  <c:v>24.033050394191257</c:v>
                </c:pt>
                <c:pt idx="1165">
                  <c:v>24.033050394191257</c:v>
                </c:pt>
                <c:pt idx="1166">
                  <c:v>24.033050394191257</c:v>
                </c:pt>
                <c:pt idx="1167">
                  <c:v>24.033050394191257</c:v>
                </c:pt>
                <c:pt idx="1168">
                  <c:v>24.033050394191257</c:v>
                </c:pt>
                <c:pt idx="1169">
                  <c:v>24.033050394191257</c:v>
                </c:pt>
                <c:pt idx="1170">
                  <c:v>24.033050394191257</c:v>
                </c:pt>
                <c:pt idx="1171">
                  <c:v>24.033050394191257</c:v>
                </c:pt>
                <c:pt idx="1172">
                  <c:v>24.033050394191257</c:v>
                </c:pt>
                <c:pt idx="1173">
                  <c:v>24.033050394191257</c:v>
                </c:pt>
                <c:pt idx="1174">
                  <c:v>24.033050394191257</c:v>
                </c:pt>
                <c:pt idx="1175">
                  <c:v>24.033050394191257</c:v>
                </c:pt>
                <c:pt idx="1176">
                  <c:v>24.033050394191257</c:v>
                </c:pt>
                <c:pt idx="1177">
                  <c:v>24.033050394191257</c:v>
                </c:pt>
                <c:pt idx="1178">
                  <c:v>24.033050394191257</c:v>
                </c:pt>
                <c:pt idx="1179">
                  <c:v>24.033050394191257</c:v>
                </c:pt>
                <c:pt idx="1180">
                  <c:v>24.033050394191257</c:v>
                </c:pt>
                <c:pt idx="1181">
                  <c:v>24.033050394191257</c:v>
                </c:pt>
                <c:pt idx="1182">
                  <c:v>24.033050394191257</c:v>
                </c:pt>
                <c:pt idx="1183">
                  <c:v>24.033050394191257</c:v>
                </c:pt>
                <c:pt idx="1184">
                  <c:v>24.033050394191257</c:v>
                </c:pt>
                <c:pt idx="1185">
                  <c:v>24.033050394191257</c:v>
                </c:pt>
                <c:pt idx="1186">
                  <c:v>24.033050394191257</c:v>
                </c:pt>
                <c:pt idx="1187">
                  <c:v>24.033050394191257</c:v>
                </c:pt>
                <c:pt idx="1188">
                  <c:v>24.033050394191257</c:v>
                </c:pt>
                <c:pt idx="1189">
                  <c:v>24.033050394191257</c:v>
                </c:pt>
                <c:pt idx="1190">
                  <c:v>24.033050394191257</c:v>
                </c:pt>
                <c:pt idx="1191">
                  <c:v>24.033050394191257</c:v>
                </c:pt>
                <c:pt idx="1192">
                  <c:v>24.033050394191257</c:v>
                </c:pt>
                <c:pt idx="1193">
                  <c:v>24.033050394191257</c:v>
                </c:pt>
                <c:pt idx="1194">
                  <c:v>24.033050394191257</c:v>
                </c:pt>
                <c:pt idx="1195">
                  <c:v>24.033050394191257</c:v>
                </c:pt>
                <c:pt idx="1196">
                  <c:v>24.033050394191257</c:v>
                </c:pt>
                <c:pt idx="1197">
                  <c:v>24.033050394191257</c:v>
                </c:pt>
                <c:pt idx="1198">
                  <c:v>24.033050394191257</c:v>
                </c:pt>
                <c:pt idx="1199">
                  <c:v>24.033050394191257</c:v>
                </c:pt>
                <c:pt idx="1200">
                  <c:v>24.033050394191257</c:v>
                </c:pt>
                <c:pt idx="1201">
                  <c:v>24.033050394191257</c:v>
                </c:pt>
                <c:pt idx="1202">
                  <c:v>24.033050394191257</c:v>
                </c:pt>
                <c:pt idx="1203">
                  <c:v>24.033050394191257</c:v>
                </c:pt>
                <c:pt idx="1204">
                  <c:v>24.033050394191257</c:v>
                </c:pt>
                <c:pt idx="1205">
                  <c:v>24.033050394191257</c:v>
                </c:pt>
                <c:pt idx="1206">
                  <c:v>24.033050394191257</c:v>
                </c:pt>
                <c:pt idx="1207">
                  <c:v>24.033050394191257</c:v>
                </c:pt>
                <c:pt idx="1208">
                  <c:v>24.033050394191257</c:v>
                </c:pt>
                <c:pt idx="1209">
                  <c:v>24.033050394191257</c:v>
                </c:pt>
                <c:pt idx="1210">
                  <c:v>24.033050394191257</c:v>
                </c:pt>
                <c:pt idx="1211">
                  <c:v>24.033050394191257</c:v>
                </c:pt>
                <c:pt idx="1212">
                  <c:v>24.033050394191257</c:v>
                </c:pt>
                <c:pt idx="1213">
                  <c:v>24.033050394191257</c:v>
                </c:pt>
                <c:pt idx="1214">
                  <c:v>24.033050394191257</c:v>
                </c:pt>
                <c:pt idx="1215">
                  <c:v>24.033050394191257</c:v>
                </c:pt>
                <c:pt idx="1216">
                  <c:v>24.033050394191257</c:v>
                </c:pt>
                <c:pt idx="1217">
                  <c:v>24.033050394191257</c:v>
                </c:pt>
                <c:pt idx="1218">
                  <c:v>24.033050394191257</c:v>
                </c:pt>
                <c:pt idx="1219">
                  <c:v>24.033050394191257</c:v>
                </c:pt>
                <c:pt idx="1220">
                  <c:v>24.033050394191257</c:v>
                </c:pt>
                <c:pt idx="1221">
                  <c:v>24.033050394191257</c:v>
                </c:pt>
                <c:pt idx="1222">
                  <c:v>24.033050394191257</c:v>
                </c:pt>
                <c:pt idx="1223">
                  <c:v>24.033050394191257</c:v>
                </c:pt>
                <c:pt idx="1224">
                  <c:v>24.033050394191257</c:v>
                </c:pt>
                <c:pt idx="1225">
                  <c:v>24.033050394191257</c:v>
                </c:pt>
                <c:pt idx="1226">
                  <c:v>24.033050394191257</c:v>
                </c:pt>
                <c:pt idx="1227">
                  <c:v>24.033050394191257</c:v>
                </c:pt>
                <c:pt idx="1228">
                  <c:v>24.033050394191257</c:v>
                </c:pt>
                <c:pt idx="1229">
                  <c:v>24.033050394191257</c:v>
                </c:pt>
                <c:pt idx="1230">
                  <c:v>24.033050394191257</c:v>
                </c:pt>
                <c:pt idx="1231">
                  <c:v>24.033050394191257</c:v>
                </c:pt>
                <c:pt idx="1232">
                  <c:v>24.033050394191257</c:v>
                </c:pt>
                <c:pt idx="1233">
                  <c:v>24.033050394191257</c:v>
                </c:pt>
                <c:pt idx="1234">
                  <c:v>24.033050394191257</c:v>
                </c:pt>
                <c:pt idx="1235">
                  <c:v>24.033050394191257</c:v>
                </c:pt>
                <c:pt idx="1236">
                  <c:v>24.033050394191257</c:v>
                </c:pt>
                <c:pt idx="1237">
                  <c:v>24.033050394191257</c:v>
                </c:pt>
                <c:pt idx="1238">
                  <c:v>24.033050394191257</c:v>
                </c:pt>
                <c:pt idx="1239">
                  <c:v>24.033050394191257</c:v>
                </c:pt>
                <c:pt idx="1240">
                  <c:v>24.033050394191257</c:v>
                </c:pt>
                <c:pt idx="1241">
                  <c:v>24.033050394191257</c:v>
                </c:pt>
                <c:pt idx="1242">
                  <c:v>24.033050394191257</c:v>
                </c:pt>
                <c:pt idx="1243">
                  <c:v>24.033050394191257</c:v>
                </c:pt>
                <c:pt idx="1244">
                  <c:v>24.033050394191257</c:v>
                </c:pt>
                <c:pt idx="1245">
                  <c:v>24.033050394191257</c:v>
                </c:pt>
                <c:pt idx="1246">
                  <c:v>24.033050394191257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53-47A4-A715-399800330104}"/>
            </c:ext>
          </c:extLst>
        </c:ser>
        <c:ser>
          <c:idx val="5"/>
          <c:order val="4"/>
          <c:tx>
            <c:strRef>
              <c:f>'FX Data'!$G$956</c:f>
              <c:strCache>
                <c:ptCount val="1"/>
                <c:pt idx="0">
                  <c:v>=+2sd</c:v>
                </c:pt>
              </c:strCache>
            </c:strRef>
          </c:tx>
          <c:spPr>
            <a:ln w="19050" cap="rnd">
              <a:solidFill>
                <a:sysClr val="window" lastClr="FFFFFF">
                  <a:lumMod val="75000"/>
                </a:sysClr>
              </a:solidFill>
              <a:round/>
            </a:ln>
            <a:effectLst/>
          </c:spPr>
          <c:marker>
            <c:symbol val="none"/>
          </c:marker>
          <c:cat>
            <c:numRef>
              <c:f>'FX Data'!$B$957:$B$2204</c:f>
              <c:numCache>
                <c:formatCode>m/d/yyyy</c:formatCode>
                <c:ptCount val="1248"/>
                <c:pt idx="0">
                  <c:v>44263</c:v>
                </c:pt>
                <c:pt idx="1">
                  <c:v>44264</c:v>
                </c:pt>
                <c:pt idx="2">
                  <c:v>44265</c:v>
                </c:pt>
                <c:pt idx="3">
                  <c:v>44266</c:v>
                </c:pt>
                <c:pt idx="4">
                  <c:v>44267</c:v>
                </c:pt>
                <c:pt idx="5">
                  <c:v>44270</c:v>
                </c:pt>
                <c:pt idx="6">
                  <c:v>44271</c:v>
                </c:pt>
                <c:pt idx="7">
                  <c:v>44272</c:v>
                </c:pt>
                <c:pt idx="8">
                  <c:v>44273</c:v>
                </c:pt>
                <c:pt idx="9">
                  <c:v>44274</c:v>
                </c:pt>
                <c:pt idx="10">
                  <c:v>44277</c:v>
                </c:pt>
                <c:pt idx="11">
                  <c:v>44278</c:v>
                </c:pt>
                <c:pt idx="12">
                  <c:v>44279</c:v>
                </c:pt>
                <c:pt idx="13">
                  <c:v>44280</c:v>
                </c:pt>
                <c:pt idx="14">
                  <c:v>44281</c:v>
                </c:pt>
                <c:pt idx="15">
                  <c:v>44284</c:v>
                </c:pt>
                <c:pt idx="16">
                  <c:v>44285</c:v>
                </c:pt>
                <c:pt idx="17">
                  <c:v>44286</c:v>
                </c:pt>
                <c:pt idx="18">
                  <c:v>44287</c:v>
                </c:pt>
                <c:pt idx="19">
                  <c:v>44288</c:v>
                </c:pt>
                <c:pt idx="20">
                  <c:v>44291</c:v>
                </c:pt>
                <c:pt idx="21">
                  <c:v>44292</c:v>
                </c:pt>
                <c:pt idx="22">
                  <c:v>44293</c:v>
                </c:pt>
                <c:pt idx="23">
                  <c:v>44294</c:v>
                </c:pt>
                <c:pt idx="24">
                  <c:v>44295</c:v>
                </c:pt>
                <c:pt idx="25">
                  <c:v>44298</c:v>
                </c:pt>
                <c:pt idx="26">
                  <c:v>44299</c:v>
                </c:pt>
                <c:pt idx="27">
                  <c:v>44300</c:v>
                </c:pt>
                <c:pt idx="28">
                  <c:v>44301</c:v>
                </c:pt>
                <c:pt idx="29">
                  <c:v>44302</c:v>
                </c:pt>
                <c:pt idx="30">
                  <c:v>44305</c:v>
                </c:pt>
                <c:pt idx="31">
                  <c:v>44306</c:v>
                </c:pt>
                <c:pt idx="32">
                  <c:v>44308</c:v>
                </c:pt>
                <c:pt idx="33">
                  <c:v>44309</c:v>
                </c:pt>
                <c:pt idx="34">
                  <c:v>44312</c:v>
                </c:pt>
                <c:pt idx="35">
                  <c:v>44313</c:v>
                </c:pt>
                <c:pt idx="36">
                  <c:v>44314</c:v>
                </c:pt>
                <c:pt idx="37">
                  <c:v>44315</c:v>
                </c:pt>
                <c:pt idx="38">
                  <c:v>44320</c:v>
                </c:pt>
                <c:pt idx="39">
                  <c:v>44321</c:v>
                </c:pt>
                <c:pt idx="40">
                  <c:v>44322</c:v>
                </c:pt>
                <c:pt idx="41">
                  <c:v>44323</c:v>
                </c:pt>
                <c:pt idx="42">
                  <c:v>44326</c:v>
                </c:pt>
                <c:pt idx="43">
                  <c:v>44327</c:v>
                </c:pt>
                <c:pt idx="44">
                  <c:v>44328</c:v>
                </c:pt>
                <c:pt idx="45">
                  <c:v>44329</c:v>
                </c:pt>
                <c:pt idx="46">
                  <c:v>44330</c:v>
                </c:pt>
                <c:pt idx="47">
                  <c:v>44333</c:v>
                </c:pt>
                <c:pt idx="48">
                  <c:v>44334</c:v>
                </c:pt>
                <c:pt idx="49">
                  <c:v>44335</c:v>
                </c:pt>
                <c:pt idx="50">
                  <c:v>44336</c:v>
                </c:pt>
                <c:pt idx="51">
                  <c:v>44337</c:v>
                </c:pt>
                <c:pt idx="52">
                  <c:v>44340</c:v>
                </c:pt>
                <c:pt idx="53">
                  <c:v>44341</c:v>
                </c:pt>
                <c:pt idx="54">
                  <c:v>44342</c:v>
                </c:pt>
                <c:pt idx="55">
                  <c:v>44343</c:v>
                </c:pt>
                <c:pt idx="56">
                  <c:v>44344</c:v>
                </c:pt>
                <c:pt idx="57">
                  <c:v>44347</c:v>
                </c:pt>
                <c:pt idx="58">
                  <c:v>44348</c:v>
                </c:pt>
                <c:pt idx="59">
                  <c:v>44349</c:v>
                </c:pt>
                <c:pt idx="60">
                  <c:v>44350</c:v>
                </c:pt>
                <c:pt idx="61">
                  <c:v>44351</c:v>
                </c:pt>
                <c:pt idx="62">
                  <c:v>44354</c:v>
                </c:pt>
                <c:pt idx="63">
                  <c:v>44355</c:v>
                </c:pt>
                <c:pt idx="64">
                  <c:v>44356</c:v>
                </c:pt>
                <c:pt idx="65">
                  <c:v>44357</c:v>
                </c:pt>
                <c:pt idx="66">
                  <c:v>44358</c:v>
                </c:pt>
                <c:pt idx="67">
                  <c:v>44361</c:v>
                </c:pt>
                <c:pt idx="68">
                  <c:v>44362</c:v>
                </c:pt>
                <c:pt idx="69">
                  <c:v>44363</c:v>
                </c:pt>
                <c:pt idx="70">
                  <c:v>44364</c:v>
                </c:pt>
                <c:pt idx="71">
                  <c:v>44365</c:v>
                </c:pt>
                <c:pt idx="72">
                  <c:v>44368</c:v>
                </c:pt>
                <c:pt idx="73">
                  <c:v>44369</c:v>
                </c:pt>
                <c:pt idx="74">
                  <c:v>44370</c:v>
                </c:pt>
                <c:pt idx="75">
                  <c:v>44371</c:v>
                </c:pt>
                <c:pt idx="76">
                  <c:v>44372</c:v>
                </c:pt>
                <c:pt idx="77">
                  <c:v>44375</c:v>
                </c:pt>
                <c:pt idx="78">
                  <c:v>44376</c:v>
                </c:pt>
                <c:pt idx="79">
                  <c:v>44377</c:v>
                </c:pt>
                <c:pt idx="80">
                  <c:v>44378</c:v>
                </c:pt>
                <c:pt idx="81">
                  <c:v>44379</c:v>
                </c:pt>
                <c:pt idx="82">
                  <c:v>44382</c:v>
                </c:pt>
                <c:pt idx="83">
                  <c:v>44383</c:v>
                </c:pt>
                <c:pt idx="84">
                  <c:v>44384</c:v>
                </c:pt>
                <c:pt idx="85">
                  <c:v>44385</c:v>
                </c:pt>
                <c:pt idx="86">
                  <c:v>44386</c:v>
                </c:pt>
                <c:pt idx="87">
                  <c:v>44389</c:v>
                </c:pt>
                <c:pt idx="88">
                  <c:v>44390</c:v>
                </c:pt>
                <c:pt idx="89">
                  <c:v>44391</c:v>
                </c:pt>
                <c:pt idx="90">
                  <c:v>44392</c:v>
                </c:pt>
                <c:pt idx="91">
                  <c:v>44393</c:v>
                </c:pt>
                <c:pt idx="92">
                  <c:v>44396</c:v>
                </c:pt>
                <c:pt idx="93">
                  <c:v>44397</c:v>
                </c:pt>
                <c:pt idx="94">
                  <c:v>44398</c:v>
                </c:pt>
                <c:pt idx="95">
                  <c:v>44399</c:v>
                </c:pt>
                <c:pt idx="96">
                  <c:v>44400</c:v>
                </c:pt>
                <c:pt idx="97">
                  <c:v>44403</c:v>
                </c:pt>
                <c:pt idx="98">
                  <c:v>44404</c:v>
                </c:pt>
                <c:pt idx="99">
                  <c:v>44405</c:v>
                </c:pt>
                <c:pt idx="100">
                  <c:v>44406</c:v>
                </c:pt>
                <c:pt idx="101">
                  <c:v>44407</c:v>
                </c:pt>
                <c:pt idx="102">
                  <c:v>44410</c:v>
                </c:pt>
                <c:pt idx="103">
                  <c:v>44411</c:v>
                </c:pt>
                <c:pt idx="104">
                  <c:v>44412</c:v>
                </c:pt>
                <c:pt idx="105">
                  <c:v>44413</c:v>
                </c:pt>
                <c:pt idx="106">
                  <c:v>44414</c:v>
                </c:pt>
                <c:pt idx="107">
                  <c:v>44417</c:v>
                </c:pt>
                <c:pt idx="108">
                  <c:v>44418</c:v>
                </c:pt>
                <c:pt idx="109">
                  <c:v>44419</c:v>
                </c:pt>
                <c:pt idx="110">
                  <c:v>44420</c:v>
                </c:pt>
                <c:pt idx="111">
                  <c:v>44421</c:v>
                </c:pt>
                <c:pt idx="112">
                  <c:v>44424</c:v>
                </c:pt>
                <c:pt idx="113">
                  <c:v>44425</c:v>
                </c:pt>
                <c:pt idx="114">
                  <c:v>44426</c:v>
                </c:pt>
                <c:pt idx="115">
                  <c:v>44427</c:v>
                </c:pt>
                <c:pt idx="116">
                  <c:v>44428</c:v>
                </c:pt>
                <c:pt idx="117">
                  <c:v>44431</c:v>
                </c:pt>
                <c:pt idx="118">
                  <c:v>44432</c:v>
                </c:pt>
                <c:pt idx="119">
                  <c:v>44433</c:v>
                </c:pt>
                <c:pt idx="120">
                  <c:v>44434</c:v>
                </c:pt>
                <c:pt idx="121">
                  <c:v>44435</c:v>
                </c:pt>
                <c:pt idx="122">
                  <c:v>44438</c:v>
                </c:pt>
                <c:pt idx="123">
                  <c:v>44439</c:v>
                </c:pt>
                <c:pt idx="124">
                  <c:v>44440</c:v>
                </c:pt>
                <c:pt idx="125">
                  <c:v>44445</c:v>
                </c:pt>
                <c:pt idx="126">
                  <c:v>44446</c:v>
                </c:pt>
                <c:pt idx="127">
                  <c:v>44447</c:v>
                </c:pt>
                <c:pt idx="128">
                  <c:v>44448</c:v>
                </c:pt>
                <c:pt idx="129">
                  <c:v>44449</c:v>
                </c:pt>
                <c:pt idx="130">
                  <c:v>44452</c:v>
                </c:pt>
                <c:pt idx="131">
                  <c:v>44453</c:v>
                </c:pt>
                <c:pt idx="132">
                  <c:v>44454</c:v>
                </c:pt>
                <c:pt idx="133">
                  <c:v>44455</c:v>
                </c:pt>
                <c:pt idx="134">
                  <c:v>44456</c:v>
                </c:pt>
                <c:pt idx="135">
                  <c:v>44459</c:v>
                </c:pt>
                <c:pt idx="136">
                  <c:v>44460</c:v>
                </c:pt>
                <c:pt idx="137">
                  <c:v>44461</c:v>
                </c:pt>
                <c:pt idx="138">
                  <c:v>44462</c:v>
                </c:pt>
                <c:pt idx="139">
                  <c:v>44463</c:v>
                </c:pt>
                <c:pt idx="140">
                  <c:v>44466</c:v>
                </c:pt>
                <c:pt idx="141">
                  <c:v>44467</c:v>
                </c:pt>
                <c:pt idx="142">
                  <c:v>44468</c:v>
                </c:pt>
                <c:pt idx="143">
                  <c:v>44469</c:v>
                </c:pt>
                <c:pt idx="144">
                  <c:v>44470</c:v>
                </c:pt>
                <c:pt idx="145">
                  <c:v>44473</c:v>
                </c:pt>
                <c:pt idx="146">
                  <c:v>44474</c:v>
                </c:pt>
                <c:pt idx="147">
                  <c:v>44475</c:v>
                </c:pt>
                <c:pt idx="148">
                  <c:v>44476</c:v>
                </c:pt>
                <c:pt idx="149">
                  <c:v>44477</c:v>
                </c:pt>
                <c:pt idx="150">
                  <c:v>44480</c:v>
                </c:pt>
                <c:pt idx="151">
                  <c:v>44481</c:v>
                </c:pt>
                <c:pt idx="152">
                  <c:v>44482</c:v>
                </c:pt>
                <c:pt idx="153">
                  <c:v>44483</c:v>
                </c:pt>
                <c:pt idx="154">
                  <c:v>44484</c:v>
                </c:pt>
                <c:pt idx="155">
                  <c:v>44487</c:v>
                </c:pt>
                <c:pt idx="156">
                  <c:v>44488</c:v>
                </c:pt>
                <c:pt idx="157">
                  <c:v>44489</c:v>
                </c:pt>
                <c:pt idx="158">
                  <c:v>44490</c:v>
                </c:pt>
                <c:pt idx="159">
                  <c:v>44491</c:v>
                </c:pt>
                <c:pt idx="160">
                  <c:v>44494</c:v>
                </c:pt>
                <c:pt idx="161">
                  <c:v>44495</c:v>
                </c:pt>
                <c:pt idx="162">
                  <c:v>44496</c:v>
                </c:pt>
                <c:pt idx="163">
                  <c:v>44497</c:v>
                </c:pt>
                <c:pt idx="164">
                  <c:v>44498</c:v>
                </c:pt>
                <c:pt idx="165">
                  <c:v>44501</c:v>
                </c:pt>
                <c:pt idx="166">
                  <c:v>44502</c:v>
                </c:pt>
                <c:pt idx="167">
                  <c:v>44503</c:v>
                </c:pt>
                <c:pt idx="168">
                  <c:v>44504</c:v>
                </c:pt>
                <c:pt idx="169">
                  <c:v>44505</c:v>
                </c:pt>
                <c:pt idx="170">
                  <c:v>44508</c:v>
                </c:pt>
                <c:pt idx="171">
                  <c:v>44509</c:v>
                </c:pt>
                <c:pt idx="172">
                  <c:v>44510</c:v>
                </c:pt>
                <c:pt idx="173">
                  <c:v>44511</c:v>
                </c:pt>
                <c:pt idx="174">
                  <c:v>44512</c:v>
                </c:pt>
                <c:pt idx="175">
                  <c:v>44515</c:v>
                </c:pt>
                <c:pt idx="176">
                  <c:v>44516</c:v>
                </c:pt>
                <c:pt idx="177">
                  <c:v>44517</c:v>
                </c:pt>
                <c:pt idx="178">
                  <c:v>44518</c:v>
                </c:pt>
                <c:pt idx="179">
                  <c:v>44519</c:v>
                </c:pt>
                <c:pt idx="180">
                  <c:v>44522</c:v>
                </c:pt>
                <c:pt idx="181">
                  <c:v>44523</c:v>
                </c:pt>
                <c:pt idx="182">
                  <c:v>44524</c:v>
                </c:pt>
                <c:pt idx="183">
                  <c:v>44525</c:v>
                </c:pt>
                <c:pt idx="184">
                  <c:v>44526</c:v>
                </c:pt>
                <c:pt idx="185">
                  <c:v>44529</c:v>
                </c:pt>
                <c:pt idx="186">
                  <c:v>44530</c:v>
                </c:pt>
                <c:pt idx="187">
                  <c:v>44531</c:v>
                </c:pt>
                <c:pt idx="188">
                  <c:v>44532</c:v>
                </c:pt>
                <c:pt idx="189">
                  <c:v>44533</c:v>
                </c:pt>
                <c:pt idx="190">
                  <c:v>44536</c:v>
                </c:pt>
                <c:pt idx="191">
                  <c:v>44537</c:v>
                </c:pt>
                <c:pt idx="192">
                  <c:v>44538</c:v>
                </c:pt>
                <c:pt idx="193">
                  <c:v>44539</c:v>
                </c:pt>
                <c:pt idx="194">
                  <c:v>44540</c:v>
                </c:pt>
                <c:pt idx="195">
                  <c:v>44543</c:v>
                </c:pt>
                <c:pt idx="196">
                  <c:v>44544</c:v>
                </c:pt>
                <c:pt idx="197">
                  <c:v>44545</c:v>
                </c:pt>
                <c:pt idx="198">
                  <c:v>44546</c:v>
                </c:pt>
                <c:pt idx="199">
                  <c:v>44547</c:v>
                </c:pt>
                <c:pt idx="200">
                  <c:v>44550</c:v>
                </c:pt>
                <c:pt idx="201">
                  <c:v>44551</c:v>
                </c:pt>
                <c:pt idx="202">
                  <c:v>44552</c:v>
                </c:pt>
                <c:pt idx="203">
                  <c:v>44553</c:v>
                </c:pt>
                <c:pt idx="204">
                  <c:v>44554</c:v>
                </c:pt>
                <c:pt idx="205">
                  <c:v>44557</c:v>
                </c:pt>
                <c:pt idx="206">
                  <c:v>44558</c:v>
                </c:pt>
                <c:pt idx="207">
                  <c:v>44559</c:v>
                </c:pt>
                <c:pt idx="208">
                  <c:v>44560</c:v>
                </c:pt>
                <c:pt idx="209">
                  <c:v>44561</c:v>
                </c:pt>
                <c:pt idx="210">
                  <c:v>44565</c:v>
                </c:pt>
                <c:pt idx="211">
                  <c:v>44566</c:v>
                </c:pt>
                <c:pt idx="212">
                  <c:v>44567</c:v>
                </c:pt>
                <c:pt idx="213">
                  <c:v>44568</c:v>
                </c:pt>
                <c:pt idx="214">
                  <c:v>44571</c:v>
                </c:pt>
                <c:pt idx="215">
                  <c:v>44572</c:v>
                </c:pt>
                <c:pt idx="216">
                  <c:v>44573</c:v>
                </c:pt>
                <c:pt idx="217">
                  <c:v>44574</c:v>
                </c:pt>
                <c:pt idx="218">
                  <c:v>44575</c:v>
                </c:pt>
                <c:pt idx="219">
                  <c:v>44578</c:v>
                </c:pt>
                <c:pt idx="220">
                  <c:v>44579</c:v>
                </c:pt>
                <c:pt idx="221">
                  <c:v>44580</c:v>
                </c:pt>
                <c:pt idx="222">
                  <c:v>44581</c:v>
                </c:pt>
                <c:pt idx="223">
                  <c:v>44582</c:v>
                </c:pt>
                <c:pt idx="224">
                  <c:v>44585</c:v>
                </c:pt>
                <c:pt idx="225">
                  <c:v>44586</c:v>
                </c:pt>
                <c:pt idx="226">
                  <c:v>44587</c:v>
                </c:pt>
                <c:pt idx="227">
                  <c:v>44588</c:v>
                </c:pt>
                <c:pt idx="228">
                  <c:v>44589</c:v>
                </c:pt>
                <c:pt idx="229">
                  <c:v>44599</c:v>
                </c:pt>
                <c:pt idx="230">
                  <c:v>44600</c:v>
                </c:pt>
                <c:pt idx="231">
                  <c:v>44601</c:v>
                </c:pt>
                <c:pt idx="232">
                  <c:v>44602</c:v>
                </c:pt>
                <c:pt idx="233">
                  <c:v>44603</c:v>
                </c:pt>
                <c:pt idx="234">
                  <c:v>44606</c:v>
                </c:pt>
                <c:pt idx="235">
                  <c:v>44607</c:v>
                </c:pt>
                <c:pt idx="236">
                  <c:v>44608</c:v>
                </c:pt>
                <c:pt idx="237">
                  <c:v>44609</c:v>
                </c:pt>
                <c:pt idx="238">
                  <c:v>44610</c:v>
                </c:pt>
                <c:pt idx="239">
                  <c:v>44613</c:v>
                </c:pt>
                <c:pt idx="240">
                  <c:v>44614</c:v>
                </c:pt>
                <c:pt idx="241">
                  <c:v>44615</c:v>
                </c:pt>
                <c:pt idx="242">
                  <c:v>44616</c:v>
                </c:pt>
                <c:pt idx="243">
                  <c:v>44617</c:v>
                </c:pt>
                <c:pt idx="244">
                  <c:v>44620</c:v>
                </c:pt>
                <c:pt idx="245">
                  <c:v>44621</c:v>
                </c:pt>
                <c:pt idx="246">
                  <c:v>44622</c:v>
                </c:pt>
                <c:pt idx="247">
                  <c:v>44623</c:v>
                </c:pt>
                <c:pt idx="248">
                  <c:v>44624</c:v>
                </c:pt>
                <c:pt idx="249">
                  <c:v>44627</c:v>
                </c:pt>
                <c:pt idx="250">
                  <c:v>44628</c:v>
                </c:pt>
                <c:pt idx="251">
                  <c:v>44629</c:v>
                </c:pt>
                <c:pt idx="252">
                  <c:v>44630</c:v>
                </c:pt>
                <c:pt idx="253">
                  <c:v>44631</c:v>
                </c:pt>
                <c:pt idx="254">
                  <c:v>44634</c:v>
                </c:pt>
                <c:pt idx="255">
                  <c:v>44635</c:v>
                </c:pt>
                <c:pt idx="256">
                  <c:v>44636</c:v>
                </c:pt>
                <c:pt idx="257">
                  <c:v>44637</c:v>
                </c:pt>
                <c:pt idx="258">
                  <c:v>44638</c:v>
                </c:pt>
                <c:pt idx="259">
                  <c:v>44641</c:v>
                </c:pt>
                <c:pt idx="260">
                  <c:v>44642</c:v>
                </c:pt>
                <c:pt idx="261">
                  <c:v>44643</c:v>
                </c:pt>
                <c:pt idx="262">
                  <c:v>44644</c:v>
                </c:pt>
                <c:pt idx="263">
                  <c:v>44645</c:v>
                </c:pt>
                <c:pt idx="264">
                  <c:v>44648</c:v>
                </c:pt>
                <c:pt idx="265">
                  <c:v>44649</c:v>
                </c:pt>
                <c:pt idx="266">
                  <c:v>44650</c:v>
                </c:pt>
                <c:pt idx="267">
                  <c:v>44651</c:v>
                </c:pt>
                <c:pt idx="268">
                  <c:v>44652</c:v>
                </c:pt>
                <c:pt idx="269">
                  <c:v>44655</c:v>
                </c:pt>
                <c:pt idx="270">
                  <c:v>44656</c:v>
                </c:pt>
                <c:pt idx="271">
                  <c:v>44657</c:v>
                </c:pt>
                <c:pt idx="272">
                  <c:v>44658</c:v>
                </c:pt>
                <c:pt idx="273">
                  <c:v>44659</c:v>
                </c:pt>
                <c:pt idx="274">
                  <c:v>44663</c:v>
                </c:pt>
                <c:pt idx="275">
                  <c:v>44664</c:v>
                </c:pt>
                <c:pt idx="276">
                  <c:v>44665</c:v>
                </c:pt>
                <c:pt idx="277">
                  <c:v>44666</c:v>
                </c:pt>
                <c:pt idx="278">
                  <c:v>44669</c:v>
                </c:pt>
                <c:pt idx="279">
                  <c:v>44670</c:v>
                </c:pt>
                <c:pt idx="280">
                  <c:v>44671</c:v>
                </c:pt>
                <c:pt idx="281">
                  <c:v>44672</c:v>
                </c:pt>
                <c:pt idx="282">
                  <c:v>44673</c:v>
                </c:pt>
                <c:pt idx="283">
                  <c:v>44676</c:v>
                </c:pt>
                <c:pt idx="284">
                  <c:v>44677</c:v>
                </c:pt>
                <c:pt idx="285">
                  <c:v>44678</c:v>
                </c:pt>
                <c:pt idx="286">
                  <c:v>44679</c:v>
                </c:pt>
                <c:pt idx="287">
                  <c:v>44680</c:v>
                </c:pt>
                <c:pt idx="288">
                  <c:v>44685</c:v>
                </c:pt>
                <c:pt idx="289">
                  <c:v>44686</c:v>
                </c:pt>
                <c:pt idx="290">
                  <c:v>44687</c:v>
                </c:pt>
                <c:pt idx="291">
                  <c:v>44690</c:v>
                </c:pt>
                <c:pt idx="292">
                  <c:v>44691</c:v>
                </c:pt>
                <c:pt idx="293">
                  <c:v>44692</c:v>
                </c:pt>
                <c:pt idx="294">
                  <c:v>44693</c:v>
                </c:pt>
                <c:pt idx="295">
                  <c:v>44694</c:v>
                </c:pt>
                <c:pt idx="296">
                  <c:v>44697</c:v>
                </c:pt>
                <c:pt idx="297">
                  <c:v>44698</c:v>
                </c:pt>
                <c:pt idx="298">
                  <c:v>44699</c:v>
                </c:pt>
                <c:pt idx="299">
                  <c:v>44700</c:v>
                </c:pt>
                <c:pt idx="300">
                  <c:v>44701</c:v>
                </c:pt>
                <c:pt idx="301">
                  <c:v>44704</c:v>
                </c:pt>
                <c:pt idx="302">
                  <c:v>44705</c:v>
                </c:pt>
                <c:pt idx="303">
                  <c:v>44706</c:v>
                </c:pt>
                <c:pt idx="304">
                  <c:v>44707</c:v>
                </c:pt>
                <c:pt idx="305">
                  <c:v>44708</c:v>
                </c:pt>
                <c:pt idx="306">
                  <c:v>44711</c:v>
                </c:pt>
                <c:pt idx="307">
                  <c:v>44712</c:v>
                </c:pt>
                <c:pt idx="308">
                  <c:v>44713</c:v>
                </c:pt>
                <c:pt idx="309">
                  <c:v>44714</c:v>
                </c:pt>
                <c:pt idx="310">
                  <c:v>44715</c:v>
                </c:pt>
                <c:pt idx="311">
                  <c:v>44718</c:v>
                </c:pt>
                <c:pt idx="312">
                  <c:v>44719</c:v>
                </c:pt>
                <c:pt idx="313">
                  <c:v>44720</c:v>
                </c:pt>
                <c:pt idx="314">
                  <c:v>44721</c:v>
                </c:pt>
                <c:pt idx="315">
                  <c:v>44722</c:v>
                </c:pt>
                <c:pt idx="316">
                  <c:v>44725</c:v>
                </c:pt>
                <c:pt idx="317">
                  <c:v>44726</c:v>
                </c:pt>
                <c:pt idx="318">
                  <c:v>44727</c:v>
                </c:pt>
                <c:pt idx="319">
                  <c:v>44728</c:v>
                </c:pt>
                <c:pt idx="320">
                  <c:v>44729</c:v>
                </c:pt>
                <c:pt idx="321">
                  <c:v>44732</c:v>
                </c:pt>
                <c:pt idx="322">
                  <c:v>44733</c:v>
                </c:pt>
                <c:pt idx="323">
                  <c:v>44734</c:v>
                </c:pt>
                <c:pt idx="324">
                  <c:v>44735</c:v>
                </c:pt>
                <c:pt idx="325">
                  <c:v>44736</c:v>
                </c:pt>
                <c:pt idx="326">
                  <c:v>44739</c:v>
                </c:pt>
                <c:pt idx="327">
                  <c:v>44740</c:v>
                </c:pt>
                <c:pt idx="328">
                  <c:v>44741</c:v>
                </c:pt>
                <c:pt idx="329">
                  <c:v>44742</c:v>
                </c:pt>
                <c:pt idx="330">
                  <c:v>44743</c:v>
                </c:pt>
                <c:pt idx="331">
                  <c:v>44746</c:v>
                </c:pt>
                <c:pt idx="332">
                  <c:v>44747</c:v>
                </c:pt>
                <c:pt idx="333">
                  <c:v>44748</c:v>
                </c:pt>
                <c:pt idx="334">
                  <c:v>44749</c:v>
                </c:pt>
                <c:pt idx="335">
                  <c:v>44750</c:v>
                </c:pt>
                <c:pt idx="336">
                  <c:v>44753</c:v>
                </c:pt>
                <c:pt idx="337">
                  <c:v>44754</c:v>
                </c:pt>
                <c:pt idx="338">
                  <c:v>44755</c:v>
                </c:pt>
                <c:pt idx="339">
                  <c:v>44756</c:v>
                </c:pt>
                <c:pt idx="340">
                  <c:v>44757</c:v>
                </c:pt>
                <c:pt idx="341">
                  <c:v>44760</c:v>
                </c:pt>
                <c:pt idx="342">
                  <c:v>44761</c:v>
                </c:pt>
                <c:pt idx="343">
                  <c:v>44762</c:v>
                </c:pt>
                <c:pt idx="344">
                  <c:v>44763</c:v>
                </c:pt>
                <c:pt idx="345">
                  <c:v>44764</c:v>
                </c:pt>
                <c:pt idx="346">
                  <c:v>44767</c:v>
                </c:pt>
                <c:pt idx="347">
                  <c:v>44768</c:v>
                </c:pt>
                <c:pt idx="348">
                  <c:v>44769</c:v>
                </c:pt>
                <c:pt idx="349">
                  <c:v>44770</c:v>
                </c:pt>
                <c:pt idx="350">
                  <c:v>44771</c:v>
                </c:pt>
                <c:pt idx="351">
                  <c:v>44774</c:v>
                </c:pt>
                <c:pt idx="352">
                  <c:v>44775</c:v>
                </c:pt>
                <c:pt idx="353">
                  <c:v>44776</c:v>
                </c:pt>
                <c:pt idx="354">
                  <c:v>44777</c:v>
                </c:pt>
                <c:pt idx="355">
                  <c:v>44778</c:v>
                </c:pt>
                <c:pt idx="356">
                  <c:v>44781</c:v>
                </c:pt>
                <c:pt idx="357">
                  <c:v>44782</c:v>
                </c:pt>
                <c:pt idx="358">
                  <c:v>44783</c:v>
                </c:pt>
                <c:pt idx="359">
                  <c:v>44784</c:v>
                </c:pt>
                <c:pt idx="360">
                  <c:v>44785</c:v>
                </c:pt>
                <c:pt idx="361">
                  <c:v>44788</c:v>
                </c:pt>
                <c:pt idx="362">
                  <c:v>44789</c:v>
                </c:pt>
                <c:pt idx="363">
                  <c:v>44790</c:v>
                </c:pt>
                <c:pt idx="364">
                  <c:v>44791</c:v>
                </c:pt>
                <c:pt idx="365">
                  <c:v>44792</c:v>
                </c:pt>
                <c:pt idx="366">
                  <c:v>44795</c:v>
                </c:pt>
                <c:pt idx="367">
                  <c:v>44796</c:v>
                </c:pt>
                <c:pt idx="368">
                  <c:v>44797</c:v>
                </c:pt>
                <c:pt idx="369">
                  <c:v>44798</c:v>
                </c:pt>
                <c:pt idx="370">
                  <c:v>44799</c:v>
                </c:pt>
                <c:pt idx="371">
                  <c:v>44802</c:v>
                </c:pt>
                <c:pt idx="372">
                  <c:v>44803</c:v>
                </c:pt>
                <c:pt idx="373">
                  <c:v>44804</c:v>
                </c:pt>
                <c:pt idx="374">
                  <c:v>44809</c:v>
                </c:pt>
                <c:pt idx="375">
                  <c:v>44810</c:v>
                </c:pt>
                <c:pt idx="376">
                  <c:v>44811</c:v>
                </c:pt>
                <c:pt idx="377">
                  <c:v>44812</c:v>
                </c:pt>
                <c:pt idx="378">
                  <c:v>44813</c:v>
                </c:pt>
                <c:pt idx="379">
                  <c:v>44816</c:v>
                </c:pt>
                <c:pt idx="380">
                  <c:v>44817</c:v>
                </c:pt>
                <c:pt idx="381">
                  <c:v>44818</c:v>
                </c:pt>
                <c:pt idx="382">
                  <c:v>44819</c:v>
                </c:pt>
                <c:pt idx="383">
                  <c:v>44820</c:v>
                </c:pt>
                <c:pt idx="384">
                  <c:v>44823</c:v>
                </c:pt>
                <c:pt idx="385">
                  <c:v>44824</c:v>
                </c:pt>
                <c:pt idx="386">
                  <c:v>44825</c:v>
                </c:pt>
                <c:pt idx="387">
                  <c:v>44826</c:v>
                </c:pt>
                <c:pt idx="388">
                  <c:v>44827</c:v>
                </c:pt>
                <c:pt idx="389">
                  <c:v>44830</c:v>
                </c:pt>
                <c:pt idx="390">
                  <c:v>44831</c:v>
                </c:pt>
                <c:pt idx="391">
                  <c:v>44832</c:v>
                </c:pt>
                <c:pt idx="392">
                  <c:v>44833</c:v>
                </c:pt>
                <c:pt idx="393">
                  <c:v>44834</c:v>
                </c:pt>
                <c:pt idx="394">
                  <c:v>44837</c:v>
                </c:pt>
                <c:pt idx="395">
                  <c:v>44838</c:v>
                </c:pt>
                <c:pt idx="396">
                  <c:v>44839</c:v>
                </c:pt>
                <c:pt idx="397">
                  <c:v>44840</c:v>
                </c:pt>
                <c:pt idx="398">
                  <c:v>44841</c:v>
                </c:pt>
                <c:pt idx="399">
                  <c:v>44844</c:v>
                </c:pt>
                <c:pt idx="400">
                  <c:v>44845</c:v>
                </c:pt>
                <c:pt idx="401">
                  <c:v>44846</c:v>
                </c:pt>
                <c:pt idx="402">
                  <c:v>44847</c:v>
                </c:pt>
                <c:pt idx="403">
                  <c:v>44848</c:v>
                </c:pt>
                <c:pt idx="404">
                  <c:v>44851</c:v>
                </c:pt>
                <c:pt idx="405">
                  <c:v>44852</c:v>
                </c:pt>
                <c:pt idx="406">
                  <c:v>44853</c:v>
                </c:pt>
                <c:pt idx="407">
                  <c:v>44854</c:v>
                </c:pt>
                <c:pt idx="408">
                  <c:v>44855</c:v>
                </c:pt>
                <c:pt idx="409">
                  <c:v>44858</c:v>
                </c:pt>
                <c:pt idx="410">
                  <c:v>44859</c:v>
                </c:pt>
                <c:pt idx="411">
                  <c:v>44860</c:v>
                </c:pt>
                <c:pt idx="412">
                  <c:v>44861</c:v>
                </c:pt>
                <c:pt idx="413">
                  <c:v>44862</c:v>
                </c:pt>
                <c:pt idx="414">
                  <c:v>44865</c:v>
                </c:pt>
                <c:pt idx="415">
                  <c:v>44866</c:v>
                </c:pt>
                <c:pt idx="416">
                  <c:v>44867</c:v>
                </c:pt>
                <c:pt idx="417">
                  <c:v>44868</c:v>
                </c:pt>
                <c:pt idx="418">
                  <c:v>44869</c:v>
                </c:pt>
                <c:pt idx="419">
                  <c:v>44872</c:v>
                </c:pt>
                <c:pt idx="420">
                  <c:v>44873</c:v>
                </c:pt>
                <c:pt idx="421">
                  <c:v>44874</c:v>
                </c:pt>
                <c:pt idx="422">
                  <c:v>44875</c:v>
                </c:pt>
                <c:pt idx="423">
                  <c:v>44876</c:v>
                </c:pt>
                <c:pt idx="424">
                  <c:v>44879</c:v>
                </c:pt>
                <c:pt idx="425">
                  <c:v>44880</c:v>
                </c:pt>
                <c:pt idx="426">
                  <c:v>44881</c:v>
                </c:pt>
                <c:pt idx="427">
                  <c:v>44882</c:v>
                </c:pt>
                <c:pt idx="428">
                  <c:v>44883</c:v>
                </c:pt>
                <c:pt idx="429">
                  <c:v>44886</c:v>
                </c:pt>
                <c:pt idx="430">
                  <c:v>44887</c:v>
                </c:pt>
                <c:pt idx="431">
                  <c:v>44888</c:v>
                </c:pt>
                <c:pt idx="432">
                  <c:v>44889</c:v>
                </c:pt>
                <c:pt idx="433">
                  <c:v>44890</c:v>
                </c:pt>
                <c:pt idx="434">
                  <c:v>44893</c:v>
                </c:pt>
                <c:pt idx="435">
                  <c:v>44894</c:v>
                </c:pt>
                <c:pt idx="436">
                  <c:v>44895</c:v>
                </c:pt>
                <c:pt idx="437">
                  <c:v>44896</c:v>
                </c:pt>
                <c:pt idx="438">
                  <c:v>44897</c:v>
                </c:pt>
                <c:pt idx="439">
                  <c:v>44900</c:v>
                </c:pt>
                <c:pt idx="440">
                  <c:v>44901</c:v>
                </c:pt>
                <c:pt idx="441">
                  <c:v>44902</c:v>
                </c:pt>
                <c:pt idx="442">
                  <c:v>44903</c:v>
                </c:pt>
                <c:pt idx="443">
                  <c:v>44904</c:v>
                </c:pt>
                <c:pt idx="444">
                  <c:v>44907</c:v>
                </c:pt>
                <c:pt idx="445">
                  <c:v>44908</c:v>
                </c:pt>
                <c:pt idx="446">
                  <c:v>44909</c:v>
                </c:pt>
                <c:pt idx="447">
                  <c:v>44910</c:v>
                </c:pt>
                <c:pt idx="448">
                  <c:v>44911</c:v>
                </c:pt>
                <c:pt idx="449">
                  <c:v>44914</c:v>
                </c:pt>
                <c:pt idx="450">
                  <c:v>44915</c:v>
                </c:pt>
                <c:pt idx="451">
                  <c:v>44916</c:v>
                </c:pt>
                <c:pt idx="452">
                  <c:v>44917</c:v>
                </c:pt>
                <c:pt idx="453">
                  <c:v>44918</c:v>
                </c:pt>
                <c:pt idx="454">
                  <c:v>44921</c:v>
                </c:pt>
                <c:pt idx="455">
                  <c:v>44922</c:v>
                </c:pt>
                <c:pt idx="456">
                  <c:v>44923</c:v>
                </c:pt>
                <c:pt idx="457">
                  <c:v>44924</c:v>
                </c:pt>
                <c:pt idx="458">
                  <c:v>44925</c:v>
                </c:pt>
                <c:pt idx="459">
                  <c:v>44929</c:v>
                </c:pt>
                <c:pt idx="460">
                  <c:v>44930</c:v>
                </c:pt>
                <c:pt idx="461">
                  <c:v>44931</c:v>
                </c:pt>
                <c:pt idx="462">
                  <c:v>44932</c:v>
                </c:pt>
                <c:pt idx="463">
                  <c:v>44935</c:v>
                </c:pt>
                <c:pt idx="464">
                  <c:v>44936</c:v>
                </c:pt>
                <c:pt idx="465">
                  <c:v>44937</c:v>
                </c:pt>
                <c:pt idx="466">
                  <c:v>44938</c:v>
                </c:pt>
                <c:pt idx="467">
                  <c:v>44939</c:v>
                </c:pt>
                <c:pt idx="468">
                  <c:v>44942</c:v>
                </c:pt>
                <c:pt idx="469">
                  <c:v>44943</c:v>
                </c:pt>
                <c:pt idx="470">
                  <c:v>44944</c:v>
                </c:pt>
                <c:pt idx="471">
                  <c:v>44945</c:v>
                </c:pt>
                <c:pt idx="472">
                  <c:v>44953</c:v>
                </c:pt>
                <c:pt idx="473">
                  <c:v>44956</c:v>
                </c:pt>
                <c:pt idx="474">
                  <c:v>44957</c:v>
                </c:pt>
                <c:pt idx="475">
                  <c:v>44958</c:v>
                </c:pt>
                <c:pt idx="476">
                  <c:v>44959</c:v>
                </c:pt>
                <c:pt idx="477">
                  <c:v>44960</c:v>
                </c:pt>
                <c:pt idx="478">
                  <c:v>44963</c:v>
                </c:pt>
                <c:pt idx="479">
                  <c:v>44964</c:v>
                </c:pt>
                <c:pt idx="480">
                  <c:v>44965</c:v>
                </c:pt>
                <c:pt idx="481">
                  <c:v>44966</c:v>
                </c:pt>
                <c:pt idx="482">
                  <c:v>44967</c:v>
                </c:pt>
                <c:pt idx="483">
                  <c:v>44970</c:v>
                </c:pt>
                <c:pt idx="484">
                  <c:v>44971</c:v>
                </c:pt>
                <c:pt idx="485">
                  <c:v>44972</c:v>
                </c:pt>
                <c:pt idx="486">
                  <c:v>44973</c:v>
                </c:pt>
                <c:pt idx="487">
                  <c:v>44974</c:v>
                </c:pt>
                <c:pt idx="488">
                  <c:v>44977</c:v>
                </c:pt>
                <c:pt idx="489">
                  <c:v>44978</c:v>
                </c:pt>
                <c:pt idx="490">
                  <c:v>44979</c:v>
                </c:pt>
                <c:pt idx="491">
                  <c:v>44980</c:v>
                </c:pt>
                <c:pt idx="492">
                  <c:v>44981</c:v>
                </c:pt>
                <c:pt idx="493">
                  <c:v>44984</c:v>
                </c:pt>
                <c:pt idx="494">
                  <c:v>44985</c:v>
                </c:pt>
                <c:pt idx="495">
                  <c:v>44986</c:v>
                </c:pt>
                <c:pt idx="496">
                  <c:v>44987</c:v>
                </c:pt>
                <c:pt idx="497">
                  <c:v>44988</c:v>
                </c:pt>
                <c:pt idx="498">
                  <c:v>44991</c:v>
                </c:pt>
                <c:pt idx="499">
                  <c:v>44992</c:v>
                </c:pt>
                <c:pt idx="500">
                  <c:v>44993</c:v>
                </c:pt>
                <c:pt idx="501">
                  <c:v>44994</c:v>
                </c:pt>
                <c:pt idx="502">
                  <c:v>44995</c:v>
                </c:pt>
                <c:pt idx="503">
                  <c:v>44998</c:v>
                </c:pt>
                <c:pt idx="504">
                  <c:v>44999</c:v>
                </c:pt>
                <c:pt idx="505">
                  <c:v>45000</c:v>
                </c:pt>
                <c:pt idx="506">
                  <c:v>45001</c:v>
                </c:pt>
                <c:pt idx="507">
                  <c:v>45002</c:v>
                </c:pt>
                <c:pt idx="508">
                  <c:v>45005</c:v>
                </c:pt>
                <c:pt idx="509">
                  <c:v>45006</c:v>
                </c:pt>
                <c:pt idx="510">
                  <c:v>45007</c:v>
                </c:pt>
                <c:pt idx="511">
                  <c:v>45008</c:v>
                </c:pt>
                <c:pt idx="512">
                  <c:v>45009</c:v>
                </c:pt>
                <c:pt idx="513">
                  <c:v>45012</c:v>
                </c:pt>
                <c:pt idx="514">
                  <c:v>45013</c:v>
                </c:pt>
                <c:pt idx="515">
                  <c:v>45014</c:v>
                </c:pt>
                <c:pt idx="516">
                  <c:v>45015</c:v>
                </c:pt>
                <c:pt idx="517">
                  <c:v>45016</c:v>
                </c:pt>
                <c:pt idx="518">
                  <c:v>45019</c:v>
                </c:pt>
                <c:pt idx="519">
                  <c:v>45020</c:v>
                </c:pt>
                <c:pt idx="520">
                  <c:v>45021</c:v>
                </c:pt>
                <c:pt idx="521">
                  <c:v>45022</c:v>
                </c:pt>
                <c:pt idx="522">
                  <c:v>45023</c:v>
                </c:pt>
                <c:pt idx="523">
                  <c:v>45026</c:v>
                </c:pt>
                <c:pt idx="524">
                  <c:v>45027</c:v>
                </c:pt>
                <c:pt idx="525">
                  <c:v>45028</c:v>
                </c:pt>
                <c:pt idx="526">
                  <c:v>45029</c:v>
                </c:pt>
                <c:pt idx="527">
                  <c:v>45030</c:v>
                </c:pt>
                <c:pt idx="528">
                  <c:v>45033</c:v>
                </c:pt>
                <c:pt idx="529">
                  <c:v>45034</c:v>
                </c:pt>
                <c:pt idx="530">
                  <c:v>45035</c:v>
                </c:pt>
                <c:pt idx="531">
                  <c:v>45036</c:v>
                </c:pt>
                <c:pt idx="532">
                  <c:v>45037</c:v>
                </c:pt>
                <c:pt idx="533">
                  <c:v>45040</c:v>
                </c:pt>
                <c:pt idx="534">
                  <c:v>45041</c:v>
                </c:pt>
                <c:pt idx="535">
                  <c:v>45042</c:v>
                </c:pt>
                <c:pt idx="536">
                  <c:v>45043</c:v>
                </c:pt>
                <c:pt idx="537">
                  <c:v>45044</c:v>
                </c:pt>
                <c:pt idx="538">
                  <c:v>45050</c:v>
                </c:pt>
                <c:pt idx="539">
                  <c:v>45051</c:v>
                </c:pt>
                <c:pt idx="540">
                  <c:v>45054</c:v>
                </c:pt>
                <c:pt idx="541">
                  <c:v>45055</c:v>
                </c:pt>
                <c:pt idx="542">
                  <c:v>45056</c:v>
                </c:pt>
                <c:pt idx="543">
                  <c:v>45057</c:v>
                </c:pt>
                <c:pt idx="544">
                  <c:v>45058</c:v>
                </c:pt>
                <c:pt idx="545">
                  <c:v>45061</c:v>
                </c:pt>
                <c:pt idx="546">
                  <c:v>45062</c:v>
                </c:pt>
                <c:pt idx="547">
                  <c:v>45063</c:v>
                </c:pt>
                <c:pt idx="548">
                  <c:v>45064</c:v>
                </c:pt>
                <c:pt idx="549">
                  <c:v>45065</c:v>
                </c:pt>
                <c:pt idx="550">
                  <c:v>45068</c:v>
                </c:pt>
                <c:pt idx="551">
                  <c:v>45069</c:v>
                </c:pt>
                <c:pt idx="552">
                  <c:v>45070</c:v>
                </c:pt>
                <c:pt idx="553">
                  <c:v>45071</c:v>
                </c:pt>
                <c:pt idx="554">
                  <c:v>45072</c:v>
                </c:pt>
                <c:pt idx="555">
                  <c:v>45075</c:v>
                </c:pt>
                <c:pt idx="556">
                  <c:v>45076</c:v>
                </c:pt>
                <c:pt idx="557">
                  <c:v>45077</c:v>
                </c:pt>
                <c:pt idx="558">
                  <c:v>45078</c:v>
                </c:pt>
                <c:pt idx="559">
                  <c:v>45079</c:v>
                </c:pt>
                <c:pt idx="560">
                  <c:v>45082</c:v>
                </c:pt>
                <c:pt idx="561">
                  <c:v>45083</c:v>
                </c:pt>
                <c:pt idx="562">
                  <c:v>45084</c:v>
                </c:pt>
                <c:pt idx="563">
                  <c:v>45085</c:v>
                </c:pt>
                <c:pt idx="564">
                  <c:v>45086</c:v>
                </c:pt>
                <c:pt idx="565">
                  <c:v>45089</c:v>
                </c:pt>
                <c:pt idx="566">
                  <c:v>45090</c:v>
                </c:pt>
                <c:pt idx="567">
                  <c:v>45091</c:v>
                </c:pt>
                <c:pt idx="568">
                  <c:v>45092</c:v>
                </c:pt>
                <c:pt idx="569">
                  <c:v>45093</c:v>
                </c:pt>
                <c:pt idx="570">
                  <c:v>45096</c:v>
                </c:pt>
                <c:pt idx="571">
                  <c:v>45097</c:v>
                </c:pt>
                <c:pt idx="572">
                  <c:v>45098</c:v>
                </c:pt>
                <c:pt idx="573">
                  <c:v>45099</c:v>
                </c:pt>
                <c:pt idx="574">
                  <c:v>45100</c:v>
                </c:pt>
                <c:pt idx="575">
                  <c:v>45103</c:v>
                </c:pt>
                <c:pt idx="576">
                  <c:v>45104</c:v>
                </c:pt>
                <c:pt idx="577">
                  <c:v>45105</c:v>
                </c:pt>
                <c:pt idx="578">
                  <c:v>45106</c:v>
                </c:pt>
                <c:pt idx="579">
                  <c:v>45107</c:v>
                </c:pt>
                <c:pt idx="580">
                  <c:v>45110</c:v>
                </c:pt>
                <c:pt idx="581">
                  <c:v>45111</c:v>
                </c:pt>
                <c:pt idx="582">
                  <c:v>45112</c:v>
                </c:pt>
                <c:pt idx="583">
                  <c:v>45113</c:v>
                </c:pt>
                <c:pt idx="584">
                  <c:v>45114</c:v>
                </c:pt>
                <c:pt idx="585">
                  <c:v>45117</c:v>
                </c:pt>
                <c:pt idx="586">
                  <c:v>45118</c:v>
                </c:pt>
                <c:pt idx="587">
                  <c:v>45119</c:v>
                </c:pt>
                <c:pt idx="588">
                  <c:v>45120</c:v>
                </c:pt>
                <c:pt idx="589">
                  <c:v>45121</c:v>
                </c:pt>
                <c:pt idx="590">
                  <c:v>45124</c:v>
                </c:pt>
                <c:pt idx="591">
                  <c:v>45125</c:v>
                </c:pt>
                <c:pt idx="592">
                  <c:v>45126</c:v>
                </c:pt>
                <c:pt idx="593">
                  <c:v>45127</c:v>
                </c:pt>
                <c:pt idx="594">
                  <c:v>45128</c:v>
                </c:pt>
                <c:pt idx="595">
                  <c:v>45131</c:v>
                </c:pt>
                <c:pt idx="596">
                  <c:v>45132</c:v>
                </c:pt>
                <c:pt idx="597">
                  <c:v>45133</c:v>
                </c:pt>
                <c:pt idx="598">
                  <c:v>45134</c:v>
                </c:pt>
                <c:pt idx="599">
                  <c:v>45135</c:v>
                </c:pt>
                <c:pt idx="600">
                  <c:v>45138</c:v>
                </c:pt>
                <c:pt idx="601">
                  <c:v>45139</c:v>
                </c:pt>
                <c:pt idx="602">
                  <c:v>45140</c:v>
                </c:pt>
                <c:pt idx="603">
                  <c:v>45141</c:v>
                </c:pt>
                <c:pt idx="604">
                  <c:v>45142</c:v>
                </c:pt>
                <c:pt idx="605">
                  <c:v>45145</c:v>
                </c:pt>
                <c:pt idx="606">
                  <c:v>45146</c:v>
                </c:pt>
                <c:pt idx="607">
                  <c:v>45147</c:v>
                </c:pt>
                <c:pt idx="608">
                  <c:v>45148</c:v>
                </c:pt>
                <c:pt idx="609">
                  <c:v>45149</c:v>
                </c:pt>
                <c:pt idx="610">
                  <c:v>45152</c:v>
                </c:pt>
                <c:pt idx="611">
                  <c:v>45153</c:v>
                </c:pt>
                <c:pt idx="612">
                  <c:v>45154</c:v>
                </c:pt>
                <c:pt idx="613">
                  <c:v>45155</c:v>
                </c:pt>
                <c:pt idx="614">
                  <c:v>45156</c:v>
                </c:pt>
                <c:pt idx="615">
                  <c:v>45159</c:v>
                </c:pt>
                <c:pt idx="616">
                  <c:v>45160</c:v>
                </c:pt>
                <c:pt idx="617">
                  <c:v>45161</c:v>
                </c:pt>
                <c:pt idx="618">
                  <c:v>45162</c:v>
                </c:pt>
                <c:pt idx="619">
                  <c:v>45163</c:v>
                </c:pt>
                <c:pt idx="620">
                  <c:v>45166</c:v>
                </c:pt>
                <c:pt idx="621">
                  <c:v>45167</c:v>
                </c:pt>
                <c:pt idx="622">
                  <c:v>45168</c:v>
                </c:pt>
                <c:pt idx="623">
                  <c:v>45169</c:v>
                </c:pt>
                <c:pt idx="624">
                  <c:v>45174</c:v>
                </c:pt>
                <c:pt idx="625">
                  <c:v>45175</c:v>
                </c:pt>
                <c:pt idx="626">
                  <c:v>45176</c:v>
                </c:pt>
                <c:pt idx="627">
                  <c:v>45177</c:v>
                </c:pt>
                <c:pt idx="628">
                  <c:v>45180</c:v>
                </c:pt>
                <c:pt idx="629">
                  <c:v>45181</c:v>
                </c:pt>
                <c:pt idx="630">
                  <c:v>45182</c:v>
                </c:pt>
                <c:pt idx="631">
                  <c:v>45183</c:v>
                </c:pt>
                <c:pt idx="632">
                  <c:v>45184</c:v>
                </c:pt>
                <c:pt idx="633">
                  <c:v>45187</c:v>
                </c:pt>
                <c:pt idx="634">
                  <c:v>45188</c:v>
                </c:pt>
                <c:pt idx="635">
                  <c:v>45189</c:v>
                </c:pt>
                <c:pt idx="636">
                  <c:v>45190</c:v>
                </c:pt>
                <c:pt idx="637">
                  <c:v>45191</c:v>
                </c:pt>
                <c:pt idx="638">
                  <c:v>45194</c:v>
                </c:pt>
                <c:pt idx="639">
                  <c:v>45195</c:v>
                </c:pt>
                <c:pt idx="640">
                  <c:v>45196</c:v>
                </c:pt>
                <c:pt idx="641">
                  <c:v>45197</c:v>
                </c:pt>
                <c:pt idx="642">
                  <c:v>45198</c:v>
                </c:pt>
                <c:pt idx="643">
                  <c:v>45201</c:v>
                </c:pt>
                <c:pt idx="644">
                  <c:v>45202</c:v>
                </c:pt>
                <c:pt idx="645">
                  <c:v>45203</c:v>
                </c:pt>
                <c:pt idx="646">
                  <c:v>45204</c:v>
                </c:pt>
                <c:pt idx="647">
                  <c:v>45205</c:v>
                </c:pt>
                <c:pt idx="648">
                  <c:v>45208</c:v>
                </c:pt>
                <c:pt idx="649">
                  <c:v>45209</c:v>
                </c:pt>
                <c:pt idx="650">
                  <c:v>45210</c:v>
                </c:pt>
                <c:pt idx="651">
                  <c:v>45211</c:v>
                </c:pt>
                <c:pt idx="652">
                  <c:v>45212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45222</c:v>
                </c:pt>
                <c:pt idx="659">
                  <c:v>45223</c:v>
                </c:pt>
                <c:pt idx="660">
                  <c:v>45224</c:v>
                </c:pt>
                <c:pt idx="661">
                  <c:v>45225</c:v>
                </c:pt>
                <c:pt idx="662">
                  <c:v>45226</c:v>
                </c:pt>
                <c:pt idx="663">
                  <c:v>45229</c:v>
                </c:pt>
                <c:pt idx="664">
                  <c:v>45230</c:v>
                </c:pt>
                <c:pt idx="665">
                  <c:v>45231</c:v>
                </c:pt>
                <c:pt idx="666">
                  <c:v>45232</c:v>
                </c:pt>
                <c:pt idx="667">
                  <c:v>45233</c:v>
                </c:pt>
                <c:pt idx="668">
                  <c:v>45236</c:v>
                </c:pt>
                <c:pt idx="669">
                  <c:v>45237</c:v>
                </c:pt>
                <c:pt idx="670">
                  <c:v>45238</c:v>
                </c:pt>
                <c:pt idx="671">
                  <c:v>45239</c:v>
                </c:pt>
                <c:pt idx="672">
                  <c:v>45240</c:v>
                </c:pt>
                <c:pt idx="673">
                  <c:v>45243</c:v>
                </c:pt>
                <c:pt idx="674">
                  <c:v>45244</c:v>
                </c:pt>
                <c:pt idx="675">
                  <c:v>45245</c:v>
                </c:pt>
                <c:pt idx="676">
                  <c:v>45246</c:v>
                </c:pt>
                <c:pt idx="677">
                  <c:v>45247</c:v>
                </c:pt>
                <c:pt idx="678">
                  <c:v>45250</c:v>
                </c:pt>
                <c:pt idx="679">
                  <c:v>45251</c:v>
                </c:pt>
                <c:pt idx="680">
                  <c:v>45252</c:v>
                </c:pt>
                <c:pt idx="681">
                  <c:v>45253</c:v>
                </c:pt>
                <c:pt idx="682">
                  <c:v>45254</c:v>
                </c:pt>
                <c:pt idx="683">
                  <c:v>45257</c:v>
                </c:pt>
                <c:pt idx="684">
                  <c:v>45258</c:v>
                </c:pt>
                <c:pt idx="685">
                  <c:v>45259</c:v>
                </c:pt>
                <c:pt idx="686">
                  <c:v>45260</c:v>
                </c:pt>
                <c:pt idx="687">
                  <c:v>45261</c:v>
                </c:pt>
                <c:pt idx="688">
                  <c:v>45264</c:v>
                </c:pt>
                <c:pt idx="689">
                  <c:v>45265</c:v>
                </c:pt>
                <c:pt idx="690">
                  <c:v>45266</c:v>
                </c:pt>
                <c:pt idx="691">
                  <c:v>45267</c:v>
                </c:pt>
                <c:pt idx="692">
                  <c:v>45268</c:v>
                </c:pt>
                <c:pt idx="693">
                  <c:v>45271</c:v>
                </c:pt>
                <c:pt idx="694">
                  <c:v>45272</c:v>
                </c:pt>
                <c:pt idx="695">
                  <c:v>45273</c:v>
                </c:pt>
                <c:pt idx="696">
                  <c:v>45274</c:v>
                </c:pt>
                <c:pt idx="697">
                  <c:v>45275</c:v>
                </c:pt>
                <c:pt idx="698">
                  <c:v>45278</c:v>
                </c:pt>
                <c:pt idx="699">
                  <c:v>45279</c:v>
                </c:pt>
                <c:pt idx="700">
                  <c:v>45280</c:v>
                </c:pt>
                <c:pt idx="701">
                  <c:v>45281</c:v>
                </c:pt>
                <c:pt idx="702">
                  <c:v>45282</c:v>
                </c:pt>
                <c:pt idx="703">
                  <c:v>45285</c:v>
                </c:pt>
                <c:pt idx="704">
                  <c:v>45286</c:v>
                </c:pt>
                <c:pt idx="705">
                  <c:v>45287</c:v>
                </c:pt>
                <c:pt idx="706">
                  <c:v>45288</c:v>
                </c:pt>
                <c:pt idx="707">
                  <c:v>45289</c:v>
                </c:pt>
                <c:pt idx="708">
                  <c:v>45293</c:v>
                </c:pt>
                <c:pt idx="709">
                  <c:v>45294</c:v>
                </c:pt>
                <c:pt idx="710">
                  <c:v>45295</c:v>
                </c:pt>
                <c:pt idx="711">
                  <c:v>45296</c:v>
                </c:pt>
                <c:pt idx="712">
                  <c:v>45299</c:v>
                </c:pt>
                <c:pt idx="713">
                  <c:v>45300</c:v>
                </c:pt>
                <c:pt idx="714">
                  <c:v>45301</c:v>
                </c:pt>
                <c:pt idx="715">
                  <c:v>45302</c:v>
                </c:pt>
                <c:pt idx="716">
                  <c:v>45303</c:v>
                </c:pt>
                <c:pt idx="717">
                  <c:v>45306</c:v>
                </c:pt>
                <c:pt idx="718">
                  <c:v>45307</c:v>
                </c:pt>
                <c:pt idx="719">
                  <c:v>45308</c:v>
                </c:pt>
                <c:pt idx="720">
                  <c:v>45309</c:v>
                </c:pt>
                <c:pt idx="721">
                  <c:v>45310</c:v>
                </c:pt>
                <c:pt idx="722">
                  <c:v>45313</c:v>
                </c:pt>
                <c:pt idx="723">
                  <c:v>45314</c:v>
                </c:pt>
                <c:pt idx="724">
                  <c:v>45315</c:v>
                </c:pt>
                <c:pt idx="725">
                  <c:v>45316</c:v>
                </c:pt>
                <c:pt idx="726">
                  <c:v>45317</c:v>
                </c:pt>
                <c:pt idx="727">
                  <c:v>45320</c:v>
                </c:pt>
                <c:pt idx="728">
                  <c:v>45321</c:v>
                </c:pt>
                <c:pt idx="729">
                  <c:v>45322</c:v>
                </c:pt>
                <c:pt idx="730">
                  <c:v>45323</c:v>
                </c:pt>
                <c:pt idx="731">
                  <c:v>45324</c:v>
                </c:pt>
                <c:pt idx="732">
                  <c:v>45327</c:v>
                </c:pt>
                <c:pt idx="733">
                  <c:v>45328</c:v>
                </c:pt>
                <c:pt idx="734">
                  <c:v>45329</c:v>
                </c:pt>
                <c:pt idx="735">
                  <c:v>45337</c:v>
                </c:pt>
                <c:pt idx="736">
                  <c:v>45338</c:v>
                </c:pt>
                <c:pt idx="737">
                  <c:v>45341</c:v>
                </c:pt>
                <c:pt idx="738">
                  <c:v>45342</c:v>
                </c:pt>
                <c:pt idx="739">
                  <c:v>45343</c:v>
                </c:pt>
                <c:pt idx="740">
                  <c:v>45344</c:v>
                </c:pt>
                <c:pt idx="741">
                  <c:v>45345</c:v>
                </c:pt>
                <c:pt idx="742">
                  <c:v>45348</c:v>
                </c:pt>
                <c:pt idx="743">
                  <c:v>45349</c:v>
                </c:pt>
                <c:pt idx="744">
                  <c:v>45350</c:v>
                </c:pt>
                <c:pt idx="745">
                  <c:v>45351</c:v>
                </c:pt>
                <c:pt idx="746">
                  <c:v>45352</c:v>
                </c:pt>
                <c:pt idx="747">
                  <c:v>45355</c:v>
                </c:pt>
                <c:pt idx="748">
                  <c:v>45356</c:v>
                </c:pt>
                <c:pt idx="749">
                  <c:v>45357</c:v>
                </c:pt>
                <c:pt idx="750">
                  <c:v>45358</c:v>
                </c:pt>
                <c:pt idx="751">
                  <c:v>45359</c:v>
                </c:pt>
                <c:pt idx="752">
                  <c:v>45362</c:v>
                </c:pt>
                <c:pt idx="753">
                  <c:v>45363</c:v>
                </c:pt>
                <c:pt idx="754">
                  <c:v>45364</c:v>
                </c:pt>
                <c:pt idx="755">
                  <c:v>45365</c:v>
                </c:pt>
                <c:pt idx="756">
                  <c:v>45366</c:v>
                </c:pt>
                <c:pt idx="757">
                  <c:v>45369</c:v>
                </c:pt>
                <c:pt idx="758">
                  <c:v>45370</c:v>
                </c:pt>
                <c:pt idx="759">
                  <c:v>45371</c:v>
                </c:pt>
                <c:pt idx="760">
                  <c:v>45372</c:v>
                </c:pt>
                <c:pt idx="761">
                  <c:v>45373</c:v>
                </c:pt>
                <c:pt idx="762">
                  <c:v>45376</c:v>
                </c:pt>
                <c:pt idx="763">
                  <c:v>45377</c:v>
                </c:pt>
                <c:pt idx="764">
                  <c:v>45378</c:v>
                </c:pt>
                <c:pt idx="765">
                  <c:v>45379</c:v>
                </c:pt>
                <c:pt idx="766">
                  <c:v>45380</c:v>
                </c:pt>
                <c:pt idx="767">
                  <c:v>45383</c:v>
                </c:pt>
                <c:pt idx="768">
                  <c:v>45384</c:v>
                </c:pt>
                <c:pt idx="769">
                  <c:v>45385</c:v>
                </c:pt>
                <c:pt idx="770">
                  <c:v>45386</c:v>
                </c:pt>
                <c:pt idx="771">
                  <c:v>45387</c:v>
                </c:pt>
                <c:pt idx="772">
                  <c:v>45390</c:v>
                </c:pt>
                <c:pt idx="773">
                  <c:v>45391</c:v>
                </c:pt>
                <c:pt idx="774">
                  <c:v>45392</c:v>
                </c:pt>
                <c:pt idx="775">
                  <c:v>45393</c:v>
                </c:pt>
                <c:pt idx="776">
                  <c:v>45394</c:v>
                </c:pt>
                <c:pt idx="777">
                  <c:v>45397</c:v>
                </c:pt>
                <c:pt idx="778">
                  <c:v>45398</c:v>
                </c:pt>
                <c:pt idx="779">
                  <c:v>45399</c:v>
                </c:pt>
                <c:pt idx="780">
                  <c:v>45401</c:v>
                </c:pt>
                <c:pt idx="781">
                  <c:v>45404</c:v>
                </c:pt>
                <c:pt idx="782">
                  <c:v>45405</c:v>
                </c:pt>
                <c:pt idx="783">
                  <c:v>45406</c:v>
                </c:pt>
                <c:pt idx="784">
                  <c:v>45407</c:v>
                </c:pt>
                <c:pt idx="785">
                  <c:v>45408</c:v>
                </c:pt>
                <c:pt idx="786">
                  <c:v>45414</c:v>
                </c:pt>
                <c:pt idx="787">
                  <c:v>45415</c:v>
                </c:pt>
                <c:pt idx="788">
                  <c:v>45418</c:v>
                </c:pt>
                <c:pt idx="789">
                  <c:v>45419</c:v>
                </c:pt>
                <c:pt idx="790">
                  <c:v>45420</c:v>
                </c:pt>
                <c:pt idx="791">
                  <c:v>45421</c:v>
                </c:pt>
                <c:pt idx="792">
                  <c:v>45422</c:v>
                </c:pt>
                <c:pt idx="793">
                  <c:v>45425</c:v>
                </c:pt>
                <c:pt idx="794">
                  <c:v>45426</c:v>
                </c:pt>
                <c:pt idx="795">
                  <c:v>45427</c:v>
                </c:pt>
                <c:pt idx="796">
                  <c:v>45428</c:v>
                </c:pt>
                <c:pt idx="797">
                  <c:v>45429</c:v>
                </c:pt>
                <c:pt idx="798">
                  <c:v>45432</c:v>
                </c:pt>
                <c:pt idx="799">
                  <c:v>45433</c:v>
                </c:pt>
                <c:pt idx="800">
                  <c:v>45434</c:v>
                </c:pt>
                <c:pt idx="801">
                  <c:v>45435</c:v>
                </c:pt>
                <c:pt idx="802">
                  <c:v>45436</c:v>
                </c:pt>
                <c:pt idx="803">
                  <c:v>45439</c:v>
                </c:pt>
                <c:pt idx="804">
                  <c:v>45440</c:v>
                </c:pt>
                <c:pt idx="805">
                  <c:v>45441</c:v>
                </c:pt>
                <c:pt idx="806">
                  <c:v>45442</c:v>
                </c:pt>
                <c:pt idx="807">
                  <c:v>45443</c:v>
                </c:pt>
                <c:pt idx="808">
                  <c:v>45446</c:v>
                </c:pt>
                <c:pt idx="809">
                  <c:v>45447</c:v>
                </c:pt>
                <c:pt idx="810">
                  <c:v>45448</c:v>
                </c:pt>
                <c:pt idx="811">
                  <c:v>45449</c:v>
                </c:pt>
                <c:pt idx="812">
                  <c:v>45450</c:v>
                </c:pt>
                <c:pt idx="813">
                  <c:v>45453</c:v>
                </c:pt>
                <c:pt idx="814">
                  <c:v>45454</c:v>
                </c:pt>
                <c:pt idx="815">
                  <c:v>45455</c:v>
                </c:pt>
                <c:pt idx="816">
                  <c:v>45456</c:v>
                </c:pt>
                <c:pt idx="817">
                  <c:v>45457</c:v>
                </c:pt>
                <c:pt idx="818">
                  <c:v>45460</c:v>
                </c:pt>
                <c:pt idx="819">
                  <c:v>45461</c:v>
                </c:pt>
                <c:pt idx="820">
                  <c:v>45462</c:v>
                </c:pt>
                <c:pt idx="821">
                  <c:v>45463</c:v>
                </c:pt>
                <c:pt idx="822">
                  <c:v>45464</c:v>
                </c:pt>
                <c:pt idx="823">
                  <c:v>45467</c:v>
                </c:pt>
                <c:pt idx="824">
                  <c:v>45468</c:v>
                </c:pt>
                <c:pt idx="825">
                  <c:v>45469</c:v>
                </c:pt>
                <c:pt idx="826">
                  <c:v>45470</c:v>
                </c:pt>
                <c:pt idx="827">
                  <c:v>45471</c:v>
                </c:pt>
                <c:pt idx="828">
                  <c:v>45474</c:v>
                </c:pt>
                <c:pt idx="829">
                  <c:v>45475</c:v>
                </c:pt>
                <c:pt idx="830">
                  <c:v>45476</c:v>
                </c:pt>
                <c:pt idx="831">
                  <c:v>45477</c:v>
                </c:pt>
                <c:pt idx="832">
                  <c:v>45478</c:v>
                </c:pt>
                <c:pt idx="833">
                  <c:v>45481</c:v>
                </c:pt>
                <c:pt idx="834">
                  <c:v>45482</c:v>
                </c:pt>
                <c:pt idx="835">
                  <c:v>45483</c:v>
                </c:pt>
                <c:pt idx="836">
                  <c:v>45484</c:v>
                </c:pt>
                <c:pt idx="837">
                  <c:v>45485</c:v>
                </c:pt>
                <c:pt idx="838">
                  <c:v>45488</c:v>
                </c:pt>
                <c:pt idx="839">
                  <c:v>45489</c:v>
                </c:pt>
                <c:pt idx="840">
                  <c:v>45490</c:v>
                </c:pt>
                <c:pt idx="841">
                  <c:v>45491</c:v>
                </c:pt>
                <c:pt idx="842">
                  <c:v>45492</c:v>
                </c:pt>
                <c:pt idx="843">
                  <c:v>45495</c:v>
                </c:pt>
                <c:pt idx="844">
                  <c:v>45496</c:v>
                </c:pt>
                <c:pt idx="845">
                  <c:v>45497</c:v>
                </c:pt>
                <c:pt idx="846">
                  <c:v>45498</c:v>
                </c:pt>
                <c:pt idx="847">
                  <c:v>45499</c:v>
                </c:pt>
                <c:pt idx="848">
                  <c:v>45502</c:v>
                </c:pt>
                <c:pt idx="849">
                  <c:v>45503</c:v>
                </c:pt>
                <c:pt idx="850">
                  <c:v>45504</c:v>
                </c:pt>
                <c:pt idx="851">
                  <c:v>45505</c:v>
                </c:pt>
                <c:pt idx="852">
                  <c:v>45506</c:v>
                </c:pt>
                <c:pt idx="853">
                  <c:v>45509</c:v>
                </c:pt>
                <c:pt idx="854">
                  <c:v>45510</c:v>
                </c:pt>
                <c:pt idx="855">
                  <c:v>45511</c:v>
                </c:pt>
                <c:pt idx="856">
                  <c:v>45512</c:v>
                </c:pt>
                <c:pt idx="857">
                  <c:v>45513</c:v>
                </c:pt>
                <c:pt idx="858">
                  <c:v>45516</c:v>
                </c:pt>
                <c:pt idx="859">
                  <c:v>45517</c:v>
                </c:pt>
                <c:pt idx="860">
                  <c:v>45518</c:v>
                </c:pt>
                <c:pt idx="861">
                  <c:v>45519</c:v>
                </c:pt>
                <c:pt idx="862">
                  <c:v>45520</c:v>
                </c:pt>
                <c:pt idx="863">
                  <c:v>45523</c:v>
                </c:pt>
                <c:pt idx="864">
                  <c:v>45524</c:v>
                </c:pt>
                <c:pt idx="865">
                  <c:v>45525</c:v>
                </c:pt>
                <c:pt idx="866">
                  <c:v>45526</c:v>
                </c:pt>
                <c:pt idx="867">
                  <c:v>45527</c:v>
                </c:pt>
                <c:pt idx="868">
                  <c:v>45530</c:v>
                </c:pt>
                <c:pt idx="869">
                  <c:v>45531</c:v>
                </c:pt>
                <c:pt idx="870">
                  <c:v>45532</c:v>
                </c:pt>
                <c:pt idx="871">
                  <c:v>45533</c:v>
                </c:pt>
                <c:pt idx="872">
                  <c:v>45534</c:v>
                </c:pt>
                <c:pt idx="873">
                  <c:v>45539</c:v>
                </c:pt>
                <c:pt idx="874">
                  <c:v>45540</c:v>
                </c:pt>
                <c:pt idx="875">
                  <c:v>45541</c:v>
                </c:pt>
                <c:pt idx="876">
                  <c:v>45544</c:v>
                </c:pt>
                <c:pt idx="877">
                  <c:v>45545</c:v>
                </c:pt>
                <c:pt idx="878">
                  <c:v>45546</c:v>
                </c:pt>
                <c:pt idx="879">
                  <c:v>45547</c:v>
                </c:pt>
                <c:pt idx="880">
                  <c:v>45548</c:v>
                </c:pt>
                <c:pt idx="881">
                  <c:v>45551</c:v>
                </c:pt>
                <c:pt idx="882">
                  <c:v>45552</c:v>
                </c:pt>
                <c:pt idx="883">
                  <c:v>45553</c:v>
                </c:pt>
                <c:pt idx="884">
                  <c:v>45554</c:v>
                </c:pt>
                <c:pt idx="885">
                  <c:v>45555</c:v>
                </c:pt>
                <c:pt idx="886">
                  <c:v>45558</c:v>
                </c:pt>
                <c:pt idx="887">
                  <c:v>45559</c:v>
                </c:pt>
                <c:pt idx="888">
                  <c:v>45560</c:v>
                </c:pt>
                <c:pt idx="889">
                  <c:v>45561</c:v>
                </c:pt>
                <c:pt idx="890">
                  <c:v>45562</c:v>
                </c:pt>
                <c:pt idx="891">
                  <c:v>45565</c:v>
                </c:pt>
                <c:pt idx="892">
                  <c:v>45566</c:v>
                </c:pt>
                <c:pt idx="893">
                  <c:v>45567</c:v>
                </c:pt>
                <c:pt idx="894">
                  <c:v>45568</c:v>
                </c:pt>
                <c:pt idx="895">
                  <c:v>45569</c:v>
                </c:pt>
                <c:pt idx="896">
                  <c:v>45572</c:v>
                </c:pt>
                <c:pt idx="897">
                  <c:v>45573</c:v>
                </c:pt>
                <c:pt idx="898">
                  <c:v>45574</c:v>
                </c:pt>
                <c:pt idx="899">
                  <c:v>45575</c:v>
                </c:pt>
                <c:pt idx="900">
                  <c:v>45576</c:v>
                </c:pt>
                <c:pt idx="901">
                  <c:v>45579</c:v>
                </c:pt>
                <c:pt idx="902">
                  <c:v>45580</c:v>
                </c:pt>
                <c:pt idx="903">
                  <c:v>45581</c:v>
                </c:pt>
                <c:pt idx="904">
                  <c:v>45582</c:v>
                </c:pt>
                <c:pt idx="905">
                  <c:v>45583</c:v>
                </c:pt>
                <c:pt idx="906">
                  <c:v>45586</c:v>
                </c:pt>
                <c:pt idx="907">
                  <c:v>45587</c:v>
                </c:pt>
                <c:pt idx="908">
                  <c:v>45588</c:v>
                </c:pt>
                <c:pt idx="909">
                  <c:v>45589</c:v>
                </c:pt>
                <c:pt idx="910">
                  <c:v>45590</c:v>
                </c:pt>
                <c:pt idx="911">
                  <c:v>45593</c:v>
                </c:pt>
                <c:pt idx="912">
                  <c:v>45594</c:v>
                </c:pt>
                <c:pt idx="913">
                  <c:v>45595</c:v>
                </c:pt>
                <c:pt idx="914">
                  <c:v>45596</c:v>
                </c:pt>
                <c:pt idx="915">
                  <c:v>45597</c:v>
                </c:pt>
                <c:pt idx="916">
                  <c:v>45600</c:v>
                </c:pt>
                <c:pt idx="917">
                  <c:v>45601</c:v>
                </c:pt>
                <c:pt idx="918">
                  <c:v>45602</c:v>
                </c:pt>
                <c:pt idx="919">
                  <c:v>45603</c:v>
                </c:pt>
                <c:pt idx="920">
                  <c:v>45604</c:v>
                </c:pt>
                <c:pt idx="921">
                  <c:v>45607</c:v>
                </c:pt>
                <c:pt idx="922">
                  <c:v>45608</c:v>
                </c:pt>
                <c:pt idx="923">
                  <c:v>45609</c:v>
                </c:pt>
                <c:pt idx="924">
                  <c:v>45610</c:v>
                </c:pt>
                <c:pt idx="925">
                  <c:v>45611</c:v>
                </c:pt>
                <c:pt idx="926">
                  <c:v>45614</c:v>
                </c:pt>
                <c:pt idx="927">
                  <c:v>45615</c:v>
                </c:pt>
                <c:pt idx="928">
                  <c:v>45616</c:v>
                </c:pt>
                <c:pt idx="929">
                  <c:v>45617</c:v>
                </c:pt>
                <c:pt idx="930">
                  <c:v>45618</c:v>
                </c:pt>
                <c:pt idx="931">
                  <c:v>45621</c:v>
                </c:pt>
                <c:pt idx="932">
                  <c:v>45622</c:v>
                </c:pt>
                <c:pt idx="933">
                  <c:v>45623</c:v>
                </c:pt>
                <c:pt idx="934">
                  <c:v>45624</c:v>
                </c:pt>
                <c:pt idx="935">
                  <c:v>45625</c:v>
                </c:pt>
                <c:pt idx="936">
                  <c:v>45628</c:v>
                </c:pt>
                <c:pt idx="937">
                  <c:v>45629</c:v>
                </c:pt>
                <c:pt idx="938">
                  <c:v>45630</c:v>
                </c:pt>
                <c:pt idx="939">
                  <c:v>45631</c:v>
                </c:pt>
                <c:pt idx="940">
                  <c:v>45632</c:v>
                </c:pt>
                <c:pt idx="941">
                  <c:v>45635</c:v>
                </c:pt>
                <c:pt idx="942">
                  <c:v>45636</c:v>
                </c:pt>
                <c:pt idx="943">
                  <c:v>45637</c:v>
                </c:pt>
                <c:pt idx="944">
                  <c:v>45638</c:v>
                </c:pt>
                <c:pt idx="945">
                  <c:v>45639</c:v>
                </c:pt>
                <c:pt idx="946">
                  <c:v>45642</c:v>
                </c:pt>
                <c:pt idx="947">
                  <c:v>45643</c:v>
                </c:pt>
                <c:pt idx="948">
                  <c:v>45644</c:v>
                </c:pt>
                <c:pt idx="949">
                  <c:v>45645</c:v>
                </c:pt>
                <c:pt idx="950">
                  <c:v>45646</c:v>
                </c:pt>
                <c:pt idx="951">
                  <c:v>45649</c:v>
                </c:pt>
                <c:pt idx="952">
                  <c:v>45650</c:v>
                </c:pt>
                <c:pt idx="953">
                  <c:v>45651</c:v>
                </c:pt>
                <c:pt idx="954">
                  <c:v>45652</c:v>
                </c:pt>
                <c:pt idx="955">
                  <c:v>45653</c:v>
                </c:pt>
                <c:pt idx="956">
                  <c:v>45656</c:v>
                </c:pt>
                <c:pt idx="957">
                  <c:v>45657</c:v>
                </c:pt>
                <c:pt idx="958">
                  <c:v>45659</c:v>
                </c:pt>
                <c:pt idx="959">
                  <c:v>45660</c:v>
                </c:pt>
                <c:pt idx="960">
                  <c:v>45663</c:v>
                </c:pt>
                <c:pt idx="961">
                  <c:v>45664</c:v>
                </c:pt>
                <c:pt idx="962">
                  <c:v>45665</c:v>
                </c:pt>
                <c:pt idx="963">
                  <c:v>45666</c:v>
                </c:pt>
                <c:pt idx="964">
                  <c:v>45667</c:v>
                </c:pt>
                <c:pt idx="965">
                  <c:v>45670</c:v>
                </c:pt>
                <c:pt idx="966">
                  <c:v>45671</c:v>
                </c:pt>
                <c:pt idx="967">
                  <c:v>45672</c:v>
                </c:pt>
                <c:pt idx="968">
                  <c:v>45673</c:v>
                </c:pt>
                <c:pt idx="969">
                  <c:v>45674</c:v>
                </c:pt>
                <c:pt idx="970">
                  <c:v>45677</c:v>
                </c:pt>
                <c:pt idx="971">
                  <c:v>45678</c:v>
                </c:pt>
                <c:pt idx="972">
                  <c:v>45679</c:v>
                </c:pt>
                <c:pt idx="973">
                  <c:v>45680</c:v>
                </c:pt>
                <c:pt idx="974">
                  <c:v>45681</c:v>
                </c:pt>
                <c:pt idx="975">
                  <c:v>45691</c:v>
                </c:pt>
                <c:pt idx="976">
                  <c:v>45692</c:v>
                </c:pt>
                <c:pt idx="977">
                  <c:v>45693</c:v>
                </c:pt>
                <c:pt idx="978">
                  <c:v>45694</c:v>
                </c:pt>
                <c:pt idx="979">
                  <c:v>45695</c:v>
                </c:pt>
                <c:pt idx="980">
                  <c:v>45698</c:v>
                </c:pt>
                <c:pt idx="981">
                  <c:v>45699</c:v>
                </c:pt>
                <c:pt idx="982">
                  <c:v>45700</c:v>
                </c:pt>
                <c:pt idx="983">
                  <c:v>45701</c:v>
                </c:pt>
                <c:pt idx="984">
                  <c:v>45702</c:v>
                </c:pt>
                <c:pt idx="985">
                  <c:v>45705</c:v>
                </c:pt>
                <c:pt idx="986">
                  <c:v>45706</c:v>
                </c:pt>
                <c:pt idx="987">
                  <c:v>45707</c:v>
                </c:pt>
                <c:pt idx="988">
                  <c:v>45708</c:v>
                </c:pt>
                <c:pt idx="989">
                  <c:v>45709</c:v>
                </c:pt>
                <c:pt idx="990">
                  <c:v>45712</c:v>
                </c:pt>
                <c:pt idx="991">
                  <c:v>45713</c:v>
                </c:pt>
                <c:pt idx="992">
                  <c:v>45714</c:v>
                </c:pt>
                <c:pt idx="993">
                  <c:v>45715</c:v>
                </c:pt>
                <c:pt idx="994">
                  <c:v>45716</c:v>
                </c:pt>
                <c:pt idx="995">
                  <c:v>45719</c:v>
                </c:pt>
                <c:pt idx="996">
                  <c:v>45720</c:v>
                </c:pt>
                <c:pt idx="997">
                  <c:v>45721</c:v>
                </c:pt>
                <c:pt idx="998">
                  <c:v>45722</c:v>
                </c:pt>
                <c:pt idx="999">
                  <c:v>45723</c:v>
                </c:pt>
                <c:pt idx="1000">
                  <c:v>45726</c:v>
                </c:pt>
                <c:pt idx="1001">
                  <c:v>45727</c:v>
                </c:pt>
                <c:pt idx="1002">
                  <c:v>45728</c:v>
                </c:pt>
                <c:pt idx="1003">
                  <c:v>45729</c:v>
                </c:pt>
                <c:pt idx="1004">
                  <c:v>45730</c:v>
                </c:pt>
                <c:pt idx="1005">
                  <c:v>45733</c:v>
                </c:pt>
                <c:pt idx="1006">
                  <c:v>45734</c:v>
                </c:pt>
                <c:pt idx="1007">
                  <c:v>45735</c:v>
                </c:pt>
                <c:pt idx="1008">
                  <c:v>45736</c:v>
                </c:pt>
                <c:pt idx="1009">
                  <c:v>45737</c:v>
                </c:pt>
                <c:pt idx="1010">
                  <c:v>45740</c:v>
                </c:pt>
                <c:pt idx="1011">
                  <c:v>45741</c:v>
                </c:pt>
                <c:pt idx="1012">
                  <c:v>45742</c:v>
                </c:pt>
                <c:pt idx="1013">
                  <c:v>45743</c:v>
                </c:pt>
                <c:pt idx="1014">
                  <c:v>45744</c:v>
                </c:pt>
                <c:pt idx="1015">
                  <c:v>45747</c:v>
                </c:pt>
                <c:pt idx="1016">
                  <c:v>45748</c:v>
                </c:pt>
                <c:pt idx="1017">
                  <c:v>45749</c:v>
                </c:pt>
                <c:pt idx="1018">
                  <c:v>45750</c:v>
                </c:pt>
                <c:pt idx="1019">
                  <c:v>45751</c:v>
                </c:pt>
                <c:pt idx="1020">
                  <c:v>45755</c:v>
                </c:pt>
                <c:pt idx="1021">
                  <c:v>45756</c:v>
                </c:pt>
                <c:pt idx="1022">
                  <c:v>45757</c:v>
                </c:pt>
                <c:pt idx="1023">
                  <c:v>45758</c:v>
                </c:pt>
                <c:pt idx="1024">
                  <c:v>45761</c:v>
                </c:pt>
                <c:pt idx="1025">
                  <c:v>45762</c:v>
                </c:pt>
                <c:pt idx="1026">
                  <c:v>45763</c:v>
                </c:pt>
                <c:pt idx="1027">
                  <c:v>45764</c:v>
                </c:pt>
                <c:pt idx="1028">
                  <c:v>45765</c:v>
                </c:pt>
                <c:pt idx="1029">
                  <c:v>45768</c:v>
                </c:pt>
                <c:pt idx="1030">
                  <c:v>45769</c:v>
                </c:pt>
                <c:pt idx="1031">
                  <c:v>45770</c:v>
                </c:pt>
                <c:pt idx="1032">
                  <c:v>45771</c:v>
                </c:pt>
                <c:pt idx="1033">
                  <c:v>45772</c:v>
                </c:pt>
                <c:pt idx="1034">
                  <c:v>45775</c:v>
                </c:pt>
                <c:pt idx="1035">
                  <c:v>45776</c:v>
                </c:pt>
                <c:pt idx="1036">
                  <c:v>45782</c:v>
                </c:pt>
                <c:pt idx="1037">
                  <c:v>45783</c:v>
                </c:pt>
                <c:pt idx="1038">
                  <c:v>45784</c:v>
                </c:pt>
                <c:pt idx="1039">
                  <c:v>45785</c:v>
                </c:pt>
                <c:pt idx="1040">
                  <c:v>45786</c:v>
                </c:pt>
                <c:pt idx="1041">
                  <c:v>45789</c:v>
                </c:pt>
                <c:pt idx="1042">
                  <c:v>45790</c:v>
                </c:pt>
                <c:pt idx="1043">
                  <c:v>45791</c:v>
                </c:pt>
                <c:pt idx="1044">
                  <c:v>45792</c:v>
                </c:pt>
                <c:pt idx="1045">
                  <c:v>45793</c:v>
                </c:pt>
                <c:pt idx="1046">
                  <c:v>45796</c:v>
                </c:pt>
                <c:pt idx="1047">
                  <c:v>45797</c:v>
                </c:pt>
                <c:pt idx="1048">
                  <c:v>45798</c:v>
                </c:pt>
                <c:pt idx="1049">
                  <c:v>45799</c:v>
                </c:pt>
                <c:pt idx="1050">
                  <c:v>45800</c:v>
                </c:pt>
                <c:pt idx="1051">
                  <c:v>45803</c:v>
                </c:pt>
                <c:pt idx="1052">
                  <c:v>45804</c:v>
                </c:pt>
                <c:pt idx="1053">
                  <c:v>45805</c:v>
                </c:pt>
                <c:pt idx="1054">
                  <c:v>45806</c:v>
                </c:pt>
                <c:pt idx="1055">
                  <c:v>45807</c:v>
                </c:pt>
                <c:pt idx="1056">
                  <c:v>45810</c:v>
                </c:pt>
                <c:pt idx="1057">
                  <c:v>45811</c:v>
                </c:pt>
                <c:pt idx="1058">
                  <c:v>45812</c:v>
                </c:pt>
                <c:pt idx="1059">
                  <c:v>45813</c:v>
                </c:pt>
                <c:pt idx="1060">
                  <c:v>45814</c:v>
                </c:pt>
                <c:pt idx="1061">
                  <c:v>45817</c:v>
                </c:pt>
                <c:pt idx="1062">
                  <c:v>45818</c:v>
                </c:pt>
                <c:pt idx="1063">
                  <c:v>45819</c:v>
                </c:pt>
                <c:pt idx="1064">
                  <c:v>45820</c:v>
                </c:pt>
                <c:pt idx="1065">
                  <c:v>45821</c:v>
                </c:pt>
                <c:pt idx="1066">
                  <c:v>45824</c:v>
                </c:pt>
                <c:pt idx="1067">
                  <c:v>45825</c:v>
                </c:pt>
                <c:pt idx="1068">
                  <c:v>45826</c:v>
                </c:pt>
                <c:pt idx="1069">
                  <c:v>45827</c:v>
                </c:pt>
                <c:pt idx="1070">
                  <c:v>45828</c:v>
                </c:pt>
                <c:pt idx="1071">
                  <c:v>45831</c:v>
                </c:pt>
                <c:pt idx="1072">
                  <c:v>45832</c:v>
                </c:pt>
                <c:pt idx="1073">
                  <c:v>45833</c:v>
                </c:pt>
                <c:pt idx="1074">
                  <c:v>45834</c:v>
                </c:pt>
                <c:pt idx="1075">
                  <c:v>45835</c:v>
                </c:pt>
                <c:pt idx="1076">
                  <c:v>45838</c:v>
                </c:pt>
                <c:pt idx="1077">
                  <c:v>45839</c:v>
                </c:pt>
                <c:pt idx="1078">
                  <c:v>45840</c:v>
                </c:pt>
                <c:pt idx="1079">
                  <c:v>45841</c:v>
                </c:pt>
                <c:pt idx="1080">
                  <c:v>45842</c:v>
                </c:pt>
                <c:pt idx="1081">
                  <c:v>45845</c:v>
                </c:pt>
                <c:pt idx="1082">
                  <c:v>45846</c:v>
                </c:pt>
                <c:pt idx="1083">
                  <c:v>45847</c:v>
                </c:pt>
                <c:pt idx="1084">
                  <c:v>45848</c:v>
                </c:pt>
                <c:pt idx="1085">
                  <c:v>45849</c:v>
                </c:pt>
                <c:pt idx="1086">
                  <c:v>45852</c:v>
                </c:pt>
                <c:pt idx="1087">
                  <c:v>45853</c:v>
                </c:pt>
                <c:pt idx="1088">
                  <c:v>45854</c:v>
                </c:pt>
                <c:pt idx="1089">
                  <c:v>45855</c:v>
                </c:pt>
                <c:pt idx="1090">
                  <c:v>45856</c:v>
                </c:pt>
                <c:pt idx="1091">
                  <c:v>45859</c:v>
                </c:pt>
                <c:pt idx="1092">
                  <c:v>45860</c:v>
                </c:pt>
                <c:pt idx="1093">
                  <c:v>45861</c:v>
                </c:pt>
                <c:pt idx="1094">
                  <c:v>45862</c:v>
                </c:pt>
                <c:pt idx="1095">
                  <c:v>45863</c:v>
                </c:pt>
                <c:pt idx="1096">
                  <c:v>45866</c:v>
                </c:pt>
                <c:pt idx="1097">
                  <c:v>45867</c:v>
                </c:pt>
                <c:pt idx="1098">
                  <c:v>45868</c:v>
                </c:pt>
                <c:pt idx="1099">
                  <c:v>45869</c:v>
                </c:pt>
                <c:pt idx="1100">
                  <c:v>45870</c:v>
                </c:pt>
                <c:pt idx="1101">
                  <c:v>45873</c:v>
                </c:pt>
                <c:pt idx="1102">
                  <c:v>45874</c:v>
                </c:pt>
                <c:pt idx="1103">
                  <c:v>45875</c:v>
                </c:pt>
                <c:pt idx="1104">
                  <c:v>45876</c:v>
                </c:pt>
                <c:pt idx="1105">
                  <c:v>45877</c:v>
                </c:pt>
                <c:pt idx="1106">
                  <c:v>45880</c:v>
                </c:pt>
                <c:pt idx="1107">
                  <c:v>45881</c:v>
                </c:pt>
                <c:pt idx="1108">
                  <c:v>45882</c:v>
                </c:pt>
                <c:pt idx="1109">
                  <c:v>45883</c:v>
                </c:pt>
                <c:pt idx="1110">
                  <c:v>45884</c:v>
                </c:pt>
                <c:pt idx="1111">
                  <c:v>45887</c:v>
                </c:pt>
                <c:pt idx="1112">
                  <c:v>45888</c:v>
                </c:pt>
                <c:pt idx="1113">
                  <c:v>45889</c:v>
                </c:pt>
                <c:pt idx="1114">
                  <c:v>45890</c:v>
                </c:pt>
                <c:pt idx="1115">
                  <c:v>45891</c:v>
                </c:pt>
                <c:pt idx="1116">
                  <c:v>45894</c:v>
                </c:pt>
                <c:pt idx="1117">
                  <c:v>45895</c:v>
                </c:pt>
                <c:pt idx="1118">
                  <c:v>45896</c:v>
                </c:pt>
                <c:pt idx="1119">
                  <c:v>45897</c:v>
                </c:pt>
                <c:pt idx="1120">
                  <c:v>45898</c:v>
                </c:pt>
                <c:pt idx="1121">
                  <c:v>45903</c:v>
                </c:pt>
                <c:pt idx="1122">
                  <c:v>45904</c:v>
                </c:pt>
                <c:pt idx="1123">
                  <c:v>45905</c:v>
                </c:pt>
                <c:pt idx="1124">
                  <c:v>45908</c:v>
                </c:pt>
                <c:pt idx="1125">
                  <c:v>45909</c:v>
                </c:pt>
                <c:pt idx="1126">
                  <c:v>45910</c:v>
                </c:pt>
                <c:pt idx="1127">
                  <c:v>45911</c:v>
                </c:pt>
                <c:pt idx="1128">
                  <c:v>45912</c:v>
                </c:pt>
                <c:pt idx="1129">
                  <c:v>45915</c:v>
                </c:pt>
                <c:pt idx="1130">
                  <c:v>45916</c:v>
                </c:pt>
                <c:pt idx="1131">
                  <c:v>45917</c:v>
                </c:pt>
                <c:pt idx="1132">
                  <c:v>45918</c:v>
                </c:pt>
                <c:pt idx="1133">
                  <c:v>45919</c:v>
                </c:pt>
                <c:pt idx="1134">
                  <c:v>45922</c:v>
                </c:pt>
                <c:pt idx="1135">
                  <c:v>45923</c:v>
                </c:pt>
                <c:pt idx="1136">
                  <c:v>45924</c:v>
                </c:pt>
                <c:pt idx="1137">
                  <c:v>45925</c:v>
                </c:pt>
                <c:pt idx="1138">
                  <c:v>45926</c:v>
                </c:pt>
                <c:pt idx="1139">
                  <c:v>45929</c:v>
                </c:pt>
                <c:pt idx="1140">
                  <c:v>45930</c:v>
                </c:pt>
                <c:pt idx="1141">
                  <c:v>45931</c:v>
                </c:pt>
                <c:pt idx="1142">
                  <c:v>45932</c:v>
                </c:pt>
                <c:pt idx="1143">
                  <c:v>45933</c:v>
                </c:pt>
                <c:pt idx="1144">
                  <c:v>45936</c:v>
                </c:pt>
                <c:pt idx="1145">
                  <c:v>45937</c:v>
                </c:pt>
                <c:pt idx="1146">
                  <c:v>45938</c:v>
                </c:pt>
                <c:pt idx="1147">
                  <c:v>45939</c:v>
                </c:pt>
                <c:pt idx="1148">
                  <c:v>45940</c:v>
                </c:pt>
                <c:pt idx="1149">
                  <c:v>45943</c:v>
                </c:pt>
                <c:pt idx="1150">
                  <c:v>45944</c:v>
                </c:pt>
                <c:pt idx="1151">
                  <c:v>45945</c:v>
                </c:pt>
                <c:pt idx="1152">
                  <c:v>45946</c:v>
                </c:pt>
                <c:pt idx="1153">
                  <c:v>45947</c:v>
                </c:pt>
                <c:pt idx="1154">
                  <c:v>45950</c:v>
                </c:pt>
                <c:pt idx="1155">
                  <c:v>45951</c:v>
                </c:pt>
                <c:pt idx="1156">
                  <c:v>45952</c:v>
                </c:pt>
                <c:pt idx="1157">
                  <c:v>45953</c:v>
                </c:pt>
                <c:pt idx="1158">
                  <c:v>45954</c:v>
                </c:pt>
                <c:pt idx="1159">
                  <c:v>45957</c:v>
                </c:pt>
                <c:pt idx="1160">
                  <c:v>45958</c:v>
                </c:pt>
                <c:pt idx="1161">
                  <c:v>45959</c:v>
                </c:pt>
                <c:pt idx="1162">
                  <c:v>45960</c:v>
                </c:pt>
                <c:pt idx="1163">
                  <c:v>45961</c:v>
                </c:pt>
                <c:pt idx="1164">
                  <c:v>45964</c:v>
                </c:pt>
                <c:pt idx="1165">
                  <c:v>45965</c:v>
                </c:pt>
                <c:pt idx="1166">
                  <c:v>45966</c:v>
                </c:pt>
                <c:pt idx="1167">
                  <c:v>45967</c:v>
                </c:pt>
                <c:pt idx="1168">
                  <c:v>45968</c:v>
                </c:pt>
                <c:pt idx="1169">
                  <c:v>45971</c:v>
                </c:pt>
                <c:pt idx="1170">
                  <c:v>45972</c:v>
                </c:pt>
                <c:pt idx="1171">
                  <c:v>45973</c:v>
                </c:pt>
                <c:pt idx="1172">
                  <c:v>45974</c:v>
                </c:pt>
                <c:pt idx="1173">
                  <c:v>45975</c:v>
                </c:pt>
                <c:pt idx="1174">
                  <c:v>45978</c:v>
                </c:pt>
                <c:pt idx="1175">
                  <c:v>45979</c:v>
                </c:pt>
                <c:pt idx="1176">
                  <c:v>45980</c:v>
                </c:pt>
                <c:pt idx="1177">
                  <c:v>45981</c:v>
                </c:pt>
                <c:pt idx="1178">
                  <c:v>45982</c:v>
                </c:pt>
                <c:pt idx="1179">
                  <c:v>45985</c:v>
                </c:pt>
                <c:pt idx="1180">
                  <c:v>45986</c:v>
                </c:pt>
                <c:pt idx="1181">
                  <c:v>45987</c:v>
                </c:pt>
                <c:pt idx="1182">
                  <c:v>45988</c:v>
                </c:pt>
                <c:pt idx="1183">
                  <c:v>45989</c:v>
                </c:pt>
                <c:pt idx="1184">
                  <c:v>45992</c:v>
                </c:pt>
                <c:pt idx="1185">
                  <c:v>45993</c:v>
                </c:pt>
                <c:pt idx="1186">
                  <c:v>45994</c:v>
                </c:pt>
                <c:pt idx="1187">
                  <c:v>45995</c:v>
                </c:pt>
                <c:pt idx="1188">
                  <c:v>45996</c:v>
                </c:pt>
                <c:pt idx="1189">
                  <c:v>45999</c:v>
                </c:pt>
                <c:pt idx="1190">
                  <c:v>46000</c:v>
                </c:pt>
                <c:pt idx="1191">
                  <c:v>46001</c:v>
                </c:pt>
                <c:pt idx="1192">
                  <c:v>46002</c:v>
                </c:pt>
                <c:pt idx="1193">
                  <c:v>46003</c:v>
                </c:pt>
                <c:pt idx="1194">
                  <c:v>46006</c:v>
                </c:pt>
                <c:pt idx="1195">
                  <c:v>46007</c:v>
                </c:pt>
                <c:pt idx="1196">
                  <c:v>46008</c:v>
                </c:pt>
                <c:pt idx="1197">
                  <c:v>46009</c:v>
                </c:pt>
                <c:pt idx="1198">
                  <c:v>46010</c:v>
                </c:pt>
                <c:pt idx="1199">
                  <c:v>46013</c:v>
                </c:pt>
                <c:pt idx="1200">
                  <c:v>46014</c:v>
                </c:pt>
                <c:pt idx="1201">
                  <c:v>46015</c:v>
                </c:pt>
                <c:pt idx="1202">
                  <c:v>46016</c:v>
                </c:pt>
                <c:pt idx="1203">
                  <c:v>46017</c:v>
                </c:pt>
                <c:pt idx="1204">
                  <c:v>46020</c:v>
                </c:pt>
                <c:pt idx="1205">
                  <c:v>46021</c:v>
                </c:pt>
                <c:pt idx="1206">
                  <c:v>46022</c:v>
                </c:pt>
                <c:pt idx="1207">
                  <c:v>46027</c:v>
                </c:pt>
                <c:pt idx="1208">
                  <c:v>46028</c:v>
                </c:pt>
                <c:pt idx="1209">
                  <c:v>46029</c:v>
                </c:pt>
                <c:pt idx="1210">
                  <c:v>46030</c:v>
                </c:pt>
                <c:pt idx="1211">
                  <c:v>46031</c:v>
                </c:pt>
                <c:pt idx="1212">
                  <c:v>46034</c:v>
                </c:pt>
                <c:pt idx="1213">
                  <c:v>46035</c:v>
                </c:pt>
                <c:pt idx="1214">
                  <c:v>46036</c:v>
                </c:pt>
                <c:pt idx="1215">
                  <c:v>46037</c:v>
                </c:pt>
                <c:pt idx="1216">
                  <c:v>46038</c:v>
                </c:pt>
                <c:pt idx="1217">
                  <c:v>46041</c:v>
                </c:pt>
                <c:pt idx="1218">
                  <c:v>46042</c:v>
                </c:pt>
                <c:pt idx="1219">
                  <c:v>46043</c:v>
                </c:pt>
                <c:pt idx="1220">
                  <c:v>46044</c:v>
                </c:pt>
                <c:pt idx="1221">
                  <c:v>46045</c:v>
                </c:pt>
                <c:pt idx="1222">
                  <c:v>46048</c:v>
                </c:pt>
                <c:pt idx="1223">
                  <c:v>46049</c:v>
                </c:pt>
                <c:pt idx="1224">
                  <c:v>46050</c:v>
                </c:pt>
                <c:pt idx="1225">
                  <c:v>46051</c:v>
                </c:pt>
                <c:pt idx="1226">
                  <c:v>46052</c:v>
                </c:pt>
                <c:pt idx="1227">
                  <c:v>46055</c:v>
                </c:pt>
                <c:pt idx="1228">
                  <c:v>46056</c:v>
                </c:pt>
                <c:pt idx="1229">
                  <c:v>46057</c:v>
                </c:pt>
                <c:pt idx="1230">
                  <c:v>46058</c:v>
                </c:pt>
                <c:pt idx="1231">
                  <c:v>46059</c:v>
                </c:pt>
                <c:pt idx="1232">
                  <c:v>46062</c:v>
                </c:pt>
                <c:pt idx="1233">
                  <c:v>46063</c:v>
                </c:pt>
                <c:pt idx="1234">
                  <c:v>46064</c:v>
                </c:pt>
                <c:pt idx="1235">
                  <c:v>46065</c:v>
                </c:pt>
                <c:pt idx="1236">
                  <c:v>46066</c:v>
                </c:pt>
                <c:pt idx="1237">
                  <c:v>46076</c:v>
                </c:pt>
                <c:pt idx="1238">
                  <c:v>46077</c:v>
                </c:pt>
                <c:pt idx="1239">
                  <c:v>46078</c:v>
                </c:pt>
                <c:pt idx="1240">
                  <c:v>46079</c:v>
                </c:pt>
                <c:pt idx="1241">
                  <c:v>46080</c:v>
                </c:pt>
                <c:pt idx="1242">
                  <c:v>46083</c:v>
                </c:pt>
                <c:pt idx="1243">
                  <c:v>46084</c:v>
                </c:pt>
                <c:pt idx="1244">
                  <c:v>46085</c:v>
                </c:pt>
                <c:pt idx="1245">
                  <c:v>46086</c:v>
                </c:pt>
                <c:pt idx="1246">
                  <c:v>46087</c:v>
                </c:pt>
                <c:pt idx="1247">
                  <c:v>45968</c:v>
                </c:pt>
              </c:numCache>
            </c:numRef>
          </c:cat>
          <c:val>
            <c:numRef>
              <c:f>'FX Data'!$G$957:$G$2204</c:f>
              <c:numCache>
                <c:formatCode>0.0</c:formatCode>
                <c:ptCount val="1248"/>
                <c:pt idx="0">
                  <c:v>27.569559842869719</c:v>
                </c:pt>
                <c:pt idx="1">
                  <c:v>27.569559842869719</c:v>
                </c:pt>
                <c:pt idx="2">
                  <c:v>27.569559842869719</c:v>
                </c:pt>
                <c:pt idx="3">
                  <c:v>27.569559842869719</c:v>
                </c:pt>
                <c:pt idx="4">
                  <c:v>27.569559842869719</c:v>
                </c:pt>
                <c:pt idx="5">
                  <c:v>27.569559842869719</c:v>
                </c:pt>
                <c:pt idx="6">
                  <c:v>27.569559842869719</c:v>
                </c:pt>
                <c:pt idx="7">
                  <c:v>27.569559842869719</c:v>
                </c:pt>
                <c:pt idx="8">
                  <c:v>27.569559842869719</c:v>
                </c:pt>
                <c:pt idx="9">
                  <c:v>27.569559842869719</c:v>
                </c:pt>
                <c:pt idx="10">
                  <c:v>27.569559842869719</c:v>
                </c:pt>
                <c:pt idx="11">
                  <c:v>27.569559842869719</c:v>
                </c:pt>
                <c:pt idx="12">
                  <c:v>27.569559842869719</c:v>
                </c:pt>
                <c:pt idx="13">
                  <c:v>27.569559842869719</c:v>
                </c:pt>
                <c:pt idx="14">
                  <c:v>27.569559842869719</c:v>
                </c:pt>
                <c:pt idx="15">
                  <c:v>27.569559842869719</c:v>
                </c:pt>
                <c:pt idx="16">
                  <c:v>27.569559842869719</c:v>
                </c:pt>
                <c:pt idx="17">
                  <c:v>27.569559842869719</c:v>
                </c:pt>
                <c:pt idx="18">
                  <c:v>27.569559842869719</c:v>
                </c:pt>
                <c:pt idx="19">
                  <c:v>27.569559842869719</c:v>
                </c:pt>
                <c:pt idx="20">
                  <c:v>27.569559842869719</c:v>
                </c:pt>
                <c:pt idx="21">
                  <c:v>27.569559842869719</c:v>
                </c:pt>
                <c:pt idx="22">
                  <c:v>27.569559842869719</c:v>
                </c:pt>
                <c:pt idx="23">
                  <c:v>27.569559842869719</c:v>
                </c:pt>
                <c:pt idx="24">
                  <c:v>27.569559842869719</c:v>
                </c:pt>
                <c:pt idx="25">
                  <c:v>27.569559842869719</c:v>
                </c:pt>
                <c:pt idx="26">
                  <c:v>27.569559842869719</c:v>
                </c:pt>
                <c:pt idx="27">
                  <c:v>27.569559842869719</c:v>
                </c:pt>
                <c:pt idx="28">
                  <c:v>27.569559842869719</c:v>
                </c:pt>
                <c:pt idx="29">
                  <c:v>27.569559842869719</c:v>
                </c:pt>
                <c:pt idx="30">
                  <c:v>27.569559842869719</c:v>
                </c:pt>
                <c:pt idx="31">
                  <c:v>27.569559842869719</c:v>
                </c:pt>
                <c:pt idx="32">
                  <c:v>27.569559842869719</c:v>
                </c:pt>
                <c:pt idx="33">
                  <c:v>27.569559842869719</c:v>
                </c:pt>
                <c:pt idx="34">
                  <c:v>27.569559842869719</c:v>
                </c:pt>
                <c:pt idx="35">
                  <c:v>27.569559842869719</c:v>
                </c:pt>
                <c:pt idx="36">
                  <c:v>27.569559842869719</c:v>
                </c:pt>
                <c:pt idx="37">
                  <c:v>27.569559842869719</c:v>
                </c:pt>
                <c:pt idx="38">
                  <c:v>27.569559842869719</c:v>
                </c:pt>
                <c:pt idx="39">
                  <c:v>27.569559842869719</c:v>
                </c:pt>
                <c:pt idx="40">
                  <c:v>27.569559842869719</c:v>
                </c:pt>
                <c:pt idx="41">
                  <c:v>27.569559842869719</c:v>
                </c:pt>
                <c:pt idx="42">
                  <c:v>27.569559842869719</c:v>
                </c:pt>
                <c:pt idx="43">
                  <c:v>27.569559842869719</c:v>
                </c:pt>
                <c:pt idx="44">
                  <c:v>27.569559842869719</c:v>
                </c:pt>
                <c:pt idx="45">
                  <c:v>27.569559842869719</c:v>
                </c:pt>
                <c:pt idx="46">
                  <c:v>27.569559842869719</c:v>
                </c:pt>
                <c:pt idx="47">
                  <c:v>27.569559842869719</c:v>
                </c:pt>
                <c:pt idx="48">
                  <c:v>27.569559842869719</c:v>
                </c:pt>
                <c:pt idx="49">
                  <c:v>27.569559842869719</c:v>
                </c:pt>
                <c:pt idx="50">
                  <c:v>27.569559842869719</c:v>
                </c:pt>
                <c:pt idx="51">
                  <c:v>27.569559842869719</c:v>
                </c:pt>
                <c:pt idx="52">
                  <c:v>27.569559842869719</c:v>
                </c:pt>
                <c:pt idx="53">
                  <c:v>27.569559842869719</c:v>
                </c:pt>
                <c:pt idx="54">
                  <c:v>27.569559842869719</c:v>
                </c:pt>
                <c:pt idx="55">
                  <c:v>27.569559842869719</c:v>
                </c:pt>
                <c:pt idx="56">
                  <c:v>27.569559842869719</c:v>
                </c:pt>
                <c:pt idx="57">
                  <c:v>27.569559842869719</c:v>
                </c:pt>
                <c:pt idx="58">
                  <c:v>27.569559842869719</c:v>
                </c:pt>
                <c:pt idx="59">
                  <c:v>27.569559842869719</c:v>
                </c:pt>
                <c:pt idx="60">
                  <c:v>27.569559842869719</c:v>
                </c:pt>
                <c:pt idx="61">
                  <c:v>27.569559842869719</c:v>
                </c:pt>
                <c:pt idx="62">
                  <c:v>27.569559842869719</c:v>
                </c:pt>
                <c:pt idx="63">
                  <c:v>27.569559842869719</c:v>
                </c:pt>
                <c:pt idx="64">
                  <c:v>27.569559842869719</c:v>
                </c:pt>
                <c:pt idx="65">
                  <c:v>27.569559842869719</c:v>
                </c:pt>
                <c:pt idx="66">
                  <c:v>27.569559842869719</c:v>
                </c:pt>
                <c:pt idx="67">
                  <c:v>27.569559842869719</c:v>
                </c:pt>
                <c:pt idx="68">
                  <c:v>27.569559842869719</c:v>
                </c:pt>
                <c:pt idx="69">
                  <c:v>27.569559842869719</c:v>
                </c:pt>
                <c:pt idx="70">
                  <c:v>27.569559842869719</c:v>
                </c:pt>
                <c:pt idx="71">
                  <c:v>27.569559842869719</c:v>
                </c:pt>
                <c:pt idx="72">
                  <c:v>27.569559842869719</c:v>
                </c:pt>
                <c:pt idx="73">
                  <c:v>27.569559842869719</c:v>
                </c:pt>
                <c:pt idx="74">
                  <c:v>27.569559842869719</c:v>
                </c:pt>
                <c:pt idx="75">
                  <c:v>27.569559842869719</c:v>
                </c:pt>
                <c:pt idx="76">
                  <c:v>27.569559842869719</c:v>
                </c:pt>
                <c:pt idx="77">
                  <c:v>27.569559842869719</c:v>
                </c:pt>
                <c:pt idx="78">
                  <c:v>27.569559842869719</c:v>
                </c:pt>
                <c:pt idx="79">
                  <c:v>27.569559842869719</c:v>
                </c:pt>
                <c:pt idx="80">
                  <c:v>27.569559842869719</c:v>
                </c:pt>
                <c:pt idx="81">
                  <c:v>27.569559842869719</c:v>
                </c:pt>
                <c:pt idx="82">
                  <c:v>27.569559842869719</c:v>
                </c:pt>
                <c:pt idx="83">
                  <c:v>27.569559842869719</c:v>
                </c:pt>
                <c:pt idx="84">
                  <c:v>27.569559842869719</c:v>
                </c:pt>
                <c:pt idx="85">
                  <c:v>27.569559842869719</c:v>
                </c:pt>
                <c:pt idx="86">
                  <c:v>27.569559842869719</c:v>
                </c:pt>
                <c:pt idx="87">
                  <c:v>27.569559842869719</c:v>
                </c:pt>
                <c:pt idx="88">
                  <c:v>27.569559842869719</c:v>
                </c:pt>
                <c:pt idx="89">
                  <c:v>27.569559842869719</c:v>
                </c:pt>
                <c:pt idx="90">
                  <c:v>27.569559842869719</c:v>
                </c:pt>
                <c:pt idx="91">
                  <c:v>27.569559842869719</c:v>
                </c:pt>
                <c:pt idx="92">
                  <c:v>27.569559842869719</c:v>
                </c:pt>
                <c:pt idx="93">
                  <c:v>27.569559842869719</c:v>
                </c:pt>
                <c:pt idx="94">
                  <c:v>27.569559842869719</c:v>
                </c:pt>
                <c:pt idx="95">
                  <c:v>27.569559842869719</c:v>
                </c:pt>
                <c:pt idx="96">
                  <c:v>27.569559842869719</c:v>
                </c:pt>
                <c:pt idx="97">
                  <c:v>27.569559842869719</c:v>
                </c:pt>
                <c:pt idx="98">
                  <c:v>27.569559842869719</c:v>
                </c:pt>
                <c:pt idx="99">
                  <c:v>27.569559842869719</c:v>
                </c:pt>
                <c:pt idx="100">
                  <c:v>27.569559842869719</c:v>
                </c:pt>
                <c:pt idx="101">
                  <c:v>27.569559842869719</c:v>
                </c:pt>
                <c:pt idx="102">
                  <c:v>27.569559842869719</c:v>
                </c:pt>
                <c:pt idx="103">
                  <c:v>27.569559842869719</c:v>
                </c:pt>
                <c:pt idx="104">
                  <c:v>27.569559842869719</c:v>
                </c:pt>
                <c:pt idx="105">
                  <c:v>27.569559842869719</c:v>
                </c:pt>
                <c:pt idx="106">
                  <c:v>27.569559842869719</c:v>
                </c:pt>
                <c:pt idx="107">
                  <c:v>27.569559842869719</c:v>
                </c:pt>
                <c:pt idx="108">
                  <c:v>27.569559842869719</c:v>
                </c:pt>
                <c:pt idx="109">
                  <c:v>27.569559842869719</c:v>
                </c:pt>
                <c:pt idx="110">
                  <c:v>27.569559842869719</c:v>
                </c:pt>
                <c:pt idx="111">
                  <c:v>27.569559842869719</c:v>
                </c:pt>
                <c:pt idx="112">
                  <c:v>27.569559842869719</c:v>
                </c:pt>
                <c:pt idx="113">
                  <c:v>27.569559842869719</c:v>
                </c:pt>
                <c:pt idx="114">
                  <c:v>27.569559842869719</c:v>
                </c:pt>
                <c:pt idx="115">
                  <c:v>27.569559842869719</c:v>
                </c:pt>
                <c:pt idx="116">
                  <c:v>27.569559842869719</c:v>
                </c:pt>
                <c:pt idx="117">
                  <c:v>27.569559842869719</c:v>
                </c:pt>
                <c:pt idx="118">
                  <c:v>27.569559842869719</c:v>
                </c:pt>
                <c:pt idx="119">
                  <c:v>27.569559842869719</c:v>
                </c:pt>
                <c:pt idx="120">
                  <c:v>27.569559842869719</c:v>
                </c:pt>
                <c:pt idx="121">
                  <c:v>27.569559842869719</c:v>
                </c:pt>
                <c:pt idx="122">
                  <c:v>27.569559842869719</c:v>
                </c:pt>
                <c:pt idx="123">
                  <c:v>27.569559842869719</c:v>
                </c:pt>
                <c:pt idx="124">
                  <c:v>27.569559842869719</c:v>
                </c:pt>
                <c:pt idx="125">
                  <c:v>27.569559842869719</c:v>
                </c:pt>
                <c:pt idx="126">
                  <c:v>27.569559842869719</c:v>
                </c:pt>
                <c:pt idx="127">
                  <c:v>27.569559842869719</c:v>
                </c:pt>
                <c:pt idx="128">
                  <c:v>27.569559842869719</c:v>
                </c:pt>
                <c:pt idx="129">
                  <c:v>27.569559842869719</c:v>
                </c:pt>
                <c:pt idx="130">
                  <c:v>27.569559842869719</c:v>
                </c:pt>
                <c:pt idx="131">
                  <c:v>27.569559842869719</c:v>
                </c:pt>
                <c:pt idx="132">
                  <c:v>27.569559842869719</c:v>
                </c:pt>
                <c:pt idx="133">
                  <c:v>27.569559842869719</c:v>
                </c:pt>
                <c:pt idx="134">
                  <c:v>27.569559842869719</c:v>
                </c:pt>
                <c:pt idx="135">
                  <c:v>27.569559842869719</c:v>
                </c:pt>
                <c:pt idx="136">
                  <c:v>27.569559842869719</c:v>
                </c:pt>
                <c:pt idx="137">
                  <c:v>27.569559842869719</c:v>
                </c:pt>
                <c:pt idx="138">
                  <c:v>27.569559842869719</c:v>
                </c:pt>
                <c:pt idx="139">
                  <c:v>27.569559842869719</c:v>
                </c:pt>
                <c:pt idx="140">
                  <c:v>27.569559842869719</c:v>
                </c:pt>
                <c:pt idx="141">
                  <c:v>27.569559842869719</c:v>
                </c:pt>
                <c:pt idx="142">
                  <c:v>27.569559842869719</c:v>
                </c:pt>
                <c:pt idx="143">
                  <c:v>27.569559842869719</c:v>
                </c:pt>
                <c:pt idx="144">
                  <c:v>27.569559842869719</c:v>
                </c:pt>
                <c:pt idx="145">
                  <c:v>27.569559842869719</c:v>
                </c:pt>
                <c:pt idx="146">
                  <c:v>27.569559842869719</c:v>
                </c:pt>
                <c:pt idx="147">
                  <c:v>27.569559842869719</c:v>
                </c:pt>
                <c:pt idx="148">
                  <c:v>27.569559842869719</c:v>
                </c:pt>
                <c:pt idx="149">
                  <c:v>27.569559842869719</c:v>
                </c:pt>
                <c:pt idx="150">
                  <c:v>27.569559842869719</c:v>
                </c:pt>
                <c:pt idx="151">
                  <c:v>27.569559842869719</c:v>
                </c:pt>
                <c:pt idx="152">
                  <c:v>27.569559842869719</c:v>
                </c:pt>
                <c:pt idx="153">
                  <c:v>27.569559842869719</c:v>
                </c:pt>
                <c:pt idx="154">
                  <c:v>27.569559842869719</c:v>
                </c:pt>
                <c:pt idx="155">
                  <c:v>27.569559842869719</c:v>
                </c:pt>
                <c:pt idx="156">
                  <c:v>27.569559842869719</c:v>
                </c:pt>
                <c:pt idx="157">
                  <c:v>27.569559842869719</c:v>
                </c:pt>
                <c:pt idx="158">
                  <c:v>27.569559842869719</c:v>
                </c:pt>
                <c:pt idx="159">
                  <c:v>27.569559842869719</c:v>
                </c:pt>
                <c:pt idx="160">
                  <c:v>27.569559842869719</c:v>
                </c:pt>
                <c:pt idx="161">
                  <c:v>27.569559842869719</c:v>
                </c:pt>
                <c:pt idx="162">
                  <c:v>27.569559842869719</c:v>
                </c:pt>
                <c:pt idx="163">
                  <c:v>27.569559842869719</c:v>
                </c:pt>
                <c:pt idx="164">
                  <c:v>27.569559842869719</c:v>
                </c:pt>
                <c:pt idx="165">
                  <c:v>27.569559842869719</c:v>
                </c:pt>
                <c:pt idx="166">
                  <c:v>27.569559842869719</c:v>
                </c:pt>
                <c:pt idx="167">
                  <c:v>27.569559842869719</c:v>
                </c:pt>
                <c:pt idx="168">
                  <c:v>27.569559842869719</c:v>
                </c:pt>
                <c:pt idx="169">
                  <c:v>27.569559842869719</c:v>
                </c:pt>
                <c:pt idx="170">
                  <c:v>27.569559842869719</c:v>
                </c:pt>
                <c:pt idx="171">
                  <c:v>27.569559842869719</c:v>
                </c:pt>
                <c:pt idx="172">
                  <c:v>27.569559842869719</c:v>
                </c:pt>
                <c:pt idx="173">
                  <c:v>27.569559842869719</c:v>
                </c:pt>
                <c:pt idx="174">
                  <c:v>27.569559842869719</c:v>
                </c:pt>
                <c:pt idx="175">
                  <c:v>27.569559842869719</c:v>
                </c:pt>
                <c:pt idx="176">
                  <c:v>27.569559842869719</c:v>
                </c:pt>
                <c:pt idx="177">
                  <c:v>27.569559842869719</c:v>
                </c:pt>
                <c:pt idx="178">
                  <c:v>27.569559842869719</c:v>
                </c:pt>
                <c:pt idx="179">
                  <c:v>27.569559842869719</c:v>
                </c:pt>
                <c:pt idx="180">
                  <c:v>27.569559842869719</c:v>
                </c:pt>
                <c:pt idx="181">
                  <c:v>27.569559842869719</c:v>
                </c:pt>
                <c:pt idx="182">
                  <c:v>27.569559842869719</c:v>
                </c:pt>
                <c:pt idx="183">
                  <c:v>27.569559842869719</c:v>
                </c:pt>
                <c:pt idx="184">
                  <c:v>27.569559842869719</c:v>
                </c:pt>
                <c:pt idx="185">
                  <c:v>27.569559842869719</c:v>
                </c:pt>
                <c:pt idx="186">
                  <c:v>27.569559842869719</c:v>
                </c:pt>
                <c:pt idx="187">
                  <c:v>27.569559842869719</c:v>
                </c:pt>
                <c:pt idx="188">
                  <c:v>27.569559842869719</c:v>
                </c:pt>
                <c:pt idx="189">
                  <c:v>27.569559842869719</c:v>
                </c:pt>
                <c:pt idx="190">
                  <c:v>27.569559842869719</c:v>
                </c:pt>
                <c:pt idx="191">
                  <c:v>27.569559842869719</c:v>
                </c:pt>
                <c:pt idx="192">
                  <c:v>27.569559842869719</c:v>
                </c:pt>
                <c:pt idx="193">
                  <c:v>27.569559842869719</c:v>
                </c:pt>
                <c:pt idx="194">
                  <c:v>27.569559842869719</c:v>
                </c:pt>
                <c:pt idx="195">
                  <c:v>27.569559842869719</c:v>
                </c:pt>
                <c:pt idx="196">
                  <c:v>27.569559842869719</c:v>
                </c:pt>
                <c:pt idx="197">
                  <c:v>27.569559842869719</c:v>
                </c:pt>
                <c:pt idx="198">
                  <c:v>27.569559842869719</c:v>
                </c:pt>
                <c:pt idx="199">
                  <c:v>27.569559842869719</c:v>
                </c:pt>
                <c:pt idx="200">
                  <c:v>27.569559842869719</c:v>
                </c:pt>
                <c:pt idx="201">
                  <c:v>27.569559842869719</c:v>
                </c:pt>
                <c:pt idx="202">
                  <c:v>27.569559842869719</c:v>
                </c:pt>
                <c:pt idx="203">
                  <c:v>27.569559842869719</c:v>
                </c:pt>
                <c:pt idx="204">
                  <c:v>27.569559842869719</c:v>
                </c:pt>
                <c:pt idx="205">
                  <c:v>27.569559842869719</c:v>
                </c:pt>
                <c:pt idx="206">
                  <c:v>27.569559842869719</c:v>
                </c:pt>
                <c:pt idx="207">
                  <c:v>27.569559842869719</c:v>
                </c:pt>
                <c:pt idx="208">
                  <c:v>27.569559842869719</c:v>
                </c:pt>
                <c:pt idx="209">
                  <c:v>27.569559842869719</c:v>
                </c:pt>
                <c:pt idx="210">
                  <c:v>27.569559842869719</c:v>
                </c:pt>
                <c:pt idx="211">
                  <c:v>27.569559842869719</c:v>
                </c:pt>
                <c:pt idx="212">
                  <c:v>27.569559842869719</c:v>
                </c:pt>
                <c:pt idx="213">
                  <c:v>27.569559842869719</c:v>
                </c:pt>
                <c:pt idx="214">
                  <c:v>27.569559842869719</c:v>
                </c:pt>
                <c:pt idx="215">
                  <c:v>27.569559842869719</c:v>
                </c:pt>
                <c:pt idx="216">
                  <c:v>27.569559842869719</c:v>
                </c:pt>
                <c:pt idx="217">
                  <c:v>27.569559842869719</c:v>
                </c:pt>
                <c:pt idx="218">
                  <c:v>27.569559842869719</c:v>
                </c:pt>
                <c:pt idx="219">
                  <c:v>27.569559842869719</c:v>
                </c:pt>
                <c:pt idx="220">
                  <c:v>27.569559842869719</c:v>
                </c:pt>
                <c:pt idx="221">
                  <c:v>27.569559842869719</c:v>
                </c:pt>
                <c:pt idx="222">
                  <c:v>27.569559842869719</c:v>
                </c:pt>
                <c:pt idx="223">
                  <c:v>27.569559842869719</c:v>
                </c:pt>
                <c:pt idx="224">
                  <c:v>27.569559842869719</c:v>
                </c:pt>
                <c:pt idx="225">
                  <c:v>27.569559842869719</c:v>
                </c:pt>
                <c:pt idx="226">
                  <c:v>27.569559842869719</c:v>
                </c:pt>
                <c:pt idx="227">
                  <c:v>27.569559842869719</c:v>
                </c:pt>
                <c:pt idx="228">
                  <c:v>27.569559842869719</c:v>
                </c:pt>
                <c:pt idx="229">
                  <c:v>27.569559842869719</c:v>
                </c:pt>
                <c:pt idx="230">
                  <c:v>27.569559842869719</c:v>
                </c:pt>
                <c:pt idx="231">
                  <c:v>27.569559842869719</c:v>
                </c:pt>
                <c:pt idx="232">
                  <c:v>27.569559842869719</c:v>
                </c:pt>
                <c:pt idx="233">
                  <c:v>27.569559842869719</c:v>
                </c:pt>
                <c:pt idx="234">
                  <c:v>27.569559842869719</c:v>
                </c:pt>
                <c:pt idx="235">
                  <c:v>27.569559842869719</c:v>
                </c:pt>
                <c:pt idx="236">
                  <c:v>27.569559842869719</c:v>
                </c:pt>
                <c:pt idx="237">
                  <c:v>27.569559842869719</c:v>
                </c:pt>
                <c:pt idx="238">
                  <c:v>27.569559842869719</c:v>
                </c:pt>
                <c:pt idx="239">
                  <c:v>27.569559842869719</c:v>
                </c:pt>
                <c:pt idx="240">
                  <c:v>27.569559842869719</c:v>
                </c:pt>
                <c:pt idx="241">
                  <c:v>27.569559842869719</c:v>
                </c:pt>
                <c:pt idx="242">
                  <c:v>27.569559842869719</c:v>
                </c:pt>
                <c:pt idx="243">
                  <c:v>27.569559842869719</c:v>
                </c:pt>
                <c:pt idx="244">
                  <c:v>27.569559842869719</c:v>
                </c:pt>
                <c:pt idx="245">
                  <c:v>27.569559842869719</c:v>
                </c:pt>
                <c:pt idx="246">
                  <c:v>27.569559842869719</c:v>
                </c:pt>
                <c:pt idx="247">
                  <c:v>27.569559842869719</c:v>
                </c:pt>
                <c:pt idx="248">
                  <c:v>27.569559842869719</c:v>
                </c:pt>
                <c:pt idx="249">
                  <c:v>27.569559842869719</c:v>
                </c:pt>
                <c:pt idx="250">
                  <c:v>27.569559842869719</c:v>
                </c:pt>
                <c:pt idx="251">
                  <c:v>27.569559842869719</c:v>
                </c:pt>
                <c:pt idx="252">
                  <c:v>27.569559842869719</c:v>
                </c:pt>
                <c:pt idx="253">
                  <c:v>27.569559842869719</c:v>
                </c:pt>
                <c:pt idx="254">
                  <c:v>27.569559842869719</c:v>
                </c:pt>
                <c:pt idx="255">
                  <c:v>27.569559842869719</c:v>
                </c:pt>
                <c:pt idx="256">
                  <c:v>27.569559842869719</c:v>
                </c:pt>
                <c:pt idx="257">
                  <c:v>27.569559842869719</c:v>
                </c:pt>
                <c:pt idx="258">
                  <c:v>27.569559842869719</c:v>
                </c:pt>
                <c:pt idx="259">
                  <c:v>27.569559842869719</c:v>
                </c:pt>
                <c:pt idx="260">
                  <c:v>27.569559842869719</c:v>
                </c:pt>
                <c:pt idx="261">
                  <c:v>27.569559842869719</c:v>
                </c:pt>
                <c:pt idx="262">
                  <c:v>27.569559842869719</c:v>
                </c:pt>
                <c:pt idx="263">
                  <c:v>27.569559842869719</c:v>
                </c:pt>
                <c:pt idx="264">
                  <c:v>27.569559842869719</c:v>
                </c:pt>
                <c:pt idx="265">
                  <c:v>27.569559842869719</c:v>
                </c:pt>
                <c:pt idx="266">
                  <c:v>27.569559842869719</c:v>
                </c:pt>
                <c:pt idx="267">
                  <c:v>27.569559842869719</c:v>
                </c:pt>
                <c:pt idx="268">
                  <c:v>27.569559842869719</c:v>
                </c:pt>
                <c:pt idx="269">
                  <c:v>27.569559842869719</c:v>
                </c:pt>
                <c:pt idx="270">
                  <c:v>27.569559842869719</c:v>
                </c:pt>
                <c:pt idx="271">
                  <c:v>27.569559842869719</c:v>
                </c:pt>
                <c:pt idx="272">
                  <c:v>27.569559842869719</c:v>
                </c:pt>
                <c:pt idx="273">
                  <c:v>27.569559842869719</c:v>
                </c:pt>
                <c:pt idx="274">
                  <c:v>27.569559842869719</c:v>
                </c:pt>
                <c:pt idx="275">
                  <c:v>27.569559842869719</c:v>
                </c:pt>
                <c:pt idx="276">
                  <c:v>27.569559842869719</c:v>
                </c:pt>
                <c:pt idx="277">
                  <c:v>27.569559842869719</c:v>
                </c:pt>
                <c:pt idx="278">
                  <c:v>27.569559842869719</c:v>
                </c:pt>
                <c:pt idx="279">
                  <c:v>27.569559842869719</c:v>
                </c:pt>
                <c:pt idx="280">
                  <c:v>27.569559842869719</c:v>
                </c:pt>
                <c:pt idx="281">
                  <c:v>27.569559842869719</c:v>
                </c:pt>
                <c:pt idx="282">
                  <c:v>27.569559842869719</c:v>
                </c:pt>
                <c:pt idx="283">
                  <c:v>27.569559842869719</c:v>
                </c:pt>
                <c:pt idx="284">
                  <c:v>27.569559842869719</c:v>
                </c:pt>
                <c:pt idx="285">
                  <c:v>27.569559842869719</c:v>
                </c:pt>
                <c:pt idx="286">
                  <c:v>27.569559842869719</c:v>
                </c:pt>
                <c:pt idx="287">
                  <c:v>27.569559842869719</c:v>
                </c:pt>
                <c:pt idx="288">
                  <c:v>27.569559842869719</c:v>
                </c:pt>
                <c:pt idx="289">
                  <c:v>27.569559842869719</c:v>
                </c:pt>
                <c:pt idx="290">
                  <c:v>27.569559842869719</c:v>
                </c:pt>
                <c:pt idx="291">
                  <c:v>27.569559842869719</c:v>
                </c:pt>
                <c:pt idx="292">
                  <c:v>27.569559842869719</c:v>
                </c:pt>
                <c:pt idx="293">
                  <c:v>27.569559842869719</c:v>
                </c:pt>
                <c:pt idx="294">
                  <c:v>27.569559842869719</c:v>
                </c:pt>
                <c:pt idx="295">
                  <c:v>27.569559842869719</c:v>
                </c:pt>
                <c:pt idx="296">
                  <c:v>27.569559842869719</c:v>
                </c:pt>
                <c:pt idx="297">
                  <c:v>27.569559842869719</c:v>
                </c:pt>
                <c:pt idx="298">
                  <c:v>27.569559842869719</c:v>
                </c:pt>
                <c:pt idx="299">
                  <c:v>27.569559842869719</c:v>
                </c:pt>
                <c:pt idx="300">
                  <c:v>27.569559842869719</c:v>
                </c:pt>
                <c:pt idx="301">
                  <c:v>27.569559842869719</c:v>
                </c:pt>
                <c:pt idx="302">
                  <c:v>27.569559842869719</c:v>
                </c:pt>
                <c:pt idx="303">
                  <c:v>27.569559842869719</c:v>
                </c:pt>
                <c:pt idx="304">
                  <c:v>27.569559842869719</c:v>
                </c:pt>
                <c:pt idx="305">
                  <c:v>27.569559842869719</c:v>
                </c:pt>
                <c:pt idx="306">
                  <c:v>27.569559842869719</c:v>
                </c:pt>
                <c:pt idx="307">
                  <c:v>27.569559842869719</c:v>
                </c:pt>
                <c:pt idx="308">
                  <c:v>27.569559842869719</c:v>
                </c:pt>
                <c:pt idx="309">
                  <c:v>27.569559842869719</c:v>
                </c:pt>
                <c:pt idx="310">
                  <c:v>27.569559842869719</c:v>
                </c:pt>
                <c:pt idx="311">
                  <c:v>27.569559842869719</c:v>
                </c:pt>
                <c:pt idx="312">
                  <c:v>27.569559842869719</c:v>
                </c:pt>
                <c:pt idx="313">
                  <c:v>27.569559842869719</c:v>
                </c:pt>
                <c:pt idx="314">
                  <c:v>27.569559842869719</c:v>
                </c:pt>
                <c:pt idx="315">
                  <c:v>27.569559842869719</c:v>
                </c:pt>
                <c:pt idx="316">
                  <c:v>27.569559842869719</c:v>
                </c:pt>
                <c:pt idx="317">
                  <c:v>27.569559842869719</c:v>
                </c:pt>
                <c:pt idx="318">
                  <c:v>27.569559842869719</c:v>
                </c:pt>
                <c:pt idx="319">
                  <c:v>27.569559842869719</c:v>
                </c:pt>
                <c:pt idx="320">
                  <c:v>27.569559842869719</c:v>
                </c:pt>
                <c:pt idx="321">
                  <c:v>27.569559842869719</c:v>
                </c:pt>
                <c:pt idx="322">
                  <c:v>27.569559842869719</c:v>
                </c:pt>
                <c:pt idx="323">
                  <c:v>27.569559842869719</c:v>
                </c:pt>
                <c:pt idx="324">
                  <c:v>27.569559842869719</c:v>
                </c:pt>
                <c:pt idx="325">
                  <c:v>27.569559842869719</c:v>
                </c:pt>
                <c:pt idx="326">
                  <c:v>27.569559842869719</c:v>
                </c:pt>
                <c:pt idx="327">
                  <c:v>27.569559842869719</c:v>
                </c:pt>
                <c:pt idx="328">
                  <c:v>27.569559842869719</c:v>
                </c:pt>
                <c:pt idx="329">
                  <c:v>27.569559842869719</c:v>
                </c:pt>
                <c:pt idx="330">
                  <c:v>27.569559842869719</c:v>
                </c:pt>
                <c:pt idx="331">
                  <c:v>27.569559842869719</c:v>
                </c:pt>
                <c:pt idx="332">
                  <c:v>27.569559842869719</c:v>
                </c:pt>
                <c:pt idx="333">
                  <c:v>27.569559842869719</c:v>
                </c:pt>
                <c:pt idx="334">
                  <c:v>27.569559842869719</c:v>
                </c:pt>
                <c:pt idx="335">
                  <c:v>27.569559842869719</c:v>
                </c:pt>
                <c:pt idx="336">
                  <c:v>27.569559842869719</c:v>
                </c:pt>
                <c:pt idx="337">
                  <c:v>27.569559842869719</c:v>
                </c:pt>
                <c:pt idx="338">
                  <c:v>27.569559842869719</c:v>
                </c:pt>
                <c:pt idx="339">
                  <c:v>27.569559842869719</c:v>
                </c:pt>
                <c:pt idx="340">
                  <c:v>27.569559842869719</c:v>
                </c:pt>
                <c:pt idx="341">
                  <c:v>27.569559842869719</c:v>
                </c:pt>
                <c:pt idx="342">
                  <c:v>27.569559842869719</c:v>
                </c:pt>
                <c:pt idx="343">
                  <c:v>27.569559842869719</c:v>
                </c:pt>
                <c:pt idx="344">
                  <c:v>27.569559842869719</c:v>
                </c:pt>
                <c:pt idx="345">
                  <c:v>27.569559842869719</c:v>
                </c:pt>
                <c:pt idx="346">
                  <c:v>27.569559842869719</c:v>
                </c:pt>
                <c:pt idx="347">
                  <c:v>27.569559842869719</c:v>
                </c:pt>
                <c:pt idx="348">
                  <c:v>27.569559842869719</c:v>
                </c:pt>
                <c:pt idx="349">
                  <c:v>27.569559842869719</c:v>
                </c:pt>
                <c:pt idx="350">
                  <c:v>27.569559842869719</c:v>
                </c:pt>
                <c:pt idx="351">
                  <c:v>27.569559842869719</c:v>
                </c:pt>
                <c:pt idx="352">
                  <c:v>27.569559842869719</c:v>
                </c:pt>
                <c:pt idx="353">
                  <c:v>27.569559842869719</c:v>
                </c:pt>
                <c:pt idx="354">
                  <c:v>27.569559842869719</c:v>
                </c:pt>
                <c:pt idx="355">
                  <c:v>27.569559842869719</c:v>
                </c:pt>
                <c:pt idx="356">
                  <c:v>27.569559842869719</c:v>
                </c:pt>
                <c:pt idx="357">
                  <c:v>27.569559842869719</c:v>
                </c:pt>
                <c:pt idx="358">
                  <c:v>27.569559842869719</c:v>
                </c:pt>
                <c:pt idx="359">
                  <c:v>27.569559842869719</c:v>
                </c:pt>
                <c:pt idx="360">
                  <c:v>27.569559842869719</c:v>
                </c:pt>
                <c:pt idx="361">
                  <c:v>27.569559842869719</c:v>
                </c:pt>
                <c:pt idx="362">
                  <c:v>27.569559842869719</c:v>
                </c:pt>
                <c:pt idx="363">
                  <c:v>27.569559842869719</c:v>
                </c:pt>
                <c:pt idx="364">
                  <c:v>27.569559842869719</c:v>
                </c:pt>
                <c:pt idx="365">
                  <c:v>27.569559842869719</c:v>
                </c:pt>
                <c:pt idx="366">
                  <c:v>27.569559842869719</c:v>
                </c:pt>
                <c:pt idx="367">
                  <c:v>27.569559842869719</c:v>
                </c:pt>
                <c:pt idx="368">
                  <c:v>27.569559842869719</c:v>
                </c:pt>
                <c:pt idx="369">
                  <c:v>27.569559842869719</c:v>
                </c:pt>
                <c:pt idx="370">
                  <c:v>27.569559842869719</c:v>
                </c:pt>
                <c:pt idx="371">
                  <c:v>27.569559842869719</c:v>
                </c:pt>
                <c:pt idx="372">
                  <c:v>27.569559842869719</c:v>
                </c:pt>
                <c:pt idx="373">
                  <c:v>27.569559842869719</c:v>
                </c:pt>
                <c:pt idx="374">
                  <c:v>27.569559842869719</c:v>
                </c:pt>
                <c:pt idx="375">
                  <c:v>27.569559842869719</c:v>
                </c:pt>
                <c:pt idx="376">
                  <c:v>27.569559842869719</c:v>
                </c:pt>
                <c:pt idx="377">
                  <c:v>27.569559842869719</c:v>
                </c:pt>
                <c:pt idx="378">
                  <c:v>27.569559842869719</c:v>
                </c:pt>
                <c:pt idx="379">
                  <c:v>27.569559842869719</c:v>
                </c:pt>
                <c:pt idx="380">
                  <c:v>27.569559842869719</c:v>
                </c:pt>
                <c:pt idx="381">
                  <c:v>27.569559842869719</c:v>
                </c:pt>
                <c:pt idx="382">
                  <c:v>27.569559842869719</c:v>
                </c:pt>
                <c:pt idx="383">
                  <c:v>27.569559842869719</c:v>
                </c:pt>
                <c:pt idx="384">
                  <c:v>27.569559842869719</c:v>
                </c:pt>
                <c:pt idx="385">
                  <c:v>27.569559842869719</c:v>
                </c:pt>
                <c:pt idx="386">
                  <c:v>27.569559842869719</c:v>
                </c:pt>
                <c:pt idx="387">
                  <c:v>27.569559842869719</c:v>
                </c:pt>
                <c:pt idx="388">
                  <c:v>27.569559842869719</c:v>
                </c:pt>
                <c:pt idx="389">
                  <c:v>27.569559842869719</c:v>
                </c:pt>
                <c:pt idx="390">
                  <c:v>27.569559842869719</c:v>
                </c:pt>
                <c:pt idx="391">
                  <c:v>27.569559842869719</c:v>
                </c:pt>
                <c:pt idx="392">
                  <c:v>27.569559842869719</c:v>
                </c:pt>
                <c:pt idx="393">
                  <c:v>27.569559842869719</c:v>
                </c:pt>
                <c:pt idx="394">
                  <c:v>27.569559842869719</c:v>
                </c:pt>
                <c:pt idx="395">
                  <c:v>27.569559842869719</c:v>
                </c:pt>
                <c:pt idx="396">
                  <c:v>27.569559842869719</c:v>
                </c:pt>
                <c:pt idx="397">
                  <c:v>27.569559842869719</c:v>
                </c:pt>
                <c:pt idx="398">
                  <c:v>27.569559842869719</c:v>
                </c:pt>
                <c:pt idx="399">
                  <c:v>27.569559842869719</c:v>
                </c:pt>
                <c:pt idx="400">
                  <c:v>27.569559842869719</c:v>
                </c:pt>
                <c:pt idx="401">
                  <c:v>27.569559842869719</c:v>
                </c:pt>
                <c:pt idx="402">
                  <c:v>27.569559842869719</c:v>
                </c:pt>
                <c:pt idx="403">
                  <c:v>27.569559842869719</c:v>
                </c:pt>
                <c:pt idx="404">
                  <c:v>27.569559842869719</c:v>
                </c:pt>
                <c:pt idx="405">
                  <c:v>27.569559842869719</c:v>
                </c:pt>
                <c:pt idx="406">
                  <c:v>27.569559842869719</c:v>
                </c:pt>
                <c:pt idx="407">
                  <c:v>27.569559842869719</c:v>
                </c:pt>
                <c:pt idx="408">
                  <c:v>27.569559842869719</c:v>
                </c:pt>
                <c:pt idx="409">
                  <c:v>27.569559842869719</c:v>
                </c:pt>
                <c:pt idx="410">
                  <c:v>27.569559842869719</c:v>
                </c:pt>
                <c:pt idx="411">
                  <c:v>27.569559842869719</c:v>
                </c:pt>
                <c:pt idx="412">
                  <c:v>27.569559842869719</c:v>
                </c:pt>
                <c:pt idx="413">
                  <c:v>27.569559842869719</c:v>
                </c:pt>
                <c:pt idx="414">
                  <c:v>27.569559842869719</c:v>
                </c:pt>
                <c:pt idx="415">
                  <c:v>27.569559842869719</c:v>
                </c:pt>
                <c:pt idx="416">
                  <c:v>27.569559842869719</c:v>
                </c:pt>
                <c:pt idx="417">
                  <c:v>27.569559842869719</c:v>
                </c:pt>
                <c:pt idx="418">
                  <c:v>27.569559842869719</c:v>
                </c:pt>
                <c:pt idx="419">
                  <c:v>27.569559842869719</c:v>
                </c:pt>
                <c:pt idx="420">
                  <c:v>27.569559842869719</c:v>
                </c:pt>
                <c:pt idx="421">
                  <c:v>27.569559842869719</c:v>
                </c:pt>
                <c:pt idx="422">
                  <c:v>27.569559842869719</c:v>
                </c:pt>
                <c:pt idx="423">
                  <c:v>27.569559842869719</c:v>
                </c:pt>
                <c:pt idx="424">
                  <c:v>27.569559842869719</c:v>
                </c:pt>
                <c:pt idx="425">
                  <c:v>27.569559842869719</c:v>
                </c:pt>
                <c:pt idx="426">
                  <c:v>27.569559842869719</c:v>
                </c:pt>
                <c:pt idx="427">
                  <c:v>27.569559842869719</c:v>
                </c:pt>
                <c:pt idx="428">
                  <c:v>27.569559842869719</c:v>
                </c:pt>
                <c:pt idx="429">
                  <c:v>27.569559842869719</c:v>
                </c:pt>
                <c:pt idx="430">
                  <c:v>27.569559842869719</c:v>
                </c:pt>
                <c:pt idx="431">
                  <c:v>27.569559842869719</c:v>
                </c:pt>
                <c:pt idx="432">
                  <c:v>27.569559842869719</c:v>
                </c:pt>
                <c:pt idx="433">
                  <c:v>27.569559842869719</c:v>
                </c:pt>
                <c:pt idx="434">
                  <c:v>27.569559842869719</c:v>
                </c:pt>
                <c:pt idx="435">
                  <c:v>27.569559842869719</c:v>
                </c:pt>
                <c:pt idx="436">
                  <c:v>27.569559842869719</c:v>
                </c:pt>
                <c:pt idx="437">
                  <c:v>27.569559842869719</c:v>
                </c:pt>
                <c:pt idx="438">
                  <c:v>27.569559842869719</c:v>
                </c:pt>
                <c:pt idx="439">
                  <c:v>27.569559842869719</c:v>
                </c:pt>
                <c:pt idx="440">
                  <c:v>27.569559842869719</c:v>
                </c:pt>
                <c:pt idx="441">
                  <c:v>27.569559842869719</c:v>
                </c:pt>
                <c:pt idx="442">
                  <c:v>27.569559842869719</c:v>
                </c:pt>
                <c:pt idx="443">
                  <c:v>27.569559842869719</c:v>
                </c:pt>
                <c:pt idx="444">
                  <c:v>27.569559842869719</c:v>
                </c:pt>
                <c:pt idx="445">
                  <c:v>27.569559842869719</c:v>
                </c:pt>
                <c:pt idx="446">
                  <c:v>27.569559842869719</c:v>
                </c:pt>
                <c:pt idx="447">
                  <c:v>27.569559842869719</c:v>
                </c:pt>
                <c:pt idx="448">
                  <c:v>27.569559842869719</c:v>
                </c:pt>
                <c:pt idx="449">
                  <c:v>27.569559842869719</c:v>
                </c:pt>
                <c:pt idx="450">
                  <c:v>27.569559842869719</c:v>
                </c:pt>
                <c:pt idx="451">
                  <c:v>27.569559842869719</c:v>
                </c:pt>
                <c:pt idx="452">
                  <c:v>27.569559842869719</c:v>
                </c:pt>
                <c:pt idx="453">
                  <c:v>27.569559842869719</c:v>
                </c:pt>
                <c:pt idx="454">
                  <c:v>27.569559842869719</c:v>
                </c:pt>
                <c:pt idx="455">
                  <c:v>27.569559842869719</c:v>
                </c:pt>
                <c:pt idx="456">
                  <c:v>27.569559842869719</c:v>
                </c:pt>
                <c:pt idx="457">
                  <c:v>27.569559842869719</c:v>
                </c:pt>
                <c:pt idx="458">
                  <c:v>27.569559842869719</c:v>
                </c:pt>
                <c:pt idx="459">
                  <c:v>27.569559842869719</c:v>
                </c:pt>
                <c:pt idx="460">
                  <c:v>27.569559842869719</c:v>
                </c:pt>
                <c:pt idx="461">
                  <c:v>27.569559842869719</c:v>
                </c:pt>
                <c:pt idx="462">
                  <c:v>27.569559842869719</c:v>
                </c:pt>
                <c:pt idx="463">
                  <c:v>27.569559842869719</c:v>
                </c:pt>
                <c:pt idx="464">
                  <c:v>27.569559842869719</c:v>
                </c:pt>
                <c:pt idx="465">
                  <c:v>27.569559842869719</c:v>
                </c:pt>
                <c:pt idx="466">
                  <c:v>27.569559842869719</c:v>
                </c:pt>
                <c:pt idx="467">
                  <c:v>27.569559842869719</c:v>
                </c:pt>
                <c:pt idx="468">
                  <c:v>27.569559842869719</c:v>
                </c:pt>
                <c:pt idx="469">
                  <c:v>27.569559842869719</c:v>
                </c:pt>
                <c:pt idx="470">
                  <c:v>27.569559842869719</c:v>
                </c:pt>
                <c:pt idx="471">
                  <c:v>27.569559842869719</c:v>
                </c:pt>
                <c:pt idx="472">
                  <c:v>27.569559842869719</c:v>
                </c:pt>
                <c:pt idx="473">
                  <c:v>27.569559842869719</c:v>
                </c:pt>
                <c:pt idx="474">
                  <c:v>27.569559842869719</c:v>
                </c:pt>
                <c:pt idx="475">
                  <c:v>27.569559842869719</c:v>
                </c:pt>
                <c:pt idx="476">
                  <c:v>27.569559842869719</c:v>
                </c:pt>
                <c:pt idx="477">
                  <c:v>27.569559842869719</c:v>
                </c:pt>
                <c:pt idx="478">
                  <c:v>27.569559842869719</c:v>
                </c:pt>
                <c:pt idx="479">
                  <c:v>27.569559842869719</c:v>
                </c:pt>
                <c:pt idx="480">
                  <c:v>27.569559842869719</c:v>
                </c:pt>
                <c:pt idx="481">
                  <c:v>27.569559842869719</c:v>
                </c:pt>
                <c:pt idx="482">
                  <c:v>27.569559842869719</c:v>
                </c:pt>
                <c:pt idx="483">
                  <c:v>27.569559842869719</c:v>
                </c:pt>
                <c:pt idx="484">
                  <c:v>27.569559842869719</c:v>
                </c:pt>
                <c:pt idx="485">
                  <c:v>27.569559842869719</c:v>
                </c:pt>
                <c:pt idx="486">
                  <c:v>27.569559842869719</c:v>
                </c:pt>
                <c:pt idx="487">
                  <c:v>27.569559842869719</c:v>
                </c:pt>
                <c:pt idx="488">
                  <c:v>27.569559842869719</c:v>
                </c:pt>
                <c:pt idx="489">
                  <c:v>27.569559842869719</c:v>
                </c:pt>
                <c:pt idx="490">
                  <c:v>27.569559842869719</c:v>
                </c:pt>
                <c:pt idx="491">
                  <c:v>27.569559842869719</c:v>
                </c:pt>
                <c:pt idx="492">
                  <c:v>27.569559842869719</c:v>
                </c:pt>
                <c:pt idx="493">
                  <c:v>27.569559842869719</c:v>
                </c:pt>
                <c:pt idx="494">
                  <c:v>27.569559842869719</c:v>
                </c:pt>
                <c:pt idx="495">
                  <c:v>27.569559842869719</c:v>
                </c:pt>
                <c:pt idx="496">
                  <c:v>27.569559842869719</c:v>
                </c:pt>
                <c:pt idx="497">
                  <c:v>27.569559842869719</c:v>
                </c:pt>
                <c:pt idx="498">
                  <c:v>27.569559842869719</c:v>
                </c:pt>
                <c:pt idx="499">
                  <c:v>27.569559842869719</c:v>
                </c:pt>
                <c:pt idx="500">
                  <c:v>27.569559842869719</c:v>
                </c:pt>
                <c:pt idx="501">
                  <c:v>27.569559842869719</c:v>
                </c:pt>
                <c:pt idx="502">
                  <c:v>27.569559842869719</c:v>
                </c:pt>
                <c:pt idx="503">
                  <c:v>27.569559842869719</c:v>
                </c:pt>
                <c:pt idx="504">
                  <c:v>27.569559842869719</c:v>
                </c:pt>
                <c:pt idx="505">
                  <c:v>27.569559842869719</c:v>
                </c:pt>
                <c:pt idx="506">
                  <c:v>27.569559842869719</c:v>
                </c:pt>
                <c:pt idx="507">
                  <c:v>27.569559842869719</c:v>
                </c:pt>
                <c:pt idx="508">
                  <c:v>27.569559842869719</c:v>
                </c:pt>
                <c:pt idx="509">
                  <c:v>27.569559842869719</c:v>
                </c:pt>
                <c:pt idx="510">
                  <c:v>27.569559842869719</c:v>
                </c:pt>
                <c:pt idx="511">
                  <c:v>27.569559842869719</c:v>
                </c:pt>
                <c:pt idx="512">
                  <c:v>27.569559842869719</c:v>
                </c:pt>
                <c:pt idx="513">
                  <c:v>27.569559842869719</c:v>
                </c:pt>
                <c:pt idx="514">
                  <c:v>27.569559842869719</c:v>
                </c:pt>
                <c:pt idx="515">
                  <c:v>27.569559842869719</c:v>
                </c:pt>
                <c:pt idx="516">
                  <c:v>27.569559842869719</c:v>
                </c:pt>
                <c:pt idx="517">
                  <c:v>27.569559842869719</c:v>
                </c:pt>
                <c:pt idx="518">
                  <c:v>27.569559842869719</c:v>
                </c:pt>
                <c:pt idx="519">
                  <c:v>27.569559842869719</c:v>
                </c:pt>
                <c:pt idx="520">
                  <c:v>27.569559842869719</c:v>
                </c:pt>
                <c:pt idx="521">
                  <c:v>27.569559842869719</c:v>
                </c:pt>
                <c:pt idx="522">
                  <c:v>27.569559842869719</c:v>
                </c:pt>
                <c:pt idx="523">
                  <c:v>27.569559842869719</c:v>
                </c:pt>
                <c:pt idx="524">
                  <c:v>27.569559842869719</c:v>
                </c:pt>
                <c:pt idx="525">
                  <c:v>27.569559842869719</c:v>
                </c:pt>
                <c:pt idx="526">
                  <c:v>27.569559842869719</c:v>
                </c:pt>
                <c:pt idx="527">
                  <c:v>27.569559842869719</c:v>
                </c:pt>
                <c:pt idx="528">
                  <c:v>27.569559842869719</c:v>
                </c:pt>
                <c:pt idx="529">
                  <c:v>27.569559842869719</c:v>
                </c:pt>
                <c:pt idx="530">
                  <c:v>27.569559842869719</c:v>
                </c:pt>
                <c:pt idx="531">
                  <c:v>27.569559842869719</c:v>
                </c:pt>
                <c:pt idx="532">
                  <c:v>27.569559842869719</c:v>
                </c:pt>
                <c:pt idx="533">
                  <c:v>27.569559842869719</c:v>
                </c:pt>
                <c:pt idx="534">
                  <c:v>27.569559842869719</c:v>
                </c:pt>
                <c:pt idx="535">
                  <c:v>27.569559842869719</c:v>
                </c:pt>
                <c:pt idx="536">
                  <c:v>27.569559842869719</c:v>
                </c:pt>
                <c:pt idx="537">
                  <c:v>27.569559842869719</c:v>
                </c:pt>
                <c:pt idx="538">
                  <c:v>27.569559842869719</c:v>
                </c:pt>
                <c:pt idx="539">
                  <c:v>27.569559842869719</c:v>
                </c:pt>
                <c:pt idx="540">
                  <c:v>27.569559842869719</c:v>
                </c:pt>
                <c:pt idx="541">
                  <c:v>27.569559842869719</c:v>
                </c:pt>
                <c:pt idx="542">
                  <c:v>27.569559842869719</c:v>
                </c:pt>
                <c:pt idx="543">
                  <c:v>27.569559842869719</c:v>
                </c:pt>
                <c:pt idx="544">
                  <c:v>27.569559842869719</c:v>
                </c:pt>
                <c:pt idx="545">
                  <c:v>27.569559842869719</c:v>
                </c:pt>
                <c:pt idx="546">
                  <c:v>27.569559842869719</c:v>
                </c:pt>
                <c:pt idx="547">
                  <c:v>27.569559842869719</c:v>
                </c:pt>
                <c:pt idx="548">
                  <c:v>27.569559842869719</c:v>
                </c:pt>
                <c:pt idx="549">
                  <c:v>27.569559842869719</c:v>
                </c:pt>
                <c:pt idx="550">
                  <c:v>27.569559842869719</c:v>
                </c:pt>
                <c:pt idx="551">
                  <c:v>27.569559842869719</c:v>
                </c:pt>
                <c:pt idx="552">
                  <c:v>27.569559842869719</c:v>
                </c:pt>
                <c:pt idx="553">
                  <c:v>27.569559842869719</c:v>
                </c:pt>
                <c:pt idx="554">
                  <c:v>27.569559842869719</c:v>
                </c:pt>
                <c:pt idx="555">
                  <c:v>27.569559842869719</c:v>
                </c:pt>
                <c:pt idx="556">
                  <c:v>27.569559842869719</c:v>
                </c:pt>
                <c:pt idx="557">
                  <c:v>27.569559842869719</c:v>
                </c:pt>
                <c:pt idx="558">
                  <c:v>27.569559842869719</c:v>
                </c:pt>
                <c:pt idx="559">
                  <c:v>27.569559842869719</c:v>
                </c:pt>
                <c:pt idx="560">
                  <c:v>27.569559842869719</c:v>
                </c:pt>
                <c:pt idx="561">
                  <c:v>27.569559842869719</c:v>
                </c:pt>
                <c:pt idx="562">
                  <c:v>27.569559842869719</c:v>
                </c:pt>
                <c:pt idx="563">
                  <c:v>27.569559842869719</c:v>
                </c:pt>
                <c:pt idx="564">
                  <c:v>27.569559842869719</c:v>
                </c:pt>
                <c:pt idx="565">
                  <c:v>27.569559842869719</c:v>
                </c:pt>
                <c:pt idx="566">
                  <c:v>27.569559842869719</c:v>
                </c:pt>
                <c:pt idx="567">
                  <c:v>27.569559842869719</c:v>
                </c:pt>
                <c:pt idx="568">
                  <c:v>27.569559842869719</c:v>
                </c:pt>
                <c:pt idx="569">
                  <c:v>27.569559842869719</c:v>
                </c:pt>
                <c:pt idx="570">
                  <c:v>27.569559842869719</c:v>
                </c:pt>
                <c:pt idx="571">
                  <c:v>27.569559842869719</c:v>
                </c:pt>
                <c:pt idx="572">
                  <c:v>27.569559842869719</c:v>
                </c:pt>
                <c:pt idx="573">
                  <c:v>27.569559842869719</c:v>
                </c:pt>
                <c:pt idx="574">
                  <c:v>27.569559842869719</c:v>
                </c:pt>
                <c:pt idx="575">
                  <c:v>27.569559842869719</c:v>
                </c:pt>
                <c:pt idx="576">
                  <c:v>27.569559842869719</c:v>
                </c:pt>
                <c:pt idx="577">
                  <c:v>27.569559842869719</c:v>
                </c:pt>
                <c:pt idx="578">
                  <c:v>27.569559842869719</c:v>
                </c:pt>
                <c:pt idx="579">
                  <c:v>27.569559842869719</c:v>
                </c:pt>
                <c:pt idx="580">
                  <c:v>27.569559842869719</c:v>
                </c:pt>
                <c:pt idx="581">
                  <c:v>27.569559842869719</c:v>
                </c:pt>
                <c:pt idx="582">
                  <c:v>27.569559842869719</c:v>
                </c:pt>
                <c:pt idx="583">
                  <c:v>27.569559842869719</c:v>
                </c:pt>
                <c:pt idx="584">
                  <c:v>27.569559842869719</c:v>
                </c:pt>
                <c:pt idx="585">
                  <c:v>27.569559842869719</c:v>
                </c:pt>
                <c:pt idx="586">
                  <c:v>27.569559842869719</c:v>
                </c:pt>
                <c:pt idx="587">
                  <c:v>27.569559842869719</c:v>
                </c:pt>
                <c:pt idx="588">
                  <c:v>27.569559842869719</c:v>
                </c:pt>
                <c:pt idx="589">
                  <c:v>27.569559842869719</c:v>
                </c:pt>
                <c:pt idx="590">
                  <c:v>27.569559842869719</c:v>
                </c:pt>
                <c:pt idx="591">
                  <c:v>27.569559842869719</c:v>
                </c:pt>
                <c:pt idx="592">
                  <c:v>27.569559842869719</c:v>
                </c:pt>
                <c:pt idx="593">
                  <c:v>27.569559842869719</c:v>
                </c:pt>
                <c:pt idx="594">
                  <c:v>27.569559842869719</c:v>
                </c:pt>
                <c:pt idx="595">
                  <c:v>27.569559842869719</c:v>
                </c:pt>
                <c:pt idx="596">
                  <c:v>27.569559842869719</c:v>
                </c:pt>
                <c:pt idx="597">
                  <c:v>27.569559842869719</c:v>
                </c:pt>
                <c:pt idx="598">
                  <c:v>27.569559842869719</c:v>
                </c:pt>
                <c:pt idx="599">
                  <c:v>27.569559842869719</c:v>
                </c:pt>
                <c:pt idx="600">
                  <c:v>27.569559842869719</c:v>
                </c:pt>
                <c:pt idx="601">
                  <c:v>27.569559842869719</c:v>
                </c:pt>
                <c:pt idx="602">
                  <c:v>27.569559842869719</c:v>
                </c:pt>
                <c:pt idx="603">
                  <c:v>27.569559842869719</c:v>
                </c:pt>
                <c:pt idx="604">
                  <c:v>27.569559842869719</c:v>
                </c:pt>
                <c:pt idx="605">
                  <c:v>27.569559842869719</c:v>
                </c:pt>
                <c:pt idx="606">
                  <c:v>27.569559842869719</c:v>
                </c:pt>
                <c:pt idx="607">
                  <c:v>27.569559842869719</c:v>
                </c:pt>
                <c:pt idx="608">
                  <c:v>27.569559842869719</c:v>
                </c:pt>
                <c:pt idx="609">
                  <c:v>27.569559842869719</c:v>
                </c:pt>
                <c:pt idx="610">
                  <c:v>27.569559842869719</c:v>
                </c:pt>
                <c:pt idx="611">
                  <c:v>27.569559842869719</c:v>
                </c:pt>
                <c:pt idx="612">
                  <c:v>27.569559842869719</c:v>
                </c:pt>
                <c:pt idx="613">
                  <c:v>27.569559842869719</c:v>
                </c:pt>
                <c:pt idx="614">
                  <c:v>27.569559842869719</c:v>
                </c:pt>
                <c:pt idx="615">
                  <c:v>27.569559842869719</c:v>
                </c:pt>
                <c:pt idx="616">
                  <c:v>27.569559842869719</c:v>
                </c:pt>
                <c:pt idx="617">
                  <c:v>27.569559842869719</c:v>
                </c:pt>
                <c:pt idx="618">
                  <c:v>27.569559842869719</c:v>
                </c:pt>
                <c:pt idx="619">
                  <c:v>27.569559842869719</c:v>
                </c:pt>
                <c:pt idx="620">
                  <c:v>27.569559842869719</c:v>
                </c:pt>
                <c:pt idx="621">
                  <c:v>27.569559842869719</c:v>
                </c:pt>
                <c:pt idx="622">
                  <c:v>27.569559842869719</c:v>
                </c:pt>
                <c:pt idx="623">
                  <c:v>27.569559842869719</c:v>
                </c:pt>
                <c:pt idx="624">
                  <c:v>27.569559842869719</c:v>
                </c:pt>
                <c:pt idx="625">
                  <c:v>27.569559842869719</c:v>
                </c:pt>
                <c:pt idx="626">
                  <c:v>27.569559842869719</c:v>
                </c:pt>
                <c:pt idx="627">
                  <c:v>27.569559842869719</c:v>
                </c:pt>
                <c:pt idx="628">
                  <c:v>27.569559842869719</c:v>
                </c:pt>
                <c:pt idx="629">
                  <c:v>27.569559842869719</c:v>
                </c:pt>
                <c:pt idx="630">
                  <c:v>27.569559842869719</c:v>
                </c:pt>
                <c:pt idx="631">
                  <c:v>27.569559842869719</c:v>
                </c:pt>
                <c:pt idx="632">
                  <c:v>27.569559842869719</c:v>
                </c:pt>
                <c:pt idx="633">
                  <c:v>27.569559842869719</c:v>
                </c:pt>
                <c:pt idx="634">
                  <c:v>27.569559842869719</c:v>
                </c:pt>
                <c:pt idx="635">
                  <c:v>27.569559842869719</c:v>
                </c:pt>
                <c:pt idx="636">
                  <c:v>27.569559842869719</c:v>
                </c:pt>
                <c:pt idx="637">
                  <c:v>27.569559842869719</c:v>
                </c:pt>
                <c:pt idx="638">
                  <c:v>27.569559842869719</c:v>
                </c:pt>
                <c:pt idx="639">
                  <c:v>27.569559842869719</c:v>
                </c:pt>
                <c:pt idx="640">
                  <c:v>27.569559842869719</c:v>
                </c:pt>
                <c:pt idx="641">
                  <c:v>27.569559842869719</c:v>
                </c:pt>
                <c:pt idx="642">
                  <c:v>27.569559842869719</c:v>
                </c:pt>
                <c:pt idx="643">
                  <c:v>27.569559842869719</c:v>
                </c:pt>
                <c:pt idx="644">
                  <c:v>27.569559842869719</c:v>
                </c:pt>
                <c:pt idx="645">
                  <c:v>27.569559842869719</c:v>
                </c:pt>
                <c:pt idx="646">
                  <c:v>27.569559842869719</c:v>
                </c:pt>
                <c:pt idx="647">
                  <c:v>27.569559842869719</c:v>
                </c:pt>
                <c:pt idx="648">
                  <c:v>27.569559842869719</c:v>
                </c:pt>
                <c:pt idx="649">
                  <c:v>27.569559842869719</c:v>
                </c:pt>
                <c:pt idx="650">
                  <c:v>27.569559842869719</c:v>
                </c:pt>
                <c:pt idx="651">
                  <c:v>27.569559842869719</c:v>
                </c:pt>
                <c:pt idx="652">
                  <c:v>27.569559842869719</c:v>
                </c:pt>
                <c:pt idx="653">
                  <c:v>27.569559842869719</c:v>
                </c:pt>
                <c:pt idx="654">
                  <c:v>27.569559842869719</c:v>
                </c:pt>
                <c:pt idx="655">
                  <c:v>27.569559842869719</c:v>
                </c:pt>
                <c:pt idx="656">
                  <c:v>27.569559842869719</c:v>
                </c:pt>
                <c:pt idx="657">
                  <c:v>27.569559842869719</c:v>
                </c:pt>
                <c:pt idx="658">
                  <c:v>27.569559842869719</c:v>
                </c:pt>
                <c:pt idx="659">
                  <c:v>27.569559842869719</c:v>
                </c:pt>
                <c:pt idx="660">
                  <c:v>27.569559842869719</c:v>
                </c:pt>
                <c:pt idx="661">
                  <c:v>27.569559842869719</c:v>
                </c:pt>
                <c:pt idx="662">
                  <c:v>27.569559842869719</c:v>
                </c:pt>
                <c:pt idx="663">
                  <c:v>27.569559842869719</c:v>
                </c:pt>
                <c:pt idx="664">
                  <c:v>27.569559842869719</c:v>
                </c:pt>
                <c:pt idx="665">
                  <c:v>27.569559842869719</c:v>
                </c:pt>
                <c:pt idx="666">
                  <c:v>27.569559842869719</c:v>
                </c:pt>
                <c:pt idx="667">
                  <c:v>27.569559842869719</c:v>
                </c:pt>
                <c:pt idx="668">
                  <c:v>27.569559842869719</c:v>
                </c:pt>
                <c:pt idx="669">
                  <c:v>27.569559842869719</c:v>
                </c:pt>
                <c:pt idx="670">
                  <c:v>27.569559842869719</c:v>
                </c:pt>
                <c:pt idx="671">
                  <c:v>27.569559842869719</c:v>
                </c:pt>
                <c:pt idx="672">
                  <c:v>27.569559842869719</c:v>
                </c:pt>
                <c:pt idx="673">
                  <c:v>27.569559842869719</c:v>
                </c:pt>
                <c:pt idx="674">
                  <c:v>27.569559842869719</c:v>
                </c:pt>
                <c:pt idx="675">
                  <c:v>27.569559842869719</c:v>
                </c:pt>
                <c:pt idx="676">
                  <c:v>27.569559842869719</c:v>
                </c:pt>
                <c:pt idx="677">
                  <c:v>27.569559842869719</c:v>
                </c:pt>
                <c:pt idx="678">
                  <c:v>27.569559842869719</c:v>
                </c:pt>
                <c:pt idx="679">
                  <c:v>27.569559842869719</c:v>
                </c:pt>
                <c:pt idx="680">
                  <c:v>27.569559842869719</c:v>
                </c:pt>
                <c:pt idx="681">
                  <c:v>27.569559842869719</c:v>
                </c:pt>
                <c:pt idx="682">
                  <c:v>27.569559842869719</c:v>
                </c:pt>
                <c:pt idx="683">
                  <c:v>27.569559842869719</c:v>
                </c:pt>
                <c:pt idx="684">
                  <c:v>27.569559842869719</c:v>
                </c:pt>
                <c:pt idx="685">
                  <c:v>27.569559842869719</c:v>
                </c:pt>
                <c:pt idx="686">
                  <c:v>27.569559842869719</c:v>
                </c:pt>
                <c:pt idx="687">
                  <c:v>27.569559842869719</c:v>
                </c:pt>
                <c:pt idx="688">
                  <c:v>27.569559842869719</c:v>
                </c:pt>
                <c:pt idx="689">
                  <c:v>27.569559842869719</c:v>
                </c:pt>
                <c:pt idx="690">
                  <c:v>27.569559842869719</c:v>
                </c:pt>
                <c:pt idx="691">
                  <c:v>27.569559842869719</c:v>
                </c:pt>
                <c:pt idx="692">
                  <c:v>27.569559842869719</c:v>
                </c:pt>
                <c:pt idx="693">
                  <c:v>27.569559842869719</c:v>
                </c:pt>
                <c:pt idx="694">
                  <c:v>27.569559842869719</c:v>
                </c:pt>
                <c:pt idx="695">
                  <c:v>27.569559842869719</c:v>
                </c:pt>
                <c:pt idx="696">
                  <c:v>27.569559842869719</c:v>
                </c:pt>
                <c:pt idx="697">
                  <c:v>27.569559842869719</c:v>
                </c:pt>
                <c:pt idx="698">
                  <c:v>27.569559842869719</c:v>
                </c:pt>
                <c:pt idx="699">
                  <c:v>27.569559842869719</c:v>
                </c:pt>
                <c:pt idx="700">
                  <c:v>27.569559842869719</c:v>
                </c:pt>
                <c:pt idx="701">
                  <c:v>27.569559842869719</c:v>
                </c:pt>
                <c:pt idx="702">
                  <c:v>27.569559842869719</c:v>
                </c:pt>
                <c:pt idx="703">
                  <c:v>27.569559842869719</c:v>
                </c:pt>
                <c:pt idx="704">
                  <c:v>27.569559842869719</c:v>
                </c:pt>
                <c:pt idx="705">
                  <c:v>27.569559842869719</c:v>
                </c:pt>
                <c:pt idx="706">
                  <c:v>27.569559842869719</c:v>
                </c:pt>
                <c:pt idx="707">
                  <c:v>27.569559842869719</c:v>
                </c:pt>
                <c:pt idx="708">
                  <c:v>27.569559842869719</c:v>
                </c:pt>
                <c:pt idx="709">
                  <c:v>27.569559842869719</c:v>
                </c:pt>
                <c:pt idx="710">
                  <c:v>27.569559842869719</c:v>
                </c:pt>
                <c:pt idx="711">
                  <c:v>27.569559842869719</c:v>
                </c:pt>
                <c:pt idx="712">
                  <c:v>27.569559842869719</c:v>
                </c:pt>
                <c:pt idx="713">
                  <c:v>27.569559842869719</c:v>
                </c:pt>
                <c:pt idx="714">
                  <c:v>27.569559842869719</c:v>
                </c:pt>
                <c:pt idx="715">
                  <c:v>27.569559842869719</c:v>
                </c:pt>
                <c:pt idx="716">
                  <c:v>27.569559842869719</c:v>
                </c:pt>
                <c:pt idx="717">
                  <c:v>27.569559842869719</c:v>
                </c:pt>
                <c:pt idx="718">
                  <c:v>27.569559842869719</c:v>
                </c:pt>
                <c:pt idx="719">
                  <c:v>27.569559842869719</c:v>
                </c:pt>
                <c:pt idx="720">
                  <c:v>27.569559842869719</c:v>
                </c:pt>
                <c:pt idx="721">
                  <c:v>27.569559842869719</c:v>
                </c:pt>
                <c:pt idx="722">
                  <c:v>27.569559842869719</c:v>
                </c:pt>
                <c:pt idx="723">
                  <c:v>27.569559842869719</c:v>
                </c:pt>
                <c:pt idx="724">
                  <c:v>27.569559842869719</c:v>
                </c:pt>
                <c:pt idx="725">
                  <c:v>27.569559842869719</c:v>
                </c:pt>
                <c:pt idx="726">
                  <c:v>27.569559842869719</c:v>
                </c:pt>
                <c:pt idx="727">
                  <c:v>27.569559842869719</c:v>
                </c:pt>
                <c:pt idx="728">
                  <c:v>27.569559842869719</c:v>
                </c:pt>
                <c:pt idx="729">
                  <c:v>27.569559842869719</c:v>
                </c:pt>
                <c:pt idx="730">
                  <c:v>27.569559842869719</c:v>
                </c:pt>
                <c:pt idx="731">
                  <c:v>27.569559842869719</c:v>
                </c:pt>
                <c:pt idx="732">
                  <c:v>27.569559842869719</c:v>
                </c:pt>
                <c:pt idx="733">
                  <c:v>27.569559842869719</c:v>
                </c:pt>
                <c:pt idx="734">
                  <c:v>27.569559842869719</c:v>
                </c:pt>
                <c:pt idx="735">
                  <c:v>27.569559842869719</c:v>
                </c:pt>
                <c:pt idx="736">
                  <c:v>27.569559842869719</c:v>
                </c:pt>
                <c:pt idx="737">
                  <c:v>27.569559842869719</c:v>
                </c:pt>
                <c:pt idx="738">
                  <c:v>27.569559842869719</c:v>
                </c:pt>
                <c:pt idx="739">
                  <c:v>27.569559842869719</c:v>
                </c:pt>
                <c:pt idx="740">
                  <c:v>27.569559842869719</c:v>
                </c:pt>
                <c:pt idx="741">
                  <c:v>27.569559842869719</c:v>
                </c:pt>
                <c:pt idx="742">
                  <c:v>27.569559842869719</c:v>
                </c:pt>
                <c:pt idx="743">
                  <c:v>27.569559842869719</c:v>
                </c:pt>
                <c:pt idx="744">
                  <c:v>27.569559842869719</c:v>
                </c:pt>
                <c:pt idx="745">
                  <c:v>27.569559842869719</c:v>
                </c:pt>
                <c:pt idx="746">
                  <c:v>27.569559842869719</c:v>
                </c:pt>
                <c:pt idx="747">
                  <c:v>27.569559842869719</c:v>
                </c:pt>
                <c:pt idx="748">
                  <c:v>27.569559842869719</c:v>
                </c:pt>
                <c:pt idx="749">
                  <c:v>27.569559842869719</c:v>
                </c:pt>
                <c:pt idx="750">
                  <c:v>27.569559842869719</c:v>
                </c:pt>
                <c:pt idx="751">
                  <c:v>27.569559842869719</c:v>
                </c:pt>
                <c:pt idx="752">
                  <c:v>27.569559842869719</c:v>
                </c:pt>
                <c:pt idx="753">
                  <c:v>27.569559842869719</c:v>
                </c:pt>
                <c:pt idx="754">
                  <c:v>27.569559842869719</c:v>
                </c:pt>
                <c:pt idx="755">
                  <c:v>27.569559842869719</c:v>
                </c:pt>
                <c:pt idx="756">
                  <c:v>27.569559842869719</c:v>
                </c:pt>
                <c:pt idx="757">
                  <c:v>27.569559842869719</c:v>
                </c:pt>
                <c:pt idx="758">
                  <c:v>27.569559842869719</c:v>
                </c:pt>
                <c:pt idx="759">
                  <c:v>27.569559842869719</c:v>
                </c:pt>
                <c:pt idx="760">
                  <c:v>27.569559842869719</c:v>
                </c:pt>
                <c:pt idx="761">
                  <c:v>27.569559842869719</c:v>
                </c:pt>
                <c:pt idx="762">
                  <c:v>27.569559842869719</c:v>
                </c:pt>
                <c:pt idx="763">
                  <c:v>27.569559842869719</c:v>
                </c:pt>
                <c:pt idx="764">
                  <c:v>27.569559842869719</c:v>
                </c:pt>
                <c:pt idx="765">
                  <c:v>27.569559842869719</c:v>
                </c:pt>
                <c:pt idx="766">
                  <c:v>27.569559842869719</c:v>
                </c:pt>
                <c:pt idx="767">
                  <c:v>27.569559842869719</c:v>
                </c:pt>
                <c:pt idx="768">
                  <c:v>27.569559842869719</c:v>
                </c:pt>
                <c:pt idx="769">
                  <c:v>27.569559842869719</c:v>
                </c:pt>
                <c:pt idx="770">
                  <c:v>27.569559842869719</c:v>
                </c:pt>
                <c:pt idx="771">
                  <c:v>27.569559842869719</c:v>
                </c:pt>
                <c:pt idx="772">
                  <c:v>27.569559842869719</c:v>
                </c:pt>
                <c:pt idx="773">
                  <c:v>27.569559842869719</c:v>
                </c:pt>
                <c:pt idx="774">
                  <c:v>27.569559842869719</c:v>
                </c:pt>
                <c:pt idx="775">
                  <c:v>27.569559842869719</c:v>
                </c:pt>
                <c:pt idx="776">
                  <c:v>27.569559842869719</c:v>
                </c:pt>
                <c:pt idx="777">
                  <c:v>27.569559842869719</c:v>
                </c:pt>
                <c:pt idx="778">
                  <c:v>27.569559842869719</c:v>
                </c:pt>
                <c:pt idx="779">
                  <c:v>27.569559842869719</c:v>
                </c:pt>
                <c:pt idx="780">
                  <c:v>27.569559842869719</c:v>
                </c:pt>
                <c:pt idx="781">
                  <c:v>27.569559842869719</c:v>
                </c:pt>
                <c:pt idx="782">
                  <c:v>27.569559842869719</c:v>
                </c:pt>
                <c:pt idx="783">
                  <c:v>27.569559842869719</c:v>
                </c:pt>
                <c:pt idx="784">
                  <c:v>27.569559842869719</c:v>
                </c:pt>
                <c:pt idx="785">
                  <c:v>27.569559842869719</c:v>
                </c:pt>
                <c:pt idx="786">
                  <c:v>27.569559842869719</c:v>
                </c:pt>
                <c:pt idx="787">
                  <c:v>27.569559842869719</c:v>
                </c:pt>
                <c:pt idx="788">
                  <c:v>27.569559842869719</c:v>
                </c:pt>
                <c:pt idx="789">
                  <c:v>27.569559842869719</c:v>
                </c:pt>
                <c:pt idx="790">
                  <c:v>27.569559842869719</c:v>
                </c:pt>
                <c:pt idx="791">
                  <c:v>27.569559842869719</c:v>
                </c:pt>
                <c:pt idx="792">
                  <c:v>27.569559842869719</c:v>
                </c:pt>
                <c:pt idx="793">
                  <c:v>27.569559842869719</c:v>
                </c:pt>
                <c:pt idx="794">
                  <c:v>27.569559842869719</c:v>
                </c:pt>
                <c:pt idx="795">
                  <c:v>27.569559842869719</c:v>
                </c:pt>
                <c:pt idx="796">
                  <c:v>27.569559842869719</c:v>
                </c:pt>
                <c:pt idx="797">
                  <c:v>27.569559842869719</c:v>
                </c:pt>
                <c:pt idx="798">
                  <c:v>27.569559842869719</c:v>
                </c:pt>
                <c:pt idx="799">
                  <c:v>27.569559842869719</c:v>
                </c:pt>
                <c:pt idx="800">
                  <c:v>27.569559842869719</c:v>
                </c:pt>
                <c:pt idx="801">
                  <c:v>27.569559842869719</c:v>
                </c:pt>
                <c:pt idx="802">
                  <c:v>27.569559842869719</c:v>
                </c:pt>
                <c:pt idx="803">
                  <c:v>27.569559842869719</c:v>
                </c:pt>
                <c:pt idx="804">
                  <c:v>27.569559842869719</c:v>
                </c:pt>
                <c:pt idx="805">
                  <c:v>27.569559842869719</c:v>
                </c:pt>
                <c:pt idx="806">
                  <c:v>27.569559842869719</c:v>
                </c:pt>
                <c:pt idx="807">
                  <c:v>27.569559842869719</c:v>
                </c:pt>
                <c:pt idx="808">
                  <c:v>27.569559842869719</c:v>
                </c:pt>
                <c:pt idx="809">
                  <c:v>27.569559842869719</c:v>
                </c:pt>
                <c:pt idx="810">
                  <c:v>27.569559842869719</c:v>
                </c:pt>
                <c:pt idx="811">
                  <c:v>27.569559842869719</c:v>
                </c:pt>
                <c:pt idx="812">
                  <c:v>27.569559842869719</c:v>
                </c:pt>
                <c:pt idx="813">
                  <c:v>27.569559842869719</c:v>
                </c:pt>
                <c:pt idx="814">
                  <c:v>27.569559842869719</c:v>
                </c:pt>
                <c:pt idx="815">
                  <c:v>27.569559842869719</c:v>
                </c:pt>
                <c:pt idx="816">
                  <c:v>27.569559842869719</c:v>
                </c:pt>
                <c:pt idx="817">
                  <c:v>27.569559842869719</c:v>
                </c:pt>
                <c:pt idx="818">
                  <c:v>27.569559842869719</c:v>
                </c:pt>
                <c:pt idx="819">
                  <c:v>27.569559842869719</c:v>
                </c:pt>
                <c:pt idx="820">
                  <c:v>27.569559842869719</c:v>
                </c:pt>
                <c:pt idx="821">
                  <c:v>27.569559842869719</c:v>
                </c:pt>
                <c:pt idx="822">
                  <c:v>27.569559842869719</c:v>
                </c:pt>
                <c:pt idx="823">
                  <c:v>27.569559842869719</c:v>
                </c:pt>
                <c:pt idx="824">
                  <c:v>27.569559842869719</c:v>
                </c:pt>
                <c:pt idx="825">
                  <c:v>27.569559842869719</c:v>
                </c:pt>
                <c:pt idx="826">
                  <c:v>27.569559842869719</c:v>
                </c:pt>
                <c:pt idx="827">
                  <c:v>27.569559842869719</c:v>
                </c:pt>
                <c:pt idx="828">
                  <c:v>27.569559842869719</c:v>
                </c:pt>
                <c:pt idx="829">
                  <c:v>27.569559842869719</c:v>
                </c:pt>
                <c:pt idx="830">
                  <c:v>27.569559842869719</c:v>
                </c:pt>
                <c:pt idx="831">
                  <c:v>27.569559842869719</c:v>
                </c:pt>
                <c:pt idx="832">
                  <c:v>27.569559842869719</c:v>
                </c:pt>
                <c:pt idx="833">
                  <c:v>27.569559842869719</c:v>
                </c:pt>
                <c:pt idx="834">
                  <c:v>27.569559842869719</c:v>
                </c:pt>
                <c:pt idx="835">
                  <c:v>27.569559842869719</c:v>
                </c:pt>
                <c:pt idx="836">
                  <c:v>27.569559842869719</c:v>
                </c:pt>
                <c:pt idx="837">
                  <c:v>27.569559842869719</c:v>
                </c:pt>
                <c:pt idx="838">
                  <c:v>27.569559842869719</c:v>
                </c:pt>
                <c:pt idx="839">
                  <c:v>27.569559842869719</c:v>
                </c:pt>
                <c:pt idx="840">
                  <c:v>27.569559842869719</c:v>
                </c:pt>
                <c:pt idx="841">
                  <c:v>27.569559842869719</c:v>
                </c:pt>
                <c:pt idx="842">
                  <c:v>27.569559842869719</c:v>
                </c:pt>
                <c:pt idx="843">
                  <c:v>27.569559842869719</c:v>
                </c:pt>
                <c:pt idx="844">
                  <c:v>27.569559842869719</c:v>
                </c:pt>
                <c:pt idx="845">
                  <c:v>27.569559842869719</c:v>
                </c:pt>
                <c:pt idx="846">
                  <c:v>27.569559842869719</c:v>
                </c:pt>
                <c:pt idx="847">
                  <c:v>27.569559842869719</c:v>
                </c:pt>
                <c:pt idx="848">
                  <c:v>27.569559842869719</c:v>
                </c:pt>
                <c:pt idx="849">
                  <c:v>27.569559842869719</c:v>
                </c:pt>
                <c:pt idx="850">
                  <c:v>27.569559842869719</c:v>
                </c:pt>
                <c:pt idx="851">
                  <c:v>27.569559842869719</c:v>
                </c:pt>
                <c:pt idx="852">
                  <c:v>27.569559842869719</c:v>
                </c:pt>
                <c:pt idx="853">
                  <c:v>27.569559842869719</c:v>
                </c:pt>
                <c:pt idx="854">
                  <c:v>27.569559842869719</c:v>
                </c:pt>
                <c:pt idx="855">
                  <c:v>27.569559842869719</c:v>
                </c:pt>
                <c:pt idx="856">
                  <c:v>27.569559842869719</c:v>
                </c:pt>
                <c:pt idx="857">
                  <c:v>27.569559842869719</c:v>
                </c:pt>
                <c:pt idx="858">
                  <c:v>27.569559842869719</c:v>
                </c:pt>
                <c:pt idx="859">
                  <c:v>27.569559842869719</c:v>
                </c:pt>
                <c:pt idx="860">
                  <c:v>27.569559842869719</c:v>
                </c:pt>
                <c:pt idx="861">
                  <c:v>27.569559842869719</c:v>
                </c:pt>
                <c:pt idx="862">
                  <c:v>27.569559842869719</c:v>
                </c:pt>
                <c:pt idx="863">
                  <c:v>27.569559842869719</c:v>
                </c:pt>
                <c:pt idx="864">
                  <c:v>27.569559842869719</c:v>
                </c:pt>
                <c:pt idx="865">
                  <c:v>27.569559842869719</c:v>
                </c:pt>
                <c:pt idx="866">
                  <c:v>27.569559842869719</c:v>
                </c:pt>
                <c:pt idx="867">
                  <c:v>27.569559842869719</c:v>
                </c:pt>
                <c:pt idx="868">
                  <c:v>27.569559842869719</c:v>
                </c:pt>
                <c:pt idx="869">
                  <c:v>27.569559842869719</c:v>
                </c:pt>
                <c:pt idx="870">
                  <c:v>27.569559842869719</c:v>
                </c:pt>
                <c:pt idx="871">
                  <c:v>27.569559842869719</c:v>
                </c:pt>
                <c:pt idx="872">
                  <c:v>27.569559842869719</c:v>
                </c:pt>
                <c:pt idx="873">
                  <c:v>27.569559842869719</c:v>
                </c:pt>
                <c:pt idx="874">
                  <c:v>27.569559842869719</c:v>
                </c:pt>
                <c:pt idx="875">
                  <c:v>27.569559842869719</c:v>
                </c:pt>
                <c:pt idx="876">
                  <c:v>27.569559842869719</c:v>
                </c:pt>
                <c:pt idx="877">
                  <c:v>27.569559842869719</c:v>
                </c:pt>
                <c:pt idx="878">
                  <c:v>27.569559842869719</c:v>
                </c:pt>
                <c:pt idx="879">
                  <c:v>27.569559842869719</c:v>
                </c:pt>
                <c:pt idx="880">
                  <c:v>27.569559842869719</c:v>
                </c:pt>
                <c:pt idx="881">
                  <c:v>27.569559842869719</c:v>
                </c:pt>
                <c:pt idx="882">
                  <c:v>27.569559842869719</c:v>
                </c:pt>
                <c:pt idx="883">
                  <c:v>27.569559842869719</c:v>
                </c:pt>
                <c:pt idx="884">
                  <c:v>27.569559842869719</c:v>
                </c:pt>
                <c:pt idx="885">
                  <c:v>27.569559842869719</c:v>
                </c:pt>
                <c:pt idx="886">
                  <c:v>27.569559842869719</c:v>
                </c:pt>
                <c:pt idx="887">
                  <c:v>27.569559842869719</c:v>
                </c:pt>
                <c:pt idx="888">
                  <c:v>27.569559842869719</c:v>
                </c:pt>
                <c:pt idx="889">
                  <c:v>27.569559842869719</c:v>
                </c:pt>
                <c:pt idx="890">
                  <c:v>27.569559842869719</c:v>
                </c:pt>
                <c:pt idx="891">
                  <c:v>27.569559842869719</c:v>
                </c:pt>
                <c:pt idx="892">
                  <c:v>27.569559842869719</c:v>
                </c:pt>
                <c:pt idx="893">
                  <c:v>27.569559842869719</c:v>
                </c:pt>
                <c:pt idx="894">
                  <c:v>27.569559842869719</c:v>
                </c:pt>
                <c:pt idx="895">
                  <c:v>27.569559842869719</c:v>
                </c:pt>
                <c:pt idx="896">
                  <c:v>27.569559842869719</c:v>
                </c:pt>
                <c:pt idx="897">
                  <c:v>27.569559842869719</c:v>
                </c:pt>
                <c:pt idx="898">
                  <c:v>27.569559842869719</c:v>
                </c:pt>
                <c:pt idx="899">
                  <c:v>27.569559842869719</c:v>
                </c:pt>
                <c:pt idx="900">
                  <c:v>27.569559842869719</c:v>
                </c:pt>
                <c:pt idx="901">
                  <c:v>27.569559842869719</c:v>
                </c:pt>
                <c:pt idx="902">
                  <c:v>27.569559842869719</c:v>
                </c:pt>
                <c:pt idx="903">
                  <c:v>27.569559842869719</c:v>
                </c:pt>
                <c:pt idx="904">
                  <c:v>27.569559842869719</c:v>
                </c:pt>
                <c:pt idx="905">
                  <c:v>27.569559842869719</c:v>
                </c:pt>
                <c:pt idx="906">
                  <c:v>27.569559842869719</c:v>
                </c:pt>
                <c:pt idx="907">
                  <c:v>27.569559842869719</c:v>
                </c:pt>
                <c:pt idx="908">
                  <c:v>27.569559842869719</c:v>
                </c:pt>
                <c:pt idx="909">
                  <c:v>27.569559842869719</c:v>
                </c:pt>
                <c:pt idx="910">
                  <c:v>27.569559842869719</c:v>
                </c:pt>
                <c:pt idx="911">
                  <c:v>27.569559842869719</c:v>
                </c:pt>
                <c:pt idx="912">
                  <c:v>27.569559842869719</c:v>
                </c:pt>
                <c:pt idx="913">
                  <c:v>27.569559842869719</c:v>
                </c:pt>
                <c:pt idx="914">
                  <c:v>27.569559842869719</c:v>
                </c:pt>
                <c:pt idx="915">
                  <c:v>27.569559842869719</c:v>
                </c:pt>
                <c:pt idx="916">
                  <c:v>27.569559842869719</c:v>
                </c:pt>
                <c:pt idx="917">
                  <c:v>27.569559842869719</c:v>
                </c:pt>
                <c:pt idx="918">
                  <c:v>27.569559842869719</c:v>
                </c:pt>
                <c:pt idx="919">
                  <c:v>27.569559842869719</c:v>
                </c:pt>
                <c:pt idx="920">
                  <c:v>27.569559842869719</c:v>
                </c:pt>
                <c:pt idx="921">
                  <c:v>27.569559842869719</c:v>
                </c:pt>
                <c:pt idx="922">
                  <c:v>27.569559842869719</c:v>
                </c:pt>
                <c:pt idx="923">
                  <c:v>27.569559842869719</c:v>
                </c:pt>
                <c:pt idx="924">
                  <c:v>27.569559842869719</c:v>
                </c:pt>
                <c:pt idx="925">
                  <c:v>27.569559842869719</c:v>
                </c:pt>
                <c:pt idx="926">
                  <c:v>27.569559842869719</c:v>
                </c:pt>
                <c:pt idx="927">
                  <c:v>27.569559842869719</c:v>
                </c:pt>
                <c:pt idx="928">
                  <c:v>27.569559842869719</c:v>
                </c:pt>
                <c:pt idx="929">
                  <c:v>27.569559842869719</c:v>
                </c:pt>
                <c:pt idx="930">
                  <c:v>27.569559842869719</c:v>
                </c:pt>
                <c:pt idx="931">
                  <c:v>27.569559842869719</c:v>
                </c:pt>
                <c:pt idx="932">
                  <c:v>27.569559842869719</c:v>
                </c:pt>
                <c:pt idx="933">
                  <c:v>27.569559842869719</c:v>
                </c:pt>
                <c:pt idx="934">
                  <c:v>27.569559842869719</c:v>
                </c:pt>
                <c:pt idx="935">
                  <c:v>27.569559842869719</c:v>
                </c:pt>
                <c:pt idx="936">
                  <c:v>27.569559842869719</c:v>
                </c:pt>
                <c:pt idx="937">
                  <c:v>27.569559842869719</c:v>
                </c:pt>
                <c:pt idx="938">
                  <c:v>27.569559842869719</c:v>
                </c:pt>
                <c:pt idx="939">
                  <c:v>27.569559842869719</c:v>
                </c:pt>
                <c:pt idx="940">
                  <c:v>27.569559842869719</c:v>
                </c:pt>
                <c:pt idx="941">
                  <c:v>27.569559842869719</c:v>
                </c:pt>
                <c:pt idx="942">
                  <c:v>27.569559842869719</c:v>
                </c:pt>
                <c:pt idx="943">
                  <c:v>27.569559842869719</c:v>
                </c:pt>
                <c:pt idx="944">
                  <c:v>27.569559842869719</c:v>
                </c:pt>
                <c:pt idx="945">
                  <c:v>27.569559842869719</c:v>
                </c:pt>
                <c:pt idx="946">
                  <c:v>27.569559842869719</c:v>
                </c:pt>
                <c:pt idx="947">
                  <c:v>27.569559842869719</c:v>
                </c:pt>
                <c:pt idx="948">
                  <c:v>27.569559842869719</c:v>
                </c:pt>
                <c:pt idx="949">
                  <c:v>27.569559842869719</c:v>
                </c:pt>
                <c:pt idx="950">
                  <c:v>27.569559842869719</c:v>
                </c:pt>
                <c:pt idx="951">
                  <c:v>27.569559842869719</c:v>
                </c:pt>
                <c:pt idx="952">
                  <c:v>27.569559842869719</c:v>
                </c:pt>
                <c:pt idx="953">
                  <c:v>27.569559842869719</c:v>
                </c:pt>
                <c:pt idx="954">
                  <c:v>27.569559842869719</c:v>
                </c:pt>
                <c:pt idx="955">
                  <c:v>27.569559842869719</c:v>
                </c:pt>
                <c:pt idx="956">
                  <c:v>27.569559842869719</c:v>
                </c:pt>
                <c:pt idx="957">
                  <c:v>27.569559842869719</c:v>
                </c:pt>
                <c:pt idx="958">
                  <c:v>27.569559842869719</c:v>
                </c:pt>
                <c:pt idx="959">
                  <c:v>27.569559842869719</c:v>
                </c:pt>
                <c:pt idx="960">
                  <c:v>27.569559842869719</c:v>
                </c:pt>
                <c:pt idx="961">
                  <c:v>27.569559842869719</c:v>
                </c:pt>
                <c:pt idx="962">
                  <c:v>27.569559842869719</c:v>
                </c:pt>
                <c:pt idx="963">
                  <c:v>27.569559842869719</c:v>
                </c:pt>
                <c:pt idx="964">
                  <c:v>27.569559842869719</c:v>
                </c:pt>
                <c:pt idx="965">
                  <c:v>27.569559842869719</c:v>
                </c:pt>
                <c:pt idx="966">
                  <c:v>27.569559842869719</c:v>
                </c:pt>
                <c:pt idx="967">
                  <c:v>27.569559842869719</c:v>
                </c:pt>
                <c:pt idx="968">
                  <c:v>27.569559842869719</c:v>
                </c:pt>
                <c:pt idx="969">
                  <c:v>27.569559842869719</c:v>
                </c:pt>
                <c:pt idx="970">
                  <c:v>27.569559842869719</c:v>
                </c:pt>
                <c:pt idx="971">
                  <c:v>27.569559842869719</c:v>
                </c:pt>
                <c:pt idx="972">
                  <c:v>27.569559842869719</c:v>
                </c:pt>
                <c:pt idx="973">
                  <c:v>27.569559842869719</c:v>
                </c:pt>
                <c:pt idx="974">
                  <c:v>27.569559842869719</c:v>
                </c:pt>
                <c:pt idx="975">
                  <c:v>27.569559842869719</c:v>
                </c:pt>
                <c:pt idx="976">
                  <c:v>27.569559842869719</c:v>
                </c:pt>
                <c:pt idx="977">
                  <c:v>27.569559842869719</c:v>
                </c:pt>
                <c:pt idx="978">
                  <c:v>27.569559842869719</c:v>
                </c:pt>
                <c:pt idx="979">
                  <c:v>27.569559842869719</c:v>
                </c:pt>
                <c:pt idx="980">
                  <c:v>27.569559842869719</c:v>
                </c:pt>
                <c:pt idx="981">
                  <c:v>27.569559842869719</c:v>
                </c:pt>
                <c:pt idx="982">
                  <c:v>27.569559842869719</c:v>
                </c:pt>
                <c:pt idx="983">
                  <c:v>27.569559842869719</c:v>
                </c:pt>
                <c:pt idx="984">
                  <c:v>27.569559842869719</c:v>
                </c:pt>
                <c:pt idx="985">
                  <c:v>27.569559842869719</c:v>
                </c:pt>
                <c:pt idx="986">
                  <c:v>27.569559842869719</c:v>
                </c:pt>
                <c:pt idx="987">
                  <c:v>27.569559842869719</c:v>
                </c:pt>
                <c:pt idx="988">
                  <c:v>27.569559842869719</c:v>
                </c:pt>
                <c:pt idx="989">
                  <c:v>27.569559842869719</c:v>
                </c:pt>
                <c:pt idx="990">
                  <c:v>27.569559842869719</c:v>
                </c:pt>
                <c:pt idx="991">
                  <c:v>27.569559842869719</c:v>
                </c:pt>
                <c:pt idx="992">
                  <c:v>27.569559842869719</c:v>
                </c:pt>
                <c:pt idx="993">
                  <c:v>27.569559842869719</c:v>
                </c:pt>
                <c:pt idx="994">
                  <c:v>27.569559842869719</c:v>
                </c:pt>
                <c:pt idx="995">
                  <c:v>27.569559842869719</c:v>
                </c:pt>
                <c:pt idx="996">
                  <c:v>27.569559842869719</c:v>
                </c:pt>
                <c:pt idx="997">
                  <c:v>27.569559842869719</c:v>
                </c:pt>
                <c:pt idx="998">
                  <c:v>27.569559842869719</c:v>
                </c:pt>
                <c:pt idx="999">
                  <c:v>27.569559842869719</c:v>
                </c:pt>
                <c:pt idx="1000">
                  <c:v>27.569559842869719</c:v>
                </c:pt>
                <c:pt idx="1001">
                  <c:v>27.569559842869719</c:v>
                </c:pt>
                <c:pt idx="1002">
                  <c:v>27.569559842869719</c:v>
                </c:pt>
                <c:pt idx="1003">
                  <c:v>27.569559842869719</c:v>
                </c:pt>
                <c:pt idx="1004">
                  <c:v>27.569559842869719</c:v>
                </c:pt>
                <c:pt idx="1005">
                  <c:v>27.569559842869719</c:v>
                </c:pt>
                <c:pt idx="1006">
                  <c:v>27.569559842869719</c:v>
                </c:pt>
                <c:pt idx="1007">
                  <c:v>27.569559842869719</c:v>
                </c:pt>
                <c:pt idx="1008">
                  <c:v>27.569559842869719</c:v>
                </c:pt>
                <c:pt idx="1009">
                  <c:v>27.569559842869719</c:v>
                </c:pt>
                <c:pt idx="1010">
                  <c:v>27.569559842869719</c:v>
                </c:pt>
                <c:pt idx="1011">
                  <c:v>27.569559842869719</c:v>
                </c:pt>
                <c:pt idx="1012">
                  <c:v>27.569559842869719</c:v>
                </c:pt>
                <c:pt idx="1013">
                  <c:v>27.569559842869719</c:v>
                </c:pt>
                <c:pt idx="1014">
                  <c:v>27.569559842869719</c:v>
                </c:pt>
                <c:pt idx="1015">
                  <c:v>27.569559842869719</c:v>
                </c:pt>
                <c:pt idx="1016">
                  <c:v>27.569559842869719</c:v>
                </c:pt>
                <c:pt idx="1017">
                  <c:v>27.569559842869719</c:v>
                </c:pt>
                <c:pt idx="1018">
                  <c:v>27.569559842869719</c:v>
                </c:pt>
                <c:pt idx="1019">
                  <c:v>27.569559842869719</c:v>
                </c:pt>
                <c:pt idx="1020">
                  <c:v>27.569559842869719</c:v>
                </c:pt>
                <c:pt idx="1021">
                  <c:v>27.569559842869719</c:v>
                </c:pt>
                <c:pt idx="1022">
                  <c:v>27.569559842869719</c:v>
                </c:pt>
                <c:pt idx="1023">
                  <c:v>27.569559842869719</c:v>
                </c:pt>
                <c:pt idx="1024">
                  <c:v>27.569559842869719</c:v>
                </c:pt>
                <c:pt idx="1025">
                  <c:v>27.569559842869719</c:v>
                </c:pt>
                <c:pt idx="1026">
                  <c:v>27.569559842869719</c:v>
                </c:pt>
                <c:pt idx="1027">
                  <c:v>27.569559842869719</c:v>
                </c:pt>
                <c:pt idx="1028">
                  <c:v>27.569559842869719</c:v>
                </c:pt>
                <c:pt idx="1029">
                  <c:v>27.569559842869719</c:v>
                </c:pt>
                <c:pt idx="1030">
                  <c:v>27.569559842869719</c:v>
                </c:pt>
                <c:pt idx="1031">
                  <c:v>27.569559842869719</c:v>
                </c:pt>
                <c:pt idx="1032">
                  <c:v>27.569559842869719</c:v>
                </c:pt>
                <c:pt idx="1033">
                  <c:v>27.569559842869719</c:v>
                </c:pt>
                <c:pt idx="1034">
                  <c:v>27.569559842869719</c:v>
                </c:pt>
                <c:pt idx="1035">
                  <c:v>27.569559842869719</c:v>
                </c:pt>
                <c:pt idx="1036">
                  <c:v>27.569559842869719</c:v>
                </c:pt>
                <c:pt idx="1037">
                  <c:v>27.569559842869719</c:v>
                </c:pt>
                <c:pt idx="1038">
                  <c:v>27.569559842869719</c:v>
                </c:pt>
                <c:pt idx="1039">
                  <c:v>27.569559842869719</c:v>
                </c:pt>
                <c:pt idx="1040">
                  <c:v>27.569559842869719</c:v>
                </c:pt>
                <c:pt idx="1041">
                  <c:v>27.569559842869719</c:v>
                </c:pt>
                <c:pt idx="1042">
                  <c:v>27.569559842869719</c:v>
                </c:pt>
                <c:pt idx="1043">
                  <c:v>27.569559842869719</c:v>
                </c:pt>
                <c:pt idx="1044">
                  <c:v>27.569559842869719</c:v>
                </c:pt>
                <c:pt idx="1045">
                  <c:v>27.569559842869719</c:v>
                </c:pt>
                <c:pt idx="1046">
                  <c:v>27.569559842869719</c:v>
                </c:pt>
                <c:pt idx="1047">
                  <c:v>27.569559842869719</c:v>
                </c:pt>
                <c:pt idx="1048">
                  <c:v>27.569559842869719</c:v>
                </c:pt>
                <c:pt idx="1049">
                  <c:v>27.569559842869719</c:v>
                </c:pt>
                <c:pt idx="1050">
                  <c:v>27.569559842869719</c:v>
                </c:pt>
                <c:pt idx="1051">
                  <c:v>27.569559842869719</c:v>
                </c:pt>
                <c:pt idx="1052">
                  <c:v>27.569559842869719</c:v>
                </c:pt>
                <c:pt idx="1053">
                  <c:v>27.569559842869719</c:v>
                </c:pt>
                <c:pt idx="1054">
                  <c:v>27.569559842869719</c:v>
                </c:pt>
                <c:pt idx="1055">
                  <c:v>27.569559842869719</c:v>
                </c:pt>
                <c:pt idx="1056">
                  <c:v>27.569559842869719</c:v>
                </c:pt>
                <c:pt idx="1057">
                  <c:v>27.569559842869719</c:v>
                </c:pt>
                <c:pt idx="1058">
                  <c:v>27.569559842869719</c:v>
                </c:pt>
                <c:pt idx="1059">
                  <c:v>27.569559842869719</c:v>
                </c:pt>
                <c:pt idx="1060">
                  <c:v>27.569559842869719</c:v>
                </c:pt>
                <c:pt idx="1061">
                  <c:v>27.569559842869719</c:v>
                </c:pt>
                <c:pt idx="1062">
                  <c:v>27.569559842869719</c:v>
                </c:pt>
                <c:pt idx="1063">
                  <c:v>27.569559842869719</c:v>
                </c:pt>
                <c:pt idx="1064">
                  <c:v>27.569559842869719</c:v>
                </c:pt>
                <c:pt idx="1065">
                  <c:v>27.569559842869719</c:v>
                </c:pt>
                <c:pt idx="1066">
                  <c:v>27.569559842869719</c:v>
                </c:pt>
                <c:pt idx="1067">
                  <c:v>27.569559842869719</c:v>
                </c:pt>
                <c:pt idx="1068">
                  <c:v>27.569559842869719</c:v>
                </c:pt>
                <c:pt idx="1069">
                  <c:v>27.569559842869719</c:v>
                </c:pt>
                <c:pt idx="1070">
                  <c:v>27.569559842869719</c:v>
                </c:pt>
                <c:pt idx="1071">
                  <c:v>27.569559842869719</c:v>
                </c:pt>
                <c:pt idx="1072">
                  <c:v>27.569559842869719</c:v>
                </c:pt>
                <c:pt idx="1073">
                  <c:v>27.569559842869719</c:v>
                </c:pt>
                <c:pt idx="1074">
                  <c:v>27.569559842869719</c:v>
                </c:pt>
                <c:pt idx="1075">
                  <c:v>27.569559842869719</c:v>
                </c:pt>
                <c:pt idx="1076">
                  <c:v>27.569559842869719</c:v>
                </c:pt>
                <c:pt idx="1077">
                  <c:v>27.569559842869719</c:v>
                </c:pt>
                <c:pt idx="1078">
                  <c:v>27.569559842869719</c:v>
                </c:pt>
                <c:pt idx="1079">
                  <c:v>27.569559842869719</c:v>
                </c:pt>
                <c:pt idx="1080">
                  <c:v>27.569559842869719</c:v>
                </c:pt>
                <c:pt idx="1081">
                  <c:v>27.569559842869719</c:v>
                </c:pt>
                <c:pt idx="1082">
                  <c:v>27.569559842869719</c:v>
                </c:pt>
                <c:pt idx="1083">
                  <c:v>27.569559842869719</c:v>
                </c:pt>
                <c:pt idx="1084">
                  <c:v>27.569559842869719</c:v>
                </c:pt>
                <c:pt idx="1085">
                  <c:v>27.569559842869719</c:v>
                </c:pt>
                <c:pt idx="1086">
                  <c:v>27.569559842869719</c:v>
                </c:pt>
                <c:pt idx="1087">
                  <c:v>27.569559842869719</c:v>
                </c:pt>
                <c:pt idx="1088">
                  <c:v>27.569559842869719</c:v>
                </c:pt>
                <c:pt idx="1089">
                  <c:v>27.569559842869719</c:v>
                </c:pt>
                <c:pt idx="1090">
                  <c:v>27.569559842869719</c:v>
                </c:pt>
                <c:pt idx="1091">
                  <c:v>27.569559842869719</c:v>
                </c:pt>
                <c:pt idx="1092">
                  <c:v>27.569559842869719</c:v>
                </c:pt>
                <c:pt idx="1093">
                  <c:v>27.569559842869719</c:v>
                </c:pt>
                <c:pt idx="1094">
                  <c:v>27.569559842869719</c:v>
                </c:pt>
                <c:pt idx="1095">
                  <c:v>27.569559842869719</c:v>
                </c:pt>
                <c:pt idx="1096">
                  <c:v>27.569559842869719</c:v>
                </c:pt>
                <c:pt idx="1097">
                  <c:v>27.569559842869719</c:v>
                </c:pt>
                <c:pt idx="1098">
                  <c:v>27.569559842869719</c:v>
                </c:pt>
                <c:pt idx="1099">
                  <c:v>27.569559842869719</c:v>
                </c:pt>
                <c:pt idx="1100">
                  <c:v>27.569559842869719</c:v>
                </c:pt>
                <c:pt idx="1101">
                  <c:v>27.569559842869719</c:v>
                </c:pt>
                <c:pt idx="1102">
                  <c:v>27.569559842869719</c:v>
                </c:pt>
                <c:pt idx="1103">
                  <c:v>27.569559842869719</c:v>
                </c:pt>
                <c:pt idx="1104">
                  <c:v>27.569559842869719</c:v>
                </c:pt>
                <c:pt idx="1105">
                  <c:v>27.569559842869719</c:v>
                </c:pt>
                <c:pt idx="1106">
                  <c:v>27.569559842869719</c:v>
                </c:pt>
                <c:pt idx="1107">
                  <c:v>27.569559842869719</c:v>
                </c:pt>
                <c:pt idx="1108">
                  <c:v>27.569559842869719</c:v>
                </c:pt>
                <c:pt idx="1109">
                  <c:v>27.569559842869719</c:v>
                </c:pt>
                <c:pt idx="1110">
                  <c:v>27.569559842869719</c:v>
                </c:pt>
                <c:pt idx="1111">
                  <c:v>27.569559842869719</c:v>
                </c:pt>
                <c:pt idx="1112">
                  <c:v>27.569559842869719</c:v>
                </c:pt>
                <c:pt idx="1113">
                  <c:v>27.569559842869719</c:v>
                </c:pt>
                <c:pt idx="1114">
                  <c:v>27.569559842869719</c:v>
                </c:pt>
                <c:pt idx="1115">
                  <c:v>27.569559842869719</c:v>
                </c:pt>
                <c:pt idx="1116">
                  <c:v>27.569559842869719</c:v>
                </c:pt>
                <c:pt idx="1117">
                  <c:v>27.569559842869719</c:v>
                </c:pt>
                <c:pt idx="1118">
                  <c:v>27.569559842869719</c:v>
                </c:pt>
                <c:pt idx="1119">
                  <c:v>27.569559842869719</c:v>
                </c:pt>
                <c:pt idx="1120">
                  <c:v>27.569559842869719</c:v>
                </c:pt>
                <c:pt idx="1121">
                  <c:v>27.569559842869719</c:v>
                </c:pt>
                <c:pt idx="1122">
                  <c:v>27.569559842869719</c:v>
                </c:pt>
                <c:pt idx="1123">
                  <c:v>27.569559842869719</c:v>
                </c:pt>
                <c:pt idx="1124">
                  <c:v>27.569559842869719</c:v>
                </c:pt>
                <c:pt idx="1125">
                  <c:v>27.569559842869719</c:v>
                </c:pt>
                <c:pt idx="1126">
                  <c:v>27.569559842869719</c:v>
                </c:pt>
                <c:pt idx="1127">
                  <c:v>27.569559842869719</c:v>
                </c:pt>
                <c:pt idx="1128">
                  <c:v>27.569559842869719</c:v>
                </c:pt>
                <c:pt idx="1129">
                  <c:v>27.569559842869719</c:v>
                </c:pt>
                <c:pt idx="1130">
                  <c:v>27.569559842869719</c:v>
                </c:pt>
                <c:pt idx="1131">
                  <c:v>27.569559842869719</c:v>
                </c:pt>
                <c:pt idx="1132">
                  <c:v>27.569559842869719</c:v>
                </c:pt>
                <c:pt idx="1133">
                  <c:v>27.569559842869719</c:v>
                </c:pt>
                <c:pt idx="1134">
                  <c:v>27.569559842869719</c:v>
                </c:pt>
                <c:pt idx="1135">
                  <c:v>27.569559842869719</c:v>
                </c:pt>
                <c:pt idx="1136">
                  <c:v>27.569559842869719</c:v>
                </c:pt>
                <c:pt idx="1137">
                  <c:v>27.569559842869719</c:v>
                </c:pt>
                <c:pt idx="1138">
                  <c:v>27.569559842869719</c:v>
                </c:pt>
                <c:pt idx="1139">
                  <c:v>27.569559842869719</c:v>
                </c:pt>
                <c:pt idx="1140">
                  <c:v>27.569559842869719</c:v>
                </c:pt>
                <c:pt idx="1141">
                  <c:v>27.569559842869719</c:v>
                </c:pt>
                <c:pt idx="1142">
                  <c:v>27.569559842869719</c:v>
                </c:pt>
                <c:pt idx="1143">
                  <c:v>27.569559842869719</c:v>
                </c:pt>
                <c:pt idx="1144">
                  <c:v>27.569559842869719</c:v>
                </c:pt>
                <c:pt idx="1145">
                  <c:v>27.569559842869719</c:v>
                </c:pt>
                <c:pt idx="1146">
                  <c:v>27.569559842869719</c:v>
                </c:pt>
                <c:pt idx="1147">
                  <c:v>27.569559842869719</c:v>
                </c:pt>
                <c:pt idx="1148">
                  <c:v>27.569559842869719</c:v>
                </c:pt>
                <c:pt idx="1149">
                  <c:v>27.569559842869719</c:v>
                </c:pt>
                <c:pt idx="1150">
                  <c:v>27.569559842869719</c:v>
                </c:pt>
                <c:pt idx="1151">
                  <c:v>27.569559842869719</c:v>
                </c:pt>
                <c:pt idx="1152">
                  <c:v>27.569559842869719</c:v>
                </c:pt>
                <c:pt idx="1153">
                  <c:v>27.569559842869719</c:v>
                </c:pt>
                <c:pt idx="1154">
                  <c:v>27.569559842869719</c:v>
                </c:pt>
                <c:pt idx="1155">
                  <c:v>27.569559842869719</c:v>
                </c:pt>
                <c:pt idx="1156">
                  <c:v>27.569559842869719</c:v>
                </c:pt>
                <c:pt idx="1157">
                  <c:v>27.569559842869719</c:v>
                </c:pt>
                <c:pt idx="1158">
                  <c:v>27.569559842869719</c:v>
                </c:pt>
                <c:pt idx="1159">
                  <c:v>27.569559842869719</c:v>
                </c:pt>
                <c:pt idx="1160">
                  <c:v>27.569559842869719</c:v>
                </c:pt>
                <c:pt idx="1161">
                  <c:v>27.569559842869719</c:v>
                </c:pt>
                <c:pt idx="1162">
                  <c:v>27.569559842869719</c:v>
                </c:pt>
                <c:pt idx="1163">
                  <c:v>27.569559842869719</c:v>
                </c:pt>
                <c:pt idx="1164">
                  <c:v>27.569559842869719</c:v>
                </c:pt>
                <c:pt idx="1165">
                  <c:v>27.569559842869719</c:v>
                </c:pt>
                <c:pt idx="1166">
                  <c:v>27.569559842869719</c:v>
                </c:pt>
                <c:pt idx="1167">
                  <c:v>27.569559842869719</c:v>
                </c:pt>
                <c:pt idx="1168">
                  <c:v>27.569559842869719</c:v>
                </c:pt>
                <c:pt idx="1169">
                  <c:v>27.569559842869719</c:v>
                </c:pt>
                <c:pt idx="1170">
                  <c:v>27.569559842869719</c:v>
                </c:pt>
                <c:pt idx="1171">
                  <c:v>27.569559842869719</c:v>
                </c:pt>
                <c:pt idx="1172">
                  <c:v>27.569559842869719</c:v>
                </c:pt>
                <c:pt idx="1173">
                  <c:v>27.569559842869719</c:v>
                </c:pt>
                <c:pt idx="1174">
                  <c:v>27.569559842869719</c:v>
                </c:pt>
                <c:pt idx="1175">
                  <c:v>27.569559842869719</c:v>
                </c:pt>
                <c:pt idx="1176">
                  <c:v>27.569559842869719</c:v>
                </c:pt>
                <c:pt idx="1177">
                  <c:v>27.569559842869719</c:v>
                </c:pt>
                <c:pt idx="1178">
                  <c:v>27.569559842869719</c:v>
                </c:pt>
                <c:pt idx="1179">
                  <c:v>27.569559842869719</c:v>
                </c:pt>
                <c:pt idx="1180">
                  <c:v>27.569559842869719</c:v>
                </c:pt>
                <c:pt idx="1181">
                  <c:v>27.569559842869719</c:v>
                </c:pt>
                <c:pt idx="1182">
                  <c:v>27.569559842869719</c:v>
                </c:pt>
                <c:pt idx="1183">
                  <c:v>27.569559842869719</c:v>
                </c:pt>
                <c:pt idx="1184">
                  <c:v>27.569559842869719</c:v>
                </c:pt>
                <c:pt idx="1185">
                  <c:v>27.569559842869719</c:v>
                </c:pt>
                <c:pt idx="1186">
                  <c:v>27.569559842869719</c:v>
                </c:pt>
                <c:pt idx="1187">
                  <c:v>27.569559842869719</c:v>
                </c:pt>
                <c:pt idx="1188">
                  <c:v>27.569559842869719</c:v>
                </c:pt>
                <c:pt idx="1189">
                  <c:v>27.569559842869719</c:v>
                </c:pt>
                <c:pt idx="1190">
                  <c:v>27.569559842869719</c:v>
                </c:pt>
                <c:pt idx="1191">
                  <c:v>27.569559842869719</c:v>
                </c:pt>
                <c:pt idx="1192">
                  <c:v>27.569559842869719</c:v>
                </c:pt>
                <c:pt idx="1193">
                  <c:v>27.569559842869719</c:v>
                </c:pt>
                <c:pt idx="1194">
                  <c:v>27.569559842869719</c:v>
                </c:pt>
                <c:pt idx="1195">
                  <c:v>27.569559842869719</c:v>
                </c:pt>
                <c:pt idx="1196">
                  <c:v>27.569559842869719</c:v>
                </c:pt>
                <c:pt idx="1197">
                  <c:v>27.569559842869719</c:v>
                </c:pt>
                <c:pt idx="1198">
                  <c:v>27.569559842869719</c:v>
                </c:pt>
                <c:pt idx="1199">
                  <c:v>27.569559842869719</c:v>
                </c:pt>
                <c:pt idx="1200">
                  <c:v>27.569559842869719</c:v>
                </c:pt>
                <c:pt idx="1201">
                  <c:v>27.569559842869719</c:v>
                </c:pt>
                <c:pt idx="1202">
                  <c:v>27.569559842869719</c:v>
                </c:pt>
                <c:pt idx="1203">
                  <c:v>27.569559842869719</c:v>
                </c:pt>
                <c:pt idx="1204">
                  <c:v>27.569559842869719</c:v>
                </c:pt>
                <c:pt idx="1205">
                  <c:v>27.569559842869719</c:v>
                </c:pt>
                <c:pt idx="1206">
                  <c:v>27.569559842869719</c:v>
                </c:pt>
                <c:pt idx="1207">
                  <c:v>27.569559842869719</c:v>
                </c:pt>
                <c:pt idx="1208">
                  <c:v>27.569559842869719</c:v>
                </c:pt>
                <c:pt idx="1209">
                  <c:v>27.569559842869719</c:v>
                </c:pt>
                <c:pt idx="1210">
                  <c:v>27.569559842869719</c:v>
                </c:pt>
                <c:pt idx="1211">
                  <c:v>27.569559842869719</c:v>
                </c:pt>
                <c:pt idx="1212">
                  <c:v>27.569559842869719</c:v>
                </c:pt>
                <c:pt idx="1213">
                  <c:v>27.569559842869719</c:v>
                </c:pt>
                <c:pt idx="1214">
                  <c:v>27.569559842869719</c:v>
                </c:pt>
                <c:pt idx="1215">
                  <c:v>27.569559842869719</c:v>
                </c:pt>
                <c:pt idx="1216">
                  <c:v>27.569559842869719</c:v>
                </c:pt>
                <c:pt idx="1217">
                  <c:v>27.569559842869719</c:v>
                </c:pt>
                <c:pt idx="1218">
                  <c:v>27.569559842869719</c:v>
                </c:pt>
                <c:pt idx="1219">
                  <c:v>27.569559842869719</c:v>
                </c:pt>
                <c:pt idx="1220">
                  <c:v>27.569559842869719</c:v>
                </c:pt>
                <c:pt idx="1221">
                  <c:v>27.569559842869719</c:v>
                </c:pt>
                <c:pt idx="1222">
                  <c:v>27.569559842869719</c:v>
                </c:pt>
                <c:pt idx="1223">
                  <c:v>27.569559842869719</c:v>
                </c:pt>
                <c:pt idx="1224">
                  <c:v>27.569559842869719</c:v>
                </c:pt>
                <c:pt idx="1225">
                  <c:v>27.569559842869719</c:v>
                </c:pt>
                <c:pt idx="1226">
                  <c:v>27.569559842869719</c:v>
                </c:pt>
                <c:pt idx="1227">
                  <c:v>27.569559842869719</c:v>
                </c:pt>
                <c:pt idx="1228">
                  <c:v>27.569559842869719</c:v>
                </c:pt>
                <c:pt idx="1229">
                  <c:v>27.569559842869719</c:v>
                </c:pt>
                <c:pt idx="1230">
                  <c:v>27.569559842869719</c:v>
                </c:pt>
                <c:pt idx="1231">
                  <c:v>27.569559842869719</c:v>
                </c:pt>
                <c:pt idx="1232">
                  <c:v>27.569559842869719</c:v>
                </c:pt>
                <c:pt idx="1233">
                  <c:v>27.569559842869719</c:v>
                </c:pt>
                <c:pt idx="1234">
                  <c:v>27.569559842869719</c:v>
                </c:pt>
                <c:pt idx="1235">
                  <c:v>27.569559842869719</c:v>
                </c:pt>
                <c:pt idx="1236">
                  <c:v>27.569559842869719</c:v>
                </c:pt>
                <c:pt idx="1237">
                  <c:v>27.569559842869719</c:v>
                </c:pt>
                <c:pt idx="1238">
                  <c:v>27.569559842869719</c:v>
                </c:pt>
                <c:pt idx="1239">
                  <c:v>27.569559842869719</c:v>
                </c:pt>
                <c:pt idx="1240">
                  <c:v>27.569559842869719</c:v>
                </c:pt>
                <c:pt idx="1241">
                  <c:v>27.569559842869719</c:v>
                </c:pt>
                <c:pt idx="1242">
                  <c:v>27.569559842869719</c:v>
                </c:pt>
                <c:pt idx="1243">
                  <c:v>27.569559842869719</c:v>
                </c:pt>
                <c:pt idx="1244">
                  <c:v>27.569559842869719</c:v>
                </c:pt>
                <c:pt idx="1245">
                  <c:v>27.569559842869719</c:v>
                </c:pt>
                <c:pt idx="1246">
                  <c:v>27.569559842869719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453-47A4-A715-399800330104}"/>
            </c:ext>
          </c:extLst>
        </c:ser>
        <c:ser>
          <c:idx val="0"/>
          <c:order val="5"/>
          <c:tx>
            <c:strRef>
              <c:f>'FX Data'!$E$956</c:f>
              <c:strCache>
                <c:ptCount val="1"/>
                <c:pt idx="0">
                  <c:v>Average P/E</c:v>
                </c:pt>
              </c:strCache>
            </c:strRef>
          </c:tx>
          <c:spPr>
            <a:ln w="28575" cap="rnd">
              <a:solidFill>
                <a:sysClr val="windowText" lastClr="000000">
                  <a:lumMod val="50000"/>
                  <a:lumOff val="50000"/>
                </a:sysClr>
              </a:solidFill>
              <a:round/>
            </a:ln>
            <a:effectLst/>
          </c:spPr>
          <c:marker>
            <c:symbol val="none"/>
          </c:marker>
          <c:cat>
            <c:numRef>
              <c:f>'FX Data'!$B$957:$B$2204</c:f>
              <c:numCache>
                <c:formatCode>m/d/yyyy</c:formatCode>
                <c:ptCount val="1248"/>
                <c:pt idx="0">
                  <c:v>44263</c:v>
                </c:pt>
                <c:pt idx="1">
                  <c:v>44264</c:v>
                </c:pt>
                <c:pt idx="2">
                  <c:v>44265</c:v>
                </c:pt>
                <c:pt idx="3">
                  <c:v>44266</c:v>
                </c:pt>
                <c:pt idx="4">
                  <c:v>44267</c:v>
                </c:pt>
                <c:pt idx="5">
                  <c:v>44270</c:v>
                </c:pt>
                <c:pt idx="6">
                  <c:v>44271</c:v>
                </c:pt>
                <c:pt idx="7">
                  <c:v>44272</c:v>
                </c:pt>
                <c:pt idx="8">
                  <c:v>44273</c:v>
                </c:pt>
                <c:pt idx="9">
                  <c:v>44274</c:v>
                </c:pt>
                <c:pt idx="10">
                  <c:v>44277</c:v>
                </c:pt>
                <c:pt idx="11">
                  <c:v>44278</c:v>
                </c:pt>
                <c:pt idx="12">
                  <c:v>44279</c:v>
                </c:pt>
                <c:pt idx="13">
                  <c:v>44280</c:v>
                </c:pt>
                <c:pt idx="14">
                  <c:v>44281</c:v>
                </c:pt>
                <c:pt idx="15">
                  <c:v>44284</c:v>
                </c:pt>
                <c:pt idx="16">
                  <c:v>44285</c:v>
                </c:pt>
                <c:pt idx="17">
                  <c:v>44286</c:v>
                </c:pt>
                <c:pt idx="18">
                  <c:v>44287</c:v>
                </c:pt>
                <c:pt idx="19">
                  <c:v>44288</c:v>
                </c:pt>
                <c:pt idx="20">
                  <c:v>44291</c:v>
                </c:pt>
                <c:pt idx="21">
                  <c:v>44292</c:v>
                </c:pt>
                <c:pt idx="22">
                  <c:v>44293</c:v>
                </c:pt>
                <c:pt idx="23">
                  <c:v>44294</c:v>
                </c:pt>
                <c:pt idx="24">
                  <c:v>44295</c:v>
                </c:pt>
                <c:pt idx="25">
                  <c:v>44298</c:v>
                </c:pt>
                <c:pt idx="26">
                  <c:v>44299</c:v>
                </c:pt>
                <c:pt idx="27">
                  <c:v>44300</c:v>
                </c:pt>
                <c:pt idx="28">
                  <c:v>44301</c:v>
                </c:pt>
                <c:pt idx="29">
                  <c:v>44302</c:v>
                </c:pt>
                <c:pt idx="30">
                  <c:v>44305</c:v>
                </c:pt>
                <c:pt idx="31">
                  <c:v>44306</c:v>
                </c:pt>
                <c:pt idx="32">
                  <c:v>44308</c:v>
                </c:pt>
                <c:pt idx="33">
                  <c:v>44309</c:v>
                </c:pt>
                <c:pt idx="34">
                  <c:v>44312</c:v>
                </c:pt>
                <c:pt idx="35">
                  <c:v>44313</c:v>
                </c:pt>
                <c:pt idx="36">
                  <c:v>44314</c:v>
                </c:pt>
                <c:pt idx="37">
                  <c:v>44315</c:v>
                </c:pt>
                <c:pt idx="38">
                  <c:v>44320</c:v>
                </c:pt>
                <c:pt idx="39">
                  <c:v>44321</c:v>
                </c:pt>
                <c:pt idx="40">
                  <c:v>44322</c:v>
                </c:pt>
                <c:pt idx="41">
                  <c:v>44323</c:v>
                </c:pt>
                <c:pt idx="42">
                  <c:v>44326</c:v>
                </c:pt>
                <c:pt idx="43">
                  <c:v>44327</c:v>
                </c:pt>
                <c:pt idx="44">
                  <c:v>44328</c:v>
                </c:pt>
                <c:pt idx="45">
                  <c:v>44329</c:v>
                </c:pt>
                <c:pt idx="46">
                  <c:v>44330</c:v>
                </c:pt>
                <c:pt idx="47">
                  <c:v>44333</c:v>
                </c:pt>
                <c:pt idx="48">
                  <c:v>44334</c:v>
                </c:pt>
                <c:pt idx="49">
                  <c:v>44335</c:v>
                </c:pt>
                <c:pt idx="50">
                  <c:v>44336</c:v>
                </c:pt>
                <c:pt idx="51">
                  <c:v>44337</c:v>
                </c:pt>
                <c:pt idx="52">
                  <c:v>44340</c:v>
                </c:pt>
                <c:pt idx="53">
                  <c:v>44341</c:v>
                </c:pt>
                <c:pt idx="54">
                  <c:v>44342</c:v>
                </c:pt>
                <c:pt idx="55">
                  <c:v>44343</c:v>
                </c:pt>
                <c:pt idx="56">
                  <c:v>44344</c:v>
                </c:pt>
                <c:pt idx="57">
                  <c:v>44347</c:v>
                </c:pt>
                <c:pt idx="58">
                  <c:v>44348</c:v>
                </c:pt>
                <c:pt idx="59">
                  <c:v>44349</c:v>
                </c:pt>
                <c:pt idx="60">
                  <c:v>44350</c:v>
                </c:pt>
                <c:pt idx="61">
                  <c:v>44351</c:v>
                </c:pt>
                <c:pt idx="62">
                  <c:v>44354</c:v>
                </c:pt>
                <c:pt idx="63">
                  <c:v>44355</c:v>
                </c:pt>
                <c:pt idx="64">
                  <c:v>44356</c:v>
                </c:pt>
                <c:pt idx="65">
                  <c:v>44357</c:v>
                </c:pt>
                <c:pt idx="66">
                  <c:v>44358</c:v>
                </c:pt>
                <c:pt idx="67">
                  <c:v>44361</c:v>
                </c:pt>
                <c:pt idx="68">
                  <c:v>44362</c:v>
                </c:pt>
                <c:pt idx="69">
                  <c:v>44363</c:v>
                </c:pt>
                <c:pt idx="70">
                  <c:v>44364</c:v>
                </c:pt>
                <c:pt idx="71">
                  <c:v>44365</c:v>
                </c:pt>
                <c:pt idx="72">
                  <c:v>44368</c:v>
                </c:pt>
                <c:pt idx="73">
                  <c:v>44369</c:v>
                </c:pt>
                <c:pt idx="74">
                  <c:v>44370</c:v>
                </c:pt>
                <c:pt idx="75">
                  <c:v>44371</c:v>
                </c:pt>
                <c:pt idx="76">
                  <c:v>44372</c:v>
                </c:pt>
                <c:pt idx="77">
                  <c:v>44375</c:v>
                </c:pt>
                <c:pt idx="78">
                  <c:v>44376</c:v>
                </c:pt>
                <c:pt idx="79">
                  <c:v>44377</c:v>
                </c:pt>
                <c:pt idx="80">
                  <c:v>44378</c:v>
                </c:pt>
                <c:pt idx="81">
                  <c:v>44379</c:v>
                </c:pt>
                <c:pt idx="82">
                  <c:v>44382</c:v>
                </c:pt>
                <c:pt idx="83">
                  <c:v>44383</c:v>
                </c:pt>
                <c:pt idx="84">
                  <c:v>44384</c:v>
                </c:pt>
                <c:pt idx="85">
                  <c:v>44385</c:v>
                </c:pt>
                <c:pt idx="86">
                  <c:v>44386</c:v>
                </c:pt>
                <c:pt idx="87">
                  <c:v>44389</c:v>
                </c:pt>
                <c:pt idx="88">
                  <c:v>44390</c:v>
                </c:pt>
                <c:pt idx="89">
                  <c:v>44391</c:v>
                </c:pt>
                <c:pt idx="90">
                  <c:v>44392</c:v>
                </c:pt>
                <c:pt idx="91">
                  <c:v>44393</c:v>
                </c:pt>
                <c:pt idx="92">
                  <c:v>44396</c:v>
                </c:pt>
                <c:pt idx="93">
                  <c:v>44397</c:v>
                </c:pt>
                <c:pt idx="94">
                  <c:v>44398</c:v>
                </c:pt>
                <c:pt idx="95">
                  <c:v>44399</c:v>
                </c:pt>
                <c:pt idx="96">
                  <c:v>44400</c:v>
                </c:pt>
                <c:pt idx="97">
                  <c:v>44403</c:v>
                </c:pt>
                <c:pt idx="98">
                  <c:v>44404</c:v>
                </c:pt>
                <c:pt idx="99">
                  <c:v>44405</c:v>
                </c:pt>
                <c:pt idx="100">
                  <c:v>44406</c:v>
                </c:pt>
                <c:pt idx="101">
                  <c:v>44407</c:v>
                </c:pt>
                <c:pt idx="102">
                  <c:v>44410</c:v>
                </c:pt>
                <c:pt idx="103">
                  <c:v>44411</c:v>
                </c:pt>
                <c:pt idx="104">
                  <c:v>44412</c:v>
                </c:pt>
                <c:pt idx="105">
                  <c:v>44413</c:v>
                </c:pt>
                <c:pt idx="106">
                  <c:v>44414</c:v>
                </c:pt>
                <c:pt idx="107">
                  <c:v>44417</c:v>
                </c:pt>
                <c:pt idx="108">
                  <c:v>44418</c:v>
                </c:pt>
                <c:pt idx="109">
                  <c:v>44419</c:v>
                </c:pt>
                <c:pt idx="110">
                  <c:v>44420</c:v>
                </c:pt>
                <c:pt idx="111">
                  <c:v>44421</c:v>
                </c:pt>
                <c:pt idx="112">
                  <c:v>44424</c:v>
                </c:pt>
                <c:pt idx="113">
                  <c:v>44425</c:v>
                </c:pt>
                <c:pt idx="114">
                  <c:v>44426</c:v>
                </c:pt>
                <c:pt idx="115">
                  <c:v>44427</c:v>
                </c:pt>
                <c:pt idx="116">
                  <c:v>44428</c:v>
                </c:pt>
                <c:pt idx="117">
                  <c:v>44431</c:v>
                </c:pt>
                <c:pt idx="118">
                  <c:v>44432</c:v>
                </c:pt>
                <c:pt idx="119">
                  <c:v>44433</c:v>
                </c:pt>
                <c:pt idx="120">
                  <c:v>44434</c:v>
                </c:pt>
                <c:pt idx="121">
                  <c:v>44435</c:v>
                </c:pt>
                <c:pt idx="122">
                  <c:v>44438</c:v>
                </c:pt>
                <c:pt idx="123">
                  <c:v>44439</c:v>
                </c:pt>
                <c:pt idx="124">
                  <c:v>44440</c:v>
                </c:pt>
                <c:pt idx="125">
                  <c:v>44445</c:v>
                </c:pt>
                <c:pt idx="126">
                  <c:v>44446</c:v>
                </c:pt>
                <c:pt idx="127">
                  <c:v>44447</c:v>
                </c:pt>
                <c:pt idx="128">
                  <c:v>44448</c:v>
                </c:pt>
                <c:pt idx="129">
                  <c:v>44449</c:v>
                </c:pt>
                <c:pt idx="130">
                  <c:v>44452</c:v>
                </c:pt>
                <c:pt idx="131">
                  <c:v>44453</c:v>
                </c:pt>
                <c:pt idx="132">
                  <c:v>44454</c:v>
                </c:pt>
                <c:pt idx="133">
                  <c:v>44455</c:v>
                </c:pt>
                <c:pt idx="134">
                  <c:v>44456</c:v>
                </c:pt>
                <c:pt idx="135">
                  <c:v>44459</c:v>
                </c:pt>
                <c:pt idx="136">
                  <c:v>44460</c:v>
                </c:pt>
                <c:pt idx="137">
                  <c:v>44461</c:v>
                </c:pt>
                <c:pt idx="138">
                  <c:v>44462</c:v>
                </c:pt>
                <c:pt idx="139">
                  <c:v>44463</c:v>
                </c:pt>
                <c:pt idx="140">
                  <c:v>44466</c:v>
                </c:pt>
                <c:pt idx="141">
                  <c:v>44467</c:v>
                </c:pt>
                <c:pt idx="142">
                  <c:v>44468</c:v>
                </c:pt>
                <c:pt idx="143">
                  <c:v>44469</c:v>
                </c:pt>
                <c:pt idx="144">
                  <c:v>44470</c:v>
                </c:pt>
                <c:pt idx="145">
                  <c:v>44473</c:v>
                </c:pt>
                <c:pt idx="146">
                  <c:v>44474</c:v>
                </c:pt>
                <c:pt idx="147">
                  <c:v>44475</c:v>
                </c:pt>
                <c:pt idx="148">
                  <c:v>44476</c:v>
                </c:pt>
                <c:pt idx="149">
                  <c:v>44477</c:v>
                </c:pt>
                <c:pt idx="150">
                  <c:v>44480</c:v>
                </c:pt>
                <c:pt idx="151">
                  <c:v>44481</c:v>
                </c:pt>
                <c:pt idx="152">
                  <c:v>44482</c:v>
                </c:pt>
                <c:pt idx="153">
                  <c:v>44483</c:v>
                </c:pt>
                <c:pt idx="154">
                  <c:v>44484</c:v>
                </c:pt>
                <c:pt idx="155">
                  <c:v>44487</c:v>
                </c:pt>
                <c:pt idx="156">
                  <c:v>44488</c:v>
                </c:pt>
                <c:pt idx="157">
                  <c:v>44489</c:v>
                </c:pt>
                <c:pt idx="158">
                  <c:v>44490</c:v>
                </c:pt>
                <c:pt idx="159">
                  <c:v>44491</c:v>
                </c:pt>
                <c:pt idx="160">
                  <c:v>44494</c:v>
                </c:pt>
                <c:pt idx="161">
                  <c:v>44495</c:v>
                </c:pt>
                <c:pt idx="162">
                  <c:v>44496</c:v>
                </c:pt>
                <c:pt idx="163">
                  <c:v>44497</c:v>
                </c:pt>
                <c:pt idx="164">
                  <c:v>44498</c:v>
                </c:pt>
                <c:pt idx="165">
                  <c:v>44501</c:v>
                </c:pt>
                <c:pt idx="166">
                  <c:v>44502</c:v>
                </c:pt>
                <c:pt idx="167">
                  <c:v>44503</c:v>
                </c:pt>
                <c:pt idx="168">
                  <c:v>44504</c:v>
                </c:pt>
                <c:pt idx="169">
                  <c:v>44505</c:v>
                </c:pt>
                <c:pt idx="170">
                  <c:v>44508</c:v>
                </c:pt>
                <c:pt idx="171">
                  <c:v>44509</c:v>
                </c:pt>
                <c:pt idx="172">
                  <c:v>44510</c:v>
                </c:pt>
                <c:pt idx="173">
                  <c:v>44511</c:v>
                </c:pt>
                <c:pt idx="174">
                  <c:v>44512</c:v>
                </c:pt>
                <c:pt idx="175">
                  <c:v>44515</c:v>
                </c:pt>
                <c:pt idx="176">
                  <c:v>44516</c:v>
                </c:pt>
                <c:pt idx="177">
                  <c:v>44517</c:v>
                </c:pt>
                <c:pt idx="178">
                  <c:v>44518</c:v>
                </c:pt>
                <c:pt idx="179">
                  <c:v>44519</c:v>
                </c:pt>
                <c:pt idx="180">
                  <c:v>44522</c:v>
                </c:pt>
                <c:pt idx="181">
                  <c:v>44523</c:v>
                </c:pt>
                <c:pt idx="182">
                  <c:v>44524</c:v>
                </c:pt>
                <c:pt idx="183">
                  <c:v>44525</c:v>
                </c:pt>
                <c:pt idx="184">
                  <c:v>44526</c:v>
                </c:pt>
                <c:pt idx="185">
                  <c:v>44529</c:v>
                </c:pt>
                <c:pt idx="186">
                  <c:v>44530</c:v>
                </c:pt>
                <c:pt idx="187">
                  <c:v>44531</c:v>
                </c:pt>
                <c:pt idx="188">
                  <c:v>44532</c:v>
                </c:pt>
                <c:pt idx="189">
                  <c:v>44533</c:v>
                </c:pt>
                <c:pt idx="190">
                  <c:v>44536</c:v>
                </c:pt>
                <c:pt idx="191">
                  <c:v>44537</c:v>
                </c:pt>
                <c:pt idx="192">
                  <c:v>44538</c:v>
                </c:pt>
                <c:pt idx="193">
                  <c:v>44539</c:v>
                </c:pt>
                <c:pt idx="194">
                  <c:v>44540</c:v>
                </c:pt>
                <c:pt idx="195">
                  <c:v>44543</c:v>
                </c:pt>
                <c:pt idx="196">
                  <c:v>44544</c:v>
                </c:pt>
                <c:pt idx="197">
                  <c:v>44545</c:v>
                </c:pt>
                <c:pt idx="198">
                  <c:v>44546</c:v>
                </c:pt>
                <c:pt idx="199">
                  <c:v>44547</c:v>
                </c:pt>
                <c:pt idx="200">
                  <c:v>44550</c:v>
                </c:pt>
                <c:pt idx="201">
                  <c:v>44551</c:v>
                </c:pt>
                <c:pt idx="202">
                  <c:v>44552</c:v>
                </c:pt>
                <c:pt idx="203">
                  <c:v>44553</c:v>
                </c:pt>
                <c:pt idx="204">
                  <c:v>44554</c:v>
                </c:pt>
                <c:pt idx="205">
                  <c:v>44557</c:v>
                </c:pt>
                <c:pt idx="206">
                  <c:v>44558</c:v>
                </c:pt>
                <c:pt idx="207">
                  <c:v>44559</c:v>
                </c:pt>
                <c:pt idx="208">
                  <c:v>44560</c:v>
                </c:pt>
                <c:pt idx="209">
                  <c:v>44561</c:v>
                </c:pt>
                <c:pt idx="210">
                  <c:v>44565</c:v>
                </c:pt>
                <c:pt idx="211">
                  <c:v>44566</c:v>
                </c:pt>
                <c:pt idx="212">
                  <c:v>44567</c:v>
                </c:pt>
                <c:pt idx="213">
                  <c:v>44568</c:v>
                </c:pt>
                <c:pt idx="214">
                  <c:v>44571</c:v>
                </c:pt>
                <c:pt idx="215">
                  <c:v>44572</c:v>
                </c:pt>
                <c:pt idx="216">
                  <c:v>44573</c:v>
                </c:pt>
                <c:pt idx="217">
                  <c:v>44574</c:v>
                </c:pt>
                <c:pt idx="218">
                  <c:v>44575</c:v>
                </c:pt>
                <c:pt idx="219">
                  <c:v>44578</c:v>
                </c:pt>
                <c:pt idx="220">
                  <c:v>44579</c:v>
                </c:pt>
                <c:pt idx="221">
                  <c:v>44580</c:v>
                </c:pt>
                <c:pt idx="222">
                  <c:v>44581</c:v>
                </c:pt>
                <c:pt idx="223">
                  <c:v>44582</c:v>
                </c:pt>
                <c:pt idx="224">
                  <c:v>44585</c:v>
                </c:pt>
                <c:pt idx="225">
                  <c:v>44586</c:v>
                </c:pt>
                <c:pt idx="226">
                  <c:v>44587</c:v>
                </c:pt>
                <c:pt idx="227">
                  <c:v>44588</c:v>
                </c:pt>
                <c:pt idx="228">
                  <c:v>44589</c:v>
                </c:pt>
                <c:pt idx="229">
                  <c:v>44599</c:v>
                </c:pt>
                <c:pt idx="230">
                  <c:v>44600</c:v>
                </c:pt>
                <c:pt idx="231">
                  <c:v>44601</c:v>
                </c:pt>
                <c:pt idx="232">
                  <c:v>44602</c:v>
                </c:pt>
                <c:pt idx="233">
                  <c:v>44603</c:v>
                </c:pt>
                <c:pt idx="234">
                  <c:v>44606</c:v>
                </c:pt>
                <c:pt idx="235">
                  <c:v>44607</c:v>
                </c:pt>
                <c:pt idx="236">
                  <c:v>44608</c:v>
                </c:pt>
                <c:pt idx="237">
                  <c:v>44609</c:v>
                </c:pt>
                <c:pt idx="238">
                  <c:v>44610</c:v>
                </c:pt>
                <c:pt idx="239">
                  <c:v>44613</c:v>
                </c:pt>
                <c:pt idx="240">
                  <c:v>44614</c:v>
                </c:pt>
                <c:pt idx="241">
                  <c:v>44615</c:v>
                </c:pt>
                <c:pt idx="242">
                  <c:v>44616</c:v>
                </c:pt>
                <c:pt idx="243">
                  <c:v>44617</c:v>
                </c:pt>
                <c:pt idx="244">
                  <c:v>44620</c:v>
                </c:pt>
                <c:pt idx="245">
                  <c:v>44621</c:v>
                </c:pt>
                <c:pt idx="246">
                  <c:v>44622</c:v>
                </c:pt>
                <c:pt idx="247">
                  <c:v>44623</c:v>
                </c:pt>
                <c:pt idx="248">
                  <c:v>44624</c:v>
                </c:pt>
                <c:pt idx="249">
                  <c:v>44627</c:v>
                </c:pt>
                <c:pt idx="250">
                  <c:v>44628</c:v>
                </c:pt>
                <c:pt idx="251">
                  <c:v>44629</c:v>
                </c:pt>
                <c:pt idx="252">
                  <c:v>44630</c:v>
                </c:pt>
                <c:pt idx="253">
                  <c:v>44631</c:v>
                </c:pt>
                <c:pt idx="254">
                  <c:v>44634</c:v>
                </c:pt>
                <c:pt idx="255">
                  <c:v>44635</c:v>
                </c:pt>
                <c:pt idx="256">
                  <c:v>44636</c:v>
                </c:pt>
                <c:pt idx="257">
                  <c:v>44637</c:v>
                </c:pt>
                <c:pt idx="258">
                  <c:v>44638</c:v>
                </c:pt>
                <c:pt idx="259">
                  <c:v>44641</c:v>
                </c:pt>
                <c:pt idx="260">
                  <c:v>44642</c:v>
                </c:pt>
                <c:pt idx="261">
                  <c:v>44643</c:v>
                </c:pt>
                <c:pt idx="262">
                  <c:v>44644</c:v>
                </c:pt>
                <c:pt idx="263">
                  <c:v>44645</c:v>
                </c:pt>
                <c:pt idx="264">
                  <c:v>44648</c:v>
                </c:pt>
                <c:pt idx="265">
                  <c:v>44649</c:v>
                </c:pt>
                <c:pt idx="266">
                  <c:v>44650</c:v>
                </c:pt>
                <c:pt idx="267">
                  <c:v>44651</c:v>
                </c:pt>
                <c:pt idx="268">
                  <c:v>44652</c:v>
                </c:pt>
                <c:pt idx="269">
                  <c:v>44655</c:v>
                </c:pt>
                <c:pt idx="270">
                  <c:v>44656</c:v>
                </c:pt>
                <c:pt idx="271">
                  <c:v>44657</c:v>
                </c:pt>
                <c:pt idx="272">
                  <c:v>44658</c:v>
                </c:pt>
                <c:pt idx="273">
                  <c:v>44659</c:v>
                </c:pt>
                <c:pt idx="274">
                  <c:v>44663</c:v>
                </c:pt>
                <c:pt idx="275">
                  <c:v>44664</c:v>
                </c:pt>
                <c:pt idx="276">
                  <c:v>44665</c:v>
                </c:pt>
                <c:pt idx="277">
                  <c:v>44666</c:v>
                </c:pt>
                <c:pt idx="278">
                  <c:v>44669</c:v>
                </c:pt>
                <c:pt idx="279">
                  <c:v>44670</c:v>
                </c:pt>
                <c:pt idx="280">
                  <c:v>44671</c:v>
                </c:pt>
                <c:pt idx="281">
                  <c:v>44672</c:v>
                </c:pt>
                <c:pt idx="282">
                  <c:v>44673</c:v>
                </c:pt>
                <c:pt idx="283">
                  <c:v>44676</c:v>
                </c:pt>
                <c:pt idx="284">
                  <c:v>44677</c:v>
                </c:pt>
                <c:pt idx="285">
                  <c:v>44678</c:v>
                </c:pt>
                <c:pt idx="286">
                  <c:v>44679</c:v>
                </c:pt>
                <c:pt idx="287">
                  <c:v>44680</c:v>
                </c:pt>
                <c:pt idx="288">
                  <c:v>44685</c:v>
                </c:pt>
                <c:pt idx="289">
                  <c:v>44686</c:v>
                </c:pt>
                <c:pt idx="290">
                  <c:v>44687</c:v>
                </c:pt>
                <c:pt idx="291">
                  <c:v>44690</c:v>
                </c:pt>
                <c:pt idx="292">
                  <c:v>44691</c:v>
                </c:pt>
                <c:pt idx="293">
                  <c:v>44692</c:v>
                </c:pt>
                <c:pt idx="294">
                  <c:v>44693</c:v>
                </c:pt>
                <c:pt idx="295">
                  <c:v>44694</c:v>
                </c:pt>
                <c:pt idx="296">
                  <c:v>44697</c:v>
                </c:pt>
                <c:pt idx="297">
                  <c:v>44698</c:v>
                </c:pt>
                <c:pt idx="298">
                  <c:v>44699</c:v>
                </c:pt>
                <c:pt idx="299">
                  <c:v>44700</c:v>
                </c:pt>
                <c:pt idx="300">
                  <c:v>44701</c:v>
                </c:pt>
                <c:pt idx="301">
                  <c:v>44704</c:v>
                </c:pt>
                <c:pt idx="302">
                  <c:v>44705</c:v>
                </c:pt>
                <c:pt idx="303">
                  <c:v>44706</c:v>
                </c:pt>
                <c:pt idx="304">
                  <c:v>44707</c:v>
                </c:pt>
                <c:pt idx="305">
                  <c:v>44708</c:v>
                </c:pt>
                <c:pt idx="306">
                  <c:v>44711</c:v>
                </c:pt>
                <c:pt idx="307">
                  <c:v>44712</c:v>
                </c:pt>
                <c:pt idx="308">
                  <c:v>44713</c:v>
                </c:pt>
                <c:pt idx="309">
                  <c:v>44714</c:v>
                </c:pt>
                <c:pt idx="310">
                  <c:v>44715</c:v>
                </c:pt>
                <c:pt idx="311">
                  <c:v>44718</c:v>
                </c:pt>
                <c:pt idx="312">
                  <c:v>44719</c:v>
                </c:pt>
                <c:pt idx="313">
                  <c:v>44720</c:v>
                </c:pt>
                <c:pt idx="314">
                  <c:v>44721</c:v>
                </c:pt>
                <c:pt idx="315">
                  <c:v>44722</c:v>
                </c:pt>
                <c:pt idx="316">
                  <c:v>44725</c:v>
                </c:pt>
                <c:pt idx="317">
                  <c:v>44726</c:v>
                </c:pt>
                <c:pt idx="318">
                  <c:v>44727</c:v>
                </c:pt>
                <c:pt idx="319">
                  <c:v>44728</c:v>
                </c:pt>
                <c:pt idx="320">
                  <c:v>44729</c:v>
                </c:pt>
                <c:pt idx="321">
                  <c:v>44732</c:v>
                </c:pt>
                <c:pt idx="322">
                  <c:v>44733</c:v>
                </c:pt>
                <c:pt idx="323">
                  <c:v>44734</c:v>
                </c:pt>
                <c:pt idx="324">
                  <c:v>44735</c:v>
                </c:pt>
                <c:pt idx="325">
                  <c:v>44736</c:v>
                </c:pt>
                <c:pt idx="326">
                  <c:v>44739</c:v>
                </c:pt>
                <c:pt idx="327">
                  <c:v>44740</c:v>
                </c:pt>
                <c:pt idx="328">
                  <c:v>44741</c:v>
                </c:pt>
                <c:pt idx="329">
                  <c:v>44742</c:v>
                </c:pt>
                <c:pt idx="330">
                  <c:v>44743</c:v>
                </c:pt>
                <c:pt idx="331">
                  <c:v>44746</c:v>
                </c:pt>
                <c:pt idx="332">
                  <c:v>44747</c:v>
                </c:pt>
                <c:pt idx="333">
                  <c:v>44748</c:v>
                </c:pt>
                <c:pt idx="334">
                  <c:v>44749</c:v>
                </c:pt>
                <c:pt idx="335">
                  <c:v>44750</c:v>
                </c:pt>
                <c:pt idx="336">
                  <c:v>44753</c:v>
                </c:pt>
                <c:pt idx="337">
                  <c:v>44754</c:v>
                </c:pt>
                <c:pt idx="338">
                  <c:v>44755</c:v>
                </c:pt>
                <c:pt idx="339">
                  <c:v>44756</c:v>
                </c:pt>
                <c:pt idx="340">
                  <c:v>44757</c:v>
                </c:pt>
                <c:pt idx="341">
                  <c:v>44760</c:v>
                </c:pt>
                <c:pt idx="342">
                  <c:v>44761</c:v>
                </c:pt>
                <c:pt idx="343">
                  <c:v>44762</c:v>
                </c:pt>
                <c:pt idx="344">
                  <c:v>44763</c:v>
                </c:pt>
                <c:pt idx="345">
                  <c:v>44764</c:v>
                </c:pt>
                <c:pt idx="346">
                  <c:v>44767</c:v>
                </c:pt>
                <c:pt idx="347">
                  <c:v>44768</c:v>
                </c:pt>
                <c:pt idx="348">
                  <c:v>44769</c:v>
                </c:pt>
                <c:pt idx="349">
                  <c:v>44770</c:v>
                </c:pt>
                <c:pt idx="350">
                  <c:v>44771</c:v>
                </c:pt>
                <c:pt idx="351">
                  <c:v>44774</c:v>
                </c:pt>
                <c:pt idx="352">
                  <c:v>44775</c:v>
                </c:pt>
                <c:pt idx="353">
                  <c:v>44776</c:v>
                </c:pt>
                <c:pt idx="354">
                  <c:v>44777</c:v>
                </c:pt>
                <c:pt idx="355">
                  <c:v>44778</c:v>
                </c:pt>
                <c:pt idx="356">
                  <c:v>44781</c:v>
                </c:pt>
                <c:pt idx="357">
                  <c:v>44782</c:v>
                </c:pt>
                <c:pt idx="358">
                  <c:v>44783</c:v>
                </c:pt>
                <c:pt idx="359">
                  <c:v>44784</c:v>
                </c:pt>
                <c:pt idx="360">
                  <c:v>44785</c:v>
                </c:pt>
                <c:pt idx="361">
                  <c:v>44788</c:v>
                </c:pt>
                <c:pt idx="362">
                  <c:v>44789</c:v>
                </c:pt>
                <c:pt idx="363">
                  <c:v>44790</c:v>
                </c:pt>
                <c:pt idx="364">
                  <c:v>44791</c:v>
                </c:pt>
                <c:pt idx="365">
                  <c:v>44792</c:v>
                </c:pt>
                <c:pt idx="366">
                  <c:v>44795</c:v>
                </c:pt>
                <c:pt idx="367">
                  <c:v>44796</c:v>
                </c:pt>
                <c:pt idx="368">
                  <c:v>44797</c:v>
                </c:pt>
                <c:pt idx="369">
                  <c:v>44798</c:v>
                </c:pt>
                <c:pt idx="370">
                  <c:v>44799</c:v>
                </c:pt>
                <c:pt idx="371">
                  <c:v>44802</c:v>
                </c:pt>
                <c:pt idx="372">
                  <c:v>44803</c:v>
                </c:pt>
                <c:pt idx="373">
                  <c:v>44804</c:v>
                </c:pt>
                <c:pt idx="374">
                  <c:v>44809</c:v>
                </c:pt>
                <c:pt idx="375">
                  <c:v>44810</c:v>
                </c:pt>
                <c:pt idx="376">
                  <c:v>44811</c:v>
                </c:pt>
                <c:pt idx="377">
                  <c:v>44812</c:v>
                </c:pt>
                <c:pt idx="378">
                  <c:v>44813</c:v>
                </c:pt>
                <c:pt idx="379">
                  <c:v>44816</c:v>
                </c:pt>
                <c:pt idx="380">
                  <c:v>44817</c:v>
                </c:pt>
                <c:pt idx="381">
                  <c:v>44818</c:v>
                </c:pt>
                <c:pt idx="382">
                  <c:v>44819</c:v>
                </c:pt>
                <c:pt idx="383">
                  <c:v>44820</c:v>
                </c:pt>
                <c:pt idx="384">
                  <c:v>44823</c:v>
                </c:pt>
                <c:pt idx="385">
                  <c:v>44824</c:v>
                </c:pt>
                <c:pt idx="386">
                  <c:v>44825</c:v>
                </c:pt>
                <c:pt idx="387">
                  <c:v>44826</c:v>
                </c:pt>
                <c:pt idx="388">
                  <c:v>44827</c:v>
                </c:pt>
                <c:pt idx="389">
                  <c:v>44830</c:v>
                </c:pt>
                <c:pt idx="390">
                  <c:v>44831</c:v>
                </c:pt>
                <c:pt idx="391">
                  <c:v>44832</c:v>
                </c:pt>
                <c:pt idx="392">
                  <c:v>44833</c:v>
                </c:pt>
                <c:pt idx="393">
                  <c:v>44834</c:v>
                </c:pt>
                <c:pt idx="394">
                  <c:v>44837</c:v>
                </c:pt>
                <c:pt idx="395">
                  <c:v>44838</c:v>
                </c:pt>
                <c:pt idx="396">
                  <c:v>44839</c:v>
                </c:pt>
                <c:pt idx="397">
                  <c:v>44840</c:v>
                </c:pt>
                <c:pt idx="398">
                  <c:v>44841</c:v>
                </c:pt>
                <c:pt idx="399">
                  <c:v>44844</c:v>
                </c:pt>
                <c:pt idx="400">
                  <c:v>44845</c:v>
                </c:pt>
                <c:pt idx="401">
                  <c:v>44846</c:v>
                </c:pt>
                <c:pt idx="402">
                  <c:v>44847</c:v>
                </c:pt>
                <c:pt idx="403">
                  <c:v>44848</c:v>
                </c:pt>
                <c:pt idx="404">
                  <c:v>44851</c:v>
                </c:pt>
                <c:pt idx="405">
                  <c:v>44852</c:v>
                </c:pt>
                <c:pt idx="406">
                  <c:v>44853</c:v>
                </c:pt>
                <c:pt idx="407">
                  <c:v>44854</c:v>
                </c:pt>
                <c:pt idx="408">
                  <c:v>44855</c:v>
                </c:pt>
                <c:pt idx="409">
                  <c:v>44858</c:v>
                </c:pt>
                <c:pt idx="410">
                  <c:v>44859</c:v>
                </c:pt>
                <c:pt idx="411">
                  <c:v>44860</c:v>
                </c:pt>
                <c:pt idx="412">
                  <c:v>44861</c:v>
                </c:pt>
                <c:pt idx="413">
                  <c:v>44862</c:v>
                </c:pt>
                <c:pt idx="414">
                  <c:v>44865</c:v>
                </c:pt>
                <c:pt idx="415">
                  <c:v>44866</c:v>
                </c:pt>
                <c:pt idx="416">
                  <c:v>44867</c:v>
                </c:pt>
                <c:pt idx="417">
                  <c:v>44868</c:v>
                </c:pt>
                <c:pt idx="418">
                  <c:v>44869</c:v>
                </c:pt>
                <c:pt idx="419">
                  <c:v>44872</c:v>
                </c:pt>
                <c:pt idx="420">
                  <c:v>44873</c:v>
                </c:pt>
                <c:pt idx="421">
                  <c:v>44874</c:v>
                </c:pt>
                <c:pt idx="422">
                  <c:v>44875</c:v>
                </c:pt>
                <c:pt idx="423">
                  <c:v>44876</c:v>
                </c:pt>
                <c:pt idx="424">
                  <c:v>44879</c:v>
                </c:pt>
                <c:pt idx="425">
                  <c:v>44880</c:v>
                </c:pt>
                <c:pt idx="426">
                  <c:v>44881</c:v>
                </c:pt>
                <c:pt idx="427">
                  <c:v>44882</c:v>
                </c:pt>
                <c:pt idx="428">
                  <c:v>44883</c:v>
                </c:pt>
                <c:pt idx="429">
                  <c:v>44886</c:v>
                </c:pt>
                <c:pt idx="430">
                  <c:v>44887</c:v>
                </c:pt>
                <c:pt idx="431">
                  <c:v>44888</c:v>
                </c:pt>
                <c:pt idx="432">
                  <c:v>44889</c:v>
                </c:pt>
                <c:pt idx="433">
                  <c:v>44890</c:v>
                </c:pt>
                <c:pt idx="434">
                  <c:v>44893</c:v>
                </c:pt>
                <c:pt idx="435">
                  <c:v>44894</c:v>
                </c:pt>
                <c:pt idx="436">
                  <c:v>44895</c:v>
                </c:pt>
                <c:pt idx="437">
                  <c:v>44896</c:v>
                </c:pt>
                <c:pt idx="438">
                  <c:v>44897</c:v>
                </c:pt>
                <c:pt idx="439">
                  <c:v>44900</c:v>
                </c:pt>
                <c:pt idx="440">
                  <c:v>44901</c:v>
                </c:pt>
                <c:pt idx="441">
                  <c:v>44902</c:v>
                </c:pt>
                <c:pt idx="442">
                  <c:v>44903</c:v>
                </c:pt>
                <c:pt idx="443">
                  <c:v>44904</c:v>
                </c:pt>
                <c:pt idx="444">
                  <c:v>44907</c:v>
                </c:pt>
                <c:pt idx="445">
                  <c:v>44908</c:v>
                </c:pt>
                <c:pt idx="446">
                  <c:v>44909</c:v>
                </c:pt>
                <c:pt idx="447">
                  <c:v>44910</c:v>
                </c:pt>
                <c:pt idx="448">
                  <c:v>44911</c:v>
                </c:pt>
                <c:pt idx="449">
                  <c:v>44914</c:v>
                </c:pt>
                <c:pt idx="450">
                  <c:v>44915</c:v>
                </c:pt>
                <c:pt idx="451">
                  <c:v>44916</c:v>
                </c:pt>
                <c:pt idx="452">
                  <c:v>44917</c:v>
                </c:pt>
                <c:pt idx="453">
                  <c:v>44918</c:v>
                </c:pt>
                <c:pt idx="454">
                  <c:v>44921</c:v>
                </c:pt>
                <c:pt idx="455">
                  <c:v>44922</c:v>
                </c:pt>
                <c:pt idx="456">
                  <c:v>44923</c:v>
                </c:pt>
                <c:pt idx="457">
                  <c:v>44924</c:v>
                </c:pt>
                <c:pt idx="458">
                  <c:v>44925</c:v>
                </c:pt>
                <c:pt idx="459">
                  <c:v>44929</c:v>
                </c:pt>
                <c:pt idx="460">
                  <c:v>44930</c:v>
                </c:pt>
                <c:pt idx="461">
                  <c:v>44931</c:v>
                </c:pt>
                <c:pt idx="462">
                  <c:v>44932</c:v>
                </c:pt>
                <c:pt idx="463">
                  <c:v>44935</c:v>
                </c:pt>
                <c:pt idx="464">
                  <c:v>44936</c:v>
                </c:pt>
                <c:pt idx="465">
                  <c:v>44937</c:v>
                </c:pt>
                <c:pt idx="466">
                  <c:v>44938</c:v>
                </c:pt>
                <c:pt idx="467">
                  <c:v>44939</c:v>
                </c:pt>
                <c:pt idx="468">
                  <c:v>44942</c:v>
                </c:pt>
                <c:pt idx="469">
                  <c:v>44943</c:v>
                </c:pt>
                <c:pt idx="470">
                  <c:v>44944</c:v>
                </c:pt>
                <c:pt idx="471">
                  <c:v>44945</c:v>
                </c:pt>
                <c:pt idx="472">
                  <c:v>44953</c:v>
                </c:pt>
                <c:pt idx="473">
                  <c:v>44956</c:v>
                </c:pt>
                <c:pt idx="474">
                  <c:v>44957</c:v>
                </c:pt>
                <c:pt idx="475">
                  <c:v>44958</c:v>
                </c:pt>
                <c:pt idx="476">
                  <c:v>44959</c:v>
                </c:pt>
                <c:pt idx="477">
                  <c:v>44960</c:v>
                </c:pt>
                <c:pt idx="478">
                  <c:v>44963</c:v>
                </c:pt>
                <c:pt idx="479">
                  <c:v>44964</c:v>
                </c:pt>
                <c:pt idx="480">
                  <c:v>44965</c:v>
                </c:pt>
                <c:pt idx="481">
                  <c:v>44966</c:v>
                </c:pt>
                <c:pt idx="482">
                  <c:v>44967</c:v>
                </c:pt>
                <c:pt idx="483">
                  <c:v>44970</c:v>
                </c:pt>
                <c:pt idx="484">
                  <c:v>44971</c:v>
                </c:pt>
                <c:pt idx="485">
                  <c:v>44972</c:v>
                </c:pt>
                <c:pt idx="486">
                  <c:v>44973</c:v>
                </c:pt>
                <c:pt idx="487">
                  <c:v>44974</c:v>
                </c:pt>
                <c:pt idx="488">
                  <c:v>44977</c:v>
                </c:pt>
                <c:pt idx="489">
                  <c:v>44978</c:v>
                </c:pt>
                <c:pt idx="490">
                  <c:v>44979</c:v>
                </c:pt>
                <c:pt idx="491">
                  <c:v>44980</c:v>
                </c:pt>
                <c:pt idx="492">
                  <c:v>44981</c:v>
                </c:pt>
                <c:pt idx="493">
                  <c:v>44984</c:v>
                </c:pt>
                <c:pt idx="494">
                  <c:v>44985</c:v>
                </c:pt>
                <c:pt idx="495">
                  <c:v>44986</c:v>
                </c:pt>
                <c:pt idx="496">
                  <c:v>44987</c:v>
                </c:pt>
                <c:pt idx="497">
                  <c:v>44988</c:v>
                </c:pt>
                <c:pt idx="498">
                  <c:v>44991</c:v>
                </c:pt>
                <c:pt idx="499">
                  <c:v>44992</c:v>
                </c:pt>
                <c:pt idx="500">
                  <c:v>44993</c:v>
                </c:pt>
                <c:pt idx="501">
                  <c:v>44994</c:v>
                </c:pt>
                <c:pt idx="502">
                  <c:v>44995</c:v>
                </c:pt>
                <c:pt idx="503">
                  <c:v>44998</c:v>
                </c:pt>
                <c:pt idx="504">
                  <c:v>44999</c:v>
                </c:pt>
                <c:pt idx="505">
                  <c:v>45000</c:v>
                </c:pt>
                <c:pt idx="506">
                  <c:v>45001</c:v>
                </c:pt>
                <c:pt idx="507">
                  <c:v>45002</c:v>
                </c:pt>
                <c:pt idx="508">
                  <c:v>45005</c:v>
                </c:pt>
                <c:pt idx="509">
                  <c:v>45006</c:v>
                </c:pt>
                <c:pt idx="510">
                  <c:v>45007</c:v>
                </c:pt>
                <c:pt idx="511">
                  <c:v>45008</c:v>
                </c:pt>
                <c:pt idx="512">
                  <c:v>45009</c:v>
                </c:pt>
                <c:pt idx="513">
                  <c:v>45012</c:v>
                </c:pt>
                <c:pt idx="514">
                  <c:v>45013</c:v>
                </c:pt>
                <c:pt idx="515">
                  <c:v>45014</c:v>
                </c:pt>
                <c:pt idx="516">
                  <c:v>45015</c:v>
                </c:pt>
                <c:pt idx="517">
                  <c:v>45016</c:v>
                </c:pt>
                <c:pt idx="518">
                  <c:v>45019</c:v>
                </c:pt>
                <c:pt idx="519">
                  <c:v>45020</c:v>
                </c:pt>
                <c:pt idx="520">
                  <c:v>45021</c:v>
                </c:pt>
                <c:pt idx="521">
                  <c:v>45022</c:v>
                </c:pt>
                <c:pt idx="522">
                  <c:v>45023</c:v>
                </c:pt>
                <c:pt idx="523">
                  <c:v>45026</c:v>
                </c:pt>
                <c:pt idx="524">
                  <c:v>45027</c:v>
                </c:pt>
                <c:pt idx="525">
                  <c:v>45028</c:v>
                </c:pt>
                <c:pt idx="526">
                  <c:v>45029</c:v>
                </c:pt>
                <c:pt idx="527">
                  <c:v>45030</c:v>
                </c:pt>
                <c:pt idx="528">
                  <c:v>45033</c:v>
                </c:pt>
                <c:pt idx="529">
                  <c:v>45034</c:v>
                </c:pt>
                <c:pt idx="530">
                  <c:v>45035</c:v>
                </c:pt>
                <c:pt idx="531">
                  <c:v>45036</c:v>
                </c:pt>
                <c:pt idx="532">
                  <c:v>45037</c:v>
                </c:pt>
                <c:pt idx="533">
                  <c:v>45040</c:v>
                </c:pt>
                <c:pt idx="534">
                  <c:v>45041</c:v>
                </c:pt>
                <c:pt idx="535">
                  <c:v>45042</c:v>
                </c:pt>
                <c:pt idx="536">
                  <c:v>45043</c:v>
                </c:pt>
                <c:pt idx="537">
                  <c:v>45044</c:v>
                </c:pt>
                <c:pt idx="538">
                  <c:v>45050</c:v>
                </c:pt>
                <c:pt idx="539">
                  <c:v>45051</c:v>
                </c:pt>
                <c:pt idx="540">
                  <c:v>45054</c:v>
                </c:pt>
                <c:pt idx="541">
                  <c:v>45055</c:v>
                </c:pt>
                <c:pt idx="542">
                  <c:v>45056</c:v>
                </c:pt>
                <c:pt idx="543">
                  <c:v>45057</c:v>
                </c:pt>
                <c:pt idx="544">
                  <c:v>45058</c:v>
                </c:pt>
                <c:pt idx="545">
                  <c:v>45061</c:v>
                </c:pt>
                <c:pt idx="546">
                  <c:v>45062</c:v>
                </c:pt>
                <c:pt idx="547">
                  <c:v>45063</c:v>
                </c:pt>
                <c:pt idx="548">
                  <c:v>45064</c:v>
                </c:pt>
                <c:pt idx="549">
                  <c:v>45065</c:v>
                </c:pt>
                <c:pt idx="550">
                  <c:v>45068</c:v>
                </c:pt>
                <c:pt idx="551">
                  <c:v>45069</c:v>
                </c:pt>
                <c:pt idx="552">
                  <c:v>45070</c:v>
                </c:pt>
                <c:pt idx="553">
                  <c:v>45071</c:v>
                </c:pt>
                <c:pt idx="554">
                  <c:v>45072</c:v>
                </c:pt>
                <c:pt idx="555">
                  <c:v>45075</c:v>
                </c:pt>
                <c:pt idx="556">
                  <c:v>45076</c:v>
                </c:pt>
                <c:pt idx="557">
                  <c:v>45077</c:v>
                </c:pt>
                <c:pt idx="558">
                  <c:v>45078</c:v>
                </c:pt>
                <c:pt idx="559">
                  <c:v>45079</c:v>
                </c:pt>
                <c:pt idx="560">
                  <c:v>45082</c:v>
                </c:pt>
                <c:pt idx="561">
                  <c:v>45083</c:v>
                </c:pt>
                <c:pt idx="562">
                  <c:v>45084</c:v>
                </c:pt>
                <c:pt idx="563">
                  <c:v>45085</c:v>
                </c:pt>
                <c:pt idx="564">
                  <c:v>45086</c:v>
                </c:pt>
                <c:pt idx="565">
                  <c:v>45089</c:v>
                </c:pt>
                <c:pt idx="566">
                  <c:v>45090</c:v>
                </c:pt>
                <c:pt idx="567">
                  <c:v>45091</c:v>
                </c:pt>
                <c:pt idx="568">
                  <c:v>45092</c:v>
                </c:pt>
                <c:pt idx="569">
                  <c:v>45093</c:v>
                </c:pt>
                <c:pt idx="570">
                  <c:v>45096</c:v>
                </c:pt>
                <c:pt idx="571">
                  <c:v>45097</c:v>
                </c:pt>
                <c:pt idx="572">
                  <c:v>45098</c:v>
                </c:pt>
                <c:pt idx="573">
                  <c:v>45099</c:v>
                </c:pt>
                <c:pt idx="574">
                  <c:v>45100</c:v>
                </c:pt>
                <c:pt idx="575">
                  <c:v>45103</c:v>
                </c:pt>
                <c:pt idx="576">
                  <c:v>45104</c:v>
                </c:pt>
                <c:pt idx="577">
                  <c:v>45105</c:v>
                </c:pt>
                <c:pt idx="578">
                  <c:v>45106</c:v>
                </c:pt>
                <c:pt idx="579">
                  <c:v>45107</c:v>
                </c:pt>
                <c:pt idx="580">
                  <c:v>45110</c:v>
                </c:pt>
                <c:pt idx="581">
                  <c:v>45111</c:v>
                </c:pt>
                <c:pt idx="582">
                  <c:v>45112</c:v>
                </c:pt>
                <c:pt idx="583">
                  <c:v>45113</c:v>
                </c:pt>
                <c:pt idx="584">
                  <c:v>45114</c:v>
                </c:pt>
                <c:pt idx="585">
                  <c:v>45117</c:v>
                </c:pt>
                <c:pt idx="586">
                  <c:v>45118</c:v>
                </c:pt>
                <c:pt idx="587">
                  <c:v>45119</c:v>
                </c:pt>
                <c:pt idx="588">
                  <c:v>45120</c:v>
                </c:pt>
                <c:pt idx="589">
                  <c:v>45121</c:v>
                </c:pt>
                <c:pt idx="590">
                  <c:v>45124</c:v>
                </c:pt>
                <c:pt idx="591">
                  <c:v>45125</c:v>
                </c:pt>
                <c:pt idx="592">
                  <c:v>45126</c:v>
                </c:pt>
                <c:pt idx="593">
                  <c:v>45127</c:v>
                </c:pt>
                <c:pt idx="594">
                  <c:v>45128</c:v>
                </c:pt>
                <c:pt idx="595">
                  <c:v>45131</c:v>
                </c:pt>
                <c:pt idx="596">
                  <c:v>45132</c:v>
                </c:pt>
                <c:pt idx="597">
                  <c:v>45133</c:v>
                </c:pt>
                <c:pt idx="598">
                  <c:v>45134</c:v>
                </c:pt>
                <c:pt idx="599">
                  <c:v>45135</c:v>
                </c:pt>
                <c:pt idx="600">
                  <c:v>45138</c:v>
                </c:pt>
                <c:pt idx="601">
                  <c:v>45139</c:v>
                </c:pt>
                <c:pt idx="602">
                  <c:v>45140</c:v>
                </c:pt>
                <c:pt idx="603">
                  <c:v>45141</c:v>
                </c:pt>
                <c:pt idx="604">
                  <c:v>45142</c:v>
                </c:pt>
                <c:pt idx="605">
                  <c:v>45145</c:v>
                </c:pt>
                <c:pt idx="606">
                  <c:v>45146</c:v>
                </c:pt>
                <c:pt idx="607">
                  <c:v>45147</c:v>
                </c:pt>
                <c:pt idx="608">
                  <c:v>45148</c:v>
                </c:pt>
                <c:pt idx="609">
                  <c:v>45149</c:v>
                </c:pt>
                <c:pt idx="610">
                  <c:v>45152</c:v>
                </c:pt>
                <c:pt idx="611">
                  <c:v>45153</c:v>
                </c:pt>
                <c:pt idx="612">
                  <c:v>45154</c:v>
                </c:pt>
                <c:pt idx="613">
                  <c:v>45155</c:v>
                </c:pt>
                <c:pt idx="614">
                  <c:v>45156</c:v>
                </c:pt>
                <c:pt idx="615">
                  <c:v>45159</c:v>
                </c:pt>
                <c:pt idx="616">
                  <c:v>45160</c:v>
                </c:pt>
                <c:pt idx="617">
                  <c:v>45161</c:v>
                </c:pt>
                <c:pt idx="618">
                  <c:v>45162</c:v>
                </c:pt>
                <c:pt idx="619">
                  <c:v>45163</c:v>
                </c:pt>
                <c:pt idx="620">
                  <c:v>45166</c:v>
                </c:pt>
                <c:pt idx="621">
                  <c:v>45167</c:v>
                </c:pt>
                <c:pt idx="622">
                  <c:v>45168</c:v>
                </c:pt>
                <c:pt idx="623">
                  <c:v>45169</c:v>
                </c:pt>
                <c:pt idx="624">
                  <c:v>45174</c:v>
                </c:pt>
                <c:pt idx="625">
                  <c:v>45175</c:v>
                </c:pt>
                <c:pt idx="626">
                  <c:v>45176</c:v>
                </c:pt>
                <c:pt idx="627">
                  <c:v>45177</c:v>
                </c:pt>
                <c:pt idx="628">
                  <c:v>45180</c:v>
                </c:pt>
                <c:pt idx="629">
                  <c:v>45181</c:v>
                </c:pt>
                <c:pt idx="630">
                  <c:v>45182</c:v>
                </c:pt>
                <c:pt idx="631">
                  <c:v>45183</c:v>
                </c:pt>
                <c:pt idx="632">
                  <c:v>45184</c:v>
                </c:pt>
                <c:pt idx="633">
                  <c:v>45187</c:v>
                </c:pt>
                <c:pt idx="634">
                  <c:v>45188</c:v>
                </c:pt>
                <c:pt idx="635">
                  <c:v>45189</c:v>
                </c:pt>
                <c:pt idx="636">
                  <c:v>45190</c:v>
                </c:pt>
                <c:pt idx="637">
                  <c:v>45191</c:v>
                </c:pt>
                <c:pt idx="638">
                  <c:v>45194</c:v>
                </c:pt>
                <c:pt idx="639">
                  <c:v>45195</c:v>
                </c:pt>
                <c:pt idx="640">
                  <c:v>45196</c:v>
                </c:pt>
                <c:pt idx="641">
                  <c:v>45197</c:v>
                </c:pt>
                <c:pt idx="642">
                  <c:v>45198</c:v>
                </c:pt>
                <c:pt idx="643">
                  <c:v>45201</c:v>
                </c:pt>
                <c:pt idx="644">
                  <c:v>45202</c:v>
                </c:pt>
                <c:pt idx="645">
                  <c:v>45203</c:v>
                </c:pt>
                <c:pt idx="646">
                  <c:v>45204</c:v>
                </c:pt>
                <c:pt idx="647">
                  <c:v>45205</c:v>
                </c:pt>
                <c:pt idx="648">
                  <c:v>45208</c:v>
                </c:pt>
                <c:pt idx="649">
                  <c:v>45209</c:v>
                </c:pt>
                <c:pt idx="650">
                  <c:v>45210</c:v>
                </c:pt>
                <c:pt idx="651">
                  <c:v>45211</c:v>
                </c:pt>
                <c:pt idx="652">
                  <c:v>45212</c:v>
                </c:pt>
                <c:pt idx="653">
                  <c:v>45215</c:v>
                </c:pt>
                <c:pt idx="654">
                  <c:v>45216</c:v>
                </c:pt>
                <c:pt idx="655">
                  <c:v>45217</c:v>
                </c:pt>
                <c:pt idx="656">
                  <c:v>45218</c:v>
                </c:pt>
                <c:pt idx="657">
                  <c:v>45219</c:v>
                </c:pt>
                <c:pt idx="658">
                  <c:v>45222</c:v>
                </c:pt>
                <c:pt idx="659">
                  <c:v>45223</c:v>
                </c:pt>
                <c:pt idx="660">
                  <c:v>45224</c:v>
                </c:pt>
                <c:pt idx="661">
                  <c:v>45225</c:v>
                </c:pt>
                <c:pt idx="662">
                  <c:v>45226</c:v>
                </c:pt>
                <c:pt idx="663">
                  <c:v>45229</c:v>
                </c:pt>
                <c:pt idx="664">
                  <c:v>45230</c:v>
                </c:pt>
                <c:pt idx="665">
                  <c:v>45231</c:v>
                </c:pt>
                <c:pt idx="666">
                  <c:v>45232</c:v>
                </c:pt>
                <c:pt idx="667">
                  <c:v>45233</c:v>
                </c:pt>
                <c:pt idx="668">
                  <c:v>45236</c:v>
                </c:pt>
                <c:pt idx="669">
                  <c:v>45237</c:v>
                </c:pt>
                <c:pt idx="670">
                  <c:v>45238</c:v>
                </c:pt>
                <c:pt idx="671">
                  <c:v>45239</c:v>
                </c:pt>
                <c:pt idx="672">
                  <c:v>45240</c:v>
                </c:pt>
                <c:pt idx="673">
                  <c:v>45243</c:v>
                </c:pt>
                <c:pt idx="674">
                  <c:v>45244</c:v>
                </c:pt>
                <c:pt idx="675">
                  <c:v>45245</c:v>
                </c:pt>
                <c:pt idx="676">
                  <c:v>45246</c:v>
                </c:pt>
                <c:pt idx="677">
                  <c:v>45247</c:v>
                </c:pt>
                <c:pt idx="678">
                  <c:v>45250</c:v>
                </c:pt>
                <c:pt idx="679">
                  <c:v>45251</c:v>
                </c:pt>
                <c:pt idx="680">
                  <c:v>45252</c:v>
                </c:pt>
                <c:pt idx="681">
                  <c:v>45253</c:v>
                </c:pt>
                <c:pt idx="682">
                  <c:v>45254</c:v>
                </c:pt>
                <c:pt idx="683">
                  <c:v>45257</c:v>
                </c:pt>
                <c:pt idx="684">
                  <c:v>45258</c:v>
                </c:pt>
                <c:pt idx="685">
                  <c:v>45259</c:v>
                </c:pt>
                <c:pt idx="686">
                  <c:v>45260</c:v>
                </c:pt>
                <c:pt idx="687">
                  <c:v>45261</c:v>
                </c:pt>
                <c:pt idx="688">
                  <c:v>45264</c:v>
                </c:pt>
                <c:pt idx="689">
                  <c:v>45265</c:v>
                </c:pt>
                <c:pt idx="690">
                  <c:v>45266</c:v>
                </c:pt>
                <c:pt idx="691">
                  <c:v>45267</c:v>
                </c:pt>
                <c:pt idx="692">
                  <c:v>45268</c:v>
                </c:pt>
                <c:pt idx="693">
                  <c:v>45271</c:v>
                </c:pt>
                <c:pt idx="694">
                  <c:v>45272</c:v>
                </c:pt>
                <c:pt idx="695">
                  <c:v>45273</c:v>
                </c:pt>
                <c:pt idx="696">
                  <c:v>45274</c:v>
                </c:pt>
                <c:pt idx="697">
                  <c:v>45275</c:v>
                </c:pt>
                <c:pt idx="698">
                  <c:v>45278</c:v>
                </c:pt>
                <c:pt idx="699">
                  <c:v>45279</c:v>
                </c:pt>
                <c:pt idx="700">
                  <c:v>45280</c:v>
                </c:pt>
                <c:pt idx="701">
                  <c:v>45281</c:v>
                </c:pt>
                <c:pt idx="702">
                  <c:v>45282</c:v>
                </c:pt>
                <c:pt idx="703">
                  <c:v>45285</c:v>
                </c:pt>
                <c:pt idx="704">
                  <c:v>45286</c:v>
                </c:pt>
                <c:pt idx="705">
                  <c:v>45287</c:v>
                </c:pt>
                <c:pt idx="706">
                  <c:v>45288</c:v>
                </c:pt>
                <c:pt idx="707">
                  <c:v>45289</c:v>
                </c:pt>
                <c:pt idx="708">
                  <c:v>45293</c:v>
                </c:pt>
                <c:pt idx="709">
                  <c:v>45294</c:v>
                </c:pt>
                <c:pt idx="710">
                  <c:v>45295</c:v>
                </c:pt>
                <c:pt idx="711">
                  <c:v>45296</c:v>
                </c:pt>
                <c:pt idx="712">
                  <c:v>45299</c:v>
                </c:pt>
                <c:pt idx="713">
                  <c:v>45300</c:v>
                </c:pt>
                <c:pt idx="714">
                  <c:v>45301</c:v>
                </c:pt>
                <c:pt idx="715">
                  <c:v>45302</c:v>
                </c:pt>
                <c:pt idx="716">
                  <c:v>45303</c:v>
                </c:pt>
                <c:pt idx="717">
                  <c:v>45306</c:v>
                </c:pt>
                <c:pt idx="718">
                  <c:v>45307</c:v>
                </c:pt>
                <c:pt idx="719">
                  <c:v>45308</c:v>
                </c:pt>
                <c:pt idx="720">
                  <c:v>45309</c:v>
                </c:pt>
                <c:pt idx="721">
                  <c:v>45310</c:v>
                </c:pt>
                <c:pt idx="722">
                  <c:v>45313</c:v>
                </c:pt>
                <c:pt idx="723">
                  <c:v>45314</c:v>
                </c:pt>
                <c:pt idx="724">
                  <c:v>45315</c:v>
                </c:pt>
                <c:pt idx="725">
                  <c:v>45316</c:v>
                </c:pt>
                <c:pt idx="726">
                  <c:v>45317</c:v>
                </c:pt>
                <c:pt idx="727">
                  <c:v>45320</c:v>
                </c:pt>
                <c:pt idx="728">
                  <c:v>45321</c:v>
                </c:pt>
                <c:pt idx="729">
                  <c:v>45322</c:v>
                </c:pt>
                <c:pt idx="730">
                  <c:v>45323</c:v>
                </c:pt>
                <c:pt idx="731">
                  <c:v>45324</c:v>
                </c:pt>
                <c:pt idx="732">
                  <c:v>45327</c:v>
                </c:pt>
                <c:pt idx="733">
                  <c:v>45328</c:v>
                </c:pt>
                <c:pt idx="734">
                  <c:v>45329</c:v>
                </c:pt>
                <c:pt idx="735">
                  <c:v>45337</c:v>
                </c:pt>
                <c:pt idx="736">
                  <c:v>45338</c:v>
                </c:pt>
                <c:pt idx="737">
                  <c:v>45341</c:v>
                </c:pt>
                <c:pt idx="738">
                  <c:v>45342</c:v>
                </c:pt>
                <c:pt idx="739">
                  <c:v>45343</c:v>
                </c:pt>
                <c:pt idx="740">
                  <c:v>45344</c:v>
                </c:pt>
                <c:pt idx="741">
                  <c:v>45345</c:v>
                </c:pt>
                <c:pt idx="742">
                  <c:v>45348</c:v>
                </c:pt>
                <c:pt idx="743">
                  <c:v>45349</c:v>
                </c:pt>
                <c:pt idx="744">
                  <c:v>45350</c:v>
                </c:pt>
                <c:pt idx="745">
                  <c:v>45351</c:v>
                </c:pt>
                <c:pt idx="746">
                  <c:v>45352</c:v>
                </c:pt>
                <c:pt idx="747">
                  <c:v>45355</c:v>
                </c:pt>
                <c:pt idx="748">
                  <c:v>45356</c:v>
                </c:pt>
                <c:pt idx="749">
                  <c:v>45357</c:v>
                </c:pt>
                <c:pt idx="750">
                  <c:v>45358</c:v>
                </c:pt>
                <c:pt idx="751">
                  <c:v>45359</c:v>
                </c:pt>
                <c:pt idx="752">
                  <c:v>45362</c:v>
                </c:pt>
                <c:pt idx="753">
                  <c:v>45363</c:v>
                </c:pt>
                <c:pt idx="754">
                  <c:v>45364</c:v>
                </c:pt>
                <c:pt idx="755">
                  <c:v>45365</c:v>
                </c:pt>
                <c:pt idx="756">
                  <c:v>45366</c:v>
                </c:pt>
                <c:pt idx="757">
                  <c:v>45369</c:v>
                </c:pt>
                <c:pt idx="758">
                  <c:v>45370</c:v>
                </c:pt>
                <c:pt idx="759">
                  <c:v>45371</c:v>
                </c:pt>
                <c:pt idx="760">
                  <c:v>45372</c:v>
                </c:pt>
                <c:pt idx="761">
                  <c:v>45373</c:v>
                </c:pt>
                <c:pt idx="762">
                  <c:v>45376</c:v>
                </c:pt>
                <c:pt idx="763">
                  <c:v>45377</c:v>
                </c:pt>
                <c:pt idx="764">
                  <c:v>45378</c:v>
                </c:pt>
                <c:pt idx="765">
                  <c:v>45379</c:v>
                </c:pt>
                <c:pt idx="766">
                  <c:v>45380</c:v>
                </c:pt>
                <c:pt idx="767">
                  <c:v>45383</c:v>
                </c:pt>
                <c:pt idx="768">
                  <c:v>45384</c:v>
                </c:pt>
                <c:pt idx="769">
                  <c:v>45385</c:v>
                </c:pt>
                <c:pt idx="770">
                  <c:v>45386</c:v>
                </c:pt>
                <c:pt idx="771">
                  <c:v>45387</c:v>
                </c:pt>
                <c:pt idx="772">
                  <c:v>45390</c:v>
                </c:pt>
                <c:pt idx="773">
                  <c:v>45391</c:v>
                </c:pt>
                <c:pt idx="774">
                  <c:v>45392</c:v>
                </c:pt>
                <c:pt idx="775">
                  <c:v>45393</c:v>
                </c:pt>
                <c:pt idx="776">
                  <c:v>45394</c:v>
                </c:pt>
                <c:pt idx="777">
                  <c:v>45397</c:v>
                </c:pt>
                <c:pt idx="778">
                  <c:v>45398</c:v>
                </c:pt>
                <c:pt idx="779">
                  <c:v>45399</c:v>
                </c:pt>
                <c:pt idx="780">
                  <c:v>45401</c:v>
                </c:pt>
                <c:pt idx="781">
                  <c:v>45404</c:v>
                </c:pt>
                <c:pt idx="782">
                  <c:v>45405</c:v>
                </c:pt>
                <c:pt idx="783">
                  <c:v>45406</c:v>
                </c:pt>
                <c:pt idx="784">
                  <c:v>45407</c:v>
                </c:pt>
                <c:pt idx="785">
                  <c:v>45408</c:v>
                </c:pt>
                <c:pt idx="786">
                  <c:v>45414</c:v>
                </c:pt>
                <c:pt idx="787">
                  <c:v>45415</c:v>
                </c:pt>
                <c:pt idx="788">
                  <c:v>45418</c:v>
                </c:pt>
                <c:pt idx="789">
                  <c:v>45419</c:v>
                </c:pt>
                <c:pt idx="790">
                  <c:v>45420</c:v>
                </c:pt>
                <c:pt idx="791">
                  <c:v>45421</c:v>
                </c:pt>
                <c:pt idx="792">
                  <c:v>45422</c:v>
                </c:pt>
                <c:pt idx="793">
                  <c:v>45425</c:v>
                </c:pt>
                <c:pt idx="794">
                  <c:v>45426</c:v>
                </c:pt>
                <c:pt idx="795">
                  <c:v>45427</c:v>
                </c:pt>
                <c:pt idx="796">
                  <c:v>45428</c:v>
                </c:pt>
                <c:pt idx="797">
                  <c:v>45429</c:v>
                </c:pt>
                <c:pt idx="798">
                  <c:v>45432</c:v>
                </c:pt>
                <c:pt idx="799">
                  <c:v>45433</c:v>
                </c:pt>
                <c:pt idx="800">
                  <c:v>45434</c:v>
                </c:pt>
                <c:pt idx="801">
                  <c:v>45435</c:v>
                </c:pt>
                <c:pt idx="802">
                  <c:v>45436</c:v>
                </c:pt>
                <c:pt idx="803">
                  <c:v>45439</c:v>
                </c:pt>
                <c:pt idx="804">
                  <c:v>45440</c:v>
                </c:pt>
                <c:pt idx="805">
                  <c:v>45441</c:v>
                </c:pt>
                <c:pt idx="806">
                  <c:v>45442</c:v>
                </c:pt>
                <c:pt idx="807">
                  <c:v>45443</c:v>
                </c:pt>
                <c:pt idx="808">
                  <c:v>45446</c:v>
                </c:pt>
                <c:pt idx="809">
                  <c:v>45447</c:v>
                </c:pt>
                <c:pt idx="810">
                  <c:v>45448</c:v>
                </c:pt>
                <c:pt idx="811">
                  <c:v>45449</c:v>
                </c:pt>
                <c:pt idx="812">
                  <c:v>45450</c:v>
                </c:pt>
                <c:pt idx="813">
                  <c:v>45453</c:v>
                </c:pt>
                <c:pt idx="814">
                  <c:v>45454</c:v>
                </c:pt>
                <c:pt idx="815">
                  <c:v>45455</c:v>
                </c:pt>
                <c:pt idx="816">
                  <c:v>45456</c:v>
                </c:pt>
                <c:pt idx="817">
                  <c:v>45457</c:v>
                </c:pt>
                <c:pt idx="818">
                  <c:v>45460</c:v>
                </c:pt>
                <c:pt idx="819">
                  <c:v>45461</c:v>
                </c:pt>
                <c:pt idx="820">
                  <c:v>45462</c:v>
                </c:pt>
                <c:pt idx="821">
                  <c:v>45463</c:v>
                </c:pt>
                <c:pt idx="822">
                  <c:v>45464</c:v>
                </c:pt>
                <c:pt idx="823">
                  <c:v>45467</c:v>
                </c:pt>
                <c:pt idx="824">
                  <c:v>45468</c:v>
                </c:pt>
                <c:pt idx="825">
                  <c:v>45469</c:v>
                </c:pt>
                <c:pt idx="826">
                  <c:v>45470</c:v>
                </c:pt>
                <c:pt idx="827">
                  <c:v>45471</c:v>
                </c:pt>
                <c:pt idx="828">
                  <c:v>45474</c:v>
                </c:pt>
                <c:pt idx="829">
                  <c:v>45475</c:v>
                </c:pt>
                <c:pt idx="830">
                  <c:v>45476</c:v>
                </c:pt>
                <c:pt idx="831">
                  <c:v>45477</c:v>
                </c:pt>
                <c:pt idx="832">
                  <c:v>45478</c:v>
                </c:pt>
                <c:pt idx="833">
                  <c:v>45481</c:v>
                </c:pt>
                <c:pt idx="834">
                  <c:v>45482</c:v>
                </c:pt>
                <c:pt idx="835">
                  <c:v>45483</c:v>
                </c:pt>
                <c:pt idx="836">
                  <c:v>45484</c:v>
                </c:pt>
                <c:pt idx="837">
                  <c:v>45485</c:v>
                </c:pt>
                <c:pt idx="838">
                  <c:v>45488</c:v>
                </c:pt>
                <c:pt idx="839">
                  <c:v>45489</c:v>
                </c:pt>
                <c:pt idx="840">
                  <c:v>45490</c:v>
                </c:pt>
                <c:pt idx="841">
                  <c:v>45491</c:v>
                </c:pt>
                <c:pt idx="842">
                  <c:v>45492</c:v>
                </c:pt>
                <c:pt idx="843">
                  <c:v>45495</c:v>
                </c:pt>
                <c:pt idx="844">
                  <c:v>45496</c:v>
                </c:pt>
                <c:pt idx="845">
                  <c:v>45497</c:v>
                </c:pt>
                <c:pt idx="846">
                  <c:v>45498</c:v>
                </c:pt>
                <c:pt idx="847">
                  <c:v>45499</c:v>
                </c:pt>
                <c:pt idx="848">
                  <c:v>45502</c:v>
                </c:pt>
                <c:pt idx="849">
                  <c:v>45503</c:v>
                </c:pt>
                <c:pt idx="850">
                  <c:v>45504</c:v>
                </c:pt>
                <c:pt idx="851">
                  <c:v>45505</c:v>
                </c:pt>
                <c:pt idx="852">
                  <c:v>45506</c:v>
                </c:pt>
                <c:pt idx="853">
                  <c:v>45509</c:v>
                </c:pt>
                <c:pt idx="854">
                  <c:v>45510</c:v>
                </c:pt>
                <c:pt idx="855">
                  <c:v>45511</c:v>
                </c:pt>
                <c:pt idx="856">
                  <c:v>45512</c:v>
                </c:pt>
                <c:pt idx="857">
                  <c:v>45513</c:v>
                </c:pt>
                <c:pt idx="858">
                  <c:v>45516</c:v>
                </c:pt>
                <c:pt idx="859">
                  <c:v>45517</c:v>
                </c:pt>
                <c:pt idx="860">
                  <c:v>45518</c:v>
                </c:pt>
                <c:pt idx="861">
                  <c:v>45519</c:v>
                </c:pt>
                <c:pt idx="862">
                  <c:v>45520</c:v>
                </c:pt>
                <c:pt idx="863">
                  <c:v>45523</c:v>
                </c:pt>
                <c:pt idx="864">
                  <c:v>45524</c:v>
                </c:pt>
                <c:pt idx="865">
                  <c:v>45525</c:v>
                </c:pt>
                <c:pt idx="866">
                  <c:v>45526</c:v>
                </c:pt>
                <c:pt idx="867">
                  <c:v>45527</c:v>
                </c:pt>
                <c:pt idx="868">
                  <c:v>45530</c:v>
                </c:pt>
                <c:pt idx="869">
                  <c:v>45531</c:v>
                </c:pt>
                <c:pt idx="870">
                  <c:v>45532</c:v>
                </c:pt>
                <c:pt idx="871">
                  <c:v>45533</c:v>
                </c:pt>
                <c:pt idx="872">
                  <c:v>45534</c:v>
                </c:pt>
                <c:pt idx="873">
                  <c:v>45539</c:v>
                </c:pt>
                <c:pt idx="874">
                  <c:v>45540</c:v>
                </c:pt>
                <c:pt idx="875">
                  <c:v>45541</c:v>
                </c:pt>
                <c:pt idx="876">
                  <c:v>45544</c:v>
                </c:pt>
                <c:pt idx="877">
                  <c:v>45545</c:v>
                </c:pt>
                <c:pt idx="878">
                  <c:v>45546</c:v>
                </c:pt>
                <c:pt idx="879">
                  <c:v>45547</c:v>
                </c:pt>
                <c:pt idx="880">
                  <c:v>45548</c:v>
                </c:pt>
                <c:pt idx="881">
                  <c:v>45551</c:v>
                </c:pt>
                <c:pt idx="882">
                  <c:v>45552</c:v>
                </c:pt>
                <c:pt idx="883">
                  <c:v>45553</c:v>
                </c:pt>
                <c:pt idx="884">
                  <c:v>45554</c:v>
                </c:pt>
                <c:pt idx="885">
                  <c:v>45555</c:v>
                </c:pt>
                <c:pt idx="886">
                  <c:v>45558</c:v>
                </c:pt>
                <c:pt idx="887">
                  <c:v>45559</c:v>
                </c:pt>
                <c:pt idx="888">
                  <c:v>45560</c:v>
                </c:pt>
                <c:pt idx="889">
                  <c:v>45561</c:v>
                </c:pt>
                <c:pt idx="890">
                  <c:v>45562</c:v>
                </c:pt>
                <c:pt idx="891">
                  <c:v>45565</c:v>
                </c:pt>
                <c:pt idx="892">
                  <c:v>45566</c:v>
                </c:pt>
                <c:pt idx="893">
                  <c:v>45567</c:v>
                </c:pt>
                <c:pt idx="894">
                  <c:v>45568</c:v>
                </c:pt>
                <c:pt idx="895">
                  <c:v>45569</c:v>
                </c:pt>
                <c:pt idx="896">
                  <c:v>45572</c:v>
                </c:pt>
                <c:pt idx="897">
                  <c:v>45573</c:v>
                </c:pt>
                <c:pt idx="898">
                  <c:v>45574</c:v>
                </c:pt>
                <c:pt idx="899">
                  <c:v>45575</c:v>
                </c:pt>
                <c:pt idx="900">
                  <c:v>45576</c:v>
                </c:pt>
                <c:pt idx="901">
                  <c:v>45579</c:v>
                </c:pt>
                <c:pt idx="902">
                  <c:v>45580</c:v>
                </c:pt>
                <c:pt idx="903">
                  <c:v>45581</c:v>
                </c:pt>
                <c:pt idx="904">
                  <c:v>45582</c:v>
                </c:pt>
                <c:pt idx="905">
                  <c:v>45583</c:v>
                </c:pt>
                <c:pt idx="906">
                  <c:v>45586</c:v>
                </c:pt>
                <c:pt idx="907">
                  <c:v>45587</c:v>
                </c:pt>
                <c:pt idx="908">
                  <c:v>45588</c:v>
                </c:pt>
                <c:pt idx="909">
                  <c:v>45589</c:v>
                </c:pt>
                <c:pt idx="910">
                  <c:v>45590</c:v>
                </c:pt>
                <c:pt idx="911">
                  <c:v>45593</c:v>
                </c:pt>
                <c:pt idx="912">
                  <c:v>45594</c:v>
                </c:pt>
                <c:pt idx="913">
                  <c:v>45595</c:v>
                </c:pt>
                <c:pt idx="914">
                  <c:v>45596</c:v>
                </c:pt>
                <c:pt idx="915">
                  <c:v>45597</c:v>
                </c:pt>
                <c:pt idx="916">
                  <c:v>45600</c:v>
                </c:pt>
                <c:pt idx="917">
                  <c:v>45601</c:v>
                </c:pt>
                <c:pt idx="918">
                  <c:v>45602</c:v>
                </c:pt>
                <c:pt idx="919">
                  <c:v>45603</c:v>
                </c:pt>
                <c:pt idx="920">
                  <c:v>45604</c:v>
                </c:pt>
                <c:pt idx="921">
                  <c:v>45607</c:v>
                </c:pt>
                <c:pt idx="922">
                  <c:v>45608</c:v>
                </c:pt>
                <c:pt idx="923">
                  <c:v>45609</c:v>
                </c:pt>
                <c:pt idx="924">
                  <c:v>45610</c:v>
                </c:pt>
                <c:pt idx="925">
                  <c:v>45611</c:v>
                </c:pt>
                <c:pt idx="926">
                  <c:v>45614</c:v>
                </c:pt>
                <c:pt idx="927">
                  <c:v>45615</c:v>
                </c:pt>
                <c:pt idx="928">
                  <c:v>45616</c:v>
                </c:pt>
                <c:pt idx="929">
                  <c:v>45617</c:v>
                </c:pt>
                <c:pt idx="930">
                  <c:v>45618</c:v>
                </c:pt>
                <c:pt idx="931">
                  <c:v>45621</c:v>
                </c:pt>
                <c:pt idx="932">
                  <c:v>45622</c:v>
                </c:pt>
                <c:pt idx="933">
                  <c:v>45623</c:v>
                </c:pt>
                <c:pt idx="934">
                  <c:v>45624</c:v>
                </c:pt>
                <c:pt idx="935">
                  <c:v>45625</c:v>
                </c:pt>
                <c:pt idx="936">
                  <c:v>45628</c:v>
                </c:pt>
                <c:pt idx="937">
                  <c:v>45629</c:v>
                </c:pt>
                <c:pt idx="938">
                  <c:v>45630</c:v>
                </c:pt>
                <c:pt idx="939">
                  <c:v>45631</c:v>
                </c:pt>
                <c:pt idx="940">
                  <c:v>45632</c:v>
                </c:pt>
                <c:pt idx="941">
                  <c:v>45635</c:v>
                </c:pt>
                <c:pt idx="942">
                  <c:v>45636</c:v>
                </c:pt>
                <c:pt idx="943">
                  <c:v>45637</c:v>
                </c:pt>
                <c:pt idx="944">
                  <c:v>45638</c:v>
                </c:pt>
                <c:pt idx="945">
                  <c:v>45639</c:v>
                </c:pt>
                <c:pt idx="946">
                  <c:v>45642</c:v>
                </c:pt>
                <c:pt idx="947">
                  <c:v>45643</c:v>
                </c:pt>
                <c:pt idx="948">
                  <c:v>45644</c:v>
                </c:pt>
                <c:pt idx="949">
                  <c:v>45645</c:v>
                </c:pt>
                <c:pt idx="950">
                  <c:v>45646</c:v>
                </c:pt>
                <c:pt idx="951">
                  <c:v>45649</c:v>
                </c:pt>
                <c:pt idx="952">
                  <c:v>45650</c:v>
                </c:pt>
                <c:pt idx="953">
                  <c:v>45651</c:v>
                </c:pt>
                <c:pt idx="954">
                  <c:v>45652</c:v>
                </c:pt>
                <c:pt idx="955">
                  <c:v>45653</c:v>
                </c:pt>
                <c:pt idx="956">
                  <c:v>45656</c:v>
                </c:pt>
                <c:pt idx="957">
                  <c:v>45657</c:v>
                </c:pt>
                <c:pt idx="958">
                  <c:v>45659</c:v>
                </c:pt>
                <c:pt idx="959">
                  <c:v>45660</c:v>
                </c:pt>
                <c:pt idx="960">
                  <c:v>45663</c:v>
                </c:pt>
                <c:pt idx="961">
                  <c:v>45664</c:v>
                </c:pt>
                <c:pt idx="962">
                  <c:v>45665</c:v>
                </c:pt>
                <c:pt idx="963">
                  <c:v>45666</c:v>
                </c:pt>
                <c:pt idx="964">
                  <c:v>45667</c:v>
                </c:pt>
                <c:pt idx="965">
                  <c:v>45670</c:v>
                </c:pt>
                <c:pt idx="966">
                  <c:v>45671</c:v>
                </c:pt>
                <c:pt idx="967">
                  <c:v>45672</c:v>
                </c:pt>
                <c:pt idx="968">
                  <c:v>45673</c:v>
                </c:pt>
                <c:pt idx="969">
                  <c:v>45674</c:v>
                </c:pt>
                <c:pt idx="970">
                  <c:v>45677</c:v>
                </c:pt>
                <c:pt idx="971">
                  <c:v>45678</c:v>
                </c:pt>
                <c:pt idx="972">
                  <c:v>45679</c:v>
                </c:pt>
                <c:pt idx="973">
                  <c:v>45680</c:v>
                </c:pt>
                <c:pt idx="974">
                  <c:v>45681</c:v>
                </c:pt>
                <c:pt idx="975">
                  <c:v>45691</c:v>
                </c:pt>
                <c:pt idx="976">
                  <c:v>45692</c:v>
                </c:pt>
                <c:pt idx="977">
                  <c:v>45693</c:v>
                </c:pt>
                <c:pt idx="978">
                  <c:v>45694</c:v>
                </c:pt>
                <c:pt idx="979">
                  <c:v>45695</c:v>
                </c:pt>
                <c:pt idx="980">
                  <c:v>45698</c:v>
                </c:pt>
                <c:pt idx="981">
                  <c:v>45699</c:v>
                </c:pt>
                <c:pt idx="982">
                  <c:v>45700</c:v>
                </c:pt>
                <c:pt idx="983">
                  <c:v>45701</c:v>
                </c:pt>
                <c:pt idx="984">
                  <c:v>45702</c:v>
                </c:pt>
                <c:pt idx="985">
                  <c:v>45705</c:v>
                </c:pt>
                <c:pt idx="986">
                  <c:v>45706</c:v>
                </c:pt>
                <c:pt idx="987">
                  <c:v>45707</c:v>
                </c:pt>
                <c:pt idx="988">
                  <c:v>45708</c:v>
                </c:pt>
                <c:pt idx="989">
                  <c:v>45709</c:v>
                </c:pt>
                <c:pt idx="990">
                  <c:v>45712</c:v>
                </c:pt>
                <c:pt idx="991">
                  <c:v>45713</c:v>
                </c:pt>
                <c:pt idx="992">
                  <c:v>45714</c:v>
                </c:pt>
                <c:pt idx="993">
                  <c:v>45715</c:v>
                </c:pt>
                <c:pt idx="994">
                  <c:v>45716</c:v>
                </c:pt>
                <c:pt idx="995">
                  <c:v>45719</c:v>
                </c:pt>
                <c:pt idx="996">
                  <c:v>45720</c:v>
                </c:pt>
                <c:pt idx="997">
                  <c:v>45721</c:v>
                </c:pt>
                <c:pt idx="998">
                  <c:v>45722</c:v>
                </c:pt>
                <c:pt idx="999">
                  <c:v>45723</c:v>
                </c:pt>
                <c:pt idx="1000">
                  <c:v>45726</c:v>
                </c:pt>
                <c:pt idx="1001">
                  <c:v>45727</c:v>
                </c:pt>
                <c:pt idx="1002">
                  <c:v>45728</c:v>
                </c:pt>
                <c:pt idx="1003">
                  <c:v>45729</c:v>
                </c:pt>
                <c:pt idx="1004">
                  <c:v>45730</c:v>
                </c:pt>
                <c:pt idx="1005">
                  <c:v>45733</c:v>
                </c:pt>
                <c:pt idx="1006">
                  <c:v>45734</c:v>
                </c:pt>
                <c:pt idx="1007">
                  <c:v>45735</c:v>
                </c:pt>
                <c:pt idx="1008">
                  <c:v>45736</c:v>
                </c:pt>
                <c:pt idx="1009">
                  <c:v>45737</c:v>
                </c:pt>
                <c:pt idx="1010">
                  <c:v>45740</c:v>
                </c:pt>
                <c:pt idx="1011">
                  <c:v>45741</c:v>
                </c:pt>
                <c:pt idx="1012">
                  <c:v>45742</c:v>
                </c:pt>
                <c:pt idx="1013">
                  <c:v>45743</c:v>
                </c:pt>
                <c:pt idx="1014">
                  <c:v>45744</c:v>
                </c:pt>
                <c:pt idx="1015">
                  <c:v>45747</c:v>
                </c:pt>
                <c:pt idx="1016">
                  <c:v>45748</c:v>
                </c:pt>
                <c:pt idx="1017">
                  <c:v>45749</c:v>
                </c:pt>
                <c:pt idx="1018">
                  <c:v>45750</c:v>
                </c:pt>
                <c:pt idx="1019">
                  <c:v>45751</c:v>
                </c:pt>
                <c:pt idx="1020">
                  <c:v>45755</c:v>
                </c:pt>
                <c:pt idx="1021">
                  <c:v>45756</c:v>
                </c:pt>
                <c:pt idx="1022">
                  <c:v>45757</c:v>
                </c:pt>
                <c:pt idx="1023">
                  <c:v>45758</c:v>
                </c:pt>
                <c:pt idx="1024">
                  <c:v>45761</c:v>
                </c:pt>
                <c:pt idx="1025">
                  <c:v>45762</c:v>
                </c:pt>
                <c:pt idx="1026">
                  <c:v>45763</c:v>
                </c:pt>
                <c:pt idx="1027">
                  <c:v>45764</c:v>
                </c:pt>
                <c:pt idx="1028">
                  <c:v>45765</c:v>
                </c:pt>
                <c:pt idx="1029">
                  <c:v>45768</c:v>
                </c:pt>
                <c:pt idx="1030">
                  <c:v>45769</c:v>
                </c:pt>
                <c:pt idx="1031">
                  <c:v>45770</c:v>
                </c:pt>
                <c:pt idx="1032">
                  <c:v>45771</c:v>
                </c:pt>
                <c:pt idx="1033">
                  <c:v>45772</c:v>
                </c:pt>
                <c:pt idx="1034">
                  <c:v>45775</c:v>
                </c:pt>
                <c:pt idx="1035">
                  <c:v>45776</c:v>
                </c:pt>
                <c:pt idx="1036">
                  <c:v>45782</c:v>
                </c:pt>
                <c:pt idx="1037">
                  <c:v>45783</c:v>
                </c:pt>
                <c:pt idx="1038">
                  <c:v>45784</c:v>
                </c:pt>
                <c:pt idx="1039">
                  <c:v>45785</c:v>
                </c:pt>
                <c:pt idx="1040">
                  <c:v>45786</c:v>
                </c:pt>
                <c:pt idx="1041">
                  <c:v>45789</c:v>
                </c:pt>
                <c:pt idx="1042">
                  <c:v>45790</c:v>
                </c:pt>
                <c:pt idx="1043">
                  <c:v>45791</c:v>
                </c:pt>
                <c:pt idx="1044">
                  <c:v>45792</c:v>
                </c:pt>
                <c:pt idx="1045">
                  <c:v>45793</c:v>
                </c:pt>
                <c:pt idx="1046">
                  <c:v>45796</c:v>
                </c:pt>
                <c:pt idx="1047">
                  <c:v>45797</c:v>
                </c:pt>
                <c:pt idx="1048">
                  <c:v>45798</c:v>
                </c:pt>
                <c:pt idx="1049">
                  <c:v>45799</c:v>
                </c:pt>
                <c:pt idx="1050">
                  <c:v>45800</c:v>
                </c:pt>
                <c:pt idx="1051">
                  <c:v>45803</c:v>
                </c:pt>
                <c:pt idx="1052">
                  <c:v>45804</c:v>
                </c:pt>
                <c:pt idx="1053">
                  <c:v>45805</c:v>
                </c:pt>
                <c:pt idx="1054">
                  <c:v>45806</c:v>
                </c:pt>
                <c:pt idx="1055">
                  <c:v>45807</c:v>
                </c:pt>
                <c:pt idx="1056">
                  <c:v>45810</c:v>
                </c:pt>
                <c:pt idx="1057">
                  <c:v>45811</c:v>
                </c:pt>
                <c:pt idx="1058">
                  <c:v>45812</c:v>
                </c:pt>
                <c:pt idx="1059">
                  <c:v>45813</c:v>
                </c:pt>
                <c:pt idx="1060">
                  <c:v>45814</c:v>
                </c:pt>
                <c:pt idx="1061">
                  <c:v>45817</c:v>
                </c:pt>
                <c:pt idx="1062">
                  <c:v>45818</c:v>
                </c:pt>
                <c:pt idx="1063">
                  <c:v>45819</c:v>
                </c:pt>
                <c:pt idx="1064">
                  <c:v>45820</c:v>
                </c:pt>
                <c:pt idx="1065">
                  <c:v>45821</c:v>
                </c:pt>
                <c:pt idx="1066">
                  <c:v>45824</c:v>
                </c:pt>
                <c:pt idx="1067">
                  <c:v>45825</c:v>
                </c:pt>
                <c:pt idx="1068">
                  <c:v>45826</c:v>
                </c:pt>
                <c:pt idx="1069">
                  <c:v>45827</c:v>
                </c:pt>
                <c:pt idx="1070">
                  <c:v>45828</c:v>
                </c:pt>
                <c:pt idx="1071">
                  <c:v>45831</c:v>
                </c:pt>
                <c:pt idx="1072">
                  <c:v>45832</c:v>
                </c:pt>
                <c:pt idx="1073">
                  <c:v>45833</c:v>
                </c:pt>
                <c:pt idx="1074">
                  <c:v>45834</c:v>
                </c:pt>
                <c:pt idx="1075">
                  <c:v>45835</c:v>
                </c:pt>
                <c:pt idx="1076">
                  <c:v>45838</c:v>
                </c:pt>
                <c:pt idx="1077">
                  <c:v>45839</c:v>
                </c:pt>
                <c:pt idx="1078">
                  <c:v>45840</c:v>
                </c:pt>
                <c:pt idx="1079">
                  <c:v>45841</c:v>
                </c:pt>
                <c:pt idx="1080">
                  <c:v>45842</c:v>
                </c:pt>
                <c:pt idx="1081">
                  <c:v>45845</c:v>
                </c:pt>
                <c:pt idx="1082">
                  <c:v>45846</c:v>
                </c:pt>
                <c:pt idx="1083">
                  <c:v>45847</c:v>
                </c:pt>
                <c:pt idx="1084">
                  <c:v>45848</c:v>
                </c:pt>
                <c:pt idx="1085">
                  <c:v>45849</c:v>
                </c:pt>
                <c:pt idx="1086">
                  <c:v>45852</c:v>
                </c:pt>
                <c:pt idx="1087">
                  <c:v>45853</c:v>
                </c:pt>
                <c:pt idx="1088">
                  <c:v>45854</c:v>
                </c:pt>
                <c:pt idx="1089">
                  <c:v>45855</c:v>
                </c:pt>
                <c:pt idx="1090">
                  <c:v>45856</c:v>
                </c:pt>
                <c:pt idx="1091">
                  <c:v>45859</c:v>
                </c:pt>
                <c:pt idx="1092">
                  <c:v>45860</c:v>
                </c:pt>
                <c:pt idx="1093">
                  <c:v>45861</c:v>
                </c:pt>
                <c:pt idx="1094">
                  <c:v>45862</c:v>
                </c:pt>
                <c:pt idx="1095">
                  <c:v>45863</c:v>
                </c:pt>
                <c:pt idx="1096">
                  <c:v>45866</c:v>
                </c:pt>
                <c:pt idx="1097">
                  <c:v>45867</c:v>
                </c:pt>
                <c:pt idx="1098">
                  <c:v>45868</c:v>
                </c:pt>
                <c:pt idx="1099">
                  <c:v>45869</c:v>
                </c:pt>
                <c:pt idx="1100">
                  <c:v>45870</c:v>
                </c:pt>
                <c:pt idx="1101">
                  <c:v>45873</c:v>
                </c:pt>
                <c:pt idx="1102">
                  <c:v>45874</c:v>
                </c:pt>
                <c:pt idx="1103">
                  <c:v>45875</c:v>
                </c:pt>
                <c:pt idx="1104">
                  <c:v>45876</c:v>
                </c:pt>
                <c:pt idx="1105">
                  <c:v>45877</c:v>
                </c:pt>
                <c:pt idx="1106">
                  <c:v>45880</c:v>
                </c:pt>
                <c:pt idx="1107">
                  <c:v>45881</c:v>
                </c:pt>
                <c:pt idx="1108">
                  <c:v>45882</c:v>
                </c:pt>
                <c:pt idx="1109">
                  <c:v>45883</c:v>
                </c:pt>
                <c:pt idx="1110">
                  <c:v>45884</c:v>
                </c:pt>
                <c:pt idx="1111">
                  <c:v>45887</c:v>
                </c:pt>
                <c:pt idx="1112">
                  <c:v>45888</c:v>
                </c:pt>
                <c:pt idx="1113">
                  <c:v>45889</c:v>
                </c:pt>
                <c:pt idx="1114">
                  <c:v>45890</c:v>
                </c:pt>
                <c:pt idx="1115">
                  <c:v>45891</c:v>
                </c:pt>
                <c:pt idx="1116">
                  <c:v>45894</c:v>
                </c:pt>
                <c:pt idx="1117">
                  <c:v>45895</c:v>
                </c:pt>
                <c:pt idx="1118">
                  <c:v>45896</c:v>
                </c:pt>
                <c:pt idx="1119">
                  <c:v>45897</c:v>
                </c:pt>
                <c:pt idx="1120">
                  <c:v>45898</c:v>
                </c:pt>
                <c:pt idx="1121">
                  <c:v>45903</c:v>
                </c:pt>
                <c:pt idx="1122">
                  <c:v>45904</c:v>
                </c:pt>
                <c:pt idx="1123">
                  <c:v>45905</c:v>
                </c:pt>
                <c:pt idx="1124">
                  <c:v>45908</c:v>
                </c:pt>
                <c:pt idx="1125">
                  <c:v>45909</c:v>
                </c:pt>
                <c:pt idx="1126">
                  <c:v>45910</c:v>
                </c:pt>
                <c:pt idx="1127">
                  <c:v>45911</c:v>
                </c:pt>
                <c:pt idx="1128">
                  <c:v>45912</c:v>
                </c:pt>
                <c:pt idx="1129">
                  <c:v>45915</c:v>
                </c:pt>
                <c:pt idx="1130">
                  <c:v>45916</c:v>
                </c:pt>
                <c:pt idx="1131">
                  <c:v>45917</c:v>
                </c:pt>
                <c:pt idx="1132">
                  <c:v>45918</c:v>
                </c:pt>
                <c:pt idx="1133">
                  <c:v>45919</c:v>
                </c:pt>
                <c:pt idx="1134">
                  <c:v>45922</c:v>
                </c:pt>
                <c:pt idx="1135">
                  <c:v>45923</c:v>
                </c:pt>
                <c:pt idx="1136">
                  <c:v>45924</c:v>
                </c:pt>
                <c:pt idx="1137">
                  <c:v>45925</c:v>
                </c:pt>
                <c:pt idx="1138">
                  <c:v>45926</c:v>
                </c:pt>
                <c:pt idx="1139">
                  <c:v>45929</c:v>
                </c:pt>
                <c:pt idx="1140">
                  <c:v>45930</c:v>
                </c:pt>
                <c:pt idx="1141">
                  <c:v>45931</c:v>
                </c:pt>
                <c:pt idx="1142">
                  <c:v>45932</c:v>
                </c:pt>
                <c:pt idx="1143">
                  <c:v>45933</c:v>
                </c:pt>
                <c:pt idx="1144">
                  <c:v>45936</c:v>
                </c:pt>
                <c:pt idx="1145">
                  <c:v>45937</c:v>
                </c:pt>
                <c:pt idx="1146">
                  <c:v>45938</c:v>
                </c:pt>
                <c:pt idx="1147">
                  <c:v>45939</c:v>
                </c:pt>
                <c:pt idx="1148">
                  <c:v>45940</c:v>
                </c:pt>
                <c:pt idx="1149">
                  <c:v>45943</c:v>
                </c:pt>
                <c:pt idx="1150">
                  <c:v>45944</c:v>
                </c:pt>
                <c:pt idx="1151">
                  <c:v>45945</c:v>
                </c:pt>
                <c:pt idx="1152">
                  <c:v>45946</c:v>
                </c:pt>
                <c:pt idx="1153">
                  <c:v>45947</c:v>
                </c:pt>
                <c:pt idx="1154">
                  <c:v>45950</c:v>
                </c:pt>
                <c:pt idx="1155">
                  <c:v>45951</c:v>
                </c:pt>
                <c:pt idx="1156">
                  <c:v>45952</c:v>
                </c:pt>
                <c:pt idx="1157">
                  <c:v>45953</c:v>
                </c:pt>
                <c:pt idx="1158">
                  <c:v>45954</c:v>
                </c:pt>
                <c:pt idx="1159">
                  <c:v>45957</c:v>
                </c:pt>
                <c:pt idx="1160">
                  <c:v>45958</c:v>
                </c:pt>
                <c:pt idx="1161">
                  <c:v>45959</c:v>
                </c:pt>
                <c:pt idx="1162">
                  <c:v>45960</c:v>
                </c:pt>
                <c:pt idx="1163">
                  <c:v>45961</c:v>
                </c:pt>
                <c:pt idx="1164">
                  <c:v>45964</c:v>
                </c:pt>
                <c:pt idx="1165">
                  <c:v>45965</c:v>
                </c:pt>
                <c:pt idx="1166">
                  <c:v>45966</c:v>
                </c:pt>
                <c:pt idx="1167">
                  <c:v>45967</c:v>
                </c:pt>
                <c:pt idx="1168">
                  <c:v>45968</c:v>
                </c:pt>
                <c:pt idx="1169">
                  <c:v>45971</c:v>
                </c:pt>
                <c:pt idx="1170">
                  <c:v>45972</c:v>
                </c:pt>
                <c:pt idx="1171">
                  <c:v>45973</c:v>
                </c:pt>
                <c:pt idx="1172">
                  <c:v>45974</c:v>
                </c:pt>
                <c:pt idx="1173">
                  <c:v>45975</c:v>
                </c:pt>
                <c:pt idx="1174">
                  <c:v>45978</c:v>
                </c:pt>
                <c:pt idx="1175">
                  <c:v>45979</c:v>
                </c:pt>
                <c:pt idx="1176">
                  <c:v>45980</c:v>
                </c:pt>
                <c:pt idx="1177">
                  <c:v>45981</c:v>
                </c:pt>
                <c:pt idx="1178">
                  <c:v>45982</c:v>
                </c:pt>
                <c:pt idx="1179">
                  <c:v>45985</c:v>
                </c:pt>
                <c:pt idx="1180">
                  <c:v>45986</c:v>
                </c:pt>
                <c:pt idx="1181">
                  <c:v>45987</c:v>
                </c:pt>
                <c:pt idx="1182">
                  <c:v>45988</c:v>
                </c:pt>
                <c:pt idx="1183">
                  <c:v>45989</c:v>
                </c:pt>
                <c:pt idx="1184">
                  <c:v>45992</c:v>
                </c:pt>
                <c:pt idx="1185">
                  <c:v>45993</c:v>
                </c:pt>
                <c:pt idx="1186">
                  <c:v>45994</c:v>
                </c:pt>
                <c:pt idx="1187">
                  <c:v>45995</c:v>
                </c:pt>
                <c:pt idx="1188">
                  <c:v>45996</c:v>
                </c:pt>
                <c:pt idx="1189">
                  <c:v>45999</c:v>
                </c:pt>
                <c:pt idx="1190">
                  <c:v>46000</c:v>
                </c:pt>
                <c:pt idx="1191">
                  <c:v>46001</c:v>
                </c:pt>
                <c:pt idx="1192">
                  <c:v>46002</c:v>
                </c:pt>
                <c:pt idx="1193">
                  <c:v>46003</c:v>
                </c:pt>
                <c:pt idx="1194">
                  <c:v>46006</c:v>
                </c:pt>
                <c:pt idx="1195">
                  <c:v>46007</c:v>
                </c:pt>
                <c:pt idx="1196">
                  <c:v>46008</c:v>
                </c:pt>
                <c:pt idx="1197">
                  <c:v>46009</c:v>
                </c:pt>
                <c:pt idx="1198">
                  <c:v>46010</c:v>
                </c:pt>
                <c:pt idx="1199">
                  <c:v>46013</c:v>
                </c:pt>
                <c:pt idx="1200">
                  <c:v>46014</c:v>
                </c:pt>
                <c:pt idx="1201">
                  <c:v>46015</c:v>
                </c:pt>
                <c:pt idx="1202">
                  <c:v>46016</c:v>
                </c:pt>
                <c:pt idx="1203">
                  <c:v>46017</c:v>
                </c:pt>
                <c:pt idx="1204">
                  <c:v>46020</c:v>
                </c:pt>
                <c:pt idx="1205">
                  <c:v>46021</c:v>
                </c:pt>
                <c:pt idx="1206">
                  <c:v>46022</c:v>
                </c:pt>
                <c:pt idx="1207">
                  <c:v>46027</c:v>
                </c:pt>
                <c:pt idx="1208">
                  <c:v>46028</c:v>
                </c:pt>
                <c:pt idx="1209">
                  <c:v>46029</c:v>
                </c:pt>
                <c:pt idx="1210">
                  <c:v>46030</c:v>
                </c:pt>
                <c:pt idx="1211">
                  <c:v>46031</c:v>
                </c:pt>
                <c:pt idx="1212">
                  <c:v>46034</c:v>
                </c:pt>
                <c:pt idx="1213">
                  <c:v>46035</c:v>
                </c:pt>
                <c:pt idx="1214">
                  <c:v>46036</c:v>
                </c:pt>
                <c:pt idx="1215">
                  <c:v>46037</c:v>
                </c:pt>
                <c:pt idx="1216">
                  <c:v>46038</c:v>
                </c:pt>
                <c:pt idx="1217">
                  <c:v>46041</c:v>
                </c:pt>
                <c:pt idx="1218">
                  <c:v>46042</c:v>
                </c:pt>
                <c:pt idx="1219">
                  <c:v>46043</c:v>
                </c:pt>
                <c:pt idx="1220">
                  <c:v>46044</c:v>
                </c:pt>
                <c:pt idx="1221">
                  <c:v>46045</c:v>
                </c:pt>
                <c:pt idx="1222">
                  <c:v>46048</c:v>
                </c:pt>
                <c:pt idx="1223">
                  <c:v>46049</c:v>
                </c:pt>
                <c:pt idx="1224">
                  <c:v>46050</c:v>
                </c:pt>
                <c:pt idx="1225">
                  <c:v>46051</c:v>
                </c:pt>
                <c:pt idx="1226">
                  <c:v>46052</c:v>
                </c:pt>
                <c:pt idx="1227">
                  <c:v>46055</c:v>
                </c:pt>
                <c:pt idx="1228">
                  <c:v>46056</c:v>
                </c:pt>
                <c:pt idx="1229">
                  <c:v>46057</c:v>
                </c:pt>
                <c:pt idx="1230">
                  <c:v>46058</c:v>
                </c:pt>
                <c:pt idx="1231">
                  <c:v>46059</c:v>
                </c:pt>
                <c:pt idx="1232">
                  <c:v>46062</c:v>
                </c:pt>
                <c:pt idx="1233">
                  <c:v>46063</c:v>
                </c:pt>
                <c:pt idx="1234">
                  <c:v>46064</c:v>
                </c:pt>
                <c:pt idx="1235">
                  <c:v>46065</c:v>
                </c:pt>
                <c:pt idx="1236">
                  <c:v>46066</c:v>
                </c:pt>
                <c:pt idx="1237">
                  <c:v>46076</c:v>
                </c:pt>
                <c:pt idx="1238">
                  <c:v>46077</c:v>
                </c:pt>
                <c:pt idx="1239">
                  <c:v>46078</c:v>
                </c:pt>
                <c:pt idx="1240">
                  <c:v>46079</c:v>
                </c:pt>
                <c:pt idx="1241">
                  <c:v>46080</c:v>
                </c:pt>
                <c:pt idx="1242">
                  <c:v>46083</c:v>
                </c:pt>
                <c:pt idx="1243">
                  <c:v>46084</c:v>
                </c:pt>
                <c:pt idx="1244">
                  <c:v>46085</c:v>
                </c:pt>
                <c:pt idx="1245">
                  <c:v>46086</c:v>
                </c:pt>
                <c:pt idx="1246">
                  <c:v>46087</c:v>
                </c:pt>
                <c:pt idx="1247">
                  <c:v>45968</c:v>
                </c:pt>
              </c:numCache>
            </c:numRef>
          </c:cat>
          <c:val>
            <c:numRef>
              <c:f>'FX Data'!$E$957:$E$2204</c:f>
              <c:numCache>
                <c:formatCode>0.0</c:formatCode>
                <c:ptCount val="1248"/>
                <c:pt idx="0">
                  <c:v>20.496540945512795</c:v>
                </c:pt>
                <c:pt idx="1">
                  <c:v>20.496540945512795</c:v>
                </c:pt>
                <c:pt idx="2">
                  <c:v>20.496540945512795</c:v>
                </c:pt>
                <c:pt idx="3">
                  <c:v>20.496540945512795</c:v>
                </c:pt>
                <c:pt idx="4">
                  <c:v>20.496540945512795</c:v>
                </c:pt>
                <c:pt idx="5">
                  <c:v>20.496540945512795</c:v>
                </c:pt>
                <c:pt idx="6">
                  <c:v>20.496540945512795</c:v>
                </c:pt>
                <c:pt idx="7">
                  <c:v>20.496540945512795</c:v>
                </c:pt>
                <c:pt idx="8">
                  <c:v>20.496540945512795</c:v>
                </c:pt>
                <c:pt idx="9">
                  <c:v>20.496540945512795</c:v>
                </c:pt>
                <c:pt idx="10">
                  <c:v>20.496540945512795</c:v>
                </c:pt>
                <c:pt idx="11">
                  <c:v>20.496540945512795</c:v>
                </c:pt>
                <c:pt idx="12">
                  <c:v>20.496540945512795</c:v>
                </c:pt>
                <c:pt idx="13">
                  <c:v>20.496540945512795</c:v>
                </c:pt>
                <c:pt idx="14">
                  <c:v>20.496540945512795</c:v>
                </c:pt>
                <c:pt idx="15">
                  <c:v>20.496540945512795</c:v>
                </c:pt>
                <c:pt idx="16">
                  <c:v>20.496540945512795</c:v>
                </c:pt>
                <c:pt idx="17">
                  <c:v>20.496540945512795</c:v>
                </c:pt>
                <c:pt idx="18">
                  <c:v>20.496540945512795</c:v>
                </c:pt>
                <c:pt idx="19">
                  <c:v>20.496540945512795</c:v>
                </c:pt>
                <c:pt idx="20">
                  <c:v>20.496540945512795</c:v>
                </c:pt>
                <c:pt idx="21">
                  <c:v>20.496540945512795</c:v>
                </c:pt>
                <c:pt idx="22">
                  <c:v>20.496540945512795</c:v>
                </c:pt>
                <c:pt idx="23">
                  <c:v>20.496540945512795</c:v>
                </c:pt>
                <c:pt idx="24">
                  <c:v>20.496540945512795</c:v>
                </c:pt>
                <c:pt idx="25">
                  <c:v>20.496540945512795</c:v>
                </c:pt>
                <c:pt idx="26">
                  <c:v>20.496540945512795</c:v>
                </c:pt>
                <c:pt idx="27">
                  <c:v>20.496540945512795</c:v>
                </c:pt>
                <c:pt idx="28">
                  <c:v>20.496540945512795</c:v>
                </c:pt>
                <c:pt idx="29">
                  <c:v>20.496540945512795</c:v>
                </c:pt>
                <c:pt idx="30">
                  <c:v>20.496540945512795</c:v>
                </c:pt>
                <c:pt idx="31">
                  <c:v>20.496540945512795</c:v>
                </c:pt>
                <c:pt idx="32">
                  <c:v>20.496540945512795</c:v>
                </c:pt>
                <c:pt idx="33">
                  <c:v>20.496540945512795</c:v>
                </c:pt>
                <c:pt idx="34">
                  <c:v>20.496540945512795</c:v>
                </c:pt>
                <c:pt idx="35">
                  <c:v>20.496540945512795</c:v>
                </c:pt>
                <c:pt idx="36">
                  <c:v>20.496540945512795</c:v>
                </c:pt>
                <c:pt idx="37">
                  <c:v>20.496540945512795</c:v>
                </c:pt>
                <c:pt idx="38">
                  <c:v>20.496540945512795</c:v>
                </c:pt>
                <c:pt idx="39">
                  <c:v>20.496540945512795</c:v>
                </c:pt>
                <c:pt idx="40">
                  <c:v>20.496540945512795</c:v>
                </c:pt>
                <c:pt idx="41">
                  <c:v>20.496540945512795</c:v>
                </c:pt>
                <c:pt idx="42">
                  <c:v>20.496540945512795</c:v>
                </c:pt>
                <c:pt idx="43">
                  <c:v>20.496540945512795</c:v>
                </c:pt>
                <c:pt idx="44">
                  <c:v>20.496540945512795</c:v>
                </c:pt>
                <c:pt idx="45">
                  <c:v>20.496540945512795</c:v>
                </c:pt>
                <c:pt idx="46">
                  <c:v>20.496540945512795</c:v>
                </c:pt>
                <c:pt idx="47">
                  <c:v>20.496540945512795</c:v>
                </c:pt>
                <c:pt idx="48">
                  <c:v>20.496540945512795</c:v>
                </c:pt>
                <c:pt idx="49">
                  <c:v>20.496540945512795</c:v>
                </c:pt>
                <c:pt idx="50">
                  <c:v>20.496540945512795</c:v>
                </c:pt>
                <c:pt idx="51">
                  <c:v>20.496540945512795</c:v>
                </c:pt>
                <c:pt idx="52">
                  <c:v>20.496540945512795</c:v>
                </c:pt>
                <c:pt idx="53">
                  <c:v>20.496540945512795</c:v>
                </c:pt>
                <c:pt idx="54">
                  <c:v>20.496540945512795</c:v>
                </c:pt>
                <c:pt idx="55">
                  <c:v>20.496540945512795</c:v>
                </c:pt>
                <c:pt idx="56">
                  <c:v>20.496540945512795</c:v>
                </c:pt>
                <c:pt idx="57">
                  <c:v>20.496540945512795</c:v>
                </c:pt>
                <c:pt idx="58">
                  <c:v>20.496540945512795</c:v>
                </c:pt>
                <c:pt idx="59">
                  <c:v>20.496540945512795</c:v>
                </c:pt>
                <c:pt idx="60">
                  <c:v>20.496540945512795</c:v>
                </c:pt>
                <c:pt idx="61">
                  <c:v>20.496540945512795</c:v>
                </c:pt>
                <c:pt idx="62">
                  <c:v>20.496540945512795</c:v>
                </c:pt>
                <c:pt idx="63">
                  <c:v>20.496540945512795</c:v>
                </c:pt>
                <c:pt idx="64">
                  <c:v>20.496540945512795</c:v>
                </c:pt>
                <c:pt idx="65">
                  <c:v>20.496540945512795</c:v>
                </c:pt>
                <c:pt idx="66">
                  <c:v>20.496540945512795</c:v>
                </c:pt>
                <c:pt idx="67">
                  <c:v>20.496540945512795</c:v>
                </c:pt>
                <c:pt idx="68">
                  <c:v>20.496540945512795</c:v>
                </c:pt>
                <c:pt idx="69">
                  <c:v>20.496540945512795</c:v>
                </c:pt>
                <c:pt idx="70">
                  <c:v>20.496540945512795</c:v>
                </c:pt>
                <c:pt idx="71">
                  <c:v>20.496540945512795</c:v>
                </c:pt>
                <c:pt idx="72">
                  <c:v>20.496540945512795</c:v>
                </c:pt>
                <c:pt idx="73">
                  <c:v>20.496540945512795</c:v>
                </c:pt>
                <c:pt idx="74">
                  <c:v>20.496540945512795</c:v>
                </c:pt>
                <c:pt idx="75">
                  <c:v>20.496540945512795</c:v>
                </c:pt>
                <c:pt idx="76">
                  <c:v>20.496540945512795</c:v>
                </c:pt>
                <c:pt idx="77">
                  <c:v>20.496540945512795</c:v>
                </c:pt>
                <c:pt idx="78">
                  <c:v>20.496540945512795</c:v>
                </c:pt>
                <c:pt idx="79">
                  <c:v>20.496540945512795</c:v>
                </c:pt>
                <c:pt idx="80">
                  <c:v>20.496540945512795</c:v>
                </c:pt>
                <c:pt idx="81">
                  <c:v>20.496540945512795</c:v>
                </c:pt>
                <c:pt idx="82">
                  <c:v>20.496540945512795</c:v>
                </c:pt>
                <c:pt idx="83">
                  <c:v>20.496540945512795</c:v>
                </c:pt>
                <c:pt idx="84">
                  <c:v>20.496540945512795</c:v>
                </c:pt>
                <c:pt idx="85">
                  <c:v>20.496540945512795</c:v>
                </c:pt>
                <c:pt idx="86">
                  <c:v>20.496540945512795</c:v>
                </c:pt>
                <c:pt idx="87">
                  <c:v>20.496540945512795</c:v>
                </c:pt>
                <c:pt idx="88">
                  <c:v>20.496540945512795</c:v>
                </c:pt>
                <c:pt idx="89">
                  <c:v>20.496540945512795</c:v>
                </c:pt>
                <c:pt idx="90">
                  <c:v>20.496540945512795</c:v>
                </c:pt>
                <c:pt idx="91">
                  <c:v>20.496540945512795</c:v>
                </c:pt>
                <c:pt idx="92">
                  <c:v>20.496540945512795</c:v>
                </c:pt>
                <c:pt idx="93">
                  <c:v>20.496540945512795</c:v>
                </c:pt>
                <c:pt idx="94">
                  <c:v>20.496540945512795</c:v>
                </c:pt>
                <c:pt idx="95">
                  <c:v>20.496540945512795</c:v>
                </c:pt>
                <c:pt idx="96">
                  <c:v>20.496540945512795</c:v>
                </c:pt>
                <c:pt idx="97">
                  <c:v>20.496540945512795</c:v>
                </c:pt>
                <c:pt idx="98">
                  <c:v>20.496540945512795</c:v>
                </c:pt>
                <c:pt idx="99">
                  <c:v>20.496540945512795</c:v>
                </c:pt>
                <c:pt idx="100">
                  <c:v>20.496540945512795</c:v>
                </c:pt>
                <c:pt idx="101">
                  <c:v>20.496540945512795</c:v>
                </c:pt>
                <c:pt idx="102">
                  <c:v>20.496540945512795</c:v>
                </c:pt>
                <c:pt idx="103">
                  <c:v>20.496540945512795</c:v>
                </c:pt>
                <c:pt idx="104">
                  <c:v>20.496540945512795</c:v>
                </c:pt>
                <c:pt idx="105">
                  <c:v>20.496540945512795</c:v>
                </c:pt>
                <c:pt idx="106">
                  <c:v>20.496540945512795</c:v>
                </c:pt>
                <c:pt idx="107">
                  <c:v>20.496540945512795</c:v>
                </c:pt>
                <c:pt idx="108">
                  <c:v>20.496540945512795</c:v>
                </c:pt>
                <c:pt idx="109">
                  <c:v>20.496540945512795</c:v>
                </c:pt>
                <c:pt idx="110">
                  <c:v>20.496540945512795</c:v>
                </c:pt>
                <c:pt idx="111">
                  <c:v>20.496540945512795</c:v>
                </c:pt>
                <c:pt idx="112">
                  <c:v>20.496540945512795</c:v>
                </c:pt>
                <c:pt idx="113">
                  <c:v>20.496540945512795</c:v>
                </c:pt>
                <c:pt idx="114">
                  <c:v>20.496540945512795</c:v>
                </c:pt>
                <c:pt idx="115">
                  <c:v>20.496540945512795</c:v>
                </c:pt>
                <c:pt idx="116">
                  <c:v>20.496540945512795</c:v>
                </c:pt>
                <c:pt idx="117">
                  <c:v>20.496540945512795</c:v>
                </c:pt>
                <c:pt idx="118">
                  <c:v>20.496540945512795</c:v>
                </c:pt>
                <c:pt idx="119">
                  <c:v>20.496540945512795</c:v>
                </c:pt>
                <c:pt idx="120">
                  <c:v>20.496540945512795</c:v>
                </c:pt>
                <c:pt idx="121">
                  <c:v>20.496540945512795</c:v>
                </c:pt>
                <c:pt idx="122">
                  <c:v>20.496540945512795</c:v>
                </c:pt>
                <c:pt idx="123">
                  <c:v>20.496540945512795</c:v>
                </c:pt>
                <c:pt idx="124">
                  <c:v>20.496540945512795</c:v>
                </c:pt>
                <c:pt idx="125">
                  <c:v>20.496540945512795</c:v>
                </c:pt>
                <c:pt idx="126">
                  <c:v>20.496540945512795</c:v>
                </c:pt>
                <c:pt idx="127">
                  <c:v>20.496540945512795</c:v>
                </c:pt>
                <c:pt idx="128">
                  <c:v>20.496540945512795</c:v>
                </c:pt>
                <c:pt idx="129">
                  <c:v>20.496540945512795</c:v>
                </c:pt>
                <c:pt idx="130">
                  <c:v>20.496540945512795</c:v>
                </c:pt>
                <c:pt idx="131">
                  <c:v>20.496540945512795</c:v>
                </c:pt>
                <c:pt idx="132">
                  <c:v>20.496540945512795</c:v>
                </c:pt>
                <c:pt idx="133">
                  <c:v>20.496540945512795</c:v>
                </c:pt>
                <c:pt idx="134">
                  <c:v>20.496540945512795</c:v>
                </c:pt>
                <c:pt idx="135">
                  <c:v>20.496540945512795</c:v>
                </c:pt>
                <c:pt idx="136">
                  <c:v>20.496540945512795</c:v>
                </c:pt>
                <c:pt idx="137">
                  <c:v>20.496540945512795</c:v>
                </c:pt>
                <c:pt idx="138">
                  <c:v>20.496540945512795</c:v>
                </c:pt>
                <c:pt idx="139">
                  <c:v>20.496540945512795</c:v>
                </c:pt>
                <c:pt idx="140">
                  <c:v>20.496540945512795</c:v>
                </c:pt>
                <c:pt idx="141">
                  <c:v>20.496540945512795</c:v>
                </c:pt>
                <c:pt idx="142">
                  <c:v>20.496540945512795</c:v>
                </c:pt>
                <c:pt idx="143">
                  <c:v>20.496540945512795</c:v>
                </c:pt>
                <c:pt idx="144">
                  <c:v>20.496540945512795</c:v>
                </c:pt>
                <c:pt idx="145">
                  <c:v>20.496540945512795</c:v>
                </c:pt>
                <c:pt idx="146">
                  <c:v>20.496540945512795</c:v>
                </c:pt>
                <c:pt idx="147">
                  <c:v>20.496540945512795</c:v>
                </c:pt>
                <c:pt idx="148">
                  <c:v>20.496540945512795</c:v>
                </c:pt>
                <c:pt idx="149">
                  <c:v>20.496540945512795</c:v>
                </c:pt>
                <c:pt idx="150">
                  <c:v>20.496540945512795</c:v>
                </c:pt>
                <c:pt idx="151">
                  <c:v>20.496540945512795</c:v>
                </c:pt>
                <c:pt idx="152">
                  <c:v>20.496540945512795</c:v>
                </c:pt>
                <c:pt idx="153">
                  <c:v>20.496540945512795</c:v>
                </c:pt>
                <c:pt idx="154">
                  <c:v>20.496540945512795</c:v>
                </c:pt>
                <c:pt idx="155">
                  <c:v>20.496540945512795</c:v>
                </c:pt>
                <c:pt idx="156">
                  <c:v>20.496540945512795</c:v>
                </c:pt>
                <c:pt idx="157">
                  <c:v>20.496540945512795</c:v>
                </c:pt>
                <c:pt idx="158">
                  <c:v>20.496540945512795</c:v>
                </c:pt>
                <c:pt idx="159">
                  <c:v>20.496540945512795</c:v>
                </c:pt>
                <c:pt idx="160">
                  <c:v>20.496540945512795</c:v>
                </c:pt>
                <c:pt idx="161">
                  <c:v>20.496540945512795</c:v>
                </c:pt>
                <c:pt idx="162">
                  <c:v>20.496540945512795</c:v>
                </c:pt>
                <c:pt idx="163">
                  <c:v>20.496540945512795</c:v>
                </c:pt>
                <c:pt idx="164">
                  <c:v>20.496540945512795</c:v>
                </c:pt>
                <c:pt idx="165">
                  <c:v>20.496540945512795</c:v>
                </c:pt>
                <c:pt idx="166">
                  <c:v>20.496540945512795</c:v>
                </c:pt>
                <c:pt idx="167">
                  <c:v>20.496540945512795</c:v>
                </c:pt>
                <c:pt idx="168">
                  <c:v>20.496540945512795</c:v>
                </c:pt>
                <c:pt idx="169">
                  <c:v>20.496540945512795</c:v>
                </c:pt>
                <c:pt idx="170">
                  <c:v>20.496540945512795</c:v>
                </c:pt>
                <c:pt idx="171">
                  <c:v>20.496540945512795</c:v>
                </c:pt>
                <c:pt idx="172">
                  <c:v>20.496540945512795</c:v>
                </c:pt>
                <c:pt idx="173">
                  <c:v>20.496540945512795</c:v>
                </c:pt>
                <c:pt idx="174">
                  <c:v>20.496540945512795</c:v>
                </c:pt>
                <c:pt idx="175">
                  <c:v>20.496540945512795</c:v>
                </c:pt>
                <c:pt idx="176">
                  <c:v>20.496540945512795</c:v>
                </c:pt>
                <c:pt idx="177">
                  <c:v>20.496540945512795</c:v>
                </c:pt>
                <c:pt idx="178">
                  <c:v>20.496540945512795</c:v>
                </c:pt>
                <c:pt idx="179">
                  <c:v>20.496540945512795</c:v>
                </c:pt>
                <c:pt idx="180">
                  <c:v>20.496540945512795</c:v>
                </c:pt>
                <c:pt idx="181">
                  <c:v>20.496540945512795</c:v>
                </c:pt>
                <c:pt idx="182">
                  <c:v>20.496540945512795</c:v>
                </c:pt>
                <c:pt idx="183">
                  <c:v>20.496540945512795</c:v>
                </c:pt>
                <c:pt idx="184">
                  <c:v>20.496540945512795</c:v>
                </c:pt>
                <c:pt idx="185">
                  <c:v>20.496540945512795</c:v>
                </c:pt>
                <c:pt idx="186">
                  <c:v>20.496540945512795</c:v>
                </c:pt>
                <c:pt idx="187">
                  <c:v>20.496540945512795</c:v>
                </c:pt>
                <c:pt idx="188">
                  <c:v>20.496540945512795</c:v>
                </c:pt>
                <c:pt idx="189">
                  <c:v>20.496540945512795</c:v>
                </c:pt>
                <c:pt idx="190">
                  <c:v>20.496540945512795</c:v>
                </c:pt>
                <c:pt idx="191">
                  <c:v>20.496540945512795</c:v>
                </c:pt>
                <c:pt idx="192">
                  <c:v>20.496540945512795</c:v>
                </c:pt>
                <c:pt idx="193">
                  <c:v>20.496540945512795</c:v>
                </c:pt>
                <c:pt idx="194">
                  <c:v>20.496540945512795</c:v>
                </c:pt>
                <c:pt idx="195">
                  <c:v>20.496540945512795</c:v>
                </c:pt>
                <c:pt idx="196">
                  <c:v>20.496540945512795</c:v>
                </c:pt>
                <c:pt idx="197">
                  <c:v>20.496540945512795</c:v>
                </c:pt>
                <c:pt idx="198">
                  <c:v>20.496540945512795</c:v>
                </c:pt>
                <c:pt idx="199">
                  <c:v>20.496540945512795</c:v>
                </c:pt>
                <c:pt idx="200">
                  <c:v>20.496540945512795</c:v>
                </c:pt>
                <c:pt idx="201">
                  <c:v>20.496540945512795</c:v>
                </c:pt>
                <c:pt idx="202">
                  <c:v>20.496540945512795</c:v>
                </c:pt>
                <c:pt idx="203">
                  <c:v>20.496540945512795</c:v>
                </c:pt>
                <c:pt idx="204">
                  <c:v>20.496540945512795</c:v>
                </c:pt>
                <c:pt idx="205">
                  <c:v>20.496540945512795</c:v>
                </c:pt>
                <c:pt idx="206">
                  <c:v>20.496540945512795</c:v>
                </c:pt>
                <c:pt idx="207">
                  <c:v>20.496540945512795</c:v>
                </c:pt>
                <c:pt idx="208">
                  <c:v>20.496540945512795</c:v>
                </c:pt>
                <c:pt idx="209">
                  <c:v>20.496540945512795</c:v>
                </c:pt>
                <c:pt idx="210">
                  <c:v>20.496540945512795</c:v>
                </c:pt>
                <c:pt idx="211">
                  <c:v>20.496540945512795</c:v>
                </c:pt>
                <c:pt idx="212">
                  <c:v>20.496540945512795</c:v>
                </c:pt>
                <c:pt idx="213">
                  <c:v>20.496540945512795</c:v>
                </c:pt>
                <c:pt idx="214">
                  <c:v>20.496540945512795</c:v>
                </c:pt>
                <c:pt idx="215">
                  <c:v>20.496540945512795</c:v>
                </c:pt>
                <c:pt idx="216">
                  <c:v>20.496540945512795</c:v>
                </c:pt>
                <c:pt idx="217">
                  <c:v>20.496540945512795</c:v>
                </c:pt>
                <c:pt idx="218">
                  <c:v>20.496540945512795</c:v>
                </c:pt>
                <c:pt idx="219">
                  <c:v>20.496540945512795</c:v>
                </c:pt>
                <c:pt idx="220">
                  <c:v>20.496540945512795</c:v>
                </c:pt>
                <c:pt idx="221">
                  <c:v>20.496540945512795</c:v>
                </c:pt>
                <c:pt idx="222">
                  <c:v>20.496540945512795</c:v>
                </c:pt>
                <c:pt idx="223">
                  <c:v>20.496540945512795</c:v>
                </c:pt>
                <c:pt idx="224">
                  <c:v>20.496540945512795</c:v>
                </c:pt>
                <c:pt idx="225">
                  <c:v>20.496540945512795</c:v>
                </c:pt>
                <c:pt idx="226">
                  <c:v>20.496540945512795</c:v>
                </c:pt>
                <c:pt idx="227">
                  <c:v>20.496540945512795</c:v>
                </c:pt>
                <c:pt idx="228">
                  <c:v>20.496540945512795</c:v>
                </c:pt>
                <c:pt idx="229">
                  <c:v>20.496540945512795</c:v>
                </c:pt>
                <c:pt idx="230">
                  <c:v>20.496540945512795</c:v>
                </c:pt>
                <c:pt idx="231">
                  <c:v>20.496540945512795</c:v>
                </c:pt>
                <c:pt idx="232">
                  <c:v>20.496540945512795</c:v>
                </c:pt>
                <c:pt idx="233">
                  <c:v>20.496540945512795</c:v>
                </c:pt>
                <c:pt idx="234">
                  <c:v>20.496540945512795</c:v>
                </c:pt>
                <c:pt idx="235">
                  <c:v>20.496540945512795</c:v>
                </c:pt>
                <c:pt idx="236">
                  <c:v>20.496540945512795</c:v>
                </c:pt>
                <c:pt idx="237">
                  <c:v>20.496540945512795</c:v>
                </c:pt>
                <c:pt idx="238">
                  <c:v>20.496540945512795</c:v>
                </c:pt>
                <c:pt idx="239">
                  <c:v>20.496540945512795</c:v>
                </c:pt>
                <c:pt idx="240">
                  <c:v>20.496540945512795</c:v>
                </c:pt>
                <c:pt idx="241">
                  <c:v>20.496540945512795</c:v>
                </c:pt>
                <c:pt idx="242">
                  <c:v>20.496540945512795</c:v>
                </c:pt>
                <c:pt idx="243">
                  <c:v>20.496540945512795</c:v>
                </c:pt>
                <c:pt idx="244">
                  <c:v>20.496540945512795</c:v>
                </c:pt>
                <c:pt idx="245">
                  <c:v>20.496540945512795</c:v>
                </c:pt>
                <c:pt idx="246">
                  <c:v>20.496540945512795</c:v>
                </c:pt>
                <c:pt idx="247">
                  <c:v>20.496540945512795</c:v>
                </c:pt>
                <c:pt idx="248">
                  <c:v>20.496540945512795</c:v>
                </c:pt>
                <c:pt idx="249">
                  <c:v>20.496540945512795</c:v>
                </c:pt>
                <c:pt idx="250">
                  <c:v>20.496540945512795</c:v>
                </c:pt>
                <c:pt idx="251">
                  <c:v>20.496540945512795</c:v>
                </c:pt>
                <c:pt idx="252">
                  <c:v>20.496540945512795</c:v>
                </c:pt>
                <c:pt idx="253">
                  <c:v>20.496540945512795</c:v>
                </c:pt>
                <c:pt idx="254">
                  <c:v>20.496540945512795</c:v>
                </c:pt>
                <c:pt idx="255">
                  <c:v>20.496540945512795</c:v>
                </c:pt>
                <c:pt idx="256">
                  <c:v>20.496540945512795</c:v>
                </c:pt>
                <c:pt idx="257">
                  <c:v>20.496540945512795</c:v>
                </c:pt>
                <c:pt idx="258">
                  <c:v>20.496540945512795</c:v>
                </c:pt>
                <c:pt idx="259">
                  <c:v>20.496540945512795</c:v>
                </c:pt>
                <c:pt idx="260">
                  <c:v>20.496540945512795</c:v>
                </c:pt>
                <c:pt idx="261">
                  <c:v>20.496540945512795</c:v>
                </c:pt>
                <c:pt idx="262">
                  <c:v>20.496540945512795</c:v>
                </c:pt>
                <c:pt idx="263">
                  <c:v>20.496540945512795</c:v>
                </c:pt>
                <c:pt idx="264">
                  <c:v>20.496540945512795</c:v>
                </c:pt>
                <c:pt idx="265">
                  <c:v>20.496540945512795</c:v>
                </c:pt>
                <c:pt idx="266">
                  <c:v>20.496540945512795</c:v>
                </c:pt>
                <c:pt idx="267">
                  <c:v>20.496540945512795</c:v>
                </c:pt>
                <c:pt idx="268">
                  <c:v>20.496540945512795</c:v>
                </c:pt>
                <c:pt idx="269">
                  <c:v>20.496540945512795</c:v>
                </c:pt>
                <c:pt idx="270">
                  <c:v>20.496540945512795</c:v>
                </c:pt>
                <c:pt idx="271">
                  <c:v>20.496540945512795</c:v>
                </c:pt>
                <c:pt idx="272">
                  <c:v>20.496540945512795</c:v>
                </c:pt>
                <c:pt idx="273">
                  <c:v>20.496540945512795</c:v>
                </c:pt>
                <c:pt idx="274">
                  <c:v>20.496540945512795</c:v>
                </c:pt>
                <c:pt idx="275">
                  <c:v>20.496540945512795</c:v>
                </c:pt>
                <c:pt idx="276">
                  <c:v>20.496540945512795</c:v>
                </c:pt>
                <c:pt idx="277">
                  <c:v>20.496540945512795</c:v>
                </c:pt>
                <c:pt idx="278">
                  <c:v>20.496540945512795</c:v>
                </c:pt>
                <c:pt idx="279">
                  <c:v>20.496540945512795</c:v>
                </c:pt>
                <c:pt idx="280">
                  <c:v>20.496540945512795</c:v>
                </c:pt>
                <c:pt idx="281">
                  <c:v>20.496540945512795</c:v>
                </c:pt>
                <c:pt idx="282">
                  <c:v>20.496540945512795</c:v>
                </c:pt>
                <c:pt idx="283">
                  <c:v>20.496540945512795</c:v>
                </c:pt>
                <c:pt idx="284">
                  <c:v>20.496540945512795</c:v>
                </c:pt>
                <c:pt idx="285">
                  <c:v>20.496540945512795</c:v>
                </c:pt>
                <c:pt idx="286">
                  <c:v>20.496540945512795</c:v>
                </c:pt>
                <c:pt idx="287">
                  <c:v>20.496540945512795</c:v>
                </c:pt>
                <c:pt idx="288">
                  <c:v>20.496540945512795</c:v>
                </c:pt>
                <c:pt idx="289">
                  <c:v>20.496540945512795</c:v>
                </c:pt>
                <c:pt idx="290">
                  <c:v>20.496540945512795</c:v>
                </c:pt>
                <c:pt idx="291">
                  <c:v>20.496540945512795</c:v>
                </c:pt>
                <c:pt idx="292">
                  <c:v>20.496540945512795</c:v>
                </c:pt>
                <c:pt idx="293">
                  <c:v>20.496540945512795</c:v>
                </c:pt>
                <c:pt idx="294">
                  <c:v>20.496540945512795</c:v>
                </c:pt>
                <c:pt idx="295">
                  <c:v>20.496540945512795</c:v>
                </c:pt>
                <c:pt idx="296">
                  <c:v>20.496540945512795</c:v>
                </c:pt>
                <c:pt idx="297">
                  <c:v>20.496540945512795</c:v>
                </c:pt>
                <c:pt idx="298">
                  <c:v>20.496540945512795</c:v>
                </c:pt>
                <c:pt idx="299">
                  <c:v>20.496540945512795</c:v>
                </c:pt>
                <c:pt idx="300">
                  <c:v>20.496540945512795</c:v>
                </c:pt>
                <c:pt idx="301">
                  <c:v>20.496540945512795</c:v>
                </c:pt>
                <c:pt idx="302">
                  <c:v>20.496540945512795</c:v>
                </c:pt>
                <c:pt idx="303">
                  <c:v>20.496540945512795</c:v>
                </c:pt>
                <c:pt idx="304">
                  <c:v>20.496540945512795</c:v>
                </c:pt>
                <c:pt idx="305">
                  <c:v>20.496540945512795</c:v>
                </c:pt>
                <c:pt idx="306">
                  <c:v>20.496540945512795</c:v>
                </c:pt>
                <c:pt idx="307">
                  <c:v>20.496540945512795</c:v>
                </c:pt>
                <c:pt idx="308">
                  <c:v>20.496540945512795</c:v>
                </c:pt>
                <c:pt idx="309">
                  <c:v>20.496540945512795</c:v>
                </c:pt>
                <c:pt idx="310">
                  <c:v>20.496540945512795</c:v>
                </c:pt>
                <c:pt idx="311">
                  <c:v>20.496540945512795</c:v>
                </c:pt>
                <c:pt idx="312">
                  <c:v>20.496540945512795</c:v>
                </c:pt>
                <c:pt idx="313">
                  <c:v>20.496540945512795</c:v>
                </c:pt>
                <c:pt idx="314">
                  <c:v>20.496540945512795</c:v>
                </c:pt>
                <c:pt idx="315">
                  <c:v>20.496540945512795</c:v>
                </c:pt>
                <c:pt idx="316">
                  <c:v>20.496540945512795</c:v>
                </c:pt>
                <c:pt idx="317">
                  <c:v>20.496540945512795</c:v>
                </c:pt>
                <c:pt idx="318">
                  <c:v>20.496540945512795</c:v>
                </c:pt>
                <c:pt idx="319">
                  <c:v>20.496540945512795</c:v>
                </c:pt>
                <c:pt idx="320">
                  <c:v>20.496540945512795</c:v>
                </c:pt>
                <c:pt idx="321">
                  <c:v>20.496540945512795</c:v>
                </c:pt>
                <c:pt idx="322">
                  <c:v>20.496540945512795</c:v>
                </c:pt>
                <c:pt idx="323">
                  <c:v>20.496540945512795</c:v>
                </c:pt>
                <c:pt idx="324">
                  <c:v>20.496540945512795</c:v>
                </c:pt>
                <c:pt idx="325">
                  <c:v>20.496540945512795</c:v>
                </c:pt>
                <c:pt idx="326">
                  <c:v>20.496540945512795</c:v>
                </c:pt>
                <c:pt idx="327">
                  <c:v>20.496540945512795</c:v>
                </c:pt>
                <c:pt idx="328">
                  <c:v>20.496540945512795</c:v>
                </c:pt>
                <c:pt idx="329">
                  <c:v>20.496540945512795</c:v>
                </c:pt>
                <c:pt idx="330">
                  <c:v>20.496540945512795</c:v>
                </c:pt>
                <c:pt idx="331">
                  <c:v>20.496540945512795</c:v>
                </c:pt>
                <c:pt idx="332">
                  <c:v>20.496540945512795</c:v>
                </c:pt>
                <c:pt idx="333">
                  <c:v>20.496540945512795</c:v>
                </c:pt>
                <c:pt idx="334">
                  <c:v>20.496540945512795</c:v>
                </c:pt>
                <c:pt idx="335">
                  <c:v>20.496540945512795</c:v>
                </c:pt>
                <c:pt idx="336">
                  <c:v>20.496540945512795</c:v>
                </c:pt>
                <c:pt idx="337">
                  <c:v>20.496540945512795</c:v>
                </c:pt>
                <c:pt idx="338">
                  <c:v>20.496540945512795</c:v>
                </c:pt>
                <c:pt idx="339">
                  <c:v>20.496540945512795</c:v>
                </c:pt>
                <c:pt idx="340">
                  <c:v>20.496540945512795</c:v>
                </c:pt>
                <c:pt idx="341">
                  <c:v>20.496540945512795</c:v>
                </c:pt>
                <c:pt idx="342">
                  <c:v>20.496540945512795</c:v>
                </c:pt>
                <c:pt idx="343">
                  <c:v>20.496540945512795</c:v>
                </c:pt>
                <c:pt idx="344">
                  <c:v>20.496540945512795</c:v>
                </c:pt>
                <c:pt idx="345">
                  <c:v>20.496540945512795</c:v>
                </c:pt>
                <c:pt idx="346">
                  <c:v>20.496540945512795</c:v>
                </c:pt>
                <c:pt idx="347">
                  <c:v>20.496540945512795</c:v>
                </c:pt>
                <c:pt idx="348">
                  <c:v>20.496540945512795</c:v>
                </c:pt>
                <c:pt idx="349">
                  <c:v>20.496540945512795</c:v>
                </c:pt>
                <c:pt idx="350">
                  <c:v>20.496540945512795</c:v>
                </c:pt>
                <c:pt idx="351">
                  <c:v>20.496540945512795</c:v>
                </c:pt>
                <c:pt idx="352">
                  <c:v>20.496540945512795</c:v>
                </c:pt>
                <c:pt idx="353">
                  <c:v>20.496540945512795</c:v>
                </c:pt>
                <c:pt idx="354">
                  <c:v>20.496540945512795</c:v>
                </c:pt>
                <c:pt idx="355">
                  <c:v>20.496540945512795</c:v>
                </c:pt>
                <c:pt idx="356">
                  <c:v>20.496540945512795</c:v>
                </c:pt>
                <c:pt idx="357">
                  <c:v>20.496540945512795</c:v>
                </c:pt>
                <c:pt idx="358">
                  <c:v>20.496540945512795</c:v>
                </c:pt>
                <c:pt idx="359">
                  <c:v>20.496540945512795</c:v>
                </c:pt>
                <c:pt idx="360">
                  <c:v>20.496540945512795</c:v>
                </c:pt>
                <c:pt idx="361">
                  <c:v>20.496540945512795</c:v>
                </c:pt>
                <c:pt idx="362">
                  <c:v>20.496540945512795</c:v>
                </c:pt>
                <c:pt idx="363">
                  <c:v>20.496540945512795</c:v>
                </c:pt>
                <c:pt idx="364">
                  <c:v>20.496540945512795</c:v>
                </c:pt>
                <c:pt idx="365">
                  <c:v>20.496540945512795</c:v>
                </c:pt>
                <c:pt idx="366">
                  <c:v>20.496540945512795</c:v>
                </c:pt>
                <c:pt idx="367">
                  <c:v>20.496540945512795</c:v>
                </c:pt>
                <c:pt idx="368">
                  <c:v>20.496540945512795</c:v>
                </c:pt>
                <c:pt idx="369">
                  <c:v>20.496540945512795</c:v>
                </c:pt>
                <c:pt idx="370">
                  <c:v>20.496540945512795</c:v>
                </c:pt>
                <c:pt idx="371">
                  <c:v>20.496540945512795</c:v>
                </c:pt>
                <c:pt idx="372">
                  <c:v>20.496540945512795</c:v>
                </c:pt>
                <c:pt idx="373">
                  <c:v>20.496540945512795</c:v>
                </c:pt>
                <c:pt idx="374">
                  <c:v>20.496540945512795</c:v>
                </c:pt>
                <c:pt idx="375">
                  <c:v>20.496540945512795</c:v>
                </c:pt>
                <c:pt idx="376">
                  <c:v>20.496540945512795</c:v>
                </c:pt>
                <c:pt idx="377">
                  <c:v>20.496540945512795</c:v>
                </c:pt>
                <c:pt idx="378">
                  <c:v>20.496540945512795</c:v>
                </c:pt>
                <c:pt idx="379">
                  <c:v>20.496540945512795</c:v>
                </c:pt>
                <c:pt idx="380">
                  <c:v>20.496540945512795</c:v>
                </c:pt>
                <c:pt idx="381">
                  <c:v>20.496540945512795</c:v>
                </c:pt>
                <c:pt idx="382">
                  <c:v>20.496540945512795</c:v>
                </c:pt>
                <c:pt idx="383">
                  <c:v>20.496540945512795</c:v>
                </c:pt>
                <c:pt idx="384">
                  <c:v>20.496540945512795</c:v>
                </c:pt>
                <c:pt idx="385">
                  <c:v>20.496540945512795</c:v>
                </c:pt>
                <c:pt idx="386">
                  <c:v>20.496540945512795</c:v>
                </c:pt>
                <c:pt idx="387">
                  <c:v>20.496540945512795</c:v>
                </c:pt>
                <c:pt idx="388">
                  <c:v>20.496540945512795</c:v>
                </c:pt>
                <c:pt idx="389">
                  <c:v>20.496540945512795</c:v>
                </c:pt>
                <c:pt idx="390">
                  <c:v>20.496540945512795</c:v>
                </c:pt>
                <c:pt idx="391">
                  <c:v>20.496540945512795</c:v>
                </c:pt>
                <c:pt idx="392">
                  <c:v>20.496540945512795</c:v>
                </c:pt>
                <c:pt idx="393">
                  <c:v>20.496540945512795</c:v>
                </c:pt>
                <c:pt idx="394">
                  <c:v>20.496540945512795</c:v>
                </c:pt>
                <c:pt idx="395">
                  <c:v>20.496540945512795</c:v>
                </c:pt>
                <c:pt idx="396">
                  <c:v>20.496540945512795</c:v>
                </c:pt>
                <c:pt idx="397">
                  <c:v>20.496540945512795</c:v>
                </c:pt>
                <c:pt idx="398">
                  <c:v>20.496540945512795</c:v>
                </c:pt>
                <c:pt idx="399">
                  <c:v>20.496540945512795</c:v>
                </c:pt>
                <c:pt idx="400">
                  <c:v>20.496540945512795</c:v>
                </c:pt>
                <c:pt idx="401">
                  <c:v>20.496540945512795</c:v>
                </c:pt>
                <c:pt idx="402">
                  <c:v>20.496540945512795</c:v>
                </c:pt>
                <c:pt idx="403">
                  <c:v>20.496540945512795</c:v>
                </c:pt>
                <c:pt idx="404">
                  <c:v>20.496540945512795</c:v>
                </c:pt>
                <c:pt idx="405">
                  <c:v>20.496540945512795</c:v>
                </c:pt>
                <c:pt idx="406">
                  <c:v>20.496540945512795</c:v>
                </c:pt>
                <c:pt idx="407">
                  <c:v>20.496540945512795</c:v>
                </c:pt>
                <c:pt idx="408">
                  <c:v>20.496540945512795</c:v>
                </c:pt>
                <c:pt idx="409">
                  <c:v>20.496540945512795</c:v>
                </c:pt>
                <c:pt idx="410">
                  <c:v>20.496540945512795</c:v>
                </c:pt>
                <c:pt idx="411">
                  <c:v>20.496540945512795</c:v>
                </c:pt>
                <c:pt idx="412">
                  <c:v>20.496540945512795</c:v>
                </c:pt>
                <c:pt idx="413">
                  <c:v>20.496540945512795</c:v>
                </c:pt>
                <c:pt idx="414">
                  <c:v>20.496540945512795</c:v>
                </c:pt>
                <c:pt idx="415">
                  <c:v>20.496540945512795</c:v>
                </c:pt>
                <c:pt idx="416">
                  <c:v>20.496540945512795</c:v>
                </c:pt>
                <c:pt idx="417">
                  <c:v>20.496540945512795</c:v>
                </c:pt>
                <c:pt idx="418">
                  <c:v>20.496540945512795</c:v>
                </c:pt>
                <c:pt idx="419">
                  <c:v>20.496540945512795</c:v>
                </c:pt>
                <c:pt idx="420">
                  <c:v>20.496540945512795</c:v>
                </c:pt>
                <c:pt idx="421">
                  <c:v>20.496540945512795</c:v>
                </c:pt>
                <c:pt idx="422">
                  <c:v>20.496540945512795</c:v>
                </c:pt>
                <c:pt idx="423">
                  <c:v>20.496540945512795</c:v>
                </c:pt>
                <c:pt idx="424">
                  <c:v>20.496540945512795</c:v>
                </c:pt>
                <c:pt idx="425">
                  <c:v>20.496540945512795</c:v>
                </c:pt>
                <c:pt idx="426">
                  <c:v>20.496540945512795</c:v>
                </c:pt>
                <c:pt idx="427">
                  <c:v>20.496540945512795</c:v>
                </c:pt>
                <c:pt idx="428">
                  <c:v>20.496540945512795</c:v>
                </c:pt>
                <c:pt idx="429">
                  <c:v>20.496540945512795</c:v>
                </c:pt>
                <c:pt idx="430">
                  <c:v>20.496540945512795</c:v>
                </c:pt>
                <c:pt idx="431">
                  <c:v>20.496540945512795</c:v>
                </c:pt>
                <c:pt idx="432">
                  <c:v>20.496540945512795</c:v>
                </c:pt>
                <c:pt idx="433">
                  <c:v>20.496540945512795</c:v>
                </c:pt>
                <c:pt idx="434">
                  <c:v>20.496540945512795</c:v>
                </c:pt>
                <c:pt idx="435">
                  <c:v>20.496540945512795</c:v>
                </c:pt>
                <c:pt idx="436">
                  <c:v>20.496540945512795</c:v>
                </c:pt>
                <c:pt idx="437">
                  <c:v>20.496540945512795</c:v>
                </c:pt>
                <c:pt idx="438">
                  <c:v>20.496540945512795</c:v>
                </c:pt>
                <c:pt idx="439">
                  <c:v>20.496540945512795</c:v>
                </c:pt>
                <c:pt idx="440">
                  <c:v>20.496540945512795</c:v>
                </c:pt>
                <c:pt idx="441">
                  <c:v>20.496540945512795</c:v>
                </c:pt>
                <c:pt idx="442">
                  <c:v>20.496540945512795</c:v>
                </c:pt>
                <c:pt idx="443">
                  <c:v>20.496540945512795</c:v>
                </c:pt>
                <c:pt idx="444">
                  <c:v>20.496540945512795</c:v>
                </c:pt>
                <c:pt idx="445">
                  <c:v>20.496540945512795</c:v>
                </c:pt>
                <c:pt idx="446">
                  <c:v>20.496540945512795</c:v>
                </c:pt>
                <c:pt idx="447">
                  <c:v>20.496540945512795</c:v>
                </c:pt>
                <c:pt idx="448">
                  <c:v>20.496540945512795</c:v>
                </c:pt>
                <c:pt idx="449">
                  <c:v>20.496540945512795</c:v>
                </c:pt>
                <c:pt idx="450">
                  <c:v>20.496540945512795</c:v>
                </c:pt>
                <c:pt idx="451">
                  <c:v>20.496540945512795</c:v>
                </c:pt>
                <c:pt idx="452">
                  <c:v>20.496540945512795</c:v>
                </c:pt>
                <c:pt idx="453">
                  <c:v>20.496540945512795</c:v>
                </c:pt>
                <c:pt idx="454">
                  <c:v>20.496540945512795</c:v>
                </c:pt>
                <c:pt idx="455">
                  <c:v>20.496540945512795</c:v>
                </c:pt>
                <c:pt idx="456">
                  <c:v>20.496540945512795</c:v>
                </c:pt>
                <c:pt idx="457">
                  <c:v>20.496540945512795</c:v>
                </c:pt>
                <c:pt idx="458">
                  <c:v>20.496540945512795</c:v>
                </c:pt>
                <c:pt idx="459">
                  <c:v>20.496540945512795</c:v>
                </c:pt>
                <c:pt idx="460">
                  <c:v>20.496540945512795</c:v>
                </c:pt>
                <c:pt idx="461">
                  <c:v>20.496540945512795</c:v>
                </c:pt>
                <c:pt idx="462">
                  <c:v>20.496540945512795</c:v>
                </c:pt>
                <c:pt idx="463">
                  <c:v>20.496540945512795</c:v>
                </c:pt>
                <c:pt idx="464">
                  <c:v>20.496540945512795</c:v>
                </c:pt>
                <c:pt idx="465">
                  <c:v>20.496540945512795</c:v>
                </c:pt>
                <c:pt idx="466">
                  <c:v>20.496540945512795</c:v>
                </c:pt>
                <c:pt idx="467">
                  <c:v>20.496540945512795</c:v>
                </c:pt>
                <c:pt idx="468">
                  <c:v>20.496540945512795</c:v>
                </c:pt>
                <c:pt idx="469">
                  <c:v>20.496540945512795</c:v>
                </c:pt>
                <c:pt idx="470">
                  <c:v>20.496540945512795</c:v>
                </c:pt>
                <c:pt idx="471">
                  <c:v>20.496540945512795</c:v>
                </c:pt>
                <c:pt idx="472">
                  <c:v>20.496540945512795</c:v>
                </c:pt>
                <c:pt idx="473">
                  <c:v>20.496540945512795</c:v>
                </c:pt>
                <c:pt idx="474">
                  <c:v>20.496540945512795</c:v>
                </c:pt>
                <c:pt idx="475">
                  <c:v>20.496540945512795</c:v>
                </c:pt>
                <c:pt idx="476">
                  <c:v>20.496540945512795</c:v>
                </c:pt>
                <c:pt idx="477">
                  <c:v>20.496540945512795</c:v>
                </c:pt>
                <c:pt idx="478">
                  <c:v>20.496540945512795</c:v>
                </c:pt>
                <c:pt idx="479">
                  <c:v>20.496540945512795</c:v>
                </c:pt>
                <c:pt idx="480">
                  <c:v>20.496540945512795</c:v>
                </c:pt>
                <c:pt idx="481">
                  <c:v>20.496540945512795</c:v>
                </c:pt>
                <c:pt idx="482">
                  <c:v>20.496540945512795</c:v>
                </c:pt>
                <c:pt idx="483">
                  <c:v>20.496540945512795</c:v>
                </c:pt>
                <c:pt idx="484">
                  <c:v>20.496540945512795</c:v>
                </c:pt>
                <c:pt idx="485">
                  <c:v>20.496540945512795</c:v>
                </c:pt>
                <c:pt idx="486">
                  <c:v>20.496540945512795</c:v>
                </c:pt>
                <c:pt idx="487">
                  <c:v>20.496540945512795</c:v>
                </c:pt>
                <c:pt idx="488">
                  <c:v>20.496540945512795</c:v>
                </c:pt>
                <c:pt idx="489">
                  <c:v>20.496540945512795</c:v>
                </c:pt>
                <c:pt idx="490">
                  <c:v>20.496540945512795</c:v>
                </c:pt>
                <c:pt idx="491">
                  <c:v>20.496540945512795</c:v>
                </c:pt>
                <c:pt idx="492">
                  <c:v>20.496540945512795</c:v>
                </c:pt>
                <c:pt idx="493">
                  <c:v>20.496540945512795</c:v>
                </c:pt>
                <c:pt idx="494">
                  <c:v>20.496540945512795</c:v>
                </c:pt>
                <c:pt idx="495">
                  <c:v>20.496540945512795</c:v>
                </c:pt>
                <c:pt idx="496">
                  <c:v>20.496540945512795</c:v>
                </c:pt>
                <c:pt idx="497">
                  <c:v>20.496540945512795</c:v>
                </c:pt>
                <c:pt idx="498">
                  <c:v>20.496540945512795</c:v>
                </c:pt>
                <c:pt idx="499">
                  <c:v>20.496540945512795</c:v>
                </c:pt>
                <c:pt idx="500">
                  <c:v>20.496540945512795</c:v>
                </c:pt>
                <c:pt idx="501">
                  <c:v>20.496540945512795</c:v>
                </c:pt>
                <c:pt idx="502">
                  <c:v>20.496540945512795</c:v>
                </c:pt>
                <c:pt idx="503">
                  <c:v>20.496540945512795</c:v>
                </c:pt>
                <c:pt idx="504">
                  <c:v>20.496540945512795</c:v>
                </c:pt>
                <c:pt idx="505">
                  <c:v>20.496540945512795</c:v>
                </c:pt>
                <c:pt idx="506">
                  <c:v>20.496540945512795</c:v>
                </c:pt>
                <c:pt idx="507">
                  <c:v>20.496540945512795</c:v>
                </c:pt>
                <c:pt idx="508">
                  <c:v>20.496540945512795</c:v>
                </c:pt>
                <c:pt idx="509">
                  <c:v>20.496540945512795</c:v>
                </c:pt>
                <c:pt idx="510">
                  <c:v>20.496540945512795</c:v>
                </c:pt>
                <c:pt idx="511">
                  <c:v>20.496540945512795</c:v>
                </c:pt>
                <c:pt idx="512">
                  <c:v>20.496540945512795</c:v>
                </c:pt>
                <c:pt idx="513">
                  <c:v>20.496540945512795</c:v>
                </c:pt>
                <c:pt idx="514">
                  <c:v>20.496540945512795</c:v>
                </c:pt>
                <c:pt idx="515">
                  <c:v>20.496540945512795</c:v>
                </c:pt>
                <c:pt idx="516">
                  <c:v>20.496540945512795</c:v>
                </c:pt>
                <c:pt idx="517">
                  <c:v>20.496540945512795</c:v>
                </c:pt>
                <c:pt idx="518">
                  <c:v>20.496540945512795</c:v>
                </c:pt>
                <c:pt idx="519">
                  <c:v>20.496540945512795</c:v>
                </c:pt>
                <c:pt idx="520">
                  <c:v>20.496540945512795</c:v>
                </c:pt>
                <c:pt idx="521">
                  <c:v>20.496540945512795</c:v>
                </c:pt>
                <c:pt idx="522">
                  <c:v>20.496540945512795</c:v>
                </c:pt>
                <c:pt idx="523">
                  <c:v>20.496540945512795</c:v>
                </c:pt>
                <c:pt idx="524">
                  <c:v>20.496540945512795</c:v>
                </c:pt>
                <c:pt idx="525">
                  <c:v>20.496540945512795</c:v>
                </c:pt>
                <c:pt idx="526">
                  <c:v>20.496540945512795</c:v>
                </c:pt>
                <c:pt idx="527">
                  <c:v>20.496540945512795</c:v>
                </c:pt>
                <c:pt idx="528">
                  <c:v>20.496540945512795</c:v>
                </c:pt>
                <c:pt idx="529">
                  <c:v>20.496540945512795</c:v>
                </c:pt>
                <c:pt idx="530">
                  <c:v>20.496540945512795</c:v>
                </c:pt>
                <c:pt idx="531">
                  <c:v>20.496540945512795</c:v>
                </c:pt>
                <c:pt idx="532">
                  <c:v>20.496540945512795</c:v>
                </c:pt>
                <c:pt idx="533">
                  <c:v>20.496540945512795</c:v>
                </c:pt>
                <c:pt idx="534">
                  <c:v>20.496540945512795</c:v>
                </c:pt>
                <c:pt idx="535">
                  <c:v>20.496540945512795</c:v>
                </c:pt>
                <c:pt idx="536">
                  <c:v>20.496540945512795</c:v>
                </c:pt>
                <c:pt idx="537">
                  <c:v>20.496540945512795</c:v>
                </c:pt>
                <c:pt idx="538">
                  <c:v>20.496540945512795</c:v>
                </c:pt>
                <c:pt idx="539">
                  <c:v>20.496540945512795</c:v>
                </c:pt>
                <c:pt idx="540">
                  <c:v>20.496540945512795</c:v>
                </c:pt>
                <c:pt idx="541">
                  <c:v>20.496540945512795</c:v>
                </c:pt>
                <c:pt idx="542">
                  <c:v>20.496540945512795</c:v>
                </c:pt>
                <c:pt idx="543">
                  <c:v>20.496540945512795</c:v>
                </c:pt>
                <c:pt idx="544">
                  <c:v>20.496540945512795</c:v>
                </c:pt>
                <c:pt idx="545">
                  <c:v>20.496540945512795</c:v>
                </c:pt>
                <c:pt idx="546">
                  <c:v>20.496540945512795</c:v>
                </c:pt>
                <c:pt idx="547">
                  <c:v>20.496540945512795</c:v>
                </c:pt>
                <c:pt idx="548">
                  <c:v>20.496540945512795</c:v>
                </c:pt>
                <c:pt idx="549">
                  <c:v>20.496540945512795</c:v>
                </c:pt>
                <c:pt idx="550">
                  <c:v>20.496540945512795</c:v>
                </c:pt>
                <c:pt idx="551">
                  <c:v>20.496540945512795</c:v>
                </c:pt>
                <c:pt idx="552">
                  <c:v>20.496540945512795</c:v>
                </c:pt>
                <c:pt idx="553">
                  <c:v>20.496540945512795</c:v>
                </c:pt>
                <c:pt idx="554">
                  <c:v>20.496540945512795</c:v>
                </c:pt>
                <c:pt idx="555">
                  <c:v>20.496540945512795</c:v>
                </c:pt>
                <c:pt idx="556">
                  <c:v>20.496540945512795</c:v>
                </c:pt>
                <c:pt idx="557">
                  <c:v>20.496540945512795</c:v>
                </c:pt>
                <c:pt idx="558">
                  <c:v>20.496540945512795</c:v>
                </c:pt>
                <c:pt idx="559">
                  <c:v>20.496540945512795</c:v>
                </c:pt>
                <c:pt idx="560">
                  <c:v>20.496540945512795</c:v>
                </c:pt>
                <c:pt idx="561">
                  <c:v>20.496540945512795</c:v>
                </c:pt>
                <c:pt idx="562">
                  <c:v>20.496540945512795</c:v>
                </c:pt>
                <c:pt idx="563">
                  <c:v>20.496540945512795</c:v>
                </c:pt>
                <c:pt idx="564">
                  <c:v>20.496540945512795</c:v>
                </c:pt>
                <c:pt idx="565">
                  <c:v>20.496540945512795</c:v>
                </c:pt>
                <c:pt idx="566">
                  <c:v>20.496540945512795</c:v>
                </c:pt>
                <c:pt idx="567">
                  <c:v>20.496540945512795</c:v>
                </c:pt>
                <c:pt idx="568">
                  <c:v>20.496540945512795</c:v>
                </c:pt>
                <c:pt idx="569">
                  <c:v>20.496540945512795</c:v>
                </c:pt>
                <c:pt idx="570">
                  <c:v>20.496540945512795</c:v>
                </c:pt>
                <c:pt idx="571">
                  <c:v>20.496540945512795</c:v>
                </c:pt>
                <c:pt idx="572">
                  <c:v>20.496540945512795</c:v>
                </c:pt>
                <c:pt idx="573">
                  <c:v>20.496540945512795</c:v>
                </c:pt>
                <c:pt idx="574">
                  <c:v>20.496540945512795</c:v>
                </c:pt>
                <c:pt idx="575">
                  <c:v>20.496540945512795</c:v>
                </c:pt>
                <c:pt idx="576">
                  <c:v>20.496540945512795</c:v>
                </c:pt>
                <c:pt idx="577">
                  <c:v>20.496540945512795</c:v>
                </c:pt>
                <c:pt idx="578">
                  <c:v>20.496540945512795</c:v>
                </c:pt>
                <c:pt idx="579">
                  <c:v>20.496540945512795</c:v>
                </c:pt>
                <c:pt idx="580">
                  <c:v>20.496540945512795</c:v>
                </c:pt>
                <c:pt idx="581">
                  <c:v>20.496540945512795</c:v>
                </c:pt>
                <c:pt idx="582">
                  <c:v>20.496540945512795</c:v>
                </c:pt>
                <c:pt idx="583">
                  <c:v>20.496540945512795</c:v>
                </c:pt>
                <c:pt idx="584">
                  <c:v>20.496540945512795</c:v>
                </c:pt>
                <c:pt idx="585">
                  <c:v>20.496540945512795</c:v>
                </c:pt>
                <c:pt idx="586">
                  <c:v>20.496540945512795</c:v>
                </c:pt>
                <c:pt idx="587">
                  <c:v>20.496540945512795</c:v>
                </c:pt>
                <c:pt idx="588">
                  <c:v>20.496540945512795</c:v>
                </c:pt>
                <c:pt idx="589">
                  <c:v>20.496540945512795</c:v>
                </c:pt>
                <c:pt idx="590">
                  <c:v>20.496540945512795</c:v>
                </c:pt>
                <c:pt idx="591">
                  <c:v>20.496540945512795</c:v>
                </c:pt>
                <c:pt idx="592">
                  <c:v>20.496540945512795</c:v>
                </c:pt>
                <c:pt idx="593">
                  <c:v>20.496540945512795</c:v>
                </c:pt>
                <c:pt idx="594">
                  <c:v>20.496540945512795</c:v>
                </c:pt>
                <c:pt idx="595">
                  <c:v>20.496540945512795</c:v>
                </c:pt>
                <c:pt idx="596">
                  <c:v>20.496540945512795</c:v>
                </c:pt>
                <c:pt idx="597">
                  <c:v>20.496540945512795</c:v>
                </c:pt>
                <c:pt idx="598">
                  <c:v>20.496540945512795</c:v>
                </c:pt>
                <c:pt idx="599">
                  <c:v>20.496540945512795</c:v>
                </c:pt>
                <c:pt idx="600">
                  <c:v>20.496540945512795</c:v>
                </c:pt>
                <c:pt idx="601">
                  <c:v>20.496540945512795</c:v>
                </c:pt>
                <c:pt idx="602">
                  <c:v>20.496540945512795</c:v>
                </c:pt>
                <c:pt idx="603">
                  <c:v>20.496540945512795</c:v>
                </c:pt>
                <c:pt idx="604">
                  <c:v>20.496540945512795</c:v>
                </c:pt>
                <c:pt idx="605">
                  <c:v>20.496540945512795</c:v>
                </c:pt>
                <c:pt idx="606">
                  <c:v>20.496540945512795</c:v>
                </c:pt>
                <c:pt idx="607">
                  <c:v>20.496540945512795</c:v>
                </c:pt>
                <c:pt idx="608">
                  <c:v>20.496540945512795</c:v>
                </c:pt>
                <c:pt idx="609">
                  <c:v>20.496540945512795</c:v>
                </c:pt>
                <c:pt idx="610">
                  <c:v>20.496540945512795</c:v>
                </c:pt>
                <c:pt idx="611">
                  <c:v>20.496540945512795</c:v>
                </c:pt>
                <c:pt idx="612">
                  <c:v>20.496540945512795</c:v>
                </c:pt>
                <c:pt idx="613">
                  <c:v>20.496540945512795</c:v>
                </c:pt>
                <c:pt idx="614">
                  <c:v>20.496540945512795</c:v>
                </c:pt>
                <c:pt idx="615">
                  <c:v>20.496540945512795</c:v>
                </c:pt>
                <c:pt idx="616">
                  <c:v>20.496540945512795</c:v>
                </c:pt>
                <c:pt idx="617">
                  <c:v>20.496540945512795</c:v>
                </c:pt>
                <c:pt idx="618">
                  <c:v>20.496540945512795</c:v>
                </c:pt>
                <c:pt idx="619">
                  <c:v>20.496540945512795</c:v>
                </c:pt>
                <c:pt idx="620">
                  <c:v>20.496540945512795</c:v>
                </c:pt>
                <c:pt idx="621">
                  <c:v>20.496540945512795</c:v>
                </c:pt>
                <c:pt idx="622">
                  <c:v>20.496540945512795</c:v>
                </c:pt>
                <c:pt idx="623">
                  <c:v>20.496540945512795</c:v>
                </c:pt>
                <c:pt idx="624">
                  <c:v>20.496540945512795</c:v>
                </c:pt>
                <c:pt idx="625">
                  <c:v>20.496540945512795</c:v>
                </c:pt>
                <c:pt idx="626">
                  <c:v>20.496540945512795</c:v>
                </c:pt>
                <c:pt idx="627">
                  <c:v>20.496540945512795</c:v>
                </c:pt>
                <c:pt idx="628">
                  <c:v>20.496540945512795</c:v>
                </c:pt>
                <c:pt idx="629">
                  <c:v>20.496540945512795</c:v>
                </c:pt>
                <c:pt idx="630">
                  <c:v>20.496540945512795</c:v>
                </c:pt>
                <c:pt idx="631">
                  <c:v>20.496540945512795</c:v>
                </c:pt>
                <c:pt idx="632">
                  <c:v>20.496540945512795</c:v>
                </c:pt>
                <c:pt idx="633">
                  <c:v>20.496540945512795</c:v>
                </c:pt>
                <c:pt idx="634">
                  <c:v>20.496540945512795</c:v>
                </c:pt>
                <c:pt idx="635">
                  <c:v>20.496540945512795</c:v>
                </c:pt>
                <c:pt idx="636">
                  <c:v>20.496540945512795</c:v>
                </c:pt>
                <c:pt idx="637">
                  <c:v>20.496540945512795</c:v>
                </c:pt>
                <c:pt idx="638">
                  <c:v>20.496540945512795</c:v>
                </c:pt>
                <c:pt idx="639">
                  <c:v>20.496540945512795</c:v>
                </c:pt>
                <c:pt idx="640">
                  <c:v>20.496540945512795</c:v>
                </c:pt>
                <c:pt idx="641">
                  <c:v>20.496540945512795</c:v>
                </c:pt>
                <c:pt idx="642">
                  <c:v>20.496540945512795</c:v>
                </c:pt>
                <c:pt idx="643">
                  <c:v>20.496540945512795</c:v>
                </c:pt>
                <c:pt idx="644">
                  <c:v>20.496540945512795</c:v>
                </c:pt>
                <c:pt idx="645">
                  <c:v>20.496540945512795</c:v>
                </c:pt>
                <c:pt idx="646">
                  <c:v>20.496540945512795</c:v>
                </c:pt>
                <c:pt idx="647">
                  <c:v>20.496540945512795</c:v>
                </c:pt>
                <c:pt idx="648">
                  <c:v>20.496540945512795</c:v>
                </c:pt>
                <c:pt idx="649">
                  <c:v>20.496540945512795</c:v>
                </c:pt>
                <c:pt idx="650">
                  <c:v>20.496540945512795</c:v>
                </c:pt>
                <c:pt idx="651">
                  <c:v>20.496540945512795</c:v>
                </c:pt>
                <c:pt idx="652">
                  <c:v>20.496540945512795</c:v>
                </c:pt>
                <c:pt idx="653">
                  <c:v>20.496540945512795</c:v>
                </c:pt>
                <c:pt idx="654">
                  <c:v>20.496540945512795</c:v>
                </c:pt>
                <c:pt idx="655">
                  <c:v>20.496540945512795</c:v>
                </c:pt>
                <c:pt idx="656">
                  <c:v>20.496540945512795</c:v>
                </c:pt>
                <c:pt idx="657">
                  <c:v>20.496540945512795</c:v>
                </c:pt>
                <c:pt idx="658">
                  <c:v>20.496540945512795</c:v>
                </c:pt>
                <c:pt idx="659">
                  <c:v>20.496540945512795</c:v>
                </c:pt>
                <c:pt idx="660">
                  <c:v>20.496540945512795</c:v>
                </c:pt>
                <c:pt idx="661">
                  <c:v>20.496540945512795</c:v>
                </c:pt>
                <c:pt idx="662">
                  <c:v>20.496540945512795</c:v>
                </c:pt>
                <c:pt idx="663">
                  <c:v>20.496540945512795</c:v>
                </c:pt>
                <c:pt idx="664">
                  <c:v>20.496540945512795</c:v>
                </c:pt>
                <c:pt idx="665">
                  <c:v>20.496540945512795</c:v>
                </c:pt>
                <c:pt idx="666">
                  <c:v>20.496540945512795</c:v>
                </c:pt>
                <c:pt idx="667">
                  <c:v>20.496540945512795</c:v>
                </c:pt>
                <c:pt idx="668">
                  <c:v>20.496540945512795</c:v>
                </c:pt>
                <c:pt idx="669">
                  <c:v>20.496540945512795</c:v>
                </c:pt>
                <c:pt idx="670">
                  <c:v>20.496540945512795</c:v>
                </c:pt>
                <c:pt idx="671">
                  <c:v>20.496540945512795</c:v>
                </c:pt>
                <c:pt idx="672">
                  <c:v>20.496540945512795</c:v>
                </c:pt>
                <c:pt idx="673">
                  <c:v>20.496540945512795</c:v>
                </c:pt>
                <c:pt idx="674">
                  <c:v>20.496540945512795</c:v>
                </c:pt>
                <c:pt idx="675">
                  <c:v>20.496540945512795</c:v>
                </c:pt>
                <c:pt idx="676">
                  <c:v>20.496540945512795</c:v>
                </c:pt>
                <c:pt idx="677">
                  <c:v>20.496540945512795</c:v>
                </c:pt>
                <c:pt idx="678">
                  <c:v>20.496540945512795</c:v>
                </c:pt>
                <c:pt idx="679">
                  <c:v>20.496540945512795</c:v>
                </c:pt>
                <c:pt idx="680">
                  <c:v>20.496540945512795</c:v>
                </c:pt>
                <c:pt idx="681">
                  <c:v>20.496540945512795</c:v>
                </c:pt>
                <c:pt idx="682">
                  <c:v>20.496540945512795</c:v>
                </c:pt>
                <c:pt idx="683">
                  <c:v>20.496540945512795</c:v>
                </c:pt>
                <c:pt idx="684">
                  <c:v>20.496540945512795</c:v>
                </c:pt>
                <c:pt idx="685">
                  <c:v>20.496540945512795</c:v>
                </c:pt>
                <c:pt idx="686">
                  <c:v>20.496540945512795</c:v>
                </c:pt>
                <c:pt idx="687">
                  <c:v>20.496540945512795</c:v>
                </c:pt>
                <c:pt idx="688">
                  <c:v>20.496540945512795</c:v>
                </c:pt>
                <c:pt idx="689">
                  <c:v>20.496540945512795</c:v>
                </c:pt>
                <c:pt idx="690">
                  <c:v>20.496540945512795</c:v>
                </c:pt>
                <c:pt idx="691">
                  <c:v>20.496540945512795</c:v>
                </c:pt>
                <c:pt idx="692">
                  <c:v>20.496540945512795</c:v>
                </c:pt>
                <c:pt idx="693">
                  <c:v>20.496540945512795</c:v>
                </c:pt>
                <c:pt idx="694">
                  <c:v>20.496540945512795</c:v>
                </c:pt>
                <c:pt idx="695">
                  <c:v>20.496540945512795</c:v>
                </c:pt>
                <c:pt idx="696">
                  <c:v>20.496540945512795</c:v>
                </c:pt>
                <c:pt idx="697">
                  <c:v>20.496540945512795</c:v>
                </c:pt>
                <c:pt idx="698">
                  <c:v>20.496540945512795</c:v>
                </c:pt>
                <c:pt idx="699">
                  <c:v>20.496540945512795</c:v>
                </c:pt>
                <c:pt idx="700">
                  <c:v>20.496540945512795</c:v>
                </c:pt>
                <c:pt idx="701">
                  <c:v>20.496540945512795</c:v>
                </c:pt>
                <c:pt idx="702">
                  <c:v>20.496540945512795</c:v>
                </c:pt>
                <c:pt idx="703">
                  <c:v>20.496540945512795</c:v>
                </c:pt>
                <c:pt idx="704">
                  <c:v>20.496540945512795</c:v>
                </c:pt>
                <c:pt idx="705">
                  <c:v>20.496540945512795</c:v>
                </c:pt>
                <c:pt idx="706">
                  <c:v>20.496540945512795</c:v>
                </c:pt>
                <c:pt idx="707">
                  <c:v>20.496540945512795</c:v>
                </c:pt>
                <c:pt idx="708">
                  <c:v>20.496540945512795</c:v>
                </c:pt>
                <c:pt idx="709">
                  <c:v>20.496540945512795</c:v>
                </c:pt>
                <c:pt idx="710">
                  <c:v>20.496540945512795</c:v>
                </c:pt>
                <c:pt idx="711">
                  <c:v>20.496540945512795</c:v>
                </c:pt>
                <c:pt idx="712">
                  <c:v>20.496540945512795</c:v>
                </c:pt>
                <c:pt idx="713">
                  <c:v>20.496540945512795</c:v>
                </c:pt>
                <c:pt idx="714">
                  <c:v>20.496540945512795</c:v>
                </c:pt>
                <c:pt idx="715">
                  <c:v>20.496540945512795</c:v>
                </c:pt>
                <c:pt idx="716">
                  <c:v>20.496540945512795</c:v>
                </c:pt>
                <c:pt idx="717">
                  <c:v>20.496540945512795</c:v>
                </c:pt>
                <c:pt idx="718">
                  <c:v>20.496540945512795</c:v>
                </c:pt>
                <c:pt idx="719">
                  <c:v>20.496540945512795</c:v>
                </c:pt>
                <c:pt idx="720">
                  <c:v>20.496540945512795</c:v>
                </c:pt>
                <c:pt idx="721">
                  <c:v>20.496540945512795</c:v>
                </c:pt>
                <c:pt idx="722">
                  <c:v>20.496540945512795</c:v>
                </c:pt>
                <c:pt idx="723">
                  <c:v>20.496540945512795</c:v>
                </c:pt>
                <c:pt idx="724">
                  <c:v>20.496540945512795</c:v>
                </c:pt>
                <c:pt idx="725">
                  <c:v>20.496540945512795</c:v>
                </c:pt>
                <c:pt idx="726">
                  <c:v>20.496540945512795</c:v>
                </c:pt>
                <c:pt idx="727">
                  <c:v>20.496540945512795</c:v>
                </c:pt>
                <c:pt idx="728">
                  <c:v>20.496540945512795</c:v>
                </c:pt>
                <c:pt idx="729">
                  <c:v>20.496540945512795</c:v>
                </c:pt>
                <c:pt idx="730">
                  <c:v>20.496540945512795</c:v>
                </c:pt>
                <c:pt idx="731">
                  <c:v>20.496540945512795</c:v>
                </c:pt>
                <c:pt idx="732">
                  <c:v>20.496540945512795</c:v>
                </c:pt>
                <c:pt idx="733">
                  <c:v>20.496540945512795</c:v>
                </c:pt>
                <c:pt idx="734">
                  <c:v>20.496540945512795</c:v>
                </c:pt>
                <c:pt idx="735">
                  <c:v>20.496540945512795</c:v>
                </c:pt>
                <c:pt idx="736">
                  <c:v>20.496540945512795</c:v>
                </c:pt>
                <c:pt idx="737">
                  <c:v>20.496540945512795</c:v>
                </c:pt>
                <c:pt idx="738">
                  <c:v>20.496540945512795</c:v>
                </c:pt>
                <c:pt idx="739">
                  <c:v>20.496540945512795</c:v>
                </c:pt>
                <c:pt idx="740">
                  <c:v>20.496540945512795</c:v>
                </c:pt>
                <c:pt idx="741">
                  <c:v>20.496540945512795</c:v>
                </c:pt>
                <c:pt idx="742">
                  <c:v>20.496540945512795</c:v>
                </c:pt>
                <c:pt idx="743">
                  <c:v>20.496540945512795</c:v>
                </c:pt>
                <c:pt idx="744">
                  <c:v>20.496540945512795</c:v>
                </c:pt>
                <c:pt idx="745">
                  <c:v>20.496540945512795</c:v>
                </c:pt>
                <c:pt idx="746">
                  <c:v>20.496540945512795</c:v>
                </c:pt>
                <c:pt idx="747">
                  <c:v>20.496540945512795</c:v>
                </c:pt>
                <c:pt idx="748">
                  <c:v>20.496540945512795</c:v>
                </c:pt>
                <c:pt idx="749">
                  <c:v>20.496540945512795</c:v>
                </c:pt>
                <c:pt idx="750">
                  <c:v>20.496540945512795</c:v>
                </c:pt>
                <c:pt idx="751">
                  <c:v>20.496540945512795</c:v>
                </c:pt>
                <c:pt idx="752">
                  <c:v>20.496540945512795</c:v>
                </c:pt>
                <c:pt idx="753">
                  <c:v>20.496540945512795</c:v>
                </c:pt>
                <c:pt idx="754">
                  <c:v>20.496540945512795</c:v>
                </c:pt>
                <c:pt idx="755">
                  <c:v>20.496540945512795</c:v>
                </c:pt>
                <c:pt idx="756">
                  <c:v>20.496540945512795</c:v>
                </c:pt>
                <c:pt idx="757">
                  <c:v>20.496540945512795</c:v>
                </c:pt>
                <c:pt idx="758">
                  <c:v>20.496540945512795</c:v>
                </c:pt>
                <c:pt idx="759">
                  <c:v>20.496540945512795</c:v>
                </c:pt>
                <c:pt idx="760">
                  <c:v>20.496540945512795</c:v>
                </c:pt>
                <c:pt idx="761">
                  <c:v>20.496540945512795</c:v>
                </c:pt>
                <c:pt idx="762">
                  <c:v>20.496540945512795</c:v>
                </c:pt>
                <c:pt idx="763">
                  <c:v>20.496540945512795</c:v>
                </c:pt>
                <c:pt idx="764">
                  <c:v>20.496540945512795</c:v>
                </c:pt>
                <c:pt idx="765">
                  <c:v>20.496540945512795</c:v>
                </c:pt>
                <c:pt idx="766">
                  <c:v>20.496540945512795</c:v>
                </c:pt>
                <c:pt idx="767">
                  <c:v>20.496540945512795</c:v>
                </c:pt>
                <c:pt idx="768">
                  <c:v>20.496540945512795</c:v>
                </c:pt>
                <c:pt idx="769">
                  <c:v>20.496540945512795</c:v>
                </c:pt>
                <c:pt idx="770">
                  <c:v>20.496540945512795</c:v>
                </c:pt>
                <c:pt idx="771">
                  <c:v>20.496540945512795</c:v>
                </c:pt>
                <c:pt idx="772">
                  <c:v>20.496540945512795</c:v>
                </c:pt>
                <c:pt idx="773">
                  <c:v>20.496540945512795</c:v>
                </c:pt>
                <c:pt idx="774">
                  <c:v>20.496540945512795</c:v>
                </c:pt>
                <c:pt idx="775">
                  <c:v>20.496540945512795</c:v>
                </c:pt>
                <c:pt idx="776">
                  <c:v>20.496540945512795</c:v>
                </c:pt>
                <c:pt idx="777">
                  <c:v>20.496540945512795</c:v>
                </c:pt>
                <c:pt idx="778">
                  <c:v>20.496540945512795</c:v>
                </c:pt>
                <c:pt idx="779">
                  <c:v>20.496540945512795</c:v>
                </c:pt>
                <c:pt idx="780">
                  <c:v>20.496540945512795</c:v>
                </c:pt>
                <c:pt idx="781">
                  <c:v>20.496540945512795</c:v>
                </c:pt>
                <c:pt idx="782">
                  <c:v>20.496540945512795</c:v>
                </c:pt>
                <c:pt idx="783">
                  <c:v>20.496540945512795</c:v>
                </c:pt>
                <c:pt idx="784">
                  <c:v>20.496540945512795</c:v>
                </c:pt>
                <c:pt idx="785">
                  <c:v>20.496540945512795</c:v>
                </c:pt>
                <c:pt idx="786">
                  <c:v>20.496540945512795</c:v>
                </c:pt>
                <c:pt idx="787">
                  <c:v>20.496540945512795</c:v>
                </c:pt>
                <c:pt idx="788">
                  <c:v>20.496540945512795</c:v>
                </c:pt>
                <c:pt idx="789">
                  <c:v>20.496540945512795</c:v>
                </c:pt>
                <c:pt idx="790">
                  <c:v>20.496540945512795</c:v>
                </c:pt>
                <c:pt idx="791">
                  <c:v>20.496540945512795</c:v>
                </c:pt>
                <c:pt idx="792">
                  <c:v>20.496540945512795</c:v>
                </c:pt>
                <c:pt idx="793">
                  <c:v>20.496540945512795</c:v>
                </c:pt>
                <c:pt idx="794">
                  <c:v>20.496540945512795</c:v>
                </c:pt>
                <c:pt idx="795">
                  <c:v>20.496540945512795</c:v>
                </c:pt>
                <c:pt idx="796">
                  <c:v>20.496540945512795</c:v>
                </c:pt>
                <c:pt idx="797">
                  <c:v>20.496540945512795</c:v>
                </c:pt>
                <c:pt idx="798">
                  <c:v>20.496540945512795</c:v>
                </c:pt>
                <c:pt idx="799">
                  <c:v>20.496540945512795</c:v>
                </c:pt>
                <c:pt idx="800">
                  <c:v>20.496540945512795</c:v>
                </c:pt>
                <c:pt idx="801">
                  <c:v>20.496540945512795</c:v>
                </c:pt>
                <c:pt idx="802">
                  <c:v>20.496540945512795</c:v>
                </c:pt>
                <c:pt idx="803">
                  <c:v>20.496540945512795</c:v>
                </c:pt>
                <c:pt idx="804">
                  <c:v>20.496540945512795</c:v>
                </c:pt>
                <c:pt idx="805">
                  <c:v>20.496540945512795</c:v>
                </c:pt>
                <c:pt idx="806">
                  <c:v>20.496540945512795</c:v>
                </c:pt>
                <c:pt idx="807">
                  <c:v>20.496540945512795</c:v>
                </c:pt>
                <c:pt idx="808">
                  <c:v>20.496540945512795</c:v>
                </c:pt>
                <c:pt idx="809">
                  <c:v>20.496540945512795</c:v>
                </c:pt>
                <c:pt idx="810">
                  <c:v>20.496540945512795</c:v>
                </c:pt>
                <c:pt idx="811">
                  <c:v>20.496540945512795</c:v>
                </c:pt>
                <c:pt idx="812">
                  <c:v>20.496540945512795</c:v>
                </c:pt>
                <c:pt idx="813">
                  <c:v>20.496540945512795</c:v>
                </c:pt>
                <c:pt idx="814">
                  <c:v>20.496540945512795</c:v>
                </c:pt>
                <c:pt idx="815">
                  <c:v>20.496540945512795</c:v>
                </c:pt>
                <c:pt idx="816">
                  <c:v>20.496540945512795</c:v>
                </c:pt>
                <c:pt idx="817">
                  <c:v>20.496540945512795</c:v>
                </c:pt>
                <c:pt idx="818">
                  <c:v>20.496540945512795</c:v>
                </c:pt>
                <c:pt idx="819">
                  <c:v>20.496540945512795</c:v>
                </c:pt>
                <c:pt idx="820">
                  <c:v>20.496540945512795</c:v>
                </c:pt>
                <c:pt idx="821">
                  <c:v>20.496540945512795</c:v>
                </c:pt>
                <c:pt idx="822">
                  <c:v>20.496540945512795</c:v>
                </c:pt>
                <c:pt idx="823">
                  <c:v>20.496540945512795</c:v>
                </c:pt>
                <c:pt idx="824">
                  <c:v>20.496540945512795</c:v>
                </c:pt>
                <c:pt idx="825">
                  <c:v>20.496540945512795</c:v>
                </c:pt>
                <c:pt idx="826">
                  <c:v>20.496540945512795</c:v>
                </c:pt>
                <c:pt idx="827">
                  <c:v>20.496540945512795</c:v>
                </c:pt>
                <c:pt idx="828">
                  <c:v>20.496540945512795</c:v>
                </c:pt>
                <c:pt idx="829">
                  <c:v>20.496540945512795</c:v>
                </c:pt>
                <c:pt idx="830">
                  <c:v>20.496540945512795</c:v>
                </c:pt>
                <c:pt idx="831">
                  <c:v>20.496540945512795</c:v>
                </c:pt>
                <c:pt idx="832">
                  <c:v>20.496540945512795</c:v>
                </c:pt>
                <c:pt idx="833">
                  <c:v>20.496540945512795</c:v>
                </c:pt>
                <c:pt idx="834">
                  <c:v>20.496540945512795</c:v>
                </c:pt>
                <c:pt idx="835">
                  <c:v>20.496540945512795</c:v>
                </c:pt>
                <c:pt idx="836">
                  <c:v>20.496540945512795</c:v>
                </c:pt>
                <c:pt idx="837">
                  <c:v>20.496540945512795</c:v>
                </c:pt>
                <c:pt idx="838">
                  <c:v>20.496540945512795</c:v>
                </c:pt>
                <c:pt idx="839">
                  <c:v>20.496540945512795</c:v>
                </c:pt>
                <c:pt idx="840">
                  <c:v>20.496540945512795</c:v>
                </c:pt>
                <c:pt idx="841">
                  <c:v>20.496540945512795</c:v>
                </c:pt>
                <c:pt idx="842">
                  <c:v>20.496540945512795</c:v>
                </c:pt>
                <c:pt idx="843">
                  <c:v>20.496540945512795</c:v>
                </c:pt>
                <c:pt idx="844">
                  <c:v>20.496540945512795</c:v>
                </c:pt>
                <c:pt idx="845">
                  <c:v>20.496540945512795</c:v>
                </c:pt>
                <c:pt idx="846">
                  <c:v>20.496540945512795</c:v>
                </c:pt>
                <c:pt idx="847">
                  <c:v>20.496540945512795</c:v>
                </c:pt>
                <c:pt idx="848">
                  <c:v>20.496540945512795</c:v>
                </c:pt>
                <c:pt idx="849">
                  <c:v>20.496540945512795</c:v>
                </c:pt>
                <c:pt idx="850">
                  <c:v>20.496540945512795</c:v>
                </c:pt>
                <c:pt idx="851">
                  <c:v>20.496540945512795</c:v>
                </c:pt>
                <c:pt idx="852">
                  <c:v>20.496540945512795</c:v>
                </c:pt>
                <c:pt idx="853">
                  <c:v>20.496540945512795</c:v>
                </c:pt>
                <c:pt idx="854">
                  <c:v>20.496540945512795</c:v>
                </c:pt>
                <c:pt idx="855">
                  <c:v>20.496540945512795</c:v>
                </c:pt>
                <c:pt idx="856">
                  <c:v>20.496540945512795</c:v>
                </c:pt>
                <c:pt idx="857">
                  <c:v>20.496540945512795</c:v>
                </c:pt>
                <c:pt idx="858">
                  <c:v>20.496540945512795</c:v>
                </c:pt>
                <c:pt idx="859">
                  <c:v>20.496540945512795</c:v>
                </c:pt>
                <c:pt idx="860">
                  <c:v>20.496540945512795</c:v>
                </c:pt>
                <c:pt idx="861">
                  <c:v>20.496540945512795</c:v>
                </c:pt>
                <c:pt idx="862">
                  <c:v>20.496540945512795</c:v>
                </c:pt>
                <c:pt idx="863">
                  <c:v>20.496540945512795</c:v>
                </c:pt>
                <c:pt idx="864">
                  <c:v>20.496540945512795</c:v>
                </c:pt>
                <c:pt idx="865">
                  <c:v>20.496540945512795</c:v>
                </c:pt>
                <c:pt idx="866">
                  <c:v>20.496540945512795</c:v>
                </c:pt>
                <c:pt idx="867">
                  <c:v>20.496540945512795</c:v>
                </c:pt>
                <c:pt idx="868">
                  <c:v>20.496540945512795</c:v>
                </c:pt>
                <c:pt idx="869">
                  <c:v>20.496540945512795</c:v>
                </c:pt>
                <c:pt idx="870">
                  <c:v>20.496540945512795</c:v>
                </c:pt>
                <c:pt idx="871">
                  <c:v>20.496540945512795</c:v>
                </c:pt>
                <c:pt idx="872">
                  <c:v>20.496540945512795</c:v>
                </c:pt>
                <c:pt idx="873">
                  <c:v>20.496540945512795</c:v>
                </c:pt>
                <c:pt idx="874">
                  <c:v>20.496540945512795</c:v>
                </c:pt>
                <c:pt idx="875">
                  <c:v>20.496540945512795</c:v>
                </c:pt>
                <c:pt idx="876">
                  <c:v>20.496540945512795</c:v>
                </c:pt>
                <c:pt idx="877">
                  <c:v>20.496540945512795</c:v>
                </c:pt>
                <c:pt idx="878">
                  <c:v>20.496540945512795</c:v>
                </c:pt>
                <c:pt idx="879">
                  <c:v>20.496540945512795</c:v>
                </c:pt>
                <c:pt idx="880">
                  <c:v>20.496540945512795</c:v>
                </c:pt>
                <c:pt idx="881">
                  <c:v>20.496540945512795</c:v>
                </c:pt>
                <c:pt idx="882">
                  <c:v>20.496540945512795</c:v>
                </c:pt>
                <c:pt idx="883">
                  <c:v>20.496540945512795</c:v>
                </c:pt>
                <c:pt idx="884">
                  <c:v>20.496540945512795</c:v>
                </c:pt>
                <c:pt idx="885">
                  <c:v>20.496540945512795</c:v>
                </c:pt>
                <c:pt idx="886">
                  <c:v>20.496540945512795</c:v>
                </c:pt>
                <c:pt idx="887">
                  <c:v>20.496540945512795</c:v>
                </c:pt>
                <c:pt idx="888">
                  <c:v>20.496540945512795</c:v>
                </c:pt>
                <c:pt idx="889">
                  <c:v>20.496540945512795</c:v>
                </c:pt>
                <c:pt idx="890">
                  <c:v>20.496540945512795</c:v>
                </c:pt>
                <c:pt idx="891">
                  <c:v>20.496540945512795</c:v>
                </c:pt>
                <c:pt idx="892">
                  <c:v>20.496540945512795</c:v>
                </c:pt>
                <c:pt idx="893">
                  <c:v>20.496540945512795</c:v>
                </c:pt>
                <c:pt idx="894">
                  <c:v>20.496540945512795</c:v>
                </c:pt>
                <c:pt idx="895">
                  <c:v>20.496540945512795</c:v>
                </c:pt>
                <c:pt idx="896">
                  <c:v>20.496540945512795</c:v>
                </c:pt>
                <c:pt idx="897">
                  <c:v>20.496540945512795</c:v>
                </c:pt>
                <c:pt idx="898">
                  <c:v>20.496540945512795</c:v>
                </c:pt>
                <c:pt idx="899">
                  <c:v>20.496540945512795</c:v>
                </c:pt>
                <c:pt idx="900">
                  <c:v>20.496540945512795</c:v>
                </c:pt>
                <c:pt idx="901">
                  <c:v>20.496540945512795</c:v>
                </c:pt>
                <c:pt idx="902">
                  <c:v>20.496540945512795</c:v>
                </c:pt>
                <c:pt idx="903">
                  <c:v>20.496540945512795</c:v>
                </c:pt>
                <c:pt idx="904">
                  <c:v>20.496540945512795</c:v>
                </c:pt>
                <c:pt idx="905">
                  <c:v>20.496540945512795</c:v>
                </c:pt>
                <c:pt idx="906">
                  <c:v>20.496540945512795</c:v>
                </c:pt>
                <c:pt idx="907">
                  <c:v>20.496540945512795</c:v>
                </c:pt>
                <c:pt idx="908">
                  <c:v>20.496540945512795</c:v>
                </c:pt>
                <c:pt idx="909">
                  <c:v>20.496540945512795</c:v>
                </c:pt>
                <c:pt idx="910">
                  <c:v>20.496540945512795</c:v>
                </c:pt>
                <c:pt idx="911">
                  <c:v>20.496540945512795</c:v>
                </c:pt>
                <c:pt idx="912">
                  <c:v>20.496540945512795</c:v>
                </c:pt>
                <c:pt idx="913">
                  <c:v>20.496540945512795</c:v>
                </c:pt>
                <c:pt idx="914">
                  <c:v>20.496540945512795</c:v>
                </c:pt>
                <c:pt idx="915">
                  <c:v>20.496540945512795</c:v>
                </c:pt>
                <c:pt idx="916">
                  <c:v>20.496540945512795</c:v>
                </c:pt>
                <c:pt idx="917">
                  <c:v>20.496540945512795</c:v>
                </c:pt>
                <c:pt idx="918">
                  <c:v>20.496540945512795</c:v>
                </c:pt>
                <c:pt idx="919">
                  <c:v>20.496540945512795</c:v>
                </c:pt>
                <c:pt idx="920">
                  <c:v>20.496540945512795</c:v>
                </c:pt>
                <c:pt idx="921">
                  <c:v>20.496540945512795</c:v>
                </c:pt>
                <c:pt idx="922">
                  <c:v>20.496540945512795</c:v>
                </c:pt>
                <c:pt idx="923">
                  <c:v>20.496540945512795</c:v>
                </c:pt>
                <c:pt idx="924">
                  <c:v>20.496540945512795</c:v>
                </c:pt>
                <c:pt idx="925">
                  <c:v>20.496540945512795</c:v>
                </c:pt>
                <c:pt idx="926">
                  <c:v>20.496540945512795</c:v>
                </c:pt>
                <c:pt idx="927">
                  <c:v>20.496540945512795</c:v>
                </c:pt>
                <c:pt idx="928">
                  <c:v>20.496540945512795</c:v>
                </c:pt>
                <c:pt idx="929">
                  <c:v>20.496540945512795</c:v>
                </c:pt>
                <c:pt idx="930">
                  <c:v>20.496540945512795</c:v>
                </c:pt>
                <c:pt idx="931">
                  <c:v>20.496540945512795</c:v>
                </c:pt>
                <c:pt idx="932">
                  <c:v>20.496540945512795</c:v>
                </c:pt>
                <c:pt idx="933">
                  <c:v>20.496540945512795</c:v>
                </c:pt>
                <c:pt idx="934">
                  <c:v>20.496540945512795</c:v>
                </c:pt>
                <c:pt idx="935">
                  <c:v>20.496540945512795</c:v>
                </c:pt>
                <c:pt idx="936">
                  <c:v>20.496540945512795</c:v>
                </c:pt>
                <c:pt idx="937">
                  <c:v>20.496540945512795</c:v>
                </c:pt>
                <c:pt idx="938">
                  <c:v>20.496540945512795</c:v>
                </c:pt>
                <c:pt idx="939">
                  <c:v>20.496540945512795</c:v>
                </c:pt>
                <c:pt idx="940">
                  <c:v>20.496540945512795</c:v>
                </c:pt>
                <c:pt idx="941">
                  <c:v>20.496540945512795</c:v>
                </c:pt>
                <c:pt idx="942">
                  <c:v>20.496540945512795</c:v>
                </c:pt>
                <c:pt idx="943">
                  <c:v>20.496540945512795</c:v>
                </c:pt>
                <c:pt idx="944">
                  <c:v>20.496540945512795</c:v>
                </c:pt>
                <c:pt idx="945">
                  <c:v>20.496540945512795</c:v>
                </c:pt>
                <c:pt idx="946">
                  <c:v>20.496540945512795</c:v>
                </c:pt>
                <c:pt idx="947">
                  <c:v>20.496540945512795</c:v>
                </c:pt>
                <c:pt idx="948">
                  <c:v>20.496540945512795</c:v>
                </c:pt>
                <c:pt idx="949">
                  <c:v>20.496540945512795</c:v>
                </c:pt>
                <c:pt idx="950">
                  <c:v>20.496540945512795</c:v>
                </c:pt>
                <c:pt idx="951">
                  <c:v>20.496540945512795</c:v>
                </c:pt>
                <c:pt idx="952">
                  <c:v>20.496540945512795</c:v>
                </c:pt>
                <c:pt idx="953">
                  <c:v>20.496540945512795</c:v>
                </c:pt>
                <c:pt idx="954">
                  <c:v>20.496540945512795</c:v>
                </c:pt>
                <c:pt idx="955">
                  <c:v>20.496540945512795</c:v>
                </c:pt>
                <c:pt idx="956">
                  <c:v>20.496540945512795</c:v>
                </c:pt>
                <c:pt idx="957">
                  <c:v>20.496540945512795</c:v>
                </c:pt>
                <c:pt idx="958">
                  <c:v>20.496540945512795</c:v>
                </c:pt>
                <c:pt idx="959">
                  <c:v>20.496540945512795</c:v>
                </c:pt>
                <c:pt idx="960">
                  <c:v>20.496540945512795</c:v>
                </c:pt>
                <c:pt idx="961">
                  <c:v>20.496540945512795</c:v>
                </c:pt>
                <c:pt idx="962">
                  <c:v>20.496540945512795</c:v>
                </c:pt>
                <c:pt idx="963">
                  <c:v>20.496540945512795</c:v>
                </c:pt>
                <c:pt idx="964">
                  <c:v>20.496540945512795</c:v>
                </c:pt>
                <c:pt idx="965">
                  <c:v>20.496540945512795</c:v>
                </c:pt>
                <c:pt idx="966">
                  <c:v>20.496540945512795</c:v>
                </c:pt>
                <c:pt idx="967">
                  <c:v>20.496540945512795</c:v>
                </c:pt>
                <c:pt idx="968">
                  <c:v>20.496540945512795</c:v>
                </c:pt>
                <c:pt idx="969">
                  <c:v>20.496540945512795</c:v>
                </c:pt>
                <c:pt idx="970">
                  <c:v>20.496540945512795</c:v>
                </c:pt>
                <c:pt idx="971">
                  <c:v>20.496540945512795</c:v>
                </c:pt>
                <c:pt idx="972">
                  <c:v>20.496540945512795</c:v>
                </c:pt>
                <c:pt idx="973">
                  <c:v>20.496540945512795</c:v>
                </c:pt>
                <c:pt idx="974">
                  <c:v>20.496540945512795</c:v>
                </c:pt>
                <c:pt idx="975">
                  <c:v>20.496540945512795</c:v>
                </c:pt>
                <c:pt idx="976">
                  <c:v>20.496540945512795</c:v>
                </c:pt>
                <c:pt idx="977">
                  <c:v>20.496540945512795</c:v>
                </c:pt>
                <c:pt idx="978">
                  <c:v>20.496540945512795</c:v>
                </c:pt>
                <c:pt idx="979">
                  <c:v>20.496540945512795</c:v>
                </c:pt>
                <c:pt idx="980">
                  <c:v>20.496540945512795</c:v>
                </c:pt>
                <c:pt idx="981">
                  <c:v>20.496540945512795</c:v>
                </c:pt>
                <c:pt idx="982">
                  <c:v>20.496540945512795</c:v>
                </c:pt>
                <c:pt idx="983">
                  <c:v>20.496540945512795</c:v>
                </c:pt>
                <c:pt idx="984">
                  <c:v>20.496540945512795</c:v>
                </c:pt>
                <c:pt idx="985">
                  <c:v>20.496540945512795</c:v>
                </c:pt>
                <c:pt idx="986">
                  <c:v>20.496540945512795</c:v>
                </c:pt>
                <c:pt idx="987">
                  <c:v>20.496540945512795</c:v>
                </c:pt>
                <c:pt idx="988">
                  <c:v>20.496540945512795</c:v>
                </c:pt>
                <c:pt idx="989">
                  <c:v>20.496540945512795</c:v>
                </c:pt>
                <c:pt idx="990">
                  <c:v>20.496540945512795</c:v>
                </c:pt>
                <c:pt idx="991">
                  <c:v>20.496540945512795</c:v>
                </c:pt>
                <c:pt idx="992">
                  <c:v>20.496540945512795</c:v>
                </c:pt>
                <c:pt idx="993">
                  <c:v>20.496540945512795</c:v>
                </c:pt>
                <c:pt idx="994">
                  <c:v>20.496540945512795</c:v>
                </c:pt>
                <c:pt idx="995">
                  <c:v>20.496540945512795</c:v>
                </c:pt>
                <c:pt idx="996">
                  <c:v>20.496540945512795</c:v>
                </c:pt>
                <c:pt idx="997">
                  <c:v>20.496540945512795</c:v>
                </c:pt>
                <c:pt idx="998">
                  <c:v>20.496540945512795</c:v>
                </c:pt>
                <c:pt idx="999">
                  <c:v>20.496540945512795</c:v>
                </c:pt>
                <c:pt idx="1000">
                  <c:v>20.496540945512795</c:v>
                </c:pt>
                <c:pt idx="1001">
                  <c:v>20.496540945512795</c:v>
                </c:pt>
                <c:pt idx="1002">
                  <c:v>20.496540945512795</c:v>
                </c:pt>
                <c:pt idx="1003">
                  <c:v>20.496540945512795</c:v>
                </c:pt>
                <c:pt idx="1004">
                  <c:v>20.496540945512795</c:v>
                </c:pt>
                <c:pt idx="1005">
                  <c:v>20.496540945512795</c:v>
                </c:pt>
                <c:pt idx="1006">
                  <c:v>20.496540945512795</c:v>
                </c:pt>
                <c:pt idx="1007">
                  <c:v>20.496540945512795</c:v>
                </c:pt>
                <c:pt idx="1008">
                  <c:v>20.496540945512795</c:v>
                </c:pt>
                <c:pt idx="1009">
                  <c:v>20.496540945512795</c:v>
                </c:pt>
                <c:pt idx="1010">
                  <c:v>20.496540945512795</c:v>
                </c:pt>
                <c:pt idx="1011">
                  <c:v>20.496540945512795</c:v>
                </c:pt>
                <c:pt idx="1012">
                  <c:v>20.496540945512795</c:v>
                </c:pt>
                <c:pt idx="1013">
                  <c:v>20.496540945512795</c:v>
                </c:pt>
                <c:pt idx="1014">
                  <c:v>20.496540945512795</c:v>
                </c:pt>
                <c:pt idx="1015">
                  <c:v>20.496540945512795</c:v>
                </c:pt>
                <c:pt idx="1016">
                  <c:v>20.496540945512795</c:v>
                </c:pt>
                <c:pt idx="1017">
                  <c:v>20.496540945512795</c:v>
                </c:pt>
                <c:pt idx="1018">
                  <c:v>20.496540945512795</c:v>
                </c:pt>
                <c:pt idx="1019">
                  <c:v>20.496540945512795</c:v>
                </c:pt>
                <c:pt idx="1020">
                  <c:v>20.496540945512795</c:v>
                </c:pt>
                <c:pt idx="1021">
                  <c:v>20.496540945512795</c:v>
                </c:pt>
                <c:pt idx="1022">
                  <c:v>20.496540945512795</c:v>
                </c:pt>
                <c:pt idx="1023">
                  <c:v>20.496540945512795</c:v>
                </c:pt>
                <c:pt idx="1024">
                  <c:v>20.496540945512795</c:v>
                </c:pt>
                <c:pt idx="1025">
                  <c:v>20.496540945512795</c:v>
                </c:pt>
                <c:pt idx="1026">
                  <c:v>20.496540945512795</c:v>
                </c:pt>
                <c:pt idx="1027">
                  <c:v>20.496540945512795</c:v>
                </c:pt>
                <c:pt idx="1028">
                  <c:v>20.496540945512795</c:v>
                </c:pt>
                <c:pt idx="1029">
                  <c:v>20.496540945512795</c:v>
                </c:pt>
                <c:pt idx="1030">
                  <c:v>20.496540945512795</c:v>
                </c:pt>
                <c:pt idx="1031">
                  <c:v>20.496540945512795</c:v>
                </c:pt>
                <c:pt idx="1032">
                  <c:v>20.496540945512795</c:v>
                </c:pt>
                <c:pt idx="1033">
                  <c:v>20.496540945512795</c:v>
                </c:pt>
                <c:pt idx="1034">
                  <c:v>20.496540945512795</c:v>
                </c:pt>
                <c:pt idx="1035">
                  <c:v>20.496540945512795</c:v>
                </c:pt>
                <c:pt idx="1036">
                  <c:v>20.496540945512795</c:v>
                </c:pt>
                <c:pt idx="1037">
                  <c:v>20.496540945512795</c:v>
                </c:pt>
                <c:pt idx="1038">
                  <c:v>20.496540945512795</c:v>
                </c:pt>
                <c:pt idx="1039">
                  <c:v>20.496540945512795</c:v>
                </c:pt>
                <c:pt idx="1040">
                  <c:v>20.496540945512795</c:v>
                </c:pt>
                <c:pt idx="1041">
                  <c:v>20.496540945512795</c:v>
                </c:pt>
                <c:pt idx="1042">
                  <c:v>20.496540945512795</c:v>
                </c:pt>
                <c:pt idx="1043">
                  <c:v>20.496540945512795</c:v>
                </c:pt>
                <c:pt idx="1044">
                  <c:v>20.496540945512795</c:v>
                </c:pt>
                <c:pt idx="1045">
                  <c:v>20.496540945512795</c:v>
                </c:pt>
                <c:pt idx="1046">
                  <c:v>20.496540945512795</c:v>
                </c:pt>
                <c:pt idx="1047">
                  <c:v>20.496540945512795</c:v>
                </c:pt>
                <c:pt idx="1048">
                  <c:v>20.496540945512795</c:v>
                </c:pt>
                <c:pt idx="1049">
                  <c:v>20.496540945512795</c:v>
                </c:pt>
                <c:pt idx="1050">
                  <c:v>20.496540945512795</c:v>
                </c:pt>
                <c:pt idx="1051">
                  <c:v>20.496540945512795</c:v>
                </c:pt>
                <c:pt idx="1052">
                  <c:v>20.496540945512795</c:v>
                </c:pt>
                <c:pt idx="1053">
                  <c:v>20.496540945512795</c:v>
                </c:pt>
                <c:pt idx="1054">
                  <c:v>20.496540945512795</c:v>
                </c:pt>
                <c:pt idx="1055">
                  <c:v>20.496540945512795</c:v>
                </c:pt>
                <c:pt idx="1056">
                  <c:v>20.496540945512795</c:v>
                </c:pt>
                <c:pt idx="1057">
                  <c:v>20.496540945512795</c:v>
                </c:pt>
                <c:pt idx="1058">
                  <c:v>20.496540945512795</c:v>
                </c:pt>
                <c:pt idx="1059">
                  <c:v>20.496540945512795</c:v>
                </c:pt>
                <c:pt idx="1060">
                  <c:v>20.496540945512795</c:v>
                </c:pt>
                <c:pt idx="1061">
                  <c:v>20.496540945512795</c:v>
                </c:pt>
                <c:pt idx="1062">
                  <c:v>20.496540945512795</c:v>
                </c:pt>
                <c:pt idx="1063">
                  <c:v>20.496540945512795</c:v>
                </c:pt>
                <c:pt idx="1064">
                  <c:v>20.496540945512795</c:v>
                </c:pt>
                <c:pt idx="1065">
                  <c:v>20.496540945512795</c:v>
                </c:pt>
                <c:pt idx="1066">
                  <c:v>20.496540945512795</c:v>
                </c:pt>
                <c:pt idx="1067">
                  <c:v>20.496540945512795</c:v>
                </c:pt>
                <c:pt idx="1068">
                  <c:v>20.496540945512795</c:v>
                </c:pt>
                <c:pt idx="1069">
                  <c:v>20.496540945512795</c:v>
                </c:pt>
                <c:pt idx="1070">
                  <c:v>20.496540945512795</c:v>
                </c:pt>
                <c:pt idx="1071">
                  <c:v>20.496540945512795</c:v>
                </c:pt>
                <c:pt idx="1072">
                  <c:v>20.496540945512795</c:v>
                </c:pt>
                <c:pt idx="1073">
                  <c:v>20.496540945512795</c:v>
                </c:pt>
                <c:pt idx="1074">
                  <c:v>20.496540945512795</c:v>
                </c:pt>
                <c:pt idx="1075">
                  <c:v>20.496540945512795</c:v>
                </c:pt>
                <c:pt idx="1076">
                  <c:v>20.496540945512795</c:v>
                </c:pt>
                <c:pt idx="1077">
                  <c:v>20.496540945512795</c:v>
                </c:pt>
                <c:pt idx="1078">
                  <c:v>20.496540945512795</c:v>
                </c:pt>
                <c:pt idx="1079">
                  <c:v>20.496540945512795</c:v>
                </c:pt>
                <c:pt idx="1080">
                  <c:v>20.496540945512795</c:v>
                </c:pt>
                <c:pt idx="1081">
                  <c:v>20.496540945512795</c:v>
                </c:pt>
                <c:pt idx="1082">
                  <c:v>20.496540945512795</c:v>
                </c:pt>
                <c:pt idx="1083">
                  <c:v>20.496540945512795</c:v>
                </c:pt>
                <c:pt idx="1084">
                  <c:v>20.496540945512795</c:v>
                </c:pt>
                <c:pt idx="1085">
                  <c:v>20.496540945512795</c:v>
                </c:pt>
                <c:pt idx="1086">
                  <c:v>20.496540945512795</c:v>
                </c:pt>
                <c:pt idx="1087">
                  <c:v>20.496540945512795</c:v>
                </c:pt>
                <c:pt idx="1088">
                  <c:v>20.496540945512795</c:v>
                </c:pt>
                <c:pt idx="1089">
                  <c:v>20.496540945512795</c:v>
                </c:pt>
                <c:pt idx="1090">
                  <c:v>20.496540945512795</c:v>
                </c:pt>
                <c:pt idx="1091">
                  <c:v>20.496540945512795</c:v>
                </c:pt>
                <c:pt idx="1092">
                  <c:v>20.496540945512795</c:v>
                </c:pt>
                <c:pt idx="1093">
                  <c:v>20.496540945512795</c:v>
                </c:pt>
                <c:pt idx="1094">
                  <c:v>20.496540945512795</c:v>
                </c:pt>
                <c:pt idx="1095">
                  <c:v>20.496540945512795</c:v>
                </c:pt>
                <c:pt idx="1096">
                  <c:v>20.496540945512795</c:v>
                </c:pt>
                <c:pt idx="1097">
                  <c:v>20.496540945512795</c:v>
                </c:pt>
                <c:pt idx="1098">
                  <c:v>20.496540945512795</c:v>
                </c:pt>
                <c:pt idx="1099">
                  <c:v>20.496540945512795</c:v>
                </c:pt>
                <c:pt idx="1100">
                  <c:v>20.496540945512795</c:v>
                </c:pt>
                <c:pt idx="1101">
                  <c:v>20.496540945512795</c:v>
                </c:pt>
                <c:pt idx="1102">
                  <c:v>20.496540945512795</c:v>
                </c:pt>
                <c:pt idx="1103">
                  <c:v>20.496540945512795</c:v>
                </c:pt>
                <c:pt idx="1104">
                  <c:v>20.496540945512795</c:v>
                </c:pt>
                <c:pt idx="1105">
                  <c:v>20.496540945512795</c:v>
                </c:pt>
                <c:pt idx="1106">
                  <c:v>20.496540945512795</c:v>
                </c:pt>
                <c:pt idx="1107">
                  <c:v>20.496540945512795</c:v>
                </c:pt>
                <c:pt idx="1108">
                  <c:v>20.496540945512795</c:v>
                </c:pt>
                <c:pt idx="1109">
                  <c:v>20.496540945512795</c:v>
                </c:pt>
                <c:pt idx="1110">
                  <c:v>20.496540945512795</c:v>
                </c:pt>
                <c:pt idx="1111">
                  <c:v>20.496540945512795</c:v>
                </c:pt>
                <c:pt idx="1112">
                  <c:v>20.496540945512795</c:v>
                </c:pt>
                <c:pt idx="1113">
                  <c:v>20.496540945512795</c:v>
                </c:pt>
                <c:pt idx="1114">
                  <c:v>20.496540945512795</c:v>
                </c:pt>
                <c:pt idx="1115">
                  <c:v>20.496540945512795</c:v>
                </c:pt>
                <c:pt idx="1116">
                  <c:v>20.496540945512795</c:v>
                </c:pt>
                <c:pt idx="1117">
                  <c:v>20.496540945512795</c:v>
                </c:pt>
                <c:pt idx="1118">
                  <c:v>20.496540945512795</c:v>
                </c:pt>
                <c:pt idx="1119">
                  <c:v>20.496540945512795</c:v>
                </c:pt>
                <c:pt idx="1120">
                  <c:v>20.496540945512795</c:v>
                </c:pt>
                <c:pt idx="1121">
                  <c:v>20.496540945512795</c:v>
                </c:pt>
                <c:pt idx="1122">
                  <c:v>20.496540945512795</c:v>
                </c:pt>
                <c:pt idx="1123">
                  <c:v>20.496540945512795</c:v>
                </c:pt>
                <c:pt idx="1124">
                  <c:v>20.496540945512795</c:v>
                </c:pt>
                <c:pt idx="1125">
                  <c:v>20.496540945512795</c:v>
                </c:pt>
                <c:pt idx="1126">
                  <c:v>20.496540945512795</c:v>
                </c:pt>
                <c:pt idx="1127">
                  <c:v>20.496540945512795</c:v>
                </c:pt>
                <c:pt idx="1128">
                  <c:v>20.496540945512795</c:v>
                </c:pt>
                <c:pt idx="1129">
                  <c:v>20.496540945512795</c:v>
                </c:pt>
                <c:pt idx="1130">
                  <c:v>20.496540945512795</c:v>
                </c:pt>
                <c:pt idx="1131">
                  <c:v>20.496540945512795</c:v>
                </c:pt>
                <c:pt idx="1132">
                  <c:v>20.496540945512795</c:v>
                </c:pt>
                <c:pt idx="1133">
                  <c:v>20.496540945512795</c:v>
                </c:pt>
                <c:pt idx="1134">
                  <c:v>20.496540945512795</c:v>
                </c:pt>
                <c:pt idx="1135">
                  <c:v>20.496540945512795</c:v>
                </c:pt>
                <c:pt idx="1136">
                  <c:v>20.496540945512795</c:v>
                </c:pt>
                <c:pt idx="1137">
                  <c:v>20.496540945512795</c:v>
                </c:pt>
                <c:pt idx="1138">
                  <c:v>20.496540945512795</c:v>
                </c:pt>
                <c:pt idx="1139">
                  <c:v>20.496540945512795</c:v>
                </c:pt>
                <c:pt idx="1140">
                  <c:v>20.496540945512795</c:v>
                </c:pt>
                <c:pt idx="1141">
                  <c:v>20.496540945512795</c:v>
                </c:pt>
                <c:pt idx="1142">
                  <c:v>20.496540945512795</c:v>
                </c:pt>
                <c:pt idx="1143">
                  <c:v>20.496540945512795</c:v>
                </c:pt>
                <c:pt idx="1144">
                  <c:v>20.496540945512795</c:v>
                </c:pt>
                <c:pt idx="1145">
                  <c:v>20.496540945512795</c:v>
                </c:pt>
                <c:pt idx="1146">
                  <c:v>20.496540945512795</c:v>
                </c:pt>
                <c:pt idx="1147">
                  <c:v>20.496540945512795</c:v>
                </c:pt>
                <c:pt idx="1148">
                  <c:v>20.496540945512795</c:v>
                </c:pt>
                <c:pt idx="1149">
                  <c:v>20.496540945512795</c:v>
                </c:pt>
                <c:pt idx="1150">
                  <c:v>20.496540945512795</c:v>
                </c:pt>
                <c:pt idx="1151">
                  <c:v>20.496540945512795</c:v>
                </c:pt>
                <c:pt idx="1152">
                  <c:v>20.496540945512795</c:v>
                </c:pt>
                <c:pt idx="1153">
                  <c:v>20.496540945512795</c:v>
                </c:pt>
                <c:pt idx="1154">
                  <c:v>20.496540945512795</c:v>
                </c:pt>
                <c:pt idx="1155">
                  <c:v>20.496540945512795</c:v>
                </c:pt>
                <c:pt idx="1156">
                  <c:v>20.496540945512795</c:v>
                </c:pt>
                <c:pt idx="1157">
                  <c:v>20.496540945512795</c:v>
                </c:pt>
                <c:pt idx="1158">
                  <c:v>20.496540945512795</c:v>
                </c:pt>
                <c:pt idx="1159">
                  <c:v>20.496540945512795</c:v>
                </c:pt>
                <c:pt idx="1160">
                  <c:v>20.496540945512795</c:v>
                </c:pt>
                <c:pt idx="1161">
                  <c:v>20.496540945512795</c:v>
                </c:pt>
                <c:pt idx="1162">
                  <c:v>20.496540945512795</c:v>
                </c:pt>
                <c:pt idx="1163">
                  <c:v>20.496540945512795</c:v>
                </c:pt>
                <c:pt idx="1164">
                  <c:v>20.496540945512795</c:v>
                </c:pt>
                <c:pt idx="1165">
                  <c:v>20.496540945512795</c:v>
                </c:pt>
                <c:pt idx="1166">
                  <c:v>20.496540945512795</c:v>
                </c:pt>
                <c:pt idx="1167">
                  <c:v>20.496540945512795</c:v>
                </c:pt>
                <c:pt idx="1168">
                  <c:v>20.496540945512795</c:v>
                </c:pt>
                <c:pt idx="1169">
                  <c:v>20.496540945512795</c:v>
                </c:pt>
                <c:pt idx="1170">
                  <c:v>20.496540945512795</c:v>
                </c:pt>
                <c:pt idx="1171">
                  <c:v>20.496540945512795</c:v>
                </c:pt>
                <c:pt idx="1172">
                  <c:v>20.496540945512795</c:v>
                </c:pt>
                <c:pt idx="1173">
                  <c:v>20.496540945512795</c:v>
                </c:pt>
                <c:pt idx="1174">
                  <c:v>20.496540945512795</c:v>
                </c:pt>
                <c:pt idx="1175">
                  <c:v>20.496540945512795</c:v>
                </c:pt>
                <c:pt idx="1176">
                  <c:v>20.496540945512795</c:v>
                </c:pt>
                <c:pt idx="1177">
                  <c:v>20.496540945512795</c:v>
                </c:pt>
                <c:pt idx="1178">
                  <c:v>20.496540945512795</c:v>
                </c:pt>
                <c:pt idx="1179">
                  <c:v>20.496540945512795</c:v>
                </c:pt>
                <c:pt idx="1180">
                  <c:v>20.496540945512795</c:v>
                </c:pt>
                <c:pt idx="1181">
                  <c:v>20.496540945512795</c:v>
                </c:pt>
                <c:pt idx="1182">
                  <c:v>20.496540945512795</c:v>
                </c:pt>
                <c:pt idx="1183">
                  <c:v>20.496540945512795</c:v>
                </c:pt>
                <c:pt idx="1184">
                  <c:v>20.496540945512795</c:v>
                </c:pt>
                <c:pt idx="1185">
                  <c:v>20.496540945512795</c:v>
                </c:pt>
                <c:pt idx="1186">
                  <c:v>20.496540945512795</c:v>
                </c:pt>
                <c:pt idx="1187">
                  <c:v>20.496540945512795</c:v>
                </c:pt>
                <c:pt idx="1188">
                  <c:v>20.496540945512795</c:v>
                </c:pt>
                <c:pt idx="1189">
                  <c:v>20.496540945512795</c:v>
                </c:pt>
                <c:pt idx="1190">
                  <c:v>20.496540945512795</c:v>
                </c:pt>
                <c:pt idx="1191">
                  <c:v>20.496540945512795</c:v>
                </c:pt>
                <c:pt idx="1192">
                  <c:v>20.496540945512795</c:v>
                </c:pt>
                <c:pt idx="1193">
                  <c:v>20.496540945512795</c:v>
                </c:pt>
                <c:pt idx="1194">
                  <c:v>20.496540945512795</c:v>
                </c:pt>
                <c:pt idx="1195">
                  <c:v>20.496540945512795</c:v>
                </c:pt>
                <c:pt idx="1196">
                  <c:v>20.496540945512795</c:v>
                </c:pt>
                <c:pt idx="1197">
                  <c:v>20.496540945512795</c:v>
                </c:pt>
                <c:pt idx="1198">
                  <c:v>20.496540945512795</c:v>
                </c:pt>
                <c:pt idx="1199">
                  <c:v>20.496540945512795</c:v>
                </c:pt>
                <c:pt idx="1200">
                  <c:v>20.496540945512795</c:v>
                </c:pt>
                <c:pt idx="1201">
                  <c:v>20.496540945512795</c:v>
                </c:pt>
                <c:pt idx="1202">
                  <c:v>20.496540945512795</c:v>
                </c:pt>
                <c:pt idx="1203">
                  <c:v>20.496540945512795</c:v>
                </c:pt>
                <c:pt idx="1204">
                  <c:v>20.496540945512795</c:v>
                </c:pt>
                <c:pt idx="1205">
                  <c:v>20.496540945512795</c:v>
                </c:pt>
                <c:pt idx="1206">
                  <c:v>20.496540945512795</c:v>
                </c:pt>
                <c:pt idx="1207">
                  <c:v>20.496540945512795</c:v>
                </c:pt>
                <c:pt idx="1208">
                  <c:v>20.496540945512795</c:v>
                </c:pt>
                <c:pt idx="1209">
                  <c:v>20.496540945512795</c:v>
                </c:pt>
                <c:pt idx="1210">
                  <c:v>20.496540945512795</c:v>
                </c:pt>
                <c:pt idx="1211">
                  <c:v>20.496540945512795</c:v>
                </c:pt>
                <c:pt idx="1212">
                  <c:v>20.496540945512795</c:v>
                </c:pt>
                <c:pt idx="1213">
                  <c:v>20.496540945512795</c:v>
                </c:pt>
                <c:pt idx="1214">
                  <c:v>20.496540945512795</c:v>
                </c:pt>
                <c:pt idx="1215">
                  <c:v>20.496540945512795</c:v>
                </c:pt>
                <c:pt idx="1216">
                  <c:v>20.496540945512795</c:v>
                </c:pt>
                <c:pt idx="1217">
                  <c:v>20.496540945512795</c:v>
                </c:pt>
                <c:pt idx="1218">
                  <c:v>20.496540945512795</c:v>
                </c:pt>
                <c:pt idx="1219">
                  <c:v>20.496540945512795</c:v>
                </c:pt>
                <c:pt idx="1220">
                  <c:v>20.496540945512795</c:v>
                </c:pt>
                <c:pt idx="1221">
                  <c:v>20.496540945512795</c:v>
                </c:pt>
                <c:pt idx="1222">
                  <c:v>20.496540945512795</c:v>
                </c:pt>
                <c:pt idx="1223">
                  <c:v>20.496540945512795</c:v>
                </c:pt>
                <c:pt idx="1224">
                  <c:v>20.496540945512795</c:v>
                </c:pt>
                <c:pt idx="1225">
                  <c:v>20.496540945512795</c:v>
                </c:pt>
                <c:pt idx="1226">
                  <c:v>20.496540945512795</c:v>
                </c:pt>
                <c:pt idx="1227">
                  <c:v>20.496540945512795</c:v>
                </c:pt>
                <c:pt idx="1228">
                  <c:v>20.496540945512795</c:v>
                </c:pt>
                <c:pt idx="1229">
                  <c:v>20.496540945512795</c:v>
                </c:pt>
                <c:pt idx="1230">
                  <c:v>20.496540945512795</c:v>
                </c:pt>
                <c:pt idx="1231">
                  <c:v>20.496540945512795</c:v>
                </c:pt>
                <c:pt idx="1232">
                  <c:v>20.496540945512795</c:v>
                </c:pt>
                <c:pt idx="1233">
                  <c:v>20.496540945512795</c:v>
                </c:pt>
                <c:pt idx="1234">
                  <c:v>20.496540945512795</c:v>
                </c:pt>
                <c:pt idx="1235">
                  <c:v>20.496540945512795</c:v>
                </c:pt>
                <c:pt idx="1236">
                  <c:v>20.496540945512795</c:v>
                </c:pt>
                <c:pt idx="1237">
                  <c:v>20.496540945512795</c:v>
                </c:pt>
                <c:pt idx="1238">
                  <c:v>20.496540945512795</c:v>
                </c:pt>
                <c:pt idx="1239">
                  <c:v>20.496540945512795</c:v>
                </c:pt>
                <c:pt idx="1240">
                  <c:v>20.496540945512795</c:v>
                </c:pt>
                <c:pt idx="1241">
                  <c:v>20.496540945512795</c:v>
                </c:pt>
                <c:pt idx="1242">
                  <c:v>20.496540945512795</c:v>
                </c:pt>
                <c:pt idx="1243">
                  <c:v>20.496540945512795</c:v>
                </c:pt>
                <c:pt idx="1244">
                  <c:v>20.496540945512795</c:v>
                </c:pt>
                <c:pt idx="1245">
                  <c:v>20.496540945512795</c:v>
                </c:pt>
                <c:pt idx="1246">
                  <c:v>20.496540945512795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453-47A4-A715-399800330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4353871"/>
        <c:axId val="1384354351"/>
      </c:lineChart>
      <c:dateAx>
        <c:axId val="1384353871"/>
        <c:scaling>
          <c:orientation val="minMax"/>
          <c:max val="45974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384354351"/>
        <c:crosses val="autoZero"/>
        <c:auto val="1"/>
        <c:lblOffset val="100"/>
        <c:baseTimeUnit val="days"/>
        <c:majorUnit val="12"/>
        <c:majorTimeUnit val="months"/>
      </c:dateAx>
      <c:valAx>
        <c:axId val="1384354351"/>
        <c:scaling>
          <c:orientation val="minMax"/>
          <c:max val="30"/>
          <c:min val="1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384353871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Charts!$A$61</c:f>
              <c:strCache>
                <c:ptCount val="1"/>
                <c:pt idx="0">
                  <c:v>Japan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ysClr val="windowText" lastClr="000000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Charts!$C$60:$G$60</c15:sqref>
                  </c15:fullRef>
                </c:ext>
              </c:extLst>
              <c:f>Charts!$D$60:$G$60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1Q24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Charts!$C$61:$G$61</c15:sqref>
                  </c15:fullRef>
                </c:ext>
              </c:extLst>
              <c:f>Charts!$D$61:$G$61</c:f>
              <c:numCache>
                <c:formatCode>0.0%</c:formatCode>
                <c:ptCount val="4"/>
                <c:pt idx="0">
                  <c:v>0.3033693933436194</c:v>
                </c:pt>
                <c:pt idx="1">
                  <c:v>0.28498342306313162</c:v>
                </c:pt>
                <c:pt idx="2">
                  <c:v>0.29648001526280643</c:v>
                </c:pt>
                <c:pt idx="3">
                  <c:v>0.3181067044381492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78-4624-9190-260326A142BB}"/>
            </c:ext>
          </c:extLst>
        </c:ser>
        <c:ser>
          <c:idx val="1"/>
          <c:order val="1"/>
          <c:tx>
            <c:strRef>
              <c:f>Charts!$A$62</c:f>
              <c:strCache>
                <c:ptCount val="1"/>
                <c:pt idx="0">
                  <c:v>US</c:v>
                </c:pt>
              </c:strCache>
            </c:strRef>
          </c:tx>
          <c:spPr>
            <a:solidFill>
              <a:srgbClr val="FFC000"/>
            </a:solidFill>
            <a:ln w="254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ysClr val="windowText" lastClr="000000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Charts!$C$60:$G$60</c15:sqref>
                  </c15:fullRef>
                </c:ext>
              </c:extLst>
              <c:f>Charts!$D$60:$G$60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1Q24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Charts!$C$62:$G$62</c15:sqref>
                  </c15:fullRef>
                </c:ext>
              </c:extLst>
              <c:f>Charts!$D$62:$G$62</c:f>
              <c:numCache>
                <c:formatCode>0.0%</c:formatCode>
                <c:ptCount val="4"/>
                <c:pt idx="0">
                  <c:v>0.20932104856574119</c:v>
                </c:pt>
                <c:pt idx="1">
                  <c:v>0.25424154468312615</c:v>
                </c:pt>
                <c:pt idx="2">
                  <c:v>0.22623930808610768</c:v>
                </c:pt>
                <c:pt idx="3">
                  <c:v>0.21931067044381491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78-4624-9190-260326A142BB}"/>
            </c:ext>
          </c:extLst>
        </c:ser>
        <c:ser>
          <c:idx val="2"/>
          <c:order val="2"/>
          <c:tx>
            <c:strRef>
              <c:f>Charts!$A$63</c:f>
              <c:strCache>
                <c:ptCount val="1"/>
                <c:pt idx="0">
                  <c:v>EU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ysClr val="windowText" lastClr="000000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Charts!$C$60:$G$60</c15:sqref>
                  </c15:fullRef>
                </c:ext>
              </c:extLst>
              <c:f>Charts!$D$60:$G$60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1Q24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Charts!$C$63:$G$63</c15:sqref>
                  </c15:fullRef>
                </c:ext>
              </c:extLst>
              <c:f>Charts!$D$63:$G$63</c:f>
              <c:numCache>
                <c:formatCode>0.0%</c:formatCode>
                <c:ptCount val="4"/>
                <c:pt idx="0">
                  <c:v>5.4809631393730358E-2</c:v>
                </c:pt>
                <c:pt idx="1">
                  <c:v>5.3021977104908448E-2</c:v>
                </c:pt>
                <c:pt idx="2">
                  <c:v>5.5200483322204202E-2</c:v>
                </c:pt>
                <c:pt idx="3">
                  <c:v>6.5155807365439092E-2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78-4624-9190-260326A142BB}"/>
            </c:ext>
          </c:extLst>
        </c:ser>
        <c:ser>
          <c:idx val="3"/>
          <c:order val="3"/>
          <c:tx>
            <c:strRef>
              <c:f>Charts!$A$64</c:f>
              <c:strCache>
                <c:ptCount val="1"/>
                <c:pt idx="0">
                  <c:v>APAC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ysClr val="windowText" lastClr="000000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Charts!$C$60:$G$60</c15:sqref>
                  </c15:fullRef>
                </c:ext>
              </c:extLst>
              <c:f>Charts!$D$60:$G$60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1Q24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Charts!$C$64:$G$64</c15:sqref>
                  </c15:fullRef>
                </c:ext>
              </c:extLst>
              <c:f>Charts!$D$64:$G$64</c:f>
              <c:numCache>
                <c:formatCode>0.0%</c:formatCode>
                <c:ptCount val="4"/>
                <c:pt idx="0">
                  <c:v>0.1291667537041058</c:v>
                </c:pt>
                <c:pt idx="1">
                  <c:v>0.14272460454959618</c:v>
                </c:pt>
                <c:pt idx="2">
                  <c:v>0.19437819962478933</c:v>
                </c:pt>
                <c:pt idx="3">
                  <c:v>0.22367799811142589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78-4624-9190-260326A142BB}"/>
            </c:ext>
          </c:extLst>
        </c:ser>
        <c:ser>
          <c:idx val="4"/>
          <c:order val="4"/>
          <c:tx>
            <c:strRef>
              <c:f>Charts!$A$65</c:f>
              <c:strCache>
                <c:ptCount val="1"/>
                <c:pt idx="0">
                  <c:v>Domestic</c:v>
                </c:pt>
              </c:strCache>
            </c:strRef>
          </c:tx>
          <c:spPr>
            <a:solidFill>
              <a:srgbClr val="002060"/>
            </a:solidFill>
            <a:ln w="254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Charts!$C$60:$G$60</c15:sqref>
                  </c15:fullRef>
                </c:ext>
              </c:extLst>
              <c:f>Charts!$D$60:$G$60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1Q24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Charts!$C$65:$G$65</c15:sqref>
                  </c15:fullRef>
                </c:ext>
              </c:extLst>
              <c:f>Charts!$D$65:$G$65</c:f>
              <c:numCache>
                <c:formatCode>0.0%</c:formatCode>
                <c:ptCount val="4"/>
                <c:pt idx="0">
                  <c:v>0.30333317299280321</c:v>
                </c:pt>
                <c:pt idx="1">
                  <c:v>0.26502845059923757</c:v>
                </c:pt>
                <c:pt idx="2">
                  <c:v>0.22770199370409233</c:v>
                </c:pt>
                <c:pt idx="3">
                  <c:v>0.17374881964117092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E78-4624-9190-260326A142B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93424928"/>
        <c:axId val="1"/>
      </c:barChart>
      <c:catAx>
        <c:axId val="109342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424928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Pre-tax profit margin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5219920035533451E-2"/>
          <c:y val="0.11659733158355205"/>
          <c:w val="0.87997980472934323"/>
          <c:h val="0.72208770778652653"/>
        </c:manualLayout>
      </c:layout>
      <c:lineChart>
        <c:grouping val="standard"/>
        <c:varyColors val="0"/>
        <c:ser>
          <c:idx val="0"/>
          <c:order val="0"/>
          <c:tx>
            <c:strRef>
              <c:f>Charts!$A$69</c:f>
              <c:strCache>
                <c:ptCount val="1"/>
                <c:pt idx="0">
                  <c:v>Domestic 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Charts!$O$68:$U$68</c:f>
              <c:strCache>
                <c:ptCount val="7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  <c:pt idx="6">
                  <c:v>3Q24</c:v>
                </c:pt>
              </c:strCache>
            </c:strRef>
          </c:cat>
          <c:val>
            <c:numRef>
              <c:f>Charts!$O$69:$U$69</c:f>
              <c:numCache>
                <c:formatCode>0.0%</c:formatCode>
                <c:ptCount val="7"/>
                <c:pt idx="0">
                  <c:v>1.2241648898365317E-2</c:v>
                </c:pt>
                <c:pt idx="1">
                  <c:v>9.8071428571428573E-2</c:v>
                </c:pt>
                <c:pt idx="2">
                  <c:v>4.1231732776617944E-2</c:v>
                </c:pt>
                <c:pt idx="3">
                  <c:v>5.6828193832599121E-2</c:v>
                </c:pt>
                <c:pt idx="4">
                  <c:v>2.7853260869565216E-2</c:v>
                </c:pt>
                <c:pt idx="5">
                  <c:v>5.7086614173228349E-2</c:v>
                </c:pt>
                <c:pt idx="6">
                  <c:v>2.2321428571428572E-2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17-4382-B042-6477DDB149A5}"/>
            </c:ext>
          </c:extLst>
        </c:ser>
        <c:ser>
          <c:idx val="1"/>
          <c:order val="1"/>
          <c:tx>
            <c:strRef>
              <c:f>Charts!$A$70</c:f>
              <c:strCache>
                <c:ptCount val="1"/>
                <c:pt idx="0">
                  <c:v>Global 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Charts!$O$68:$U$68</c:f>
              <c:strCache>
                <c:ptCount val="7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  <c:pt idx="6">
                  <c:v>3Q24</c:v>
                </c:pt>
              </c:strCache>
            </c:strRef>
          </c:cat>
          <c:val>
            <c:numRef>
              <c:f>Charts!$O$70:$U$70</c:f>
              <c:numCache>
                <c:formatCode>0.0%</c:formatCode>
                <c:ptCount val="7"/>
                <c:pt idx="0">
                  <c:v>0.16336431466380374</c:v>
                </c:pt>
                <c:pt idx="1">
                  <c:v>0.16334856799953154</c:v>
                </c:pt>
                <c:pt idx="2">
                  <c:v>0.1631504922644163</c:v>
                </c:pt>
                <c:pt idx="3">
                  <c:v>0.13569498649054335</c:v>
                </c:pt>
                <c:pt idx="4">
                  <c:v>0.15930847263894843</c:v>
                </c:pt>
                <c:pt idx="5">
                  <c:v>0.15566411407446529</c:v>
                </c:pt>
                <c:pt idx="6">
                  <c:v>0.16306361951822113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17-4382-B042-6477DDB149A5}"/>
            </c:ext>
          </c:extLst>
        </c:ser>
        <c:ser>
          <c:idx val="2"/>
          <c:order val="2"/>
          <c:tx>
            <c:strRef>
              <c:f>Charts!$A$71</c:f>
              <c:strCache>
                <c:ptCount val="1"/>
                <c:pt idx="0">
                  <c:v>Telecommunications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Charts!$O$68:$U$68</c:f>
              <c:strCache>
                <c:ptCount val="7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  <c:pt idx="6">
                  <c:v>3Q24</c:v>
                </c:pt>
              </c:strCache>
            </c:strRef>
          </c:cat>
          <c:val>
            <c:numRef>
              <c:f>Charts!$O$71:$U$71</c:f>
              <c:numCache>
                <c:formatCode>0.0%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17-4382-B042-6477DDB149A5}"/>
            </c:ext>
          </c:extLst>
        </c:ser>
        <c:ser>
          <c:idx val="3"/>
          <c:order val="3"/>
          <c:tx>
            <c:strRef>
              <c:f>Charts!$A$72</c:f>
              <c:strCache>
                <c:ptCount val="1"/>
                <c:pt idx="0">
                  <c:v>Education, Investment &amp; Others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Charts!$O$68:$U$68</c:f>
              <c:strCache>
                <c:ptCount val="7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  <c:pt idx="6">
                  <c:v>3Q24</c:v>
                </c:pt>
              </c:strCache>
            </c:strRef>
          </c:cat>
          <c:val>
            <c:numRef>
              <c:f>Charts!$O$72:$U$72</c:f>
              <c:numCache>
                <c:formatCode>0.0%</c:formatCode>
                <c:ptCount val="7"/>
                <c:pt idx="0">
                  <c:v>7.0672491284076121E-3</c:v>
                </c:pt>
                <c:pt idx="1">
                  <c:v>0.24013262340326796</c:v>
                </c:pt>
                <c:pt idx="2">
                  <c:v>0.27272727272727271</c:v>
                </c:pt>
                <c:pt idx="3">
                  <c:v>0.28502415458937197</c:v>
                </c:pt>
                <c:pt idx="4">
                  <c:v>0.15748031496062992</c:v>
                </c:pt>
                <c:pt idx="5">
                  <c:v>0.27814569536423839</c:v>
                </c:pt>
                <c:pt idx="6">
                  <c:v>0.28217821782178215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17-4382-B042-6477DDB14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3419600"/>
        <c:axId val="1"/>
      </c:lineChart>
      <c:catAx>
        <c:axId val="109341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0.5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419600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Arial" panose="020B0604020202020204" pitchFamily="34" charset="0"/>
                <a:cs typeface="Arial" panose="020B0604020202020204" pitchFamily="34" charset="0"/>
              </a:rPr>
              <a:t>FPT's</a:t>
            </a:r>
            <a:r>
              <a:rPr lang="en-US" sz="1200" baseline="0">
                <a:latin typeface="Arial" panose="020B0604020202020204" pitchFamily="34" charset="0"/>
                <a:cs typeface="Arial" panose="020B0604020202020204" pitchFamily="34" charset="0"/>
              </a:rPr>
              <a:t> Total Revenue Breakdown (2018-6M2023)</a:t>
            </a:r>
            <a:endParaRPr lang="en-US" sz="12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Charts!$A$114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Charts!$C$113:$H$113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2Q2023</c:v>
                </c:pt>
              </c:strCache>
            </c:strRef>
          </c:cat>
          <c:val>
            <c:numRef>
              <c:f>Charts!$C$114:$H$114</c:f>
              <c:numCache>
                <c:formatCode>_(* #,##0_);_(* \(#,##0\);_(* \-??_);_(@_)</c:formatCode>
                <c:ptCount val="6"/>
                <c:pt idx="0">
                  <c:v>23213.536857725001</c:v>
                </c:pt>
                <c:pt idx="1">
                  <c:v>27716.960152274998</c:v>
                </c:pt>
                <c:pt idx="2">
                  <c:v>29830.400526824</c:v>
                </c:pt>
                <c:pt idx="3">
                  <c:v>35657.262545027006</c:v>
                </c:pt>
                <c:pt idx="4">
                  <c:v>44009.527680910993</c:v>
                </c:pt>
                <c:pt idx="5">
                  <c:v>24165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6E-498A-B039-13AF2665DAA8}"/>
            </c:ext>
          </c:extLst>
        </c:ser>
        <c:ser>
          <c:idx val="1"/>
          <c:order val="1"/>
          <c:tx>
            <c:strRef>
              <c:f>Charts!$A$115</c:f>
              <c:strCache>
                <c:ptCount val="1"/>
                <c:pt idx="0">
                  <c:v>Total IT services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3888888888888888E-2"/>
                  <c:y val="-8.487556272013328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66E-498A-B039-13AF2665DAA8}"/>
                </c:ext>
              </c:extLst>
            </c:dLbl>
            <c:dLbl>
              <c:idx val="1"/>
              <c:layout>
                <c:manualLayout>
                  <c:x val="1.3888888888888888E-2"/>
                  <c:y val="8.487556272013328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66E-498A-B039-13AF2665DAA8}"/>
                </c:ext>
              </c:extLst>
            </c:dLbl>
            <c:dLbl>
              <c:idx val="2"/>
              <c:layout>
                <c:manualLayout>
                  <c:x val="1.6666666666666666E-2"/>
                  <c:y val="-8.487556272013328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66E-498A-B039-13AF2665DAA8}"/>
                </c:ext>
              </c:extLst>
            </c:dLbl>
            <c:dLbl>
              <c:idx val="3"/>
              <c:layout>
                <c:manualLayout>
                  <c:x val="1.6666666666666566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66E-498A-B039-13AF2665DAA8}"/>
                </c:ext>
              </c:extLst>
            </c:dLbl>
            <c:dLbl>
              <c:idx val="4"/>
              <c:layout>
                <c:manualLayout>
                  <c:x val="1.3888888888888888E-2"/>
                  <c:y val="-8.487556272013328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66E-498A-B039-13AF2665DAA8}"/>
                </c:ext>
              </c:extLst>
            </c:dLbl>
            <c:dLbl>
              <c:idx val="5"/>
              <c:layout>
                <c:manualLayout>
                  <c:x val="1.9444444444444344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166E-498A-B039-13AF2665DA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Charts!$C$113:$H$113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2Q2023</c:v>
                </c:pt>
              </c:strCache>
            </c:strRef>
          </c:cat>
          <c:val>
            <c:numRef>
              <c:f>Charts!$C$115:$H$115</c:f>
              <c:numCache>
                <c:formatCode>_(* #,##0_);_(* \(#,##0\);_(* \-??_);_(@_)</c:formatCode>
                <c:ptCount val="6"/>
                <c:pt idx="0">
                  <c:v>13401.574000000001</c:v>
                </c:pt>
                <c:pt idx="1">
                  <c:v>15783.421</c:v>
                </c:pt>
                <c:pt idx="2">
                  <c:v>16804.932000000001</c:v>
                </c:pt>
                <c:pt idx="3">
                  <c:v>20872.243999999999</c:v>
                </c:pt>
                <c:pt idx="4">
                  <c:v>25762.901999999998</c:v>
                </c:pt>
                <c:pt idx="5">
                  <c:v>14202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6E-498A-B039-13AF2665DAA8}"/>
            </c:ext>
          </c:extLst>
        </c:ser>
        <c:ser>
          <c:idx val="2"/>
          <c:order val="2"/>
          <c:tx>
            <c:strRef>
              <c:f>Charts!$A$116</c:f>
              <c:strCache>
                <c:ptCount val="1"/>
                <c:pt idx="0">
                  <c:v>Total telecom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3888888888888888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66E-498A-B039-13AF2665DAA8}"/>
                </c:ext>
              </c:extLst>
            </c:dLbl>
            <c:dLbl>
              <c:idx val="1"/>
              <c:layout>
                <c:manualLayout>
                  <c:x val="2.2222222222222223E-2"/>
                  <c:y val="-8.487556272013328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66E-498A-B039-13AF2665DAA8}"/>
                </c:ext>
              </c:extLst>
            </c:dLbl>
            <c:dLbl>
              <c:idx val="2"/>
              <c:layout>
                <c:manualLayout>
                  <c:x val="1.6666666666666614E-2"/>
                  <c:y val="-8.487556272013328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66E-498A-B039-13AF2665DAA8}"/>
                </c:ext>
              </c:extLst>
            </c:dLbl>
            <c:dLbl>
              <c:idx val="3"/>
              <c:layout>
                <c:manualLayout>
                  <c:x val="1.3888888888888888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66E-498A-B039-13AF2665DAA8}"/>
                </c:ext>
              </c:extLst>
            </c:dLbl>
            <c:dLbl>
              <c:idx val="4"/>
              <c:layout>
                <c:manualLayout>
                  <c:x val="1.6666666666666666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166E-498A-B039-13AF2665DAA8}"/>
                </c:ext>
              </c:extLst>
            </c:dLbl>
            <c:dLbl>
              <c:idx val="5"/>
              <c:layout>
                <c:manualLayout>
                  <c:x val="1.1111111111111009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166E-498A-B039-13AF2665DA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Charts!$C$113:$H$113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2Q2023</c:v>
                </c:pt>
              </c:strCache>
            </c:strRef>
          </c:cat>
          <c:val>
            <c:numRef>
              <c:f>Charts!$C$116:$H$116</c:f>
              <c:numCache>
                <c:formatCode>_(* #,##0_);_(* \(#,##0\);_(* \-??_);_(@_)</c:formatCode>
                <c:ptCount val="6"/>
                <c:pt idx="0">
                  <c:v>8831.0030000000006</c:v>
                </c:pt>
                <c:pt idx="1">
                  <c:v>10398.427</c:v>
                </c:pt>
                <c:pt idx="2">
                  <c:v>11466.154</c:v>
                </c:pt>
                <c:pt idx="3">
                  <c:v>12686.415999999999</c:v>
                </c:pt>
                <c:pt idx="4">
                  <c:v>14729.648999999999</c:v>
                </c:pt>
                <c:pt idx="5">
                  <c:v>7682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6E-498A-B039-13AF2665DAA8}"/>
            </c:ext>
          </c:extLst>
        </c:ser>
        <c:ser>
          <c:idx val="3"/>
          <c:order val="3"/>
          <c:tx>
            <c:strRef>
              <c:f>Charts!$A$117</c:f>
              <c:strCache>
                <c:ptCount val="1"/>
                <c:pt idx="0">
                  <c:v>Investment, education &amp; others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8.3333333333333332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66E-498A-B039-13AF2665DAA8}"/>
                </c:ext>
              </c:extLst>
            </c:dLbl>
            <c:dLbl>
              <c:idx val="2"/>
              <c:layout>
                <c:manualLayout>
                  <c:x val="8.3333333333333835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66E-498A-B039-13AF2665DAA8}"/>
                </c:ext>
              </c:extLst>
            </c:dLbl>
            <c:dLbl>
              <c:idx val="3"/>
              <c:layout>
                <c:manualLayout>
                  <c:x val="8.3333333333332309E-3"/>
                  <c:y val="-1.6975112544026657E-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66E-498A-B039-13AF2665DAA8}"/>
                </c:ext>
              </c:extLst>
            </c:dLbl>
            <c:dLbl>
              <c:idx val="4"/>
              <c:layout>
                <c:manualLayout>
                  <c:x val="8.3333333333333332E-3"/>
                  <c:y val="4.45930880713489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66E-498A-B039-13AF2665DAA8}"/>
                </c:ext>
              </c:extLst>
            </c:dLbl>
            <c:dLbl>
              <c:idx val="5"/>
              <c:layout>
                <c:manualLayout>
                  <c:x val="1.1111111111111112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166E-498A-B039-13AF2665DA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Charts!$C$113:$H$113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2Q2023</c:v>
                </c:pt>
              </c:strCache>
            </c:strRef>
          </c:cat>
          <c:val>
            <c:numRef>
              <c:f>Charts!$C$117:$H$117</c:f>
              <c:numCache>
                <c:formatCode>_(* #,##0_);_(* \(#,##0\);_(* \-??_);_(@_)</c:formatCode>
                <c:ptCount val="6"/>
                <c:pt idx="0">
                  <c:v>980.95985772499989</c:v>
                </c:pt>
                <c:pt idx="1">
                  <c:v>1535.112152274995</c:v>
                </c:pt>
                <c:pt idx="2">
                  <c:v>1559.3145268239982</c:v>
                </c:pt>
                <c:pt idx="3">
                  <c:v>2098.6025450270099</c:v>
                </c:pt>
                <c:pt idx="4">
                  <c:v>3516.9766809110006</c:v>
                </c:pt>
                <c:pt idx="5">
                  <c:v>2281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6E-498A-B039-13AF2665DA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473323376"/>
        <c:axId val="1132194848"/>
      </c:barChart>
      <c:catAx>
        <c:axId val="147332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194848"/>
        <c:crosses val="autoZero"/>
        <c:auto val="1"/>
        <c:lblAlgn val="ctr"/>
        <c:lblOffset val="100"/>
        <c:noMultiLvlLbl val="0"/>
      </c:catAx>
      <c:valAx>
        <c:axId val="1132194848"/>
        <c:scaling>
          <c:orientation val="minMax"/>
        </c:scaling>
        <c:delete val="1"/>
        <c:axPos val="l"/>
        <c:numFmt formatCode="_(* #,##0_);_(* \(#,##0\);_(* \-??_);_(@_)" sourceLinked="1"/>
        <c:majorTickMark val="none"/>
        <c:minorTickMark val="none"/>
        <c:tickLblPos val="nextTo"/>
        <c:crossAx val="1473323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Arial" panose="020B0604020202020204" pitchFamily="34" charset="0"/>
                <a:cs typeface="Arial" panose="020B0604020202020204" pitchFamily="34" charset="0"/>
              </a:rPr>
              <a:t>% net revenue contribution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42825896762904"/>
          <c:y val="0.1927098467530268"/>
          <c:w val="0.86601618547681536"/>
          <c:h val="0.51463009059351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Charts!$E$129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Charts!$A$130:$A$136</c:f>
              <c:strCache>
                <c:ptCount val="7"/>
                <c:pt idx="0">
                  <c:v>Total IT services</c:v>
                </c:pt>
                <c:pt idx="1">
                  <c:v>Global IT</c:v>
                </c:pt>
                <c:pt idx="2">
                  <c:v>Domestic IT</c:v>
                </c:pt>
                <c:pt idx="3">
                  <c:v>Total telecom</c:v>
                </c:pt>
                <c:pt idx="4">
                  <c:v>Telecom</c:v>
                </c:pt>
                <c:pt idx="5">
                  <c:v>Digital content</c:v>
                </c:pt>
                <c:pt idx="6">
                  <c:v>Investment, education &amp; others</c:v>
                </c:pt>
              </c:strCache>
            </c:strRef>
          </c:cat>
          <c:val>
            <c:numRef>
              <c:f>Charts!$E$130:$E$136</c:f>
              <c:numCache>
                <c:formatCode>0.0%</c:formatCode>
                <c:ptCount val="7"/>
                <c:pt idx="0">
                  <c:v>0.56334919086616764</c:v>
                </c:pt>
                <c:pt idx="1">
                  <c:v>0.40228289892417513</c:v>
                </c:pt>
                <c:pt idx="2">
                  <c:v>0.16106629194199246</c:v>
                </c:pt>
                <c:pt idx="3">
                  <c:v>0.38437814435945777</c:v>
                </c:pt>
                <c:pt idx="4">
                  <c:v>0.36429289610872667</c:v>
                </c:pt>
                <c:pt idx="5">
                  <c:v>2.0085248250731103E-2</c:v>
                </c:pt>
                <c:pt idx="6">
                  <c:v>5.2272664774374596E-2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AB-4888-A245-D417E2404A84}"/>
            </c:ext>
          </c:extLst>
        </c:ser>
        <c:ser>
          <c:idx val="1"/>
          <c:order val="1"/>
          <c:tx>
            <c:strRef>
              <c:f>Charts!$F$129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Charts!$A$130:$A$136</c:f>
              <c:strCache>
                <c:ptCount val="7"/>
                <c:pt idx="0">
                  <c:v>Total IT services</c:v>
                </c:pt>
                <c:pt idx="1">
                  <c:v>Global IT</c:v>
                </c:pt>
                <c:pt idx="2">
                  <c:v>Domestic IT</c:v>
                </c:pt>
                <c:pt idx="3">
                  <c:v>Total telecom</c:v>
                </c:pt>
                <c:pt idx="4">
                  <c:v>Telecom</c:v>
                </c:pt>
                <c:pt idx="5">
                  <c:v>Digital content</c:v>
                </c:pt>
                <c:pt idx="6">
                  <c:v>Investment, education &amp; others</c:v>
                </c:pt>
              </c:strCache>
            </c:strRef>
          </c:cat>
          <c:val>
            <c:numRef>
              <c:f>Charts!$F$130:$F$136</c:f>
              <c:numCache>
                <c:formatCode>0.0%</c:formatCode>
                <c:ptCount val="7"/>
                <c:pt idx="0">
                  <c:v>0.58535744222213104</c:v>
                </c:pt>
                <c:pt idx="1">
                  <c:v>0.40779353102718641</c:v>
                </c:pt>
                <c:pt idx="2">
                  <c:v>0.17756391119494466</c:v>
                </c:pt>
                <c:pt idx="3">
                  <c:v>0.35578771600820297</c:v>
                </c:pt>
                <c:pt idx="4">
                  <c:v>0.33874383892334364</c:v>
                </c:pt>
                <c:pt idx="5">
                  <c:v>1.7043877084859372E-2</c:v>
                </c:pt>
                <c:pt idx="6">
                  <c:v>5.8854841769666225E-2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AB-4888-A245-D417E2404A84}"/>
            </c:ext>
          </c:extLst>
        </c:ser>
        <c:ser>
          <c:idx val="2"/>
          <c:order val="2"/>
          <c:tx>
            <c:strRef>
              <c:f>Charts!$G$129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Charts!$A$130:$A$136</c:f>
              <c:strCache>
                <c:ptCount val="7"/>
                <c:pt idx="0">
                  <c:v>Total IT services</c:v>
                </c:pt>
                <c:pt idx="1">
                  <c:v>Global IT</c:v>
                </c:pt>
                <c:pt idx="2">
                  <c:v>Domestic IT</c:v>
                </c:pt>
                <c:pt idx="3">
                  <c:v>Total telecom</c:v>
                </c:pt>
                <c:pt idx="4">
                  <c:v>Telecom</c:v>
                </c:pt>
                <c:pt idx="5">
                  <c:v>Digital content</c:v>
                </c:pt>
                <c:pt idx="6">
                  <c:v>Investment, education &amp; others</c:v>
                </c:pt>
              </c:strCache>
            </c:strRef>
          </c:cat>
          <c:val>
            <c:numRef>
              <c:f>Charts!$G$130:$G$136</c:f>
              <c:numCache>
                <c:formatCode>0.0%</c:formatCode>
                <c:ptCount val="7"/>
                <c:pt idx="0">
                  <c:v>0.58539373989179577</c:v>
                </c:pt>
                <c:pt idx="1">
                  <c:v>0.42980452181050188</c:v>
                </c:pt>
                <c:pt idx="2">
                  <c:v>0.15558921808129386</c:v>
                </c:pt>
                <c:pt idx="3">
                  <c:v>0.33469227633608395</c:v>
                </c:pt>
                <c:pt idx="4">
                  <c:v>0.31707270528269271</c:v>
                </c:pt>
                <c:pt idx="5">
                  <c:v>1.761957105339124E-2</c:v>
                </c:pt>
                <c:pt idx="6">
                  <c:v>7.9913983772120292E-2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AB-4888-A245-D417E2404A84}"/>
            </c:ext>
          </c:extLst>
        </c:ser>
        <c:ser>
          <c:idx val="3"/>
          <c:order val="3"/>
          <c:tx>
            <c:strRef>
              <c:f>Charts!$H$129</c:f>
              <c:strCache>
                <c:ptCount val="1"/>
                <c:pt idx="0">
                  <c:v>2Q2023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Charts!$A$130:$A$136</c:f>
              <c:strCache>
                <c:ptCount val="7"/>
                <c:pt idx="0">
                  <c:v>Total IT services</c:v>
                </c:pt>
                <c:pt idx="1">
                  <c:v>Global IT</c:v>
                </c:pt>
                <c:pt idx="2">
                  <c:v>Domestic IT</c:v>
                </c:pt>
                <c:pt idx="3">
                  <c:v>Total telecom</c:v>
                </c:pt>
                <c:pt idx="4">
                  <c:v>Telecom</c:v>
                </c:pt>
                <c:pt idx="5">
                  <c:v>Digital content</c:v>
                </c:pt>
                <c:pt idx="6">
                  <c:v>Investment, education &amp; others</c:v>
                </c:pt>
              </c:strCache>
            </c:strRef>
          </c:cat>
          <c:val>
            <c:numRef>
              <c:f>Charts!$H$130:$H$136</c:f>
              <c:numCache>
                <c:formatCode>0.0%</c:formatCode>
                <c:ptCount val="7"/>
                <c:pt idx="0">
                  <c:v>0.58762013289296178</c:v>
                </c:pt>
                <c:pt idx="1">
                  <c:v>0.46459960018962931</c:v>
                </c:pt>
                <c:pt idx="2">
                  <c:v>0.12302053270333252</c:v>
                </c:pt>
                <c:pt idx="3">
                  <c:v>0.31808733775068931</c:v>
                </c:pt>
                <c:pt idx="4">
                  <c:v>0.30745117635195113</c:v>
                </c:pt>
                <c:pt idx="5">
                  <c:v>1.0636161398738207E-2</c:v>
                </c:pt>
                <c:pt idx="6">
                  <c:v>9.4252459182254361E-2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AB-4888-A245-D417E2404A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21606911"/>
        <c:axId val="1021611711"/>
      </c:barChart>
      <c:catAx>
        <c:axId val="1021606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611711"/>
        <c:crosses val="autoZero"/>
        <c:auto val="1"/>
        <c:lblAlgn val="ctr"/>
        <c:lblOffset val="100"/>
        <c:noMultiLvlLbl val="0"/>
      </c:catAx>
      <c:valAx>
        <c:axId val="102161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606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2Q2023 vs 2023 Target</a:t>
            </a:r>
            <a:r>
              <a:rPr lang="en-US" baseline="0"/>
              <a:t> (% Progress)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Charts!$C$156</c:f>
              <c:strCache>
                <c:ptCount val="1"/>
                <c:pt idx="0">
                  <c:v>6M2023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(Charts!$A$167:$A$168,Charts!$A$171,Charts!$A$174)</c:f>
              <c:strCache>
                <c:ptCount val="4"/>
                <c:pt idx="0">
                  <c:v>Pre-tax profit</c:v>
                </c:pt>
                <c:pt idx="1">
                  <c:v>Total IT</c:v>
                </c:pt>
                <c:pt idx="2">
                  <c:v>Total communication</c:v>
                </c:pt>
                <c:pt idx="3">
                  <c:v>Investment, education &amp; others</c:v>
                </c:pt>
              </c:strCache>
            </c:strRef>
          </c:cat>
          <c:val>
            <c:numRef>
              <c:f>(Charts!$C$167:$C$168,Charts!$C$171,Charts!$C$174)</c:f>
              <c:numCache>
                <c:formatCode>_(* #,##0_);_(* \(#,##0\);_(* \-??_);_(@_)</c:formatCode>
                <c:ptCount val="4"/>
                <c:pt idx="0">
                  <c:v>4339</c:v>
                </c:pt>
                <c:pt idx="1">
                  <c:v>2005</c:v>
                </c:pt>
                <c:pt idx="2">
                  <c:v>1514</c:v>
                </c:pt>
                <c:pt idx="3">
                  <c:v>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6C-403F-828C-436D700DDBA9}"/>
            </c:ext>
          </c:extLst>
        </c:ser>
        <c:ser>
          <c:idx val="1"/>
          <c:order val="1"/>
          <c:tx>
            <c:strRef>
              <c:f>Charts!$D$156</c:f>
              <c:strCache>
                <c:ptCount val="1"/>
                <c:pt idx="0">
                  <c:v>2023 Target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(Charts!$A$167:$A$168,Charts!$A$171,Charts!$A$174)</c:f>
              <c:strCache>
                <c:ptCount val="4"/>
                <c:pt idx="0">
                  <c:v>Pre-tax profit</c:v>
                </c:pt>
                <c:pt idx="1">
                  <c:v>Total IT</c:v>
                </c:pt>
                <c:pt idx="2">
                  <c:v>Total communication</c:v>
                </c:pt>
                <c:pt idx="3">
                  <c:v>Investment, education &amp; others</c:v>
                </c:pt>
              </c:strCache>
            </c:strRef>
          </c:cat>
          <c:val>
            <c:numRef>
              <c:f>(Charts!$D$167:$D$168,Charts!$D$171,Charts!$D$174)</c:f>
              <c:numCache>
                <c:formatCode>_(* #,##0_);_(* \(#,##0\);_(* \-??_);_(@_)</c:formatCode>
                <c:ptCount val="4"/>
                <c:pt idx="0">
                  <c:v>9055</c:v>
                </c:pt>
                <c:pt idx="1">
                  <c:v>4166</c:v>
                </c:pt>
                <c:pt idx="2">
                  <c:v>3230</c:v>
                </c:pt>
                <c:pt idx="3">
                  <c:v>1659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6C-403F-828C-436D700DDB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36628751"/>
        <c:axId val="1936634511"/>
      </c:barChart>
      <c:lineChart>
        <c:grouping val="standard"/>
        <c:varyColors val="0"/>
        <c:ser>
          <c:idx val="2"/>
          <c:order val="2"/>
          <c:tx>
            <c:strRef>
              <c:f>Charts!$E$156</c:f>
              <c:strCache>
                <c:ptCount val="1"/>
                <c:pt idx="0">
                  <c:v>%23/Plan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3.6111111111111108E-2"/>
                  <c:y val="5.0925925925925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6C-403F-828C-436D700DDBA9}"/>
                </c:ext>
              </c:extLst>
            </c:dLbl>
            <c:dLbl>
              <c:idx val="1"/>
              <c:layout>
                <c:manualLayout>
                  <c:x val="-1.6666666666666718E-2"/>
                  <c:y val="-3.70370370370370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6C-403F-828C-436D700DDBA9}"/>
                </c:ext>
              </c:extLst>
            </c:dLbl>
            <c:dLbl>
              <c:idx val="2"/>
              <c:layout>
                <c:manualLayout>
                  <c:x val="8.3333333333333332E-3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6C-403F-828C-436D700DDBA9}"/>
                </c:ext>
              </c:extLst>
            </c:dLbl>
            <c:dLbl>
              <c:idx val="3"/>
              <c:layout>
                <c:manualLayout>
                  <c:x val="-2.2222222222222324E-2"/>
                  <c:y val="-9.25925925925925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6C-403F-828C-436D700DDB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(Charts!$A$167:$A$168,Charts!$A$171,Charts!$A$174)</c:f>
              <c:strCache>
                <c:ptCount val="4"/>
                <c:pt idx="0">
                  <c:v>Pre-tax profit</c:v>
                </c:pt>
                <c:pt idx="1">
                  <c:v>Total IT</c:v>
                </c:pt>
                <c:pt idx="2">
                  <c:v>Total communication</c:v>
                </c:pt>
                <c:pt idx="3">
                  <c:v>Investment, education &amp; others</c:v>
                </c:pt>
              </c:strCache>
            </c:strRef>
          </c:cat>
          <c:val>
            <c:numRef>
              <c:f>(Charts!$E$167:$E$168,Charts!$E$171,Charts!$E$174)</c:f>
              <c:numCache>
                <c:formatCode>0%</c:formatCode>
                <c:ptCount val="4"/>
                <c:pt idx="0">
                  <c:v>0.47918277194919934</c:v>
                </c:pt>
                <c:pt idx="1">
                  <c:v>0.48127700432069132</c:v>
                </c:pt>
                <c:pt idx="2">
                  <c:v>0.46873065015479876</c:v>
                </c:pt>
                <c:pt idx="3">
                  <c:v>0.49427365883062085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6C-403F-828C-436D700DDBA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36625871"/>
        <c:axId val="1936611471"/>
      </c:lineChart>
      <c:catAx>
        <c:axId val="193662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634511"/>
        <c:crosses val="autoZero"/>
        <c:auto val="1"/>
        <c:lblAlgn val="ctr"/>
        <c:lblOffset val="100"/>
        <c:noMultiLvlLbl val="0"/>
      </c:catAx>
      <c:valAx>
        <c:axId val="193663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628751"/>
        <c:crosses val="autoZero"/>
        <c:crossBetween val="between"/>
      </c:valAx>
      <c:valAx>
        <c:axId val="1936611471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625871"/>
        <c:crosses val="max"/>
        <c:crossBetween val="between"/>
      </c:valAx>
      <c:catAx>
        <c:axId val="19366258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366114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and Growth Global IT</a:t>
            </a:r>
            <a:r>
              <a:rPr lang="en-US" baseline="0"/>
              <a:t> vs Domestic 2021-2023 (YoY)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Revenue!$A$12</c:f>
              <c:strCache>
                <c:ptCount val="1"/>
                <c:pt idx="0">
                  <c:v>Global 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Revenue!$AI$1:$AR$1</c:f>
              <c:strCache>
                <c:ptCount val="10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</c:strCache>
            </c:strRef>
          </c:cat>
          <c:val>
            <c:numRef>
              <c:f>Revenue!$AI$12:$AR$12</c:f>
              <c:numCache>
                <c:formatCode>_(* #,##0_);_(* \(#,##0\);_(* \-??_);_(@_)</c:formatCode>
                <c:ptCount val="10"/>
                <c:pt idx="0">
                  <c:v>3169.3980000000001</c:v>
                </c:pt>
                <c:pt idx="1">
                  <c:v>3513.5419999999995</c:v>
                </c:pt>
                <c:pt idx="2">
                  <c:v>3731.6330000000007</c:v>
                </c:pt>
                <c:pt idx="3">
                  <c:v>4126.2279999999992</c:v>
                </c:pt>
                <c:pt idx="4">
                  <c:v>4111.3670000000002</c:v>
                </c:pt>
                <c:pt idx="5">
                  <c:v>4510.7199999999993</c:v>
                </c:pt>
                <c:pt idx="6">
                  <c:v>4857.0429999999997</c:v>
                </c:pt>
                <c:pt idx="7">
                  <c:v>5444.1350000000002</c:v>
                </c:pt>
                <c:pt idx="8">
                  <c:v>5437.7910000000002</c:v>
                </c:pt>
                <c:pt idx="9">
                  <c:v>5789.2089999999998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5C-428A-AAD8-4AEF5D0143FB}"/>
            </c:ext>
          </c:extLst>
        </c:ser>
        <c:ser>
          <c:idx val="1"/>
          <c:order val="1"/>
          <c:tx>
            <c:strRef>
              <c:f>Revenue!$A$13</c:f>
              <c:strCache>
                <c:ptCount val="1"/>
                <c:pt idx="0">
                  <c:v>Domestic 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Revenue!$AI$1:$AR$1</c:f>
              <c:strCache>
                <c:ptCount val="10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</c:strCache>
            </c:strRef>
          </c:cat>
          <c:val>
            <c:numRef>
              <c:f>Revenue!$AI$13:$AR$13</c:f>
              <c:numCache>
                <c:formatCode>_(* #,##0_);_(* \(#,##0\);_(* \-??_);_(@_)</c:formatCode>
                <c:ptCount val="10"/>
                <c:pt idx="0">
                  <c:v>1007.953</c:v>
                </c:pt>
                <c:pt idx="1">
                  <c:v>1455.7750000000001</c:v>
                </c:pt>
                <c:pt idx="2">
                  <c:v>1505.9189999999999</c:v>
                </c:pt>
                <c:pt idx="3">
                  <c:v>2361.7960000000003</c:v>
                </c:pt>
                <c:pt idx="4">
                  <c:v>1529.7449999999999</c:v>
                </c:pt>
                <c:pt idx="5">
                  <c:v>1202.672</c:v>
                </c:pt>
                <c:pt idx="6">
                  <c:v>1706.9580000000001</c:v>
                </c:pt>
                <c:pt idx="7">
                  <c:v>2408.0330000000004</c:v>
                </c:pt>
                <c:pt idx="8">
                  <c:v>1407</c:v>
                </c:pt>
                <c:pt idx="9">
                  <c:v>1568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5C-428A-AAD8-4AEF5D014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978166991"/>
        <c:axId val="1978167471"/>
      </c:barChart>
      <c:lineChart>
        <c:grouping val="stacked"/>
        <c:varyColors val="0"/>
        <c:ser>
          <c:idx val="2"/>
          <c:order val="2"/>
          <c:tx>
            <c:strRef>
              <c:f>Revenue!$A$21</c:f>
              <c:strCache>
                <c:ptCount val="1"/>
                <c:pt idx="0">
                  <c:v>Global IT</c:v>
                </c:pt>
              </c:strCache>
            </c:strRef>
          </c:tx>
          <c:spPr>
            <a:ln w="12700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tx2">
                    <a:lumMod val="60000"/>
                    <a:lumOff val="40000"/>
                  </a:schemeClr>
                </a:solidFill>
              </a:ln>
              <a:effectLst/>
            </c:spPr>
          </c:marker>
          <c:val>
            <c:numRef>
              <c:f>Revenue!$AI$21:$AR$21</c:f>
              <c:numCache>
                <c:formatCode>0.0%</c:formatCode>
                <c:ptCount val="10"/>
                <c:pt idx="0">
                  <c:v>9.6374014113740136E-2</c:v>
                </c:pt>
                <c:pt idx="1">
                  <c:v>0.20348295140432615</c:v>
                </c:pt>
                <c:pt idx="2">
                  <c:v>0.25711212407151729</c:v>
                </c:pt>
                <c:pt idx="3">
                  <c:v>0.28081475928624711</c:v>
                </c:pt>
                <c:pt idx="4">
                  <c:v>0.2972075454076768</c:v>
                </c:pt>
                <c:pt idx="5">
                  <c:v>0.28380989895666531</c:v>
                </c:pt>
                <c:pt idx="6">
                  <c:v>0.30158646362061825</c:v>
                </c:pt>
                <c:pt idx="7">
                  <c:v>0.31939752238606323</c:v>
                </c:pt>
                <c:pt idx="8">
                  <c:v>0.32262359453680478</c:v>
                </c:pt>
                <c:pt idx="9">
                  <c:v>0.28343346516742352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5C-428A-AAD8-4AEF5D0143FB}"/>
            </c:ext>
          </c:extLst>
        </c:ser>
        <c:ser>
          <c:idx val="3"/>
          <c:order val="3"/>
          <c:tx>
            <c:strRef>
              <c:f>Revenue!$A$22</c:f>
              <c:strCache>
                <c:ptCount val="1"/>
                <c:pt idx="0">
                  <c:v>Domestic IT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Revenue!$AI$22:$AR$22</c:f>
              <c:numCache>
                <c:formatCode>0.0%</c:formatCode>
                <c:ptCount val="10"/>
                <c:pt idx="0">
                  <c:v>0.43320702133558942</c:v>
                </c:pt>
                <c:pt idx="1">
                  <c:v>0.43600126261380789</c:v>
                </c:pt>
                <c:pt idx="2">
                  <c:v>0.23922225980136802</c:v>
                </c:pt>
                <c:pt idx="3">
                  <c:v>0.2613709434502387</c:v>
                </c:pt>
                <c:pt idx="4">
                  <c:v>0.51767493127159692</c:v>
                </c:pt>
                <c:pt idx="5">
                  <c:v>-0.17386134533152453</c:v>
                </c:pt>
                <c:pt idx="6">
                  <c:v>0.13349921210901794</c:v>
                </c:pt>
                <c:pt idx="7">
                  <c:v>1.9577050685156472E-2</c:v>
                </c:pt>
                <c:pt idx="8">
                  <c:v>-8.0238863339968325E-2</c:v>
                </c:pt>
                <c:pt idx="9">
                  <c:v>0.30376361967352694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5C-428A-AAD8-4AEF5D014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2173599"/>
        <c:axId val="612174559"/>
      </c:lineChart>
      <c:catAx>
        <c:axId val="1978166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167471"/>
        <c:crosses val="autoZero"/>
        <c:auto val="1"/>
        <c:lblAlgn val="ctr"/>
        <c:lblOffset val="100"/>
        <c:noMultiLvlLbl val="0"/>
      </c:catAx>
      <c:valAx>
        <c:axId val="197816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166991"/>
        <c:crosses val="autoZero"/>
        <c:crossBetween val="between"/>
      </c:valAx>
      <c:valAx>
        <c:axId val="612174559"/>
        <c:scaling>
          <c:orientation val="minMax"/>
          <c:max val="1"/>
          <c:min val="-0.2"/>
        </c:scaling>
        <c:delete val="0"/>
        <c:axPos val="r"/>
        <c:numFmt formatCode="0.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173599"/>
        <c:crosses val="max"/>
        <c:crossBetween val="between"/>
        <c:majorUnit val="0.2"/>
      </c:valAx>
      <c:catAx>
        <c:axId val="612173599"/>
        <c:scaling>
          <c:orientation val="minMax"/>
        </c:scaling>
        <c:delete val="1"/>
        <c:axPos val="b"/>
        <c:majorTickMark val="none"/>
        <c:minorTickMark val="none"/>
        <c:tickLblPos val="nextTo"/>
        <c:crossAx val="6121745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6M/2023 Revenue Global IT (by regions)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Global IT by regions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2C4-4A0F-A5A2-8AFD37AEF55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2C4-4A0F-A5A2-8AFD37AEF55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2C4-4A0F-A5A2-8AFD37AEF55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2C4-4A0F-A5A2-8AFD37AEF55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Revenue!$A$159:$A$163</c:f>
              <c:strCache>
                <c:ptCount val="5"/>
                <c:pt idx="0">
                  <c:v>Japan</c:v>
                </c:pt>
                <c:pt idx="1">
                  <c:v>US</c:v>
                </c:pt>
                <c:pt idx="2">
                  <c:v>EU</c:v>
                </c:pt>
                <c:pt idx="3">
                  <c:v>APAC</c:v>
                </c:pt>
                <c:pt idx="4">
                  <c:v>Others</c:v>
                </c:pt>
              </c:strCache>
            </c:strRef>
          </c:cat>
          <c:val>
            <c:numRef>
              <c:f>Revenue!$BZ$159:$BZ$162</c:f>
              <c:numCache>
                <c:formatCode>_(* #,##0_);_(* \(#,##0\);_(* \-??_);_(@_)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02C4-4A0F-A5A2-8AFD37AEF556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and Growth</a:t>
            </a:r>
            <a:r>
              <a:rPr lang="en-US" baseline="0"/>
              <a:t> Telecom 2021-2023 (YoY)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45625546806649"/>
          <c:y val="9.3919018255869541E-2"/>
          <c:w val="0.77946259842519683"/>
          <c:h val="0.7277610164953484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Revenue!$A$15</c:f>
              <c:strCache>
                <c:ptCount val="1"/>
                <c:pt idx="0">
                  <c:v>Communication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Revenue!$AI$1:$AR$1</c:f>
              <c:strCache>
                <c:ptCount val="10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</c:strCache>
            </c:strRef>
          </c:cat>
          <c:val>
            <c:numRef>
              <c:f>Revenue!$AI$15:$AR$15</c:f>
              <c:numCache>
                <c:formatCode>_(* #,##0_);_(* \(#,##0\);_(* \-??_);_(@_)</c:formatCode>
                <c:ptCount val="10"/>
                <c:pt idx="0">
                  <c:v>2803.634</c:v>
                </c:pt>
                <c:pt idx="1">
                  <c:v>3043.6480000000001</c:v>
                </c:pt>
                <c:pt idx="2">
                  <c:v>2974.8980000000001</c:v>
                </c:pt>
                <c:pt idx="3">
                  <c:v>3256.4979999999996</c:v>
                </c:pt>
                <c:pt idx="4">
                  <c:v>3320.123</c:v>
                </c:pt>
                <c:pt idx="5">
                  <c:v>3406.44</c:v>
                </c:pt>
                <c:pt idx="6">
                  <c:v>3516.7800000000007</c:v>
                </c:pt>
                <c:pt idx="7">
                  <c:v>3710.8769999999986</c:v>
                </c:pt>
                <c:pt idx="8">
                  <c:v>3694.9960000000001</c:v>
                </c:pt>
                <c:pt idx="9">
                  <c:v>3728.0039999999999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0E-40EE-B5AB-66642EBE7A51}"/>
            </c:ext>
          </c:extLst>
        </c:ser>
        <c:ser>
          <c:idx val="1"/>
          <c:order val="1"/>
          <c:tx>
            <c:strRef>
              <c:f>Revenue!$A$16</c:f>
              <c:strCache>
                <c:ptCount val="1"/>
                <c:pt idx="0">
                  <c:v>Digital content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Revenue!$AI$1:$AR$1</c:f>
              <c:strCache>
                <c:ptCount val="10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</c:strCache>
            </c:strRef>
          </c:cat>
          <c:val>
            <c:numRef>
              <c:f>Revenue!$AI$16:$AR$16</c:f>
              <c:numCache>
                <c:formatCode>_(* #,##0_);_(* \(#,##0\);_(* \-??_);_(@_)</c:formatCode>
                <c:ptCount val="10"/>
                <c:pt idx="0">
                  <c:v>121.486</c:v>
                </c:pt>
                <c:pt idx="1">
                  <c:v>157.36599999999999</c:v>
                </c:pt>
                <c:pt idx="2">
                  <c:v>130.80000000000001</c:v>
                </c:pt>
                <c:pt idx="3">
                  <c:v>198.08600000000007</c:v>
                </c:pt>
                <c:pt idx="4">
                  <c:v>151.00399999999999</c:v>
                </c:pt>
                <c:pt idx="5">
                  <c:v>199.09799999999998</c:v>
                </c:pt>
                <c:pt idx="6">
                  <c:v>213.81400000000008</c:v>
                </c:pt>
                <c:pt idx="7">
                  <c:v>211.51299999999992</c:v>
                </c:pt>
                <c:pt idx="8">
                  <c:v>95.227999999999994</c:v>
                </c:pt>
                <c:pt idx="9">
                  <c:v>163.77199999999999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0E-40EE-B5AB-66642EBE7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32170175"/>
        <c:axId val="232174015"/>
      </c:barChart>
      <c:lineChart>
        <c:grouping val="standard"/>
        <c:varyColors val="0"/>
        <c:ser>
          <c:idx val="2"/>
          <c:order val="2"/>
          <c:tx>
            <c:strRef>
              <c:f>Revenue!$A$24</c:f>
              <c:strCache>
                <c:ptCount val="1"/>
                <c:pt idx="0">
                  <c:v>Telecom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bg1"/>
                </a:solidFill>
              </a:ln>
              <a:effectLst/>
            </c:spPr>
          </c:marker>
          <c:val>
            <c:numRef>
              <c:f>Revenue!$AI$24:$AR$24</c:f>
              <c:numCache>
                <c:formatCode>0.0%</c:formatCode>
                <c:ptCount val="10"/>
                <c:pt idx="0">
                  <c:v>9.2968651017189874E-2</c:v>
                </c:pt>
                <c:pt idx="1">
                  <c:v>0.14757855167434264</c:v>
                </c:pt>
                <c:pt idx="2">
                  <c:v>8.9645558196027153E-2</c:v>
                </c:pt>
                <c:pt idx="3">
                  <c:v>0.11544494000776151</c:v>
                </c:pt>
                <c:pt idx="4">
                  <c:v>0.18422126425917229</c:v>
                </c:pt>
                <c:pt idx="5">
                  <c:v>0.11919643795866008</c:v>
                </c:pt>
                <c:pt idx="6">
                  <c:v>0.18215145527678622</c:v>
                </c:pt>
                <c:pt idx="7">
                  <c:v>0.13952994904341987</c:v>
                </c:pt>
                <c:pt idx="8">
                  <c:v>0.11290937112872035</c:v>
                </c:pt>
                <c:pt idx="9">
                  <c:v>9.439884454151537E-2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0E-40EE-B5AB-66642EBE7A51}"/>
            </c:ext>
          </c:extLst>
        </c:ser>
        <c:ser>
          <c:idx val="3"/>
          <c:order val="3"/>
          <c:tx>
            <c:strRef>
              <c:f>Revenue!$A$25</c:f>
              <c:strCache>
                <c:ptCount val="1"/>
                <c:pt idx="0">
                  <c:v>Digital content</c:v>
                </c:pt>
              </c:strCache>
            </c:strRef>
          </c:tx>
          <c:spPr>
            <a:ln w="28575" cap="sq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bg1"/>
                </a:solidFill>
              </a:ln>
              <a:effectLst/>
            </c:spPr>
          </c:marker>
          <c:val>
            <c:numRef>
              <c:f>Revenue!$AI$25:$AR$25</c:f>
              <c:numCache>
                <c:formatCode>0.0%</c:formatCode>
                <c:ptCount val="10"/>
                <c:pt idx="0">
                  <c:v>0.1810236718028484</c:v>
                </c:pt>
                <c:pt idx="1">
                  <c:v>0.32861098915943376</c:v>
                </c:pt>
                <c:pt idx="2">
                  <c:v>-8.0298129658275874E-2</c:v>
                </c:pt>
                <c:pt idx="3">
                  <c:v>-0.15930600707913478</c:v>
                </c:pt>
                <c:pt idx="4">
                  <c:v>0.24297449911923996</c:v>
                </c:pt>
                <c:pt idx="5">
                  <c:v>0.26519070193053129</c:v>
                </c:pt>
                <c:pt idx="6">
                  <c:v>0.63466360856269155</c:v>
                </c:pt>
                <c:pt idx="7">
                  <c:v>6.7783689912461531E-2</c:v>
                </c:pt>
                <c:pt idx="8">
                  <c:v>-0.36936769886890408</c:v>
                </c:pt>
                <c:pt idx="9">
                  <c:v>-0.17743021024821948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70E-40EE-B5AB-66642EBE7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2171615"/>
        <c:axId val="232174495"/>
      </c:lineChart>
      <c:catAx>
        <c:axId val="23217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74015"/>
        <c:crosses val="autoZero"/>
        <c:auto val="1"/>
        <c:lblAlgn val="ctr"/>
        <c:lblOffset val="100"/>
        <c:noMultiLvlLbl val="0"/>
      </c:catAx>
      <c:valAx>
        <c:axId val="232174015"/>
        <c:scaling>
          <c:orientation val="minMax"/>
          <c:max val="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70175"/>
        <c:crosses val="autoZero"/>
        <c:crossBetween val="between"/>
      </c:valAx>
      <c:valAx>
        <c:axId val="232174495"/>
        <c:scaling>
          <c:orientation val="minMax"/>
          <c:max val="0.8"/>
          <c:min val="-0.60000000000000009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71615"/>
        <c:crosses val="max"/>
        <c:crossBetween val="between"/>
        <c:majorUnit val="0.2"/>
        <c:minorUnit val="4.0000000000000008E-2"/>
      </c:valAx>
      <c:catAx>
        <c:axId val="232171615"/>
        <c:scaling>
          <c:orientation val="minMax"/>
        </c:scaling>
        <c:delete val="1"/>
        <c:axPos val="b"/>
        <c:majorTickMark val="none"/>
        <c:minorTickMark val="none"/>
        <c:tickLblPos val="nextTo"/>
        <c:crossAx val="2321744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Education &amp; Investment Revenue</a:t>
            </a:r>
            <a:r>
              <a:rPr lang="en-US" baseline="0"/>
              <a:t> and Growth (2021-2023)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Revenue!$A$17</c:f>
              <c:strCache>
                <c:ptCount val="1"/>
                <c:pt idx="0">
                  <c:v>Education, Investments and others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Revenue!$AI$1:$AR$1</c:f>
              <c:strCache>
                <c:ptCount val="10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</c:strCache>
            </c:strRef>
          </c:cat>
          <c:val>
            <c:numRef>
              <c:f>Revenue!$AI$17:$AR$17</c:f>
              <c:numCache>
                <c:formatCode>_(* #,##0_);_(* \(#,##0\);_(* \-??_);_(@_)</c:formatCode>
                <c:ptCount val="10"/>
                <c:pt idx="0">
                  <c:v>483.85666995399896</c:v>
                </c:pt>
                <c:pt idx="1">
                  <c:v>471.37628482100206</c:v>
                </c:pt>
                <c:pt idx="2">
                  <c:v>381.92195697200003</c:v>
                </c:pt>
                <c:pt idx="3">
                  <c:v>761.44763328000306</c:v>
                </c:pt>
                <c:pt idx="4">
                  <c:v>618.01484439099886</c:v>
                </c:pt>
                <c:pt idx="5">
                  <c:v>777.13009095899997</c:v>
                </c:pt>
                <c:pt idx="6">
                  <c:v>853.96402035299809</c:v>
                </c:pt>
                <c:pt idx="7">
                  <c:v>1267.8682711090021</c:v>
                </c:pt>
                <c:pt idx="8">
                  <c:v>1052.876</c:v>
                </c:pt>
                <c:pt idx="9">
                  <c:v>1228.124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E3-494A-BC02-069885181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623423263"/>
        <c:axId val="623402623"/>
      </c:barChart>
      <c:lineChart>
        <c:grouping val="standard"/>
        <c:varyColors val="0"/>
        <c:ser>
          <c:idx val="1"/>
          <c:order val="1"/>
          <c:tx>
            <c:strRef>
              <c:f>Revenue!$A$26</c:f>
              <c:strCache>
                <c:ptCount val="1"/>
                <c:pt idx="0">
                  <c:v>Education &amp; Investments</c:v>
                </c:pt>
              </c:strCache>
            </c:strRef>
          </c:tx>
          <c:spPr>
            <a:ln w="25400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Revenue!$AI$1:$AR$1</c:f>
              <c:strCache>
                <c:ptCount val="10"/>
                <c:pt idx="0">
                  <c:v>1Q21</c:v>
                </c:pt>
                <c:pt idx="1">
                  <c:v>2Q21</c:v>
                </c:pt>
                <c:pt idx="2">
                  <c:v>3Q21</c:v>
                </c:pt>
                <c:pt idx="3">
                  <c:v>4Q21</c:v>
                </c:pt>
                <c:pt idx="4">
                  <c:v>1Q22</c:v>
                </c:pt>
                <c:pt idx="5">
                  <c:v>2Q22</c:v>
                </c:pt>
                <c:pt idx="6">
                  <c:v>3Q22</c:v>
                </c:pt>
                <c:pt idx="7">
                  <c:v>4Q22</c:v>
                </c:pt>
                <c:pt idx="8">
                  <c:v>1Q23</c:v>
                </c:pt>
                <c:pt idx="9">
                  <c:v>2Q23</c:v>
                </c:pt>
              </c:strCache>
            </c:strRef>
          </c:cat>
          <c:val>
            <c:numRef>
              <c:f>Revenue!$AI$26:$AR$26</c:f>
              <c:numCache>
                <c:formatCode>0.0%</c:formatCode>
                <c:ptCount val="10"/>
                <c:pt idx="0">
                  <c:v>0.31318642445312639</c:v>
                </c:pt>
                <c:pt idx="1">
                  <c:v>0.70740874763563055</c:v>
                </c:pt>
                <c:pt idx="2">
                  <c:v>-0.23174012831354618</c:v>
                </c:pt>
                <c:pt idx="3">
                  <c:v>0.82316726951450603</c:v>
                </c:pt>
                <c:pt idx="4">
                  <c:v>0.27726842010828245</c:v>
                </c:pt>
                <c:pt idx="5">
                  <c:v>0.64864062105734321</c:v>
                </c:pt>
                <c:pt idx="6">
                  <c:v>1.2359647167800962</c:v>
                </c:pt>
                <c:pt idx="7">
                  <c:v>0.66507612039917618</c:v>
                </c:pt>
                <c:pt idx="8">
                  <c:v>0.70364192633191491</c:v>
                </c:pt>
                <c:pt idx="9">
                  <c:v>0.58033257788855042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E3-494A-BC02-069885181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3409343"/>
        <c:axId val="623405983"/>
      </c:lineChart>
      <c:catAx>
        <c:axId val="623423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402623"/>
        <c:crosses val="autoZero"/>
        <c:auto val="1"/>
        <c:lblAlgn val="ctr"/>
        <c:lblOffset val="100"/>
        <c:noMultiLvlLbl val="0"/>
      </c:catAx>
      <c:valAx>
        <c:axId val="62340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423263"/>
        <c:crosses val="autoZero"/>
        <c:crossBetween val="between"/>
      </c:valAx>
      <c:valAx>
        <c:axId val="623405983"/>
        <c:scaling>
          <c:orientation val="minMax"/>
          <c:max val="1.5"/>
          <c:min val="-0.5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409343"/>
        <c:crosses val="max"/>
        <c:crossBetween val="between"/>
        <c:majorUnit val="0.2"/>
      </c:valAx>
      <c:catAx>
        <c:axId val="6234093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234059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vs Labor Cost</a:t>
            </a:r>
            <a:r>
              <a:rPr lang="en-US" baseline="0"/>
              <a:t> per employee (2018-2022)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Charts!$A$209</c:f>
              <c:strCache>
                <c:ptCount val="1"/>
                <c:pt idx="0">
                  <c:v>Revenue contribution per head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Charts!$B$198:$F$198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Charts!$B$209:$F$209</c:f>
              <c:numCache>
                <c:formatCode>_(* #,##0_);_(* \(#,##0\);_(* \-??_);_(@_)</c:formatCode>
                <c:ptCount val="5"/>
                <c:pt idx="0">
                  <c:v>833.72972947329674</c:v>
                </c:pt>
                <c:pt idx="1">
                  <c:v>957.24262311431528</c:v>
                </c:pt>
                <c:pt idx="2">
                  <c:v>973.22764434517626</c:v>
                </c:pt>
                <c:pt idx="3">
                  <c:v>959.04417818792376</c:v>
                </c:pt>
                <c:pt idx="4">
                  <c:v>1037.7647538415156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39-4F07-BCA1-E46D6A6D9EE9}"/>
            </c:ext>
          </c:extLst>
        </c:ser>
        <c:ser>
          <c:idx val="1"/>
          <c:order val="1"/>
          <c:tx>
            <c:strRef>
              <c:f>Charts!$A$216</c:f>
              <c:strCache>
                <c:ptCount val="1"/>
                <c:pt idx="0">
                  <c:v>Labor cost pH</c:v>
                </c:pt>
              </c:strCache>
            </c:strRef>
          </c:tx>
          <c:spPr>
            <a:solidFill>
              <a:srgbClr val="9BBB59">
                <a:lumMod val="75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Charts!$B$198:$F$198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Charts!$B$216:$F$216</c:f>
              <c:numCache>
                <c:formatCode>_(* #,##0_);_(* \(#,##0\);_(* \-??_);_(@_)</c:formatCode>
                <c:ptCount val="5"/>
                <c:pt idx="0">
                  <c:v>276.83469257996626</c:v>
                </c:pt>
                <c:pt idx="1">
                  <c:v>354.59060639298912</c:v>
                </c:pt>
                <c:pt idx="2">
                  <c:v>404.23848931904342</c:v>
                </c:pt>
                <c:pt idx="3">
                  <c:v>405.60581117582035</c:v>
                </c:pt>
                <c:pt idx="4">
                  <c:v>443.26548570161293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39-4F07-BCA1-E46D6A6D9EE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107085504"/>
        <c:axId val="1107085024"/>
      </c:barChart>
      <c:lineChart>
        <c:grouping val="standard"/>
        <c:varyColors val="0"/>
        <c:ser>
          <c:idx val="2"/>
          <c:order val="2"/>
          <c:tx>
            <c:strRef>
              <c:f>Charts!$A$210</c:f>
              <c:strCache>
                <c:ptCount val="1"/>
                <c:pt idx="0">
                  <c:v>Revenue pH YoY growth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4"/>
              <c:layout>
                <c:manualLayout>
                  <c:x val="1.38187944744841E-2"/>
                  <c:y val="-8.545818033291087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C91-4841-A651-772ADD6E63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Charts!$B$210:$F$210</c:f>
              <c:numCache>
                <c:formatCode>0.0%</c:formatCode>
                <c:ptCount val="5"/>
                <c:pt idx="1">
                  <c:v>0.14814500344019987</c:v>
                </c:pt>
                <c:pt idx="2">
                  <c:v>1.6699027858637194E-2</c:v>
                </c:pt>
                <c:pt idx="3">
                  <c:v>-1.4573636743329121E-2</c:v>
                </c:pt>
                <c:pt idx="4">
                  <c:v>8.208232471869148E-2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C91-4841-A651-772ADD6E635B}"/>
            </c:ext>
          </c:extLst>
        </c:ser>
        <c:ser>
          <c:idx val="3"/>
          <c:order val="3"/>
          <c:tx>
            <c:strRef>
              <c:f>Charts!$A$217</c:f>
              <c:strCache>
                <c:ptCount val="1"/>
                <c:pt idx="0">
                  <c:v>Labor cost pH YoY growth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3"/>
              <c:layout>
                <c:manualLayout>
                  <c:x val="-1.1055035579587442E-2"/>
                  <c:y val="-5.98207262330371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C91-4841-A651-772ADD6E635B}"/>
                </c:ext>
              </c:extLst>
            </c:dLbl>
            <c:dLbl>
              <c:idx val="4"/>
              <c:layout>
                <c:manualLayout>
                  <c:x val="-8.2912766846906828E-3"/>
                  <c:y val="-2.99103631165185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C91-4841-A651-772ADD6E63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Charts!$B$217:$F$217</c:f>
              <c:numCache>
                <c:formatCode>0.0%</c:formatCode>
                <c:ptCount val="5"/>
                <c:pt idx="1">
                  <c:v>0.28087488995102139</c:v>
                </c:pt>
                <c:pt idx="2">
                  <c:v>0.14001465924630296</c:v>
                </c:pt>
                <c:pt idx="3">
                  <c:v>3.3824633054617692E-3</c:v>
                </c:pt>
                <c:pt idx="4">
                  <c:v>9.2847965902214336E-2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C91-4841-A651-772ADD6E635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2197647"/>
        <c:axId val="2058469023"/>
      </c:lineChart>
      <c:catAx>
        <c:axId val="110708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085024"/>
        <c:crosses val="autoZero"/>
        <c:auto val="1"/>
        <c:lblAlgn val="ctr"/>
        <c:lblOffset val="100"/>
        <c:noMultiLvlLbl val="0"/>
      </c:catAx>
      <c:valAx>
        <c:axId val="1107085024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085504"/>
        <c:crosses val="autoZero"/>
        <c:crossBetween val="between"/>
      </c:valAx>
      <c:valAx>
        <c:axId val="2058469023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97647"/>
        <c:crosses val="max"/>
        <c:crossBetween val="between"/>
      </c:valAx>
      <c:catAx>
        <c:axId val="32197647"/>
        <c:scaling>
          <c:orientation val="minMax"/>
        </c:scaling>
        <c:delete val="1"/>
        <c:axPos val="b"/>
        <c:majorTickMark val="out"/>
        <c:minorTickMark val="none"/>
        <c:tickLblPos val="nextTo"/>
        <c:crossAx val="20584690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800"/>
              <a:t>VNDbn</a:t>
            </a:r>
          </a:p>
        </c:rich>
      </c:tx>
      <c:layout>
        <c:manualLayout>
          <c:xMode val="edge"/>
          <c:yMode val="edge"/>
          <c:x val="2.5216527864812752E-2"/>
          <c:y val="5.156435091631243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902826593042652"/>
          <c:y val="0.13059820713259732"/>
          <c:w val="0.68781843446039836"/>
          <c:h val="0.63672349077612067"/>
        </c:manualLayout>
      </c:layout>
      <c:barChart>
        <c:barDir val="col"/>
        <c:grouping val="clustered"/>
        <c:varyColors val="0"/>
        <c:ser>
          <c:idx val="0"/>
          <c:order val="0"/>
          <c:tx>
            <c:v>Digital Transformation Projects within Global IT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Charts!$D$97:$G$97</c:f>
              <c:strCache>
                <c:ptCount val="4"/>
                <c:pt idx="0">
                  <c:v>9M21</c:v>
                </c:pt>
                <c:pt idx="1">
                  <c:v>9M22</c:v>
                </c:pt>
                <c:pt idx="2">
                  <c:v>9M23</c:v>
                </c:pt>
                <c:pt idx="3">
                  <c:v>9M24</c:v>
                </c:pt>
              </c:strCache>
            </c:strRef>
          </c:cat>
          <c:val>
            <c:numRef>
              <c:f>Charts!$D$99:$G$99</c:f>
              <c:numCache>
                <c:formatCode>_(* #,##0_);_(* \(#,##0\);_(* \-??_);_(@_)</c:formatCode>
                <c:ptCount val="4"/>
                <c:pt idx="0">
                  <c:v>160</c:v>
                </c:pt>
                <c:pt idx="1">
                  <c:v>210</c:v>
                </c:pt>
                <c:pt idx="2">
                  <c:v>300</c:v>
                </c:pt>
                <c:pt idx="3" formatCode="#,##0">
                  <c:v>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96-4FEA-8353-2AF0E3ED2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31322751"/>
        <c:axId val="1135693103"/>
      </c:barChart>
      <c:lineChart>
        <c:grouping val="standard"/>
        <c:varyColors val="0"/>
        <c:ser>
          <c:idx val="1"/>
          <c:order val="1"/>
          <c:tx>
            <c:v>DX revenue growth (%YoY)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Charts!$C$97:$G$97</c:f>
              <c:strCache>
                <c:ptCount val="5"/>
                <c:pt idx="0">
                  <c:v>9M20</c:v>
                </c:pt>
                <c:pt idx="1">
                  <c:v>9M21</c:v>
                </c:pt>
                <c:pt idx="2">
                  <c:v>9M22</c:v>
                </c:pt>
                <c:pt idx="3">
                  <c:v>9M23</c:v>
                </c:pt>
                <c:pt idx="4">
                  <c:v>9M24</c:v>
                </c:pt>
              </c:strCache>
            </c:strRef>
          </c:cat>
          <c:val>
            <c:numRef>
              <c:f>Charts!$D$101:$G$101</c:f>
              <c:numCache>
                <c:formatCode>0%</c:formatCode>
                <c:ptCount val="4"/>
                <c:pt idx="0">
                  <c:v>0.56699999999999995</c:v>
                </c:pt>
                <c:pt idx="1">
                  <c:v>0.3412718520395237</c:v>
                </c:pt>
                <c:pt idx="2">
                  <c:v>0.45636569701548924</c:v>
                </c:pt>
                <c:pt idx="3">
                  <c:v>0.35058365758754872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3F-4ABB-95C6-68B686D47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2510879"/>
        <c:axId val="1092509919"/>
      </c:lineChart>
      <c:catAx>
        <c:axId val="1131322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693103"/>
        <c:crosses val="autoZero"/>
        <c:auto val="1"/>
        <c:lblAlgn val="ctr"/>
        <c:lblOffset val="100"/>
        <c:noMultiLvlLbl val="0"/>
      </c:catAx>
      <c:valAx>
        <c:axId val="1135693103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322751"/>
        <c:crosses val="autoZero"/>
        <c:crossBetween val="between"/>
      </c:valAx>
      <c:valAx>
        <c:axId val="109250991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510879"/>
        <c:crosses val="max"/>
        <c:crossBetween val="between"/>
      </c:valAx>
      <c:catAx>
        <c:axId val="10925108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925099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1464722001199913E-2"/>
          <c:y val="0.87832644155587281"/>
          <c:w val="0.66576040108038848"/>
          <c:h val="0.121673747720632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Charts!$C$356</c:f>
              <c:strCache>
                <c:ptCount val="1"/>
                <c:pt idx="0">
                  <c:v>No. of students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Charts!$B$357:$B$361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Charts!$C$357:$C$361</c:f>
              <c:numCache>
                <c:formatCode>_(* #,##0_);_(* \(#,##0\);_(* \-??_);_(@_)</c:formatCode>
                <c:ptCount val="5"/>
                <c:pt idx="0">
                  <c:v>27139</c:v>
                </c:pt>
                <c:pt idx="1">
                  <c:v>39833</c:v>
                </c:pt>
                <c:pt idx="2">
                  <c:v>52005</c:v>
                </c:pt>
                <c:pt idx="3">
                  <c:v>74313</c:v>
                </c:pt>
                <c:pt idx="4">
                  <c:v>108100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96-4F68-BF52-794153A34829}"/>
            </c:ext>
          </c:extLst>
        </c:ser>
        <c:ser>
          <c:idx val="1"/>
          <c:order val="1"/>
          <c:tx>
            <c:strRef>
              <c:f>Charts!$E$356</c:f>
              <c:strCache>
                <c:ptCount val="1"/>
                <c:pt idx="0">
                  <c:v>No of tech workers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Charts!$E$357:$E$361</c:f>
              <c:numCache>
                <c:formatCode>_(* #,##0_);_(* \(#,##0\);_(* \-??_);_(@_)</c:formatCode>
                <c:ptCount val="5"/>
                <c:pt idx="0">
                  <c:v>16940</c:v>
                </c:pt>
                <c:pt idx="1">
                  <c:v>17628</c:v>
                </c:pt>
                <c:pt idx="2">
                  <c:v>18728</c:v>
                </c:pt>
                <c:pt idx="3">
                  <c:v>24068</c:v>
                </c:pt>
                <c:pt idx="4">
                  <c:v>28533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96-4F68-BF52-794153A3482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279491903"/>
        <c:axId val="485540511"/>
      </c:barChart>
      <c:catAx>
        <c:axId val="279491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540511"/>
        <c:crosses val="autoZero"/>
        <c:auto val="1"/>
        <c:lblAlgn val="ctr"/>
        <c:lblOffset val="100"/>
        <c:noMultiLvlLbl val="0"/>
      </c:catAx>
      <c:valAx>
        <c:axId val="485540511"/>
        <c:scaling>
          <c:orientation val="minMax"/>
        </c:scaling>
        <c:delete val="1"/>
        <c:axPos val="l"/>
        <c:numFmt formatCode="_(* #,##0_);_(* \(#,##0\);_(* \-??_);_(@_)" sourceLinked="1"/>
        <c:majorTickMark val="none"/>
        <c:minorTickMark val="none"/>
        <c:tickLblPos val="nextTo"/>
        <c:crossAx val="279491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Charts!$AD$39</c:f>
              <c:strCache>
                <c:ptCount val="1"/>
                <c:pt idx="0">
                  <c:v>Revenue (VNDbn)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8D4-4613-831D-608D3554AC9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8D4-4613-831D-608D3554AC9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8D4-4613-831D-608D3554AC9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5FC11A62-C976-466C-96FD-D0E600FC62F7}" type="VALUE">
                      <a:rPr lang="en-US"/>
                      <a:pPr/>
                      <a:t>[VALUE]</a:t>
                    </a:fld>
                    <a:r>
                      <a:rPr lang="en-US"/>
                      <a:t> (62%)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38D4-4613-831D-608D3554AC9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67D101B-8708-4936-8F1D-E3EDBA339FD4}" type="VALUE">
                      <a:rPr lang="en-US"/>
                      <a:pPr/>
                      <a:t>[VALUE]</a:t>
                    </a:fld>
                    <a:r>
                      <a:rPr lang="en-US"/>
                      <a:t> (+29%)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38D4-4613-831D-608D3554AC94}"/>
                </c:ext>
              </c:extLst>
            </c:dLbl>
            <c:dLbl>
              <c:idx val="2"/>
              <c:layout>
                <c:manualLayout>
                  <c:x val="1.3921515537836326E-2"/>
                  <c:y val="8.4656094061141704E-2"/>
                </c:manualLayout>
              </c:layout>
              <c:tx>
                <c:rich>
                  <a:bodyPr/>
                  <a:lstStyle/>
                  <a:p>
                    <a:fld id="{1CF1058C-AC5C-456C-AB4D-DCBB8A593C50}" type="VALUE">
                      <a:rPr lang="en-US"/>
                      <a:pPr/>
                      <a:t>[VALUE]</a:t>
                    </a:fld>
                    <a:r>
                      <a:rPr lang="en-US"/>
                      <a:t> (10%</a:t>
                    </a:r>
                    <a:r>
                      <a:rPr lang="en-US" baseline="0"/>
                      <a:t>) </a:t>
                    </a:r>
                    <a:r>
                      <a:rPr lang="en-US"/>
                      <a:t>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38D4-4613-831D-608D3554AC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Charts!$AC$40:$AC$42</c:f>
              <c:strCache>
                <c:ptCount val="3"/>
                <c:pt idx="0">
                  <c:v>Technology</c:v>
                </c:pt>
                <c:pt idx="1">
                  <c:v>Telecom</c:v>
                </c:pt>
                <c:pt idx="2">
                  <c:v>Education</c:v>
                </c:pt>
              </c:strCache>
            </c:strRef>
          </c:cat>
          <c:val>
            <c:numRef>
              <c:f>Charts!$AD$40:$AD$42</c:f>
              <c:numCache>
                <c:formatCode>#,##0</c:formatCode>
                <c:ptCount val="3"/>
                <c:pt idx="0">
                  <c:v>27123</c:v>
                </c:pt>
                <c:pt idx="1">
                  <c:v>12611</c:v>
                </c:pt>
                <c:pt idx="2">
                  <c:v>4084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D4-4613-831D-608D3554AC9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Charts!$AF$39</c:f>
              <c:strCache>
                <c:ptCount val="1"/>
                <c:pt idx="0">
                  <c:v>PBT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6C6-452D-A214-DE2C3D74B7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6C6-452D-A214-DE2C3D74B7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6C6-452D-A214-DE2C3D74B79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7AFD91BD-C372-4E46-9910-A5B15B318BA7}" type="VALUE">
                      <a:rPr lang="en-US"/>
                      <a:pPr/>
                      <a:t>[VALUE]</a:t>
                    </a:fld>
                    <a:r>
                      <a:rPr lang="en-US"/>
                      <a:t> (46%)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86C6-452D-A214-DE2C3D74B79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11EC76F-576F-46B8-B8FF-D1624D52D81D}" type="VALUE">
                      <a:rPr lang="en-US"/>
                      <a:pPr/>
                      <a:t>[VALUE]</a:t>
                    </a:fld>
                    <a:r>
                      <a:rPr lang="en-US"/>
                      <a:t> (34%)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86C6-452D-A214-DE2C3D74B79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8C9BAB4-C51C-43B5-BC16-0EC32DE983CB}" type="VALUE">
                      <a:rPr lang="en-US"/>
                      <a:pPr/>
                      <a:t>[VALUE]</a:t>
                    </a:fld>
                    <a:r>
                      <a:rPr lang="en-US" baseline="0"/>
                      <a:t> (21%)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86C6-452D-A214-DE2C3D74B7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Charts!$AC$40:$AC$42</c:f>
              <c:strCache>
                <c:ptCount val="3"/>
                <c:pt idx="0">
                  <c:v>Technology</c:v>
                </c:pt>
                <c:pt idx="1">
                  <c:v>Telecom</c:v>
                </c:pt>
                <c:pt idx="2">
                  <c:v>Education</c:v>
                </c:pt>
              </c:strCache>
            </c:strRef>
          </c:cat>
          <c:val>
            <c:numRef>
              <c:f>Charts!$AF$40:$AF$42</c:f>
              <c:numCache>
                <c:formatCode>#,##0</c:formatCode>
                <c:ptCount val="3"/>
                <c:pt idx="0">
                  <c:v>3807</c:v>
                </c:pt>
                <c:pt idx="1">
                  <c:v>2850</c:v>
                </c:pt>
                <c:pt idx="2">
                  <c:v>1658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C6-452D-A214-DE2C3D74B79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629060299417968"/>
          <c:y val="0.16868737256659436"/>
          <c:w val="0.6978396893535479"/>
          <c:h val="0.565404181193963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Charts!$A$48</c:f>
              <c:strCache>
                <c:ptCount val="1"/>
                <c:pt idx="0">
                  <c:v>Signed revenue</c:v>
                </c:pt>
              </c:strCache>
            </c:strRef>
          </c:tx>
          <c:spPr>
            <a:solidFill>
              <a:srgbClr val="FFC000"/>
            </a:solidFill>
            <a:ln w="25400">
              <a:noFill/>
            </a:ln>
          </c:spPr>
          <c:invertIfNegative val="0"/>
          <c:dPt>
            <c:idx val="3"/>
            <c:invertIfNegative val="0"/>
            <c:bubble3D val="0"/>
            <c:spPr>
              <a:solidFill>
                <a:srgbClr val="FFE69F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3543-4698-A2E1-EB949E33FC28}"/>
              </c:ext>
            </c:extLst>
          </c:dPt>
          <c:cat>
            <c:numRef>
              <c:f>Charts!$D$47:$G$47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Charts!$D$48:$G$48</c:f>
              <c:numCache>
                <c:formatCode>#,##0</c:formatCode>
                <c:ptCount val="4"/>
                <c:pt idx="0">
                  <c:v>15541</c:v>
                </c:pt>
                <c:pt idx="1">
                  <c:v>21594</c:v>
                </c:pt>
                <c:pt idx="2">
                  <c:v>29717</c:v>
                </c:pt>
                <c:pt idx="3">
                  <c:v>33592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43-4698-A2E1-EB949E33F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3439808"/>
        <c:axId val="1"/>
      </c:barChart>
      <c:scatterChart>
        <c:scatterStyle val="lineMarker"/>
        <c:varyColors val="0"/>
        <c:ser>
          <c:idx val="1"/>
          <c:order val="1"/>
          <c:tx>
            <c:strRef>
              <c:f>Charts!$A$49</c:f>
              <c:strCache>
                <c:ptCount val="1"/>
                <c:pt idx="0">
                  <c:v>YoY (%) RHS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C00000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Charts!$D$47:$G$47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xVal>
          <c:yVal>
            <c:numRef>
              <c:f>Charts!$D$49:$G$49</c:f>
              <c:numCache>
                <c:formatCode>0.0%</c:formatCode>
                <c:ptCount val="4"/>
                <c:pt idx="0">
                  <c:v>0.18678885070637641</c:v>
                </c:pt>
                <c:pt idx="1">
                  <c:v>0.38948587606975105</c:v>
                </c:pt>
                <c:pt idx="2">
                  <c:v>0.37616930628878387</c:v>
                </c:pt>
                <c:pt idx="3">
                  <c:v>0.13039674260524281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543-4698-A2E1-EB949E33F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catAx>
        <c:axId val="109343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439808"/>
        <c:crosses val="autoZero"/>
        <c:crossBetween val="between"/>
      </c:valAx>
      <c:valAx>
        <c:axId val="3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 sz="80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</a:defRPr>
                </a:pPr>
                <a:r>
                  <a:rPr lang="en-US" sz="800" b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</a:rPr>
                  <a:t>VNDbn</a:t>
                </a:r>
              </a:p>
            </c:rich>
          </c:tx>
          <c:layout>
            <c:manualLayout>
              <c:xMode val="edge"/>
              <c:yMode val="edge"/>
              <c:x val="9.0309079400176934E-3"/>
              <c:y val="5.4696885223015683E-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"/>
        <c:crosses val="max"/>
        <c:crossBetween val="midCat"/>
        <c:majorUnit val="0.1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1700553650552351"/>
          <c:y val="0.9034267081745001"/>
          <c:w val="0.56598892698895287"/>
          <c:h val="9.5283952527416241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r>
              <a:rPr lang="en-US" sz="800"/>
              <a:t>(VNDbn)</a:t>
            </a:r>
          </a:p>
        </c:rich>
      </c:tx>
      <c:layout>
        <c:manualLayout>
          <c:xMode val="edge"/>
          <c:yMode val="edge"/>
          <c:x val="2.9769907006195043E-2"/>
          <c:y val="2.79668612851964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688978546205036"/>
          <c:y val="0.15194444444444444"/>
          <c:w val="0.69141845235747368"/>
          <c:h val="0.5635717410323709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Charts!$A$376</c:f>
              <c:strCache>
                <c:ptCount val="1"/>
                <c:pt idx="0">
                  <c:v>Booked (Signed) revenue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Charts!$I$375:$L$375</c:f>
              <c:strCache>
                <c:ptCount val="4"/>
                <c:pt idx="0">
                  <c:v>9M20</c:v>
                </c:pt>
                <c:pt idx="1">
                  <c:v>9M21</c:v>
                </c:pt>
                <c:pt idx="2">
                  <c:v>9M22</c:v>
                </c:pt>
                <c:pt idx="3">
                  <c:v>9M23</c:v>
                </c:pt>
              </c:strCache>
            </c:strRef>
          </c:cat>
          <c:val>
            <c:numRef>
              <c:f>Charts!$I$376:$L$376</c:f>
              <c:numCache>
                <c:formatCode>#,##0</c:formatCode>
                <c:ptCount val="4"/>
                <c:pt idx="0">
                  <c:v>9595</c:v>
                </c:pt>
                <c:pt idx="1">
                  <c:v>12807</c:v>
                </c:pt>
                <c:pt idx="2" formatCode="_(* #,##0_);_(* \(#,##0\);_(* \-??_);_(@_)">
                  <c:v>16799</c:v>
                </c:pt>
                <c:pt idx="3" formatCode="_(* #,##0_);_(* \(#,##0\);_(* \-??_);_(@_)">
                  <c:v>20700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85-4B94-BBC1-9D6FA0D4B271}"/>
            </c:ext>
          </c:extLst>
        </c:ser>
        <c:ser>
          <c:idx val="2"/>
          <c:order val="2"/>
          <c:tx>
            <c:strRef>
              <c:f>Charts!$A$378</c:f>
              <c:strCache>
                <c:ptCount val="1"/>
                <c:pt idx="0">
                  <c:v>Billed revenue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Charts!$I$375:$L$375</c:f>
              <c:strCache>
                <c:ptCount val="4"/>
                <c:pt idx="0">
                  <c:v>9M20</c:v>
                </c:pt>
                <c:pt idx="1">
                  <c:v>9M21</c:v>
                </c:pt>
                <c:pt idx="2">
                  <c:v>9M22</c:v>
                </c:pt>
                <c:pt idx="3">
                  <c:v>9M23</c:v>
                </c:pt>
              </c:strCache>
            </c:strRef>
          </c:cat>
          <c:val>
            <c:numRef>
              <c:f>Charts!$I$378:$L$378</c:f>
              <c:numCache>
                <c:formatCode>#,##0</c:formatCode>
                <c:ptCount val="4"/>
                <c:pt idx="0">
                  <c:v>8779</c:v>
                </c:pt>
                <c:pt idx="1">
                  <c:v>10415</c:v>
                </c:pt>
                <c:pt idx="2" formatCode="_(* #,##0_);_(* \(#,##0\);_(* \-??_);_(@_)">
                  <c:v>13479</c:v>
                </c:pt>
                <c:pt idx="3" formatCode="_(* #,##0_);_(* \(#,##0\);_(* \-??_);_(@_)">
                  <c:v>17626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85-4B94-BBC1-9D6FA0D4B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2342528"/>
        <c:axId val="361563424"/>
      </c:barChart>
      <c:lineChart>
        <c:grouping val="standard"/>
        <c:varyColors val="0"/>
        <c:ser>
          <c:idx val="0"/>
          <c:order val="0"/>
          <c:tx>
            <c:strRef>
              <c:f>Charts!$A$379</c:f>
              <c:strCache>
                <c:ptCount val="1"/>
                <c:pt idx="0">
                  <c:v>Booked-to-billed (RHS)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Charts!$I$375:$L$375</c:f>
              <c:strCache>
                <c:ptCount val="4"/>
                <c:pt idx="0">
                  <c:v>9M20</c:v>
                </c:pt>
                <c:pt idx="1">
                  <c:v>9M21</c:v>
                </c:pt>
                <c:pt idx="2">
                  <c:v>9M22</c:v>
                </c:pt>
                <c:pt idx="3">
                  <c:v>9M23</c:v>
                </c:pt>
              </c:strCache>
            </c:strRef>
          </c:cat>
          <c:val>
            <c:numRef>
              <c:f>Charts!$I$379:$L$379</c:f>
              <c:numCache>
                <c:formatCode>0%</c:formatCode>
                <c:ptCount val="4"/>
                <c:pt idx="0">
                  <c:v>1.0929490830390705</c:v>
                </c:pt>
                <c:pt idx="1">
                  <c:v>1.22966874699952</c:v>
                </c:pt>
                <c:pt idx="2">
                  <c:v>1.2463090733733957</c:v>
                </c:pt>
                <c:pt idx="3">
                  <c:v>1.1744014523998638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85-4B94-BBC1-9D6FA0D4B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513536"/>
        <c:axId val="362000368"/>
      </c:lineChart>
      <c:catAx>
        <c:axId val="302342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US"/>
          </a:p>
        </c:txPr>
        <c:crossAx val="361563424"/>
        <c:crosses val="autoZero"/>
        <c:auto val="1"/>
        <c:lblAlgn val="ctr"/>
        <c:lblOffset val="100"/>
        <c:noMultiLvlLbl val="0"/>
      </c:catAx>
      <c:valAx>
        <c:axId val="361563424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US"/>
          </a:p>
        </c:txPr>
        <c:crossAx val="302342528"/>
        <c:crosses val="autoZero"/>
        <c:crossBetween val="between"/>
      </c:valAx>
      <c:valAx>
        <c:axId val="362000368"/>
        <c:scaling>
          <c:orientation val="minMax"/>
          <c:max val="1.3"/>
        </c:scaling>
        <c:delete val="0"/>
        <c:axPos val="r"/>
        <c:numFmt formatCode="0%" sourceLinked="1"/>
        <c:majorTickMark val="out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US"/>
          </a:p>
        </c:txPr>
        <c:crossAx val="500513536"/>
        <c:crosses val="max"/>
        <c:crossBetween val="between"/>
        <c:majorUnit val="0.1"/>
      </c:valAx>
      <c:catAx>
        <c:axId val="5005135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620003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Noto Sans" panose="020B0502040504020204" pitchFamily="34" charset="0"/>
          <a:ea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Chi phí bán hàng/ Doanh thu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3E1-4DAD-9B10-D2E0A235F4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PL!$CA$2:$CH$2</c:f>
            </c:multiLvlStrRef>
          </c:cat>
          <c:val>
            <c:numRef>
              <c:f>PL!$CA$19:$CH$19</c:f>
            </c:numRef>
          </c:val>
          <c:smooth val="0"/>
          <c:extLst>
            <c:ext xmlns:c16="http://schemas.microsoft.com/office/drawing/2014/chart" uri="{C3380CC4-5D6E-409C-BE32-E72D297353CC}">
              <c16:uniqueId val="{00000004-86AA-4202-9F52-035B023FA85D}"/>
            </c:ext>
          </c:extLst>
        </c:ser>
        <c:ser>
          <c:idx val="1"/>
          <c:order val="1"/>
          <c:tx>
            <c:v>Chi phí quản lý/ doanh thu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3E1-4DAD-9B10-D2E0A235F4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PL!$CA$2:$CH$2</c:f>
            </c:multiLvlStrRef>
          </c:cat>
          <c:val>
            <c:numRef>
              <c:f>PL!$CA$22:$CH$22</c:f>
            </c:numRef>
          </c:val>
          <c:smooth val="0"/>
          <c:extLst>
            <c:ext xmlns:c16="http://schemas.microsoft.com/office/drawing/2014/chart" uri="{C3380CC4-5D6E-409C-BE32-E72D297353CC}">
              <c16:uniqueId val="{00000005-86AA-4202-9F52-035B023FA85D}"/>
            </c:ext>
          </c:extLst>
        </c:ser>
        <c:ser>
          <c:idx val="2"/>
          <c:order val="2"/>
          <c:tx>
            <c:v>Biên LNHĐ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3E1-4DAD-9B10-D2E0A235F4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PL!$CA$2:$CH$2</c:f>
            </c:multiLvlStrRef>
          </c:cat>
          <c:val>
            <c:numRef>
              <c:f>PL!$CA$26:$CH$26</c:f>
            </c:numRef>
          </c:val>
          <c:smooth val="0"/>
          <c:extLst>
            <c:ext xmlns:c16="http://schemas.microsoft.com/office/drawing/2014/chart" uri="{C3380CC4-5D6E-409C-BE32-E72D297353CC}">
              <c16:uniqueId val="{00000006-86AA-4202-9F52-035B023FA85D}"/>
            </c:ext>
          </c:extLst>
        </c:ser>
        <c:ser>
          <c:idx val="3"/>
          <c:order val="3"/>
          <c:tx>
            <c:v>Biên lợi nhuận ròng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3E1-4DAD-9B10-D2E0A235F4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PL!$CA$2:$CH$2</c:f>
            </c:multiLvlStrRef>
          </c:cat>
          <c:val>
            <c:numRef>
              <c:f>PL!$CA$57:$CH$57</c:f>
            </c:numRef>
          </c:val>
          <c:smooth val="0"/>
          <c:extLst>
            <c:ext xmlns:c16="http://schemas.microsoft.com/office/drawing/2014/chart" uri="{C3380CC4-5D6E-409C-BE32-E72D297353CC}">
              <c16:uniqueId val="{00000007-86AA-4202-9F52-035B023FA85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9463840"/>
        <c:axId val="179444160"/>
      </c:lineChart>
      <c:catAx>
        <c:axId val="17946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US"/>
          </a:p>
        </c:txPr>
        <c:crossAx val="179444160"/>
        <c:crosses val="autoZero"/>
        <c:auto val="1"/>
        <c:lblAlgn val="ctr"/>
        <c:lblOffset val="100"/>
        <c:noMultiLvlLbl val="0"/>
      </c:catAx>
      <c:valAx>
        <c:axId val="179444160"/>
        <c:scaling>
          <c:orientation val="minMax"/>
          <c:max val="0.2"/>
          <c:min val="5.000000000000001E-2"/>
        </c:scaling>
        <c:delete val="1"/>
        <c:axPos val="l"/>
        <c:numFmt formatCode="0.0%" sourceLinked="1"/>
        <c:majorTickMark val="none"/>
        <c:minorTickMark val="none"/>
        <c:tickLblPos val="nextTo"/>
        <c:crossAx val="17946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Noto Sans" panose="020B0502040504020204" pitchFamily="34" charset="0"/>
          <a:ea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Charts!$B$435</c:f>
              <c:strCache>
                <c:ptCount val="1"/>
                <c:pt idx="0">
                  <c:v>Net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Charts!$D$433:$H$433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Charts!$D$435:$H$435</c:f>
              <c:numCache>
                <c:formatCode>#,##0.0</c:formatCode>
                <c:ptCount val="5"/>
                <c:pt idx="0">
                  <c:v>1193.3077949057131</c:v>
                </c:pt>
                <c:pt idx="1">
                  <c:v>1283.8010211234291</c:v>
                </c:pt>
                <c:pt idx="2">
                  <c:v>1554.641722402642</c:v>
                </c:pt>
                <c:pt idx="3">
                  <c:v>1880.0259592853604</c:v>
                </c:pt>
                <c:pt idx="4">
                  <c:v>2304.1645133729639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2B-4C7F-83B7-9452ABD7116A}"/>
            </c:ext>
          </c:extLst>
        </c:ser>
        <c:ser>
          <c:idx val="1"/>
          <c:order val="1"/>
          <c:tx>
            <c:strRef>
              <c:f>Charts!$B$437</c:f>
              <c:strCache>
                <c:ptCount val="1"/>
                <c:pt idx="0">
                  <c:v>Profit after tax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Charts!$D$433:$H$433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Charts!$D$437:$H$437</c:f>
              <c:numCache>
                <c:formatCode>0.0</c:formatCode>
                <c:ptCount val="5"/>
                <c:pt idx="0">
                  <c:v>134.98731548000168</c:v>
                </c:pt>
                <c:pt idx="1">
                  <c:v>152.26406174995691</c:v>
                </c:pt>
                <c:pt idx="2">
                  <c:v>189.10934250967915</c:v>
                </c:pt>
                <c:pt idx="3">
                  <c:v>226.84047124644374</c:v>
                </c:pt>
                <c:pt idx="4">
                  <c:v>283.11396184191614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2B-4C7F-83B7-9452ABD711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axId val="661517968"/>
        <c:axId val="661515088"/>
      </c:barChart>
      <c:lineChart>
        <c:grouping val="percentStacked"/>
        <c:varyColors val="0"/>
        <c:ser>
          <c:idx val="2"/>
          <c:order val="2"/>
          <c:tx>
            <c:strRef>
              <c:f>Charts!$B$438</c:f>
              <c:strCache>
                <c:ptCount val="1"/>
                <c:pt idx="0">
                  <c:v>PAT YoY growth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numRef>
              <c:f>Charts!$D$433:$H$433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Charts!$D$438:$H$438</c:f>
              <c:numCache>
                <c:formatCode>0.0%</c:formatCode>
                <c:ptCount val="5"/>
                <c:pt idx="0">
                  <c:v>-4.8743463392434072E-2</c:v>
                </c:pt>
                <c:pt idx="1">
                  <c:v>0.12798792396545422</c:v>
                </c:pt>
                <c:pt idx="2">
                  <c:v>0.24198277870866436</c:v>
                </c:pt>
                <c:pt idx="3">
                  <c:v>0.19952017301754088</c:v>
                </c:pt>
                <c:pt idx="4">
                  <c:v>0.24807517938161849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92B-4C7F-83B7-9452ABD71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1546288"/>
        <c:axId val="661548208"/>
      </c:lineChart>
      <c:catAx>
        <c:axId val="661517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US"/>
          </a:p>
        </c:txPr>
        <c:crossAx val="661515088"/>
        <c:crosses val="autoZero"/>
        <c:auto val="1"/>
        <c:lblAlgn val="ctr"/>
        <c:lblOffset val="100"/>
        <c:noMultiLvlLbl val="0"/>
      </c:catAx>
      <c:valAx>
        <c:axId val="661515088"/>
        <c:scaling>
          <c:orientation val="minMax"/>
        </c:scaling>
        <c:delete val="1"/>
        <c:axPos val="l"/>
        <c:numFmt formatCode="#,##0.0" sourceLinked="1"/>
        <c:majorTickMark val="none"/>
        <c:minorTickMark val="none"/>
        <c:tickLblPos val="nextTo"/>
        <c:crossAx val="661517968"/>
        <c:crosses val="autoZero"/>
        <c:crossBetween val="between"/>
      </c:valAx>
      <c:valAx>
        <c:axId val="661548208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US"/>
          </a:p>
        </c:txPr>
        <c:crossAx val="661546288"/>
        <c:crosses val="max"/>
        <c:crossBetween val="between"/>
      </c:valAx>
      <c:catAx>
        <c:axId val="6615462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615482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latin typeface="Noto Sans" panose="020B0502040504020204" pitchFamily="34" charset="0"/>
          <a:ea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(US$mn)</a:t>
            </a:r>
          </a:p>
        </c:rich>
      </c:tx>
      <c:layout>
        <c:manualLayout>
          <c:xMode val="edge"/>
          <c:yMode val="edge"/>
          <c:x val="9.5466857016485567E-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12270341207349"/>
          <c:y val="0.10648148148148148"/>
          <c:w val="0.77944903762029749"/>
          <c:h val="0.680215806357538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Charts!$B$435</c:f>
              <c:strCache>
                <c:ptCount val="1"/>
                <c:pt idx="0">
                  <c:v>Net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Charts!$D$433:$H$433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Charts!$D$435:$H$435</c:f>
              <c:numCache>
                <c:formatCode>#,##0.0</c:formatCode>
                <c:ptCount val="5"/>
                <c:pt idx="0">
                  <c:v>1193.3077949057131</c:v>
                </c:pt>
                <c:pt idx="1">
                  <c:v>1283.8010211234291</c:v>
                </c:pt>
                <c:pt idx="2">
                  <c:v>1554.641722402642</c:v>
                </c:pt>
                <c:pt idx="3">
                  <c:v>1880.0259592853604</c:v>
                </c:pt>
                <c:pt idx="4">
                  <c:v>2304.1645133729639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FB-4ACC-8A53-20C05492A41C}"/>
            </c:ext>
          </c:extLst>
        </c:ser>
        <c:ser>
          <c:idx val="1"/>
          <c:order val="1"/>
          <c:tx>
            <c:strRef>
              <c:f>Charts!$B$437</c:f>
              <c:strCache>
                <c:ptCount val="1"/>
                <c:pt idx="0">
                  <c:v>Profit after tax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Charts!$D$433:$H$433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Charts!$D$437:$H$437</c:f>
              <c:numCache>
                <c:formatCode>0.0</c:formatCode>
                <c:ptCount val="5"/>
                <c:pt idx="0">
                  <c:v>134.98731548000168</c:v>
                </c:pt>
                <c:pt idx="1">
                  <c:v>152.26406174995691</c:v>
                </c:pt>
                <c:pt idx="2">
                  <c:v>189.10934250967915</c:v>
                </c:pt>
                <c:pt idx="3">
                  <c:v>226.84047124644374</c:v>
                </c:pt>
                <c:pt idx="4">
                  <c:v>283.11396184191614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FB-4ACC-8A53-20C05492A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7049328"/>
        <c:axId val="597028208"/>
      </c:barChart>
      <c:lineChart>
        <c:grouping val="standard"/>
        <c:varyColors val="0"/>
        <c:ser>
          <c:idx val="2"/>
          <c:order val="2"/>
          <c:tx>
            <c:strRef>
              <c:f>Charts!$B$438</c:f>
              <c:strCache>
                <c:ptCount val="1"/>
                <c:pt idx="0">
                  <c:v>PAT YoY growth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Charts!$D$433:$H$433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Charts!$D$438:$H$438</c:f>
              <c:numCache>
                <c:formatCode>0.0%</c:formatCode>
                <c:ptCount val="5"/>
                <c:pt idx="0">
                  <c:v>-4.8743463392434072E-2</c:v>
                </c:pt>
                <c:pt idx="1">
                  <c:v>0.12798792396545422</c:v>
                </c:pt>
                <c:pt idx="2">
                  <c:v>0.24198277870866436</c:v>
                </c:pt>
                <c:pt idx="3">
                  <c:v>0.19952017301754088</c:v>
                </c:pt>
                <c:pt idx="4">
                  <c:v>0.24807517938161849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FB-4ACC-8A53-20C05492A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7040688"/>
        <c:axId val="597037328"/>
      </c:lineChart>
      <c:catAx>
        <c:axId val="59704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028208"/>
        <c:crosses val="autoZero"/>
        <c:auto val="1"/>
        <c:lblAlgn val="ctr"/>
        <c:lblOffset val="100"/>
        <c:noMultiLvlLbl val="0"/>
      </c:catAx>
      <c:valAx>
        <c:axId val="597028208"/>
        <c:scaling>
          <c:orientation val="minMax"/>
        </c:scaling>
        <c:delete val="0"/>
        <c:axPos val="l"/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049328"/>
        <c:crosses val="autoZero"/>
        <c:crossBetween val="between"/>
      </c:valAx>
      <c:valAx>
        <c:axId val="597037328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040688"/>
        <c:crosses val="max"/>
        <c:crossBetween val="between"/>
      </c:valAx>
      <c:catAx>
        <c:axId val="5970406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970373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5219920035533451E-2"/>
          <c:y val="0.11659733158355205"/>
          <c:w val="0.87997980472934323"/>
          <c:h val="0.72208770778652653"/>
        </c:manualLayout>
      </c:layout>
      <c:lineChart>
        <c:grouping val="standard"/>
        <c:varyColors val="0"/>
        <c:ser>
          <c:idx val="0"/>
          <c:order val="0"/>
          <c:tx>
            <c:v>CNTT (Trong Nước)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Charts!$O$68:$T$68</c:f>
              <c:strCache>
                <c:ptCount val="6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</c:strCache>
            </c:strRef>
          </c:cat>
          <c:val>
            <c:numRef>
              <c:f>Charts!$O$69:$T$69</c:f>
              <c:numCache>
                <c:formatCode>0.0%</c:formatCode>
                <c:ptCount val="6"/>
                <c:pt idx="0">
                  <c:v>1.2241648898365317E-2</c:v>
                </c:pt>
                <c:pt idx="1">
                  <c:v>9.8071428571428573E-2</c:v>
                </c:pt>
                <c:pt idx="2">
                  <c:v>4.1231732776617944E-2</c:v>
                </c:pt>
                <c:pt idx="3">
                  <c:v>5.6828193832599121E-2</c:v>
                </c:pt>
                <c:pt idx="4">
                  <c:v>2.7853260869565216E-2</c:v>
                </c:pt>
                <c:pt idx="5">
                  <c:v>5.7086614173228349E-2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11-4B6E-BBC3-DE5E1EEAB6DE}"/>
            </c:ext>
          </c:extLst>
        </c:ser>
        <c:ser>
          <c:idx val="1"/>
          <c:order val="1"/>
          <c:tx>
            <c:v>CNTT (Nước Ngoài)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Charts!$O$68:$T$68</c:f>
              <c:strCache>
                <c:ptCount val="6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</c:strCache>
            </c:strRef>
          </c:cat>
          <c:val>
            <c:numRef>
              <c:f>Charts!$O$70:$T$70</c:f>
              <c:numCache>
                <c:formatCode>0.0%</c:formatCode>
                <c:ptCount val="6"/>
                <c:pt idx="0">
                  <c:v>0.16336431466380374</c:v>
                </c:pt>
                <c:pt idx="1">
                  <c:v>0.16334856799953154</c:v>
                </c:pt>
                <c:pt idx="2">
                  <c:v>0.1631504922644163</c:v>
                </c:pt>
                <c:pt idx="3">
                  <c:v>0.13569498649054335</c:v>
                </c:pt>
                <c:pt idx="4">
                  <c:v>0.15930847263894843</c:v>
                </c:pt>
                <c:pt idx="5">
                  <c:v>0.15566411407446529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11-4B6E-BBC3-DE5E1EEAB6DE}"/>
            </c:ext>
          </c:extLst>
        </c:ser>
        <c:ser>
          <c:idx val="2"/>
          <c:order val="2"/>
          <c:tx>
            <c:v>Viễn thông</c:v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Charts!$O$68:$T$68</c:f>
              <c:strCache>
                <c:ptCount val="6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</c:strCache>
            </c:strRef>
          </c:cat>
          <c:val>
            <c:numRef>
              <c:f>Charts!$O$71:$T$71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11-4B6E-BBC3-DE5E1EEAB6DE}"/>
            </c:ext>
          </c:extLst>
        </c:ser>
        <c:ser>
          <c:idx val="3"/>
          <c:order val="3"/>
          <c:tx>
            <c:v>Giáo dục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Charts!$O$68:$T$68</c:f>
              <c:strCache>
                <c:ptCount val="6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</c:strCache>
            </c:strRef>
          </c:cat>
          <c:val>
            <c:numRef>
              <c:f>Charts!$O$72:$T$72</c:f>
              <c:numCache>
                <c:formatCode>0.0%</c:formatCode>
                <c:ptCount val="6"/>
                <c:pt idx="0">
                  <c:v>7.0672491284076121E-3</c:v>
                </c:pt>
                <c:pt idx="1">
                  <c:v>0.24013262340326796</c:v>
                </c:pt>
                <c:pt idx="2">
                  <c:v>0.27272727272727271</c:v>
                </c:pt>
                <c:pt idx="3">
                  <c:v>0.28502415458937197</c:v>
                </c:pt>
                <c:pt idx="4">
                  <c:v>0.15748031496062992</c:v>
                </c:pt>
                <c:pt idx="5">
                  <c:v>0.27814569536423839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11-4B6E-BBC3-DE5E1EEAB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3419600"/>
        <c:axId val="1"/>
      </c:lineChart>
      <c:catAx>
        <c:axId val="109341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0.5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419600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Charts!$T$531</c:f>
              <c:strCache>
                <c:ptCount val="1"/>
                <c:pt idx="0">
                  <c:v>8M23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Charts!$S$532:$S$533</c:f>
              <c:strCache>
                <c:ptCount val="2"/>
                <c:pt idx="0">
                  <c:v>Revenue</c:v>
                </c:pt>
                <c:pt idx="1">
                  <c:v>FPT’s Profit-After-Tax</c:v>
                </c:pt>
              </c:strCache>
            </c:strRef>
          </c:cat>
          <c:val>
            <c:numRef>
              <c:f>Charts!$T$532:$T$533</c:f>
              <c:numCache>
                <c:formatCode>_(* #,##0.00_);_(* \(#,##0.00\);_(* "-"??_);_(@_)</c:formatCode>
                <c:ptCount val="2"/>
                <c:pt idx="0">
                  <c:v>1390.9322033898304</c:v>
                </c:pt>
                <c:pt idx="1">
                  <c:v>211.61016949152543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B2-4D2D-848B-4FE8EEEA0FE9}"/>
            </c:ext>
          </c:extLst>
        </c:ser>
        <c:ser>
          <c:idx val="1"/>
          <c:order val="1"/>
          <c:tx>
            <c:strRef>
              <c:f>Charts!$U$531</c:f>
              <c:strCache>
                <c:ptCount val="1"/>
                <c:pt idx="0">
                  <c:v>8M24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Charts!$S$532:$S$533</c:f>
              <c:strCache>
                <c:ptCount val="2"/>
                <c:pt idx="0">
                  <c:v>Revenue</c:v>
                </c:pt>
                <c:pt idx="1">
                  <c:v>FPT’s Profit-After-Tax</c:v>
                </c:pt>
              </c:strCache>
            </c:strRef>
          </c:cat>
          <c:val>
            <c:numRef>
              <c:f>Charts!$U$532:$U$533</c:f>
              <c:numCache>
                <c:formatCode>_(* #,##0.00_);_(* \(#,##0.00\);_(* "-"??_);_(@_)</c:formatCode>
                <c:ptCount val="2"/>
                <c:pt idx="0">
                  <c:v>1652.6666666666667</c:v>
                </c:pt>
                <c:pt idx="1">
                  <c:v>251.20833333333334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B2-4D2D-848B-4FE8EEEA0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4647568"/>
        <c:axId val="874643728"/>
      </c:barChart>
      <c:lineChart>
        <c:grouping val="standard"/>
        <c:varyColors val="0"/>
        <c:ser>
          <c:idx val="2"/>
          <c:order val="2"/>
          <c:tx>
            <c:strRef>
              <c:f>Charts!$V$526</c:f>
              <c:strCache>
                <c:ptCount val="1"/>
                <c:pt idx="0">
                  <c:v>Change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Charts!$S$527:$S$528</c:f>
              <c:strCache>
                <c:ptCount val="2"/>
                <c:pt idx="0">
                  <c:v>Revenue</c:v>
                </c:pt>
                <c:pt idx="1">
                  <c:v>FPT’s Profit-After-Tax</c:v>
                </c:pt>
              </c:strCache>
            </c:strRef>
          </c:cat>
          <c:val>
            <c:numRef>
              <c:f>Charts!$V$527:$V$528</c:f>
              <c:numCache>
                <c:formatCode>0.0%</c:formatCode>
                <c:ptCount val="2"/>
                <c:pt idx="0">
                  <c:v>0.20831048559069032</c:v>
                </c:pt>
                <c:pt idx="1">
                  <c:v>0.20724869843812566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B2-4D2D-848B-4FE8EEEA0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4634128"/>
        <c:axId val="874629328"/>
      </c:lineChart>
      <c:catAx>
        <c:axId val="87464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643728"/>
        <c:crosses val="autoZero"/>
        <c:auto val="1"/>
        <c:lblAlgn val="ctr"/>
        <c:lblOffset val="100"/>
        <c:noMultiLvlLbl val="0"/>
      </c:catAx>
      <c:valAx>
        <c:axId val="874643728"/>
        <c:scaling>
          <c:orientation val="minMax"/>
        </c:scaling>
        <c:delete val="0"/>
        <c:axPos val="l"/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647568"/>
        <c:crosses val="autoZero"/>
        <c:crossBetween val="between"/>
      </c:valAx>
      <c:valAx>
        <c:axId val="874629328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634128"/>
        <c:crosses val="max"/>
        <c:crossBetween val="between"/>
      </c:valAx>
      <c:catAx>
        <c:axId val="8746341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746293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r>
              <a:rPr lang="en-US" sz="900" dirty="0"/>
              <a:t>(</a:t>
            </a:r>
            <a:r>
              <a:rPr lang="en-US" sz="900" dirty="0" err="1"/>
              <a:t>US$mn</a:t>
            </a:r>
            <a:r>
              <a:rPr lang="en-US" sz="900" dirty="0"/>
              <a:t>)</a:t>
            </a:r>
          </a:p>
        </c:rich>
      </c:tx>
      <c:layout>
        <c:manualLayout>
          <c:xMode val="edge"/>
          <c:yMode val="edge"/>
          <c:x val="4.6736292428196425E-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43118239462887"/>
          <c:y val="0.11123663839600645"/>
          <c:w val="0.79938996643043636"/>
          <c:h val="0.6153657259633482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CAB1-47CE-805C-E1CC5CF92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1021263"/>
        <c:axId val="631018383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tx2">
                  <a:lumMod val="90000"/>
                  <a:lumOff val="1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CAB1-47CE-805C-E1CC5CF92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1026063"/>
        <c:axId val="631025583"/>
      </c:lineChart>
      <c:catAx>
        <c:axId val="631021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631018383"/>
        <c:crosses val="autoZero"/>
        <c:auto val="1"/>
        <c:lblAlgn val="ctr"/>
        <c:lblOffset val="100"/>
        <c:noMultiLvlLbl val="0"/>
      </c:catAx>
      <c:valAx>
        <c:axId val="631018383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631021263"/>
        <c:crosses val="autoZero"/>
        <c:crossBetween val="between"/>
        <c:dispUnits>
          <c:builtInUnit val="millions"/>
        </c:dispUnits>
      </c:valAx>
      <c:valAx>
        <c:axId val="631025583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631026063"/>
        <c:crosses val="max"/>
        <c:crossBetween val="between"/>
      </c:valAx>
      <c:catAx>
        <c:axId val="6310260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310255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Construction</a:t>
            </a:r>
            <a:r>
              <a:rPr lang="en-US" baseline="0"/>
              <a:t> in progress (Amount regconized)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Charts!$C$547</c:f>
              <c:strCache>
                <c:ptCount val="1"/>
                <c:pt idx="0">
                  <c:v>2Q24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Charts!$B$548:$B$554</c:f>
              <c:strCache>
                <c:ptCount val="7"/>
                <c:pt idx="0">
                  <c:v>District 9 Data Center</c:v>
                </c:pt>
                <c:pt idx="1">
                  <c:v>F-Town 3</c:v>
                </c:pt>
                <c:pt idx="2">
                  <c:v>FPT Complex 3</c:v>
                </c:pt>
                <c:pt idx="3">
                  <c:v>FPT Education Complex in Thanh Hoa</c:v>
                </c:pt>
                <c:pt idx="4">
                  <c:v>F-Ville 3</c:v>
                </c:pt>
                <c:pt idx="5">
                  <c:v>FPT University in Da Nang</c:v>
                </c:pt>
                <c:pt idx="6">
                  <c:v>Other projects</c:v>
                </c:pt>
              </c:strCache>
            </c:strRef>
          </c:cat>
          <c:val>
            <c:numRef>
              <c:f>Charts!$C$548:$C$554</c:f>
              <c:numCache>
                <c:formatCode>_(* #,##0_);_(* \(#,##0\);_(* \-??_);_(@_)</c:formatCode>
                <c:ptCount val="7"/>
                <c:pt idx="0">
                  <c:v>250294828503</c:v>
                </c:pt>
                <c:pt idx="1">
                  <c:v>216732963301</c:v>
                </c:pt>
                <c:pt idx="2">
                  <c:v>165181669988</c:v>
                </c:pt>
                <c:pt idx="3">
                  <c:v>159854010176</c:v>
                </c:pt>
                <c:pt idx="4">
                  <c:v>9560404</c:v>
                </c:pt>
                <c:pt idx="5">
                  <c:v>0</c:v>
                </c:pt>
                <c:pt idx="6">
                  <c:v>683231858178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05-4FF4-AFF0-E89C7525E2EE}"/>
            </c:ext>
          </c:extLst>
        </c:ser>
        <c:ser>
          <c:idx val="1"/>
          <c:order val="1"/>
          <c:tx>
            <c:strRef>
              <c:f>Charts!$D$547</c:f>
              <c:strCache>
                <c:ptCount val="1"/>
                <c:pt idx="0">
                  <c:v>FY23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Charts!$B$548:$B$554</c:f>
              <c:strCache>
                <c:ptCount val="7"/>
                <c:pt idx="0">
                  <c:v>District 9 Data Center</c:v>
                </c:pt>
                <c:pt idx="1">
                  <c:v>F-Town 3</c:v>
                </c:pt>
                <c:pt idx="2">
                  <c:v>FPT Complex 3</c:v>
                </c:pt>
                <c:pt idx="3">
                  <c:v>FPT Education Complex in Thanh Hoa</c:v>
                </c:pt>
                <c:pt idx="4">
                  <c:v>F-Ville 3</c:v>
                </c:pt>
                <c:pt idx="5">
                  <c:v>FPT University in Da Nang</c:v>
                </c:pt>
                <c:pt idx="6">
                  <c:v>Other projects</c:v>
                </c:pt>
              </c:strCache>
            </c:strRef>
          </c:cat>
          <c:val>
            <c:numRef>
              <c:f>Charts!$D$548:$D$554</c:f>
              <c:numCache>
                <c:formatCode>_(* #,##0_);_(* \(#,##0\);_(* \-??_);_(@_)</c:formatCode>
                <c:ptCount val="7"/>
                <c:pt idx="0">
                  <c:v>244969980018</c:v>
                </c:pt>
                <c:pt idx="1">
                  <c:v>83036272577</c:v>
                </c:pt>
                <c:pt idx="2">
                  <c:v>87456044510</c:v>
                </c:pt>
                <c:pt idx="3">
                  <c:v>334956000</c:v>
                </c:pt>
                <c:pt idx="4">
                  <c:v>321563703766</c:v>
                </c:pt>
                <c:pt idx="5">
                  <c:v>207533396502</c:v>
                </c:pt>
                <c:pt idx="6">
                  <c:v>370375782630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05-4FF4-AFF0-E89C7525E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8065215"/>
        <c:axId val="798068095"/>
      </c:barChart>
      <c:catAx>
        <c:axId val="79806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068095"/>
        <c:crosses val="autoZero"/>
        <c:auto val="1"/>
        <c:lblAlgn val="ctr"/>
        <c:lblOffset val="100"/>
        <c:noMultiLvlLbl val="0"/>
      </c:catAx>
      <c:valAx>
        <c:axId val="798068095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065215"/>
        <c:crosses val="autoZero"/>
        <c:crossBetween val="between"/>
        <c:dispUnits>
          <c:builtInUnit val="billions"/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Charts!$C$561</c:f>
              <c:strCache>
                <c:ptCount val="1"/>
                <c:pt idx="0">
                  <c:v>VND Equivalent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Charts!$B$562:$B$565</c:f>
              <c:strCache>
                <c:ptCount val="4"/>
                <c:pt idx="0">
                  <c:v>Euro (EUR)</c:v>
                </c:pt>
                <c:pt idx="1">
                  <c:v>US Dollars (USD)</c:v>
                </c:pt>
                <c:pt idx="2">
                  <c:v>Japanese Yen (JPY)</c:v>
                </c:pt>
                <c:pt idx="3">
                  <c:v>Vietnamese Dong (VND)</c:v>
                </c:pt>
              </c:strCache>
            </c:strRef>
          </c:cat>
          <c:val>
            <c:numRef>
              <c:f>Charts!$C$562:$C$565</c:f>
              <c:numCache>
                <c:formatCode>_(* #,##0_);_(* \(#,##0\);_(* \-??_);_(@_)</c:formatCode>
                <c:ptCount val="4"/>
                <c:pt idx="0">
                  <c:v>13980334371</c:v>
                </c:pt>
                <c:pt idx="1">
                  <c:v>3126537097825</c:v>
                </c:pt>
                <c:pt idx="2">
                  <c:v>1316348547240</c:v>
                </c:pt>
                <c:pt idx="3">
                  <c:v>12045679181919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CD-4D3D-BB09-2FA32549D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07395631"/>
        <c:axId val="807385551"/>
      </c:barChart>
      <c:catAx>
        <c:axId val="80739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385551"/>
        <c:crosses val="autoZero"/>
        <c:auto val="1"/>
        <c:lblAlgn val="ctr"/>
        <c:lblOffset val="100"/>
        <c:noMultiLvlLbl val="0"/>
      </c:catAx>
      <c:valAx>
        <c:axId val="807385551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395631"/>
        <c:crosses val="autoZero"/>
        <c:crossBetween val="between"/>
        <c:dispUnits>
          <c:builtInUnit val="b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Charts!$C$1580</c:f>
              <c:strCache>
                <c:ptCount val="1"/>
                <c:pt idx="0">
                  <c:v>Digital Transformation Spending (US$bn)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Charts!$B$1581:$B$1585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Charts!$C$1581:$C$1585</c:f>
              <c:numCache>
                <c:formatCode>General</c:formatCode>
                <c:ptCount val="5"/>
                <c:pt idx="0">
                  <c:v>2200</c:v>
                </c:pt>
                <c:pt idx="1">
                  <c:v>2500</c:v>
                </c:pt>
                <c:pt idx="2">
                  <c:v>3000</c:v>
                </c:pt>
                <c:pt idx="3">
                  <c:v>3400</c:v>
                </c:pt>
                <c:pt idx="4">
                  <c:v>3900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53-4066-8597-9E7EA7A7449A}"/>
            </c:ext>
          </c:extLst>
        </c:ser>
        <c:ser>
          <c:idx val="1"/>
          <c:order val="1"/>
          <c:tx>
            <c:strRef>
              <c:f>Charts!$D$1580</c:f>
              <c:strCache>
                <c:ptCount val="1"/>
                <c:pt idx="0">
                  <c:v>ICT Spending (US$bn)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Charts!$B$1581:$B$1585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Charts!$D$1581:$D$1585</c:f>
              <c:numCache>
                <c:formatCode>General</c:formatCode>
                <c:ptCount val="5"/>
                <c:pt idx="0">
                  <c:v>4200</c:v>
                </c:pt>
                <c:pt idx="1">
                  <c:v>4500</c:v>
                </c:pt>
                <c:pt idx="2">
                  <c:v>5000</c:v>
                </c:pt>
                <c:pt idx="3">
                  <c:v>5400</c:v>
                </c:pt>
                <c:pt idx="4">
                  <c:v>5900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53-4066-8597-9E7EA7A7449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323238031"/>
        <c:axId val="1323236591"/>
      </c:barChart>
      <c:catAx>
        <c:axId val="1323238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236591"/>
        <c:crosses val="autoZero"/>
        <c:auto val="1"/>
        <c:lblAlgn val="ctr"/>
        <c:lblOffset val="100"/>
        <c:noMultiLvlLbl val="0"/>
      </c:catAx>
      <c:valAx>
        <c:axId val="1323236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238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7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r>
              <a:rPr lang="en-US" sz="700"/>
              <a:t>(tỷ đồng)</a:t>
            </a:r>
          </a:p>
        </c:rich>
      </c:tx>
      <c:layout>
        <c:manualLayout>
          <c:xMode val="edge"/>
          <c:yMode val="edge"/>
          <c:x val="1.4150545996565246E-2"/>
          <c:y val="8.82028665931642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17664542773904"/>
          <c:y val="0.21613464248611705"/>
          <c:w val="0.71893622724768835"/>
          <c:h val="0.6133525481310425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Charts!$A$48</c:f>
              <c:strCache>
                <c:ptCount val="1"/>
                <c:pt idx="0">
                  <c:v>Signed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Charts!$D$47:$J$47</c:f>
              <c:strCach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7M25</c:v>
                </c:pt>
                <c:pt idx="5">
                  <c:v>8M25</c:v>
                </c:pt>
                <c:pt idx="6">
                  <c:v>9M25</c:v>
                </c:pt>
              </c:strCache>
            </c:strRef>
          </c:cat>
          <c:val>
            <c:numRef>
              <c:f>Charts!$D$48:$J$48</c:f>
              <c:numCache>
                <c:formatCode>#,##0</c:formatCode>
                <c:ptCount val="7"/>
                <c:pt idx="0">
                  <c:v>15541</c:v>
                </c:pt>
                <c:pt idx="1">
                  <c:v>21594</c:v>
                </c:pt>
                <c:pt idx="2">
                  <c:v>29717</c:v>
                </c:pt>
                <c:pt idx="3">
                  <c:v>33592</c:v>
                </c:pt>
                <c:pt idx="4">
                  <c:v>23370</c:v>
                </c:pt>
                <c:pt idx="5">
                  <c:v>25970</c:v>
                </c:pt>
                <c:pt idx="6">
                  <c:v>29363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9C-4F0F-882C-A54C7D63D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66310896"/>
        <c:axId val="966333456"/>
      </c:barChart>
      <c:lineChart>
        <c:grouping val="standard"/>
        <c:varyColors val="0"/>
        <c:ser>
          <c:idx val="2"/>
          <c:order val="1"/>
          <c:tx>
            <c:strRef>
              <c:f>Charts!$A$49</c:f>
              <c:strCache>
                <c:ptCount val="1"/>
                <c:pt idx="0">
                  <c:v>YoY (%) RHS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triangle"/>
            <c:size val="4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cat>
            <c:strRef>
              <c:f>Charts!$D$47:$I$47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7M25</c:v>
                </c:pt>
                <c:pt idx="5">
                  <c:v>8M25</c:v>
                </c:pt>
              </c:strCache>
            </c:strRef>
          </c:cat>
          <c:val>
            <c:numRef>
              <c:f>Charts!$D$49:$J$49</c:f>
              <c:numCache>
                <c:formatCode>0.0%</c:formatCode>
                <c:ptCount val="7"/>
                <c:pt idx="0">
                  <c:v>0.18678885070637641</c:v>
                </c:pt>
                <c:pt idx="1">
                  <c:v>0.38948587606975105</c:v>
                </c:pt>
                <c:pt idx="2">
                  <c:v>0.37616930628878387</c:v>
                </c:pt>
                <c:pt idx="3">
                  <c:v>0.13039674260524281</c:v>
                </c:pt>
                <c:pt idx="4">
                  <c:v>7.6999999999999999E-2</c:v>
                </c:pt>
                <c:pt idx="5" formatCode="0.00%">
                  <c:v>0.122</c:v>
                </c:pt>
                <c:pt idx="6" formatCode="0.00%">
                  <c:v>0.14399999999999999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9C-4F0F-882C-A54C7D63D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6359856"/>
        <c:axId val="966358896"/>
      </c:lineChart>
      <c:catAx>
        <c:axId val="96631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966333456"/>
        <c:crosses val="autoZero"/>
        <c:auto val="1"/>
        <c:lblAlgn val="ctr"/>
        <c:lblOffset val="100"/>
        <c:noMultiLvlLbl val="0"/>
      </c:catAx>
      <c:valAx>
        <c:axId val="966333456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966310896"/>
        <c:crosses val="autoZero"/>
        <c:crossBetween val="between"/>
      </c:valAx>
      <c:valAx>
        <c:axId val="966358896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966359856"/>
        <c:crosses val="max"/>
        <c:crossBetween val="between"/>
      </c:valAx>
      <c:catAx>
        <c:axId val="9663598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663588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6639595134783236"/>
          <c:y val="3.8956266078647574E-3"/>
          <c:w val="0.64371330688041095"/>
          <c:h val="0.113447753981138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04707704711119E-2"/>
          <c:y val="0.19449869587111035"/>
          <c:w val="0.86007398342876151"/>
          <c:h val="0.6822408059541673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Charts!$B$33</c:f>
              <c:strCache>
                <c:ptCount val="1"/>
                <c:pt idx="0">
                  <c:v>KH với doanh thu &gt;US$500k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Charts!$A$34:$A$37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Charts!$B$34:$B$37</c:f>
              <c:numCache>
                <c:formatCode>General</c:formatCode>
                <c:ptCount val="4"/>
                <c:pt idx="0">
                  <c:v>245</c:v>
                </c:pt>
                <c:pt idx="1">
                  <c:v>291</c:v>
                </c:pt>
                <c:pt idx="2">
                  <c:v>336</c:v>
                </c:pt>
                <c:pt idx="3">
                  <c:v>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2D-4497-BFCE-0A2644C44137}"/>
            </c:ext>
          </c:extLst>
        </c:ser>
        <c:ser>
          <c:idx val="2"/>
          <c:order val="1"/>
          <c:tx>
            <c:strRef>
              <c:f>Charts!$C$33</c:f>
              <c:strCache>
                <c:ptCount val="1"/>
                <c:pt idx="0">
                  <c:v>KH với doanh thu &gt; US$1MN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Charts!$A$34:$A$37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Charts!$C$34:$C$37</c:f>
              <c:numCache>
                <c:formatCode>General</c:formatCode>
                <c:ptCount val="4"/>
                <c:pt idx="0">
                  <c:v>126</c:v>
                </c:pt>
                <c:pt idx="1">
                  <c:v>162</c:v>
                </c:pt>
                <c:pt idx="2">
                  <c:v>207</c:v>
                </c:pt>
                <c:pt idx="3">
                  <c:v>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2D-4497-BFCE-0A2644C44137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77428559"/>
        <c:axId val="377427119"/>
      </c:barChart>
      <c:catAx>
        <c:axId val="377428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377427119"/>
        <c:crosses val="autoZero"/>
        <c:auto val="1"/>
        <c:lblAlgn val="ctr"/>
        <c:lblOffset val="100"/>
        <c:noMultiLvlLbl val="0"/>
      </c:catAx>
      <c:valAx>
        <c:axId val="377427119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377428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8.2058535589229886E-3"/>
          <c:y val="4.1697722015654002E-3"/>
          <c:w val="0.98784242358721197"/>
          <c:h val="0.171610982059532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04707704711119E-2"/>
          <c:y val="0.19449869587111035"/>
          <c:w val="0.86007398342876151"/>
          <c:h val="0.6822408059541673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Charts!$B$39</c:f>
              <c:strCache>
                <c:ptCount val="1"/>
                <c:pt idx="0">
                  <c:v>Semimega deals ($500k+)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Charts!$A$41:$A$44</c:f>
              <c:strCache>
                <c:ptCount val="4"/>
                <c:pt idx="0">
                  <c:v>12M22</c:v>
                </c:pt>
                <c:pt idx="1">
                  <c:v>12M23</c:v>
                </c:pt>
                <c:pt idx="2">
                  <c:v>12M24</c:v>
                </c:pt>
                <c:pt idx="3">
                  <c:v>6M25</c:v>
                </c:pt>
              </c:strCache>
            </c:strRef>
          </c:cat>
          <c:val>
            <c:numRef>
              <c:f>Charts!$B$41:$B$44</c:f>
              <c:numCache>
                <c:formatCode>General</c:formatCode>
                <c:ptCount val="4"/>
                <c:pt idx="0">
                  <c:v>411</c:v>
                </c:pt>
                <c:pt idx="1">
                  <c:v>217</c:v>
                </c:pt>
                <c:pt idx="2">
                  <c:v>238</c:v>
                </c:pt>
                <c:pt idx="3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2A-465F-878D-6DDC7464BC34}"/>
            </c:ext>
          </c:extLst>
        </c:ser>
        <c:ser>
          <c:idx val="2"/>
          <c:order val="1"/>
          <c:tx>
            <c:strRef>
              <c:f>Charts!$C$39</c:f>
              <c:strCache>
                <c:ptCount val="1"/>
                <c:pt idx="0">
                  <c:v>Mega deals ($1M+)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Charts!$A$41:$A$44</c:f>
              <c:strCache>
                <c:ptCount val="4"/>
                <c:pt idx="0">
                  <c:v>12M22</c:v>
                </c:pt>
                <c:pt idx="1">
                  <c:v>12M23</c:v>
                </c:pt>
                <c:pt idx="2">
                  <c:v>12M24</c:v>
                </c:pt>
                <c:pt idx="3">
                  <c:v>6M25</c:v>
                </c:pt>
              </c:strCache>
            </c:strRef>
          </c:cat>
          <c:val>
            <c:numRef>
              <c:f>Charts!$C$41:$C$44</c:f>
              <c:numCache>
                <c:formatCode>General</c:formatCode>
                <c:ptCount val="4"/>
                <c:pt idx="0">
                  <c:v>204</c:v>
                </c:pt>
                <c:pt idx="1">
                  <c:v>162</c:v>
                </c:pt>
                <c:pt idx="2">
                  <c:v>223</c:v>
                </c:pt>
                <c:pt idx="3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2A-465F-878D-6DDC7464BC34}"/>
            </c:ext>
          </c:extLst>
        </c:ser>
        <c:ser>
          <c:idx val="3"/>
          <c:order val="2"/>
          <c:tx>
            <c:strRef>
              <c:f>Charts!$D$39</c:f>
              <c:strCache>
                <c:ptCount val="1"/>
                <c:pt idx="0">
                  <c:v>Large deals ($5M+)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Charts!$A$41:$A$44</c:f>
              <c:strCache>
                <c:ptCount val="4"/>
                <c:pt idx="0">
                  <c:v>12M22</c:v>
                </c:pt>
                <c:pt idx="1">
                  <c:v>12M23</c:v>
                </c:pt>
                <c:pt idx="2">
                  <c:v>12M24</c:v>
                </c:pt>
                <c:pt idx="3">
                  <c:v>6M25</c:v>
                </c:pt>
              </c:strCache>
            </c:strRef>
          </c:cat>
          <c:val>
            <c:numRef>
              <c:f>Charts!$D$41:$D$44</c:f>
              <c:numCache>
                <c:formatCode>General</c:formatCode>
                <c:ptCount val="4"/>
                <c:pt idx="0">
                  <c:v>31</c:v>
                </c:pt>
                <c:pt idx="1">
                  <c:v>37</c:v>
                </c:pt>
                <c:pt idx="2">
                  <c:v>48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2A-465F-878D-6DDC7464BC3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77428559"/>
        <c:axId val="377427119"/>
      </c:barChart>
      <c:catAx>
        <c:axId val="377428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377427119"/>
        <c:crosses val="autoZero"/>
        <c:auto val="1"/>
        <c:lblAlgn val="ctr"/>
        <c:lblOffset val="100"/>
        <c:noMultiLvlLbl val="0"/>
      </c:catAx>
      <c:valAx>
        <c:axId val="377427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377428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5.2375607931163484E-2"/>
          <c:y val="4.1698447562954852E-3"/>
          <c:w val="0.89999998202802589"/>
          <c:h val="0.100373556772394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67052647830786"/>
          <c:y val="3.9314856682518648E-2"/>
          <c:w val="0.81603804714722084"/>
          <c:h val="0.52652023076323384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Charts!$A$1694</c:f>
              <c:strCache>
                <c:ptCount val="1"/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Charts!$B$1681:$C$1681</c:f>
              <c:numCache>
                <c:formatCode>General</c:formatCode>
                <c:ptCount val="2"/>
              </c:numCache>
            </c:numRef>
          </c:cat>
          <c:val>
            <c:numRef>
              <c:f>Charts!$B$1683:$C$1683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0-7CB3-4F13-90C4-FAE63D31C910}"/>
            </c:ext>
          </c:extLst>
        </c:ser>
        <c:ser>
          <c:idx val="2"/>
          <c:order val="2"/>
          <c:tx>
            <c:strRef>
              <c:f>Charts!$A$1695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-1.42857142857142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CB3-4F13-90C4-FAE63D31C9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Charts!$B$1681:$C$1681</c:f>
              <c:numCache>
                <c:formatCode>General</c:formatCode>
                <c:ptCount val="2"/>
              </c:numCache>
            </c:numRef>
          </c:cat>
          <c:val>
            <c:numRef>
              <c:f>Charts!$B$1684:$C$1684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2-7CB3-4F13-90C4-FAE63D31C910}"/>
            </c:ext>
          </c:extLst>
        </c:ser>
        <c:ser>
          <c:idx val="4"/>
          <c:order val="4"/>
          <c:tx>
            <c:strRef>
              <c:f>Charts!$A$1697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Charts!$B$1681:$C$1681</c:f>
              <c:numCache>
                <c:formatCode>General</c:formatCode>
                <c:ptCount val="2"/>
              </c:numCache>
            </c:numRef>
          </c:cat>
          <c:val>
            <c:numRef>
              <c:f>Charts!$B$1686:$C$1686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3-7CB3-4F13-90C4-FAE63D31C910}"/>
            </c:ext>
          </c:extLst>
        </c:ser>
        <c:ser>
          <c:idx val="5"/>
          <c:order val="5"/>
          <c:tx>
            <c:strRef>
              <c:f>Charts!$A$1698</c:f>
              <c:strCache>
                <c:ptCount val="1"/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Charts!$B$1681:$C$1681</c:f>
              <c:numCache>
                <c:formatCode>General</c:formatCode>
                <c:ptCount val="2"/>
              </c:numCache>
            </c:numRef>
          </c:cat>
          <c:val>
            <c:numRef>
              <c:f>Charts!$B$1687:$C$1687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4-7CB3-4F13-90C4-FAE63D31C910}"/>
            </c:ext>
          </c:extLst>
        </c:ser>
        <c:ser>
          <c:idx val="6"/>
          <c:order val="6"/>
          <c:tx>
            <c:strRef>
              <c:f>Charts!$A$1699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Charts!$B$1681:$C$1681</c:f>
              <c:numCache>
                <c:formatCode>General</c:formatCode>
                <c:ptCount val="2"/>
              </c:numCache>
            </c:numRef>
          </c:cat>
          <c:val>
            <c:numRef>
              <c:f>Charts!$B$1688:$C$1688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5-7CB3-4F13-90C4-FAE63D31C91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248081567"/>
        <c:axId val="24808204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Charts!$A$1682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7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Noto Sans" panose="020B0502040504020204" pitchFamily="34" charset="0"/>
                          <a:ea typeface="Noto Sans" panose="020B0502040504020204" pitchFamily="34" charset="0"/>
                          <a:cs typeface="Noto Sans" panose="020B0502040504020204" pitchFamily="34" charset="0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Charts!$B$1681:$C$1681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Charts!$B$1682:$C$1682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7CB3-4F13-90C4-FAE63D31C91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Charts!$A$1685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7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Noto Sans" panose="020B0502040504020204" pitchFamily="34" charset="0"/>
                          <a:ea typeface="Noto Sans" panose="020B0502040504020204" pitchFamily="34" charset="0"/>
                          <a:cs typeface="Noto Sans" panose="020B0502040504020204" pitchFamily="34" charset="0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Charts!$B$1681:$C$1681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Charts!$B$1685:$C$1685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CB3-4F13-90C4-FAE63D31C910}"/>
                  </c:ext>
                </c:extLst>
              </c15:ser>
            </c15:filteredBarSeries>
          </c:ext>
        </c:extLst>
      </c:barChart>
      <c:catAx>
        <c:axId val="248081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248082047"/>
        <c:crosses val="autoZero"/>
        <c:auto val="1"/>
        <c:lblAlgn val="ctr"/>
        <c:lblOffset val="100"/>
        <c:noMultiLvlLbl val="0"/>
      </c:catAx>
      <c:valAx>
        <c:axId val="248082047"/>
        <c:scaling>
          <c:orientation val="minMax"/>
          <c:max val="1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248081567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633835562942176"/>
          <c:y val="0.73292793846313764"/>
          <c:w val="0.76732328874115652"/>
          <c:h val="0.209779527559055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Charts!$A$7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(Charts!$B$6,Charts!$D$6)</c:f>
              <c:strCache>
                <c:ptCount val="2"/>
                <c:pt idx="0">
                  <c:v>Revenue 9M25(%)</c:v>
                </c:pt>
                <c:pt idx="1">
                  <c:v>PBT 9M25 (%)</c:v>
                </c:pt>
              </c:strCache>
            </c:strRef>
          </c:cat>
          <c:val>
            <c:numRef>
              <c:f>(Charts!$C$7,Charts!$E$7)</c:f>
              <c:numCache>
                <c:formatCode>0.0%</c:formatCode>
                <c:ptCount val="2"/>
                <c:pt idx="0">
                  <c:v>0.62038206346342739</c:v>
                </c:pt>
                <c:pt idx="1">
                  <c:v>0.45419287211740039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1D-4DD8-9410-119DE23DCAE6}"/>
            </c:ext>
          </c:extLst>
        </c:ser>
        <c:ser>
          <c:idx val="1"/>
          <c:order val="1"/>
          <c:tx>
            <c:strRef>
              <c:f>Charts!$A$8</c:f>
              <c:strCache>
                <c:ptCount val="1"/>
                <c:pt idx="0">
                  <c:v>Telecom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(Charts!$B$6,Charts!$D$6)</c:f>
              <c:strCache>
                <c:ptCount val="2"/>
                <c:pt idx="0">
                  <c:v>Revenue 9M25(%)</c:v>
                </c:pt>
                <c:pt idx="1">
                  <c:v>PBT 9M25 (%)</c:v>
                </c:pt>
              </c:strCache>
            </c:strRef>
          </c:cat>
          <c:val>
            <c:numRef>
              <c:f>(Charts!$C$8,Charts!$E$8)</c:f>
              <c:numCache>
                <c:formatCode>0.0%</c:formatCode>
                <c:ptCount val="2"/>
                <c:pt idx="0">
                  <c:v>0.28638723515144227</c:v>
                </c:pt>
                <c:pt idx="1">
                  <c:v>0.33836477987421382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1D-4DD8-9410-119DE23DCAE6}"/>
            </c:ext>
          </c:extLst>
        </c:ser>
        <c:ser>
          <c:idx val="2"/>
          <c:order val="2"/>
          <c:tx>
            <c:strRef>
              <c:f>Charts!$A$9</c:f>
              <c:strCache>
                <c:ptCount val="1"/>
                <c:pt idx="0">
                  <c:v>Education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(Charts!$B$6,Charts!$D$6)</c:f>
              <c:strCache>
                <c:ptCount val="2"/>
                <c:pt idx="0">
                  <c:v>Revenue 9M25(%)</c:v>
                </c:pt>
                <c:pt idx="1">
                  <c:v>PBT 9M25 (%)</c:v>
                </c:pt>
              </c:strCache>
            </c:strRef>
          </c:cat>
          <c:val>
            <c:numRef>
              <c:f>(Charts!$C$9,Charts!$E$9)</c:f>
              <c:numCache>
                <c:formatCode>0.0%</c:formatCode>
                <c:ptCount val="2"/>
                <c:pt idx="0">
                  <c:v>9.3230701385130399E-2</c:v>
                </c:pt>
                <c:pt idx="1">
                  <c:v>0.20744234800838574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1D-4DD8-9410-119DE23DCA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0110735"/>
        <c:axId val="540127535"/>
      </c:barChart>
      <c:catAx>
        <c:axId val="540110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127535"/>
        <c:crosses val="autoZero"/>
        <c:auto val="1"/>
        <c:lblAlgn val="ctr"/>
        <c:lblOffset val="100"/>
        <c:noMultiLvlLbl val="0"/>
      </c:catAx>
      <c:valAx>
        <c:axId val="540127535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110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00546953455746"/>
          <c:y val="3.9040593693451815E-2"/>
          <c:w val="0.8279251292443649"/>
          <c:h val="0.78968949636012475"/>
        </c:manualLayout>
      </c:layout>
      <c:bubbleChart>
        <c:varyColors val="0"/>
        <c:ser>
          <c:idx val="0"/>
          <c:order val="0"/>
          <c:tx>
            <c:strRef>
              <c:f>Charts!$B$484:$B$493</c:f>
              <c:strCache>
                <c:ptCount val="10"/>
                <c:pt idx="0">
                  <c:v>Infosys IN</c:v>
                </c:pt>
                <c:pt idx="1">
                  <c:v>FPT VN</c:v>
                </c:pt>
                <c:pt idx="2">
                  <c:v>CMG VN</c:v>
                </c:pt>
                <c:pt idx="3">
                  <c:v>HCLT IN</c:v>
                </c:pt>
                <c:pt idx="4">
                  <c:v>IBM US</c:v>
                </c:pt>
                <c:pt idx="5">
                  <c:v>WIPRO IN</c:v>
                </c:pt>
                <c:pt idx="6">
                  <c:v>TCS IN Equity</c:v>
                </c:pt>
                <c:pt idx="7">
                  <c:v>Accenture US</c:v>
                </c:pt>
                <c:pt idx="8">
                  <c:v>Cognizant US</c:v>
                </c:pt>
                <c:pt idx="9">
                  <c:v>Fujitsu Ltd JP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  <a:ln w="25400"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59A-48D7-96BF-ADDEFE7E4DAD}"/>
              </c:ext>
            </c:extLst>
          </c:dPt>
          <c:dLbls>
            <c:dLbl>
              <c:idx val="0"/>
              <c:layout>
                <c:manualLayout>
                  <c:x val="-7.8634350405663907E-3"/>
                  <c:y val="1.9901348066511195E-2"/>
                </c:manualLayout>
              </c:layout>
              <c:tx>
                <c:rich>
                  <a:bodyPr/>
                  <a:lstStyle/>
                  <a:p>
                    <a:fld id="{87EA8371-5D12-42B6-8572-AC423EF9EE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759A-48D7-96BF-ADDEFE7E4DAD}"/>
                </c:ext>
              </c:extLst>
            </c:dLbl>
            <c:dLbl>
              <c:idx val="1"/>
              <c:layout>
                <c:manualLayout>
                  <c:x val="-3.6681196244761897E-2"/>
                  <c:y val="4.3899702189284601E-2"/>
                </c:manualLayout>
              </c:layout>
              <c:tx>
                <c:rich>
                  <a:bodyPr/>
                  <a:lstStyle/>
                  <a:p>
                    <a:fld id="{798B7C95-45BF-4B9A-87A7-BE5F705798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759A-48D7-96BF-ADDEFE7E4DAD}"/>
                </c:ext>
              </c:extLst>
            </c:dLbl>
            <c:dLbl>
              <c:idx val="2"/>
              <c:layout>
                <c:manualLayout>
                  <c:x val="-8.7341309220203736E-2"/>
                  <c:y val="4.2745960636345413E-2"/>
                </c:manualLayout>
              </c:layout>
              <c:tx>
                <c:rich>
                  <a:bodyPr/>
                  <a:lstStyle/>
                  <a:p>
                    <a:fld id="{E7C0CCD4-4C0D-4E0B-8E6A-D5BDCB865E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759A-48D7-96BF-ADDEFE7E4DAD}"/>
                </c:ext>
              </c:extLst>
            </c:dLbl>
            <c:dLbl>
              <c:idx val="3"/>
              <c:layout>
                <c:manualLayout>
                  <c:x val="-9.7055722576583903E-3"/>
                  <c:y val="-3.1124243622895138E-2"/>
                </c:manualLayout>
              </c:layout>
              <c:tx>
                <c:rich>
                  <a:bodyPr/>
                  <a:lstStyle/>
                  <a:p>
                    <a:fld id="{A823F86F-14F6-43F8-BA2C-7F347E6BCC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759A-48D7-96BF-ADDEFE7E4DAD}"/>
                </c:ext>
              </c:extLst>
            </c:dLbl>
            <c:dLbl>
              <c:idx val="4"/>
              <c:layout>
                <c:manualLayout>
                  <c:x val="-5.4290735067630456E-2"/>
                  <c:y val="5.9797149921482086E-2"/>
                </c:manualLayout>
              </c:layout>
              <c:tx>
                <c:rich>
                  <a:bodyPr/>
                  <a:lstStyle/>
                  <a:p>
                    <a:fld id="{1FDDE3BC-79BE-41BB-A3CE-BBDB384944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759A-48D7-96BF-ADDEFE7E4DAD}"/>
                </c:ext>
              </c:extLst>
            </c:dLbl>
            <c:dLbl>
              <c:idx val="5"/>
              <c:layout>
                <c:manualLayout>
                  <c:x val="-0.15945192292629015"/>
                  <c:y val="-4.5035879814960406E-2"/>
                </c:manualLayout>
              </c:layout>
              <c:tx>
                <c:rich>
                  <a:bodyPr/>
                  <a:lstStyle/>
                  <a:p>
                    <a:fld id="{0E37FFE3-D521-4A20-83F5-CEAC66A8B7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759A-48D7-96BF-ADDEFE7E4DAD}"/>
                </c:ext>
              </c:extLst>
            </c:dLbl>
            <c:dLbl>
              <c:idx val="6"/>
              <c:layout>
                <c:manualLayout>
                  <c:x val="-4.040081829638989E-2"/>
                  <c:y val="8.9743080378731604E-2"/>
                </c:manualLayout>
              </c:layout>
              <c:tx>
                <c:rich>
                  <a:bodyPr/>
                  <a:lstStyle/>
                  <a:p>
                    <a:fld id="{33895205-B98A-49DC-B556-D8FE0CC692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759A-48D7-96BF-ADDEFE7E4DAD}"/>
                </c:ext>
              </c:extLst>
            </c:dLbl>
            <c:dLbl>
              <c:idx val="7"/>
              <c:layout>
                <c:manualLayout>
                  <c:x val="-8.0822164228649771E-3"/>
                  <c:y val="7.5227015427858923E-2"/>
                </c:manualLayout>
              </c:layout>
              <c:tx>
                <c:rich>
                  <a:bodyPr/>
                  <a:lstStyle/>
                  <a:p>
                    <a:fld id="{113E680C-F03B-47C5-BC20-46CA869BEE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759A-48D7-96BF-ADDEFE7E4DAD}"/>
                </c:ext>
              </c:extLst>
            </c:dLbl>
            <c:dLbl>
              <c:idx val="8"/>
              <c:layout>
                <c:manualLayout>
                  <c:x val="-0.22769712877796286"/>
                  <c:y val="-7.2698713495634266E-3"/>
                </c:manualLayout>
              </c:layout>
              <c:tx>
                <c:rich>
                  <a:bodyPr/>
                  <a:lstStyle/>
                  <a:p>
                    <a:fld id="{566DBF8B-176F-4CBE-9B4D-E2C9F86EBD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759A-48D7-96BF-ADDEFE7E4DAD}"/>
                </c:ext>
              </c:extLst>
            </c:dLbl>
            <c:dLbl>
              <c:idx val="9"/>
              <c:layout>
                <c:manualLayout>
                  <c:x val="-0.1365384895873567"/>
                  <c:y val="-0.22537082764967045"/>
                </c:manualLayout>
              </c:layout>
              <c:tx>
                <c:rich>
                  <a:bodyPr/>
                  <a:lstStyle/>
                  <a:p>
                    <a:fld id="{83DE858C-F135-4CC7-A89E-4357A74A94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759A-48D7-96BF-ADDEFE7E4D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Charts!$E$484:$E$493</c:f>
              <c:numCache>
                <c:formatCode>General</c:formatCode>
                <c:ptCount val="10"/>
                <c:pt idx="0">
                  <c:v>30.632000000000001</c:v>
                </c:pt>
                <c:pt idx="1">
                  <c:v>28.343</c:v>
                </c:pt>
                <c:pt idx="2">
                  <c:v>12.5387</c:v>
                </c:pt>
                <c:pt idx="3">
                  <c:v>24.6067</c:v>
                </c:pt>
                <c:pt idx="4">
                  <c:v>22.640899999999998</c:v>
                </c:pt>
                <c:pt idx="5">
                  <c:v>16.328199999999999</c:v>
                </c:pt>
                <c:pt idx="6">
                  <c:v>50.698599999999999</c:v>
                </c:pt>
                <c:pt idx="7">
                  <c:v>27.268899999999999</c:v>
                </c:pt>
                <c:pt idx="8">
                  <c:v>16.692900000000002</c:v>
                </c:pt>
                <c:pt idx="9">
                  <c:v>20.437899999999999</c:v>
                </c:pt>
              </c:numCache>
            </c:numRef>
          </c:xVal>
          <c:yVal>
            <c:numRef>
              <c:f>Charts!$C$484:$C$493</c:f>
              <c:numCache>
                <c:formatCode>0.00</c:formatCode>
                <c:ptCount val="10"/>
                <c:pt idx="0">
                  <c:v>2.23</c:v>
                </c:pt>
                <c:pt idx="1">
                  <c:v>1.02</c:v>
                </c:pt>
                <c:pt idx="2">
                  <c:v>1.8</c:v>
                </c:pt>
                <c:pt idx="3">
                  <c:v>3.1</c:v>
                </c:pt>
                <c:pt idx="4">
                  <c:v>1.65</c:v>
                </c:pt>
                <c:pt idx="5">
                  <c:v>2.39</c:v>
                </c:pt>
                <c:pt idx="6">
                  <c:v>2.23</c:v>
                </c:pt>
                <c:pt idx="7">
                  <c:v>2.13</c:v>
                </c:pt>
                <c:pt idx="8">
                  <c:v>2.13</c:v>
                </c:pt>
                <c:pt idx="9">
                  <c:v>1.6</c:v>
                </c:pt>
              </c:numCache>
            </c:numRef>
          </c:yVal>
          <c:bubbleSize>
            <c:numRef>
              <c:f>Charts!$G$484:$G$493</c:f>
              <c:numCache>
                <c:formatCode>_(* #,##0_);_(* \(#,##0\);_(* \-??_);_(@_)</c:formatCode>
                <c:ptCount val="10"/>
                <c:pt idx="0">
                  <c:v>77657.778526315786</c:v>
                </c:pt>
                <c:pt idx="1">
                  <c:v>6734.354631553846</c:v>
                </c:pt>
                <c:pt idx="2">
                  <c:v>308.82425638461541</c:v>
                </c:pt>
                <c:pt idx="3">
                  <c:v>54865.569361403512</c:v>
                </c:pt>
                <c:pt idx="4">
                  <c:v>203626</c:v>
                </c:pt>
                <c:pt idx="5">
                  <c:v>32609.204399999999</c:v>
                </c:pt>
                <c:pt idx="6">
                  <c:v>146500.80686900584</c:v>
                </c:pt>
                <c:pt idx="7">
                  <c:v>197394.34710000001</c:v>
                </c:pt>
                <c:pt idx="8">
                  <c:v>38066</c:v>
                </c:pt>
                <c:pt idx="9">
                  <c:v>43444.719121696799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Charts!$B$484:$B$493</c15:f>
                <c15:dlblRangeCache>
                  <c:ptCount val="10"/>
                  <c:pt idx="0">
                    <c:v>Infosys IN</c:v>
                  </c:pt>
                  <c:pt idx="1">
                    <c:v>FPT VN</c:v>
                  </c:pt>
                  <c:pt idx="2">
                    <c:v>CMG VN</c:v>
                  </c:pt>
                  <c:pt idx="3">
                    <c:v>HCLT IN</c:v>
                  </c:pt>
                  <c:pt idx="4">
                    <c:v>IBM US</c:v>
                  </c:pt>
                  <c:pt idx="5">
                    <c:v>WIPRO IN</c:v>
                  </c:pt>
                  <c:pt idx="6">
                    <c:v>TCS IN Equity</c:v>
                  </c:pt>
                  <c:pt idx="7">
                    <c:v>Accenture US</c:v>
                  </c:pt>
                  <c:pt idx="8">
                    <c:v>Cognizant US</c:v>
                  </c:pt>
                  <c:pt idx="9">
                    <c:v>Fujitsu Ltd JP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759A-48D7-96BF-ADDEFE7E4DAD}"/>
            </c:ext>
          </c:extLst>
        </c:ser>
        <c:ser>
          <c:idx val="1"/>
          <c:order val="1"/>
          <c:tx>
            <c:strRef>
              <c:f>Charts!$B$498</c:f>
              <c:strCache>
                <c:ptCount val="1"/>
                <c:pt idx="0">
                  <c:v>Horizontal 1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rgbClr val="B2B2B2"/>
              </a:solidFill>
            </a:ln>
            <a:effectLst/>
          </c:spPr>
          <c:invertIfNegative val="0"/>
          <c:dLbls>
            <c:delete val="1"/>
          </c:dLbls>
          <c:errBars>
            <c:errDir val="y"/>
            <c:errBarType val="both"/>
            <c:errValType val="stdErr"/>
            <c:noEndCap val="1"/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round/>
              </a:ln>
              <a:effectLst/>
            </c:spPr>
          </c:errBars>
          <c:xVal>
            <c:numRef>
              <c:f>Charts!$C$498:$C$499</c:f>
              <c:numCache>
                <c:formatCode>0</c:formatCode>
                <c:ptCount val="2"/>
                <c:pt idx="0">
                  <c:v>25</c:v>
                </c:pt>
                <c:pt idx="1">
                  <c:v>25</c:v>
                </c:pt>
              </c:numCache>
            </c:numRef>
          </c:xVal>
          <c:yVal>
            <c:numRef>
              <c:f>Charts!$D$498:$D$499</c:f>
              <c:numCache>
                <c:formatCode>0</c:formatCode>
                <c:ptCount val="2"/>
                <c:pt idx="0">
                  <c:v>-10</c:v>
                </c:pt>
                <c:pt idx="1">
                  <c:v>30</c:v>
                </c:pt>
              </c:numCache>
            </c:numRef>
          </c:yVal>
          <c:bubbleSize>
            <c:numLit>
              <c:formatCode>General</c:formatCode>
              <c:ptCount val="9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C-759A-48D7-96BF-ADDEFE7E4DAD}"/>
            </c:ext>
          </c:extLst>
        </c:ser>
        <c:ser>
          <c:idx val="2"/>
          <c:order val="2"/>
          <c:tx>
            <c:strRef>
              <c:f>Charts!$B$500</c:f>
              <c:strCache>
                <c:ptCount val="1"/>
                <c:pt idx="0">
                  <c:v>Vertical 1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x"/>
            <c:errBarType val="both"/>
            <c:errValType val="stdErr"/>
            <c:noEndCap val="1"/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Charts!$C$500:$C$501</c:f>
              <c:numCache>
                <c:formatCode>0</c:formatCode>
                <c:ptCount val="2"/>
                <c:pt idx="0">
                  <c:v>-10</c:v>
                </c:pt>
                <c:pt idx="1">
                  <c:v>60</c:v>
                </c:pt>
              </c:numCache>
            </c:numRef>
          </c:xVal>
          <c:yVal>
            <c:numRef>
              <c:f>Charts!$D$500:$D$501</c:f>
              <c:numCache>
                <c:formatCode>0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yVal>
          <c:bubbleSize>
            <c:numLit>
              <c:formatCode>General</c:formatCode>
              <c:ptCount val="9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D-759A-48D7-96BF-ADDEFE7E4DAD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bubbleScale val="30"/>
        <c:showNegBubbles val="0"/>
        <c:axId val="1365636256"/>
        <c:axId val="1419829424"/>
      </c:bubbleChart>
      <c:valAx>
        <c:axId val="1365636256"/>
        <c:scaling>
          <c:orientation val="minMax"/>
          <c:max val="5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r>
                  <a:rPr lang="en-US"/>
                  <a:t>TTM ROE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" panose="020B0502040504020204" pitchFamily="34" charset="0"/>
                  <a:ea typeface="Noto Sans" panose="020B0502040504020204" pitchFamily="34" charset="0"/>
                  <a:cs typeface="Noto Sans" panose="020B0502040504020204" pitchFamily="34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419829424"/>
        <c:crosses val="autoZero"/>
        <c:crossBetween val="midCat"/>
      </c:valAx>
      <c:valAx>
        <c:axId val="1419829424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r>
                  <a:rPr lang="en-US"/>
                  <a:t>TTM P/E (%)</a:t>
                </a:r>
              </a:p>
            </c:rich>
          </c:tx>
          <c:layout>
            <c:manualLayout>
              <c:xMode val="edge"/>
              <c:yMode val="edge"/>
              <c:x val="6.4814984834548851E-3"/>
              <c:y val="2.087533270045753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" panose="020B0502040504020204" pitchFamily="34" charset="0"/>
                  <a:ea typeface="Noto Sans" panose="020B0502040504020204" pitchFamily="34" charset="0"/>
                  <a:cs typeface="Noto Sans" panose="020B0502040504020204" pitchFamily="34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365636256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6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Charts!$A$1616</c:f>
              <c:strCache>
                <c:ptCount val="1"/>
                <c:pt idx="0">
                  <c:v>Japan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ysClr val="windowText" lastClr="000000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Charts!$B$1615:$H$1615</c15:sqref>
                  </c15:fullRef>
                </c:ext>
              </c:extLst>
              <c:f>Charts!$D$1615:$H$1615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9M25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Charts!$B$1616:$H$1616</c15:sqref>
                  </c15:fullRef>
                </c:ext>
              </c:extLst>
              <c:f>Charts!$D$1616:$H$1616</c:f>
              <c:numCache>
                <c:formatCode>0.0%</c:formatCode>
                <c:ptCount val="5"/>
                <c:pt idx="0">
                  <c:v>0.3033693933436194</c:v>
                </c:pt>
                <c:pt idx="1">
                  <c:v>0.28498342306313162</c:v>
                </c:pt>
                <c:pt idx="2">
                  <c:v>0.28108389261981875</c:v>
                </c:pt>
                <c:pt idx="3">
                  <c:v>0.31513679365891079</c:v>
                </c:pt>
                <c:pt idx="4">
                  <c:v>0.36395360108565705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E3-4D65-B2BD-7F1BB5DBE02F}"/>
            </c:ext>
          </c:extLst>
        </c:ser>
        <c:ser>
          <c:idx val="1"/>
          <c:order val="1"/>
          <c:tx>
            <c:strRef>
              <c:f>Charts!$A$1617</c:f>
              <c:strCache>
                <c:ptCount val="1"/>
                <c:pt idx="0">
                  <c:v>US</c:v>
                </c:pt>
              </c:strCache>
            </c:strRef>
          </c:tx>
          <c:spPr>
            <a:solidFill>
              <a:srgbClr val="FFC000"/>
            </a:solidFill>
            <a:ln w="254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ysClr val="windowText" lastClr="000000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Charts!$B$1615:$H$1615</c15:sqref>
                  </c15:fullRef>
                </c:ext>
              </c:extLst>
              <c:f>Charts!$D$1615:$H$1615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9M25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Charts!$B$1617:$H$1617</c15:sqref>
                  </c15:fullRef>
                </c:ext>
              </c:extLst>
              <c:f>Charts!$D$1617:$H$1617</c:f>
              <c:numCache>
                <c:formatCode>0.0%</c:formatCode>
                <c:ptCount val="5"/>
                <c:pt idx="0">
                  <c:v>0.20932104856574119</c:v>
                </c:pt>
                <c:pt idx="1">
                  <c:v>0.25424154468312615</c:v>
                </c:pt>
                <c:pt idx="2">
                  <c:v>0.2342365771831823</c:v>
                </c:pt>
                <c:pt idx="3">
                  <c:v>0.19818460751725903</c:v>
                </c:pt>
                <c:pt idx="4">
                  <c:v>0.19667840641054637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E3-4D65-B2BD-7F1BB5DBE02F}"/>
            </c:ext>
          </c:extLst>
        </c:ser>
        <c:ser>
          <c:idx val="2"/>
          <c:order val="2"/>
          <c:tx>
            <c:strRef>
              <c:f>Charts!$A$1618</c:f>
              <c:strCache>
                <c:ptCount val="1"/>
                <c:pt idx="0">
                  <c:v>EU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ysClr val="windowText" lastClr="000000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Charts!$B$1615:$H$1615</c15:sqref>
                  </c15:fullRef>
                </c:ext>
              </c:extLst>
              <c:f>Charts!$D$1615:$H$1615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9M25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Charts!$B$1618:$H$1618</c15:sqref>
                  </c15:fullRef>
                </c:ext>
              </c:extLst>
              <c:f>Charts!$D$1618:$H$1618</c:f>
              <c:numCache>
                <c:formatCode>0.0%</c:formatCode>
                <c:ptCount val="5"/>
                <c:pt idx="0">
                  <c:v>5.4809631393730358E-2</c:v>
                </c:pt>
                <c:pt idx="1">
                  <c:v>5.3021977104908448E-2</c:v>
                </c:pt>
                <c:pt idx="2">
                  <c:v>8.1982802014113801E-2</c:v>
                </c:pt>
                <c:pt idx="3">
                  <c:v>6.739964203528509E-2</c:v>
                </c:pt>
                <c:pt idx="4">
                  <c:v>8.1682768425474173E-2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E3-4D65-B2BD-7F1BB5DBE02F}"/>
            </c:ext>
          </c:extLst>
        </c:ser>
        <c:ser>
          <c:idx val="3"/>
          <c:order val="3"/>
          <c:tx>
            <c:strRef>
              <c:f>Charts!$A$1619</c:f>
              <c:strCache>
                <c:ptCount val="1"/>
                <c:pt idx="0">
                  <c:v>APAC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ysClr val="windowText" lastClr="000000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Charts!$B$1615:$H$1615</c15:sqref>
                  </c15:fullRef>
                </c:ext>
              </c:extLst>
              <c:f>Charts!$D$1615:$H$1615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9M25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Charts!$B$1619:$H$1619</c15:sqref>
                  </c15:fullRef>
                </c:ext>
              </c:extLst>
              <c:f>Charts!$D$1619:$H$1619</c:f>
              <c:numCache>
                <c:formatCode>0.0%</c:formatCode>
                <c:ptCount val="5"/>
                <c:pt idx="0">
                  <c:v>0.1291667537041058</c:v>
                </c:pt>
                <c:pt idx="1">
                  <c:v>0.14272460454959618</c:v>
                </c:pt>
                <c:pt idx="2">
                  <c:v>0.18069678811274062</c:v>
                </c:pt>
                <c:pt idx="3">
                  <c:v>0.21068780363078496</c:v>
                </c:pt>
                <c:pt idx="4">
                  <c:v>0.18398009628744064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E3-4D65-B2BD-7F1BB5DBE02F}"/>
            </c:ext>
          </c:extLst>
        </c:ser>
        <c:ser>
          <c:idx val="4"/>
          <c:order val="4"/>
          <c:tx>
            <c:strRef>
              <c:f>Charts!$A$1620</c:f>
              <c:strCache>
                <c:ptCount val="1"/>
                <c:pt idx="0">
                  <c:v>Vietnam</c:v>
                </c:pt>
              </c:strCache>
            </c:strRef>
          </c:tx>
          <c:spPr>
            <a:solidFill>
              <a:srgbClr val="002060"/>
            </a:solidFill>
            <a:ln w="254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Charts!$B$1615:$H$1615</c15:sqref>
                  </c15:fullRef>
                </c:ext>
              </c:extLst>
              <c:f>Charts!$D$1615:$H$1615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9M25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Charts!$B$1620:$H$1620</c15:sqref>
                  </c15:fullRef>
                </c:ext>
              </c:extLst>
              <c:f>Charts!$D$1620:$H$1620</c:f>
              <c:numCache>
                <c:formatCode>0.0%</c:formatCode>
                <c:ptCount val="5"/>
                <c:pt idx="0">
                  <c:v>0.30333317299280321</c:v>
                </c:pt>
                <c:pt idx="1">
                  <c:v>0.26502845059923757</c:v>
                </c:pt>
                <c:pt idx="2">
                  <c:v>0.22199994007014451</c:v>
                </c:pt>
                <c:pt idx="3">
                  <c:v>0.20856558424955254</c:v>
                </c:pt>
                <c:pt idx="4">
                  <c:v>0.17370512779088176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E3-4D65-B2BD-7F1BB5DBE0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93424928"/>
        <c:axId val="1"/>
      </c:barChart>
      <c:catAx>
        <c:axId val="109342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424928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7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r>
              <a:rPr lang="en-US" sz="700"/>
              <a:t>(VNDbn)</a:t>
            </a:r>
          </a:p>
        </c:rich>
      </c:tx>
      <c:layout>
        <c:manualLayout>
          <c:xMode val="edge"/>
          <c:yMode val="edge"/>
          <c:x val="2.8277508904517713E-3"/>
          <c:y val="3.57371251993291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KR"/>
        </a:p>
      </c:txPr>
    </c:title>
    <c:autoTitleDeleted val="0"/>
    <c:plotArea>
      <c:layout>
        <c:manualLayout>
          <c:layoutTarget val="inner"/>
          <c:xMode val="edge"/>
          <c:yMode val="edge"/>
          <c:x val="0.1417664542773904"/>
          <c:y val="0.21613464248611705"/>
          <c:w val="0.71893622724768835"/>
          <c:h val="0.61335254813104256"/>
        </c:manualLayout>
      </c:layout>
      <c:barChart>
        <c:barDir val="col"/>
        <c:grouping val="clustered"/>
        <c:varyColors val="0"/>
        <c:ser>
          <c:idx val="1"/>
          <c:order val="0"/>
          <c:tx>
            <c:v>Signed revenue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Charts!$D$47:$K$47</c15:sqref>
                  </c15:fullRef>
                </c:ext>
              </c:extLst>
              <c:f>Charts!$D$47:$J$47</c:f>
              <c:strCach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7M25</c:v>
                </c:pt>
                <c:pt idx="5">
                  <c:v>8M25</c:v>
                </c:pt>
                <c:pt idx="6">
                  <c:v>9M25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Charts!$D$48:$K$48</c15:sqref>
                  </c15:fullRef>
                </c:ext>
              </c:extLst>
              <c:f>Charts!$D$48:$J$48</c:f>
              <c:numCache>
                <c:formatCode>#,##0</c:formatCode>
                <c:ptCount val="7"/>
                <c:pt idx="0">
                  <c:v>15541</c:v>
                </c:pt>
                <c:pt idx="1">
                  <c:v>21594</c:v>
                </c:pt>
                <c:pt idx="2">
                  <c:v>29717</c:v>
                </c:pt>
                <c:pt idx="3">
                  <c:v>33592</c:v>
                </c:pt>
                <c:pt idx="4">
                  <c:v>23370</c:v>
                </c:pt>
                <c:pt idx="5">
                  <c:v>25970</c:v>
                </c:pt>
                <c:pt idx="6">
                  <c:v>29363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98-4BD0-B60D-8944B5F77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66310896"/>
        <c:axId val="966333456"/>
      </c:barChart>
      <c:lineChart>
        <c:grouping val="standard"/>
        <c:varyColors val="0"/>
        <c:ser>
          <c:idx val="2"/>
          <c:order val="1"/>
          <c:tx>
            <c:strRef>
              <c:f>Charts!$A$49</c:f>
              <c:strCache>
                <c:ptCount val="1"/>
                <c:pt idx="0">
                  <c:v>YoY (%) RHS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triangle"/>
            <c:size val="4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Charts!$D$47:$G$47</c15:sqref>
                  </c15:fullRef>
                </c:ext>
              </c:extLst>
              <c:f>Charts!$D$47:$G$47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Charts!$D$49:$K$49</c15:sqref>
                  </c15:fullRef>
                </c:ext>
              </c:extLst>
              <c:f>Charts!$D$49:$J$49</c:f>
              <c:numCache>
                <c:formatCode>0.0%</c:formatCode>
                <c:ptCount val="7"/>
                <c:pt idx="0">
                  <c:v>0.18678885070637641</c:v>
                </c:pt>
                <c:pt idx="1">
                  <c:v>0.38948587606975105</c:v>
                </c:pt>
                <c:pt idx="2">
                  <c:v>0.37616930628878387</c:v>
                </c:pt>
                <c:pt idx="3">
                  <c:v>0.13039674260524281</c:v>
                </c:pt>
                <c:pt idx="4">
                  <c:v>7.6999999999999999E-2</c:v>
                </c:pt>
                <c:pt idx="5" formatCode="0.00%">
                  <c:v>0.122</c:v>
                </c:pt>
                <c:pt idx="6" formatCode="0.00%">
                  <c:v>0.14399999999999999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98-4BD0-B60D-8944B5F77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6359856"/>
        <c:axId val="966358896"/>
      </c:lineChart>
      <c:catAx>
        <c:axId val="96631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966333456"/>
        <c:crosses val="autoZero"/>
        <c:auto val="1"/>
        <c:lblAlgn val="ctr"/>
        <c:lblOffset val="100"/>
        <c:noMultiLvlLbl val="0"/>
      </c:catAx>
      <c:valAx>
        <c:axId val="966333456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966310896"/>
        <c:crosses val="autoZero"/>
        <c:crossBetween val="between"/>
      </c:valAx>
      <c:valAx>
        <c:axId val="966358896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966359856"/>
        <c:crosses val="max"/>
        <c:crossBetween val="between"/>
      </c:valAx>
      <c:catAx>
        <c:axId val="9663598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663588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6639595134783236"/>
          <c:y val="3.8956266078647574E-3"/>
          <c:w val="0.64371330688041095"/>
          <c:h val="0.113447753981138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308724385230404E-2"/>
          <c:y val="0.29765317327399982"/>
          <c:w val="0.3860171890278421"/>
          <c:h val="0.58019688451974416"/>
        </c:manualLayout>
      </c:layout>
      <c:doughnutChart>
        <c:varyColors val="1"/>
        <c:ser>
          <c:idx val="0"/>
          <c:order val="0"/>
          <c:tx>
            <c:strRef>
              <c:f>Charts!$AD$11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A4A-4A75-917C-5B68D13838B9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A4A-4A75-917C-5B68D13838B9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A4A-4A75-917C-5B68D13838B9}"/>
              </c:ext>
            </c:extLst>
          </c:dPt>
          <c:dLbls>
            <c:dLbl>
              <c:idx val="0"/>
              <c:layout>
                <c:manualLayout>
                  <c:x val="-2.4990236947025221E-2"/>
                  <c:y val="0.19825291521196398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7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Noto Sans" panose="020B0502040504020204" pitchFamily="34" charset="0"/>
                        <a:ea typeface="Noto Sans" panose="020B0502040504020204" pitchFamily="34" charset="0"/>
                        <a:cs typeface="+mn-cs"/>
                      </a:defRPr>
                    </a:pPr>
                    <a:r>
                      <a:rPr lang="en-US" sz="700"/>
                      <a:t>​ (18,077bn,</a:t>
                    </a:r>
                    <a:r>
                      <a:rPr lang="en-US" sz="700" baseline="0"/>
                      <a:t> +27.3%</a:t>
                    </a:r>
                    <a:r>
                      <a:rPr lang="en-US" sz="700"/>
                      <a:t>)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7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Noto Sans" panose="020B0502040504020204" pitchFamily="34" charset="0"/>
                      <a:ea typeface="Noto Sans" panose="020B0502040504020204" pitchFamily="34" charset="0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08533665125769"/>
                      <c:h val="0.24680822434577426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1-CA4A-4A75-917C-5B68D13838B9}"/>
                </c:ext>
              </c:extLst>
            </c:dLbl>
            <c:dLbl>
              <c:idx val="1"/>
              <c:layout>
                <c:manualLayout>
                  <c:x val="0"/>
                  <c:y val="0.27703896640628178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7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Noto Sans" panose="020B0502040504020204" pitchFamily="34" charset="0"/>
                        <a:ea typeface="Noto Sans" panose="020B0502040504020204" pitchFamily="34" charset="0"/>
                        <a:cs typeface="+mn-cs"/>
                      </a:defRPr>
                    </a:pPr>
                    <a:r>
                      <a:rPr lang="en-US" sz="700"/>
                      <a:t>​ </a:t>
                    </a:r>
                  </a:p>
                  <a:p>
                    <a:pPr>
                      <a:defRPr sz="700">
                        <a:latin typeface="Noto Sans" panose="020B0502040504020204" pitchFamily="34" charset="0"/>
                        <a:ea typeface="Noto Sans" panose="020B0502040504020204" pitchFamily="34" charset="0"/>
                      </a:defRPr>
                    </a:pPr>
                    <a:r>
                      <a:rPr lang="en-US" sz="700"/>
                      <a:t>(8,244bn, +7.3% YoY)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7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Noto Sans" panose="020B0502040504020204" pitchFamily="34" charset="0"/>
                      <a:ea typeface="Noto Sans" panose="020B0502040504020204" pitchFamily="34" charset="0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718185313341022"/>
                      <c:h val="0.29166920964296611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3-CA4A-4A75-917C-5B68D13838B9}"/>
                </c:ext>
              </c:extLst>
            </c:dLbl>
            <c:dLbl>
              <c:idx val="2"/>
              <c:layout>
                <c:manualLayout>
                  <c:x val="3.5067221268621732E-2"/>
                  <c:y val="-0.11649266301279015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7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Noto Sans" panose="020B0502040504020204" pitchFamily="34" charset="0"/>
                        <a:ea typeface="Noto Sans" panose="020B0502040504020204" pitchFamily="34" charset="0"/>
                        <a:cs typeface="+mn-cs"/>
                      </a:defRPr>
                    </a:pPr>
                    <a:r>
                      <a:rPr lang="en-US" sz="700"/>
                      <a:t>​ </a:t>
                    </a:r>
                  </a:p>
                  <a:p>
                    <a:pPr>
                      <a:defRPr sz="700">
                        <a:latin typeface="Noto Sans" panose="020B0502040504020204" pitchFamily="34" charset="0"/>
                        <a:ea typeface="Noto Sans" panose="020B0502040504020204" pitchFamily="34" charset="0"/>
                      </a:defRPr>
                    </a:pPr>
                    <a:r>
                      <a:rPr lang="en-US" sz="700"/>
                      <a:t>(3,017bn,</a:t>
                    </a:r>
                    <a:r>
                      <a:rPr lang="en-US" sz="700" baseline="0"/>
                      <a:t> +32.2% YoY) </a:t>
                    </a:r>
                    <a:r>
                      <a:rPr lang="en-US" sz="700"/>
                      <a:t> 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7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Noto Sans" panose="020B0502040504020204" pitchFamily="34" charset="0"/>
                      <a:ea typeface="Noto Sans" panose="020B0502040504020204" pitchFamily="34" charset="0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0824667677785953"/>
                      <c:h val="0.19948147311613515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5-CA4A-4A75-917C-5B68D13838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Charts!$AC$12:$AC$14</c:f>
              <c:numCache>
                <c:formatCode>General</c:formatCode>
                <c:ptCount val="3"/>
              </c:numCache>
            </c:numRef>
          </c:cat>
          <c:val>
            <c:numRef>
              <c:f>Charts!$AD$12:$AD$14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6-CA4A-4A75-917C-5B68D13838B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3522156820050427"/>
          <c:y val="7.5414805210164262E-2"/>
          <c:w val="0.68914764629686309"/>
          <c:h val="0.72699385451544429"/>
        </c:manualLayout>
      </c:layout>
      <c:lineChart>
        <c:grouping val="standard"/>
        <c:varyColors val="0"/>
        <c:ser>
          <c:idx val="1"/>
          <c:order val="0"/>
          <c:tx>
            <c:strRef>
              <c:f>'FX Data'!$I$1461</c:f>
              <c:strCache>
                <c:ptCount val="1"/>
                <c:pt idx="0">
                  <c:v>13.4</c:v>
                </c:pt>
              </c:strCache>
            </c:strRef>
          </c:tx>
          <c:spPr>
            <a:ln w="19050" cap="rnd">
              <a:solidFill>
                <a:sysClr val="window" lastClr="FFFFFF">
                  <a:lumMod val="75000"/>
                </a:sysClr>
              </a:solidFill>
              <a:round/>
            </a:ln>
            <a:effectLst/>
          </c:spPr>
          <c:marker>
            <c:symbol val="none"/>
          </c:marker>
          <c:cat>
            <c:numRef>
              <c:f>'FX Data'!$B$1457:$B$2453</c:f>
              <c:numCache>
                <c:formatCode>m/d/yyyy</c:formatCode>
                <c:ptCount val="997"/>
                <c:pt idx="0">
                  <c:v>44993</c:v>
                </c:pt>
                <c:pt idx="1">
                  <c:v>44994</c:v>
                </c:pt>
                <c:pt idx="2">
                  <c:v>44995</c:v>
                </c:pt>
                <c:pt idx="3">
                  <c:v>44998</c:v>
                </c:pt>
                <c:pt idx="4">
                  <c:v>44999</c:v>
                </c:pt>
                <c:pt idx="5">
                  <c:v>45000</c:v>
                </c:pt>
                <c:pt idx="6">
                  <c:v>45001</c:v>
                </c:pt>
                <c:pt idx="7">
                  <c:v>45002</c:v>
                </c:pt>
                <c:pt idx="8">
                  <c:v>45005</c:v>
                </c:pt>
                <c:pt idx="9">
                  <c:v>45006</c:v>
                </c:pt>
                <c:pt idx="10">
                  <c:v>45007</c:v>
                </c:pt>
                <c:pt idx="11">
                  <c:v>45008</c:v>
                </c:pt>
                <c:pt idx="12">
                  <c:v>45009</c:v>
                </c:pt>
                <c:pt idx="13">
                  <c:v>45012</c:v>
                </c:pt>
                <c:pt idx="14">
                  <c:v>45013</c:v>
                </c:pt>
                <c:pt idx="15">
                  <c:v>45014</c:v>
                </c:pt>
                <c:pt idx="16">
                  <c:v>45015</c:v>
                </c:pt>
                <c:pt idx="17">
                  <c:v>45016</c:v>
                </c:pt>
                <c:pt idx="18">
                  <c:v>45019</c:v>
                </c:pt>
                <c:pt idx="19">
                  <c:v>45020</c:v>
                </c:pt>
                <c:pt idx="20">
                  <c:v>45021</c:v>
                </c:pt>
                <c:pt idx="21">
                  <c:v>45022</c:v>
                </c:pt>
                <c:pt idx="22">
                  <c:v>45023</c:v>
                </c:pt>
                <c:pt idx="23">
                  <c:v>45026</c:v>
                </c:pt>
                <c:pt idx="24">
                  <c:v>45027</c:v>
                </c:pt>
                <c:pt idx="25">
                  <c:v>45028</c:v>
                </c:pt>
                <c:pt idx="26">
                  <c:v>45029</c:v>
                </c:pt>
                <c:pt idx="27">
                  <c:v>45030</c:v>
                </c:pt>
                <c:pt idx="28">
                  <c:v>45033</c:v>
                </c:pt>
                <c:pt idx="29">
                  <c:v>45034</c:v>
                </c:pt>
                <c:pt idx="30">
                  <c:v>45035</c:v>
                </c:pt>
                <c:pt idx="31">
                  <c:v>45036</c:v>
                </c:pt>
                <c:pt idx="32">
                  <c:v>45037</c:v>
                </c:pt>
                <c:pt idx="33">
                  <c:v>45040</c:v>
                </c:pt>
                <c:pt idx="34">
                  <c:v>45041</c:v>
                </c:pt>
                <c:pt idx="35">
                  <c:v>45042</c:v>
                </c:pt>
                <c:pt idx="36">
                  <c:v>45043</c:v>
                </c:pt>
                <c:pt idx="37">
                  <c:v>45044</c:v>
                </c:pt>
                <c:pt idx="38">
                  <c:v>45050</c:v>
                </c:pt>
                <c:pt idx="39">
                  <c:v>45051</c:v>
                </c:pt>
                <c:pt idx="40">
                  <c:v>45054</c:v>
                </c:pt>
                <c:pt idx="41">
                  <c:v>45055</c:v>
                </c:pt>
                <c:pt idx="42">
                  <c:v>45056</c:v>
                </c:pt>
                <c:pt idx="43">
                  <c:v>45057</c:v>
                </c:pt>
                <c:pt idx="44">
                  <c:v>45058</c:v>
                </c:pt>
                <c:pt idx="45">
                  <c:v>45061</c:v>
                </c:pt>
                <c:pt idx="46">
                  <c:v>45062</c:v>
                </c:pt>
                <c:pt idx="47">
                  <c:v>45063</c:v>
                </c:pt>
                <c:pt idx="48">
                  <c:v>45064</c:v>
                </c:pt>
                <c:pt idx="49">
                  <c:v>45065</c:v>
                </c:pt>
                <c:pt idx="50">
                  <c:v>45068</c:v>
                </c:pt>
                <c:pt idx="51">
                  <c:v>45069</c:v>
                </c:pt>
                <c:pt idx="52">
                  <c:v>45070</c:v>
                </c:pt>
                <c:pt idx="53">
                  <c:v>45071</c:v>
                </c:pt>
                <c:pt idx="54">
                  <c:v>45072</c:v>
                </c:pt>
                <c:pt idx="55">
                  <c:v>45075</c:v>
                </c:pt>
                <c:pt idx="56">
                  <c:v>45076</c:v>
                </c:pt>
                <c:pt idx="57">
                  <c:v>45077</c:v>
                </c:pt>
                <c:pt idx="58">
                  <c:v>45078</c:v>
                </c:pt>
                <c:pt idx="59">
                  <c:v>45079</c:v>
                </c:pt>
                <c:pt idx="60">
                  <c:v>45082</c:v>
                </c:pt>
                <c:pt idx="61">
                  <c:v>45083</c:v>
                </c:pt>
                <c:pt idx="62">
                  <c:v>45084</c:v>
                </c:pt>
                <c:pt idx="63">
                  <c:v>45085</c:v>
                </c:pt>
                <c:pt idx="64">
                  <c:v>45086</c:v>
                </c:pt>
                <c:pt idx="65">
                  <c:v>45089</c:v>
                </c:pt>
                <c:pt idx="66">
                  <c:v>45090</c:v>
                </c:pt>
                <c:pt idx="67">
                  <c:v>45091</c:v>
                </c:pt>
                <c:pt idx="68">
                  <c:v>45092</c:v>
                </c:pt>
                <c:pt idx="69">
                  <c:v>45093</c:v>
                </c:pt>
                <c:pt idx="70">
                  <c:v>45096</c:v>
                </c:pt>
                <c:pt idx="71">
                  <c:v>45097</c:v>
                </c:pt>
                <c:pt idx="72">
                  <c:v>45098</c:v>
                </c:pt>
                <c:pt idx="73">
                  <c:v>45099</c:v>
                </c:pt>
                <c:pt idx="74">
                  <c:v>45100</c:v>
                </c:pt>
                <c:pt idx="75">
                  <c:v>45103</c:v>
                </c:pt>
                <c:pt idx="76">
                  <c:v>45104</c:v>
                </c:pt>
                <c:pt idx="77">
                  <c:v>45105</c:v>
                </c:pt>
                <c:pt idx="78">
                  <c:v>45106</c:v>
                </c:pt>
                <c:pt idx="79">
                  <c:v>45107</c:v>
                </c:pt>
                <c:pt idx="80">
                  <c:v>45110</c:v>
                </c:pt>
                <c:pt idx="81">
                  <c:v>45111</c:v>
                </c:pt>
                <c:pt idx="82">
                  <c:v>45112</c:v>
                </c:pt>
                <c:pt idx="83">
                  <c:v>45113</c:v>
                </c:pt>
                <c:pt idx="84">
                  <c:v>45114</c:v>
                </c:pt>
                <c:pt idx="85">
                  <c:v>45117</c:v>
                </c:pt>
                <c:pt idx="86">
                  <c:v>45118</c:v>
                </c:pt>
                <c:pt idx="87">
                  <c:v>45119</c:v>
                </c:pt>
                <c:pt idx="88">
                  <c:v>45120</c:v>
                </c:pt>
                <c:pt idx="89">
                  <c:v>45121</c:v>
                </c:pt>
                <c:pt idx="90">
                  <c:v>45124</c:v>
                </c:pt>
                <c:pt idx="91">
                  <c:v>45125</c:v>
                </c:pt>
                <c:pt idx="92">
                  <c:v>45126</c:v>
                </c:pt>
                <c:pt idx="93">
                  <c:v>45127</c:v>
                </c:pt>
                <c:pt idx="94">
                  <c:v>45128</c:v>
                </c:pt>
                <c:pt idx="95">
                  <c:v>45131</c:v>
                </c:pt>
                <c:pt idx="96">
                  <c:v>45132</c:v>
                </c:pt>
                <c:pt idx="97">
                  <c:v>45133</c:v>
                </c:pt>
                <c:pt idx="98">
                  <c:v>45134</c:v>
                </c:pt>
                <c:pt idx="99">
                  <c:v>45135</c:v>
                </c:pt>
                <c:pt idx="100">
                  <c:v>45138</c:v>
                </c:pt>
                <c:pt idx="101">
                  <c:v>45139</c:v>
                </c:pt>
                <c:pt idx="102">
                  <c:v>45140</c:v>
                </c:pt>
                <c:pt idx="103">
                  <c:v>45141</c:v>
                </c:pt>
                <c:pt idx="104">
                  <c:v>45142</c:v>
                </c:pt>
                <c:pt idx="105">
                  <c:v>45145</c:v>
                </c:pt>
                <c:pt idx="106">
                  <c:v>45146</c:v>
                </c:pt>
                <c:pt idx="107">
                  <c:v>45147</c:v>
                </c:pt>
                <c:pt idx="108">
                  <c:v>45148</c:v>
                </c:pt>
                <c:pt idx="109">
                  <c:v>45149</c:v>
                </c:pt>
                <c:pt idx="110">
                  <c:v>45152</c:v>
                </c:pt>
                <c:pt idx="111">
                  <c:v>45153</c:v>
                </c:pt>
                <c:pt idx="112">
                  <c:v>45154</c:v>
                </c:pt>
                <c:pt idx="113">
                  <c:v>45155</c:v>
                </c:pt>
                <c:pt idx="114">
                  <c:v>45156</c:v>
                </c:pt>
                <c:pt idx="115">
                  <c:v>45159</c:v>
                </c:pt>
                <c:pt idx="116">
                  <c:v>45160</c:v>
                </c:pt>
                <c:pt idx="117">
                  <c:v>45161</c:v>
                </c:pt>
                <c:pt idx="118">
                  <c:v>45162</c:v>
                </c:pt>
                <c:pt idx="119">
                  <c:v>45163</c:v>
                </c:pt>
                <c:pt idx="120">
                  <c:v>45166</c:v>
                </c:pt>
                <c:pt idx="121">
                  <c:v>45167</c:v>
                </c:pt>
                <c:pt idx="122">
                  <c:v>45168</c:v>
                </c:pt>
                <c:pt idx="123">
                  <c:v>45169</c:v>
                </c:pt>
                <c:pt idx="124">
                  <c:v>45174</c:v>
                </c:pt>
                <c:pt idx="125">
                  <c:v>45175</c:v>
                </c:pt>
                <c:pt idx="126">
                  <c:v>45176</c:v>
                </c:pt>
                <c:pt idx="127">
                  <c:v>45177</c:v>
                </c:pt>
                <c:pt idx="128">
                  <c:v>45180</c:v>
                </c:pt>
                <c:pt idx="129">
                  <c:v>45181</c:v>
                </c:pt>
                <c:pt idx="130">
                  <c:v>45182</c:v>
                </c:pt>
                <c:pt idx="131">
                  <c:v>45183</c:v>
                </c:pt>
                <c:pt idx="132">
                  <c:v>45184</c:v>
                </c:pt>
                <c:pt idx="133">
                  <c:v>45187</c:v>
                </c:pt>
                <c:pt idx="134">
                  <c:v>45188</c:v>
                </c:pt>
                <c:pt idx="135">
                  <c:v>45189</c:v>
                </c:pt>
                <c:pt idx="136">
                  <c:v>45190</c:v>
                </c:pt>
                <c:pt idx="137">
                  <c:v>45191</c:v>
                </c:pt>
                <c:pt idx="138">
                  <c:v>45194</c:v>
                </c:pt>
                <c:pt idx="139">
                  <c:v>45195</c:v>
                </c:pt>
                <c:pt idx="140">
                  <c:v>45196</c:v>
                </c:pt>
                <c:pt idx="141">
                  <c:v>45197</c:v>
                </c:pt>
                <c:pt idx="142">
                  <c:v>45198</c:v>
                </c:pt>
                <c:pt idx="143">
                  <c:v>45201</c:v>
                </c:pt>
                <c:pt idx="144">
                  <c:v>45202</c:v>
                </c:pt>
                <c:pt idx="145">
                  <c:v>45203</c:v>
                </c:pt>
                <c:pt idx="146">
                  <c:v>45204</c:v>
                </c:pt>
                <c:pt idx="147">
                  <c:v>45205</c:v>
                </c:pt>
                <c:pt idx="148">
                  <c:v>45208</c:v>
                </c:pt>
                <c:pt idx="149">
                  <c:v>45209</c:v>
                </c:pt>
                <c:pt idx="150">
                  <c:v>45210</c:v>
                </c:pt>
                <c:pt idx="151">
                  <c:v>45211</c:v>
                </c:pt>
                <c:pt idx="152">
                  <c:v>45212</c:v>
                </c:pt>
                <c:pt idx="153">
                  <c:v>45215</c:v>
                </c:pt>
                <c:pt idx="154">
                  <c:v>45216</c:v>
                </c:pt>
                <c:pt idx="155">
                  <c:v>45217</c:v>
                </c:pt>
                <c:pt idx="156">
                  <c:v>45218</c:v>
                </c:pt>
                <c:pt idx="157">
                  <c:v>45219</c:v>
                </c:pt>
                <c:pt idx="158">
                  <c:v>45222</c:v>
                </c:pt>
                <c:pt idx="159">
                  <c:v>45223</c:v>
                </c:pt>
                <c:pt idx="160">
                  <c:v>45224</c:v>
                </c:pt>
                <c:pt idx="161">
                  <c:v>45225</c:v>
                </c:pt>
                <c:pt idx="162">
                  <c:v>45226</c:v>
                </c:pt>
                <c:pt idx="163">
                  <c:v>45229</c:v>
                </c:pt>
                <c:pt idx="164">
                  <c:v>45230</c:v>
                </c:pt>
                <c:pt idx="165">
                  <c:v>45231</c:v>
                </c:pt>
                <c:pt idx="166">
                  <c:v>45232</c:v>
                </c:pt>
                <c:pt idx="167">
                  <c:v>45233</c:v>
                </c:pt>
                <c:pt idx="168">
                  <c:v>45236</c:v>
                </c:pt>
                <c:pt idx="169">
                  <c:v>45237</c:v>
                </c:pt>
                <c:pt idx="170">
                  <c:v>45238</c:v>
                </c:pt>
                <c:pt idx="171">
                  <c:v>45239</c:v>
                </c:pt>
                <c:pt idx="172">
                  <c:v>45240</c:v>
                </c:pt>
                <c:pt idx="173">
                  <c:v>45243</c:v>
                </c:pt>
                <c:pt idx="174">
                  <c:v>45244</c:v>
                </c:pt>
                <c:pt idx="175">
                  <c:v>45245</c:v>
                </c:pt>
                <c:pt idx="176">
                  <c:v>45246</c:v>
                </c:pt>
                <c:pt idx="177">
                  <c:v>45247</c:v>
                </c:pt>
                <c:pt idx="178">
                  <c:v>45250</c:v>
                </c:pt>
                <c:pt idx="179">
                  <c:v>45251</c:v>
                </c:pt>
                <c:pt idx="180">
                  <c:v>45252</c:v>
                </c:pt>
                <c:pt idx="181">
                  <c:v>45253</c:v>
                </c:pt>
                <c:pt idx="182">
                  <c:v>45254</c:v>
                </c:pt>
                <c:pt idx="183">
                  <c:v>45257</c:v>
                </c:pt>
                <c:pt idx="184">
                  <c:v>45258</c:v>
                </c:pt>
                <c:pt idx="185">
                  <c:v>45259</c:v>
                </c:pt>
                <c:pt idx="186">
                  <c:v>45260</c:v>
                </c:pt>
                <c:pt idx="187">
                  <c:v>45261</c:v>
                </c:pt>
                <c:pt idx="188">
                  <c:v>45264</c:v>
                </c:pt>
                <c:pt idx="189">
                  <c:v>45265</c:v>
                </c:pt>
                <c:pt idx="190">
                  <c:v>45266</c:v>
                </c:pt>
                <c:pt idx="191">
                  <c:v>45267</c:v>
                </c:pt>
                <c:pt idx="192">
                  <c:v>45268</c:v>
                </c:pt>
                <c:pt idx="193">
                  <c:v>45271</c:v>
                </c:pt>
                <c:pt idx="194">
                  <c:v>45272</c:v>
                </c:pt>
                <c:pt idx="195">
                  <c:v>45273</c:v>
                </c:pt>
                <c:pt idx="196">
                  <c:v>45274</c:v>
                </c:pt>
                <c:pt idx="197">
                  <c:v>45275</c:v>
                </c:pt>
                <c:pt idx="198">
                  <c:v>45278</c:v>
                </c:pt>
                <c:pt idx="199">
                  <c:v>45279</c:v>
                </c:pt>
                <c:pt idx="200">
                  <c:v>45280</c:v>
                </c:pt>
                <c:pt idx="201">
                  <c:v>45281</c:v>
                </c:pt>
                <c:pt idx="202">
                  <c:v>45282</c:v>
                </c:pt>
                <c:pt idx="203">
                  <c:v>45285</c:v>
                </c:pt>
                <c:pt idx="204">
                  <c:v>45286</c:v>
                </c:pt>
                <c:pt idx="205">
                  <c:v>45287</c:v>
                </c:pt>
                <c:pt idx="206">
                  <c:v>45288</c:v>
                </c:pt>
                <c:pt idx="207">
                  <c:v>45289</c:v>
                </c:pt>
                <c:pt idx="208">
                  <c:v>45293</c:v>
                </c:pt>
                <c:pt idx="209">
                  <c:v>45294</c:v>
                </c:pt>
                <c:pt idx="210">
                  <c:v>45295</c:v>
                </c:pt>
                <c:pt idx="211">
                  <c:v>45296</c:v>
                </c:pt>
                <c:pt idx="212">
                  <c:v>45299</c:v>
                </c:pt>
                <c:pt idx="213">
                  <c:v>45300</c:v>
                </c:pt>
                <c:pt idx="214">
                  <c:v>45301</c:v>
                </c:pt>
                <c:pt idx="215">
                  <c:v>45302</c:v>
                </c:pt>
                <c:pt idx="216">
                  <c:v>45303</c:v>
                </c:pt>
                <c:pt idx="217">
                  <c:v>45306</c:v>
                </c:pt>
                <c:pt idx="218">
                  <c:v>45307</c:v>
                </c:pt>
                <c:pt idx="219">
                  <c:v>45308</c:v>
                </c:pt>
                <c:pt idx="220">
                  <c:v>45309</c:v>
                </c:pt>
                <c:pt idx="221">
                  <c:v>45310</c:v>
                </c:pt>
                <c:pt idx="222">
                  <c:v>45313</c:v>
                </c:pt>
                <c:pt idx="223">
                  <c:v>45314</c:v>
                </c:pt>
                <c:pt idx="224">
                  <c:v>45315</c:v>
                </c:pt>
                <c:pt idx="225">
                  <c:v>45316</c:v>
                </c:pt>
                <c:pt idx="226">
                  <c:v>45317</c:v>
                </c:pt>
                <c:pt idx="227">
                  <c:v>45320</c:v>
                </c:pt>
                <c:pt idx="228">
                  <c:v>45321</c:v>
                </c:pt>
                <c:pt idx="229">
                  <c:v>45322</c:v>
                </c:pt>
                <c:pt idx="230">
                  <c:v>45323</c:v>
                </c:pt>
                <c:pt idx="231">
                  <c:v>45324</c:v>
                </c:pt>
                <c:pt idx="232">
                  <c:v>45327</c:v>
                </c:pt>
                <c:pt idx="233">
                  <c:v>45328</c:v>
                </c:pt>
                <c:pt idx="234">
                  <c:v>45329</c:v>
                </c:pt>
                <c:pt idx="235">
                  <c:v>45337</c:v>
                </c:pt>
                <c:pt idx="236">
                  <c:v>45338</c:v>
                </c:pt>
                <c:pt idx="237">
                  <c:v>45341</c:v>
                </c:pt>
                <c:pt idx="238">
                  <c:v>45342</c:v>
                </c:pt>
                <c:pt idx="239">
                  <c:v>45343</c:v>
                </c:pt>
                <c:pt idx="240">
                  <c:v>45344</c:v>
                </c:pt>
                <c:pt idx="241">
                  <c:v>45345</c:v>
                </c:pt>
                <c:pt idx="242">
                  <c:v>45348</c:v>
                </c:pt>
                <c:pt idx="243">
                  <c:v>45349</c:v>
                </c:pt>
                <c:pt idx="244">
                  <c:v>45350</c:v>
                </c:pt>
                <c:pt idx="245">
                  <c:v>45351</c:v>
                </c:pt>
                <c:pt idx="246">
                  <c:v>45352</c:v>
                </c:pt>
                <c:pt idx="247">
                  <c:v>45355</c:v>
                </c:pt>
                <c:pt idx="248">
                  <c:v>45356</c:v>
                </c:pt>
                <c:pt idx="249">
                  <c:v>45357</c:v>
                </c:pt>
                <c:pt idx="250">
                  <c:v>45358</c:v>
                </c:pt>
                <c:pt idx="251">
                  <c:v>45359</c:v>
                </c:pt>
                <c:pt idx="252">
                  <c:v>45362</c:v>
                </c:pt>
                <c:pt idx="253">
                  <c:v>45363</c:v>
                </c:pt>
                <c:pt idx="254">
                  <c:v>45364</c:v>
                </c:pt>
                <c:pt idx="255">
                  <c:v>45365</c:v>
                </c:pt>
                <c:pt idx="256">
                  <c:v>45366</c:v>
                </c:pt>
                <c:pt idx="257">
                  <c:v>45369</c:v>
                </c:pt>
                <c:pt idx="258">
                  <c:v>45370</c:v>
                </c:pt>
                <c:pt idx="259">
                  <c:v>45371</c:v>
                </c:pt>
                <c:pt idx="260">
                  <c:v>45372</c:v>
                </c:pt>
                <c:pt idx="261">
                  <c:v>45373</c:v>
                </c:pt>
                <c:pt idx="262">
                  <c:v>45376</c:v>
                </c:pt>
                <c:pt idx="263">
                  <c:v>45377</c:v>
                </c:pt>
                <c:pt idx="264">
                  <c:v>45378</c:v>
                </c:pt>
                <c:pt idx="265">
                  <c:v>45379</c:v>
                </c:pt>
                <c:pt idx="266">
                  <c:v>45380</c:v>
                </c:pt>
                <c:pt idx="267">
                  <c:v>45383</c:v>
                </c:pt>
                <c:pt idx="268">
                  <c:v>45384</c:v>
                </c:pt>
                <c:pt idx="269">
                  <c:v>45385</c:v>
                </c:pt>
                <c:pt idx="270">
                  <c:v>45386</c:v>
                </c:pt>
                <c:pt idx="271">
                  <c:v>45387</c:v>
                </c:pt>
                <c:pt idx="272">
                  <c:v>45390</c:v>
                </c:pt>
                <c:pt idx="273">
                  <c:v>45391</c:v>
                </c:pt>
                <c:pt idx="274">
                  <c:v>45392</c:v>
                </c:pt>
                <c:pt idx="275">
                  <c:v>45393</c:v>
                </c:pt>
                <c:pt idx="276">
                  <c:v>45394</c:v>
                </c:pt>
                <c:pt idx="277">
                  <c:v>45397</c:v>
                </c:pt>
                <c:pt idx="278">
                  <c:v>45398</c:v>
                </c:pt>
                <c:pt idx="279">
                  <c:v>45399</c:v>
                </c:pt>
                <c:pt idx="280">
                  <c:v>45401</c:v>
                </c:pt>
                <c:pt idx="281">
                  <c:v>45404</c:v>
                </c:pt>
                <c:pt idx="282">
                  <c:v>45405</c:v>
                </c:pt>
                <c:pt idx="283">
                  <c:v>45406</c:v>
                </c:pt>
                <c:pt idx="284">
                  <c:v>45407</c:v>
                </c:pt>
                <c:pt idx="285">
                  <c:v>45408</c:v>
                </c:pt>
                <c:pt idx="286">
                  <c:v>45414</c:v>
                </c:pt>
                <c:pt idx="287">
                  <c:v>45415</c:v>
                </c:pt>
                <c:pt idx="288">
                  <c:v>45418</c:v>
                </c:pt>
                <c:pt idx="289">
                  <c:v>45419</c:v>
                </c:pt>
                <c:pt idx="290">
                  <c:v>45420</c:v>
                </c:pt>
                <c:pt idx="291">
                  <c:v>45421</c:v>
                </c:pt>
                <c:pt idx="292">
                  <c:v>45422</c:v>
                </c:pt>
                <c:pt idx="293">
                  <c:v>45425</c:v>
                </c:pt>
                <c:pt idx="294">
                  <c:v>45426</c:v>
                </c:pt>
                <c:pt idx="295">
                  <c:v>45427</c:v>
                </c:pt>
                <c:pt idx="296">
                  <c:v>45428</c:v>
                </c:pt>
                <c:pt idx="297">
                  <c:v>45429</c:v>
                </c:pt>
                <c:pt idx="298">
                  <c:v>45432</c:v>
                </c:pt>
                <c:pt idx="299">
                  <c:v>45433</c:v>
                </c:pt>
                <c:pt idx="300">
                  <c:v>45434</c:v>
                </c:pt>
                <c:pt idx="301">
                  <c:v>45435</c:v>
                </c:pt>
                <c:pt idx="302">
                  <c:v>45436</c:v>
                </c:pt>
                <c:pt idx="303">
                  <c:v>45439</c:v>
                </c:pt>
                <c:pt idx="304">
                  <c:v>45440</c:v>
                </c:pt>
                <c:pt idx="305">
                  <c:v>45441</c:v>
                </c:pt>
                <c:pt idx="306">
                  <c:v>45442</c:v>
                </c:pt>
                <c:pt idx="307">
                  <c:v>45443</c:v>
                </c:pt>
                <c:pt idx="308">
                  <c:v>45446</c:v>
                </c:pt>
                <c:pt idx="309">
                  <c:v>45447</c:v>
                </c:pt>
                <c:pt idx="310">
                  <c:v>45448</c:v>
                </c:pt>
                <c:pt idx="311">
                  <c:v>45449</c:v>
                </c:pt>
                <c:pt idx="312">
                  <c:v>45450</c:v>
                </c:pt>
                <c:pt idx="313">
                  <c:v>45453</c:v>
                </c:pt>
                <c:pt idx="314">
                  <c:v>45454</c:v>
                </c:pt>
                <c:pt idx="315">
                  <c:v>45455</c:v>
                </c:pt>
                <c:pt idx="316">
                  <c:v>45456</c:v>
                </c:pt>
                <c:pt idx="317">
                  <c:v>45457</c:v>
                </c:pt>
                <c:pt idx="318">
                  <c:v>45460</c:v>
                </c:pt>
                <c:pt idx="319">
                  <c:v>45461</c:v>
                </c:pt>
                <c:pt idx="320">
                  <c:v>45462</c:v>
                </c:pt>
                <c:pt idx="321">
                  <c:v>45463</c:v>
                </c:pt>
                <c:pt idx="322">
                  <c:v>45464</c:v>
                </c:pt>
                <c:pt idx="323">
                  <c:v>45467</c:v>
                </c:pt>
                <c:pt idx="324">
                  <c:v>45468</c:v>
                </c:pt>
                <c:pt idx="325">
                  <c:v>45469</c:v>
                </c:pt>
                <c:pt idx="326">
                  <c:v>45470</c:v>
                </c:pt>
                <c:pt idx="327">
                  <c:v>45471</c:v>
                </c:pt>
                <c:pt idx="328">
                  <c:v>45474</c:v>
                </c:pt>
                <c:pt idx="329">
                  <c:v>45475</c:v>
                </c:pt>
                <c:pt idx="330">
                  <c:v>45476</c:v>
                </c:pt>
                <c:pt idx="331">
                  <c:v>45477</c:v>
                </c:pt>
                <c:pt idx="332">
                  <c:v>45478</c:v>
                </c:pt>
                <c:pt idx="333">
                  <c:v>45481</c:v>
                </c:pt>
                <c:pt idx="334">
                  <c:v>45482</c:v>
                </c:pt>
                <c:pt idx="335">
                  <c:v>45483</c:v>
                </c:pt>
                <c:pt idx="336">
                  <c:v>45484</c:v>
                </c:pt>
                <c:pt idx="337">
                  <c:v>45485</c:v>
                </c:pt>
                <c:pt idx="338">
                  <c:v>45488</c:v>
                </c:pt>
                <c:pt idx="339">
                  <c:v>45489</c:v>
                </c:pt>
                <c:pt idx="340">
                  <c:v>45490</c:v>
                </c:pt>
                <c:pt idx="341">
                  <c:v>45491</c:v>
                </c:pt>
                <c:pt idx="342">
                  <c:v>45492</c:v>
                </c:pt>
                <c:pt idx="343">
                  <c:v>45495</c:v>
                </c:pt>
                <c:pt idx="344">
                  <c:v>45496</c:v>
                </c:pt>
                <c:pt idx="345">
                  <c:v>45497</c:v>
                </c:pt>
                <c:pt idx="346">
                  <c:v>45498</c:v>
                </c:pt>
                <c:pt idx="347">
                  <c:v>45499</c:v>
                </c:pt>
                <c:pt idx="348">
                  <c:v>45502</c:v>
                </c:pt>
                <c:pt idx="349">
                  <c:v>45503</c:v>
                </c:pt>
                <c:pt idx="350">
                  <c:v>45504</c:v>
                </c:pt>
                <c:pt idx="351">
                  <c:v>45505</c:v>
                </c:pt>
                <c:pt idx="352">
                  <c:v>45506</c:v>
                </c:pt>
                <c:pt idx="353">
                  <c:v>45509</c:v>
                </c:pt>
                <c:pt idx="354">
                  <c:v>45510</c:v>
                </c:pt>
                <c:pt idx="355">
                  <c:v>45511</c:v>
                </c:pt>
                <c:pt idx="356">
                  <c:v>45512</c:v>
                </c:pt>
                <c:pt idx="357">
                  <c:v>45513</c:v>
                </c:pt>
                <c:pt idx="358">
                  <c:v>45516</c:v>
                </c:pt>
                <c:pt idx="359">
                  <c:v>45517</c:v>
                </c:pt>
                <c:pt idx="360">
                  <c:v>45518</c:v>
                </c:pt>
                <c:pt idx="361">
                  <c:v>45519</c:v>
                </c:pt>
                <c:pt idx="362">
                  <c:v>45520</c:v>
                </c:pt>
                <c:pt idx="363">
                  <c:v>45523</c:v>
                </c:pt>
                <c:pt idx="364">
                  <c:v>45524</c:v>
                </c:pt>
                <c:pt idx="365">
                  <c:v>45525</c:v>
                </c:pt>
                <c:pt idx="366">
                  <c:v>45526</c:v>
                </c:pt>
                <c:pt idx="367">
                  <c:v>45527</c:v>
                </c:pt>
                <c:pt idx="368">
                  <c:v>45530</c:v>
                </c:pt>
                <c:pt idx="369">
                  <c:v>45531</c:v>
                </c:pt>
                <c:pt idx="370">
                  <c:v>45532</c:v>
                </c:pt>
                <c:pt idx="371">
                  <c:v>45533</c:v>
                </c:pt>
                <c:pt idx="372">
                  <c:v>45534</c:v>
                </c:pt>
                <c:pt idx="373">
                  <c:v>45539</c:v>
                </c:pt>
                <c:pt idx="374">
                  <c:v>45540</c:v>
                </c:pt>
                <c:pt idx="375">
                  <c:v>45541</c:v>
                </c:pt>
                <c:pt idx="376">
                  <c:v>45544</c:v>
                </c:pt>
                <c:pt idx="377">
                  <c:v>45545</c:v>
                </c:pt>
                <c:pt idx="378">
                  <c:v>45546</c:v>
                </c:pt>
                <c:pt idx="379">
                  <c:v>45547</c:v>
                </c:pt>
                <c:pt idx="380">
                  <c:v>45548</c:v>
                </c:pt>
                <c:pt idx="381">
                  <c:v>45551</c:v>
                </c:pt>
                <c:pt idx="382">
                  <c:v>45552</c:v>
                </c:pt>
                <c:pt idx="383">
                  <c:v>45553</c:v>
                </c:pt>
                <c:pt idx="384">
                  <c:v>45554</c:v>
                </c:pt>
                <c:pt idx="385">
                  <c:v>45555</c:v>
                </c:pt>
                <c:pt idx="386">
                  <c:v>45558</c:v>
                </c:pt>
                <c:pt idx="387">
                  <c:v>45559</c:v>
                </c:pt>
                <c:pt idx="388">
                  <c:v>45560</c:v>
                </c:pt>
                <c:pt idx="389">
                  <c:v>45561</c:v>
                </c:pt>
                <c:pt idx="390">
                  <c:v>45562</c:v>
                </c:pt>
                <c:pt idx="391">
                  <c:v>45565</c:v>
                </c:pt>
                <c:pt idx="392">
                  <c:v>45566</c:v>
                </c:pt>
                <c:pt idx="393">
                  <c:v>45567</c:v>
                </c:pt>
                <c:pt idx="394">
                  <c:v>45568</c:v>
                </c:pt>
                <c:pt idx="395">
                  <c:v>45569</c:v>
                </c:pt>
                <c:pt idx="396">
                  <c:v>45572</c:v>
                </c:pt>
                <c:pt idx="397">
                  <c:v>45573</c:v>
                </c:pt>
                <c:pt idx="398">
                  <c:v>45574</c:v>
                </c:pt>
                <c:pt idx="399">
                  <c:v>45575</c:v>
                </c:pt>
                <c:pt idx="400">
                  <c:v>45576</c:v>
                </c:pt>
                <c:pt idx="401">
                  <c:v>45579</c:v>
                </c:pt>
                <c:pt idx="402">
                  <c:v>45580</c:v>
                </c:pt>
                <c:pt idx="403">
                  <c:v>45581</c:v>
                </c:pt>
                <c:pt idx="404">
                  <c:v>45582</c:v>
                </c:pt>
                <c:pt idx="405">
                  <c:v>45583</c:v>
                </c:pt>
                <c:pt idx="406">
                  <c:v>45586</c:v>
                </c:pt>
                <c:pt idx="407">
                  <c:v>45587</c:v>
                </c:pt>
                <c:pt idx="408">
                  <c:v>45588</c:v>
                </c:pt>
                <c:pt idx="409">
                  <c:v>45589</c:v>
                </c:pt>
                <c:pt idx="410">
                  <c:v>45590</c:v>
                </c:pt>
                <c:pt idx="411">
                  <c:v>45593</c:v>
                </c:pt>
                <c:pt idx="412">
                  <c:v>45594</c:v>
                </c:pt>
                <c:pt idx="413">
                  <c:v>45595</c:v>
                </c:pt>
                <c:pt idx="414">
                  <c:v>45596</c:v>
                </c:pt>
                <c:pt idx="415">
                  <c:v>45597</c:v>
                </c:pt>
                <c:pt idx="416">
                  <c:v>45600</c:v>
                </c:pt>
                <c:pt idx="417">
                  <c:v>45601</c:v>
                </c:pt>
                <c:pt idx="418">
                  <c:v>45602</c:v>
                </c:pt>
                <c:pt idx="419">
                  <c:v>45603</c:v>
                </c:pt>
                <c:pt idx="420">
                  <c:v>45604</c:v>
                </c:pt>
                <c:pt idx="421">
                  <c:v>45607</c:v>
                </c:pt>
                <c:pt idx="422">
                  <c:v>45608</c:v>
                </c:pt>
                <c:pt idx="423">
                  <c:v>45609</c:v>
                </c:pt>
                <c:pt idx="424">
                  <c:v>45610</c:v>
                </c:pt>
                <c:pt idx="425">
                  <c:v>45611</c:v>
                </c:pt>
                <c:pt idx="426">
                  <c:v>45614</c:v>
                </c:pt>
                <c:pt idx="427">
                  <c:v>45615</c:v>
                </c:pt>
                <c:pt idx="428">
                  <c:v>45616</c:v>
                </c:pt>
                <c:pt idx="429">
                  <c:v>45617</c:v>
                </c:pt>
                <c:pt idx="430">
                  <c:v>45618</c:v>
                </c:pt>
                <c:pt idx="431">
                  <c:v>45621</c:v>
                </c:pt>
                <c:pt idx="432">
                  <c:v>45622</c:v>
                </c:pt>
                <c:pt idx="433">
                  <c:v>45623</c:v>
                </c:pt>
                <c:pt idx="434">
                  <c:v>45624</c:v>
                </c:pt>
                <c:pt idx="435">
                  <c:v>45625</c:v>
                </c:pt>
                <c:pt idx="436">
                  <c:v>45628</c:v>
                </c:pt>
                <c:pt idx="437">
                  <c:v>45629</c:v>
                </c:pt>
                <c:pt idx="438">
                  <c:v>45630</c:v>
                </c:pt>
                <c:pt idx="439">
                  <c:v>45631</c:v>
                </c:pt>
                <c:pt idx="440">
                  <c:v>45632</c:v>
                </c:pt>
                <c:pt idx="441">
                  <c:v>45635</c:v>
                </c:pt>
                <c:pt idx="442">
                  <c:v>45636</c:v>
                </c:pt>
                <c:pt idx="443">
                  <c:v>45637</c:v>
                </c:pt>
                <c:pt idx="444">
                  <c:v>45638</c:v>
                </c:pt>
                <c:pt idx="445">
                  <c:v>45639</c:v>
                </c:pt>
                <c:pt idx="446">
                  <c:v>45642</c:v>
                </c:pt>
                <c:pt idx="447">
                  <c:v>45643</c:v>
                </c:pt>
                <c:pt idx="448">
                  <c:v>45644</c:v>
                </c:pt>
                <c:pt idx="449">
                  <c:v>45645</c:v>
                </c:pt>
                <c:pt idx="450">
                  <c:v>45646</c:v>
                </c:pt>
                <c:pt idx="451">
                  <c:v>45649</c:v>
                </c:pt>
                <c:pt idx="452">
                  <c:v>45650</c:v>
                </c:pt>
                <c:pt idx="453">
                  <c:v>45651</c:v>
                </c:pt>
                <c:pt idx="454">
                  <c:v>45652</c:v>
                </c:pt>
                <c:pt idx="455">
                  <c:v>45653</c:v>
                </c:pt>
                <c:pt idx="456">
                  <c:v>45656</c:v>
                </c:pt>
                <c:pt idx="457">
                  <c:v>45657</c:v>
                </c:pt>
                <c:pt idx="458">
                  <c:v>45659</c:v>
                </c:pt>
                <c:pt idx="459">
                  <c:v>45660</c:v>
                </c:pt>
                <c:pt idx="460">
                  <c:v>45663</c:v>
                </c:pt>
                <c:pt idx="461">
                  <c:v>45664</c:v>
                </c:pt>
                <c:pt idx="462">
                  <c:v>45665</c:v>
                </c:pt>
                <c:pt idx="463">
                  <c:v>45666</c:v>
                </c:pt>
                <c:pt idx="464">
                  <c:v>45667</c:v>
                </c:pt>
                <c:pt idx="465">
                  <c:v>45670</c:v>
                </c:pt>
                <c:pt idx="466">
                  <c:v>45671</c:v>
                </c:pt>
                <c:pt idx="467">
                  <c:v>45672</c:v>
                </c:pt>
                <c:pt idx="468">
                  <c:v>45673</c:v>
                </c:pt>
                <c:pt idx="469">
                  <c:v>45674</c:v>
                </c:pt>
                <c:pt idx="470">
                  <c:v>45677</c:v>
                </c:pt>
                <c:pt idx="471">
                  <c:v>45678</c:v>
                </c:pt>
                <c:pt idx="472">
                  <c:v>45679</c:v>
                </c:pt>
                <c:pt idx="473">
                  <c:v>45680</c:v>
                </c:pt>
                <c:pt idx="474">
                  <c:v>45681</c:v>
                </c:pt>
                <c:pt idx="475">
                  <c:v>45691</c:v>
                </c:pt>
                <c:pt idx="476">
                  <c:v>45692</c:v>
                </c:pt>
                <c:pt idx="477">
                  <c:v>45693</c:v>
                </c:pt>
                <c:pt idx="478">
                  <c:v>45694</c:v>
                </c:pt>
                <c:pt idx="479">
                  <c:v>45695</c:v>
                </c:pt>
                <c:pt idx="480">
                  <c:v>45698</c:v>
                </c:pt>
                <c:pt idx="481">
                  <c:v>45699</c:v>
                </c:pt>
                <c:pt idx="482">
                  <c:v>45700</c:v>
                </c:pt>
                <c:pt idx="483">
                  <c:v>45701</c:v>
                </c:pt>
                <c:pt idx="484">
                  <c:v>45702</c:v>
                </c:pt>
                <c:pt idx="485">
                  <c:v>45705</c:v>
                </c:pt>
                <c:pt idx="486">
                  <c:v>45706</c:v>
                </c:pt>
                <c:pt idx="487">
                  <c:v>45707</c:v>
                </c:pt>
                <c:pt idx="488">
                  <c:v>45708</c:v>
                </c:pt>
                <c:pt idx="489">
                  <c:v>45709</c:v>
                </c:pt>
                <c:pt idx="490">
                  <c:v>45712</c:v>
                </c:pt>
                <c:pt idx="491">
                  <c:v>45713</c:v>
                </c:pt>
                <c:pt idx="492">
                  <c:v>45714</c:v>
                </c:pt>
                <c:pt idx="493">
                  <c:v>45715</c:v>
                </c:pt>
                <c:pt idx="494">
                  <c:v>45716</c:v>
                </c:pt>
                <c:pt idx="495">
                  <c:v>45719</c:v>
                </c:pt>
                <c:pt idx="496">
                  <c:v>45720</c:v>
                </c:pt>
                <c:pt idx="497">
                  <c:v>45721</c:v>
                </c:pt>
                <c:pt idx="498">
                  <c:v>45722</c:v>
                </c:pt>
                <c:pt idx="499">
                  <c:v>45723</c:v>
                </c:pt>
                <c:pt idx="500">
                  <c:v>45726</c:v>
                </c:pt>
                <c:pt idx="501">
                  <c:v>45727</c:v>
                </c:pt>
                <c:pt idx="502">
                  <c:v>45728</c:v>
                </c:pt>
                <c:pt idx="503">
                  <c:v>45729</c:v>
                </c:pt>
                <c:pt idx="504">
                  <c:v>45730</c:v>
                </c:pt>
                <c:pt idx="505">
                  <c:v>45733</c:v>
                </c:pt>
                <c:pt idx="506">
                  <c:v>45734</c:v>
                </c:pt>
                <c:pt idx="507">
                  <c:v>45735</c:v>
                </c:pt>
                <c:pt idx="508">
                  <c:v>45736</c:v>
                </c:pt>
                <c:pt idx="509">
                  <c:v>45737</c:v>
                </c:pt>
                <c:pt idx="510">
                  <c:v>45740</c:v>
                </c:pt>
                <c:pt idx="511">
                  <c:v>45741</c:v>
                </c:pt>
                <c:pt idx="512">
                  <c:v>45742</c:v>
                </c:pt>
                <c:pt idx="513">
                  <c:v>45743</c:v>
                </c:pt>
                <c:pt idx="514">
                  <c:v>45744</c:v>
                </c:pt>
                <c:pt idx="515">
                  <c:v>45747</c:v>
                </c:pt>
                <c:pt idx="516">
                  <c:v>45748</c:v>
                </c:pt>
                <c:pt idx="517">
                  <c:v>45749</c:v>
                </c:pt>
                <c:pt idx="518">
                  <c:v>45750</c:v>
                </c:pt>
                <c:pt idx="519">
                  <c:v>45751</c:v>
                </c:pt>
                <c:pt idx="520">
                  <c:v>45755</c:v>
                </c:pt>
                <c:pt idx="521">
                  <c:v>45756</c:v>
                </c:pt>
                <c:pt idx="522">
                  <c:v>45757</c:v>
                </c:pt>
                <c:pt idx="523">
                  <c:v>45758</c:v>
                </c:pt>
                <c:pt idx="524">
                  <c:v>45761</c:v>
                </c:pt>
                <c:pt idx="525">
                  <c:v>45762</c:v>
                </c:pt>
                <c:pt idx="526">
                  <c:v>45763</c:v>
                </c:pt>
                <c:pt idx="527">
                  <c:v>45764</c:v>
                </c:pt>
                <c:pt idx="528">
                  <c:v>45765</c:v>
                </c:pt>
                <c:pt idx="529">
                  <c:v>45768</c:v>
                </c:pt>
                <c:pt idx="530">
                  <c:v>45769</c:v>
                </c:pt>
                <c:pt idx="531">
                  <c:v>45770</c:v>
                </c:pt>
                <c:pt idx="532">
                  <c:v>45771</c:v>
                </c:pt>
                <c:pt idx="533">
                  <c:v>45772</c:v>
                </c:pt>
                <c:pt idx="534">
                  <c:v>45775</c:v>
                </c:pt>
                <c:pt idx="535">
                  <c:v>45776</c:v>
                </c:pt>
                <c:pt idx="536">
                  <c:v>45782</c:v>
                </c:pt>
                <c:pt idx="537">
                  <c:v>45783</c:v>
                </c:pt>
                <c:pt idx="538">
                  <c:v>45784</c:v>
                </c:pt>
                <c:pt idx="539">
                  <c:v>45785</c:v>
                </c:pt>
                <c:pt idx="540">
                  <c:v>45786</c:v>
                </c:pt>
                <c:pt idx="541">
                  <c:v>45789</c:v>
                </c:pt>
                <c:pt idx="542">
                  <c:v>45790</c:v>
                </c:pt>
                <c:pt idx="543">
                  <c:v>45791</c:v>
                </c:pt>
                <c:pt idx="544">
                  <c:v>45792</c:v>
                </c:pt>
                <c:pt idx="545">
                  <c:v>45793</c:v>
                </c:pt>
                <c:pt idx="546">
                  <c:v>45796</c:v>
                </c:pt>
                <c:pt idx="547">
                  <c:v>45797</c:v>
                </c:pt>
                <c:pt idx="548">
                  <c:v>45798</c:v>
                </c:pt>
                <c:pt idx="549">
                  <c:v>45799</c:v>
                </c:pt>
                <c:pt idx="550">
                  <c:v>45800</c:v>
                </c:pt>
                <c:pt idx="551">
                  <c:v>45803</c:v>
                </c:pt>
                <c:pt idx="552">
                  <c:v>45804</c:v>
                </c:pt>
                <c:pt idx="553">
                  <c:v>45805</c:v>
                </c:pt>
                <c:pt idx="554">
                  <c:v>45806</c:v>
                </c:pt>
                <c:pt idx="555">
                  <c:v>45807</c:v>
                </c:pt>
                <c:pt idx="556">
                  <c:v>45810</c:v>
                </c:pt>
                <c:pt idx="557">
                  <c:v>45811</c:v>
                </c:pt>
                <c:pt idx="558">
                  <c:v>45812</c:v>
                </c:pt>
                <c:pt idx="559">
                  <c:v>45813</c:v>
                </c:pt>
                <c:pt idx="560">
                  <c:v>45814</c:v>
                </c:pt>
                <c:pt idx="561">
                  <c:v>45817</c:v>
                </c:pt>
                <c:pt idx="562">
                  <c:v>45818</c:v>
                </c:pt>
                <c:pt idx="563">
                  <c:v>45819</c:v>
                </c:pt>
                <c:pt idx="564">
                  <c:v>45820</c:v>
                </c:pt>
                <c:pt idx="565">
                  <c:v>45821</c:v>
                </c:pt>
                <c:pt idx="566">
                  <c:v>45824</c:v>
                </c:pt>
                <c:pt idx="567">
                  <c:v>45825</c:v>
                </c:pt>
                <c:pt idx="568">
                  <c:v>45826</c:v>
                </c:pt>
                <c:pt idx="569">
                  <c:v>45827</c:v>
                </c:pt>
                <c:pt idx="570">
                  <c:v>45828</c:v>
                </c:pt>
                <c:pt idx="571">
                  <c:v>45831</c:v>
                </c:pt>
                <c:pt idx="572">
                  <c:v>45832</c:v>
                </c:pt>
                <c:pt idx="573">
                  <c:v>45833</c:v>
                </c:pt>
                <c:pt idx="574">
                  <c:v>45834</c:v>
                </c:pt>
                <c:pt idx="575">
                  <c:v>45835</c:v>
                </c:pt>
                <c:pt idx="576">
                  <c:v>45838</c:v>
                </c:pt>
                <c:pt idx="577">
                  <c:v>45839</c:v>
                </c:pt>
                <c:pt idx="578">
                  <c:v>45840</c:v>
                </c:pt>
                <c:pt idx="579">
                  <c:v>45841</c:v>
                </c:pt>
                <c:pt idx="580">
                  <c:v>45842</c:v>
                </c:pt>
                <c:pt idx="581">
                  <c:v>45845</c:v>
                </c:pt>
                <c:pt idx="582">
                  <c:v>45846</c:v>
                </c:pt>
                <c:pt idx="583">
                  <c:v>45847</c:v>
                </c:pt>
                <c:pt idx="584">
                  <c:v>45848</c:v>
                </c:pt>
                <c:pt idx="585">
                  <c:v>45849</c:v>
                </c:pt>
                <c:pt idx="586">
                  <c:v>45852</c:v>
                </c:pt>
                <c:pt idx="587">
                  <c:v>45853</c:v>
                </c:pt>
                <c:pt idx="588">
                  <c:v>45854</c:v>
                </c:pt>
                <c:pt idx="589">
                  <c:v>45855</c:v>
                </c:pt>
                <c:pt idx="590">
                  <c:v>45856</c:v>
                </c:pt>
                <c:pt idx="591">
                  <c:v>45859</c:v>
                </c:pt>
                <c:pt idx="592">
                  <c:v>45860</c:v>
                </c:pt>
                <c:pt idx="593">
                  <c:v>45861</c:v>
                </c:pt>
                <c:pt idx="594">
                  <c:v>45862</c:v>
                </c:pt>
                <c:pt idx="595">
                  <c:v>45863</c:v>
                </c:pt>
                <c:pt idx="596">
                  <c:v>45866</c:v>
                </c:pt>
                <c:pt idx="597">
                  <c:v>45867</c:v>
                </c:pt>
                <c:pt idx="598">
                  <c:v>45868</c:v>
                </c:pt>
                <c:pt idx="599">
                  <c:v>45869</c:v>
                </c:pt>
                <c:pt idx="600">
                  <c:v>45870</c:v>
                </c:pt>
                <c:pt idx="601">
                  <c:v>45873</c:v>
                </c:pt>
                <c:pt idx="602">
                  <c:v>45874</c:v>
                </c:pt>
                <c:pt idx="603">
                  <c:v>45875</c:v>
                </c:pt>
                <c:pt idx="604">
                  <c:v>45876</c:v>
                </c:pt>
                <c:pt idx="605">
                  <c:v>45877</c:v>
                </c:pt>
                <c:pt idx="606">
                  <c:v>45880</c:v>
                </c:pt>
                <c:pt idx="607">
                  <c:v>45881</c:v>
                </c:pt>
                <c:pt idx="608">
                  <c:v>45882</c:v>
                </c:pt>
                <c:pt idx="609">
                  <c:v>45883</c:v>
                </c:pt>
                <c:pt idx="610">
                  <c:v>45884</c:v>
                </c:pt>
                <c:pt idx="611">
                  <c:v>45887</c:v>
                </c:pt>
                <c:pt idx="612">
                  <c:v>45888</c:v>
                </c:pt>
                <c:pt idx="613">
                  <c:v>45889</c:v>
                </c:pt>
                <c:pt idx="614">
                  <c:v>45890</c:v>
                </c:pt>
                <c:pt idx="615">
                  <c:v>45891</c:v>
                </c:pt>
                <c:pt idx="616">
                  <c:v>45894</c:v>
                </c:pt>
                <c:pt idx="617">
                  <c:v>45895</c:v>
                </c:pt>
                <c:pt idx="618">
                  <c:v>45896</c:v>
                </c:pt>
                <c:pt idx="619">
                  <c:v>45897</c:v>
                </c:pt>
                <c:pt idx="620">
                  <c:v>45898</c:v>
                </c:pt>
                <c:pt idx="621">
                  <c:v>45903</c:v>
                </c:pt>
                <c:pt idx="622">
                  <c:v>45904</c:v>
                </c:pt>
                <c:pt idx="623">
                  <c:v>45905</c:v>
                </c:pt>
                <c:pt idx="624">
                  <c:v>45908</c:v>
                </c:pt>
                <c:pt idx="625">
                  <c:v>45909</c:v>
                </c:pt>
                <c:pt idx="626">
                  <c:v>45910</c:v>
                </c:pt>
                <c:pt idx="627">
                  <c:v>45911</c:v>
                </c:pt>
                <c:pt idx="628">
                  <c:v>45912</c:v>
                </c:pt>
                <c:pt idx="629">
                  <c:v>45915</c:v>
                </c:pt>
                <c:pt idx="630">
                  <c:v>45916</c:v>
                </c:pt>
                <c:pt idx="631">
                  <c:v>45917</c:v>
                </c:pt>
                <c:pt idx="632">
                  <c:v>45918</c:v>
                </c:pt>
                <c:pt idx="633">
                  <c:v>45919</c:v>
                </c:pt>
                <c:pt idx="634">
                  <c:v>45922</c:v>
                </c:pt>
                <c:pt idx="635">
                  <c:v>45923</c:v>
                </c:pt>
                <c:pt idx="636">
                  <c:v>45924</c:v>
                </c:pt>
                <c:pt idx="637">
                  <c:v>45925</c:v>
                </c:pt>
                <c:pt idx="638">
                  <c:v>45926</c:v>
                </c:pt>
                <c:pt idx="639">
                  <c:v>45929</c:v>
                </c:pt>
                <c:pt idx="640">
                  <c:v>45930</c:v>
                </c:pt>
                <c:pt idx="641">
                  <c:v>45931</c:v>
                </c:pt>
                <c:pt idx="642">
                  <c:v>45932</c:v>
                </c:pt>
                <c:pt idx="643">
                  <c:v>45933</c:v>
                </c:pt>
                <c:pt idx="644">
                  <c:v>45936</c:v>
                </c:pt>
                <c:pt idx="645">
                  <c:v>45937</c:v>
                </c:pt>
                <c:pt idx="646">
                  <c:v>45938</c:v>
                </c:pt>
                <c:pt idx="647">
                  <c:v>45939</c:v>
                </c:pt>
                <c:pt idx="648">
                  <c:v>45940</c:v>
                </c:pt>
                <c:pt idx="649">
                  <c:v>45943</c:v>
                </c:pt>
                <c:pt idx="650">
                  <c:v>45944</c:v>
                </c:pt>
                <c:pt idx="651">
                  <c:v>45945</c:v>
                </c:pt>
                <c:pt idx="652">
                  <c:v>45946</c:v>
                </c:pt>
                <c:pt idx="653">
                  <c:v>45947</c:v>
                </c:pt>
                <c:pt idx="654">
                  <c:v>45950</c:v>
                </c:pt>
                <c:pt idx="655">
                  <c:v>45951</c:v>
                </c:pt>
                <c:pt idx="656">
                  <c:v>45952</c:v>
                </c:pt>
                <c:pt idx="657">
                  <c:v>45953</c:v>
                </c:pt>
                <c:pt idx="658">
                  <c:v>45954</c:v>
                </c:pt>
                <c:pt idx="659">
                  <c:v>45957</c:v>
                </c:pt>
                <c:pt idx="660">
                  <c:v>45958</c:v>
                </c:pt>
                <c:pt idx="661">
                  <c:v>45959</c:v>
                </c:pt>
                <c:pt idx="662">
                  <c:v>45960</c:v>
                </c:pt>
                <c:pt idx="663">
                  <c:v>45961</c:v>
                </c:pt>
                <c:pt idx="664">
                  <c:v>45964</c:v>
                </c:pt>
                <c:pt idx="665">
                  <c:v>45965</c:v>
                </c:pt>
                <c:pt idx="666">
                  <c:v>45966</c:v>
                </c:pt>
                <c:pt idx="667">
                  <c:v>45967</c:v>
                </c:pt>
                <c:pt idx="668">
                  <c:v>45968</c:v>
                </c:pt>
                <c:pt idx="669">
                  <c:v>45971</c:v>
                </c:pt>
                <c:pt idx="670">
                  <c:v>45972</c:v>
                </c:pt>
                <c:pt idx="671">
                  <c:v>45973</c:v>
                </c:pt>
                <c:pt idx="672">
                  <c:v>45974</c:v>
                </c:pt>
                <c:pt idx="673">
                  <c:v>45975</c:v>
                </c:pt>
                <c:pt idx="674">
                  <c:v>45978</c:v>
                </c:pt>
                <c:pt idx="675">
                  <c:v>45979</c:v>
                </c:pt>
                <c:pt idx="676">
                  <c:v>45980</c:v>
                </c:pt>
                <c:pt idx="677">
                  <c:v>45981</c:v>
                </c:pt>
                <c:pt idx="678">
                  <c:v>45982</c:v>
                </c:pt>
                <c:pt idx="679">
                  <c:v>45985</c:v>
                </c:pt>
                <c:pt idx="680">
                  <c:v>45986</c:v>
                </c:pt>
                <c:pt idx="681">
                  <c:v>45987</c:v>
                </c:pt>
                <c:pt idx="682">
                  <c:v>45988</c:v>
                </c:pt>
                <c:pt idx="683">
                  <c:v>45989</c:v>
                </c:pt>
                <c:pt idx="684">
                  <c:v>45992</c:v>
                </c:pt>
                <c:pt idx="685">
                  <c:v>45993</c:v>
                </c:pt>
                <c:pt idx="686">
                  <c:v>45994</c:v>
                </c:pt>
                <c:pt idx="687">
                  <c:v>45995</c:v>
                </c:pt>
                <c:pt idx="688">
                  <c:v>45996</c:v>
                </c:pt>
                <c:pt idx="689">
                  <c:v>45999</c:v>
                </c:pt>
                <c:pt idx="690">
                  <c:v>46000</c:v>
                </c:pt>
                <c:pt idx="691">
                  <c:v>46001</c:v>
                </c:pt>
                <c:pt idx="692">
                  <c:v>46002</c:v>
                </c:pt>
                <c:pt idx="693">
                  <c:v>46003</c:v>
                </c:pt>
                <c:pt idx="694">
                  <c:v>46006</c:v>
                </c:pt>
                <c:pt idx="695">
                  <c:v>46007</c:v>
                </c:pt>
                <c:pt idx="696">
                  <c:v>46008</c:v>
                </c:pt>
                <c:pt idx="697">
                  <c:v>46009</c:v>
                </c:pt>
                <c:pt idx="698">
                  <c:v>46010</c:v>
                </c:pt>
                <c:pt idx="699">
                  <c:v>46013</c:v>
                </c:pt>
                <c:pt idx="700">
                  <c:v>46014</c:v>
                </c:pt>
                <c:pt idx="701">
                  <c:v>46015</c:v>
                </c:pt>
                <c:pt idx="702">
                  <c:v>46016</c:v>
                </c:pt>
                <c:pt idx="703">
                  <c:v>46017</c:v>
                </c:pt>
                <c:pt idx="704">
                  <c:v>46020</c:v>
                </c:pt>
                <c:pt idx="705">
                  <c:v>46021</c:v>
                </c:pt>
                <c:pt idx="706">
                  <c:v>46022</c:v>
                </c:pt>
                <c:pt idx="707">
                  <c:v>46027</c:v>
                </c:pt>
                <c:pt idx="708">
                  <c:v>46028</c:v>
                </c:pt>
                <c:pt idx="709">
                  <c:v>46029</c:v>
                </c:pt>
                <c:pt idx="710">
                  <c:v>46030</c:v>
                </c:pt>
                <c:pt idx="711">
                  <c:v>46031</c:v>
                </c:pt>
                <c:pt idx="712">
                  <c:v>46034</c:v>
                </c:pt>
                <c:pt idx="713">
                  <c:v>46035</c:v>
                </c:pt>
                <c:pt idx="714">
                  <c:v>46036</c:v>
                </c:pt>
                <c:pt idx="715">
                  <c:v>46037</c:v>
                </c:pt>
                <c:pt idx="716">
                  <c:v>46038</c:v>
                </c:pt>
                <c:pt idx="717">
                  <c:v>46041</c:v>
                </c:pt>
                <c:pt idx="718">
                  <c:v>46042</c:v>
                </c:pt>
                <c:pt idx="719">
                  <c:v>46043</c:v>
                </c:pt>
                <c:pt idx="720">
                  <c:v>46044</c:v>
                </c:pt>
                <c:pt idx="721">
                  <c:v>46045</c:v>
                </c:pt>
                <c:pt idx="722">
                  <c:v>46048</c:v>
                </c:pt>
                <c:pt idx="723">
                  <c:v>46049</c:v>
                </c:pt>
                <c:pt idx="724">
                  <c:v>46050</c:v>
                </c:pt>
                <c:pt idx="725">
                  <c:v>46051</c:v>
                </c:pt>
                <c:pt idx="726">
                  <c:v>46052</c:v>
                </c:pt>
                <c:pt idx="727">
                  <c:v>46055</c:v>
                </c:pt>
                <c:pt idx="728">
                  <c:v>46056</c:v>
                </c:pt>
                <c:pt idx="729">
                  <c:v>46057</c:v>
                </c:pt>
                <c:pt idx="730">
                  <c:v>46058</c:v>
                </c:pt>
                <c:pt idx="731">
                  <c:v>46059</c:v>
                </c:pt>
                <c:pt idx="732">
                  <c:v>46062</c:v>
                </c:pt>
                <c:pt idx="733">
                  <c:v>46063</c:v>
                </c:pt>
                <c:pt idx="734">
                  <c:v>46064</c:v>
                </c:pt>
                <c:pt idx="735">
                  <c:v>46065</c:v>
                </c:pt>
                <c:pt idx="736">
                  <c:v>46066</c:v>
                </c:pt>
                <c:pt idx="737">
                  <c:v>46076</c:v>
                </c:pt>
                <c:pt idx="738">
                  <c:v>46077</c:v>
                </c:pt>
                <c:pt idx="739">
                  <c:v>46078</c:v>
                </c:pt>
                <c:pt idx="740">
                  <c:v>46079</c:v>
                </c:pt>
                <c:pt idx="741">
                  <c:v>46080</c:v>
                </c:pt>
                <c:pt idx="742">
                  <c:v>46083</c:v>
                </c:pt>
                <c:pt idx="743">
                  <c:v>46084</c:v>
                </c:pt>
                <c:pt idx="744">
                  <c:v>46085</c:v>
                </c:pt>
                <c:pt idx="745">
                  <c:v>46086</c:v>
                </c:pt>
                <c:pt idx="746">
                  <c:v>46087</c:v>
                </c:pt>
                <c:pt idx="747">
                  <c:v>45968</c:v>
                </c:pt>
              </c:numCache>
            </c:numRef>
          </c:cat>
          <c:val>
            <c:numRef>
              <c:f>'FX Data'!$I$1462:$I$2855</c:f>
              <c:numCache>
                <c:formatCode>0.0</c:formatCode>
                <c:ptCount val="1394"/>
                <c:pt idx="0">
                  <c:v>13.423522048155872</c:v>
                </c:pt>
                <c:pt idx="1">
                  <c:v>13.423522048155872</c:v>
                </c:pt>
                <c:pt idx="2">
                  <c:v>13.423522048155872</c:v>
                </c:pt>
                <c:pt idx="3">
                  <c:v>13.423522048155872</c:v>
                </c:pt>
                <c:pt idx="4">
                  <c:v>13.423522048155872</c:v>
                </c:pt>
                <c:pt idx="5">
                  <c:v>13.423522048155872</c:v>
                </c:pt>
                <c:pt idx="6">
                  <c:v>13.423522048155872</c:v>
                </c:pt>
                <c:pt idx="7">
                  <c:v>13.423522048155872</c:v>
                </c:pt>
                <c:pt idx="8">
                  <c:v>13.423522048155872</c:v>
                </c:pt>
                <c:pt idx="9">
                  <c:v>13.423522048155872</c:v>
                </c:pt>
                <c:pt idx="10">
                  <c:v>13.423522048155872</c:v>
                </c:pt>
                <c:pt idx="11">
                  <c:v>13.423522048155872</c:v>
                </c:pt>
                <c:pt idx="12">
                  <c:v>13.423522048155872</c:v>
                </c:pt>
                <c:pt idx="13">
                  <c:v>13.423522048155872</c:v>
                </c:pt>
                <c:pt idx="14">
                  <c:v>13.423522048155872</c:v>
                </c:pt>
                <c:pt idx="15">
                  <c:v>13.423522048155872</c:v>
                </c:pt>
                <c:pt idx="16">
                  <c:v>13.423522048155872</c:v>
                </c:pt>
                <c:pt idx="17">
                  <c:v>13.423522048155872</c:v>
                </c:pt>
                <c:pt idx="18">
                  <c:v>13.423522048155872</c:v>
                </c:pt>
                <c:pt idx="19">
                  <c:v>13.423522048155872</c:v>
                </c:pt>
                <c:pt idx="20">
                  <c:v>13.423522048155872</c:v>
                </c:pt>
                <c:pt idx="21">
                  <c:v>13.423522048155872</c:v>
                </c:pt>
                <c:pt idx="22">
                  <c:v>13.423522048155872</c:v>
                </c:pt>
                <c:pt idx="23">
                  <c:v>13.423522048155872</c:v>
                </c:pt>
                <c:pt idx="24">
                  <c:v>13.423522048155872</c:v>
                </c:pt>
                <c:pt idx="25">
                  <c:v>13.423522048155872</c:v>
                </c:pt>
                <c:pt idx="26">
                  <c:v>13.423522048155872</c:v>
                </c:pt>
                <c:pt idx="27">
                  <c:v>13.423522048155872</c:v>
                </c:pt>
                <c:pt idx="28">
                  <c:v>13.423522048155872</c:v>
                </c:pt>
                <c:pt idx="29">
                  <c:v>13.423522048155872</c:v>
                </c:pt>
                <c:pt idx="30">
                  <c:v>13.423522048155872</c:v>
                </c:pt>
                <c:pt idx="31">
                  <c:v>13.423522048155872</c:v>
                </c:pt>
                <c:pt idx="32">
                  <c:v>13.423522048155872</c:v>
                </c:pt>
                <c:pt idx="33">
                  <c:v>13.423522048155872</c:v>
                </c:pt>
                <c:pt idx="34">
                  <c:v>13.423522048155872</c:v>
                </c:pt>
                <c:pt idx="35">
                  <c:v>13.423522048155872</c:v>
                </c:pt>
                <c:pt idx="36">
                  <c:v>13.423522048155872</c:v>
                </c:pt>
                <c:pt idx="37">
                  <c:v>13.423522048155872</c:v>
                </c:pt>
                <c:pt idx="38">
                  <c:v>13.423522048155872</c:v>
                </c:pt>
                <c:pt idx="39">
                  <c:v>13.423522048155872</c:v>
                </c:pt>
                <c:pt idx="40">
                  <c:v>13.423522048155872</c:v>
                </c:pt>
                <c:pt idx="41">
                  <c:v>13.423522048155872</c:v>
                </c:pt>
                <c:pt idx="42">
                  <c:v>13.423522048155872</c:v>
                </c:pt>
                <c:pt idx="43">
                  <c:v>13.423522048155872</c:v>
                </c:pt>
                <c:pt idx="44">
                  <c:v>13.423522048155872</c:v>
                </c:pt>
                <c:pt idx="45">
                  <c:v>13.423522048155872</c:v>
                </c:pt>
                <c:pt idx="46">
                  <c:v>13.423522048155872</c:v>
                </c:pt>
                <c:pt idx="47">
                  <c:v>13.423522048155872</c:v>
                </c:pt>
                <c:pt idx="48">
                  <c:v>13.423522048155872</c:v>
                </c:pt>
                <c:pt idx="49">
                  <c:v>13.423522048155872</c:v>
                </c:pt>
                <c:pt idx="50">
                  <c:v>13.423522048155872</c:v>
                </c:pt>
                <c:pt idx="51">
                  <c:v>13.423522048155872</c:v>
                </c:pt>
                <c:pt idx="52">
                  <c:v>13.423522048155872</c:v>
                </c:pt>
                <c:pt idx="53">
                  <c:v>13.423522048155872</c:v>
                </c:pt>
                <c:pt idx="54">
                  <c:v>13.423522048155872</c:v>
                </c:pt>
                <c:pt idx="55">
                  <c:v>13.423522048155872</c:v>
                </c:pt>
                <c:pt idx="56">
                  <c:v>13.423522048155872</c:v>
                </c:pt>
                <c:pt idx="57">
                  <c:v>13.423522048155872</c:v>
                </c:pt>
                <c:pt idx="58">
                  <c:v>13.423522048155872</c:v>
                </c:pt>
                <c:pt idx="59">
                  <c:v>13.423522048155872</c:v>
                </c:pt>
                <c:pt idx="60">
                  <c:v>13.423522048155872</c:v>
                </c:pt>
                <c:pt idx="61">
                  <c:v>13.423522048155872</c:v>
                </c:pt>
                <c:pt idx="62">
                  <c:v>13.423522048155872</c:v>
                </c:pt>
                <c:pt idx="63">
                  <c:v>13.423522048155872</c:v>
                </c:pt>
                <c:pt idx="64">
                  <c:v>13.423522048155872</c:v>
                </c:pt>
                <c:pt idx="65">
                  <c:v>13.423522048155872</c:v>
                </c:pt>
                <c:pt idx="66">
                  <c:v>13.423522048155872</c:v>
                </c:pt>
                <c:pt idx="67">
                  <c:v>13.423522048155872</c:v>
                </c:pt>
                <c:pt idx="68">
                  <c:v>13.423522048155872</c:v>
                </c:pt>
                <c:pt idx="69">
                  <c:v>13.423522048155872</c:v>
                </c:pt>
                <c:pt idx="70">
                  <c:v>13.423522048155872</c:v>
                </c:pt>
                <c:pt idx="71">
                  <c:v>13.423522048155872</c:v>
                </c:pt>
                <c:pt idx="72">
                  <c:v>13.423522048155872</c:v>
                </c:pt>
                <c:pt idx="73">
                  <c:v>13.423522048155872</c:v>
                </c:pt>
                <c:pt idx="74">
                  <c:v>13.423522048155872</c:v>
                </c:pt>
                <c:pt idx="75">
                  <c:v>13.423522048155872</c:v>
                </c:pt>
                <c:pt idx="76">
                  <c:v>13.423522048155872</c:v>
                </c:pt>
                <c:pt idx="77">
                  <c:v>13.423522048155872</c:v>
                </c:pt>
                <c:pt idx="78">
                  <c:v>13.423522048155872</c:v>
                </c:pt>
                <c:pt idx="79">
                  <c:v>13.423522048155872</c:v>
                </c:pt>
                <c:pt idx="80">
                  <c:v>13.423522048155872</c:v>
                </c:pt>
                <c:pt idx="81">
                  <c:v>13.423522048155872</c:v>
                </c:pt>
                <c:pt idx="82">
                  <c:v>13.423522048155872</c:v>
                </c:pt>
                <c:pt idx="83">
                  <c:v>13.423522048155872</c:v>
                </c:pt>
                <c:pt idx="84">
                  <c:v>13.423522048155872</c:v>
                </c:pt>
                <c:pt idx="85">
                  <c:v>13.423522048155872</c:v>
                </c:pt>
                <c:pt idx="86">
                  <c:v>13.423522048155872</c:v>
                </c:pt>
                <c:pt idx="87">
                  <c:v>13.423522048155872</c:v>
                </c:pt>
                <c:pt idx="88">
                  <c:v>13.423522048155872</c:v>
                </c:pt>
                <c:pt idx="89">
                  <c:v>13.423522048155872</c:v>
                </c:pt>
                <c:pt idx="90">
                  <c:v>13.423522048155872</c:v>
                </c:pt>
                <c:pt idx="91">
                  <c:v>13.423522048155872</c:v>
                </c:pt>
                <c:pt idx="92">
                  <c:v>13.423522048155872</c:v>
                </c:pt>
                <c:pt idx="93">
                  <c:v>13.423522048155872</c:v>
                </c:pt>
                <c:pt idx="94">
                  <c:v>13.423522048155872</c:v>
                </c:pt>
                <c:pt idx="95">
                  <c:v>13.423522048155872</c:v>
                </c:pt>
                <c:pt idx="96">
                  <c:v>13.423522048155872</c:v>
                </c:pt>
                <c:pt idx="97">
                  <c:v>13.423522048155872</c:v>
                </c:pt>
                <c:pt idx="98">
                  <c:v>13.423522048155872</c:v>
                </c:pt>
                <c:pt idx="99">
                  <c:v>13.423522048155872</c:v>
                </c:pt>
                <c:pt idx="100">
                  <c:v>13.423522048155872</c:v>
                </c:pt>
                <c:pt idx="101">
                  <c:v>13.423522048155872</c:v>
                </c:pt>
                <c:pt idx="102">
                  <c:v>13.423522048155872</c:v>
                </c:pt>
                <c:pt idx="103">
                  <c:v>13.423522048155872</c:v>
                </c:pt>
                <c:pt idx="104">
                  <c:v>13.423522048155872</c:v>
                </c:pt>
                <c:pt idx="105">
                  <c:v>13.423522048155872</c:v>
                </c:pt>
                <c:pt idx="106">
                  <c:v>13.423522048155872</c:v>
                </c:pt>
                <c:pt idx="107">
                  <c:v>13.423522048155872</c:v>
                </c:pt>
                <c:pt idx="108">
                  <c:v>13.423522048155872</c:v>
                </c:pt>
                <c:pt idx="109">
                  <c:v>13.423522048155872</c:v>
                </c:pt>
                <c:pt idx="110">
                  <c:v>13.423522048155872</c:v>
                </c:pt>
                <c:pt idx="111">
                  <c:v>13.423522048155872</c:v>
                </c:pt>
                <c:pt idx="112">
                  <c:v>13.423522048155872</c:v>
                </c:pt>
                <c:pt idx="113">
                  <c:v>13.423522048155872</c:v>
                </c:pt>
                <c:pt idx="114">
                  <c:v>13.423522048155872</c:v>
                </c:pt>
                <c:pt idx="115">
                  <c:v>13.423522048155872</c:v>
                </c:pt>
                <c:pt idx="116">
                  <c:v>13.423522048155872</c:v>
                </c:pt>
                <c:pt idx="117">
                  <c:v>13.423522048155872</c:v>
                </c:pt>
                <c:pt idx="118">
                  <c:v>13.423522048155872</c:v>
                </c:pt>
                <c:pt idx="119">
                  <c:v>13.423522048155872</c:v>
                </c:pt>
                <c:pt idx="120">
                  <c:v>13.423522048155872</c:v>
                </c:pt>
                <c:pt idx="121">
                  <c:v>13.423522048155872</c:v>
                </c:pt>
                <c:pt idx="122">
                  <c:v>13.423522048155872</c:v>
                </c:pt>
                <c:pt idx="123">
                  <c:v>13.423522048155872</c:v>
                </c:pt>
                <c:pt idx="124">
                  <c:v>13.423522048155872</c:v>
                </c:pt>
                <c:pt idx="125">
                  <c:v>13.423522048155872</c:v>
                </c:pt>
                <c:pt idx="126">
                  <c:v>13.423522048155872</c:v>
                </c:pt>
                <c:pt idx="127">
                  <c:v>13.423522048155872</c:v>
                </c:pt>
                <c:pt idx="128">
                  <c:v>13.423522048155872</c:v>
                </c:pt>
                <c:pt idx="129">
                  <c:v>13.423522048155872</c:v>
                </c:pt>
                <c:pt idx="130">
                  <c:v>13.423522048155872</c:v>
                </c:pt>
                <c:pt idx="131">
                  <c:v>13.423522048155872</c:v>
                </c:pt>
                <c:pt idx="132">
                  <c:v>13.423522048155872</c:v>
                </c:pt>
                <c:pt idx="133">
                  <c:v>13.423522048155872</c:v>
                </c:pt>
                <c:pt idx="134">
                  <c:v>13.423522048155872</c:v>
                </c:pt>
                <c:pt idx="135">
                  <c:v>13.423522048155872</c:v>
                </c:pt>
                <c:pt idx="136">
                  <c:v>13.423522048155872</c:v>
                </c:pt>
                <c:pt idx="137">
                  <c:v>13.423522048155872</c:v>
                </c:pt>
                <c:pt idx="138">
                  <c:v>13.423522048155872</c:v>
                </c:pt>
                <c:pt idx="139">
                  <c:v>13.423522048155872</c:v>
                </c:pt>
                <c:pt idx="140">
                  <c:v>13.423522048155872</c:v>
                </c:pt>
                <c:pt idx="141">
                  <c:v>13.423522048155872</c:v>
                </c:pt>
                <c:pt idx="142">
                  <c:v>13.423522048155872</c:v>
                </c:pt>
                <c:pt idx="143">
                  <c:v>13.423522048155872</c:v>
                </c:pt>
                <c:pt idx="144">
                  <c:v>13.423522048155872</c:v>
                </c:pt>
                <c:pt idx="145">
                  <c:v>13.423522048155872</c:v>
                </c:pt>
                <c:pt idx="146">
                  <c:v>13.423522048155872</c:v>
                </c:pt>
                <c:pt idx="147">
                  <c:v>13.423522048155872</c:v>
                </c:pt>
                <c:pt idx="148">
                  <c:v>13.423522048155872</c:v>
                </c:pt>
                <c:pt idx="149">
                  <c:v>13.423522048155872</c:v>
                </c:pt>
                <c:pt idx="150">
                  <c:v>13.423522048155872</c:v>
                </c:pt>
                <c:pt idx="151">
                  <c:v>13.423522048155872</c:v>
                </c:pt>
                <c:pt idx="152">
                  <c:v>13.423522048155872</c:v>
                </c:pt>
                <c:pt idx="153">
                  <c:v>13.423522048155872</c:v>
                </c:pt>
                <c:pt idx="154">
                  <c:v>13.423522048155872</c:v>
                </c:pt>
                <c:pt idx="155">
                  <c:v>13.423522048155872</c:v>
                </c:pt>
                <c:pt idx="156">
                  <c:v>13.423522048155872</c:v>
                </c:pt>
                <c:pt idx="157">
                  <c:v>13.423522048155872</c:v>
                </c:pt>
                <c:pt idx="158">
                  <c:v>13.423522048155872</c:v>
                </c:pt>
                <c:pt idx="159">
                  <c:v>13.423522048155872</c:v>
                </c:pt>
                <c:pt idx="160">
                  <c:v>13.423522048155872</c:v>
                </c:pt>
                <c:pt idx="161">
                  <c:v>13.423522048155872</c:v>
                </c:pt>
                <c:pt idx="162">
                  <c:v>13.423522048155872</c:v>
                </c:pt>
                <c:pt idx="163">
                  <c:v>13.423522048155872</c:v>
                </c:pt>
                <c:pt idx="164">
                  <c:v>13.423522048155872</c:v>
                </c:pt>
                <c:pt idx="165">
                  <c:v>13.423522048155872</c:v>
                </c:pt>
                <c:pt idx="166">
                  <c:v>13.423522048155872</c:v>
                </c:pt>
                <c:pt idx="167">
                  <c:v>13.423522048155872</c:v>
                </c:pt>
                <c:pt idx="168">
                  <c:v>13.423522048155872</c:v>
                </c:pt>
                <c:pt idx="169">
                  <c:v>13.423522048155872</c:v>
                </c:pt>
                <c:pt idx="170">
                  <c:v>13.423522048155872</c:v>
                </c:pt>
                <c:pt idx="171">
                  <c:v>13.423522048155872</c:v>
                </c:pt>
                <c:pt idx="172">
                  <c:v>13.423522048155872</c:v>
                </c:pt>
                <c:pt idx="173">
                  <c:v>13.423522048155872</c:v>
                </c:pt>
                <c:pt idx="174">
                  <c:v>13.423522048155872</c:v>
                </c:pt>
                <c:pt idx="175">
                  <c:v>13.423522048155872</c:v>
                </c:pt>
                <c:pt idx="176">
                  <c:v>13.423522048155872</c:v>
                </c:pt>
                <c:pt idx="177">
                  <c:v>13.423522048155872</c:v>
                </c:pt>
                <c:pt idx="178">
                  <c:v>13.423522048155872</c:v>
                </c:pt>
                <c:pt idx="179">
                  <c:v>13.423522048155872</c:v>
                </c:pt>
                <c:pt idx="180">
                  <c:v>13.423522048155872</c:v>
                </c:pt>
                <c:pt idx="181">
                  <c:v>13.423522048155872</c:v>
                </c:pt>
                <c:pt idx="182">
                  <c:v>13.423522048155872</c:v>
                </c:pt>
                <c:pt idx="183">
                  <c:v>13.423522048155872</c:v>
                </c:pt>
                <c:pt idx="184">
                  <c:v>13.423522048155872</c:v>
                </c:pt>
                <c:pt idx="185">
                  <c:v>13.423522048155872</c:v>
                </c:pt>
                <c:pt idx="186">
                  <c:v>13.423522048155872</c:v>
                </c:pt>
                <c:pt idx="187">
                  <c:v>13.423522048155872</c:v>
                </c:pt>
                <c:pt idx="188">
                  <c:v>13.423522048155872</c:v>
                </c:pt>
                <c:pt idx="189">
                  <c:v>13.423522048155872</c:v>
                </c:pt>
                <c:pt idx="190">
                  <c:v>13.423522048155872</c:v>
                </c:pt>
                <c:pt idx="191">
                  <c:v>13.423522048155872</c:v>
                </c:pt>
                <c:pt idx="192">
                  <c:v>13.423522048155872</c:v>
                </c:pt>
                <c:pt idx="193">
                  <c:v>13.423522048155872</c:v>
                </c:pt>
                <c:pt idx="194">
                  <c:v>13.423522048155872</c:v>
                </c:pt>
                <c:pt idx="195">
                  <c:v>13.423522048155872</c:v>
                </c:pt>
                <c:pt idx="196">
                  <c:v>13.423522048155872</c:v>
                </c:pt>
                <c:pt idx="197">
                  <c:v>13.423522048155872</c:v>
                </c:pt>
                <c:pt idx="198">
                  <c:v>13.423522048155872</c:v>
                </c:pt>
                <c:pt idx="199">
                  <c:v>13.423522048155872</c:v>
                </c:pt>
                <c:pt idx="200">
                  <c:v>13.423522048155872</c:v>
                </c:pt>
                <c:pt idx="201">
                  <c:v>13.423522048155872</c:v>
                </c:pt>
                <c:pt idx="202">
                  <c:v>13.423522048155872</c:v>
                </c:pt>
                <c:pt idx="203">
                  <c:v>13.423522048155872</c:v>
                </c:pt>
                <c:pt idx="204">
                  <c:v>13.423522048155872</c:v>
                </c:pt>
                <c:pt idx="205">
                  <c:v>13.423522048155872</c:v>
                </c:pt>
                <c:pt idx="206">
                  <c:v>13.423522048155872</c:v>
                </c:pt>
                <c:pt idx="207">
                  <c:v>13.423522048155872</c:v>
                </c:pt>
                <c:pt idx="208">
                  <c:v>13.423522048155872</c:v>
                </c:pt>
                <c:pt idx="209">
                  <c:v>13.423522048155872</c:v>
                </c:pt>
                <c:pt idx="210">
                  <c:v>13.423522048155872</c:v>
                </c:pt>
                <c:pt idx="211">
                  <c:v>13.423522048155872</c:v>
                </c:pt>
                <c:pt idx="212">
                  <c:v>13.423522048155872</c:v>
                </c:pt>
                <c:pt idx="213">
                  <c:v>13.423522048155872</c:v>
                </c:pt>
                <c:pt idx="214">
                  <c:v>13.423522048155872</c:v>
                </c:pt>
                <c:pt idx="215">
                  <c:v>13.423522048155872</c:v>
                </c:pt>
                <c:pt idx="216">
                  <c:v>13.423522048155872</c:v>
                </c:pt>
                <c:pt idx="217">
                  <c:v>13.423522048155872</c:v>
                </c:pt>
                <c:pt idx="218">
                  <c:v>13.423522048155872</c:v>
                </c:pt>
                <c:pt idx="219">
                  <c:v>13.423522048155872</c:v>
                </c:pt>
                <c:pt idx="220">
                  <c:v>13.423522048155872</c:v>
                </c:pt>
                <c:pt idx="221">
                  <c:v>13.423522048155872</c:v>
                </c:pt>
                <c:pt idx="222">
                  <c:v>13.423522048155872</c:v>
                </c:pt>
                <c:pt idx="223">
                  <c:v>13.423522048155872</c:v>
                </c:pt>
                <c:pt idx="224">
                  <c:v>13.423522048155872</c:v>
                </c:pt>
                <c:pt idx="225">
                  <c:v>13.423522048155872</c:v>
                </c:pt>
                <c:pt idx="226">
                  <c:v>13.423522048155872</c:v>
                </c:pt>
                <c:pt idx="227">
                  <c:v>13.423522048155872</c:v>
                </c:pt>
                <c:pt idx="228">
                  <c:v>13.423522048155872</c:v>
                </c:pt>
                <c:pt idx="229">
                  <c:v>13.423522048155872</c:v>
                </c:pt>
                <c:pt idx="230">
                  <c:v>13.423522048155872</c:v>
                </c:pt>
                <c:pt idx="231">
                  <c:v>13.423522048155872</c:v>
                </c:pt>
                <c:pt idx="232">
                  <c:v>13.423522048155872</c:v>
                </c:pt>
                <c:pt idx="233">
                  <c:v>13.423522048155872</c:v>
                </c:pt>
                <c:pt idx="234">
                  <c:v>13.423522048155872</c:v>
                </c:pt>
                <c:pt idx="235">
                  <c:v>13.423522048155872</c:v>
                </c:pt>
                <c:pt idx="236">
                  <c:v>13.423522048155872</c:v>
                </c:pt>
                <c:pt idx="237">
                  <c:v>13.423522048155872</c:v>
                </c:pt>
                <c:pt idx="238">
                  <c:v>13.423522048155872</c:v>
                </c:pt>
                <c:pt idx="239">
                  <c:v>13.423522048155872</c:v>
                </c:pt>
                <c:pt idx="240">
                  <c:v>13.423522048155872</c:v>
                </c:pt>
                <c:pt idx="241">
                  <c:v>13.423522048155872</c:v>
                </c:pt>
                <c:pt idx="242">
                  <c:v>13.423522048155872</c:v>
                </c:pt>
                <c:pt idx="243">
                  <c:v>13.423522048155872</c:v>
                </c:pt>
                <c:pt idx="244">
                  <c:v>13.423522048155872</c:v>
                </c:pt>
                <c:pt idx="245">
                  <c:v>13.423522048155872</c:v>
                </c:pt>
                <c:pt idx="246">
                  <c:v>13.423522048155872</c:v>
                </c:pt>
                <c:pt idx="247">
                  <c:v>13.423522048155872</c:v>
                </c:pt>
                <c:pt idx="248">
                  <c:v>13.423522048155872</c:v>
                </c:pt>
                <c:pt idx="249">
                  <c:v>13.423522048155872</c:v>
                </c:pt>
                <c:pt idx="250">
                  <c:v>13.423522048155872</c:v>
                </c:pt>
                <c:pt idx="251">
                  <c:v>13.423522048155872</c:v>
                </c:pt>
                <c:pt idx="252">
                  <c:v>13.423522048155872</c:v>
                </c:pt>
                <c:pt idx="253">
                  <c:v>13.423522048155872</c:v>
                </c:pt>
                <c:pt idx="254">
                  <c:v>13.423522048155872</c:v>
                </c:pt>
                <c:pt idx="255">
                  <c:v>13.423522048155872</c:v>
                </c:pt>
                <c:pt idx="256">
                  <c:v>13.423522048155872</c:v>
                </c:pt>
                <c:pt idx="257">
                  <c:v>13.423522048155872</c:v>
                </c:pt>
                <c:pt idx="258">
                  <c:v>13.423522048155872</c:v>
                </c:pt>
                <c:pt idx="259">
                  <c:v>13.423522048155872</c:v>
                </c:pt>
                <c:pt idx="260">
                  <c:v>13.423522048155872</c:v>
                </c:pt>
                <c:pt idx="261">
                  <c:v>13.423522048155872</c:v>
                </c:pt>
                <c:pt idx="262">
                  <c:v>13.423522048155872</c:v>
                </c:pt>
                <c:pt idx="263">
                  <c:v>13.423522048155872</c:v>
                </c:pt>
                <c:pt idx="264">
                  <c:v>13.423522048155872</c:v>
                </c:pt>
                <c:pt idx="265">
                  <c:v>13.423522048155872</c:v>
                </c:pt>
                <c:pt idx="266">
                  <c:v>13.423522048155872</c:v>
                </c:pt>
                <c:pt idx="267">
                  <c:v>13.423522048155872</c:v>
                </c:pt>
                <c:pt idx="268">
                  <c:v>13.423522048155872</c:v>
                </c:pt>
                <c:pt idx="269">
                  <c:v>13.423522048155872</c:v>
                </c:pt>
                <c:pt idx="270">
                  <c:v>13.423522048155872</c:v>
                </c:pt>
                <c:pt idx="271">
                  <c:v>13.423522048155872</c:v>
                </c:pt>
                <c:pt idx="272">
                  <c:v>13.423522048155872</c:v>
                </c:pt>
                <c:pt idx="273">
                  <c:v>13.423522048155872</c:v>
                </c:pt>
                <c:pt idx="274">
                  <c:v>13.423522048155872</c:v>
                </c:pt>
                <c:pt idx="275">
                  <c:v>13.423522048155872</c:v>
                </c:pt>
                <c:pt idx="276">
                  <c:v>13.423522048155872</c:v>
                </c:pt>
                <c:pt idx="277">
                  <c:v>13.423522048155872</c:v>
                </c:pt>
                <c:pt idx="278">
                  <c:v>13.423522048155872</c:v>
                </c:pt>
                <c:pt idx="279">
                  <c:v>13.423522048155872</c:v>
                </c:pt>
                <c:pt idx="280">
                  <c:v>13.423522048155872</c:v>
                </c:pt>
                <c:pt idx="281">
                  <c:v>13.423522048155872</c:v>
                </c:pt>
                <c:pt idx="282">
                  <c:v>13.423522048155872</c:v>
                </c:pt>
                <c:pt idx="283">
                  <c:v>13.423522048155872</c:v>
                </c:pt>
                <c:pt idx="284">
                  <c:v>13.423522048155872</c:v>
                </c:pt>
                <c:pt idx="285">
                  <c:v>13.423522048155872</c:v>
                </c:pt>
                <c:pt idx="286">
                  <c:v>13.423522048155872</c:v>
                </c:pt>
                <c:pt idx="287">
                  <c:v>13.423522048155872</c:v>
                </c:pt>
                <c:pt idx="288">
                  <c:v>13.423522048155872</c:v>
                </c:pt>
                <c:pt idx="289">
                  <c:v>13.423522048155872</c:v>
                </c:pt>
                <c:pt idx="290">
                  <c:v>13.423522048155872</c:v>
                </c:pt>
                <c:pt idx="291">
                  <c:v>13.423522048155872</c:v>
                </c:pt>
                <c:pt idx="292">
                  <c:v>13.423522048155872</c:v>
                </c:pt>
                <c:pt idx="293">
                  <c:v>13.423522048155872</c:v>
                </c:pt>
                <c:pt idx="294">
                  <c:v>13.423522048155872</c:v>
                </c:pt>
                <c:pt idx="295">
                  <c:v>13.423522048155872</c:v>
                </c:pt>
                <c:pt idx="296">
                  <c:v>13.423522048155872</c:v>
                </c:pt>
                <c:pt idx="297">
                  <c:v>13.423522048155872</c:v>
                </c:pt>
                <c:pt idx="298">
                  <c:v>13.423522048155872</c:v>
                </c:pt>
                <c:pt idx="299">
                  <c:v>13.423522048155872</c:v>
                </c:pt>
                <c:pt idx="300">
                  <c:v>13.423522048155872</c:v>
                </c:pt>
                <c:pt idx="301">
                  <c:v>13.423522048155872</c:v>
                </c:pt>
                <c:pt idx="302">
                  <c:v>13.423522048155872</c:v>
                </c:pt>
                <c:pt idx="303">
                  <c:v>13.423522048155872</c:v>
                </c:pt>
                <c:pt idx="304">
                  <c:v>13.423522048155872</c:v>
                </c:pt>
                <c:pt idx="305">
                  <c:v>13.423522048155872</c:v>
                </c:pt>
                <c:pt idx="306">
                  <c:v>13.423522048155872</c:v>
                </c:pt>
                <c:pt idx="307">
                  <c:v>13.423522048155872</c:v>
                </c:pt>
                <c:pt idx="308">
                  <c:v>13.423522048155872</c:v>
                </c:pt>
                <c:pt idx="309">
                  <c:v>13.423522048155872</c:v>
                </c:pt>
                <c:pt idx="310">
                  <c:v>13.423522048155872</c:v>
                </c:pt>
                <c:pt idx="311">
                  <c:v>13.423522048155872</c:v>
                </c:pt>
                <c:pt idx="312">
                  <c:v>13.423522048155872</c:v>
                </c:pt>
                <c:pt idx="313">
                  <c:v>13.423522048155872</c:v>
                </c:pt>
                <c:pt idx="314">
                  <c:v>13.423522048155872</c:v>
                </c:pt>
                <c:pt idx="315">
                  <c:v>13.423522048155872</c:v>
                </c:pt>
                <c:pt idx="316">
                  <c:v>13.423522048155872</c:v>
                </c:pt>
                <c:pt idx="317">
                  <c:v>13.423522048155872</c:v>
                </c:pt>
                <c:pt idx="318">
                  <c:v>13.423522048155872</c:v>
                </c:pt>
                <c:pt idx="319">
                  <c:v>13.423522048155872</c:v>
                </c:pt>
                <c:pt idx="320">
                  <c:v>13.423522048155872</c:v>
                </c:pt>
                <c:pt idx="321">
                  <c:v>13.423522048155872</c:v>
                </c:pt>
                <c:pt idx="322">
                  <c:v>13.423522048155872</c:v>
                </c:pt>
                <c:pt idx="323">
                  <c:v>13.423522048155872</c:v>
                </c:pt>
                <c:pt idx="324">
                  <c:v>13.423522048155872</c:v>
                </c:pt>
                <c:pt idx="325">
                  <c:v>13.423522048155872</c:v>
                </c:pt>
                <c:pt idx="326">
                  <c:v>13.423522048155872</c:v>
                </c:pt>
                <c:pt idx="327">
                  <c:v>13.423522048155872</c:v>
                </c:pt>
                <c:pt idx="328">
                  <c:v>13.423522048155872</c:v>
                </c:pt>
                <c:pt idx="329">
                  <c:v>13.423522048155872</c:v>
                </c:pt>
                <c:pt idx="330">
                  <c:v>13.423522048155872</c:v>
                </c:pt>
                <c:pt idx="331">
                  <c:v>13.423522048155872</c:v>
                </c:pt>
                <c:pt idx="332">
                  <c:v>13.423522048155872</c:v>
                </c:pt>
                <c:pt idx="333">
                  <c:v>13.423522048155872</c:v>
                </c:pt>
                <c:pt idx="334">
                  <c:v>13.423522048155872</c:v>
                </c:pt>
                <c:pt idx="335">
                  <c:v>13.423522048155872</c:v>
                </c:pt>
                <c:pt idx="336">
                  <c:v>13.423522048155872</c:v>
                </c:pt>
                <c:pt idx="337">
                  <c:v>13.423522048155872</c:v>
                </c:pt>
                <c:pt idx="338">
                  <c:v>13.423522048155872</c:v>
                </c:pt>
                <c:pt idx="339">
                  <c:v>13.423522048155872</c:v>
                </c:pt>
                <c:pt idx="340">
                  <c:v>13.423522048155872</c:v>
                </c:pt>
                <c:pt idx="341">
                  <c:v>13.423522048155872</c:v>
                </c:pt>
                <c:pt idx="342">
                  <c:v>13.423522048155872</c:v>
                </c:pt>
                <c:pt idx="343">
                  <c:v>13.423522048155872</c:v>
                </c:pt>
                <c:pt idx="344">
                  <c:v>13.423522048155872</c:v>
                </c:pt>
                <c:pt idx="345">
                  <c:v>13.423522048155872</c:v>
                </c:pt>
                <c:pt idx="346">
                  <c:v>13.423522048155872</c:v>
                </c:pt>
                <c:pt idx="347">
                  <c:v>13.423522048155872</c:v>
                </c:pt>
                <c:pt idx="348">
                  <c:v>13.423522048155872</c:v>
                </c:pt>
                <c:pt idx="349">
                  <c:v>13.423522048155872</c:v>
                </c:pt>
                <c:pt idx="350">
                  <c:v>13.423522048155872</c:v>
                </c:pt>
                <c:pt idx="351">
                  <c:v>13.423522048155872</c:v>
                </c:pt>
                <c:pt idx="352">
                  <c:v>13.423522048155872</c:v>
                </c:pt>
                <c:pt idx="353">
                  <c:v>13.423522048155872</c:v>
                </c:pt>
                <c:pt idx="354">
                  <c:v>13.423522048155872</c:v>
                </c:pt>
                <c:pt idx="355">
                  <c:v>13.423522048155872</c:v>
                </c:pt>
                <c:pt idx="356">
                  <c:v>13.423522048155872</c:v>
                </c:pt>
                <c:pt idx="357">
                  <c:v>13.423522048155872</c:v>
                </c:pt>
                <c:pt idx="358">
                  <c:v>13.423522048155872</c:v>
                </c:pt>
                <c:pt idx="359">
                  <c:v>13.423522048155872</c:v>
                </c:pt>
                <c:pt idx="360">
                  <c:v>13.423522048155872</c:v>
                </c:pt>
                <c:pt idx="361">
                  <c:v>13.423522048155872</c:v>
                </c:pt>
                <c:pt idx="362">
                  <c:v>13.423522048155872</c:v>
                </c:pt>
                <c:pt idx="363">
                  <c:v>13.423522048155872</c:v>
                </c:pt>
                <c:pt idx="364">
                  <c:v>13.423522048155872</c:v>
                </c:pt>
                <c:pt idx="365">
                  <c:v>13.423522048155872</c:v>
                </c:pt>
                <c:pt idx="366">
                  <c:v>13.423522048155872</c:v>
                </c:pt>
                <c:pt idx="367">
                  <c:v>13.423522048155872</c:v>
                </c:pt>
                <c:pt idx="368">
                  <c:v>13.423522048155872</c:v>
                </c:pt>
                <c:pt idx="369">
                  <c:v>13.423522048155872</c:v>
                </c:pt>
                <c:pt idx="370">
                  <c:v>13.423522048155872</c:v>
                </c:pt>
                <c:pt idx="371">
                  <c:v>13.423522048155872</c:v>
                </c:pt>
                <c:pt idx="372">
                  <c:v>13.423522048155872</c:v>
                </c:pt>
                <c:pt idx="373">
                  <c:v>13.423522048155872</c:v>
                </c:pt>
                <c:pt idx="374">
                  <c:v>13.423522048155872</c:v>
                </c:pt>
                <c:pt idx="375">
                  <c:v>13.423522048155872</c:v>
                </c:pt>
                <c:pt idx="376">
                  <c:v>13.423522048155872</c:v>
                </c:pt>
                <c:pt idx="377">
                  <c:v>13.423522048155872</c:v>
                </c:pt>
                <c:pt idx="378">
                  <c:v>13.423522048155872</c:v>
                </c:pt>
                <c:pt idx="379">
                  <c:v>13.423522048155872</c:v>
                </c:pt>
                <c:pt idx="380">
                  <c:v>13.423522048155872</c:v>
                </c:pt>
                <c:pt idx="381">
                  <c:v>13.423522048155872</c:v>
                </c:pt>
                <c:pt idx="382">
                  <c:v>13.423522048155872</c:v>
                </c:pt>
                <c:pt idx="383">
                  <c:v>13.423522048155872</c:v>
                </c:pt>
                <c:pt idx="384">
                  <c:v>13.423522048155872</c:v>
                </c:pt>
                <c:pt idx="385">
                  <c:v>13.423522048155872</c:v>
                </c:pt>
                <c:pt idx="386">
                  <c:v>13.423522048155872</c:v>
                </c:pt>
                <c:pt idx="387">
                  <c:v>13.423522048155872</c:v>
                </c:pt>
                <c:pt idx="388">
                  <c:v>13.423522048155872</c:v>
                </c:pt>
                <c:pt idx="389">
                  <c:v>13.423522048155872</c:v>
                </c:pt>
                <c:pt idx="390">
                  <c:v>13.423522048155872</c:v>
                </c:pt>
                <c:pt idx="391">
                  <c:v>13.423522048155872</c:v>
                </c:pt>
                <c:pt idx="392">
                  <c:v>13.423522048155872</c:v>
                </c:pt>
                <c:pt idx="393">
                  <c:v>13.423522048155872</c:v>
                </c:pt>
                <c:pt idx="394">
                  <c:v>13.423522048155872</c:v>
                </c:pt>
                <c:pt idx="395">
                  <c:v>13.423522048155872</c:v>
                </c:pt>
                <c:pt idx="396">
                  <c:v>13.423522048155872</c:v>
                </c:pt>
                <c:pt idx="397">
                  <c:v>13.423522048155872</c:v>
                </c:pt>
                <c:pt idx="398">
                  <c:v>13.423522048155872</c:v>
                </c:pt>
                <c:pt idx="399">
                  <c:v>13.423522048155872</c:v>
                </c:pt>
                <c:pt idx="400">
                  <c:v>13.423522048155872</c:v>
                </c:pt>
                <c:pt idx="401">
                  <c:v>13.423522048155872</c:v>
                </c:pt>
                <c:pt idx="402">
                  <c:v>13.423522048155872</c:v>
                </c:pt>
                <c:pt idx="403">
                  <c:v>13.423522048155872</c:v>
                </c:pt>
                <c:pt idx="404">
                  <c:v>13.423522048155872</c:v>
                </c:pt>
                <c:pt idx="405">
                  <c:v>13.423522048155872</c:v>
                </c:pt>
                <c:pt idx="406">
                  <c:v>13.423522048155872</c:v>
                </c:pt>
                <c:pt idx="407">
                  <c:v>13.423522048155872</c:v>
                </c:pt>
                <c:pt idx="408">
                  <c:v>13.423522048155872</c:v>
                </c:pt>
                <c:pt idx="409">
                  <c:v>13.423522048155872</c:v>
                </c:pt>
                <c:pt idx="410">
                  <c:v>13.423522048155872</c:v>
                </c:pt>
                <c:pt idx="411">
                  <c:v>13.423522048155872</c:v>
                </c:pt>
                <c:pt idx="412">
                  <c:v>13.423522048155872</c:v>
                </c:pt>
                <c:pt idx="413">
                  <c:v>13.423522048155872</c:v>
                </c:pt>
                <c:pt idx="414">
                  <c:v>13.423522048155872</c:v>
                </c:pt>
                <c:pt idx="415">
                  <c:v>13.423522048155872</c:v>
                </c:pt>
                <c:pt idx="416">
                  <c:v>13.423522048155872</c:v>
                </c:pt>
                <c:pt idx="417">
                  <c:v>13.423522048155872</c:v>
                </c:pt>
                <c:pt idx="418">
                  <c:v>13.423522048155872</c:v>
                </c:pt>
                <c:pt idx="419">
                  <c:v>13.423522048155872</c:v>
                </c:pt>
                <c:pt idx="420">
                  <c:v>13.423522048155872</c:v>
                </c:pt>
                <c:pt idx="421">
                  <c:v>13.423522048155872</c:v>
                </c:pt>
                <c:pt idx="422">
                  <c:v>13.423522048155872</c:v>
                </c:pt>
                <c:pt idx="423">
                  <c:v>13.423522048155872</c:v>
                </c:pt>
                <c:pt idx="424">
                  <c:v>13.423522048155872</c:v>
                </c:pt>
                <c:pt idx="425">
                  <c:v>13.423522048155872</c:v>
                </c:pt>
                <c:pt idx="426">
                  <c:v>13.423522048155872</c:v>
                </c:pt>
                <c:pt idx="427">
                  <c:v>13.423522048155872</c:v>
                </c:pt>
                <c:pt idx="428">
                  <c:v>13.423522048155872</c:v>
                </c:pt>
                <c:pt idx="429">
                  <c:v>13.423522048155872</c:v>
                </c:pt>
                <c:pt idx="430">
                  <c:v>13.423522048155872</c:v>
                </c:pt>
                <c:pt idx="431">
                  <c:v>13.423522048155872</c:v>
                </c:pt>
                <c:pt idx="432">
                  <c:v>13.423522048155872</c:v>
                </c:pt>
                <c:pt idx="433">
                  <c:v>13.423522048155872</c:v>
                </c:pt>
                <c:pt idx="434">
                  <c:v>13.423522048155872</c:v>
                </c:pt>
                <c:pt idx="435">
                  <c:v>13.423522048155872</c:v>
                </c:pt>
                <c:pt idx="436">
                  <c:v>13.423522048155872</c:v>
                </c:pt>
                <c:pt idx="437">
                  <c:v>13.423522048155872</c:v>
                </c:pt>
                <c:pt idx="438">
                  <c:v>13.423522048155872</c:v>
                </c:pt>
                <c:pt idx="439">
                  <c:v>13.423522048155872</c:v>
                </c:pt>
                <c:pt idx="440">
                  <c:v>13.423522048155872</c:v>
                </c:pt>
                <c:pt idx="441">
                  <c:v>13.423522048155872</c:v>
                </c:pt>
                <c:pt idx="442">
                  <c:v>13.423522048155872</c:v>
                </c:pt>
                <c:pt idx="443">
                  <c:v>13.423522048155872</c:v>
                </c:pt>
                <c:pt idx="444">
                  <c:v>13.423522048155872</c:v>
                </c:pt>
                <c:pt idx="445">
                  <c:v>13.423522048155872</c:v>
                </c:pt>
                <c:pt idx="446">
                  <c:v>13.423522048155872</c:v>
                </c:pt>
                <c:pt idx="447">
                  <c:v>13.423522048155872</c:v>
                </c:pt>
                <c:pt idx="448">
                  <c:v>13.423522048155872</c:v>
                </c:pt>
                <c:pt idx="449">
                  <c:v>13.423522048155872</c:v>
                </c:pt>
                <c:pt idx="450">
                  <c:v>13.423522048155872</c:v>
                </c:pt>
                <c:pt idx="451">
                  <c:v>13.423522048155872</c:v>
                </c:pt>
                <c:pt idx="452">
                  <c:v>13.423522048155872</c:v>
                </c:pt>
                <c:pt idx="453">
                  <c:v>13.423522048155872</c:v>
                </c:pt>
                <c:pt idx="454">
                  <c:v>13.423522048155872</c:v>
                </c:pt>
                <c:pt idx="455">
                  <c:v>13.423522048155872</c:v>
                </c:pt>
                <c:pt idx="456">
                  <c:v>13.423522048155872</c:v>
                </c:pt>
                <c:pt idx="457">
                  <c:v>13.423522048155872</c:v>
                </c:pt>
                <c:pt idx="458">
                  <c:v>13.423522048155872</c:v>
                </c:pt>
                <c:pt idx="459">
                  <c:v>13.423522048155872</c:v>
                </c:pt>
                <c:pt idx="460">
                  <c:v>13.423522048155872</c:v>
                </c:pt>
                <c:pt idx="461">
                  <c:v>13.423522048155872</c:v>
                </c:pt>
                <c:pt idx="462">
                  <c:v>13.423522048155872</c:v>
                </c:pt>
                <c:pt idx="463">
                  <c:v>13.423522048155872</c:v>
                </c:pt>
                <c:pt idx="464">
                  <c:v>13.423522048155872</c:v>
                </c:pt>
                <c:pt idx="465">
                  <c:v>13.423522048155872</c:v>
                </c:pt>
                <c:pt idx="466">
                  <c:v>13.423522048155872</c:v>
                </c:pt>
                <c:pt idx="467">
                  <c:v>13.423522048155872</c:v>
                </c:pt>
                <c:pt idx="468">
                  <c:v>13.423522048155872</c:v>
                </c:pt>
                <c:pt idx="469">
                  <c:v>13.423522048155872</c:v>
                </c:pt>
                <c:pt idx="470">
                  <c:v>13.423522048155872</c:v>
                </c:pt>
                <c:pt idx="471">
                  <c:v>13.423522048155872</c:v>
                </c:pt>
                <c:pt idx="472">
                  <c:v>13.423522048155872</c:v>
                </c:pt>
                <c:pt idx="473">
                  <c:v>13.423522048155872</c:v>
                </c:pt>
                <c:pt idx="474">
                  <c:v>13.423522048155872</c:v>
                </c:pt>
                <c:pt idx="475">
                  <c:v>13.423522048155872</c:v>
                </c:pt>
                <c:pt idx="476">
                  <c:v>13.423522048155872</c:v>
                </c:pt>
                <c:pt idx="477">
                  <c:v>13.423522048155872</c:v>
                </c:pt>
                <c:pt idx="478">
                  <c:v>13.423522048155872</c:v>
                </c:pt>
                <c:pt idx="479">
                  <c:v>13.423522048155872</c:v>
                </c:pt>
                <c:pt idx="480">
                  <c:v>13.423522048155872</c:v>
                </c:pt>
                <c:pt idx="481">
                  <c:v>13.423522048155872</c:v>
                </c:pt>
                <c:pt idx="482">
                  <c:v>13.423522048155872</c:v>
                </c:pt>
                <c:pt idx="483">
                  <c:v>13.423522048155872</c:v>
                </c:pt>
                <c:pt idx="484">
                  <c:v>13.423522048155872</c:v>
                </c:pt>
                <c:pt idx="485">
                  <c:v>13.423522048155872</c:v>
                </c:pt>
                <c:pt idx="486">
                  <c:v>13.423522048155872</c:v>
                </c:pt>
                <c:pt idx="487">
                  <c:v>13.423522048155872</c:v>
                </c:pt>
                <c:pt idx="488">
                  <c:v>13.423522048155872</c:v>
                </c:pt>
                <c:pt idx="489">
                  <c:v>13.423522048155872</c:v>
                </c:pt>
                <c:pt idx="490">
                  <c:v>13.423522048155872</c:v>
                </c:pt>
                <c:pt idx="491">
                  <c:v>13.423522048155872</c:v>
                </c:pt>
                <c:pt idx="492">
                  <c:v>13.423522048155872</c:v>
                </c:pt>
                <c:pt idx="493">
                  <c:v>13.423522048155872</c:v>
                </c:pt>
                <c:pt idx="494">
                  <c:v>13.423522048155872</c:v>
                </c:pt>
                <c:pt idx="495">
                  <c:v>13.423522048155872</c:v>
                </c:pt>
                <c:pt idx="496">
                  <c:v>13.423522048155872</c:v>
                </c:pt>
                <c:pt idx="497">
                  <c:v>13.423522048155872</c:v>
                </c:pt>
                <c:pt idx="498">
                  <c:v>13.423522048155872</c:v>
                </c:pt>
                <c:pt idx="499">
                  <c:v>13.423522048155872</c:v>
                </c:pt>
                <c:pt idx="500">
                  <c:v>13.423522048155872</c:v>
                </c:pt>
                <c:pt idx="501">
                  <c:v>13.423522048155872</c:v>
                </c:pt>
                <c:pt idx="502">
                  <c:v>13.423522048155872</c:v>
                </c:pt>
                <c:pt idx="503">
                  <c:v>13.423522048155872</c:v>
                </c:pt>
                <c:pt idx="504">
                  <c:v>13.423522048155872</c:v>
                </c:pt>
                <c:pt idx="505">
                  <c:v>13.423522048155872</c:v>
                </c:pt>
                <c:pt idx="506">
                  <c:v>13.423522048155872</c:v>
                </c:pt>
                <c:pt idx="507">
                  <c:v>13.423522048155872</c:v>
                </c:pt>
                <c:pt idx="508">
                  <c:v>13.423522048155872</c:v>
                </c:pt>
                <c:pt idx="509">
                  <c:v>13.423522048155872</c:v>
                </c:pt>
                <c:pt idx="510">
                  <c:v>13.423522048155872</c:v>
                </c:pt>
                <c:pt idx="511">
                  <c:v>13.423522048155872</c:v>
                </c:pt>
                <c:pt idx="512">
                  <c:v>13.423522048155872</c:v>
                </c:pt>
                <c:pt idx="513">
                  <c:v>13.423522048155872</c:v>
                </c:pt>
                <c:pt idx="514">
                  <c:v>13.423522048155872</c:v>
                </c:pt>
                <c:pt idx="515">
                  <c:v>13.423522048155872</c:v>
                </c:pt>
                <c:pt idx="516">
                  <c:v>13.423522048155872</c:v>
                </c:pt>
                <c:pt idx="517">
                  <c:v>13.423522048155872</c:v>
                </c:pt>
                <c:pt idx="518">
                  <c:v>13.423522048155872</c:v>
                </c:pt>
                <c:pt idx="519">
                  <c:v>13.423522048155872</c:v>
                </c:pt>
                <c:pt idx="520">
                  <c:v>13.423522048155872</c:v>
                </c:pt>
                <c:pt idx="521">
                  <c:v>13.423522048155872</c:v>
                </c:pt>
                <c:pt idx="522">
                  <c:v>13.423522048155872</c:v>
                </c:pt>
                <c:pt idx="523">
                  <c:v>13.423522048155872</c:v>
                </c:pt>
                <c:pt idx="524">
                  <c:v>13.423522048155872</c:v>
                </c:pt>
                <c:pt idx="525">
                  <c:v>13.423522048155872</c:v>
                </c:pt>
                <c:pt idx="526">
                  <c:v>13.423522048155872</c:v>
                </c:pt>
                <c:pt idx="527">
                  <c:v>13.423522048155872</c:v>
                </c:pt>
                <c:pt idx="528">
                  <c:v>13.423522048155872</c:v>
                </c:pt>
                <c:pt idx="529">
                  <c:v>13.423522048155872</c:v>
                </c:pt>
                <c:pt idx="530">
                  <c:v>13.423522048155872</c:v>
                </c:pt>
                <c:pt idx="531">
                  <c:v>13.423522048155872</c:v>
                </c:pt>
                <c:pt idx="532">
                  <c:v>13.423522048155872</c:v>
                </c:pt>
                <c:pt idx="533">
                  <c:v>13.423522048155872</c:v>
                </c:pt>
                <c:pt idx="534">
                  <c:v>13.423522048155872</c:v>
                </c:pt>
                <c:pt idx="535">
                  <c:v>13.423522048155872</c:v>
                </c:pt>
                <c:pt idx="536">
                  <c:v>13.423522048155872</c:v>
                </c:pt>
                <c:pt idx="537">
                  <c:v>13.423522048155872</c:v>
                </c:pt>
                <c:pt idx="538">
                  <c:v>13.423522048155872</c:v>
                </c:pt>
                <c:pt idx="539">
                  <c:v>13.423522048155872</c:v>
                </c:pt>
                <c:pt idx="540">
                  <c:v>13.423522048155872</c:v>
                </c:pt>
                <c:pt idx="541">
                  <c:v>13.423522048155872</c:v>
                </c:pt>
                <c:pt idx="542">
                  <c:v>13.423522048155872</c:v>
                </c:pt>
                <c:pt idx="543">
                  <c:v>13.423522048155872</c:v>
                </c:pt>
                <c:pt idx="544">
                  <c:v>13.423522048155872</c:v>
                </c:pt>
                <c:pt idx="545">
                  <c:v>13.423522048155872</c:v>
                </c:pt>
                <c:pt idx="546">
                  <c:v>13.423522048155872</c:v>
                </c:pt>
                <c:pt idx="547">
                  <c:v>13.423522048155872</c:v>
                </c:pt>
                <c:pt idx="548">
                  <c:v>13.423522048155872</c:v>
                </c:pt>
                <c:pt idx="549">
                  <c:v>13.423522048155872</c:v>
                </c:pt>
                <c:pt idx="550">
                  <c:v>13.423522048155872</c:v>
                </c:pt>
                <c:pt idx="551">
                  <c:v>13.423522048155872</c:v>
                </c:pt>
                <c:pt idx="552">
                  <c:v>13.423522048155872</c:v>
                </c:pt>
                <c:pt idx="553">
                  <c:v>13.423522048155872</c:v>
                </c:pt>
                <c:pt idx="554">
                  <c:v>13.423522048155872</c:v>
                </c:pt>
                <c:pt idx="555">
                  <c:v>13.423522048155872</c:v>
                </c:pt>
                <c:pt idx="556">
                  <c:v>13.423522048155872</c:v>
                </c:pt>
                <c:pt idx="557">
                  <c:v>13.423522048155872</c:v>
                </c:pt>
                <c:pt idx="558">
                  <c:v>13.423522048155872</c:v>
                </c:pt>
                <c:pt idx="559">
                  <c:v>13.423522048155872</c:v>
                </c:pt>
                <c:pt idx="560">
                  <c:v>13.423522048155872</c:v>
                </c:pt>
                <c:pt idx="561">
                  <c:v>13.423522048155872</c:v>
                </c:pt>
                <c:pt idx="562">
                  <c:v>13.423522048155872</c:v>
                </c:pt>
                <c:pt idx="563">
                  <c:v>13.423522048155872</c:v>
                </c:pt>
                <c:pt idx="564">
                  <c:v>13.423522048155872</c:v>
                </c:pt>
                <c:pt idx="565">
                  <c:v>13.423522048155872</c:v>
                </c:pt>
                <c:pt idx="566">
                  <c:v>13.423522048155872</c:v>
                </c:pt>
                <c:pt idx="567">
                  <c:v>13.423522048155872</c:v>
                </c:pt>
                <c:pt idx="568">
                  <c:v>13.423522048155872</c:v>
                </c:pt>
                <c:pt idx="569">
                  <c:v>13.423522048155872</c:v>
                </c:pt>
                <c:pt idx="570">
                  <c:v>13.423522048155872</c:v>
                </c:pt>
                <c:pt idx="571">
                  <c:v>13.423522048155872</c:v>
                </c:pt>
                <c:pt idx="572">
                  <c:v>13.423522048155872</c:v>
                </c:pt>
                <c:pt idx="573">
                  <c:v>13.423522048155872</c:v>
                </c:pt>
                <c:pt idx="574">
                  <c:v>13.423522048155872</c:v>
                </c:pt>
                <c:pt idx="575">
                  <c:v>13.423522048155872</c:v>
                </c:pt>
                <c:pt idx="576">
                  <c:v>13.423522048155872</c:v>
                </c:pt>
                <c:pt idx="577">
                  <c:v>13.423522048155872</c:v>
                </c:pt>
                <c:pt idx="578">
                  <c:v>13.423522048155872</c:v>
                </c:pt>
                <c:pt idx="579">
                  <c:v>13.423522048155872</c:v>
                </c:pt>
                <c:pt idx="580">
                  <c:v>13.423522048155872</c:v>
                </c:pt>
                <c:pt idx="581">
                  <c:v>13.423522048155872</c:v>
                </c:pt>
                <c:pt idx="582">
                  <c:v>13.423522048155872</c:v>
                </c:pt>
                <c:pt idx="583">
                  <c:v>13.423522048155872</c:v>
                </c:pt>
                <c:pt idx="584">
                  <c:v>13.423522048155872</c:v>
                </c:pt>
                <c:pt idx="585">
                  <c:v>13.423522048155872</c:v>
                </c:pt>
                <c:pt idx="586">
                  <c:v>13.423522048155872</c:v>
                </c:pt>
                <c:pt idx="587">
                  <c:v>13.423522048155872</c:v>
                </c:pt>
                <c:pt idx="588">
                  <c:v>13.423522048155872</c:v>
                </c:pt>
                <c:pt idx="589">
                  <c:v>13.423522048155872</c:v>
                </c:pt>
                <c:pt idx="590">
                  <c:v>13.423522048155872</c:v>
                </c:pt>
                <c:pt idx="591">
                  <c:v>13.423522048155872</c:v>
                </c:pt>
                <c:pt idx="592">
                  <c:v>13.423522048155872</c:v>
                </c:pt>
                <c:pt idx="593">
                  <c:v>13.423522048155872</c:v>
                </c:pt>
                <c:pt idx="594">
                  <c:v>13.423522048155872</c:v>
                </c:pt>
                <c:pt idx="595">
                  <c:v>13.423522048155872</c:v>
                </c:pt>
                <c:pt idx="596">
                  <c:v>13.423522048155872</c:v>
                </c:pt>
                <c:pt idx="597">
                  <c:v>13.423522048155872</c:v>
                </c:pt>
                <c:pt idx="598">
                  <c:v>13.423522048155872</c:v>
                </c:pt>
                <c:pt idx="599">
                  <c:v>13.423522048155872</c:v>
                </c:pt>
                <c:pt idx="600">
                  <c:v>13.423522048155872</c:v>
                </c:pt>
                <c:pt idx="601">
                  <c:v>13.423522048155872</c:v>
                </c:pt>
                <c:pt idx="602">
                  <c:v>13.423522048155872</c:v>
                </c:pt>
                <c:pt idx="603">
                  <c:v>13.423522048155872</c:v>
                </c:pt>
                <c:pt idx="604">
                  <c:v>13.423522048155872</c:v>
                </c:pt>
                <c:pt idx="605">
                  <c:v>13.423522048155872</c:v>
                </c:pt>
                <c:pt idx="606">
                  <c:v>13.423522048155872</c:v>
                </c:pt>
                <c:pt idx="607">
                  <c:v>13.423522048155872</c:v>
                </c:pt>
                <c:pt idx="608">
                  <c:v>13.423522048155872</c:v>
                </c:pt>
                <c:pt idx="609">
                  <c:v>13.423522048155872</c:v>
                </c:pt>
                <c:pt idx="610">
                  <c:v>13.423522048155872</c:v>
                </c:pt>
                <c:pt idx="611">
                  <c:v>13.423522048155872</c:v>
                </c:pt>
                <c:pt idx="612">
                  <c:v>13.423522048155872</c:v>
                </c:pt>
                <c:pt idx="613">
                  <c:v>13.423522048155872</c:v>
                </c:pt>
                <c:pt idx="614">
                  <c:v>13.423522048155872</c:v>
                </c:pt>
                <c:pt idx="615">
                  <c:v>13.423522048155872</c:v>
                </c:pt>
                <c:pt idx="616">
                  <c:v>13.423522048155872</c:v>
                </c:pt>
                <c:pt idx="617">
                  <c:v>13.423522048155872</c:v>
                </c:pt>
                <c:pt idx="618">
                  <c:v>13.423522048155872</c:v>
                </c:pt>
                <c:pt idx="619">
                  <c:v>13.423522048155872</c:v>
                </c:pt>
                <c:pt idx="620">
                  <c:v>13.423522048155872</c:v>
                </c:pt>
                <c:pt idx="621">
                  <c:v>13.423522048155872</c:v>
                </c:pt>
                <c:pt idx="622">
                  <c:v>13.423522048155872</c:v>
                </c:pt>
                <c:pt idx="623">
                  <c:v>13.423522048155872</c:v>
                </c:pt>
                <c:pt idx="624">
                  <c:v>13.423522048155872</c:v>
                </c:pt>
                <c:pt idx="625">
                  <c:v>13.423522048155872</c:v>
                </c:pt>
                <c:pt idx="626">
                  <c:v>13.423522048155872</c:v>
                </c:pt>
                <c:pt idx="627">
                  <c:v>13.423522048155872</c:v>
                </c:pt>
                <c:pt idx="628">
                  <c:v>13.423522048155872</c:v>
                </c:pt>
                <c:pt idx="629">
                  <c:v>13.423522048155872</c:v>
                </c:pt>
                <c:pt idx="630">
                  <c:v>13.423522048155872</c:v>
                </c:pt>
                <c:pt idx="631">
                  <c:v>13.423522048155872</c:v>
                </c:pt>
                <c:pt idx="632">
                  <c:v>13.423522048155872</c:v>
                </c:pt>
                <c:pt idx="633">
                  <c:v>13.423522048155872</c:v>
                </c:pt>
                <c:pt idx="634">
                  <c:v>13.423522048155872</c:v>
                </c:pt>
                <c:pt idx="635">
                  <c:v>13.423522048155872</c:v>
                </c:pt>
                <c:pt idx="636">
                  <c:v>13.423522048155872</c:v>
                </c:pt>
                <c:pt idx="637">
                  <c:v>13.423522048155872</c:v>
                </c:pt>
                <c:pt idx="638">
                  <c:v>13.423522048155872</c:v>
                </c:pt>
                <c:pt idx="639">
                  <c:v>13.423522048155872</c:v>
                </c:pt>
                <c:pt idx="640">
                  <c:v>13.423522048155872</c:v>
                </c:pt>
                <c:pt idx="641">
                  <c:v>13.423522048155872</c:v>
                </c:pt>
                <c:pt idx="642">
                  <c:v>13.423522048155872</c:v>
                </c:pt>
                <c:pt idx="643">
                  <c:v>13.423522048155872</c:v>
                </c:pt>
                <c:pt idx="644">
                  <c:v>13.423522048155872</c:v>
                </c:pt>
                <c:pt idx="645">
                  <c:v>13.423522048155872</c:v>
                </c:pt>
                <c:pt idx="646">
                  <c:v>13.423522048155872</c:v>
                </c:pt>
                <c:pt idx="647">
                  <c:v>13.423522048155872</c:v>
                </c:pt>
                <c:pt idx="648">
                  <c:v>13.423522048155872</c:v>
                </c:pt>
                <c:pt idx="649">
                  <c:v>13.423522048155872</c:v>
                </c:pt>
                <c:pt idx="650">
                  <c:v>13.423522048155872</c:v>
                </c:pt>
                <c:pt idx="651">
                  <c:v>13.423522048155872</c:v>
                </c:pt>
                <c:pt idx="652">
                  <c:v>13.423522048155872</c:v>
                </c:pt>
                <c:pt idx="653">
                  <c:v>13.423522048155872</c:v>
                </c:pt>
                <c:pt idx="654">
                  <c:v>13.423522048155872</c:v>
                </c:pt>
                <c:pt idx="655">
                  <c:v>13.423522048155872</c:v>
                </c:pt>
                <c:pt idx="656">
                  <c:v>13.423522048155872</c:v>
                </c:pt>
                <c:pt idx="657">
                  <c:v>13.423522048155872</c:v>
                </c:pt>
                <c:pt idx="658">
                  <c:v>13.423522048155872</c:v>
                </c:pt>
                <c:pt idx="659">
                  <c:v>13.423522048155872</c:v>
                </c:pt>
                <c:pt idx="660">
                  <c:v>13.423522048155872</c:v>
                </c:pt>
                <c:pt idx="661">
                  <c:v>13.423522048155872</c:v>
                </c:pt>
                <c:pt idx="662">
                  <c:v>13.423522048155872</c:v>
                </c:pt>
                <c:pt idx="663">
                  <c:v>13.423522048155872</c:v>
                </c:pt>
                <c:pt idx="664">
                  <c:v>13.423522048155872</c:v>
                </c:pt>
                <c:pt idx="665">
                  <c:v>13.423522048155872</c:v>
                </c:pt>
                <c:pt idx="666">
                  <c:v>13.423522048155872</c:v>
                </c:pt>
                <c:pt idx="667">
                  <c:v>13.423522048155872</c:v>
                </c:pt>
                <c:pt idx="668">
                  <c:v>13.423522048155872</c:v>
                </c:pt>
                <c:pt idx="669">
                  <c:v>13.423522048155872</c:v>
                </c:pt>
                <c:pt idx="670">
                  <c:v>13.423522048155872</c:v>
                </c:pt>
                <c:pt idx="671">
                  <c:v>13.423522048155872</c:v>
                </c:pt>
                <c:pt idx="672">
                  <c:v>13.423522048155872</c:v>
                </c:pt>
                <c:pt idx="673">
                  <c:v>13.423522048155872</c:v>
                </c:pt>
                <c:pt idx="674">
                  <c:v>13.423522048155872</c:v>
                </c:pt>
                <c:pt idx="675">
                  <c:v>13.423522048155872</c:v>
                </c:pt>
                <c:pt idx="676">
                  <c:v>13.423522048155872</c:v>
                </c:pt>
                <c:pt idx="677">
                  <c:v>13.423522048155872</c:v>
                </c:pt>
                <c:pt idx="678">
                  <c:v>13.423522048155872</c:v>
                </c:pt>
                <c:pt idx="679">
                  <c:v>13.423522048155872</c:v>
                </c:pt>
                <c:pt idx="680">
                  <c:v>13.423522048155872</c:v>
                </c:pt>
                <c:pt idx="681">
                  <c:v>13.423522048155872</c:v>
                </c:pt>
                <c:pt idx="682">
                  <c:v>13.423522048155872</c:v>
                </c:pt>
                <c:pt idx="683">
                  <c:v>13.423522048155872</c:v>
                </c:pt>
                <c:pt idx="684">
                  <c:v>13.423522048155872</c:v>
                </c:pt>
                <c:pt idx="685">
                  <c:v>13.423522048155872</c:v>
                </c:pt>
                <c:pt idx="686">
                  <c:v>13.423522048155872</c:v>
                </c:pt>
                <c:pt idx="687">
                  <c:v>13.423522048155872</c:v>
                </c:pt>
                <c:pt idx="688">
                  <c:v>13.423522048155872</c:v>
                </c:pt>
                <c:pt idx="689">
                  <c:v>13.423522048155872</c:v>
                </c:pt>
                <c:pt idx="690">
                  <c:v>13.423522048155872</c:v>
                </c:pt>
                <c:pt idx="691">
                  <c:v>13.423522048155872</c:v>
                </c:pt>
                <c:pt idx="692">
                  <c:v>13.423522048155872</c:v>
                </c:pt>
                <c:pt idx="693">
                  <c:v>13.423522048155872</c:v>
                </c:pt>
                <c:pt idx="694">
                  <c:v>13.423522048155872</c:v>
                </c:pt>
                <c:pt idx="695">
                  <c:v>13.423522048155872</c:v>
                </c:pt>
                <c:pt idx="696">
                  <c:v>13.423522048155872</c:v>
                </c:pt>
                <c:pt idx="697">
                  <c:v>13.423522048155872</c:v>
                </c:pt>
                <c:pt idx="698">
                  <c:v>13.423522048155872</c:v>
                </c:pt>
                <c:pt idx="699">
                  <c:v>13.423522048155872</c:v>
                </c:pt>
                <c:pt idx="700">
                  <c:v>13.423522048155872</c:v>
                </c:pt>
                <c:pt idx="701">
                  <c:v>13.423522048155872</c:v>
                </c:pt>
                <c:pt idx="702">
                  <c:v>13.423522048155872</c:v>
                </c:pt>
                <c:pt idx="703">
                  <c:v>13.423522048155872</c:v>
                </c:pt>
                <c:pt idx="704">
                  <c:v>13.423522048155872</c:v>
                </c:pt>
                <c:pt idx="705">
                  <c:v>13.423522048155872</c:v>
                </c:pt>
                <c:pt idx="706">
                  <c:v>13.423522048155872</c:v>
                </c:pt>
                <c:pt idx="707">
                  <c:v>13.423522048155872</c:v>
                </c:pt>
                <c:pt idx="708">
                  <c:v>13.423522048155872</c:v>
                </c:pt>
                <c:pt idx="709">
                  <c:v>13.423522048155872</c:v>
                </c:pt>
                <c:pt idx="710">
                  <c:v>13.423522048155872</c:v>
                </c:pt>
                <c:pt idx="711">
                  <c:v>13.423522048155872</c:v>
                </c:pt>
                <c:pt idx="712">
                  <c:v>13.423522048155872</c:v>
                </c:pt>
                <c:pt idx="713">
                  <c:v>13.423522048155872</c:v>
                </c:pt>
                <c:pt idx="714">
                  <c:v>13.423522048155872</c:v>
                </c:pt>
                <c:pt idx="715">
                  <c:v>13.423522048155872</c:v>
                </c:pt>
                <c:pt idx="716">
                  <c:v>13.423522048155872</c:v>
                </c:pt>
                <c:pt idx="717">
                  <c:v>13.423522048155872</c:v>
                </c:pt>
                <c:pt idx="718">
                  <c:v>13.423522048155872</c:v>
                </c:pt>
                <c:pt idx="719">
                  <c:v>13.423522048155872</c:v>
                </c:pt>
                <c:pt idx="720">
                  <c:v>13.423522048155872</c:v>
                </c:pt>
                <c:pt idx="721">
                  <c:v>13.423522048155872</c:v>
                </c:pt>
                <c:pt idx="722">
                  <c:v>13.423522048155872</c:v>
                </c:pt>
                <c:pt idx="723">
                  <c:v>13.423522048155872</c:v>
                </c:pt>
                <c:pt idx="724">
                  <c:v>13.423522048155872</c:v>
                </c:pt>
                <c:pt idx="725">
                  <c:v>13.423522048155872</c:v>
                </c:pt>
                <c:pt idx="726">
                  <c:v>13.423522048155872</c:v>
                </c:pt>
                <c:pt idx="727">
                  <c:v>13.423522048155872</c:v>
                </c:pt>
                <c:pt idx="728">
                  <c:v>13.423522048155872</c:v>
                </c:pt>
                <c:pt idx="729">
                  <c:v>13.423522048155872</c:v>
                </c:pt>
                <c:pt idx="730">
                  <c:v>13.423522048155872</c:v>
                </c:pt>
                <c:pt idx="731">
                  <c:v>13.423522048155872</c:v>
                </c:pt>
                <c:pt idx="732">
                  <c:v>13.423522048155872</c:v>
                </c:pt>
                <c:pt idx="733">
                  <c:v>13.423522048155872</c:v>
                </c:pt>
                <c:pt idx="734">
                  <c:v>13.423522048155872</c:v>
                </c:pt>
                <c:pt idx="735">
                  <c:v>13.423522048155872</c:v>
                </c:pt>
                <c:pt idx="736">
                  <c:v>13.423522048155872</c:v>
                </c:pt>
                <c:pt idx="737">
                  <c:v>13.423522048155872</c:v>
                </c:pt>
                <c:pt idx="738">
                  <c:v>13.423522048155872</c:v>
                </c:pt>
                <c:pt idx="739">
                  <c:v>13.423522048155872</c:v>
                </c:pt>
                <c:pt idx="740">
                  <c:v>13.423522048155872</c:v>
                </c:pt>
                <c:pt idx="741">
                  <c:v>13.423522048155872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E9-4059-9AF9-719092353A6D}"/>
            </c:ext>
          </c:extLst>
        </c:ser>
        <c:ser>
          <c:idx val="2"/>
          <c:order val="1"/>
          <c:tx>
            <c:strRef>
              <c:f>'FX Data'!$H$1461</c:f>
              <c:strCache>
                <c:ptCount val="1"/>
                <c:pt idx="0">
                  <c:v>17.0</c:v>
                </c:pt>
              </c:strCache>
            </c:strRef>
          </c:tx>
          <c:spPr>
            <a:ln w="12700" cap="rnd">
              <a:solidFill>
                <a:srgbClr val="F79646">
                  <a:lumMod val="60000"/>
                  <a:lumOff val="40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'FX Data'!$B$1457:$B$2453</c:f>
              <c:numCache>
                <c:formatCode>m/d/yyyy</c:formatCode>
                <c:ptCount val="997"/>
                <c:pt idx="0">
                  <c:v>44993</c:v>
                </c:pt>
                <c:pt idx="1">
                  <c:v>44994</c:v>
                </c:pt>
                <c:pt idx="2">
                  <c:v>44995</c:v>
                </c:pt>
                <c:pt idx="3">
                  <c:v>44998</c:v>
                </c:pt>
                <c:pt idx="4">
                  <c:v>44999</c:v>
                </c:pt>
                <c:pt idx="5">
                  <c:v>45000</c:v>
                </c:pt>
                <c:pt idx="6">
                  <c:v>45001</c:v>
                </c:pt>
                <c:pt idx="7">
                  <c:v>45002</c:v>
                </c:pt>
                <c:pt idx="8">
                  <c:v>45005</c:v>
                </c:pt>
                <c:pt idx="9">
                  <c:v>45006</c:v>
                </c:pt>
                <c:pt idx="10">
                  <c:v>45007</c:v>
                </c:pt>
                <c:pt idx="11">
                  <c:v>45008</c:v>
                </c:pt>
                <c:pt idx="12">
                  <c:v>45009</c:v>
                </c:pt>
                <c:pt idx="13">
                  <c:v>45012</c:v>
                </c:pt>
                <c:pt idx="14">
                  <c:v>45013</c:v>
                </c:pt>
                <c:pt idx="15">
                  <c:v>45014</c:v>
                </c:pt>
                <c:pt idx="16">
                  <c:v>45015</c:v>
                </c:pt>
                <c:pt idx="17">
                  <c:v>45016</c:v>
                </c:pt>
                <c:pt idx="18">
                  <c:v>45019</c:v>
                </c:pt>
                <c:pt idx="19">
                  <c:v>45020</c:v>
                </c:pt>
                <c:pt idx="20">
                  <c:v>45021</c:v>
                </c:pt>
                <c:pt idx="21">
                  <c:v>45022</c:v>
                </c:pt>
                <c:pt idx="22">
                  <c:v>45023</c:v>
                </c:pt>
                <c:pt idx="23">
                  <c:v>45026</c:v>
                </c:pt>
                <c:pt idx="24">
                  <c:v>45027</c:v>
                </c:pt>
                <c:pt idx="25">
                  <c:v>45028</c:v>
                </c:pt>
                <c:pt idx="26">
                  <c:v>45029</c:v>
                </c:pt>
                <c:pt idx="27">
                  <c:v>45030</c:v>
                </c:pt>
                <c:pt idx="28">
                  <c:v>45033</c:v>
                </c:pt>
                <c:pt idx="29">
                  <c:v>45034</c:v>
                </c:pt>
                <c:pt idx="30">
                  <c:v>45035</c:v>
                </c:pt>
                <c:pt idx="31">
                  <c:v>45036</c:v>
                </c:pt>
                <c:pt idx="32">
                  <c:v>45037</c:v>
                </c:pt>
                <c:pt idx="33">
                  <c:v>45040</c:v>
                </c:pt>
                <c:pt idx="34">
                  <c:v>45041</c:v>
                </c:pt>
                <c:pt idx="35">
                  <c:v>45042</c:v>
                </c:pt>
                <c:pt idx="36">
                  <c:v>45043</c:v>
                </c:pt>
                <c:pt idx="37">
                  <c:v>45044</c:v>
                </c:pt>
                <c:pt idx="38">
                  <c:v>45050</c:v>
                </c:pt>
                <c:pt idx="39">
                  <c:v>45051</c:v>
                </c:pt>
                <c:pt idx="40">
                  <c:v>45054</c:v>
                </c:pt>
                <c:pt idx="41">
                  <c:v>45055</c:v>
                </c:pt>
                <c:pt idx="42">
                  <c:v>45056</c:v>
                </c:pt>
                <c:pt idx="43">
                  <c:v>45057</c:v>
                </c:pt>
                <c:pt idx="44">
                  <c:v>45058</c:v>
                </c:pt>
                <c:pt idx="45">
                  <c:v>45061</c:v>
                </c:pt>
                <c:pt idx="46">
                  <c:v>45062</c:v>
                </c:pt>
                <c:pt idx="47">
                  <c:v>45063</c:v>
                </c:pt>
                <c:pt idx="48">
                  <c:v>45064</c:v>
                </c:pt>
                <c:pt idx="49">
                  <c:v>45065</c:v>
                </c:pt>
                <c:pt idx="50">
                  <c:v>45068</c:v>
                </c:pt>
                <c:pt idx="51">
                  <c:v>45069</c:v>
                </c:pt>
                <c:pt idx="52">
                  <c:v>45070</c:v>
                </c:pt>
                <c:pt idx="53">
                  <c:v>45071</c:v>
                </c:pt>
                <c:pt idx="54">
                  <c:v>45072</c:v>
                </c:pt>
                <c:pt idx="55">
                  <c:v>45075</c:v>
                </c:pt>
                <c:pt idx="56">
                  <c:v>45076</c:v>
                </c:pt>
                <c:pt idx="57">
                  <c:v>45077</c:v>
                </c:pt>
                <c:pt idx="58">
                  <c:v>45078</c:v>
                </c:pt>
                <c:pt idx="59">
                  <c:v>45079</c:v>
                </c:pt>
                <c:pt idx="60">
                  <c:v>45082</c:v>
                </c:pt>
                <c:pt idx="61">
                  <c:v>45083</c:v>
                </c:pt>
                <c:pt idx="62">
                  <c:v>45084</c:v>
                </c:pt>
                <c:pt idx="63">
                  <c:v>45085</c:v>
                </c:pt>
                <c:pt idx="64">
                  <c:v>45086</c:v>
                </c:pt>
                <c:pt idx="65">
                  <c:v>45089</c:v>
                </c:pt>
                <c:pt idx="66">
                  <c:v>45090</c:v>
                </c:pt>
                <c:pt idx="67">
                  <c:v>45091</c:v>
                </c:pt>
                <c:pt idx="68">
                  <c:v>45092</c:v>
                </c:pt>
                <c:pt idx="69">
                  <c:v>45093</c:v>
                </c:pt>
                <c:pt idx="70">
                  <c:v>45096</c:v>
                </c:pt>
                <c:pt idx="71">
                  <c:v>45097</c:v>
                </c:pt>
                <c:pt idx="72">
                  <c:v>45098</c:v>
                </c:pt>
                <c:pt idx="73">
                  <c:v>45099</c:v>
                </c:pt>
                <c:pt idx="74">
                  <c:v>45100</c:v>
                </c:pt>
                <c:pt idx="75">
                  <c:v>45103</c:v>
                </c:pt>
                <c:pt idx="76">
                  <c:v>45104</c:v>
                </c:pt>
                <c:pt idx="77">
                  <c:v>45105</c:v>
                </c:pt>
                <c:pt idx="78">
                  <c:v>45106</c:v>
                </c:pt>
                <c:pt idx="79">
                  <c:v>45107</c:v>
                </c:pt>
                <c:pt idx="80">
                  <c:v>45110</c:v>
                </c:pt>
                <c:pt idx="81">
                  <c:v>45111</c:v>
                </c:pt>
                <c:pt idx="82">
                  <c:v>45112</c:v>
                </c:pt>
                <c:pt idx="83">
                  <c:v>45113</c:v>
                </c:pt>
                <c:pt idx="84">
                  <c:v>45114</c:v>
                </c:pt>
                <c:pt idx="85">
                  <c:v>45117</c:v>
                </c:pt>
                <c:pt idx="86">
                  <c:v>45118</c:v>
                </c:pt>
                <c:pt idx="87">
                  <c:v>45119</c:v>
                </c:pt>
                <c:pt idx="88">
                  <c:v>45120</c:v>
                </c:pt>
                <c:pt idx="89">
                  <c:v>45121</c:v>
                </c:pt>
                <c:pt idx="90">
                  <c:v>45124</c:v>
                </c:pt>
                <c:pt idx="91">
                  <c:v>45125</c:v>
                </c:pt>
                <c:pt idx="92">
                  <c:v>45126</c:v>
                </c:pt>
                <c:pt idx="93">
                  <c:v>45127</c:v>
                </c:pt>
                <c:pt idx="94">
                  <c:v>45128</c:v>
                </c:pt>
                <c:pt idx="95">
                  <c:v>45131</c:v>
                </c:pt>
                <c:pt idx="96">
                  <c:v>45132</c:v>
                </c:pt>
                <c:pt idx="97">
                  <c:v>45133</c:v>
                </c:pt>
                <c:pt idx="98">
                  <c:v>45134</c:v>
                </c:pt>
                <c:pt idx="99">
                  <c:v>45135</c:v>
                </c:pt>
                <c:pt idx="100">
                  <c:v>45138</c:v>
                </c:pt>
                <c:pt idx="101">
                  <c:v>45139</c:v>
                </c:pt>
                <c:pt idx="102">
                  <c:v>45140</c:v>
                </c:pt>
                <c:pt idx="103">
                  <c:v>45141</c:v>
                </c:pt>
                <c:pt idx="104">
                  <c:v>45142</c:v>
                </c:pt>
                <c:pt idx="105">
                  <c:v>45145</c:v>
                </c:pt>
                <c:pt idx="106">
                  <c:v>45146</c:v>
                </c:pt>
                <c:pt idx="107">
                  <c:v>45147</c:v>
                </c:pt>
                <c:pt idx="108">
                  <c:v>45148</c:v>
                </c:pt>
                <c:pt idx="109">
                  <c:v>45149</c:v>
                </c:pt>
                <c:pt idx="110">
                  <c:v>45152</c:v>
                </c:pt>
                <c:pt idx="111">
                  <c:v>45153</c:v>
                </c:pt>
                <c:pt idx="112">
                  <c:v>45154</c:v>
                </c:pt>
                <c:pt idx="113">
                  <c:v>45155</c:v>
                </c:pt>
                <c:pt idx="114">
                  <c:v>45156</c:v>
                </c:pt>
                <c:pt idx="115">
                  <c:v>45159</c:v>
                </c:pt>
                <c:pt idx="116">
                  <c:v>45160</c:v>
                </c:pt>
                <c:pt idx="117">
                  <c:v>45161</c:v>
                </c:pt>
                <c:pt idx="118">
                  <c:v>45162</c:v>
                </c:pt>
                <c:pt idx="119">
                  <c:v>45163</c:v>
                </c:pt>
                <c:pt idx="120">
                  <c:v>45166</c:v>
                </c:pt>
                <c:pt idx="121">
                  <c:v>45167</c:v>
                </c:pt>
                <c:pt idx="122">
                  <c:v>45168</c:v>
                </c:pt>
                <c:pt idx="123">
                  <c:v>45169</c:v>
                </c:pt>
                <c:pt idx="124">
                  <c:v>45174</c:v>
                </c:pt>
                <c:pt idx="125">
                  <c:v>45175</c:v>
                </c:pt>
                <c:pt idx="126">
                  <c:v>45176</c:v>
                </c:pt>
                <c:pt idx="127">
                  <c:v>45177</c:v>
                </c:pt>
                <c:pt idx="128">
                  <c:v>45180</c:v>
                </c:pt>
                <c:pt idx="129">
                  <c:v>45181</c:v>
                </c:pt>
                <c:pt idx="130">
                  <c:v>45182</c:v>
                </c:pt>
                <c:pt idx="131">
                  <c:v>45183</c:v>
                </c:pt>
                <c:pt idx="132">
                  <c:v>45184</c:v>
                </c:pt>
                <c:pt idx="133">
                  <c:v>45187</c:v>
                </c:pt>
                <c:pt idx="134">
                  <c:v>45188</c:v>
                </c:pt>
                <c:pt idx="135">
                  <c:v>45189</c:v>
                </c:pt>
                <c:pt idx="136">
                  <c:v>45190</c:v>
                </c:pt>
                <c:pt idx="137">
                  <c:v>45191</c:v>
                </c:pt>
                <c:pt idx="138">
                  <c:v>45194</c:v>
                </c:pt>
                <c:pt idx="139">
                  <c:v>45195</c:v>
                </c:pt>
                <c:pt idx="140">
                  <c:v>45196</c:v>
                </c:pt>
                <c:pt idx="141">
                  <c:v>45197</c:v>
                </c:pt>
                <c:pt idx="142">
                  <c:v>45198</c:v>
                </c:pt>
                <c:pt idx="143">
                  <c:v>45201</c:v>
                </c:pt>
                <c:pt idx="144">
                  <c:v>45202</c:v>
                </c:pt>
                <c:pt idx="145">
                  <c:v>45203</c:v>
                </c:pt>
                <c:pt idx="146">
                  <c:v>45204</c:v>
                </c:pt>
                <c:pt idx="147">
                  <c:v>45205</c:v>
                </c:pt>
                <c:pt idx="148">
                  <c:v>45208</c:v>
                </c:pt>
                <c:pt idx="149">
                  <c:v>45209</c:v>
                </c:pt>
                <c:pt idx="150">
                  <c:v>45210</c:v>
                </c:pt>
                <c:pt idx="151">
                  <c:v>45211</c:v>
                </c:pt>
                <c:pt idx="152">
                  <c:v>45212</c:v>
                </c:pt>
                <c:pt idx="153">
                  <c:v>45215</c:v>
                </c:pt>
                <c:pt idx="154">
                  <c:v>45216</c:v>
                </c:pt>
                <c:pt idx="155">
                  <c:v>45217</c:v>
                </c:pt>
                <c:pt idx="156">
                  <c:v>45218</c:v>
                </c:pt>
                <c:pt idx="157">
                  <c:v>45219</c:v>
                </c:pt>
                <c:pt idx="158">
                  <c:v>45222</c:v>
                </c:pt>
                <c:pt idx="159">
                  <c:v>45223</c:v>
                </c:pt>
                <c:pt idx="160">
                  <c:v>45224</c:v>
                </c:pt>
                <c:pt idx="161">
                  <c:v>45225</c:v>
                </c:pt>
                <c:pt idx="162">
                  <c:v>45226</c:v>
                </c:pt>
                <c:pt idx="163">
                  <c:v>45229</c:v>
                </c:pt>
                <c:pt idx="164">
                  <c:v>45230</c:v>
                </c:pt>
                <c:pt idx="165">
                  <c:v>45231</c:v>
                </c:pt>
                <c:pt idx="166">
                  <c:v>45232</c:v>
                </c:pt>
                <c:pt idx="167">
                  <c:v>45233</c:v>
                </c:pt>
                <c:pt idx="168">
                  <c:v>45236</c:v>
                </c:pt>
                <c:pt idx="169">
                  <c:v>45237</c:v>
                </c:pt>
                <c:pt idx="170">
                  <c:v>45238</c:v>
                </c:pt>
                <c:pt idx="171">
                  <c:v>45239</c:v>
                </c:pt>
                <c:pt idx="172">
                  <c:v>45240</c:v>
                </c:pt>
                <c:pt idx="173">
                  <c:v>45243</c:v>
                </c:pt>
                <c:pt idx="174">
                  <c:v>45244</c:v>
                </c:pt>
                <c:pt idx="175">
                  <c:v>45245</c:v>
                </c:pt>
                <c:pt idx="176">
                  <c:v>45246</c:v>
                </c:pt>
                <c:pt idx="177">
                  <c:v>45247</c:v>
                </c:pt>
                <c:pt idx="178">
                  <c:v>45250</c:v>
                </c:pt>
                <c:pt idx="179">
                  <c:v>45251</c:v>
                </c:pt>
                <c:pt idx="180">
                  <c:v>45252</c:v>
                </c:pt>
                <c:pt idx="181">
                  <c:v>45253</c:v>
                </c:pt>
                <c:pt idx="182">
                  <c:v>45254</c:v>
                </c:pt>
                <c:pt idx="183">
                  <c:v>45257</c:v>
                </c:pt>
                <c:pt idx="184">
                  <c:v>45258</c:v>
                </c:pt>
                <c:pt idx="185">
                  <c:v>45259</c:v>
                </c:pt>
                <c:pt idx="186">
                  <c:v>45260</c:v>
                </c:pt>
                <c:pt idx="187">
                  <c:v>45261</c:v>
                </c:pt>
                <c:pt idx="188">
                  <c:v>45264</c:v>
                </c:pt>
                <c:pt idx="189">
                  <c:v>45265</c:v>
                </c:pt>
                <c:pt idx="190">
                  <c:v>45266</c:v>
                </c:pt>
                <c:pt idx="191">
                  <c:v>45267</c:v>
                </c:pt>
                <c:pt idx="192">
                  <c:v>45268</c:v>
                </c:pt>
                <c:pt idx="193">
                  <c:v>45271</c:v>
                </c:pt>
                <c:pt idx="194">
                  <c:v>45272</c:v>
                </c:pt>
                <c:pt idx="195">
                  <c:v>45273</c:v>
                </c:pt>
                <c:pt idx="196">
                  <c:v>45274</c:v>
                </c:pt>
                <c:pt idx="197">
                  <c:v>45275</c:v>
                </c:pt>
                <c:pt idx="198">
                  <c:v>45278</c:v>
                </c:pt>
                <c:pt idx="199">
                  <c:v>45279</c:v>
                </c:pt>
                <c:pt idx="200">
                  <c:v>45280</c:v>
                </c:pt>
                <c:pt idx="201">
                  <c:v>45281</c:v>
                </c:pt>
                <c:pt idx="202">
                  <c:v>45282</c:v>
                </c:pt>
                <c:pt idx="203">
                  <c:v>45285</c:v>
                </c:pt>
                <c:pt idx="204">
                  <c:v>45286</c:v>
                </c:pt>
                <c:pt idx="205">
                  <c:v>45287</c:v>
                </c:pt>
                <c:pt idx="206">
                  <c:v>45288</c:v>
                </c:pt>
                <c:pt idx="207">
                  <c:v>45289</c:v>
                </c:pt>
                <c:pt idx="208">
                  <c:v>45293</c:v>
                </c:pt>
                <c:pt idx="209">
                  <c:v>45294</c:v>
                </c:pt>
                <c:pt idx="210">
                  <c:v>45295</c:v>
                </c:pt>
                <c:pt idx="211">
                  <c:v>45296</c:v>
                </c:pt>
                <c:pt idx="212">
                  <c:v>45299</c:v>
                </c:pt>
                <c:pt idx="213">
                  <c:v>45300</c:v>
                </c:pt>
                <c:pt idx="214">
                  <c:v>45301</c:v>
                </c:pt>
                <c:pt idx="215">
                  <c:v>45302</c:v>
                </c:pt>
                <c:pt idx="216">
                  <c:v>45303</c:v>
                </c:pt>
                <c:pt idx="217">
                  <c:v>45306</c:v>
                </c:pt>
                <c:pt idx="218">
                  <c:v>45307</c:v>
                </c:pt>
                <c:pt idx="219">
                  <c:v>45308</c:v>
                </c:pt>
                <c:pt idx="220">
                  <c:v>45309</c:v>
                </c:pt>
                <c:pt idx="221">
                  <c:v>45310</c:v>
                </c:pt>
                <c:pt idx="222">
                  <c:v>45313</c:v>
                </c:pt>
                <c:pt idx="223">
                  <c:v>45314</c:v>
                </c:pt>
                <c:pt idx="224">
                  <c:v>45315</c:v>
                </c:pt>
                <c:pt idx="225">
                  <c:v>45316</c:v>
                </c:pt>
                <c:pt idx="226">
                  <c:v>45317</c:v>
                </c:pt>
                <c:pt idx="227">
                  <c:v>45320</c:v>
                </c:pt>
                <c:pt idx="228">
                  <c:v>45321</c:v>
                </c:pt>
                <c:pt idx="229">
                  <c:v>45322</c:v>
                </c:pt>
                <c:pt idx="230">
                  <c:v>45323</c:v>
                </c:pt>
                <c:pt idx="231">
                  <c:v>45324</c:v>
                </c:pt>
                <c:pt idx="232">
                  <c:v>45327</c:v>
                </c:pt>
                <c:pt idx="233">
                  <c:v>45328</c:v>
                </c:pt>
                <c:pt idx="234">
                  <c:v>45329</c:v>
                </c:pt>
                <c:pt idx="235">
                  <c:v>45337</c:v>
                </c:pt>
                <c:pt idx="236">
                  <c:v>45338</c:v>
                </c:pt>
                <c:pt idx="237">
                  <c:v>45341</c:v>
                </c:pt>
                <c:pt idx="238">
                  <c:v>45342</c:v>
                </c:pt>
                <c:pt idx="239">
                  <c:v>45343</c:v>
                </c:pt>
                <c:pt idx="240">
                  <c:v>45344</c:v>
                </c:pt>
                <c:pt idx="241">
                  <c:v>45345</c:v>
                </c:pt>
                <c:pt idx="242">
                  <c:v>45348</c:v>
                </c:pt>
                <c:pt idx="243">
                  <c:v>45349</c:v>
                </c:pt>
                <c:pt idx="244">
                  <c:v>45350</c:v>
                </c:pt>
                <c:pt idx="245">
                  <c:v>45351</c:v>
                </c:pt>
                <c:pt idx="246">
                  <c:v>45352</c:v>
                </c:pt>
                <c:pt idx="247">
                  <c:v>45355</c:v>
                </c:pt>
                <c:pt idx="248">
                  <c:v>45356</c:v>
                </c:pt>
                <c:pt idx="249">
                  <c:v>45357</c:v>
                </c:pt>
                <c:pt idx="250">
                  <c:v>45358</c:v>
                </c:pt>
                <c:pt idx="251">
                  <c:v>45359</c:v>
                </c:pt>
                <c:pt idx="252">
                  <c:v>45362</c:v>
                </c:pt>
                <c:pt idx="253">
                  <c:v>45363</c:v>
                </c:pt>
                <c:pt idx="254">
                  <c:v>45364</c:v>
                </c:pt>
                <c:pt idx="255">
                  <c:v>45365</c:v>
                </c:pt>
                <c:pt idx="256">
                  <c:v>45366</c:v>
                </c:pt>
                <c:pt idx="257">
                  <c:v>45369</c:v>
                </c:pt>
                <c:pt idx="258">
                  <c:v>45370</c:v>
                </c:pt>
                <c:pt idx="259">
                  <c:v>45371</c:v>
                </c:pt>
                <c:pt idx="260">
                  <c:v>45372</c:v>
                </c:pt>
                <c:pt idx="261">
                  <c:v>45373</c:v>
                </c:pt>
                <c:pt idx="262">
                  <c:v>45376</c:v>
                </c:pt>
                <c:pt idx="263">
                  <c:v>45377</c:v>
                </c:pt>
                <c:pt idx="264">
                  <c:v>45378</c:v>
                </c:pt>
                <c:pt idx="265">
                  <c:v>45379</c:v>
                </c:pt>
                <c:pt idx="266">
                  <c:v>45380</c:v>
                </c:pt>
                <c:pt idx="267">
                  <c:v>45383</c:v>
                </c:pt>
                <c:pt idx="268">
                  <c:v>45384</c:v>
                </c:pt>
                <c:pt idx="269">
                  <c:v>45385</c:v>
                </c:pt>
                <c:pt idx="270">
                  <c:v>45386</c:v>
                </c:pt>
                <c:pt idx="271">
                  <c:v>45387</c:v>
                </c:pt>
                <c:pt idx="272">
                  <c:v>45390</c:v>
                </c:pt>
                <c:pt idx="273">
                  <c:v>45391</c:v>
                </c:pt>
                <c:pt idx="274">
                  <c:v>45392</c:v>
                </c:pt>
                <c:pt idx="275">
                  <c:v>45393</c:v>
                </c:pt>
                <c:pt idx="276">
                  <c:v>45394</c:v>
                </c:pt>
                <c:pt idx="277">
                  <c:v>45397</c:v>
                </c:pt>
                <c:pt idx="278">
                  <c:v>45398</c:v>
                </c:pt>
                <c:pt idx="279">
                  <c:v>45399</c:v>
                </c:pt>
                <c:pt idx="280">
                  <c:v>45401</c:v>
                </c:pt>
                <c:pt idx="281">
                  <c:v>45404</c:v>
                </c:pt>
                <c:pt idx="282">
                  <c:v>45405</c:v>
                </c:pt>
                <c:pt idx="283">
                  <c:v>45406</c:v>
                </c:pt>
                <c:pt idx="284">
                  <c:v>45407</c:v>
                </c:pt>
                <c:pt idx="285">
                  <c:v>45408</c:v>
                </c:pt>
                <c:pt idx="286">
                  <c:v>45414</c:v>
                </c:pt>
                <c:pt idx="287">
                  <c:v>45415</c:v>
                </c:pt>
                <c:pt idx="288">
                  <c:v>45418</c:v>
                </c:pt>
                <c:pt idx="289">
                  <c:v>45419</c:v>
                </c:pt>
                <c:pt idx="290">
                  <c:v>45420</c:v>
                </c:pt>
                <c:pt idx="291">
                  <c:v>45421</c:v>
                </c:pt>
                <c:pt idx="292">
                  <c:v>45422</c:v>
                </c:pt>
                <c:pt idx="293">
                  <c:v>45425</c:v>
                </c:pt>
                <c:pt idx="294">
                  <c:v>45426</c:v>
                </c:pt>
                <c:pt idx="295">
                  <c:v>45427</c:v>
                </c:pt>
                <c:pt idx="296">
                  <c:v>45428</c:v>
                </c:pt>
                <c:pt idx="297">
                  <c:v>45429</c:v>
                </c:pt>
                <c:pt idx="298">
                  <c:v>45432</c:v>
                </c:pt>
                <c:pt idx="299">
                  <c:v>45433</c:v>
                </c:pt>
                <c:pt idx="300">
                  <c:v>45434</c:v>
                </c:pt>
                <c:pt idx="301">
                  <c:v>45435</c:v>
                </c:pt>
                <c:pt idx="302">
                  <c:v>45436</c:v>
                </c:pt>
                <c:pt idx="303">
                  <c:v>45439</c:v>
                </c:pt>
                <c:pt idx="304">
                  <c:v>45440</c:v>
                </c:pt>
                <c:pt idx="305">
                  <c:v>45441</c:v>
                </c:pt>
                <c:pt idx="306">
                  <c:v>45442</c:v>
                </c:pt>
                <c:pt idx="307">
                  <c:v>45443</c:v>
                </c:pt>
                <c:pt idx="308">
                  <c:v>45446</c:v>
                </c:pt>
                <c:pt idx="309">
                  <c:v>45447</c:v>
                </c:pt>
                <c:pt idx="310">
                  <c:v>45448</c:v>
                </c:pt>
                <c:pt idx="311">
                  <c:v>45449</c:v>
                </c:pt>
                <c:pt idx="312">
                  <c:v>45450</c:v>
                </c:pt>
                <c:pt idx="313">
                  <c:v>45453</c:v>
                </c:pt>
                <c:pt idx="314">
                  <c:v>45454</c:v>
                </c:pt>
                <c:pt idx="315">
                  <c:v>45455</c:v>
                </c:pt>
                <c:pt idx="316">
                  <c:v>45456</c:v>
                </c:pt>
                <c:pt idx="317">
                  <c:v>45457</c:v>
                </c:pt>
                <c:pt idx="318">
                  <c:v>45460</c:v>
                </c:pt>
                <c:pt idx="319">
                  <c:v>45461</c:v>
                </c:pt>
                <c:pt idx="320">
                  <c:v>45462</c:v>
                </c:pt>
                <c:pt idx="321">
                  <c:v>45463</c:v>
                </c:pt>
                <c:pt idx="322">
                  <c:v>45464</c:v>
                </c:pt>
                <c:pt idx="323">
                  <c:v>45467</c:v>
                </c:pt>
                <c:pt idx="324">
                  <c:v>45468</c:v>
                </c:pt>
                <c:pt idx="325">
                  <c:v>45469</c:v>
                </c:pt>
                <c:pt idx="326">
                  <c:v>45470</c:v>
                </c:pt>
                <c:pt idx="327">
                  <c:v>45471</c:v>
                </c:pt>
                <c:pt idx="328">
                  <c:v>45474</c:v>
                </c:pt>
                <c:pt idx="329">
                  <c:v>45475</c:v>
                </c:pt>
                <c:pt idx="330">
                  <c:v>45476</c:v>
                </c:pt>
                <c:pt idx="331">
                  <c:v>45477</c:v>
                </c:pt>
                <c:pt idx="332">
                  <c:v>45478</c:v>
                </c:pt>
                <c:pt idx="333">
                  <c:v>45481</c:v>
                </c:pt>
                <c:pt idx="334">
                  <c:v>45482</c:v>
                </c:pt>
                <c:pt idx="335">
                  <c:v>45483</c:v>
                </c:pt>
                <c:pt idx="336">
                  <c:v>45484</c:v>
                </c:pt>
                <c:pt idx="337">
                  <c:v>45485</c:v>
                </c:pt>
                <c:pt idx="338">
                  <c:v>45488</c:v>
                </c:pt>
                <c:pt idx="339">
                  <c:v>45489</c:v>
                </c:pt>
                <c:pt idx="340">
                  <c:v>45490</c:v>
                </c:pt>
                <c:pt idx="341">
                  <c:v>45491</c:v>
                </c:pt>
                <c:pt idx="342">
                  <c:v>45492</c:v>
                </c:pt>
                <c:pt idx="343">
                  <c:v>45495</c:v>
                </c:pt>
                <c:pt idx="344">
                  <c:v>45496</c:v>
                </c:pt>
                <c:pt idx="345">
                  <c:v>45497</c:v>
                </c:pt>
                <c:pt idx="346">
                  <c:v>45498</c:v>
                </c:pt>
                <c:pt idx="347">
                  <c:v>45499</c:v>
                </c:pt>
                <c:pt idx="348">
                  <c:v>45502</c:v>
                </c:pt>
                <c:pt idx="349">
                  <c:v>45503</c:v>
                </c:pt>
                <c:pt idx="350">
                  <c:v>45504</c:v>
                </c:pt>
                <c:pt idx="351">
                  <c:v>45505</c:v>
                </c:pt>
                <c:pt idx="352">
                  <c:v>45506</c:v>
                </c:pt>
                <c:pt idx="353">
                  <c:v>45509</c:v>
                </c:pt>
                <c:pt idx="354">
                  <c:v>45510</c:v>
                </c:pt>
                <c:pt idx="355">
                  <c:v>45511</c:v>
                </c:pt>
                <c:pt idx="356">
                  <c:v>45512</c:v>
                </c:pt>
                <c:pt idx="357">
                  <c:v>45513</c:v>
                </c:pt>
                <c:pt idx="358">
                  <c:v>45516</c:v>
                </c:pt>
                <c:pt idx="359">
                  <c:v>45517</c:v>
                </c:pt>
                <c:pt idx="360">
                  <c:v>45518</c:v>
                </c:pt>
                <c:pt idx="361">
                  <c:v>45519</c:v>
                </c:pt>
                <c:pt idx="362">
                  <c:v>45520</c:v>
                </c:pt>
                <c:pt idx="363">
                  <c:v>45523</c:v>
                </c:pt>
                <c:pt idx="364">
                  <c:v>45524</c:v>
                </c:pt>
                <c:pt idx="365">
                  <c:v>45525</c:v>
                </c:pt>
                <c:pt idx="366">
                  <c:v>45526</c:v>
                </c:pt>
                <c:pt idx="367">
                  <c:v>45527</c:v>
                </c:pt>
                <c:pt idx="368">
                  <c:v>45530</c:v>
                </c:pt>
                <c:pt idx="369">
                  <c:v>45531</c:v>
                </c:pt>
                <c:pt idx="370">
                  <c:v>45532</c:v>
                </c:pt>
                <c:pt idx="371">
                  <c:v>45533</c:v>
                </c:pt>
                <c:pt idx="372">
                  <c:v>45534</c:v>
                </c:pt>
                <c:pt idx="373">
                  <c:v>45539</c:v>
                </c:pt>
                <c:pt idx="374">
                  <c:v>45540</c:v>
                </c:pt>
                <c:pt idx="375">
                  <c:v>45541</c:v>
                </c:pt>
                <c:pt idx="376">
                  <c:v>45544</c:v>
                </c:pt>
                <c:pt idx="377">
                  <c:v>45545</c:v>
                </c:pt>
                <c:pt idx="378">
                  <c:v>45546</c:v>
                </c:pt>
                <c:pt idx="379">
                  <c:v>45547</c:v>
                </c:pt>
                <c:pt idx="380">
                  <c:v>45548</c:v>
                </c:pt>
                <c:pt idx="381">
                  <c:v>45551</c:v>
                </c:pt>
                <c:pt idx="382">
                  <c:v>45552</c:v>
                </c:pt>
                <c:pt idx="383">
                  <c:v>45553</c:v>
                </c:pt>
                <c:pt idx="384">
                  <c:v>45554</c:v>
                </c:pt>
                <c:pt idx="385">
                  <c:v>45555</c:v>
                </c:pt>
                <c:pt idx="386">
                  <c:v>45558</c:v>
                </c:pt>
                <c:pt idx="387">
                  <c:v>45559</c:v>
                </c:pt>
                <c:pt idx="388">
                  <c:v>45560</c:v>
                </c:pt>
                <c:pt idx="389">
                  <c:v>45561</c:v>
                </c:pt>
                <c:pt idx="390">
                  <c:v>45562</c:v>
                </c:pt>
                <c:pt idx="391">
                  <c:v>45565</c:v>
                </c:pt>
                <c:pt idx="392">
                  <c:v>45566</c:v>
                </c:pt>
                <c:pt idx="393">
                  <c:v>45567</c:v>
                </c:pt>
                <c:pt idx="394">
                  <c:v>45568</c:v>
                </c:pt>
                <c:pt idx="395">
                  <c:v>45569</c:v>
                </c:pt>
                <c:pt idx="396">
                  <c:v>45572</c:v>
                </c:pt>
                <c:pt idx="397">
                  <c:v>45573</c:v>
                </c:pt>
                <c:pt idx="398">
                  <c:v>45574</c:v>
                </c:pt>
                <c:pt idx="399">
                  <c:v>45575</c:v>
                </c:pt>
                <c:pt idx="400">
                  <c:v>45576</c:v>
                </c:pt>
                <c:pt idx="401">
                  <c:v>45579</c:v>
                </c:pt>
                <c:pt idx="402">
                  <c:v>45580</c:v>
                </c:pt>
                <c:pt idx="403">
                  <c:v>45581</c:v>
                </c:pt>
                <c:pt idx="404">
                  <c:v>45582</c:v>
                </c:pt>
                <c:pt idx="405">
                  <c:v>45583</c:v>
                </c:pt>
                <c:pt idx="406">
                  <c:v>45586</c:v>
                </c:pt>
                <c:pt idx="407">
                  <c:v>45587</c:v>
                </c:pt>
                <c:pt idx="408">
                  <c:v>45588</c:v>
                </c:pt>
                <c:pt idx="409">
                  <c:v>45589</c:v>
                </c:pt>
                <c:pt idx="410">
                  <c:v>45590</c:v>
                </c:pt>
                <c:pt idx="411">
                  <c:v>45593</c:v>
                </c:pt>
                <c:pt idx="412">
                  <c:v>45594</c:v>
                </c:pt>
                <c:pt idx="413">
                  <c:v>45595</c:v>
                </c:pt>
                <c:pt idx="414">
                  <c:v>45596</c:v>
                </c:pt>
                <c:pt idx="415">
                  <c:v>45597</c:v>
                </c:pt>
                <c:pt idx="416">
                  <c:v>45600</c:v>
                </c:pt>
                <c:pt idx="417">
                  <c:v>45601</c:v>
                </c:pt>
                <c:pt idx="418">
                  <c:v>45602</c:v>
                </c:pt>
                <c:pt idx="419">
                  <c:v>45603</c:v>
                </c:pt>
                <c:pt idx="420">
                  <c:v>45604</c:v>
                </c:pt>
                <c:pt idx="421">
                  <c:v>45607</c:v>
                </c:pt>
                <c:pt idx="422">
                  <c:v>45608</c:v>
                </c:pt>
                <c:pt idx="423">
                  <c:v>45609</c:v>
                </c:pt>
                <c:pt idx="424">
                  <c:v>45610</c:v>
                </c:pt>
                <c:pt idx="425">
                  <c:v>45611</c:v>
                </c:pt>
                <c:pt idx="426">
                  <c:v>45614</c:v>
                </c:pt>
                <c:pt idx="427">
                  <c:v>45615</c:v>
                </c:pt>
                <c:pt idx="428">
                  <c:v>45616</c:v>
                </c:pt>
                <c:pt idx="429">
                  <c:v>45617</c:v>
                </c:pt>
                <c:pt idx="430">
                  <c:v>45618</c:v>
                </c:pt>
                <c:pt idx="431">
                  <c:v>45621</c:v>
                </c:pt>
                <c:pt idx="432">
                  <c:v>45622</c:v>
                </c:pt>
                <c:pt idx="433">
                  <c:v>45623</c:v>
                </c:pt>
                <c:pt idx="434">
                  <c:v>45624</c:v>
                </c:pt>
                <c:pt idx="435">
                  <c:v>45625</c:v>
                </c:pt>
                <c:pt idx="436">
                  <c:v>45628</c:v>
                </c:pt>
                <c:pt idx="437">
                  <c:v>45629</c:v>
                </c:pt>
                <c:pt idx="438">
                  <c:v>45630</c:v>
                </c:pt>
                <c:pt idx="439">
                  <c:v>45631</c:v>
                </c:pt>
                <c:pt idx="440">
                  <c:v>45632</c:v>
                </c:pt>
                <c:pt idx="441">
                  <c:v>45635</c:v>
                </c:pt>
                <c:pt idx="442">
                  <c:v>45636</c:v>
                </c:pt>
                <c:pt idx="443">
                  <c:v>45637</c:v>
                </c:pt>
                <c:pt idx="444">
                  <c:v>45638</c:v>
                </c:pt>
                <c:pt idx="445">
                  <c:v>45639</c:v>
                </c:pt>
                <c:pt idx="446">
                  <c:v>45642</c:v>
                </c:pt>
                <c:pt idx="447">
                  <c:v>45643</c:v>
                </c:pt>
                <c:pt idx="448">
                  <c:v>45644</c:v>
                </c:pt>
                <c:pt idx="449">
                  <c:v>45645</c:v>
                </c:pt>
                <c:pt idx="450">
                  <c:v>45646</c:v>
                </c:pt>
                <c:pt idx="451">
                  <c:v>45649</c:v>
                </c:pt>
                <c:pt idx="452">
                  <c:v>45650</c:v>
                </c:pt>
                <c:pt idx="453">
                  <c:v>45651</c:v>
                </c:pt>
                <c:pt idx="454">
                  <c:v>45652</c:v>
                </c:pt>
                <c:pt idx="455">
                  <c:v>45653</c:v>
                </c:pt>
                <c:pt idx="456">
                  <c:v>45656</c:v>
                </c:pt>
                <c:pt idx="457">
                  <c:v>45657</c:v>
                </c:pt>
                <c:pt idx="458">
                  <c:v>45659</c:v>
                </c:pt>
                <c:pt idx="459">
                  <c:v>45660</c:v>
                </c:pt>
                <c:pt idx="460">
                  <c:v>45663</c:v>
                </c:pt>
                <c:pt idx="461">
                  <c:v>45664</c:v>
                </c:pt>
                <c:pt idx="462">
                  <c:v>45665</c:v>
                </c:pt>
                <c:pt idx="463">
                  <c:v>45666</c:v>
                </c:pt>
                <c:pt idx="464">
                  <c:v>45667</c:v>
                </c:pt>
                <c:pt idx="465">
                  <c:v>45670</c:v>
                </c:pt>
                <c:pt idx="466">
                  <c:v>45671</c:v>
                </c:pt>
                <c:pt idx="467">
                  <c:v>45672</c:v>
                </c:pt>
                <c:pt idx="468">
                  <c:v>45673</c:v>
                </c:pt>
                <c:pt idx="469">
                  <c:v>45674</c:v>
                </c:pt>
                <c:pt idx="470">
                  <c:v>45677</c:v>
                </c:pt>
                <c:pt idx="471">
                  <c:v>45678</c:v>
                </c:pt>
                <c:pt idx="472">
                  <c:v>45679</c:v>
                </c:pt>
                <c:pt idx="473">
                  <c:v>45680</c:v>
                </c:pt>
                <c:pt idx="474">
                  <c:v>45681</c:v>
                </c:pt>
                <c:pt idx="475">
                  <c:v>45691</c:v>
                </c:pt>
                <c:pt idx="476">
                  <c:v>45692</c:v>
                </c:pt>
                <c:pt idx="477">
                  <c:v>45693</c:v>
                </c:pt>
                <c:pt idx="478">
                  <c:v>45694</c:v>
                </c:pt>
                <c:pt idx="479">
                  <c:v>45695</c:v>
                </c:pt>
                <c:pt idx="480">
                  <c:v>45698</c:v>
                </c:pt>
                <c:pt idx="481">
                  <c:v>45699</c:v>
                </c:pt>
                <c:pt idx="482">
                  <c:v>45700</c:v>
                </c:pt>
                <c:pt idx="483">
                  <c:v>45701</c:v>
                </c:pt>
                <c:pt idx="484">
                  <c:v>45702</c:v>
                </c:pt>
                <c:pt idx="485">
                  <c:v>45705</c:v>
                </c:pt>
                <c:pt idx="486">
                  <c:v>45706</c:v>
                </c:pt>
                <c:pt idx="487">
                  <c:v>45707</c:v>
                </c:pt>
                <c:pt idx="488">
                  <c:v>45708</c:v>
                </c:pt>
                <c:pt idx="489">
                  <c:v>45709</c:v>
                </c:pt>
                <c:pt idx="490">
                  <c:v>45712</c:v>
                </c:pt>
                <c:pt idx="491">
                  <c:v>45713</c:v>
                </c:pt>
                <c:pt idx="492">
                  <c:v>45714</c:v>
                </c:pt>
                <c:pt idx="493">
                  <c:v>45715</c:v>
                </c:pt>
                <c:pt idx="494">
                  <c:v>45716</c:v>
                </c:pt>
                <c:pt idx="495">
                  <c:v>45719</c:v>
                </c:pt>
                <c:pt idx="496">
                  <c:v>45720</c:v>
                </c:pt>
                <c:pt idx="497">
                  <c:v>45721</c:v>
                </c:pt>
                <c:pt idx="498">
                  <c:v>45722</c:v>
                </c:pt>
                <c:pt idx="499">
                  <c:v>45723</c:v>
                </c:pt>
                <c:pt idx="500">
                  <c:v>45726</c:v>
                </c:pt>
                <c:pt idx="501">
                  <c:v>45727</c:v>
                </c:pt>
                <c:pt idx="502">
                  <c:v>45728</c:v>
                </c:pt>
                <c:pt idx="503">
                  <c:v>45729</c:v>
                </c:pt>
                <c:pt idx="504">
                  <c:v>45730</c:v>
                </c:pt>
                <c:pt idx="505">
                  <c:v>45733</c:v>
                </c:pt>
                <c:pt idx="506">
                  <c:v>45734</c:v>
                </c:pt>
                <c:pt idx="507">
                  <c:v>45735</c:v>
                </c:pt>
                <c:pt idx="508">
                  <c:v>45736</c:v>
                </c:pt>
                <c:pt idx="509">
                  <c:v>45737</c:v>
                </c:pt>
                <c:pt idx="510">
                  <c:v>45740</c:v>
                </c:pt>
                <c:pt idx="511">
                  <c:v>45741</c:v>
                </c:pt>
                <c:pt idx="512">
                  <c:v>45742</c:v>
                </c:pt>
                <c:pt idx="513">
                  <c:v>45743</c:v>
                </c:pt>
                <c:pt idx="514">
                  <c:v>45744</c:v>
                </c:pt>
                <c:pt idx="515">
                  <c:v>45747</c:v>
                </c:pt>
                <c:pt idx="516">
                  <c:v>45748</c:v>
                </c:pt>
                <c:pt idx="517">
                  <c:v>45749</c:v>
                </c:pt>
                <c:pt idx="518">
                  <c:v>45750</c:v>
                </c:pt>
                <c:pt idx="519">
                  <c:v>45751</c:v>
                </c:pt>
                <c:pt idx="520">
                  <c:v>45755</c:v>
                </c:pt>
                <c:pt idx="521">
                  <c:v>45756</c:v>
                </c:pt>
                <c:pt idx="522">
                  <c:v>45757</c:v>
                </c:pt>
                <c:pt idx="523">
                  <c:v>45758</c:v>
                </c:pt>
                <c:pt idx="524">
                  <c:v>45761</c:v>
                </c:pt>
                <c:pt idx="525">
                  <c:v>45762</c:v>
                </c:pt>
                <c:pt idx="526">
                  <c:v>45763</c:v>
                </c:pt>
                <c:pt idx="527">
                  <c:v>45764</c:v>
                </c:pt>
                <c:pt idx="528">
                  <c:v>45765</c:v>
                </c:pt>
                <c:pt idx="529">
                  <c:v>45768</c:v>
                </c:pt>
                <c:pt idx="530">
                  <c:v>45769</c:v>
                </c:pt>
                <c:pt idx="531">
                  <c:v>45770</c:v>
                </c:pt>
                <c:pt idx="532">
                  <c:v>45771</c:v>
                </c:pt>
                <c:pt idx="533">
                  <c:v>45772</c:v>
                </c:pt>
                <c:pt idx="534">
                  <c:v>45775</c:v>
                </c:pt>
                <c:pt idx="535">
                  <c:v>45776</c:v>
                </c:pt>
                <c:pt idx="536">
                  <c:v>45782</c:v>
                </c:pt>
                <c:pt idx="537">
                  <c:v>45783</c:v>
                </c:pt>
                <c:pt idx="538">
                  <c:v>45784</c:v>
                </c:pt>
                <c:pt idx="539">
                  <c:v>45785</c:v>
                </c:pt>
                <c:pt idx="540">
                  <c:v>45786</c:v>
                </c:pt>
                <c:pt idx="541">
                  <c:v>45789</c:v>
                </c:pt>
                <c:pt idx="542">
                  <c:v>45790</c:v>
                </c:pt>
                <c:pt idx="543">
                  <c:v>45791</c:v>
                </c:pt>
                <c:pt idx="544">
                  <c:v>45792</c:v>
                </c:pt>
                <c:pt idx="545">
                  <c:v>45793</c:v>
                </c:pt>
                <c:pt idx="546">
                  <c:v>45796</c:v>
                </c:pt>
                <c:pt idx="547">
                  <c:v>45797</c:v>
                </c:pt>
                <c:pt idx="548">
                  <c:v>45798</c:v>
                </c:pt>
                <c:pt idx="549">
                  <c:v>45799</c:v>
                </c:pt>
                <c:pt idx="550">
                  <c:v>45800</c:v>
                </c:pt>
                <c:pt idx="551">
                  <c:v>45803</c:v>
                </c:pt>
                <c:pt idx="552">
                  <c:v>45804</c:v>
                </c:pt>
                <c:pt idx="553">
                  <c:v>45805</c:v>
                </c:pt>
                <c:pt idx="554">
                  <c:v>45806</c:v>
                </c:pt>
                <c:pt idx="555">
                  <c:v>45807</c:v>
                </c:pt>
                <c:pt idx="556">
                  <c:v>45810</c:v>
                </c:pt>
                <c:pt idx="557">
                  <c:v>45811</c:v>
                </c:pt>
                <c:pt idx="558">
                  <c:v>45812</c:v>
                </c:pt>
                <c:pt idx="559">
                  <c:v>45813</c:v>
                </c:pt>
                <c:pt idx="560">
                  <c:v>45814</c:v>
                </c:pt>
                <c:pt idx="561">
                  <c:v>45817</c:v>
                </c:pt>
                <c:pt idx="562">
                  <c:v>45818</c:v>
                </c:pt>
                <c:pt idx="563">
                  <c:v>45819</c:v>
                </c:pt>
                <c:pt idx="564">
                  <c:v>45820</c:v>
                </c:pt>
                <c:pt idx="565">
                  <c:v>45821</c:v>
                </c:pt>
                <c:pt idx="566">
                  <c:v>45824</c:v>
                </c:pt>
                <c:pt idx="567">
                  <c:v>45825</c:v>
                </c:pt>
                <c:pt idx="568">
                  <c:v>45826</c:v>
                </c:pt>
                <c:pt idx="569">
                  <c:v>45827</c:v>
                </c:pt>
                <c:pt idx="570">
                  <c:v>45828</c:v>
                </c:pt>
                <c:pt idx="571">
                  <c:v>45831</c:v>
                </c:pt>
                <c:pt idx="572">
                  <c:v>45832</c:v>
                </c:pt>
                <c:pt idx="573">
                  <c:v>45833</c:v>
                </c:pt>
                <c:pt idx="574">
                  <c:v>45834</c:v>
                </c:pt>
                <c:pt idx="575">
                  <c:v>45835</c:v>
                </c:pt>
                <c:pt idx="576">
                  <c:v>45838</c:v>
                </c:pt>
                <c:pt idx="577">
                  <c:v>45839</c:v>
                </c:pt>
                <c:pt idx="578">
                  <c:v>45840</c:v>
                </c:pt>
                <c:pt idx="579">
                  <c:v>45841</c:v>
                </c:pt>
                <c:pt idx="580">
                  <c:v>45842</c:v>
                </c:pt>
                <c:pt idx="581">
                  <c:v>45845</c:v>
                </c:pt>
                <c:pt idx="582">
                  <c:v>45846</c:v>
                </c:pt>
                <c:pt idx="583">
                  <c:v>45847</c:v>
                </c:pt>
                <c:pt idx="584">
                  <c:v>45848</c:v>
                </c:pt>
                <c:pt idx="585">
                  <c:v>45849</c:v>
                </c:pt>
                <c:pt idx="586">
                  <c:v>45852</c:v>
                </c:pt>
                <c:pt idx="587">
                  <c:v>45853</c:v>
                </c:pt>
                <c:pt idx="588">
                  <c:v>45854</c:v>
                </c:pt>
                <c:pt idx="589">
                  <c:v>45855</c:v>
                </c:pt>
                <c:pt idx="590">
                  <c:v>45856</c:v>
                </c:pt>
                <c:pt idx="591">
                  <c:v>45859</c:v>
                </c:pt>
                <c:pt idx="592">
                  <c:v>45860</c:v>
                </c:pt>
                <c:pt idx="593">
                  <c:v>45861</c:v>
                </c:pt>
                <c:pt idx="594">
                  <c:v>45862</c:v>
                </c:pt>
                <c:pt idx="595">
                  <c:v>45863</c:v>
                </c:pt>
                <c:pt idx="596">
                  <c:v>45866</c:v>
                </c:pt>
                <c:pt idx="597">
                  <c:v>45867</c:v>
                </c:pt>
                <c:pt idx="598">
                  <c:v>45868</c:v>
                </c:pt>
                <c:pt idx="599">
                  <c:v>45869</c:v>
                </c:pt>
                <c:pt idx="600">
                  <c:v>45870</c:v>
                </c:pt>
                <c:pt idx="601">
                  <c:v>45873</c:v>
                </c:pt>
                <c:pt idx="602">
                  <c:v>45874</c:v>
                </c:pt>
                <c:pt idx="603">
                  <c:v>45875</c:v>
                </c:pt>
                <c:pt idx="604">
                  <c:v>45876</c:v>
                </c:pt>
                <c:pt idx="605">
                  <c:v>45877</c:v>
                </c:pt>
                <c:pt idx="606">
                  <c:v>45880</c:v>
                </c:pt>
                <c:pt idx="607">
                  <c:v>45881</c:v>
                </c:pt>
                <c:pt idx="608">
                  <c:v>45882</c:v>
                </c:pt>
                <c:pt idx="609">
                  <c:v>45883</c:v>
                </c:pt>
                <c:pt idx="610">
                  <c:v>45884</c:v>
                </c:pt>
                <c:pt idx="611">
                  <c:v>45887</c:v>
                </c:pt>
                <c:pt idx="612">
                  <c:v>45888</c:v>
                </c:pt>
                <c:pt idx="613">
                  <c:v>45889</c:v>
                </c:pt>
                <c:pt idx="614">
                  <c:v>45890</c:v>
                </c:pt>
                <c:pt idx="615">
                  <c:v>45891</c:v>
                </c:pt>
                <c:pt idx="616">
                  <c:v>45894</c:v>
                </c:pt>
                <c:pt idx="617">
                  <c:v>45895</c:v>
                </c:pt>
                <c:pt idx="618">
                  <c:v>45896</c:v>
                </c:pt>
                <c:pt idx="619">
                  <c:v>45897</c:v>
                </c:pt>
                <c:pt idx="620">
                  <c:v>45898</c:v>
                </c:pt>
                <c:pt idx="621">
                  <c:v>45903</c:v>
                </c:pt>
                <c:pt idx="622">
                  <c:v>45904</c:v>
                </c:pt>
                <c:pt idx="623">
                  <c:v>45905</c:v>
                </c:pt>
                <c:pt idx="624">
                  <c:v>45908</c:v>
                </c:pt>
                <c:pt idx="625">
                  <c:v>45909</c:v>
                </c:pt>
                <c:pt idx="626">
                  <c:v>45910</c:v>
                </c:pt>
                <c:pt idx="627">
                  <c:v>45911</c:v>
                </c:pt>
                <c:pt idx="628">
                  <c:v>45912</c:v>
                </c:pt>
                <c:pt idx="629">
                  <c:v>45915</c:v>
                </c:pt>
                <c:pt idx="630">
                  <c:v>45916</c:v>
                </c:pt>
                <c:pt idx="631">
                  <c:v>45917</c:v>
                </c:pt>
                <c:pt idx="632">
                  <c:v>45918</c:v>
                </c:pt>
                <c:pt idx="633">
                  <c:v>45919</c:v>
                </c:pt>
                <c:pt idx="634">
                  <c:v>45922</c:v>
                </c:pt>
                <c:pt idx="635">
                  <c:v>45923</c:v>
                </c:pt>
                <c:pt idx="636">
                  <c:v>45924</c:v>
                </c:pt>
                <c:pt idx="637">
                  <c:v>45925</c:v>
                </c:pt>
                <c:pt idx="638">
                  <c:v>45926</c:v>
                </c:pt>
                <c:pt idx="639">
                  <c:v>45929</c:v>
                </c:pt>
                <c:pt idx="640">
                  <c:v>45930</c:v>
                </c:pt>
                <c:pt idx="641">
                  <c:v>45931</c:v>
                </c:pt>
                <c:pt idx="642">
                  <c:v>45932</c:v>
                </c:pt>
                <c:pt idx="643">
                  <c:v>45933</c:v>
                </c:pt>
                <c:pt idx="644">
                  <c:v>45936</c:v>
                </c:pt>
                <c:pt idx="645">
                  <c:v>45937</c:v>
                </c:pt>
                <c:pt idx="646">
                  <c:v>45938</c:v>
                </c:pt>
                <c:pt idx="647">
                  <c:v>45939</c:v>
                </c:pt>
                <c:pt idx="648">
                  <c:v>45940</c:v>
                </c:pt>
                <c:pt idx="649">
                  <c:v>45943</c:v>
                </c:pt>
                <c:pt idx="650">
                  <c:v>45944</c:v>
                </c:pt>
                <c:pt idx="651">
                  <c:v>45945</c:v>
                </c:pt>
                <c:pt idx="652">
                  <c:v>45946</c:v>
                </c:pt>
                <c:pt idx="653">
                  <c:v>45947</c:v>
                </c:pt>
                <c:pt idx="654">
                  <c:v>45950</c:v>
                </c:pt>
                <c:pt idx="655">
                  <c:v>45951</c:v>
                </c:pt>
                <c:pt idx="656">
                  <c:v>45952</c:v>
                </c:pt>
                <c:pt idx="657">
                  <c:v>45953</c:v>
                </c:pt>
                <c:pt idx="658">
                  <c:v>45954</c:v>
                </c:pt>
                <c:pt idx="659">
                  <c:v>45957</c:v>
                </c:pt>
                <c:pt idx="660">
                  <c:v>45958</c:v>
                </c:pt>
                <c:pt idx="661">
                  <c:v>45959</c:v>
                </c:pt>
                <c:pt idx="662">
                  <c:v>45960</c:v>
                </c:pt>
                <c:pt idx="663">
                  <c:v>45961</c:v>
                </c:pt>
                <c:pt idx="664">
                  <c:v>45964</c:v>
                </c:pt>
                <c:pt idx="665">
                  <c:v>45965</c:v>
                </c:pt>
                <c:pt idx="666">
                  <c:v>45966</c:v>
                </c:pt>
                <c:pt idx="667">
                  <c:v>45967</c:v>
                </c:pt>
                <c:pt idx="668">
                  <c:v>45968</c:v>
                </c:pt>
                <c:pt idx="669">
                  <c:v>45971</c:v>
                </c:pt>
                <c:pt idx="670">
                  <c:v>45972</c:v>
                </c:pt>
                <c:pt idx="671">
                  <c:v>45973</c:v>
                </c:pt>
                <c:pt idx="672">
                  <c:v>45974</c:v>
                </c:pt>
                <c:pt idx="673">
                  <c:v>45975</c:v>
                </c:pt>
                <c:pt idx="674">
                  <c:v>45978</c:v>
                </c:pt>
                <c:pt idx="675">
                  <c:v>45979</c:v>
                </c:pt>
                <c:pt idx="676">
                  <c:v>45980</c:v>
                </c:pt>
                <c:pt idx="677">
                  <c:v>45981</c:v>
                </c:pt>
                <c:pt idx="678">
                  <c:v>45982</c:v>
                </c:pt>
                <c:pt idx="679">
                  <c:v>45985</c:v>
                </c:pt>
                <c:pt idx="680">
                  <c:v>45986</c:v>
                </c:pt>
                <c:pt idx="681">
                  <c:v>45987</c:v>
                </c:pt>
                <c:pt idx="682">
                  <c:v>45988</c:v>
                </c:pt>
                <c:pt idx="683">
                  <c:v>45989</c:v>
                </c:pt>
                <c:pt idx="684">
                  <c:v>45992</c:v>
                </c:pt>
                <c:pt idx="685">
                  <c:v>45993</c:v>
                </c:pt>
                <c:pt idx="686">
                  <c:v>45994</c:v>
                </c:pt>
                <c:pt idx="687">
                  <c:v>45995</c:v>
                </c:pt>
                <c:pt idx="688">
                  <c:v>45996</c:v>
                </c:pt>
                <c:pt idx="689">
                  <c:v>45999</c:v>
                </c:pt>
                <c:pt idx="690">
                  <c:v>46000</c:v>
                </c:pt>
                <c:pt idx="691">
                  <c:v>46001</c:v>
                </c:pt>
                <c:pt idx="692">
                  <c:v>46002</c:v>
                </c:pt>
                <c:pt idx="693">
                  <c:v>46003</c:v>
                </c:pt>
                <c:pt idx="694">
                  <c:v>46006</c:v>
                </c:pt>
                <c:pt idx="695">
                  <c:v>46007</c:v>
                </c:pt>
                <c:pt idx="696">
                  <c:v>46008</c:v>
                </c:pt>
                <c:pt idx="697">
                  <c:v>46009</c:v>
                </c:pt>
                <c:pt idx="698">
                  <c:v>46010</c:v>
                </c:pt>
                <c:pt idx="699">
                  <c:v>46013</c:v>
                </c:pt>
                <c:pt idx="700">
                  <c:v>46014</c:v>
                </c:pt>
                <c:pt idx="701">
                  <c:v>46015</c:v>
                </c:pt>
                <c:pt idx="702">
                  <c:v>46016</c:v>
                </c:pt>
                <c:pt idx="703">
                  <c:v>46017</c:v>
                </c:pt>
                <c:pt idx="704">
                  <c:v>46020</c:v>
                </c:pt>
                <c:pt idx="705">
                  <c:v>46021</c:v>
                </c:pt>
                <c:pt idx="706">
                  <c:v>46022</c:v>
                </c:pt>
                <c:pt idx="707">
                  <c:v>46027</c:v>
                </c:pt>
                <c:pt idx="708">
                  <c:v>46028</c:v>
                </c:pt>
                <c:pt idx="709">
                  <c:v>46029</c:v>
                </c:pt>
                <c:pt idx="710">
                  <c:v>46030</c:v>
                </c:pt>
                <c:pt idx="711">
                  <c:v>46031</c:v>
                </c:pt>
                <c:pt idx="712">
                  <c:v>46034</c:v>
                </c:pt>
                <c:pt idx="713">
                  <c:v>46035</c:v>
                </c:pt>
                <c:pt idx="714">
                  <c:v>46036</c:v>
                </c:pt>
                <c:pt idx="715">
                  <c:v>46037</c:v>
                </c:pt>
                <c:pt idx="716">
                  <c:v>46038</c:v>
                </c:pt>
                <c:pt idx="717">
                  <c:v>46041</c:v>
                </c:pt>
                <c:pt idx="718">
                  <c:v>46042</c:v>
                </c:pt>
                <c:pt idx="719">
                  <c:v>46043</c:v>
                </c:pt>
                <c:pt idx="720">
                  <c:v>46044</c:v>
                </c:pt>
                <c:pt idx="721">
                  <c:v>46045</c:v>
                </c:pt>
                <c:pt idx="722">
                  <c:v>46048</c:v>
                </c:pt>
                <c:pt idx="723">
                  <c:v>46049</c:v>
                </c:pt>
                <c:pt idx="724">
                  <c:v>46050</c:v>
                </c:pt>
                <c:pt idx="725">
                  <c:v>46051</c:v>
                </c:pt>
                <c:pt idx="726">
                  <c:v>46052</c:v>
                </c:pt>
                <c:pt idx="727">
                  <c:v>46055</c:v>
                </c:pt>
                <c:pt idx="728">
                  <c:v>46056</c:v>
                </c:pt>
                <c:pt idx="729">
                  <c:v>46057</c:v>
                </c:pt>
                <c:pt idx="730">
                  <c:v>46058</c:v>
                </c:pt>
                <c:pt idx="731">
                  <c:v>46059</c:v>
                </c:pt>
                <c:pt idx="732">
                  <c:v>46062</c:v>
                </c:pt>
                <c:pt idx="733">
                  <c:v>46063</c:v>
                </c:pt>
                <c:pt idx="734">
                  <c:v>46064</c:v>
                </c:pt>
                <c:pt idx="735">
                  <c:v>46065</c:v>
                </c:pt>
                <c:pt idx="736">
                  <c:v>46066</c:v>
                </c:pt>
                <c:pt idx="737">
                  <c:v>46076</c:v>
                </c:pt>
                <c:pt idx="738">
                  <c:v>46077</c:v>
                </c:pt>
                <c:pt idx="739">
                  <c:v>46078</c:v>
                </c:pt>
                <c:pt idx="740">
                  <c:v>46079</c:v>
                </c:pt>
                <c:pt idx="741">
                  <c:v>46080</c:v>
                </c:pt>
                <c:pt idx="742">
                  <c:v>46083</c:v>
                </c:pt>
                <c:pt idx="743">
                  <c:v>46084</c:v>
                </c:pt>
                <c:pt idx="744">
                  <c:v>46085</c:v>
                </c:pt>
                <c:pt idx="745">
                  <c:v>46086</c:v>
                </c:pt>
                <c:pt idx="746">
                  <c:v>46087</c:v>
                </c:pt>
                <c:pt idx="747">
                  <c:v>45968</c:v>
                </c:pt>
              </c:numCache>
            </c:numRef>
          </c:cat>
          <c:val>
            <c:numRef>
              <c:f>'FX Data'!$H$1462:$H$2855</c:f>
              <c:numCache>
                <c:formatCode>0.0</c:formatCode>
                <c:ptCount val="1394"/>
                <c:pt idx="0">
                  <c:v>16.960031496834333</c:v>
                </c:pt>
                <c:pt idx="1">
                  <c:v>16.960031496834333</c:v>
                </c:pt>
                <c:pt idx="2">
                  <c:v>16.960031496834333</c:v>
                </c:pt>
                <c:pt idx="3">
                  <c:v>16.960031496834333</c:v>
                </c:pt>
                <c:pt idx="4">
                  <c:v>16.960031496834333</c:v>
                </c:pt>
                <c:pt idx="5">
                  <c:v>16.960031496834333</c:v>
                </c:pt>
                <c:pt idx="6">
                  <c:v>16.960031496834333</c:v>
                </c:pt>
                <c:pt idx="7">
                  <c:v>16.960031496834333</c:v>
                </c:pt>
                <c:pt idx="8">
                  <c:v>16.960031496834333</c:v>
                </c:pt>
                <c:pt idx="9">
                  <c:v>16.960031496834333</c:v>
                </c:pt>
                <c:pt idx="10">
                  <c:v>16.960031496834333</c:v>
                </c:pt>
                <c:pt idx="11">
                  <c:v>16.960031496834333</c:v>
                </c:pt>
                <c:pt idx="12">
                  <c:v>16.960031496834333</c:v>
                </c:pt>
                <c:pt idx="13">
                  <c:v>16.960031496834333</c:v>
                </c:pt>
                <c:pt idx="14">
                  <c:v>16.960031496834333</c:v>
                </c:pt>
                <c:pt idx="15">
                  <c:v>16.960031496834333</c:v>
                </c:pt>
                <c:pt idx="16">
                  <c:v>16.960031496834333</c:v>
                </c:pt>
                <c:pt idx="17">
                  <c:v>16.960031496834333</c:v>
                </c:pt>
                <c:pt idx="18">
                  <c:v>16.960031496834333</c:v>
                </c:pt>
                <c:pt idx="19">
                  <c:v>16.960031496834333</c:v>
                </c:pt>
                <c:pt idx="20">
                  <c:v>16.960031496834333</c:v>
                </c:pt>
                <c:pt idx="21">
                  <c:v>16.960031496834333</c:v>
                </c:pt>
                <c:pt idx="22">
                  <c:v>16.960031496834333</c:v>
                </c:pt>
                <c:pt idx="23">
                  <c:v>16.960031496834333</c:v>
                </c:pt>
                <c:pt idx="24">
                  <c:v>16.960031496834333</c:v>
                </c:pt>
                <c:pt idx="25">
                  <c:v>16.960031496834333</c:v>
                </c:pt>
                <c:pt idx="26">
                  <c:v>16.960031496834333</c:v>
                </c:pt>
                <c:pt idx="27">
                  <c:v>16.960031496834333</c:v>
                </c:pt>
                <c:pt idx="28">
                  <c:v>16.960031496834333</c:v>
                </c:pt>
                <c:pt idx="29">
                  <c:v>16.960031496834333</c:v>
                </c:pt>
                <c:pt idx="30">
                  <c:v>16.960031496834333</c:v>
                </c:pt>
                <c:pt idx="31">
                  <c:v>16.960031496834333</c:v>
                </c:pt>
                <c:pt idx="32">
                  <c:v>16.960031496834333</c:v>
                </c:pt>
                <c:pt idx="33">
                  <c:v>16.960031496834333</c:v>
                </c:pt>
                <c:pt idx="34">
                  <c:v>16.960031496834333</c:v>
                </c:pt>
                <c:pt idx="35">
                  <c:v>16.960031496834333</c:v>
                </c:pt>
                <c:pt idx="36">
                  <c:v>16.960031496834333</c:v>
                </c:pt>
                <c:pt idx="37">
                  <c:v>16.960031496834333</c:v>
                </c:pt>
                <c:pt idx="38">
                  <c:v>16.960031496834333</c:v>
                </c:pt>
                <c:pt idx="39">
                  <c:v>16.960031496834333</c:v>
                </c:pt>
                <c:pt idx="40">
                  <c:v>16.960031496834333</c:v>
                </c:pt>
                <c:pt idx="41">
                  <c:v>16.960031496834333</c:v>
                </c:pt>
                <c:pt idx="42">
                  <c:v>16.960031496834333</c:v>
                </c:pt>
                <c:pt idx="43">
                  <c:v>16.960031496834333</c:v>
                </c:pt>
                <c:pt idx="44">
                  <c:v>16.960031496834333</c:v>
                </c:pt>
                <c:pt idx="45">
                  <c:v>16.960031496834333</c:v>
                </c:pt>
                <c:pt idx="46">
                  <c:v>16.960031496834333</c:v>
                </c:pt>
                <c:pt idx="47">
                  <c:v>16.960031496834333</c:v>
                </c:pt>
                <c:pt idx="48">
                  <c:v>16.960031496834333</c:v>
                </c:pt>
                <c:pt idx="49">
                  <c:v>16.960031496834333</c:v>
                </c:pt>
                <c:pt idx="50">
                  <c:v>16.960031496834333</c:v>
                </c:pt>
                <c:pt idx="51">
                  <c:v>16.960031496834333</c:v>
                </c:pt>
                <c:pt idx="52">
                  <c:v>16.960031496834333</c:v>
                </c:pt>
                <c:pt idx="53">
                  <c:v>16.960031496834333</c:v>
                </c:pt>
                <c:pt idx="54">
                  <c:v>16.960031496834333</c:v>
                </c:pt>
                <c:pt idx="55">
                  <c:v>16.960031496834333</c:v>
                </c:pt>
                <c:pt idx="56">
                  <c:v>16.960031496834333</c:v>
                </c:pt>
                <c:pt idx="57">
                  <c:v>16.960031496834333</c:v>
                </c:pt>
                <c:pt idx="58">
                  <c:v>16.960031496834333</c:v>
                </c:pt>
                <c:pt idx="59">
                  <c:v>16.960031496834333</c:v>
                </c:pt>
                <c:pt idx="60">
                  <c:v>16.960031496834333</c:v>
                </c:pt>
                <c:pt idx="61">
                  <c:v>16.960031496834333</c:v>
                </c:pt>
                <c:pt idx="62">
                  <c:v>16.960031496834333</c:v>
                </c:pt>
                <c:pt idx="63">
                  <c:v>16.960031496834333</c:v>
                </c:pt>
                <c:pt idx="64">
                  <c:v>16.960031496834333</c:v>
                </c:pt>
                <c:pt idx="65">
                  <c:v>16.960031496834333</c:v>
                </c:pt>
                <c:pt idx="66">
                  <c:v>16.960031496834333</c:v>
                </c:pt>
                <c:pt idx="67">
                  <c:v>16.960031496834333</c:v>
                </c:pt>
                <c:pt idx="68">
                  <c:v>16.960031496834333</c:v>
                </c:pt>
                <c:pt idx="69">
                  <c:v>16.960031496834333</c:v>
                </c:pt>
                <c:pt idx="70">
                  <c:v>16.960031496834333</c:v>
                </c:pt>
                <c:pt idx="71">
                  <c:v>16.960031496834333</c:v>
                </c:pt>
                <c:pt idx="72">
                  <c:v>16.960031496834333</c:v>
                </c:pt>
                <c:pt idx="73">
                  <c:v>16.960031496834333</c:v>
                </c:pt>
                <c:pt idx="74">
                  <c:v>16.960031496834333</c:v>
                </c:pt>
                <c:pt idx="75">
                  <c:v>16.960031496834333</c:v>
                </c:pt>
                <c:pt idx="76">
                  <c:v>16.960031496834333</c:v>
                </c:pt>
                <c:pt idx="77">
                  <c:v>16.960031496834333</c:v>
                </c:pt>
                <c:pt idx="78">
                  <c:v>16.960031496834333</c:v>
                </c:pt>
                <c:pt idx="79">
                  <c:v>16.960031496834333</c:v>
                </c:pt>
                <c:pt idx="80">
                  <c:v>16.960031496834333</c:v>
                </c:pt>
                <c:pt idx="81">
                  <c:v>16.960031496834333</c:v>
                </c:pt>
                <c:pt idx="82">
                  <c:v>16.960031496834333</c:v>
                </c:pt>
                <c:pt idx="83">
                  <c:v>16.960031496834333</c:v>
                </c:pt>
                <c:pt idx="84">
                  <c:v>16.960031496834333</c:v>
                </c:pt>
                <c:pt idx="85">
                  <c:v>16.960031496834333</c:v>
                </c:pt>
                <c:pt idx="86">
                  <c:v>16.960031496834333</c:v>
                </c:pt>
                <c:pt idx="87">
                  <c:v>16.960031496834333</c:v>
                </c:pt>
                <c:pt idx="88">
                  <c:v>16.960031496834333</c:v>
                </c:pt>
                <c:pt idx="89">
                  <c:v>16.960031496834333</c:v>
                </c:pt>
                <c:pt idx="90">
                  <c:v>16.960031496834333</c:v>
                </c:pt>
                <c:pt idx="91">
                  <c:v>16.960031496834333</c:v>
                </c:pt>
                <c:pt idx="92">
                  <c:v>16.960031496834333</c:v>
                </c:pt>
                <c:pt idx="93">
                  <c:v>16.960031496834333</c:v>
                </c:pt>
                <c:pt idx="94">
                  <c:v>16.960031496834333</c:v>
                </c:pt>
                <c:pt idx="95">
                  <c:v>16.960031496834333</c:v>
                </c:pt>
                <c:pt idx="96">
                  <c:v>16.960031496834333</c:v>
                </c:pt>
                <c:pt idx="97">
                  <c:v>16.960031496834333</c:v>
                </c:pt>
                <c:pt idx="98">
                  <c:v>16.960031496834333</c:v>
                </c:pt>
                <c:pt idx="99">
                  <c:v>16.960031496834333</c:v>
                </c:pt>
                <c:pt idx="100">
                  <c:v>16.960031496834333</c:v>
                </c:pt>
                <c:pt idx="101">
                  <c:v>16.960031496834333</c:v>
                </c:pt>
                <c:pt idx="102">
                  <c:v>16.960031496834333</c:v>
                </c:pt>
                <c:pt idx="103">
                  <c:v>16.960031496834333</c:v>
                </c:pt>
                <c:pt idx="104">
                  <c:v>16.960031496834333</c:v>
                </c:pt>
                <c:pt idx="105">
                  <c:v>16.960031496834333</c:v>
                </c:pt>
                <c:pt idx="106">
                  <c:v>16.960031496834333</c:v>
                </c:pt>
                <c:pt idx="107">
                  <c:v>16.960031496834333</c:v>
                </c:pt>
                <c:pt idx="108">
                  <c:v>16.960031496834333</c:v>
                </c:pt>
                <c:pt idx="109">
                  <c:v>16.960031496834333</c:v>
                </c:pt>
                <c:pt idx="110">
                  <c:v>16.960031496834333</c:v>
                </c:pt>
                <c:pt idx="111">
                  <c:v>16.960031496834333</c:v>
                </c:pt>
                <c:pt idx="112">
                  <c:v>16.960031496834333</c:v>
                </c:pt>
                <c:pt idx="113">
                  <c:v>16.960031496834333</c:v>
                </c:pt>
                <c:pt idx="114">
                  <c:v>16.960031496834333</c:v>
                </c:pt>
                <c:pt idx="115">
                  <c:v>16.960031496834333</c:v>
                </c:pt>
                <c:pt idx="116">
                  <c:v>16.960031496834333</c:v>
                </c:pt>
                <c:pt idx="117">
                  <c:v>16.960031496834333</c:v>
                </c:pt>
                <c:pt idx="118">
                  <c:v>16.960031496834333</c:v>
                </c:pt>
                <c:pt idx="119">
                  <c:v>16.960031496834333</c:v>
                </c:pt>
                <c:pt idx="120">
                  <c:v>16.960031496834333</c:v>
                </c:pt>
                <c:pt idx="121">
                  <c:v>16.960031496834333</c:v>
                </c:pt>
                <c:pt idx="122">
                  <c:v>16.960031496834333</c:v>
                </c:pt>
                <c:pt idx="123">
                  <c:v>16.960031496834333</c:v>
                </c:pt>
                <c:pt idx="124">
                  <c:v>16.960031496834333</c:v>
                </c:pt>
                <c:pt idx="125">
                  <c:v>16.960031496834333</c:v>
                </c:pt>
                <c:pt idx="126">
                  <c:v>16.960031496834333</c:v>
                </c:pt>
                <c:pt idx="127">
                  <c:v>16.960031496834333</c:v>
                </c:pt>
                <c:pt idx="128">
                  <c:v>16.960031496834333</c:v>
                </c:pt>
                <c:pt idx="129">
                  <c:v>16.960031496834333</c:v>
                </c:pt>
                <c:pt idx="130">
                  <c:v>16.960031496834333</c:v>
                </c:pt>
                <c:pt idx="131">
                  <c:v>16.960031496834333</c:v>
                </c:pt>
                <c:pt idx="132">
                  <c:v>16.960031496834333</c:v>
                </c:pt>
                <c:pt idx="133">
                  <c:v>16.960031496834333</c:v>
                </c:pt>
                <c:pt idx="134">
                  <c:v>16.960031496834333</c:v>
                </c:pt>
                <c:pt idx="135">
                  <c:v>16.960031496834333</c:v>
                </c:pt>
                <c:pt idx="136">
                  <c:v>16.960031496834333</c:v>
                </c:pt>
                <c:pt idx="137">
                  <c:v>16.960031496834333</c:v>
                </c:pt>
                <c:pt idx="138">
                  <c:v>16.960031496834333</c:v>
                </c:pt>
                <c:pt idx="139">
                  <c:v>16.960031496834333</c:v>
                </c:pt>
                <c:pt idx="140">
                  <c:v>16.960031496834333</c:v>
                </c:pt>
                <c:pt idx="141">
                  <c:v>16.960031496834333</c:v>
                </c:pt>
                <c:pt idx="142">
                  <c:v>16.960031496834333</c:v>
                </c:pt>
                <c:pt idx="143">
                  <c:v>16.960031496834333</c:v>
                </c:pt>
                <c:pt idx="144">
                  <c:v>16.960031496834333</c:v>
                </c:pt>
                <c:pt idx="145">
                  <c:v>16.960031496834333</c:v>
                </c:pt>
                <c:pt idx="146">
                  <c:v>16.960031496834333</c:v>
                </c:pt>
                <c:pt idx="147">
                  <c:v>16.960031496834333</c:v>
                </c:pt>
                <c:pt idx="148">
                  <c:v>16.960031496834333</c:v>
                </c:pt>
                <c:pt idx="149">
                  <c:v>16.960031496834333</c:v>
                </c:pt>
                <c:pt idx="150">
                  <c:v>16.960031496834333</c:v>
                </c:pt>
                <c:pt idx="151">
                  <c:v>16.960031496834333</c:v>
                </c:pt>
                <c:pt idx="152">
                  <c:v>16.960031496834333</c:v>
                </c:pt>
                <c:pt idx="153">
                  <c:v>16.960031496834333</c:v>
                </c:pt>
                <c:pt idx="154">
                  <c:v>16.960031496834333</c:v>
                </c:pt>
                <c:pt idx="155">
                  <c:v>16.960031496834333</c:v>
                </c:pt>
                <c:pt idx="156">
                  <c:v>16.960031496834333</c:v>
                </c:pt>
                <c:pt idx="157">
                  <c:v>16.960031496834333</c:v>
                </c:pt>
                <c:pt idx="158">
                  <c:v>16.960031496834333</c:v>
                </c:pt>
                <c:pt idx="159">
                  <c:v>16.960031496834333</c:v>
                </c:pt>
                <c:pt idx="160">
                  <c:v>16.960031496834333</c:v>
                </c:pt>
                <c:pt idx="161">
                  <c:v>16.960031496834333</c:v>
                </c:pt>
                <c:pt idx="162">
                  <c:v>16.960031496834333</c:v>
                </c:pt>
                <c:pt idx="163">
                  <c:v>16.960031496834333</c:v>
                </c:pt>
                <c:pt idx="164">
                  <c:v>16.960031496834333</c:v>
                </c:pt>
                <c:pt idx="165">
                  <c:v>16.960031496834333</c:v>
                </c:pt>
                <c:pt idx="166">
                  <c:v>16.960031496834333</c:v>
                </c:pt>
                <c:pt idx="167">
                  <c:v>16.960031496834333</c:v>
                </c:pt>
                <c:pt idx="168">
                  <c:v>16.960031496834333</c:v>
                </c:pt>
                <c:pt idx="169">
                  <c:v>16.960031496834333</c:v>
                </c:pt>
                <c:pt idx="170">
                  <c:v>16.960031496834333</c:v>
                </c:pt>
                <c:pt idx="171">
                  <c:v>16.960031496834333</c:v>
                </c:pt>
                <c:pt idx="172">
                  <c:v>16.960031496834333</c:v>
                </c:pt>
                <c:pt idx="173">
                  <c:v>16.960031496834333</c:v>
                </c:pt>
                <c:pt idx="174">
                  <c:v>16.960031496834333</c:v>
                </c:pt>
                <c:pt idx="175">
                  <c:v>16.960031496834333</c:v>
                </c:pt>
                <c:pt idx="176">
                  <c:v>16.960031496834333</c:v>
                </c:pt>
                <c:pt idx="177">
                  <c:v>16.960031496834333</c:v>
                </c:pt>
                <c:pt idx="178">
                  <c:v>16.960031496834333</c:v>
                </c:pt>
                <c:pt idx="179">
                  <c:v>16.960031496834333</c:v>
                </c:pt>
                <c:pt idx="180">
                  <c:v>16.960031496834333</c:v>
                </c:pt>
                <c:pt idx="181">
                  <c:v>16.960031496834333</c:v>
                </c:pt>
                <c:pt idx="182">
                  <c:v>16.960031496834333</c:v>
                </c:pt>
                <c:pt idx="183">
                  <c:v>16.960031496834333</c:v>
                </c:pt>
                <c:pt idx="184">
                  <c:v>16.960031496834333</c:v>
                </c:pt>
                <c:pt idx="185">
                  <c:v>16.960031496834333</c:v>
                </c:pt>
                <c:pt idx="186">
                  <c:v>16.960031496834333</c:v>
                </c:pt>
                <c:pt idx="187">
                  <c:v>16.960031496834333</c:v>
                </c:pt>
                <c:pt idx="188">
                  <c:v>16.960031496834333</c:v>
                </c:pt>
                <c:pt idx="189">
                  <c:v>16.960031496834333</c:v>
                </c:pt>
                <c:pt idx="190">
                  <c:v>16.960031496834333</c:v>
                </c:pt>
                <c:pt idx="191">
                  <c:v>16.960031496834333</c:v>
                </c:pt>
                <c:pt idx="192">
                  <c:v>16.960031496834333</c:v>
                </c:pt>
                <c:pt idx="193">
                  <c:v>16.960031496834333</c:v>
                </c:pt>
                <c:pt idx="194">
                  <c:v>16.960031496834333</c:v>
                </c:pt>
                <c:pt idx="195">
                  <c:v>16.960031496834333</c:v>
                </c:pt>
                <c:pt idx="196">
                  <c:v>16.960031496834333</c:v>
                </c:pt>
                <c:pt idx="197">
                  <c:v>16.960031496834333</c:v>
                </c:pt>
                <c:pt idx="198">
                  <c:v>16.960031496834333</c:v>
                </c:pt>
                <c:pt idx="199">
                  <c:v>16.960031496834333</c:v>
                </c:pt>
                <c:pt idx="200">
                  <c:v>16.960031496834333</c:v>
                </c:pt>
                <c:pt idx="201">
                  <c:v>16.960031496834333</c:v>
                </c:pt>
                <c:pt idx="202">
                  <c:v>16.960031496834333</c:v>
                </c:pt>
                <c:pt idx="203">
                  <c:v>16.960031496834333</c:v>
                </c:pt>
                <c:pt idx="204">
                  <c:v>16.960031496834333</c:v>
                </c:pt>
                <c:pt idx="205">
                  <c:v>16.960031496834333</c:v>
                </c:pt>
                <c:pt idx="206">
                  <c:v>16.960031496834333</c:v>
                </c:pt>
                <c:pt idx="207">
                  <c:v>16.960031496834333</c:v>
                </c:pt>
                <c:pt idx="208">
                  <c:v>16.960031496834333</c:v>
                </c:pt>
                <c:pt idx="209">
                  <c:v>16.960031496834333</c:v>
                </c:pt>
                <c:pt idx="210">
                  <c:v>16.960031496834333</c:v>
                </c:pt>
                <c:pt idx="211">
                  <c:v>16.960031496834333</c:v>
                </c:pt>
                <c:pt idx="212">
                  <c:v>16.960031496834333</c:v>
                </c:pt>
                <c:pt idx="213">
                  <c:v>16.960031496834333</c:v>
                </c:pt>
                <c:pt idx="214">
                  <c:v>16.960031496834333</c:v>
                </c:pt>
                <c:pt idx="215">
                  <c:v>16.960031496834333</c:v>
                </c:pt>
                <c:pt idx="216">
                  <c:v>16.960031496834333</c:v>
                </c:pt>
                <c:pt idx="217">
                  <c:v>16.960031496834333</c:v>
                </c:pt>
                <c:pt idx="218">
                  <c:v>16.960031496834333</c:v>
                </c:pt>
                <c:pt idx="219">
                  <c:v>16.960031496834333</c:v>
                </c:pt>
                <c:pt idx="220">
                  <c:v>16.960031496834333</c:v>
                </c:pt>
                <c:pt idx="221">
                  <c:v>16.960031496834333</c:v>
                </c:pt>
                <c:pt idx="222">
                  <c:v>16.960031496834333</c:v>
                </c:pt>
                <c:pt idx="223">
                  <c:v>16.960031496834333</c:v>
                </c:pt>
                <c:pt idx="224">
                  <c:v>16.960031496834333</c:v>
                </c:pt>
                <c:pt idx="225">
                  <c:v>16.960031496834333</c:v>
                </c:pt>
                <c:pt idx="226">
                  <c:v>16.960031496834333</c:v>
                </c:pt>
                <c:pt idx="227">
                  <c:v>16.960031496834333</c:v>
                </c:pt>
                <c:pt idx="228">
                  <c:v>16.960031496834333</c:v>
                </c:pt>
                <c:pt idx="229">
                  <c:v>16.960031496834333</c:v>
                </c:pt>
                <c:pt idx="230">
                  <c:v>16.960031496834333</c:v>
                </c:pt>
                <c:pt idx="231">
                  <c:v>16.960031496834333</c:v>
                </c:pt>
                <c:pt idx="232">
                  <c:v>16.960031496834333</c:v>
                </c:pt>
                <c:pt idx="233">
                  <c:v>16.960031496834333</c:v>
                </c:pt>
                <c:pt idx="234">
                  <c:v>16.960031496834333</c:v>
                </c:pt>
                <c:pt idx="235">
                  <c:v>16.960031496834333</c:v>
                </c:pt>
                <c:pt idx="236">
                  <c:v>16.960031496834333</c:v>
                </c:pt>
                <c:pt idx="237">
                  <c:v>16.960031496834333</c:v>
                </c:pt>
                <c:pt idx="238">
                  <c:v>16.960031496834333</c:v>
                </c:pt>
                <c:pt idx="239">
                  <c:v>16.960031496834333</c:v>
                </c:pt>
                <c:pt idx="240">
                  <c:v>16.960031496834333</c:v>
                </c:pt>
                <c:pt idx="241">
                  <c:v>16.960031496834333</c:v>
                </c:pt>
                <c:pt idx="242">
                  <c:v>16.960031496834333</c:v>
                </c:pt>
                <c:pt idx="243">
                  <c:v>16.960031496834333</c:v>
                </c:pt>
                <c:pt idx="244">
                  <c:v>16.960031496834333</c:v>
                </c:pt>
                <c:pt idx="245">
                  <c:v>16.960031496834333</c:v>
                </c:pt>
                <c:pt idx="246">
                  <c:v>16.960031496834333</c:v>
                </c:pt>
                <c:pt idx="247">
                  <c:v>16.960031496834333</c:v>
                </c:pt>
                <c:pt idx="248">
                  <c:v>16.960031496834333</c:v>
                </c:pt>
                <c:pt idx="249">
                  <c:v>16.960031496834333</c:v>
                </c:pt>
                <c:pt idx="250">
                  <c:v>16.960031496834333</c:v>
                </c:pt>
                <c:pt idx="251">
                  <c:v>16.960031496834333</c:v>
                </c:pt>
                <c:pt idx="252">
                  <c:v>16.960031496834333</c:v>
                </c:pt>
                <c:pt idx="253">
                  <c:v>16.960031496834333</c:v>
                </c:pt>
                <c:pt idx="254">
                  <c:v>16.960031496834333</c:v>
                </c:pt>
                <c:pt idx="255">
                  <c:v>16.960031496834333</c:v>
                </c:pt>
                <c:pt idx="256">
                  <c:v>16.960031496834333</c:v>
                </c:pt>
                <c:pt idx="257">
                  <c:v>16.960031496834333</c:v>
                </c:pt>
                <c:pt idx="258">
                  <c:v>16.960031496834333</c:v>
                </c:pt>
                <c:pt idx="259">
                  <c:v>16.960031496834333</c:v>
                </c:pt>
                <c:pt idx="260">
                  <c:v>16.960031496834333</c:v>
                </c:pt>
                <c:pt idx="261">
                  <c:v>16.960031496834333</c:v>
                </c:pt>
                <c:pt idx="262">
                  <c:v>16.960031496834333</c:v>
                </c:pt>
                <c:pt idx="263">
                  <c:v>16.960031496834333</c:v>
                </c:pt>
                <c:pt idx="264">
                  <c:v>16.960031496834333</c:v>
                </c:pt>
                <c:pt idx="265">
                  <c:v>16.960031496834333</c:v>
                </c:pt>
                <c:pt idx="266">
                  <c:v>16.960031496834333</c:v>
                </c:pt>
                <c:pt idx="267">
                  <c:v>16.960031496834333</c:v>
                </c:pt>
                <c:pt idx="268">
                  <c:v>16.960031496834333</c:v>
                </c:pt>
                <c:pt idx="269">
                  <c:v>16.960031496834333</c:v>
                </c:pt>
                <c:pt idx="270">
                  <c:v>16.960031496834333</c:v>
                </c:pt>
                <c:pt idx="271">
                  <c:v>16.960031496834333</c:v>
                </c:pt>
                <c:pt idx="272">
                  <c:v>16.960031496834333</c:v>
                </c:pt>
                <c:pt idx="273">
                  <c:v>16.960031496834333</c:v>
                </c:pt>
                <c:pt idx="274">
                  <c:v>16.960031496834333</c:v>
                </c:pt>
                <c:pt idx="275">
                  <c:v>16.960031496834333</c:v>
                </c:pt>
                <c:pt idx="276">
                  <c:v>16.960031496834333</c:v>
                </c:pt>
                <c:pt idx="277">
                  <c:v>16.960031496834333</c:v>
                </c:pt>
                <c:pt idx="278">
                  <c:v>16.960031496834333</c:v>
                </c:pt>
                <c:pt idx="279">
                  <c:v>16.960031496834333</c:v>
                </c:pt>
                <c:pt idx="280">
                  <c:v>16.960031496834333</c:v>
                </c:pt>
                <c:pt idx="281">
                  <c:v>16.960031496834333</c:v>
                </c:pt>
                <c:pt idx="282">
                  <c:v>16.960031496834333</c:v>
                </c:pt>
                <c:pt idx="283">
                  <c:v>16.960031496834333</c:v>
                </c:pt>
                <c:pt idx="284">
                  <c:v>16.960031496834333</c:v>
                </c:pt>
                <c:pt idx="285">
                  <c:v>16.960031496834333</c:v>
                </c:pt>
                <c:pt idx="286">
                  <c:v>16.960031496834333</c:v>
                </c:pt>
                <c:pt idx="287">
                  <c:v>16.960031496834333</c:v>
                </c:pt>
                <c:pt idx="288">
                  <c:v>16.960031496834333</c:v>
                </c:pt>
                <c:pt idx="289">
                  <c:v>16.960031496834333</c:v>
                </c:pt>
                <c:pt idx="290">
                  <c:v>16.960031496834333</c:v>
                </c:pt>
                <c:pt idx="291">
                  <c:v>16.960031496834333</c:v>
                </c:pt>
                <c:pt idx="292">
                  <c:v>16.960031496834333</c:v>
                </c:pt>
                <c:pt idx="293">
                  <c:v>16.960031496834333</c:v>
                </c:pt>
                <c:pt idx="294">
                  <c:v>16.960031496834333</c:v>
                </c:pt>
                <c:pt idx="295">
                  <c:v>16.960031496834333</c:v>
                </c:pt>
                <c:pt idx="296">
                  <c:v>16.960031496834333</c:v>
                </c:pt>
                <c:pt idx="297">
                  <c:v>16.960031496834333</c:v>
                </c:pt>
                <c:pt idx="298">
                  <c:v>16.960031496834333</c:v>
                </c:pt>
                <c:pt idx="299">
                  <c:v>16.960031496834333</c:v>
                </c:pt>
                <c:pt idx="300">
                  <c:v>16.960031496834333</c:v>
                </c:pt>
                <c:pt idx="301">
                  <c:v>16.960031496834333</c:v>
                </c:pt>
                <c:pt idx="302">
                  <c:v>16.960031496834333</c:v>
                </c:pt>
                <c:pt idx="303">
                  <c:v>16.960031496834333</c:v>
                </c:pt>
                <c:pt idx="304">
                  <c:v>16.960031496834333</c:v>
                </c:pt>
                <c:pt idx="305">
                  <c:v>16.960031496834333</c:v>
                </c:pt>
                <c:pt idx="306">
                  <c:v>16.960031496834333</c:v>
                </c:pt>
                <c:pt idx="307">
                  <c:v>16.960031496834333</c:v>
                </c:pt>
                <c:pt idx="308">
                  <c:v>16.960031496834333</c:v>
                </c:pt>
                <c:pt idx="309">
                  <c:v>16.960031496834333</c:v>
                </c:pt>
                <c:pt idx="310">
                  <c:v>16.960031496834333</c:v>
                </c:pt>
                <c:pt idx="311">
                  <c:v>16.960031496834333</c:v>
                </c:pt>
                <c:pt idx="312">
                  <c:v>16.960031496834333</c:v>
                </c:pt>
                <c:pt idx="313">
                  <c:v>16.960031496834333</c:v>
                </c:pt>
                <c:pt idx="314">
                  <c:v>16.960031496834333</c:v>
                </c:pt>
                <c:pt idx="315">
                  <c:v>16.960031496834333</c:v>
                </c:pt>
                <c:pt idx="316">
                  <c:v>16.960031496834333</c:v>
                </c:pt>
                <c:pt idx="317">
                  <c:v>16.960031496834333</c:v>
                </c:pt>
                <c:pt idx="318">
                  <c:v>16.960031496834333</c:v>
                </c:pt>
                <c:pt idx="319">
                  <c:v>16.960031496834333</c:v>
                </c:pt>
                <c:pt idx="320">
                  <c:v>16.960031496834333</c:v>
                </c:pt>
                <c:pt idx="321">
                  <c:v>16.960031496834333</c:v>
                </c:pt>
                <c:pt idx="322">
                  <c:v>16.960031496834333</c:v>
                </c:pt>
                <c:pt idx="323">
                  <c:v>16.960031496834333</c:v>
                </c:pt>
                <c:pt idx="324">
                  <c:v>16.960031496834333</c:v>
                </c:pt>
                <c:pt idx="325">
                  <c:v>16.960031496834333</c:v>
                </c:pt>
                <c:pt idx="326">
                  <c:v>16.960031496834333</c:v>
                </c:pt>
                <c:pt idx="327">
                  <c:v>16.960031496834333</c:v>
                </c:pt>
                <c:pt idx="328">
                  <c:v>16.960031496834333</c:v>
                </c:pt>
                <c:pt idx="329">
                  <c:v>16.960031496834333</c:v>
                </c:pt>
                <c:pt idx="330">
                  <c:v>16.960031496834333</c:v>
                </c:pt>
                <c:pt idx="331">
                  <c:v>16.960031496834333</c:v>
                </c:pt>
                <c:pt idx="332">
                  <c:v>16.960031496834333</c:v>
                </c:pt>
                <c:pt idx="333">
                  <c:v>16.960031496834333</c:v>
                </c:pt>
                <c:pt idx="334">
                  <c:v>16.960031496834333</c:v>
                </c:pt>
                <c:pt idx="335">
                  <c:v>16.960031496834333</c:v>
                </c:pt>
                <c:pt idx="336">
                  <c:v>16.960031496834333</c:v>
                </c:pt>
                <c:pt idx="337">
                  <c:v>16.960031496834333</c:v>
                </c:pt>
                <c:pt idx="338">
                  <c:v>16.960031496834333</c:v>
                </c:pt>
                <c:pt idx="339">
                  <c:v>16.960031496834333</c:v>
                </c:pt>
                <c:pt idx="340">
                  <c:v>16.960031496834333</c:v>
                </c:pt>
                <c:pt idx="341">
                  <c:v>16.960031496834333</c:v>
                </c:pt>
                <c:pt idx="342">
                  <c:v>16.960031496834333</c:v>
                </c:pt>
                <c:pt idx="343">
                  <c:v>16.960031496834333</c:v>
                </c:pt>
                <c:pt idx="344">
                  <c:v>16.960031496834333</c:v>
                </c:pt>
                <c:pt idx="345">
                  <c:v>16.960031496834333</c:v>
                </c:pt>
                <c:pt idx="346">
                  <c:v>16.960031496834333</c:v>
                </c:pt>
                <c:pt idx="347">
                  <c:v>16.960031496834333</c:v>
                </c:pt>
                <c:pt idx="348">
                  <c:v>16.960031496834333</c:v>
                </c:pt>
                <c:pt idx="349">
                  <c:v>16.960031496834333</c:v>
                </c:pt>
                <c:pt idx="350">
                  <c:v>16.960031496834333</c:v>
                </c:pt>
                <c:pt idx="351">
                  <c:v>16.960031496834333</c:v>
                </c:pt>
                <c:pt idx="352">
                  <c:v>16.960031496834333</c:v>
                </c:pt>
                <c:pt idx="353">
                  <c:v>16.960031496834333</c:v>
                </c:pt>
                <c:pt idx="354">
                  <c:v>16.960031496834333</c:v>
                </c:pt>
                <c:pt idx="355">
                  <c:v>16.960031496834333</c:v>
                </c:pt>
                <c:pt idx="356">
                  <c:v>16.960031496834333</c:v>
                </c:pt>
                <c:pt idx="357">
                  <c:v>16.960031496834333</c:v>
                </c:pt>
                <c:pt idx="358">
                  <c:v>16.960031496834333</c:v>
                </c:pt>
                <c:pt idx="359">
                  <c:v>16.960031496834333</c:v>
                </c:pt>
                <c:pt idx="360">
                  <c:v>16.960031496834333</c:v>
                </c:pt>
                <c:pt idx="361">
                  <c:v>16.960031496834333</c:v>
                </c:pt>
                <c:pt idx="362">
                  <c:v>16.960031496834333</c:v>
                </c:pt>
                <c:pt idx="363">
                  <c:v>16.960031496834333</c:v>
                </c:pt>
                <c:pt idx="364">
                  <c:v>16.960031496834333</c:v>
                </c:pt>
                <c:pt idx="365">
                  <c:v>16.960031496834333</c:v>
                </c:pt>
                <c:pt idx="366">
                  <c:v>16.960031496834333</c:v>
                </c:pt>
                <c:pt idx="367">
                  <c:v>16.960031496834333</c:v>
                </c:pt>
                <c:pt idx="368">
                  <c:v>16.960031496834333</c:v>
                </c:pt>
                <c:pt idx="369">
                  <c:v>16.960031496834333</c:v>
                </c:pt>
                <c:pt idx="370">
                  <c:v>16.960031496834333</c:v>
                </c:pt>
                <c:pt idx="371">
                  <c:v>16.960031496834333</c:v>
                </c:pt>
                <c:pt idx="372">
                  <c:v>16.960031496834333</c:v>
                </c:pt>
                <c:pt idx="373">
                  <c:v>16.960031496834333</c:v>
                </c:pt>
                <c:pt idx="374">
                  <c:v>16.960031496834333</c:v>
                </c:pt>
                <c:pt idx="375">
                  <c:v>16.960031496834333</c:v>
                </c:pt>
                <c:pt idx="376">
                  <c:v>16.960031496834333</c:v>
                </c:pt>
                <c:pt idx="377">
                  <c:v>16.960031496834333</c:v>
                </c:pt>
                <c:pt idx="378">
                  <c:v>16.960031496834333</c:v>
                </c:pt>
                <c:pt idx="379">
                  <c:v>16.960031496834333</c:v>
                </c:pt>
                <c:pt idx="380">
                  <c:v>16.960031496834333</c:v>
                </c:pt>
                <c:pt idx="381">
                  <c:v>16.960031496834333</c:v>
                </c:pt>
                <c:pt idx="382">
                  <c:v>16.960031496834333</c:v>
                </c:pt>
                <c:pt idx="383">
                  <c:v>16.960031496834333</c:v>
                </c:pt>
                <c:pt idx="384">
                  <c:v>16.960031496834333</c:v>
                </c:pt>
                <c:pt idx="385">
                  <c:v>16.960031496834333</c:v>
                </c:pt>
                <c:pt idx="386">
                  <c:v>16.960031496834333</c:v>
                </c:pt>
                <c:pt idx="387">
                  <c:v>16.960031496834333</c:v>
                </c:pt>
                <c:pt idx="388">
                  <c:v>16.960031496834333</c:v>
                </c:pt>
                <c:pt idx="389">
                  <c:v>16.960031496834333</c:v>
                </c:pt>
                <c:pt idx="390">
                  <c:v>16.960031496834333</c:v>
                </c:pt>
                <c:pt idx="391">
                  <c:v>16.960031496834333</c:v>
                </c:pt>
                <c:pt idx="392">
                  <c:v>16.960031496834333</c:v>
                </c:pt>
                <c:pt idx="393">
                  <c:v>16.960031496834333</c:v>
                </c:pt>
                <c:pt idx="394">
                  <c:v>16.960031496834333</c:v>
                </c:pt>
                <c:pt idx="395">
                  <c:v>16.960031496834333</c:v>
                </c:pt>
                <c:pt idx="396">
                  <c:v>16.960031496834333</c:v>
                </c:pt>
                <c:pt idx="397">
                  <c:v>16.960031496834333</c:v>
                </c:pt>
                <c:pt idx="398">
                  <c:v>16.960031496834333</c:v>
                </c:pt>
                <c:pt idx="399">
                  <c:v>16.960031496834333</c:v>
                </c:pt>
                <c:pt idx="400">
                  <c:v>16.960031496834333</c:v>
                </c:pt>
                <c:pt idx="401">
                  <c:v>16.960031496834333</c:v>
                </c:pt>
                <c:pt idx="402">
                  <c:v>16.960031496834333</c:v>
                </c:pt>
                <c:pt idx="403">
                  <c:v>16.960031496834333</c:v>
                </c:pt>
                <c:pt idx="404">
                  <c:v>16.960031496834333</c:v>
                </c:pt>
                <c:pt idx="405">
                  <c:v>16.960031496834333</c:v>
                </c:pt>
                <c:pt idx="406">
                  <c:v>16.960031496834333</c:v>
                </c:pt>
                <c:pt idx="407">
                  <c:v>16.960031496834333</c:v>
                </c:pt>
                <c:pt idx="408">
                  <c:v>16.960031496834333</c:v>
                </c:pt>
                <c:pt idx="409">
                  <c:v>16.960031496834333</c:v>
                </c:pt>
                <c:pt idx="410">
                  <c:v>16.960031496834333</c:v>
                </c:pt>
                <c:pt idx="411">
                  <c:v>16.960031496834333</c:v>
                </c:pt>
                <c:pt idx="412">
                  <c:v>16.960031496834333</c:v>
                </c:pt>
                <c:pt idx="413">
                  <c:v>16.960031496834333</c:v>
                </c:pt>
                <c:pt idx="414">
                  <c:v>16.960031496834333</c:v>
                </c:pt>
                <c:pt idx="415">
                  <c:v>16.960031496834333</c:v>
                </c:pt>
                <c:pt idx="416">
                  <c:v>16.960031496834333</c:v>
                </c:pt>
                <c:pt idx="417">
                  <c:v>16.960031496834333</c:v>
                </c:pt>
                <c:pt idx="418">
                  <c:v>16.960031496834333</c:v>
                </c:pt>
                <c:pt idx="419">
                  <c:v>16.960031496834333</c:v>
                </c:pt>
                <c:pt idx="420">
                  <c:v>16.960031496834333</c:v>
                </c:pt>
                <c:pt idx="421">
                  <c:v>16.960031496834333</c:v>
                </c:pt>
                <c:pt idx="422">
                  <c:v>16.960031496834333</c:v>
                </c:pt>
                <c:pt idx="423">
                  <c:v>16.960031496834333</c:v>
                </c:pt>
                <c:pt idx="424">
                  <c:v>16.960031496834333</c:v>
                </c:pt>
                <c:pt idx="425">
                  <c:v>16.960031496834333</c:v>
                </c:pt>
                <c:pt idx="426">
                  <c:v>16.960031496834333</c:v>
                </c:pt>
                <c:pt idx="427">
                  <c:v>16.960031496834333</c:v>
                </c:pt>
                <c:pt idx="428">
                  <c:v>16.960031496834333</c:v>
                </c:pt>
                <c:pt idx="429">
                  <c:v>16.960031496834333</c:v>
                </c:pt>
                <c:pt idx="430">
                  <c:v>16.960031496834333</c:v>
                </c:pt>
                <c:pt idx="431">
                  <c:v>16.960031496834333</c:v>
                </c:pt>
                <c:pt idx="432">
                  <c:v>16.960031496834333</c:v>
                </c:pt>
                <c:pt idx="433">
                  <c:v>16.960031496834333</c:v>
                </c:pt>
                <c:pt idx="434">
                  <c:v>16.960031496834333</c:v>
                </c:pt>
                <c:pt idx="435">
                  <c:v>16.960031496834333</c:v>
                </c:pt>
                <c:pt idx="436">
                  <c:v>16.960031496834333</c:v>
                </c:pt>
                <c:pt idx="437">
                  <c:v>16.960031496834333</c:v>
                </c:pt>
                <c:pt idx="438">
                  <c:v>16.960031496834333</c:v>
                </c:pt>
                <c:pt idx="439">
                  <c:v>16.960031496834333</c:v>
                </c:pt>
                <c:pt idx="440">
                  <c:v>16.960031496834333</c:v>
                </c:pt>
                <c:pt idx="441">
                  <c:v>16.960031496834333</c:v>
                </c:pt>
                <c:pt idx="442">
                  <c:v>16.960031496834333</c:v>
                </c:pt>
                <c:pt idx="443">
                  <c:v>16.960031496834333</c:v>
                </c:pt>
                <c:pt idx="444">
                  <c:v>16.960031496834333</c:v>
                </c:pt>
                <c:pt idx="445">
                  <c:v>16.960031496834333</c:v>
                </c:pt>
                <c:pt idx="446">
                  <c:v>16.960031496834333</c:v>
                </c:pt>
                <c:pt idx="447">
                  <c:v>16.960031496834333</c:v>
                </c:pt>
                <c:pt idx="448">
                  <c:v>16.960031496834333</c:v>
                </c:pt>
                <c:pt idx="449">
                  <c:v>16.960031496834333</c:v>
                </c:pt>
                <c:pt idx="450">
                  <c:v>16.960031496834333</c:v>
                </c:pt>
                <c:pt idx="451">
                  <c:v>16.960031496834333</c:v>
                </c:pt>
                <c:pt idx="452">
                  <c:v>16.960031496834333</c:v>
                </c:pt>
                <c:pt idx="453">
                  <c:v>16.960031496834333</c:v>
                </c:pt>
                <c:pt idx="454">
                  <c:v>16.960031496834333</c:v>
                </c:pt>
                <c:pt idx="455">
                  <c:v>16.960031496834333</c:v>
                </c:pt>
                <c:pt idx="456">
                  <c:v>16.960031496834333</c:v>
                </c:pt>
                <c:pt idx="457">
                  <c:v>16.960031496834333</c:v>
                </c:pt>
                <c:pt idx="458">
                  <c:v>16.960031496834333</c:v>
                </c:pt>
                <c:pt idx="459">
                  <c:v>16.960031496834333</c:v>
                </c:pt>
                <c:pt idx="460">
                  <c:v>16.960031496834333</c:v>
                </c:pt>
                <c:pt idx="461">
                  <c:v>16.960031496834333</c:v>
                </c:pt>
                <c:pt idx="462">
                  <c:v>16.960031496834333</c:v>
                </c:pt>
                <c:pt idx="463">
                  <c:v>16.960031496834333</c:v>
                </c:pt>
                <c:pt idx="464">
                  <c:v>16.960031496834333</c:v>
                </c:pt>
                <c:pt idx="465">
                  <c:v>16.960031496834333</c:v>
                </c:pt>
                <c:pt idx="466">
                  <c:v>16.960031496834333</c:v>
                </c:pt>
                <c:pt idx="467">
                  <c:v>16.960031496834333</c:v>
                </c:pt>
                <c:pt idx="468">
                  <c:v>16.960031496834333</c:v>
                </c:pt>
                <c:pt idx="469">
                  <c:v>16.960031496834333</c:v>
                </c:pt>
                <c:pt idx="470">
                  <c:v>16.960031496834333</c:v>
                </c:pt>
                <c:pt idx="471">
                  <c:v>16.960031496834333</c:v>
                </c:pt>
                <c:pt idx="472">
                  <c:v>16.960031496834333</c:v>
                </c:pt>
                <c:pt idx="473">
                  <c:v>16.960031496834333</c:v>
                </c:pt>
                <c:pt idx="474">
                  <c:v>16.960031496834333</c:v>
                </c:pt>
                <c:pt idx="475">
                  <c:v>16.960031496834333</c:v>
                </c:pt>
                <c:pt idx="476">
                  <c:v>16.960031496834333</c:v>
                </c:pt>
                <c:pt idx="477">
                  <c:v>16.960031496834333</c:v>
                </c:pt>
                <c:pt idx="478">
                  <c:v>16.960031496834333</c:v>
                </c:pt>
                <c:pt idx="479">
                  <c:v>16.960031496834333</c:v>
                </c:pt>
                <c:pt idx="480">
                  <c:v>16.960031496834333</c:v>
                </c:pt>
                <c:pt idx="481">
                  <c:v>16.960031496834333</c:v>
                </c:pt>
                <c:pt idx="482">
                  <c:v>16.960031496834333</c:v>
                </c:pt>
                <c:pt idx="483">
                  <c:v>16.960031496834333</c:v>
                </c:pt>
                <c:pt idx="484">
                  <c:v>16.960031496834333</c:v>
                </c:pt>
                <c:pt idx="485">
                  <c:v>16.960031496834333</c:v>
                </c:pt>
                <c:pt idx="486">
                  <c:v>16.960031496834333</c:v>
                </c:pt>
                <c:pt idx="487">
                  <c:v>16.960031496834333</c:v>
                </c:pt>
                <c:pt idx="488">
                  <c:v>16.960031496834333</c:v>
                </c:pt>
                <c:pt idx="489">
                  <c:v>16.960031496834333</c:v>
                </c:pt>
                <c:pt idx="490">
                  <c:v>16.960031496834333</c:v>
                </c:pt>
                <c:pt idx="491">
                  <c:v>16.960031496834333</c:v>
                </c:pt>
                <c:pt idx="492">
                  <c:v>16.960031496834333</c:v>
                </c:pt>
                <c:pt idx="493">
                  <c:v>16.960031496834333</c:v>
                </c:pt>
                <c:pt idx="494">
                  <c:v>16.960031496834333</c:v>
                </c:pt>
                <c:pt idx="495">
                  <c:v>16.960031496834333</c:v>
                </c:pt>
                <c:pt idx="496">
                  <c:v>16.960031496834333</c:v>
                </c:pt>
                <c:pt idx="497">
                  <c:v>16.960031496834333</c:v>
                </c:pt>
                <c:pt idx="498">
                  <c:v>16.960031496834333</c:v>
                </c:pt>
                <c:pt idx="499">
                  <c:v>16.960031496834333</c:v>
                </c:pt>
                <c:pt idx="500">
                  <c:v>16.960031496834333</c:v>
                </c:pt>
                <c:pt idx="501">
                  <c:v>16.960031496834333</c:v>
                </c:pt>
                <c:pt idx="502">
                  <c:v>16.960031496834333</c:v>
                </c:pt>
                <c:pt idx="503">
                  <c:v>16.960031496834333</c:v>
                </c:pt>
                <c:pt idx="504">
                  <c:v>16.960031496834333</c:v>
                </c:pt>
                <c:pt idx="505">
                  <c:v>16.960031496834333</c:v>
                </c:pt>
                <c:pt idx="506">
                  <c:v>16.960031496834333</c:v>
                </c:pt>
                <c:pt idx="507">
                  <c:v>16.960031496834333</c:v>
                </c:pt>
                <c:pt idx="508">
                  <c:v>16.960031496834333</c:v>
                </c:pt>
                <c:pt idx="509">
                  <c:v>16.960031496834333</c:v>
                </c:pt>
                <c:pt idx="510">
                  <c:v>16.960031496834333</c:v>
                </c:pt>
                <c:pt idx="511">
                  <c:v>16.960031496834333</c:v>
                </c:pt>
                <c:pt idx="512">
                  <c:v>16.960031496834333</c:v>
                </c:pt>
                <c:pt idx="513">
                  <c:v>16.960031496834333</c:v>
                </c:pt>
                <c:pt idx="514">
                  <c:v>16.960031496834333</c:v>
                </c:pt>
                <c:pt idx="515">
                  <c:v>16.960031496834333</c:v>
                </c:pt>
                <c:pt idx="516">
                  <c:v>16.960031496834333</c:v>
                </c:pt>
                <c:pt idx="517">
                  <c:v>16.960031496834333</c:v>
                </c:pt>
                <c:pt idx="518">
                  <c:v>16.960031496834333</c:v>
                </c:pt>
                <c:pt idx="519">
                  <c:v>16.960031496834333</c:v>
                </c:pt>
                <c:pt idx="520">
                  <c:v>16.960031496834333</c:v>
                </c:pt>
                <c:pt idx="521">
                  <c:v>16.960031496834333</c:v>
                </c:pt>
                <c:pt idx="522">
                  <c:v>16.960031496834333</c:v>
                </c:pt>
                <c:pt idx="523">
                  <c:v>16.960031496834333</c:v>
                </c:pt>
                <c:pt idx="524">
                  <c:v>16.960031496834333</c:v>
                </c:pt>
                <c:pt idx="525">
                  <c:v>16.960031496834333</c:v>
                </c:pt>
                <c:pt idx="526">
                  <c:v>16.960031496834333</c:v>
                </c:pt>
                <c:pt idx="527">
                  <c:v>16.960031496834333</c:v>
                </c:pt>
                <c:pt idx="528">
                  <c:v>16.960031496834333</c:v>
                </c:pt>
                <c:pt idx="529">
                  <c:v>16.960031496834333</c:v>
                </c:pt>
                <c:pt idx="530">
                  <c:v>16.960031496834333</c:v>
                </c:pt>
                <c:pt idx="531">
                  <c:v>16.960031496834333</c:v>
                </c:pt>
                <c:pt idx="532">
                  <c:v>16.960031496834333</c:v>
                </c:pt>
                <c:pt idx="533">
                  <c:v>16.960031496834333</c:v>
                </c:pt>
                <c:pt idx="534">
                  <c:v>16.960031496834333</c:v>
                </c:pt>
                <c:pt idx="535">
                  <c:v>16.960031496834333</c:v>
                </c:pt>
                <c:pt idx="536">
                  <c:v>16.960031496834333</c:v>
                </c:pt>
                <c:pt idx="537">
                  <c:v>16.960031496834333</c:v>
                </c:pt>
                <c:pt idx="538">
                  <c:v>16.960031496834333</c:v>
                </c:pt>
                <c:pt idx="539">
                  <c:v>16.960031496834333</c:v>
                </c:pt>
                <c:pt idx="540">
                  <c:v>16.960031496834333</c:v>
                </c:pt>
                <c:pt idx="541">
                  <c:v>16.960031496834333</c:v>
                </c:pt>
                <c:pt idx="542">
                  <c:v>16.960031496834333</c:v>
                </c:pt>
                <c:pt idx="543">
                  <c:v>16.960031496834333</c:v>
                </c:pt>
                <c:pt idx="544">
                  <c:v>16.960031496834333</c:v>
                </c:pt>
                <c:pt idx="545">
                  <c:v>16.960031496834333</c:v>
                </c:pt>
                <c:pt idx="546">
                  <c:v>16.960031496834333</c:v>
                </c:pt>
                <c:pt idx="547">
                  <c:v>16.960031496834333</c:v>
                </c:pt>
                <c:pt idx="548">
                  <c:v>16.960031496834333</c:v>
                </c:pt>
                <c:pt idx="549">
                  <c:v>16.960031496834333</c:v>
                </c:pt>
                <c:pt idx="550">
                  <c:v>16.960031496834333</c:v>
                </c:pt>
                <c:pt idx="551">
                  <c:v>16.960031496834333</c:v>
                </c:pt>
                <c:pt idx="552">
                  <c:v>16.960031496834333</c:v>
                </c:pt>
                <c:pt idx="553">
                  <c:v>16.960031496834333</c:v>
                </c:pt>
                <c:pt idx="554">
                  <c:v>16.960031496834333</c:v>
                </c:pt>
                <c:pt idx="555">
                  <c:v>16.960031496834333</c:v>
                </c:pt>
                <c:pt idx="556">
                  <c:v>16.960031496834333</c:v>
                </c:pt>
                <c:pt idx="557">
                  <c:v>16.960031496834333</c:v>
                </c:pt>
                <c:pt idx="558">
                  <c:v>16.960031496834333</c:v>
                </c:pt>
                <c:pt idx="559">
                  <c:v>16.960031496834333</c:v>
                </c:pt>
                <c:pt idx="560">
                  <c:v>16.960031496834333</c:v>
                </c:pt>
                <c:pt idx="561">
                  <c:v>16.960031496834333</c:v>
                </c:pt>
                <c:pt idx="562">
                  <c:v>16.960031496834333</c:v>
                </c:pt>
                <c:pt idx="563">
                  <c:v>16.960031496834333</c:v>
                </c:pt>
                <c:pt idx="564">
                  <c:v>16.960031496834333</c:v>
                </c:pt>
                <c:pt idx="565">
                  <c:v>16.960031496834333</c:v>
                </c:pt>
                <c:pt idx="566">
                  <c:v>16.960031496834333</c:v>
                </c:pt>
                <c:pt idx="567">
                  <c:v>16.960031496834333</c:v>
                </c:pt>
                <c:pt idx="568">
                  <c:v>16.960031496834333</c:v>
                </c:pt>
                <c:pt idx="569">
                  <c:v>16.960031496834333</c:v>
                </c:pt>
                <c:pt idx="570">
                  <c:v>16.960031496834333</c:v>
                </c:pt>
                <c:pt idx="571">
                  <c:v>16.960031496834333</c:v>
                </c:pt>
                <c:pt idx="572">
                  <c:v>16.960031496834333</c:v>
                </c:pt>
                <c:pt idx="573">
                  <c:v>16.960031496834333</c:v>
                </c:pt>
                <c:pt idx="574">
                  <c:v>16.960031496834333</c:v>
                </c:pt>
                <c:pt idx="575">
                  <c:v>16.960031496834333</c:v>
                </c:pt>
                <c:pt idx="576">
                  <c:v>16.960031496834333</c:v>
                </c:pt>
                <c:pt idx="577">
                  <c:v>16.960031496834333</c:v>
                </c:pt>
                <c:pt idx="578">
                  <c:v>16.960031496834333</c:v>
                </c:pt>
                <c:pt idx="579">
                  <c:v>16.960031496834333</c:v>
                </c:pt>
                <c:pt idx="580">
                  <c:v>16.960031496834333</c:v>
                </c:pt>
                <c:pt idx="581">
                  <c:v>16.960031496834333</c:v>
                </c:pt>
                <c:pt idx="582">
                  <c:v>16.960031496834333</c:v>
                </c:pt>
                <c:pt idx="583">
                  <c:v>16.960031496834333</c:v>
                </c:pt>
                <c:pt idx="584">
                  <c:v>16.960031496834333</c:v>
                </c:pt>
                <c:pt idx="585">
                  <c:v>16.960031496834333</c:v>
                </c:pt>
                <c:pt idx="586">
                  <c:v>16.960031496834333</c:v>
                </c:pt>
                <c:pt idx="587">
                  <c:v>16.960031496834333</c:v>
                </c:pt>
                <c:pt idx="588">
                  <c:v>16.960031496834333</c:v>
                </c:pt>
                <c:pt idx="589">
                  <c:v>16.960031496834333</c:v>
                </c:pt>
                <c:pt idx="590">
                  <c:v>16.960031496834333</c:v>
                </c:pt>
                <c:pt idx="591">
                  <c:v>16.960031496834333</c:v>
                </c:pt>
                <c:pt idx="592">
                  <c:v>16.960031496834333</c:v>
                </c:pt>
                <c:pt idx="593">
                  <c:v>16.960031496834333</c:v>
                </c:pt>
                <c:pt idx="594">
                  <c:v>16.960031496834333</c:v>
                </c:pt>
                <c:pt idx="595">
                  <c:v>16.960031496834333</c:v>
                </c:pt>
                <c:pt idx="596">
                  <c:v>16.960031496834333</c:v>
                </c:pt>
                <c:pt idx="597">
                  <c:v>16.960031496834333</c:v>
                </c:pt>
                <c:pt idx="598">
                  <c:v>16.960031496834333</c:v>
                </c:pt>
                <c:pt idx="599">
                  <c:v>16.960031496834333</c:v>
                </c:pt>
                <c:pt idx="600">
                  <c:v>16.960031496834333</c:v>
                </c:pt>
                <c:pt idx="601">
                  <c:v>16.960031496834333</c:v>
                </c:pt>
                <c:pt idx="602">
                  <c:v>16.960031496834333</c:v>
                </c:pt>
                <c:pt idx="603">
                  <c:v>16.960031496834333</c:v>
                </c:pt>
                <c:pt idx="604">
                  <c:v>16.960031496834333</c:v>
                </c:pt>
                <c:pt idx="605">
                  <c:v>16.960031496834333</c:v>
                </c:pt>
                <c:pt idx="606">
                  <c:v>16.960031496834333</c:v>
                </c:pt>
                <c:pt idx="607">
                  <c:v>16.960031496834333</c:v>
                </c:pt>
                <c:pt idx="608">
                  <c:v>16.960031496834333</c:v>
                </c:pt>
                <c:pt idx="609">
                  <c:v>16.960031496834333</c:v>
                </c:pt>
                <c:pt idx="610">
                  <c:v>16.960031496834333</c:v>
                </c:pt>
                <c:pt idx="611">
                  <c:v>16.960031496834333</c:v>
                </c:pt>
                <c:pt idx="612">
                  <c:v>16.960031496834333</c:v>
                </c:pt>
                <c:pt idx="613">
                  <c:v>16.960031496834333</c:v>
                </c:pt>
                <c:pt idx="614">
                  <c:v>16.960031496834333</c:v>
                </c:pt>
                <c:pt idx="615">
                  <c:v>16.960031496834333</c:v>
                </c:pt>
                <c:pt idx="616">
                  <c:v>16.960031496834333</c:v>
                </c:pt>
                <c:pt idx="617">
                  <c:v>16.960031496834333</c:v>
                </c:pt>
                <c:pt idx="618">
                  <c:v>16.960031496834333</c:v>
                </c:pt>
                <c:pt idx="619">
                  <c:v>16.960031496834333</c:v>
                </c:pt>
                <c:pt idx="620">
                  <c:v>16.960031496834333</c:v>
                </c:pt>
                <c:pt idx="621">
                  <c:v>16.960031496834333</c:v>
                </c:pt>
                <c:pt idx="622">
                  <c:v>16.960031496834333</c:v>
                </c:pt>
                <c:pt idx="623">
                  <c:v>16.960031496834333</c:v>
                </c:pt>
                <c:pt idx="624">
                  <c:v>16.960031496834333</c:v>
                </c:pt>
                <c:pt idx="625">
                  <c:v>16.960031496834333</c:v>
                </c:pt>
                <c:pt idx="626">
                  <c:v>16.960031496834333</c:v>
                </c:pt>
                <c:pt idx="627">
                  <c:v>16.960031496834333</c:v>
                </c:pt>
                <c:pt idx="628">
                  <c:v>16.960031496834333</c:v>
                </c:pt>
                <c:pt idx="629">
                  <c:v>16.960031496834333</c:v>
                </c:pt>
                <c:pt idx="630">
                  <c:v>16.960031496834333</c:v>
                </c:pt>
                <c:pt idx="631">
                  <c:v>16.960031496834333</c:v>
                </c:pt>
                <c:pt idx="632">
                  <c:v>16.960031496834333</c:v>
                </c:pt>
                <c:pt idx="633">
                  <c:v>16.960031496834333</c:v>
                </c:pt>
                <c:pt idx="634">
                  <c:v>16.960031496834333</c:v>
                </c:pt>
                <c:pt idx="635">
                  <c:v>16.960031496834333</c:v>
                </c:pt>
                <c:pt idx="636">
                  <c:v>16.960031496834333</c:v>
                </c:pt>
                <c:pt idx="637">
                  <c:v>16.960031496834333</c:v>
                </c:pt>
                <c:pt idx="638">
                  <c:v>16.960031496834333</c:v>
                </c:pt>
                <c:pt idx="639">
                  <c:v>16.960031496834333</c:v>
                </c:pt>
                <c:pt idx="640">
                  <c:v>16.960031496834333</c:v>
                </c:pt>
                <c:pt idx="641">
                  <c:v>16.960031496834333</c:v>
                </c:pt>
                <c:pt idx="642">
                  <c:v>16.960031496834333</c:v>
                </c:pt>
                <c:pt idx="643">
                  <c:v>16.960031496834333</c:v>
                </c:pt>
                <c:pt idx="644">
                  <c:v>16.960031496834333</c:v>
                </c:pt>
                <c:pt idx="645">
                  <c:v>16.960031496834333</c:v>
                </c:pt>
                <c:pt idx="646">
                  <c:v>16.960031496834333</c:v>
                </c:pt>
                <c:pt idx="647">
                  <c:v>16.960031496834333</c:v>
                </c:pt>
                <c:pt idx="648">
                  <c:v>16.960031496834333</c:v>
                </c:pt>
                <c:pt idx="649">
                  <c:v>16.960031496834333</c:v>
                </c:pt>
                <c:pt idx="650">
                  <c:v>16.960031496834333</c:v>
                </c:pt>
                <c:pt idx="651">
                  <c:v>16.960031496834333</c:v>
                </c:pt>
                <c:pt idx="652">
                  <c:v>16.960031496834333</c:v>
                </c:pt>
                <c:pt idx="653">
                  <c:v>16.960031496834333</c:v>
                </c:pt>
                <c:pt idx="654">
                  <c:v>16.960031496834333</c:v>
                </c:pt>
                <c:pt idx="655">
                  <c:v>16.960031496834333</c:v>
                </c:pt>
                <c:pt idx="656">
                  <c:v>16.960031496834333</c:v>
                </c:pt>
                <c:pt idx="657">
                  <c:v>16.960031496834333</c:v>
                </c:pt>
                <c:pt idx="658">
                  <c:v>16.960031496834333</c:v>
                </c:pt>
                <c:pt idx="659">
                  <c:v>16.960031496834333</c:v>
                </c:pt>
                <c:pt idx="660">
                  <c:v>16.960031496834333</c:v>
                </c:pt>
                <c:pt idx="661">
                  <c:v>16.960031496834333</c:v>
                </c:pt>
                <c:pt idx="662">
                  <c:v>16.960031496834333</c:v>
                </c:pt>
                <c:pt idx="663">
                  <c:v>16.960031496834333</c:v>
                </c:pt>
                <c:pt idx="664">
                  <c:v>16.960031496834333</c:v>
                </c:pt>
                <c:pt idx="665">
                  <c:v>16.960031496834333</c:v>
                </c:pt>
                <c:pt idx="666">
                  <c:v>16.960031496834333</c:v>
                </c:pt>
                <c:pt idx="667">
                  <c:v>16.960031496834333</c:v>
                </c:pt>
                <c:pt idx="668">
                  <c:v>16.960031496834333</c:v>
                </c:pt>
                <c:pt idx="669">
                  <c:v>16.960031496834333</c:v>
                </c:pt>
                <c:pt idx="670">
                  <c:v>16.960031496834333</c:v>
                </c:pt>
                <c:pt idx="671">
                  <c:v>16.960031496834333</c:v>
                </c:pt>
                <c:pt idx="672">
                  <c:v>16.960031496834333</c:v>
                </c:pt>
                <c:pt idx="673">
                  <c:v>16.960031496834333</c:v>
                </c:pt>
                <c:pt idx="674">
                  <c:v>16.960031496834333</c:v>
                </c:pt>
                <c:pt idx="675">
                  <c:v>16.960031496834333</c:v>
                </c:pt>
                <c:pt idx="676">
                  <c:v>16.960031496834333</c:v>
                </c:pt>
                <c:pt idx="677">
                  <c:v>16.960031496834333</c:v>
                </c:pt>
                <c:pt idx="678">
                  <c:v>16.960031496834333</c:v>
                </c:pt>
                <c:pt idx="679">
                  <c:v>16.960031496834333</c:v>
                </c:pt>
                <c:pt idx="680">
                  <c:v>16.960031496834333</c:v>
                </c:pt>
                <c:pt idx="681">
                  <c:v>16.960031496834333</c:v>
                </c:pt>
                <c:pt idx="682">
                  <c:v>16.960031496834333</c:v>
                </c:pt>
                <c:pt idx="683">
                  <c:v>16.960031496834333</c:v>
                </c:pt>
                <c:pt idx="684">
                  <c:v>16.960031496834333</c:v>
                </c:pt>
                <c:pt idx="685">
                  <c:v>16.960031496834333</c:v>
                </c:pt>
                <c:pt idx="686">
                  <c:v>16.960031496834333</c:v>
                </c:pt>
                <c:pt idx="687">
                  <c:v>16.960031496834333</c:v>
                </c:pt>
                <c:pt idx="688">
                  <c:v>16.960031496834333</c:v>
                </c:pt>
                <c:pt idx="689">
                  <c:v>16.960031496834333</c:v>
                </c:pt>
                <c:pt idx="690">
                  <c:v>16.960031496834333</c:v>
                </c:pt>
                <c:pt idx="691">
                  <c:v>16.960031496834333</c:v>
                </c:pt>
                <c:pt idx="692">
                  <c:v>16.960031496834333</c:v>
                </c:pt>
                <c:pt idx="693">
                  <c:v>16.960031496834333</c:v>
                </c:pt>
                <c:pt idx="694">
                  <c:v>16.960031496834333</c:v>
                </c:pt>
                <c:pt idx="695">
                  <c:v>16.960031496834333</c:v>
                </c:pt>
                <c:pt idx="696">
                  <c:v>16.960031496834333</c:v>
                </c:pt>
                <c:pt idx="697">
                  <c:v>16.960031496834333</c:v>
                </c:pt>
                <c:pt idx="698">
                  <c:v>16.960031496834333</c:v>
                </c:pt>
                <c:pt idx="699">
                  <c:v>16.960031496834333</c:v>
                </c:pt>
                <c:pt idx="700">
                  <c:v>16.960031496834333</c:v>
                </c:pt>
                <c:pt idx="701">
                  <c:v>16.960031496834333</c:v>
                </c:pt>
                <c:pt idx="702">
                  <c:v>16.960031496834333</c:v>
                </c:pt>
                <c:pt idx="703">
                  <c:v>16.960031496834333</c:v>
                </c:pt>
                <c:pt idx="704">
                  <c:v>16.960031496834333</c:v>
                </c:pt>
                <c:pt idx="705">
                  <c:v>16.960031496834333</c:v>
                </c:pt>
                <c:pt idx="706">
                  <c:v>16.960031496834333</c:v>
                </c:pt>
                <c:pt idx="707">
                  <c:v>16.960031496834333</c:v>
                </c:pt>
                <c:pt idx="708">
                  <c:v>16.960031496834333</c:v>
                </c:pt>
                <c:pt idx="709">
                  <c:v>16.960031496834333</c:v>
                </c:pt>
                <c:pt idx="710">
                  <c:v>16.960031496834333</c:v>
                </c:pt>
                <c:pt idx="711">
                  <c:v>16.960031496834333</c:v>
                </c:pt>
                <c:pt idx="712">
                  <c:v>16.960031496834333</c:v>
                </c:pt>
                <c:pt idx="713">
                  <c:v>16.960031496834333</c:v>
                </c:pt>
                <c:pt idx="714">
                  <c:v>16.960031496834333</c:v>
                </c:pt>
                <c:pt idx="715">
                  <c:v>16.960031496834333</c:v>
                </c:pt>
                <c:pt idx="716">
                  <c:v>16.960031496834333</c:v>
                </c:pt>
                <c:pt idx="717">
                  <c:v>16.960031496834333</c:v>
                </c:pt>
                <c:pt idx="718">
                  <c:v>16.960031496834333</c:v>
                </c:pt>
                <c:pt idx="719">
                  <c:v>16.960031496834333</c:v>
                </c:pt>
                <c:pt idx="720">
                  <c:v>16.960031496834333</c:v>
                </c:pt>
                <c:pt idx="721">
                  <c:v>16.960031496834333</c:v>
                </c:pt>
                <c:pt idx="722">
                  <c:v>16.960031496834333</c:v>
                </c:pt>
                <c:pt idx="723">
                  <c:v>16.960031496834333</c:v>
                </c:pt>
                <c:pt idx="724">
                  <c:v>16.960031496834333</c:v>
                </c:pt>
                <c:pt idx="725">
                  <c:v>16.960031496834333</c:v>
                </c:pt>
                <c:pt idx="726">
                  <c:v>16.960031496834333</c:v>
                </c:pt>
                <c:pt idx="727">
                  <c:v>16.960031496834333</c:v>
                </c:pt>
                <c:pt idx="728">
                  <c:v>16.960031496834333</c:v>
                </c:pt>
                <c:pt idx="729">
                  <c:v>16.960031496834333</c:v>
                </c:pt>
                <c:pt idx="730">
                  <c:v>16.960031496834333</c:v>
                </c:pt>
                <c:pt idx="731">
                  <c:v>16.960031496834333</c:v>
                </c:pt>
                <c:pt idx="732">
                  <c:v>16.960031496834333</c:v>
                </c:pt>
                <c:pt idx="733">
                  <c:v>16.960031496834333</c:v>
                </c:pt>
                <c:pt idx="734">
                  <c:v>16.960031496834333</c:v>
                </c:pt>
                <c:pt idx="735">
                  <c:v>16.960031496834333</c:v>
                </c:pt>
                <c:pt idx="736">
                  <c:v>16.960031496834333</c:v>
                </c:pt>
                <c:pt idx="737">
                  <c:v>16.960031496834333</c:v>
                </c:pt>
                <c:pt idx="738">
                  <c:v>16.960031496834333</c:v>
                </c:pt>
                <c:pt idx="739">
                  <c:v>16.960031496834333</c:v>
                </c:pt>
                <c:pt idx="740">
                  <c:v>16.960031496834333</c:v>
                </c:pt>
                <c:pt idx="741">
                  <c:v>16.960031496834333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E9-4059-9AF9-719092353A6D}"/>
            </c:ext>
          </c:extLst>
        </c:ser>
        <c:ser>
          <c:idx val="3"/>
          <c:order val="2"/>
          <c:tx>
            <c:strRef>
              <c:f>'FX Data'!$C$1456</c:f>
              <c:strCache>
                <c:ptCount val="1"/>
                <c:pt idx="0">
                  <c:v>16.2519</c:v>
                </c:pt>
              </c:strCache>
            </c:strRef>
          </c:tx>
          <c:spPr>
            <a:ln w="12700" cap="rnd">
              <a:solidFill>
                <a:srgbClr val="1F497D">
                  <a:lumMod val="75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'FX Data'!$B$1457:$B$2453</c:f>
              <c:numCache>
                <c:formatCode>m/d/yyyy</c:formatCode>
                <c:ptCount val="997"/>
                <c:pt idx="0">
                  <c:v>44993</c:v>
                </c:pt>
                <c:pt idx="1">
                  <c:v>44994</c:v>
                </c:pt>
                <c:pt idx="2">
                  <c:v>44995</c:v>
                </c:pt>
                <c:pt idx="3">
                  <c:v>44998</c:v>
                </c:pt>
                <c:pt idx="4">
                  <c:v>44999</c:v>
                </c:pt>
                <c:pt idx="5">
                  <c:v>45000</c:v>
                </c:pt>
                <c:pt idx="6">
                  <c:v>45001</c:v>
                </c:pt>
                <c:pt idx="7">
                  <c:v>45002</c:v>
                </c:pt>
                <c:pt idx="8">
                  <c:v>45005</c:v>
                </c:pt>
                <c:pt idx="9">
                  <c:v>45006</c:v>
                </c:pt>
                <c:pt idx="10">
                  <c:v>45007</c:v>
                </c:pt>
                <c:pt idx="11">
                  <c:v>45008</c:v>
                </c:pt>
                <c:pt idx="12">
                  <c:v>45009</c:v>
                </c:pt>
                <c:pt idx="13">
                  <c:v>45012</c:v>
                </c:pt>
                <c:pt idx="14">
                  <c:v>45013</c:v>
                </c:pt>
                <c:pt idx="15">
                  <c:v>45014</c:v>
                </c:pt>
                <c:pt idx="16">
                  <c:v>45015</c:v>
                </c:pt>
                <c:pt idx="17">
                  <c:v>45016</c:v>
                </c:pt>
                <c:pt idx="18">
                  <c:v>45019</c:v>
                </c:pt>
                <c:pt idx="19">
                  <c:v>45020</c:v>
                </c:pt>
                <c:pt idx="20">
                  <c:v>45021</c:v>
                </c:pt>
                <c:pt idx="21">
                  <c:v>45022</c:v>
                </c:pt>
                <c:pt idx="22">
                  <c:v>45023</c:v>
                </c:pt>
                <c:pt idx="23">
                  <c:v>45026</c:v>
                </c:pt>
                <c:pt idx="24">
                  <c:v>45027</c:v>
                </c:pt>
                <c:pt idx="25">
                  <c:v>45028</c:v>
                </c:pt>
                <c:pt idx="26">
                  <c:v>45029</c:v>
                </c:pt>
                <c:pt idx="27">
                  <c:v>45030</c:v>
                </c:pt>
                <c:pt idx="28">
                  <c:v>45033</c:v>
                </c:pt>
                <c:pt idx="29">
                  <c:v>45034</c:v>
                </c:pt>
                <c:pt idx="30">
                  <c:v>45035</c:v>
                </c:pt>
                <c:pt idx="31">
                  <c:v>45036</c:v>
                </c:pt>
                <c:pt idx="32">
                  <c:v>45037</c:v>
                </c:pt>
                <c:pt idx="33">
                  <c:v>45040</c:v>
                </c:pt>
                <c:pt idx="34">
                  <c:v>45041</c:v>
                </c:pt>
                <c:pt idx="35">
                  <c:v>45042</c:v>
                </c:pt>
                <c:pt idx="36">
                  <c:v>45043</c:v>
                </c:pt>
                <c:pt idx="37">
                  <c:v>45044</c:v>
                </c:pt>
                <c:pt idx="38">
                  <c:v>45050</c:v>
                </c:pt>
                <c:pt idx="39">
                  <c:v>45051</c:v>
                </c:pt>
                <c:pt idx="40">
                  <c:v>45054</c:v>
                </c:pt>
                <c:pt idx="41">
                  <c:v>45055</c:v>
                </c:pt>
                <c:pt idx="42">
                  <c:v>45056</c:v>
                </c:pt>
                <c:pt idx="43">
                  <c:v>45057</c:v>
                </c:pt>
                <c:pt idx="44">
                  <c:v>45058</c:v>
                </c:pt>
                <c:pt idx="45">
                  <c:v>45061</c:v>
                </c:pt>
                <c:pt idx="46">
                  <c:v>45062</c:v>
                </c:pt>
                <c:pt idx="47">
                  <c:v>45063</c:v>
                </c:pt>
                <c:pt idx="48">
                  <c:v>45064</c:v>
                </c:pt>
                <c:pt idx="49">
                  <c:v>45065</c:v>
                </c:pt>
                <c:pt idx="50">
                  <c:v>45068</c:v>
                </c:pt>
                <c:pt idx="51">
                  <c:v>45069</c:v>
                </c:pt>
                <c:pt idx="52">
                  <c:v>45070</c:v>
                </c:pt>
                <c:pt idx="53">
                  <c:v>45071</c:v>
                </c:pt>
                <c:pt idx="54">
                  <c:v>45072</c:v>
                </c:pt>
                <c:pt idx="55">
                  <c:v>45075</c:v>
                </c:pt>
                <c:pt idx="56">
                  <c:v>45076</c:v>
                </c:pt>
                <c:pt idx="57">
                  <c:v>45077</c:v>
                </c:pt>
                <c:pt idx="58">
                  <c:v>45078</c:v>
                </c:pt>
                <c:pt idx="59">
                  <c:v>45079</c:v>
                </c:pt>
                <c:pt idx="60">
                  <c:v>45082</c:v>
                </c:pt>
                <c:pt idx="61">
                  <c:v>45083</c:v>
                </c:pt>
                <c:pt idx="62">
                  <c:v>45084</c:v>
                </c:pt>
                <c:pt idx="63">
                  <c:v>45085</c:v>
                </c:pt>
                <c:pt idx="64">
                  <c:v>45086</c:v>
                </c:pt>
                <c:pt idx="65">
                  <c:v>45089</c:v>
                </c:pt>
                <c:pt idx="66">
                  <c:v>45090</c:v>
                </c:pt>
                <c:pt idx="67">
                  <c:v>45091</c:v>
                </c:pt>
                <c:pt idx="68">
                  <c:v>45092</c:v>
                </c:pt>
                <c:pt idx="69">
                  <c:v>45093</c:v>
                </c:pt>
                <c:pt idx="70">
                  <c:v>45096</c:v>
                </c:pt>
                <c:pt idx="71">
                  <c:v>45097</c:v>
                </c:pt>
                <c:pt idx="72">
                  <c:v>45098</c:v>
                </c:pt>
                <c:pt idx="73">
                  <c:v>45099</c:v>
                </c:pt>
                <c:pt idx="74">
                  <c:v>45100</c:v>
                </c:pt>
                <c:pt idx="75">
                  <c:v>45103</c:v>
                </c:pt>
                <c:pt idx="76">
                  <c:v>45104</c:v>
                </c:pt>
                <c:pt idx="77">
                  <c:v>45105</c:v>
                </c:pt>
                <c:pt idx="78">
                  <c:v>45106</c:v>
                </c:pt>
                <c:pt idx="79">
                  <c:v>45107</c:v>
                </c:pt>
                <c:pt idx="80">
                  <c:v>45110</c:v>
                </c:pt>
                <c:pt idx="81">
                  <c:v>45111</c:v>
                </c:pt>
                <c:pt idx="82">
                  <c:v>45112</c:v>
                </c:pt>
                <c:pt idx="83">
                  <c:v>45113</c:v>
                </c:pt>
                <c:pt idx="84">
                  <c:v>45114</c:v>
                </c:pt>
                <c:pt idx="85">
                  <c:v>45117</c:v>
                </c:pt>
                <c:pt idx="86">
                  <c:v>45118</c:v>
                </c:pt>
                <c:pt idx="87">
                  <c:v>45119</c:v>
                </c:pt>
                <c:pt idx="88">
                  <c:v>45120</c:v>
                </c:pt>
                <c:pt idx="89">
                  <c:v>45121</c:v>
                </c:pt>
                <c:pt idx="90">
                  <c:v>45124</c:v>
                </c:pt>
                <c:pt idx="91">
                  <c:v>45125</c:v>
                </c:pt>
                <c:pt idx="92">
                  <c:v>45126</c:v>
                </c:pt>
                <c:pt idx="93">
                  <c:v>45127</c:v>
                </c:pt>
                <c:pt idx="94">
                  <c:v>45128</c:v>
                </c:pt>
                <c:pt idx="95">
                  <c:v>45131</c:v>
                </c:pt>
                <c:pt idx="96">
                  <c:v>45132</c:v>
                </c:pt>
                <c:pt idx="97">
                  <c:v>45133</c:v>
                </c:pt>
                <c:pt idx="98">
                  <c:v>45134</c:v>
                </c:pt>
                <c:pt idx="99">
                  <c:v>45135</c:v>
                </c:pt>
                <c:pt idx="100">
                  <c:v>45138</c:v>
                </c:pt>
                <c:pt idx="101">
                  <c:v>45139</c:v>
                </c:pt>
                <c:pt idx="102">
                  <c:v>45140</c:v>
                </c:pt>
                <c:pt idx="103">
                  <c:v>45141</c:v>
                </c:pt>
                <c:pt idx="104">
                  <c:v>45142</c:v>
                </c:pt>
                <c:pt idx="105">
                  <c:v>45145</c:v>
                </c:pt>
                <c:pt idx="106">
                  <c:v>45146</c:v>
                </c:pt>
                <c:pt idx="107">
                  <c:v>45147</c:v>
                </c:pt>
                <c:pt idx="108">
                  <c:v>45148</c:v>
                </c:pt>
                <c:pt idx="109">
                  <c:v>45149</c:v>
                </c:pt>
                <c:pt idx="110">
                  <c:v>45152</c:v>
                </c:pt>
                <c:pt idx="111">
                  <c:v>45153</c:v>
                </c:pt>
                <c:pt idx="112">
                  <c:v>45154</c:v>
                </c:pt>
                <c:pt idx="113">
                  <c:v>45155</c:v>
                </c:pt>
                <c:pt idx="114">
                  <c:v>45156</c:v>
                </c:pt>
                <c:pt idx="115">
                  <c:v>45159</c:v>
                </c:pt>
                <c:pt idx="116">
                  <c:v>45160</c:v>
                </c:pt>
                <c:pt idx="117">
                  <c:v>45161</c:v>
                </c:pt>
                <c:pt idx="118">
                  <c:v>45162</c:v>
                </c:pt>
                <c:pt idx="119">
                  <c:v>45163</c:v>
                </c:pt>
                <c:pt idx="120">
                  <c:v>45166</c:v>
                </c:pt>
                <c:pt idx="121">
                  <c:v>45167</c:v>
                </c:pt>
                <c:pt idx="122">
                  <c:v>45168</c:v>
                </c:pt>
                <c:pt idx="123">
                  <c:v>45169</c:v>
                </c:pt>
                <c:pt idx="124">
                  <c:v>45174</c:v>
                </c:pt>
                <c:pt idx="125">
                  <c:v>45175</c:v>
                </c:pt>
                <c:pt idx="126">
                  <c:v>45176</c:v>
                </c:pt>
                <c:pt idx="127">
                  <c:v>45177</c:v>
                </c:pt>
                <c:pt idx="128">
                  <c:v>45180</c:v>
                </c:pt>
                <c:pt idx="129">
                  <c:v>45181</c:v>
                </c:pt>
                <c:pt idx="130">
                  <c:v>45182</c:v>
                </c:pt>
                <c:pt idx="131">
                  <c:v>45183</c:v>
                </c:pt>
                <c:pt idx="132">
                  <c:v>45184</c:v>
                </c:pt>
                <c:pt idx="133">
                  <c:v>45187</c:v>
                </c:pt>
                <c:pt idx="134">
                  <c:v>45188</c:v>
                </c:pt>
                <c:pt idx="135">
                  <c:v>45189</c:v>
                </c:pt>
                <c:pt idx="136">
                  <c:v>45190</c:v>
                </c:pt>
                <c:pt idx="137">
                  <c:v>45191</c:v>
                </c:pt>
                <c:pt idx="138">
                  <c:v>45194</c:v>
                </c:pt>
                <c:pt idx="139">
                  <c:v>45195</c:v>
                </c:pt>
                <c:pt idx="140">
                  <c:v>45196</c:v>
                </c:pt>
                <c:pt idx="141">
                  <c:v>45197</c:v>
                </c:pt>
                <c:pt idx="142">
                  <c:v>45198</c:v>
                </c:pt>
                <c:pt idx="143">
                  <c:v>45201</c:v>
                </c:pt>
                <c:pt idx="144">
                  <c:v>45202</c:v>
                </c:pt>
                <c:pt idx="145">
                  <c:v>45203</c:v>
                </c:pt>
                <c:pt idx="146">
                  <c:v>45204</c:v>
                </c:pt>
                <c:pt idx="147">
                  <c:v>45205</c:v>
                </c:pt>
                <c:pt idx="148">
                  <c:v>45208</c:v>
                </c:pt>
                <c:pt idx="149">
                  <c:v>45209</c:v>
                </c:pt>
                <c:pt idx="150">
                  <c:v>45210</c:v>
                </c:pt>
                <c:pt idx="151">
                  <c:v>45211</c:v>
                </c:pt>
                <c:pt idx="152">
                  <c:v>45212</c:v>
                </c:pt>
                <c:pt idx="153">
                  <c:v>45215</c:v>
                </c:pt>
                <c:pt idx="154">
                  <c:v>45216</c:v>
                </c:pt>
                <c:pt idx="155">
                  <c:v>45217</c:v>
                </c:pt>
                <c:pt idx="156">
                  <c:v>45218</c:v>
                </c:pt>
                <c:pt idx="157">
                  <c:v>45219</c:v>
                </c:pt>
                <c:pt idx="158">
                  <c:v>45222</c:v>
                </c:pt>
                <c:pt idx="159">
                  <c:v>45223</c:v>
                </c:pt>
                <c:pt idx="160">
                  <c:v>45224</c:v>
                </c:pt>
                <c:pt idx="161">
                  <c:v>45225</c:v>
                </c:pt>
                <c:pt idx="162">
                  <c:v>45226</c:v>
                </c:pt>
                <c:pt idx="163">
                  <c:v>45229</c:v>
                </c:pt>
                <c:pt idx="164">
                  <c:v>45230</c:v>
                </c:pt>
                <c:pt idx="165">
                  <c:v>45231</c:v>
                </c:pt>
                <c:pt idx="166">
                  <c:v>45232</c:v>
                </c:pt>
                <c:pt idx="167">
                  <c:v>45233</c:v>
                </c:pt>
                <c:pt idx="168">
                  <c:v>45236</c:v>
                </c:pt>
                <c:pt idx="169">
                  <c:v>45237</c:v>
                </c:pt>
                <c:pt idx="170">
                  <c:v>45238</c:v>
                </c:pt>
                <c:pt idx="171">
                  <c:v>45239</c:v>
                </c:pt>
                <c:pt idx="172">
                  <c:v>45240</c:v>
                </c:pt>
                <c:pt idx="173">
                  <c:v>45243</c:v>
                </c:pt>
                <c:pt idx="174">
                  <c:v>45244</c:v>
                </c:pt>
                <c:pt idx="175">
                  <c:v>45245</c:v>
                </c:pt>
                <c:pt idx="176">
                  <c:v>45246</c:v>
                </c:pt>
                <c:pt idx="177">
                  <c:v>45247</c:v>
                </c:pt>
                <c:pt idx="178">
                  <c:v>45250</c:v>
                </c:pt>
                <c:pt idx="179">
                  <c:v>45251</c:v>
                </c:pt>
                <c:pt idx="180">
                  <c:v>45252</c:v>
                </c:pt>
                <c:pt idx="181">
                  <c:v>45253</c:v>
                </c:pt>
                <c:pt idx="182">
                  <c:v>45254</c:v>
                </c:pt>
                <c:pt idx="183">
                  <c:v>45257</c:v>
                </c:pt>
                <c:pt idx="184">
                  <c:v>45258</c:v>
                </c:pt>
                <c:pt idx="185">
                  <c:v>45259</c:v>
                </c:pt>
                <c:pt idx="186">
                  <c:v>45260</c:v>
                </c:pt>
                <c:pt idx="187">
                  <c:v>45261</c:v>
                </c:pt>
                <c:pt idx="188">
                  <c:v>45264</c:v>
                </c:pt>
                <c:pt idx="189">
                  <c:v>45265</c:v>
                </c:pt>
                <c:pt idx="190">
                  <c:v>45266</c:v>
                </c:pt>
                <c:pt idx="191">
                  <c:v>45267</c:v>
                </c:pt>
                <c:pt idx="192">
                  <c:v>45268</c:v>
                </c:pt>
                <c:pt idx="193">
                  <c:v>45271</c:v>
                </c:pt>
                <c:pt idx="194">
                  <c:v>45272</c:v>
                </c:pt>
                <c:pt idx="195">
                  <c:v>45273</c:v>
                </c:pt>
                <c:pt idx="196">
                  <c:v>45274</c:v>
                </c:pt>
                <c:pt idx="197">
                  <c:v>45275</c:v>
                </c:pt>
                <c:pt idx="198">
                  <c:v>45278</c:v>
                </c:pt>
                <c:pt idx="199">
                  <c:v>45279</c:v>
                </c:pt>
                <c:pt idx="200">
                  <c:v>45280</c:v>
                </c:pt>
                <c:pt idx="201">
                  <c:v>45281</c:v>
                </c:pt>
                <c:pt idx="202">
                  <c:v>45282</c:v>
                </c:pt>
                <c:pt idx="203">
                  <c:v>45285</c:v>
                </c:pt>
                <c:pt idx="204">
                  <c:v>45286</c:v>
                </c:pt>
                <c:pt idx="205">
                  <c:v>45287</c:v>
                </c:pt>
                <c:pt idx="206">
                  <c:v>45288</c:v>
                </c:pt>
                <c:pt idx="207">
                  <c:v>45289</c:v>
                </c:pt>
                <c:pt idx="208">
                  <c:v>45293</c:v>
                </c:pt>
                <c:pt idx="209">
                  <c:v>45294</c:v>
                </c:pt>
                <c:pt idx="210">
                  <c:v>45295</c:v>
                </c:pt>
                <c:pt idx="211">
                  <c:v>45296</c:v>
                </c:pt>
                <c:pt idx="212">
                  <c:v>45299</c:v>
                </c:pt>
                <c:pt idx="213">
                  <c:v>45300</c:v>
                </c:pt>
                <c:pt idx="214">
                  <c:v>45301</c:v>
                </c:pt>
                <c:pt idx="215">
                  <c:v>45302</c:v>
                </c:pt>
                <c:pt idx="216">
                  <c:v>45303</c:v>
                </c:pt>
                <c:pt idx="217">
                  <c:v>45306</c:v>
                </c:pt>
                <c:pt idx="218">
                  <c:v>45307</c:v>
                </c:pt>
                <c:pt idx="219">
                  <c:v>45308</c:v>
                </c:pt>
                <c:pt idx="220">
                  <c:v>45309</c:v>
                </c:pt>
                <c:pt idx="221">
                  <c:v>45310</c:v>
                </c:pt>
                <c:pt idx="222">
                  <c:v>45313</c:v>
                </c:pt>
                <c:pt idx="223">
                  <c:v>45314</c:v>
                </c:pt>
                <c:pt idx="224">
                  <c:v>45315</c:v>
                </c:pt>
                <c:pt idx="225">
                  <c:v>45316</c:v>
                </c:pt>
                <c:pt idx="226">
                  <c:v>45317</c:v>
                </c:pt>
                <c:pt idx="227">
                  <c:v>45320</c:v>
                </c:pt>
                <c:pt idx="228">
                  <c:v>45321</c:v>
                </c:pt>
                <c:pt idx="229">
                  <c:v>45322</c:v>
                </c:pt>
                <c:pt idx="230">
                  <c:v>45323</c:v>
                </c:pt>
                <c:pt idx="231">
                  <c:v>45324</c:v>
                </c:pt>
                <c:pt idx="232">
                  <c:v>45327</c:v>
                </c:pt>
                <c:pt idx="233">
                  <c:v>45328</c:v>
                </c:pt>
                <c:pt idx="234">
                  <c:v>45329</c:v>
                </c:pt>
                <c:pt idx="235">
                  <c:v>45337</c:v>
                </c:pt>
                <c:pt idx="236">
                  <c:v>45338</c:v>
                </c:pt>
                <c:pt idx="237">
                  <c:v>45341</c:v>
                </c:pt>
                <c:pt idx="238">
                  <c:v>45342</c:v>
                </c:pt>
                <c:pt idx="239">
                  <c:v>45343</c:v>
                </c:pt>
                <c:pt idx="240">
                  <c:v>45344</c:v>
                </c:pt>
                <c:pt idx="241">
                  <c:v>45345</c:v>
                </c:pt>
                <c:pt idx="242">
                  <c:v>45348</c:v>
                </c:pt>
                <c:pt idx="243">
                  <c:v>45349</c:v>
                </c:pt>
                <c:pt idx="244">
                  <c:v>45350</c:v>
                </c:pt>
                <c:pt idx="245">
                  <c:v>45351</c:v>
                </c:pt>
                <c:pt idx="246">
                  <c:v>45352</c:v>
                </c:pt>
                <c:pt idx="247">
                  <c:v>45355</c:v>
                </c:pt>
                <c:pt idx="248">
                  <c:v>45356</c:v>
                </c:pt>
                <c:pt idx="249">
                  <c:v>45357</c:v>
                </c:pt>
                <c:pt idx="250">
                  <c:v>45358</c:v>
                </c:pt>
                <c:pt idx="251">
                  <c:v>45359</c:v>
                </c:pt>
                <c:pt idx="252">
                  <c:v>45362</c:v>
                </c:pt>
                <c:pt idx="253">
                  <c:v>45363</c:v>
                </c:pt>
                <c:pt idx="254">
                  <c:v>45364</c:v>
                </c:pt>
                <c:pt idx="255">
                  <c:v>45365</c:v>
                </c:pt>
                <c:pt idx="256">
                  <c:v>45366</c:v>
                </c:pt>
                <c:pt idx="257">
                  <c:v>45369</c:v>
                </c:pt>
                <c:pt idx="258">
                  <c:v>45370</c:v>
                </c:pt>
                <c:pt idx="259">
                  <c:v>45371</c:v>
                </c:pt>
                <c:pt idx="260">
                  <c:v>45372</c:v>
                </c:pt>
                <c:pt idx="261">
                  <c:v>45373</c:v>
                </c:pt>
                <c:pt idx="262">
                  <c:v>45376</c:v>
                </c:pt>
                <c:pt idx="263">
                  <c:v>45377</c:v>
                </c:pt>
                <c:pt idx="264">
                  <c:v>45378</c:v>
                </c:pt>
                <c:pt idx="265">
                  <c:v>45379</c:v>
                </c:pt>
                <c:pt idx="266">
                  <c:v>45380</c:v>
                </c:pt>
                <c:pt idx="267">
                  <c:v>45383</c:v>
                </c:pt>
                <c:pt idx="268">
                  <c:v>45384</c:v>
                </c:pt>
                <c:pt idx="269">
                  <c:v>45385</c:v>
                </c:pt>
                <c:pt idx="270">
                  <c:v>45386</c:v>
                </c:pt>
                <c:pt idx="271">
                  <c:v>45387</c:v>
                </c:pt>
                <c:pt idx="272">
                  <c:v>45390</c:v>
                </c:pt>
                <c:pt idx="273">
                  <c:v>45391</c:v>
                </c:pt>
                <c:pt idx="274">
                  <c:v>45392</c:v>
                </c:pt>
                <c:pt idx="275">
                  <c:v>45393</c:v>
                </c:pt>
                <c:pt idx="276">
                  <c:v>45394</c:v>
                </c:pt>
                <c:pt idx="277">
                  <c:v>45397</c:v>
                </c:pt>
                <c:pt idx="278">
                  <c:v>45398</c:v>
                </c:pt>
                <c:pt idx="279">
                  <c:v>45399</c:v>
                </c:pt>
                <c:pt idx="280">
                  <c:v>45401</c:v>
                </c:pt>
                <c:pt idx="281">
                  <c:v>45404</c:v>
                </c:pt>
                <c:pt idx="282">
                  <c:v>45405</c:v>
                </c:pt>
                <c:pt idx="283">
                  <c:v>45406</c:v>
                </c:pt>
                <c:pt idx="284">
                  <c:v>45407</c:v>
                </c:pt>
                <c:pt idx="285">
                  <c:v>45408</c:v>
                </c:pt>
                <c:pt idx="286">
                  <c:v>45414</c:v>
                </c:pt>
                <c:pt idx="287">
                  <c:v>45415</c:v>
                </c:pt>
                <c:pt idx="288">
                  <c:v>45418</c:v>
                </c:pt>
                <c:pt idx="289">
                  <c:v>45419</c:v>
                </c:pt>
                <c:pt idx="290">
                  <c:v>45420</c:v>
                </c:pt>
                <c:pt idx="291">
                  <c:v>45421</c:v>
                </c:pt>
                <c:pt idx="292">
                  <c:v>45422</c:v>
                </c:pt>
                <c:pt idx="293">
                  <c:v>45425</c:v>
                </c:pt>
                <c:pt idx="294">
                  <c:v>45426</c:v>
                </c:pt>
                <c:pt idx="295">
                  <c:v>45427</c:v>
                </c:pt>
                <c:pt idx="296">
                  <c:v>45428</c:v>
                </c:pt>
                <c:pt idx="297">
                  <c:v>45429</c:v>
                </c:pt>
                <c:pt idx="298">
                  <c:v>45432</c:v>
                </c:pt>
                <c:pt idx="299">
                  <c:v>45433</c:v>
                </c:pt>
                <c:pt idx="300">
                  <c:v>45434</c:v>
                </c:pt>
                <c:pt idx="301">
                  <c:v>45435</c:v>
                </c:pt>
                <c:pt idx="302">
                  <c:v>45436</c:v>
                </c:pt>
                <c:pt idx="303">
                  <c:v>45439</c:v>
                </c:pt>
                <c:pt idx="304">
                  <c:v>45440</c:v>
                </c:pt>
                <c:pt idx="305">
                  <c:v>45441</c:v>
                </c:pt>
                <c:pt idx="306">
                  <c:v>45442</c:v>
                </c:pt>
                <c:pt idx="307">
                  <c:v>45443</c:v>
                </c:pt>
                <c:pt idx="308">
                  <c:v>45446</c:v>
                </c:pt>
                <c:pt idx="309">
                  <c:v>45447</c:v>
                </c:pt>
                <c:pt idx="310">
                  <c:v>45448</c:v>
                </c:pt>
                <c:pt idx="311">
                  <c:v>45449</c:v>
                </c:pt>
                <c:pt idx="312">
                  <c:v>45450</c:v>
                </c:pt>
                <c:pt idx="313">
                  <c:v>45453</c:v>
                </c:pt>
                <c:pt idx="314">
                  <c:v>45454</c:v>
                </c:pt>
                <c:pt idx="315">
                  <c:v>45455</c:v>
                </c:pt>
                <c:pt idx="316">
                  <c:v>45456</c:v>
                </c:pt>
                <c:pt idx="317">
                  <c:v>45457</c:v>
                </c:pt>
                <c:pt idx="318">
                  <c:v>45460</c:v>
                </c:pt>
                <c:pt idx="319">
                  <c:v>45461</c:v>
                </c:pt>
                <c:pt idx="320">
                  <c:v>45462</c:v>
                </c:pt>
                <c:pt idx="321">
                  <c:v>45463</c:v>
                </c:pt>
                <c:pt idx="322">
                  <c:v>45464</c:v>
                </c:pt>
                <c:pt idx="323">
                  <c:v>45467</c:v>
                </c:pt>
                <c:pt idx="324">
                  <c:v>45468</c:v>
                </c:pt>
                <c:pt idx="325">
                  <c:v>45469</c:v>
                </c:pt>
                <c:pt idx="326">
                  <c:v>45470</c:v>
                </c:pt>
                <c:pt idx="327">
                  <c:v>45471</c:v>
                </c:pt>
                <c:pt idx="328">
                  <c:v>45474</c:v>
                </c:pt>
                <c:pt idx="329">
                  <c:v>45475</c:v>
                </c:pt>
                <c:pt idx="330">
                  <c:v>45476</c:v>
                </c:pt>
                <c:pt idx="331">
                  <c:v>45477</c:v>
                </c:pt>
                <c:pt idx="332">
                  <c:v>45478</c:v>
                </c:pt>
                <c:pt idx="333">
                  <c:v>45481</c:v>
                </c:pt>
                <c:pt idx="334">
                  <c:v>45482</c:v>
                </c:pt>
                <c:pt idx="335">
                  <c:v>45483</c:v>
                </c:pt>
                <c:pt idx="336">
                  <c:v>45484</c:v>
                </c:pt>
                <c:pt idx="337">
                  <c:v>45485</c:v>
                </c:pt>
                <c:pt idx="338">
                  <c:v>45488</c:v>
                </c:pt>
                <c:pt idx="339">
                  <c:v>45489</c:v>
                </c:pt>
                <c:pt idx="340">
                  <c:v>45490</c:v>
                </c:pt>
                <c:pt idx="341">
                  <c:v>45491</c:v>
                </c:pt>
                <c:pt idx="342">
                  <c:v>45492</c:v>
                </c:pt>
                <c:pt idx="343">
                  <c:v>45495</c:v>
                </c:pt>
                <c:pt idx="344">
                  <c:v>45496</c:v>
                </c:pt>
                <c:pt idx="345">
                  <c:v>45497</c:v>
                </c:pt>
                <c:pt idx="346">
                  <c:v>45498</c:v>
                </c:pt>
                <c:pt idx="347">
                  <c:v>45499</c:v>
                </c:pt>
                <c:pt idx="348">
                  <c:v>45502</c:v>
                </c:pt>
                <c:pt idx="349">
                  <c:v>45503</c:v>
                </c:pt>
                <c:pt idx="350">
                  <c:v>45504</c:v>
                </c:pt>
                <c:pt idx="351">
                  <c:v>45505</c:v>
                </c:pt>
                <c:pt idx="352">
                  <c:v>45506</c:v>
                </c:pt>
                <c:pt idx="353">
                  <c:v>45509</c:v>
                </c:pt>
                <c:pt idx="354">
                  <c:v>45510</c:v>
                </c:pt>
                <c:pt idx="355">
                  <c:v>45511</c:v>
                </c:pt>
                <c:pt idx="356">
                  <c:v>45512</c:v>
                </c:pt>
                <c:pt idx="357">
                  <c:v>45513</c:v>
                </c:pt>
                <c:pt idx="358">
                  <c:v>45516</c:v>
                </c:pt>
                <c:pt idx="359">
                  <c:v>45517</c:v>
                </c:pt>
                <c:pt idx="360">
                  <c:v>45518</c:v>
                </c:pt>
                <c:pt idx="361">
                  <c:v>45519</c:v>
                </c:pt>
                <c:pt idx="362">
                  <c:v>45520</c:v>
                </c:pt>
                <c:pt idx="363">
                  <c:v>45523</c:v>
                </c:pt>
                <c:pt idx="364">
                  <c:v>45524</c:v>
                </c:pt>
                <c:pt idx="365">
                  <c:v>45525</c:v>
                </c:pt>
                <c:pt idx="366">
                  <c:v>45526</c:v>
                </c:pt>
                <c:pt idx="367">
                  <c:v>45527</c:v>
                </c:pt>
                <c:pt idx="368">
                  <c:v>45530</c:v>
                </c:pt>
                <c:pt idx="369">
                  <c:v>45531</c:v>
                </c:pt>
                <c:pt idx="370">
                  <c:v>45532</c:v>
                </c:pt>
                <c:pt idx="371">
                  <c:v>45533</c:v>
                </c:pt>
                <c:pt idx="372">
                  <c:v>45534</c:v>
                </c:pt>
                <c:pt idx="373">
                  <c:v>45539</c:v>
                </c:pt>
                <c:pt idx="374">
                  <c:v>45540</c:v>
                </c:pt>
                <c:pt idx="375">
                  <c:v>45541</c:v>
                </c:pt>
                <c:pt idx="376">
                  <c:v>45544</c:v>
                </c:pt>
                <c:pt idx="377">
                  <c:v>45545</c:v>
                </c:pt>
                <c:pt idx="378">
                  <c:v>45546</c:v>
                </c:pt>
                <c:pt idx="379">
                  <c:v>45547</c:v>
                </c:pt>
                <c:pt idx="380">
                  <c:v>45548</c:v>
                </c:pt>
                <c:pt idx="381">
                  <c:v>45551</c:v>
                </c:pt>
                <c:pt idx="382">
                  <c:v>45552</c:v>
                </c:pt>
                <c:pt idx="383">
                  <c:v>45553</c:v>
                </c:pt>
                <c:pt idx="384">
                  <c:v>45554</c:v>
                </c:pt>
                <c:pt idx="385">
                  <c:v>45555</c:v>
                </c:pt>
                <c:pt idx="386">
                  <c:v>45558</c:v>
                </c:pt>
                <c:pt idx="387">
                  <c:v>45559</c:v>
                </c:pt>
                <c:pt idx="388">
                  <c:v>45560</c:v>
                </c:pt>
                <c:pt idx="389">
                  <c:v>45561</c:v>
                </c:pt>
                <c:pt idx="390">
                  <c:v>45562</c:v>
                </c:pt>
                <c:pt idx="391">
                  <c:v>45565</c:v>
                </c:pt>
                <c:pt idx="392">
                  <c:v>45566</c:v>
                </c:pt>
                <c:pt idx="393">
                  <c:v>45567</c:v>
                </c:pt>
                <c:pt idx="394">
                  <c:v>45568</c:v>
                </c:pt>
                <c:pt idx="395">
                  <c:v>45569</c:v>
                </c:pt>
                <c:pt idx="396">
                  <c:v>45572</c:v>
                </c:pt>
                <c:pt idx="397">
                  <c:v>45573</c:v>
                </c:pt>
                <c:pt idx="398">
                  <c:v>45574</c:v>
                </c:pt>
                <c:pt idx="399">
                  <c:v>45575</c:v>
                </c:pt>
                <c:pt idx="400">
                  <c:v>45576</c:v>
                </c:pt>
                <c:pt idx="401">
                  <c:v>45579</c:v>
                </c:pt>
                <c:pt idx="402">
                  <c:v>45580</c:v>
                </c:pt>
                <c:pt idx="403">
                  <c:v>45581</c:v>
                </c:pt>
                <c:pt idx="404">
                  <c:v>45582</c:v>
                </c:pt>
                <c:pt idx="405">
                  <c:v>45583</c:v>
                </c:pt>
                <c:pt idx="406">
                  <c:v>45586</c:v>
                </c:pt>
                <c:pt idx="407">
                  <c:v>45587</c:v>
                </c:pt>
                <c:pt idx="408">
                  <c:v>45588</c:v>
                </c:pt>
                <c:pt idx="409">
                  <c:v>45589</c:v>
                </c:pt>
                <c:pt idx="410">
                  <c:v>45590</c:v>
                </c:pt>
                <c:pt idx="411">
                  <c:v>45593</c:v>
                </c:pt>
                <c:pt idx="412">
                  <c:v>45594</c:v>
                </c:pt>
                <c:pt idx="413">
                  <c:v>45595</c:v>
                </c:pt>
                <c:pt idx="414">
                  <c:v>45596</c:v>
                </c:pt>
                <c:pt idx="415">
                  <c:v>45597</c:v>
                </c:pt>
                <c:pt idx="416">
                  <c:v>45600</c:v>
                </c:pt>
                <c:pt idx="417">
                  <c:v>45601</c:v>
                </c:pt>
                <c:pt idx="418">
                  <c:v>45602</c:v>
                </c:pt>
                <c:pt idx="419">
                  <c:v>45603</c:v>
                </c:pt>
                <c:pt idx="420">
                  <c:v>45604</c:v>
                </c:pt>
                <c:pt idx="421">
                  <c:v>45607</c:v>
                </c:pt>
                <c:pt idx="422">
                  <c:v>45608</c:v>
                </c:pt>
                <c:pt idx="423">
                  <c:v>45609</c:v>
                </c:pt>
                <c:pt idx="424">
                  <c:v>45610</c:v>
                </c:pt>
                <c:pt idx="425">
                  <c:v>45611</c:v>
                </c:pt>
                <c:pt idx="426">
                  <c:v>45614</c:v>
                </c:pt>
                <c:pt idx="427">
                  <c:v>45615</c:v>
                </c:pt>
                <c:pt idx="428">
                  <c:v>45616</c:v>
                </c:pt>
                <c:pt idx="429">
                  <c:v>45617</c:v>
                </c:pt>
                <c:pt idx="430">
                  <c:v>45618</c:v>
                </c:pt>
                <c:pt idx="431">
                  <c:v>45621</c:v>
                </c:pt>
                <c:pt idx="432">
                  <c:v>45622</c:v>
                </c:pt>
                <c:pt idx="433">
                  <c:v>45623</c:v>
                </c:pt>
                <c:pt idx="434">
                  <c:v>45624</c:v>
                </c:pt>
                <c:pt idx="435">
                  <c:v>45625</c:v>
                </c:pt>
                <c:pt idx="436">
                  <c:v>45628</c:v>
                </c:pt>
                <c:pt idx="437">
                  <c:v>45629</c:v>
                </c:pt>
                <c:pt idx="438">
                  <c:v>45630</c:v>
                </c:pt>
                <c:pt idx="439">
                  <c:v>45631</c:v>
                </c:pt>
                <c:pt idx="440">
                  <c:v>45632</c:v>
                </c:pt>
                <c:pt idx="441">
                  <c:v>45635</c:v>
                </c:pt>
                <c:pt idx="442">
                  <c:v>45636</c:v>
                </c:pt>
                <c:pt idx="443">
                  <c:v>45637</c:v>
                </c:pt>
                <c:pt idx="444">
                  <c:v>45638</c:v>
                </c:pt>
                <c:pt idx="445">
                  <c:v>45639</c:v>
                </c:pt>
                <c:pt idx="446">
                  <c:v>45642</c:v>
                </c:pt>
                <c:pt idx="447">
                  <c:v>45643</c:v>
                </c:pt>
                <c:pt idx="448">
                  <c:v>45644</c:v>
                </c:pt>
                <c:pt idx="449">
                  <c:v>45645</c:v>
                </c:pt>
                <c:pt idx="450">
                  <c:v>45646</c:v>
                </c:pt>
                <c:pt idx="451">
                  <c:v>45649</c:v>
                </c:pt>
                <c:pt idx="452">
                  <c:v>45650</c:v>
                </c:pt>
                <c:pt idx="453">
                  <c:v>45651</c:v>
                </c:pt>
                <c:pt idx="454">
                  <c:v>45652</c:v>
                </c:pt>
                <c:pt idx="455">
                  <c:v>45653</c:v>
                </c:pt>
                <c:pt idx="456">
                  <c:v>45656</c:v>
                </c:pt>
                <c:pt idx="457">
                  <c:v>45657</c:v>
                </c:pt>
                <c:pt idx="458">
                  <c:v>45659</c:v>
                </c:pt>
                <c:pt idx="459">
                  <c:v>45660</c:v>
                </c:pt>
                <c:pt idx="460">
                  <c:v>45663</c:v>
                </c:pt>
                <c:pt idx="461">
                  <c:v>45664</c:v>
                </c:pt>
                <c:pt idx="462">
                  <c:v>45665</c:v>
                </c:pt>
                <c:pt idx="463">
                  <c:v>45666</c:v>
                </c:pt>
                <c:pt idx="464">
                  <c:v>45667</c:v>
                </c:pt>
                <c:pt idx="465">
                  <c:v>45670</c:v>
                </c:pt>
                <c:pt idx="466">
                  <c:v>45671</c:v>
                </c:pt>
                <c:pt idx="467">
                  <c:v>45672</c:v>
                </c:pt>
                <c:pt idx="468">
                  <c:v>45673</c:v>
                </c:pt>
                <c:pt idx="469">
                  <c:v>45674</c:v>
                </c:pt>
                <c:pt idx="470">
                  <c:v>45677</c:v>
                </c:pt>
                <c:pt idx="471">
                  <c:v>45678</c:v>
                </c:pt>
                <c:pt idx="472">
                  <c:v>45679</c:v>
                </c:pt>
                <c:pt idx="473">
                  <c:v>45680</c:v>
                </c:pt>
                <c:pt idx="474">
                  <c:v>45681</c:v>
                </c:pt>
                <c:pt idx="475">
                  <c:v>45691</c:v>
                </c:pt>
                <c:pt idx="476">
                  <c:v>45692</c:v>
                </c:pt>
                <c:pt idx="477">
                  <c:v>45693</c:v>
                </c:pt>
                <c:pt idx="478">
                  <c:v>45694</c:v>
                </c:pt>
                <c:pt idx="479">
                  <c:v>45695</c:v>
                </c:pt>
                <c:pt idx="480">
                  <c:v>45698</c:v>
                </c:pt>
                <c:pt idx="481">
                  <c:v>45699</c:v>
                </c:pt>
                <c:pt idx="482">
                  <c:v>45700</c:v>
                </c:pt>
                <c:pt idx="483">
                  <c:v>45701</c:v>
                </c:pt>
                <c:pt idx="484">
                  <c:v>45702</c:v>
                </c:pt>
                <c:pt idx="485">
                  <c:v>45705</c:v>
                </c:pt>
                <c:pt idx="486">
                  <c:v>45706</c:v>
                </c:pt>
                <c:pt idx="487">
                  <c:v>45707</c:v>
                </c:pt>
                <c:pt idx="488">
                  <c:v>45708</c:v>
                </c:pt>
                <c:pt idx="489">
                  <c:v>45709</c:v>
                </c:pt>
                <c:pt idx="490">
                  <c:v>45712</c:v>
                </c:pt>
                <c:pt idx="491">
                  <c:v>45713</c:v>
                </c:pt>
                <c:pt idx="492">
                  <c:v>45714</c:v>
                </c:pt>
                <c:pt idx="493">
                  <c:v>45715</c:v>
                </c:pt>
                <c:pt idx="494">
                  <c:v>45716</c:v>
                </c:pt>
                <c:pt idx="495">
                  <c:v>45719</c:v>
                </c:pt>
                <c:pt idx="496">
                  <c:v>45720</c:v>
                </c:pt>
                <c:pt idx="497">
                  <c:v>45721</c:v>
                </c:pt>
                <c:pt idx="498">
                  <c:v>45722</c:v>
                </c:pt>
                <c:pt idx="499">
                  <c:v>45723</c:v>
                </c:pt>
                <c:pt idx="500">
                  <c:v>45726</c:v>
                </c:pt>
                <c:pt idx="501">
                  <c:v>45727</c:v>
                </c:pt>
                <c:pt idx="502">
                  <c:v>45728</c:v>
                </c:pt>
                <c:pt idx="503">
                  <c:v>45729</c:v>
                </c:pt>
                <c:pt idx="504">
                  <c:v>45730</c:v>
                </c:pt>
                <c:pt idx="505">
                  <c:v>45733</c:v>
                </c:pt>
                <c:pt idx="506">
                  <c:v>45734</c:v>
                </c:pt>
                <c:pt idx="507">
                  <c:v>45735</c:v>
                </c:pt>
                <c:pt idx="508">
                  <c:v>45736</c:v>
                </c:pt>
                <c:pt idx="509">
                  <c:v>45737</c:v>
                </c:pt>
                <c:pt idx="510">
                  <c:v>45740</c:v>
                </c:pt>
                <c:pt idx="511">
                  <c:v>45741</c:v>
                </c:pt>
                <c:pt idx="512">
                  <c:v>45742</c:v>
                </c:pt>
                <c:pt idx="513">
                  <c:v>45743</c:v>
                </c:pt>
                <c:pt idx="514">
                  <c:v>45744</c:v>
                </c:pt>
                <c:pt idx="515">
                  <c:v>45747</c:v>
                </c:pt>
                <c:pt idx="516">
                  <c:v>45748</c:v>
                </c:pt>
                <c:pt idx="517">
                  <c:v>45749</c:v>
                </c:pt>
                <c:pt idx="518">
                  <c:v>45750</c:v>
                </c:pt>
                <c:pt idx="519">
                  <c:v>45751</c:v>
                </c:pt>
                <c:pt idx="520">
                  <c:v>45755</c:v>
                </c:pt>
                <c:pt idx="521">
                  <c:v>45756</c:v>
                </c:pt>
                <c:pt idx="522">
                  <c:v>45757</c:v>
                </c:pt>
                <c:pt idx="523">
                  <c:v>45758</c:v>
                </c:pt>
                <c:pt idx="524">
                  <c:v>45761</c:v>
                </c:pt>
                <c:pt idx="525">
                  <c:v>45762</c:v>
                </c:pt>
                <c:pt idx="526">
                  <c:v>45763</c:v>
                </c:pt>
                <c:pt idx="527">
                  <c:v>45764</c:v>
                </c:pt>
                <c:pt idx="528">
                  <c:v>45765</c:v>
                </c:pt>
                <c:pt idx="529">
                  <c:v>45768</c:v>
                </c:pt>
                <c:pt idx="530">
                  <c:v>45769</c:v>
                </c:pt>
                <c:pt idx="531">
                  <c:v>45770</c:v>
                </c:pt>
                <c:pt idx="532">
                  <c:v>45771</c:v>
                </c:pt>
                <c:pt idx="533">
                  <c:v>45772</c:v>
                </c:pt>
                <c:pt idx="534">
                  <c:v>45775</c:v>
                </c:pt>
                <c:pt idx="535">
                  <c:v>45776</c:v>
                </c:pt>
                <c:pt idx="536">
                  <c:v>45782</c:v>
                </c:pt>
                <c:pt idx="537">
                  <c:v>45783</c:v>
                </c:pt>
                <c:pt idx="538">
                  <c:v>45784</c:v>
                </c:pt>
                <c:pt idx="539">
                  <c:v>45785</c:v>
                </c:pt>
                <c:pt idx="540">
                  <c:v>45786</c:v>
                </c:pt>
                <c:pt idx="541">
                  <c:v>45789</c:v>
                </c:pt>
                <c:pt idx="542">
                  <c:v>45790</c:v>
                </c:pt>
                <c:pt idx="543">
                  <c:v>45791</c:v>
                </c:pt>
                <c:pt idx="544">
                  <c:v>45792</c:v>
                </c:pt>
                <c:pt idx="545">
                  <c:v>45793</c:v>
                </c:pt>
                <c:pt idx="546">
                  <c:v>45796</c:v>
                </c:pt>
                <c:pt idx="547">
                  <c:v>45797</c:v>
                </c:pt>
                <c:pt idx="548">
                  <c:v>45798</c:v>
                </c:pt>
                <c:pt idx="549">
                  <c:v>45799</c:v>
                </c:pt>
                <c:pt idx="550">
                  <c:v>45800</c:v>
                </c:pt>
                <c:pt idx="551">
                  <c:v>45803</c:v>
                </c:pt>
                <c:pt idx="552">
                  <c:v>45804</c:v>
                </c:pt>
                <c:pt idx="553">
                  <c:v>45805</c:v>
                </c:pt>
                <c:pt idx="554">
                  <c:v>45806</c:v>
                </c:pt>
                <c:pt idx="555">
                  <c:v>45807</c:v>
                </c:pt>
                <c:pt idx="556">
                  <c:v>45810</c:v>
                </c:pt>
                <c:pt idx="557">
                  <c:v>45811</c:v>
                </c:pt>
                <c:pt idx="558">
                  <c:v>45812</c:v>
                </c:pt>
                <c:pt idx="559">
                  <c:v>45813</c:v>
                </c:pt>
                <c:pt idx="560">
                  <c:v>45814</c:v>
                </c:pt>
                <c:pt idx="561">
                  <c:v>45817</c:v>
                </c:pt>
                <c:pt idx="562">
                  <c:v>45818</c:v>
                </c:pt>
                <c:pt idx="563">
                  <c:v>45819</c:v>
                </c:pt>
                <c:pt idx="564">
                  <c:v>45820</c:v>
                </c:pt>
                <c:pt idx="565">
                  <c:v>45821</c:v>
                </c:pt>
                <c:pt idx="566">
                  <c:v>45824</c:v>
                </c:pt>
                <c:pt idx="567">
                  <c:v>45825</c:v>
                </c:pt>
                <c:pt idx="568">
                  <c:v>45826</c:v>
                </c:pt>
                <c:pt idx="569">
                  <c:v>45827</c:v>
                </c:pt>
                <c:pt idx="570">
                  <c:v>45828</c:v>
                </c:pt>
                <c:pt idx="571">
                  <c:v>45831</c:v>
                </c:pt>
                <c:pt idx="572">
                  <c:v>45832</c:v>
                </c:pt>
                <c:pt idx="573">
                  <c:v>45833</c:v>
                </c:pt>
                <c:pt idx="574">
                  <c:v>45834</c:v>
                </c:pt>
                <c:pt idx="575">
                  <c:v>45835</c:v>
                </c:pt>
                <c:pt idx="576">
                  <c:v>45838</c:v>
                </c:pt>
                <c:pt idx="577">
                  <c:v>45839</c:v>
                </c:pt>
                <c:pt idx="578">
                  <c:v>45840</c:v>
                </c:pt>
                <c:pt idx="579">
                  <c:v>45841</c:v>
                </c:pt>
                <c:pt idx="580">
                  <c:v>45842</c:v>
                </c:pt>
                <c:pt idx="581">
                  <c:v>45845</c:v>
                </c:pt>
                <c:pt idx="582">
                  <c:v>45846</c:v>
                </c:pt>
                <c:pt idx="583">
                  <c:v>45847</c:v>
                </c:pt>
                <c:pt idx="584">
                  <c:v>45848</c:v>
                </c:pt>
                <c:pt idx="585">
                  <c:v>45849</c:v>
                </c:pt>
                <c:pt idx="586">
                  <c:v>45852</c:v>
                </c:pt>
                <c:pt idx="587">
                  <c:v>45853</c:v>
                </c:pt>
                <c:pt idx="588">
                  <c:v>45854</c:v>
                </c:pt>
                <c:pt idx="589">
                  <c:v>45855</c:v>
                </c:pt>
                <c:pt idx="590">
                  <c:v>45856</c:v>
                </c:pt>
                <c:pt idx="591">
                  <c:v>45859</c:v>
                </c:pt>
                <c:pt idx="592">
                  <c:v>45860</c:v>
                </c:pt>
                <c:pt idx="593">
                  <c:v>45861</c:v>
                </c:pt>
                <c:pt idx="594">
                  <c:v>45862</c:v>
                </c:pt>
                <c:pt idx="595">
                  <c:v>45863</c:v>
                </c:pt>
                <c:pt idx="596">
                  <c:v>45866</c:v>
                </c:pt>
                <c:pt idx="597">
                  <c:v>45867</c:v>
                </c:pt>
                <c:pt idx="598">
                  <c:v>45868</c:v>
                </c:pt>
                <c:pt idx="599">
                  <c:v>45869</c:v>
                </c:pt>
                <c:pt idx="600">
                  <c:v>45870</c:v>
                </c:pt>
                <c:pt idx="601">
                  <c:v>45873</c:v>
                </c:pt>
                <c:pt idx="602">
                  <c:v>45874</c:v>
                </c:pt>
                <c:pt idx="603">
                  <c:v>45875</c:v>
                </c:pt>
                <c:pt idx="604">
                  <c:v>45876</c:v>
                </c:pt>
                <c:pt idx="605">
                  <c:v>45877</c:v>
                </c:pt>
                <c:pt idx="606">
                  <c:v>45880</c:v>
                </c:pt>
                <c:pt idx="607">
                  <c:v>45881</c:v>
                </c:pt>
                <c:pt idx="608">
                  <c:v>45882</c:v>
                </c:pt>
                <c:pt idx="609">
                  <c:v>45883</c:v>
                </c:pt>
                <c:pt idx="610">
                  <c:v>45884</c:v>
                </c:pt>
                <c:pt idx="611">
                  <c:v>45887</c:v>
                </c:pt>
                <c:pt idx="612">
                  <c:v>45888</c:v>
                </c:pt>
                <c:pt idx="613">
                  <c:v>45889</c:v>
                </c:pt>
                <c:pt idx="614">
                  <c:v>45890</c:v>
                </c:pt>
                <c:pt idx="615">
                  <c:v>45891</c:v>
                </c:pt>
                <c:pt idx="616">
                  <c:v>45894</c:v>
                </c:pt>
                <c:pt idx="617">
                  <c:v>45895</c:v>
                </c:pt>
                <c:pt idx="618">
                  <c:v>45896</c:v>
                </c:pt>
                <c:pt idx="619">
                  <c:v>45897</c:v>
                </c:pt>
                <c:pt idx="620">
                  <c:v>45898</c:v>
                </c:pt>
                <c:pt idx="621">
                  <c:v>45903</c:v>
                </c:pt>
                <c:pt idx="622">
                  <c:v>45904</c:v>
                </c:pt>
                <c:pt idx="623">
                  <c:v>45905</c:v>
                </c:pt>
                <c:pt idx="624">
                  <c:v>45908</c:v>
                </c:pt>
                <c:pt idx="625">
                  <c:v>45909</c:v>
                </c:pt>
                <c:pt idx="626">
                  <c:v>45910</c:v>
                </c:pt>
                <c:pt idx="627">
                  <c:v>45911</c:v>
                </c:pt>
                <c:pt idx="628">
                  <c:v>45912</c:v>
                </c:pt>
                <c:pt idx="629">
                  <c:v>45915</c:v>
                </c:pt>
                <c:pt idx="630">
                  <c:v>45916</c:v>
                </c:pt>
                <c:pt idx="631">
                  <c:v>45917</c:v>
                </c:pt>
                <c:pt idx="632">
                  <c:v>45918</c:v>
                </c:pt>
                <c:pt idx="633">
                  <c:v>45919</c:v>
                </c:pt>
                <c:pt idx="634">
                  <c:v>45922</c:v>
                </c:pt>
                <c:pt idx="635">
                  <c:v>45923</c:v>
                </c:pt>
                <c:pt idx="636">
                  <c:v>45924</c:v>
                </c:pt>
                <c:pt idx="637">
                  <c:v>45925</c:v>
                </c:pt>
                <c:pt idx="638">
                  <c:v>45926</c:v>
                </c:pt>
                <c:pt idx="639">
                  <c:v>45929</c:v>
                </c:pt>
                <c:pt idx="640">
                  <c:v>45930</c:v>
                </c:pt>
                <c:pt idx="641">
                  <c:v>45931</c:v>
                </c:pt>
                <c:pt idx="642">
                  <c:v>45932</c:v>
                </c:pt>
                <c:pt idx="643">
                  <c:v>45933</c:v>
                </c:pt>
                <c:pt idx="644">
                  <c:v>45936</c:v>
                </c:pt>
                <c:pt idx="645">
                  <c:v>45937</c:v>
                </c:pt>
                <c:pt idx="646">
                  <c:v>45938</c:v>
                </c:pt>
                <c:pt idx="647">
                  <c:v>45939</c:v>
                </c:pt>
                <c:pt idx="648">
                  <c:v>45940</c:v>
                </c:pt>
                <c:pt idx="649">
                  <c:v>45943</c:v>
                </c:pt>
                <c:pt idx="650">
                  <c:v>45944</c:v>
                </c:pt>
                <c:pt idx="651">
                  <c:v>45945</c:v>
                </c:pt>
                <c:pt idx="652">
                  <c:v>45946</c:v>
                </c:pt>
                <c:pt idx="653">
                  <c:v>45947</c:v>
                </c:pt>
                <c:pt idx="654">
                  <c:v>45950</c:v>
                </c:pt>
                <c:pt idx="655">
                  <c:v>45951</c:v>
                </c:pt>
                <c:pt idx="656">
                  <c:v>45952</c:v>
                </c:pt>
                <c:pt idx="657">
                  <c:v>45953</c:v>
                </c:pt>
                <c:pt idx="658">
                  <c:v>45954</c:v>
                </c:pt>
                <c:pt idx="659">
                  <c:v>45957</c:v>
                </c:pt>
                <c:pt idx="660">
                  <c:v>45958</c:v>
                </c:pt>
                <c:pt idx="661">
                  <c:v>45959</c:v>
                </c:pt>
                <c:pt idx="662">
                  <c:v>45960</c:v>
                </c:pt>
                <c:pt idx="663">
                  <c:v>45961</c:v>
                </c:pt>
                <c:pt idx="664">
                  <c:v>45964</c:v>
                </c:pt>
                <c:pt idx="665">
                  <c:v>45965</c:v>
                </c:pt>
                <c:pt idx="666">
                  <c:v>45966</c:v>
                </c:pt>
                <c:pt idx="667">
                  <c:v>45967</c:v>
                </c:pt>
                <c:pt idx="668">
                  <c:v>45968</c:v>
                </c:pt>
                <c:pt idx="669">
                  <c:v>45971</c:v>
                </c:pt>
                <c:pt idx="670">
                  <c:v>45972</c:v>
                </c:pt>
                <c:pt idx="671">
                  <c:v>45973</c:v>
                </c:pt>
                <c:pt idx="672">
                  <c:v>45974</c:v>
                </c:pt>
                <c:pt idx="673">
                  <c:v>45975</c:v>
                </c:pt>
                <c:pt idx="674">
                  <c:v>45978</c:v>
                </c:pt>
                <c:pt idx="675">
                  <c:v>45979</c:v>
                </c:pt>
                <c:pt idx="676">
                  <c:v>45980</c:v>
                </c:pt>
                <c:pt idx="677">
                  <c:v>45981</c:v>
                </c:pt>
                <c:pt idx="678">
                  <c:v>45982</c:v>
                </c:pt>
                <c:pt idx="679">
                  <c:v>45985</c:v>
                </c:pt>
                <c:pt idx="680">
                  <c:v>45986</c:v>
                </c:pt>
                <c:pt idx="681">
                  <c:v>45987</c:v>
                </c:pt>
                <c:pt idx="682">
                  <c:v>45988</c:v>
                </c:pt>
                <c:pt idx="683">
                  <c:v>45989</c:v>
                </c:pt>
                <c:pt idx="684">
                  <c:v>45992</c:v>
                </c:pt>
                <c:pt idx="685">
                  <c:v>45993</c:v>
                </c:pt>
                <c:pt idx="686">
                  <c:v>45994</c:v>
                </c:pt>
                <c:pt idx="687">
                  <c:v>45995</c:v>
                </c:pt>
                <c:pt idx="688">
                  <c:v>45996</c:v>
                </c:pt>
                <c:pt idx="689">
                  <c:v>45999</c:v>
                </c:pt>
                <c:pt idx="690">
                  <c:v>46000</c:v>
                </c:pt>
                <c:pt idx="691">
                  <c:v>46001</c:v>
                </c:pt>
                <c:pt idx="692">
                  <c:v>46002</c:v>
                </c:pt>
                <c:pt idx="693">
                  <c:v>46003</c:v>
                </c:pt>
                <c:pt idx="694">
                  <c:v>46006</c:v>
                </c:pt>
                <c:pt idx="695">
                  <c:v>46007</c:v>
                </c:pt>
                <c:pt idx="696">
                  <c:v>46008</c:v>
                </c:pt>
                <c:pt idx="697">
                  <c:v>46009</c:v>
                </c:pt>
                <c:pt idx="698">
                  <c:v>46010</c:v>
                </c:pt>
                <c:pt idx="699">
                  <c:v>46013</c:v>
                </c:pt>
                <c:pt idx="700">
                  <c:v>46014</c:v>
                </c:pt>
                <c:pt idx="701">
                  <c:v>46015</c:v>
                </c:pt>
                <c:pt idx="702">
                  <c:v>46016</c:v>
                </c:pt>
                <c:pt idx="703">
                  <c:v>46017</c:v>
                </c:pt>
                <c:pt idx="704">
                  <c:v>46020</c:v>
                </c:pt>
                <c:pt idx="705">
                  <c:v>46021</c:v>
                </c:pt>
                <c:pt idx="706">
                  <c:v>46022</c:v>
                </c:pt>
                <c:pt idx="707">
                  <c:v>46027</c:v>
                </c:pt>
                <c:pt idx="708">
                  <c:v>46028</c:v>
                </c:pt>
                <c:pt idx="709">
                  <c:v>46029</c:v>
                </c:pt>
                <c:pt idx="710">
                  <c:v>46030</c:v>
                </c:pt>
                <c:pt idx="711">
                  <c:v>46031</c:v>
                </c:pt>
                <c:pt idx="712">
                  <c:v>46034</c:v>
                </c:pt>
                <c:pt idx="713">
                  <c:v>46035</c:v>
                </c:pt>
                <c:pt idx="714">
                  <c:v>46036</c:v>
                </c:pt>
                <c:pt idx="715">
                  <c:v>46037</c:v>
                </c:pt>
                <c:pt idx="716">
                  <c:v>46038</c:v>
                </c:pt>
                <c:pt idx="717">
                  <c:v>46041</c:v>
                </c:pt>
                <c:pt idx="718">
                  <c:v>46042</c:v>
                </c:pt>
                <c:pt idx="719">
                  <c:v>46043</c:v>
                </c:pt>
                <c:pt idx="720">
                  <c:v>46044</c:v>
                </c:pt>
                <c:pt idx="721">
                  <c:v>46045</c:v>
                </c:pt>
                <c:pt idx="722">
                  <c:v>46048</c:v>
                </c:pt>
                <c:pt idx="723">
                  <c:v>46049</c:v>
                </c:pt>
                <c:pt idx="724">
                  <c:v>46050</c:v>
                </c:pt>
                <c:pt idx="725">
                  <c:v>46051</c:v>
                </c:pt>
                <c:pt idx="726">
                  <c:v>46052</c:v>
                </c:pt>
                <c:pt idx="727">
                  <c:v>46055</c:v>
                </c:pt>
                <c:pt idx="728">
                  <c:v>46056</c:v>
                </c:pt>
                <c:pt idx="729">
                  <c:v>46057</c:v>
                </c:pt>
                <c:pt idx="730">
                  <c:v>46058</c:v>
                </c:pt>
                <c:pt idx="731">
                  <c:v>46059</c:v>
                </c:pt>
                <c:pt idx="732">
                  <c:v>46062</c:v>
                </c:pt>
                <c:pt idx="733">
                  <c:v>46063</c:v>
                </c:pt>
                <c:pt idx="734">
                  <c:v>46064</c:v>
                </c:pt>
                <c:pt idx="735">
                  <c:v>46065</c:v>
                </c:pt>
                <c:pt idx="736">
                  <c:v>46066</c:v>
                </c:pt>
                <c:pt idx="737">
                  <c:v>46076</c:v>
                </c:pt>
                <c:pt idx="738">
                  <c:v>46077</c:v>
                </c:pt>
                <c:pt idx="739">
                  <c:v>46078</c:v>
                </c:pt>
                <c:pt idx="740">
                  <c:v>46079</c:v>
                </c:pt>
                <c:pt idx="741">
                  <c:v>46080</c:v>
                </c:pt>
                <c:pt idx="742">
                  <c:v>46083</c:v>
                </c:pt>
                <c:pt idx="743">
                  <c:v>46084</c:v>
                </c:pt>
                <c:pt idx="744">
                  <c:v>46085</c:v>
                </c:pt>
                <c:pt idx="745">
                  <c:v>46086</c:v>
                </c:pt>
                <c:pt idx="746">
                  <c:v>46087</c:v>
                </c:pt>
                <c:pt idx="747">
                  <c:v>45968</c:v>
                </c:pt>
              </c:numCache>
            </c:numRef>
          </c:cat>
          <c:val>
            <c:numRef>
              <c:f>'FX Data'!$C$1457:$C$2453</c:f>
              <c:numCache>
                <c:formatCode>General</c:formatCode>
                <c:ptCount val="997"/>
                <c:pt idx="0">
                  <c:v>16.3963</c:v>
                </c:pt>
                <c:pt idx="1">
                  <c:v>16.623200000000001</c:v>
                </c:pt>
                <c:pt idx="2">
                  <c:v>16.3963</c:v>
                </c:pt>
                <c:pt idx="3">
                  <c:v>16.272600000000001</c:v>
                </c:pt>
                <c:pt idx="4">
                  <c:v>16.231300000000001</c:v>
                </c:pt>
                <c:pt idx="5">
                  <c:v>16.602599999999999</c:v>
                </c:pt>
                <c:pt idx="6">
                  <c:v>16.334399999999999</c:v>
                </c:pt>
                <c:pt idx="7">
                  <c:v>16.293199999999999</c:v>
                </c:pt>
                <c:pt idx="8">
                  <c:v>16.0045</c:v>
                </c:pt>
                <c:pt idx="9">
                  <c:v>16.107600000000001</c:v>
                </c:pt>
                <c:pt idx="10">
                  <c:v>16.190100000000001</c:v>
                </c:pt>
                <c:pt idx="11">
                  <c:v>16.087</c:v>
                </c:pt>
                <c:pt idx="12">
                  <c:v>16.210699999999999</c:v>
                </c:pt>
                <c:pt idx="13">
                  <c:v>16.313800000000001</c:v>
                </c:pt>
                <c:pt idx="14">
                  <c:v>16.334399999999999</c:v>
                </c:pt>
                <c:pt idx="15">
                  <c:v>16.293199999999999</c:v>
                </c:pt>
                <c:pt idx="16">
                  <c:v>16.313800000000001</c:v>
                </c:pt>
                <c:pt idx="17">
                  <c:v>15.595000000000001</c:v>
                </c:pt>
                <c:pt idx="18">
                  <c:v>15.9498</c:v>
                </c:pt>
                <c:pt idx="19">
                  <c:v>15.871</c:v>
                </c:pt>
                <c:pt idx="20">
                  <c:v>15.890700000000001</c:v>
                </c:pt>
                <c:pt idx="21">
                  <c:v>15.8316</c:v>
                </c:pt>
                <c:pt idx="22">
                  <c:v>15.871</c:v>
                </c:pt>
                <c:pt idx="23">
                  <c:v>15.8316</c:v>
                </c:pt>
                <c:pt idx="24">
                  <c:v>15.8316</c:v>
                </c:pt>
                <c:pt idx="25">
                  <c:v>15.8316</c:v>
                </c:pt>
                <c:pt idx="26">
                  <c:v>15.6935</c:v>
                </c:pt>
                <c:pt idx="27">
                  <c:v>15.6935</c:v>
                </c:pt>
                <c:pt idx="28">
                  <c:v>15.6935</c:v>
                </c:pt>
                <c:pt idx="29">
                  <c:v>15.6541</c:v>
                </c:pt>
                <c:pt idx="30">
                  <c:v>15.634399999999999</c:v>
                </c:pt>
                <c:pt idx="31">
                  <c:v>15.6541</c:v>
                </c:pt>
                <c:pt idx="32">
                  <c:v>15.634399999999999</c:v>
                </c:pt>
                <c:pt idx="33">
                  <c:v>15.595000000000001</c:v>
                </c:pt>
                <c:pt idx="34">
                  <c:v>15.457000000000001</c:v>
                </c:pt>
                <c:pt idx="35">
                  <c:v>15.437200000000001</c:v>
                </c:pt>
                <c:pt idx="36">
                  <c:v>15.437200000000001</c:v>
                </c:pt>
                <c:pt idx="37">
                  <c:v>15.279500000000001</c:v>
                </c:pt>
                <c:pt idx="38">
                  <c:v>15.476699999999999</c:v>
                </c:pt>
                <c:pt idx="39">
                  <c:v>15.457000000000001</c:v>
                </c:pt>
                <c:pt idx="40">
                  <c:v>15.476699999999999</c:v>
                </c:pt>
                <c:pt idx="41">
                  <c:v>15.5555</c:v>
                </c:pt>
                <c:pt idx="42">
                  <c:v>15.5753</c:v>
                </c:pt>
                <c:pt idx="43">
                  <c:v>15.595000000000001</c:v>
                </c:pt>
                <c:pt idx="44">
                  <c:v>15.871</c:v>
                </c:pt>
                <c:pt idx="45">
                  <c:v>15.9696</c:v>
                </c:pt>
                <c:pt idx="46">
                  <c:v>16.068100000000001</c:v>
                </c:pt>
                <c:pt idx="47">
                  <c:v>16.068100000000001</c:v>
                </c:pt>
                <c:pt idx="48">
                  <c:v>16.344200000000001</c:v>
                </c:pt>
                <c:pt idx="49">
                  <c:v>16.324400000000001</c:v>
                </c:pt>
                <c:pt idx="50">
                  <c:v>16.2653</c:v>
                </c:pt>
                <c:pt idx="51">
                  <c:v>16.166699999999999</c:v>
                </c:pt>
                <c:pt idx="52">
                  <c:v>16.028700000000001</c:v>
                </c:pt>
                <c:pt idx="53">
                  <c:v>16.403300000000002</c:v>
                </c:pt>
                <c:pt idx="54">
                  <c:v>16.383600000000001</c:v>
                </c:pt>
                <c:pt idx="55">
                  <c:v>16.383600000000001</c:v>
                </c:pt>
                <c:pt idx="56">
                  <c:v>16.561</c:v>
                </c:pt>
                <c:pt idx="57">
                  <c:v>16.5807</c:v>
                </c:pt>
                <c:pt idx="58">
                  <c:v>16.462399999999999</c:v>
                </c:pt>
                <c:pt idx="59">
                  <c:v>16.521599999999999</c:v>
                </c:pt>
                <c:pt idx="60">
                  <c:v>16.758199999999999</c:v>
                </c:pt>
                <c:pt idx="61">
                  <c:v>16.817299999999999</c:v>
                </c:pt>
                <c:pt idx="62">
                  <c:v>16.758199999999999</c:v>
                </c:pt>
                <c:pt idx="63">
                  <c:v>16.482199999999999</c:v>
                </c:pt>
                <c:pt idx="64">
                  <c:v>16.679300000000001</c:v>
                </c:pt>
                <c:pt idx="65">
                  <c:v>16.738499999999998</c:v>
                </c:pt>
                <c:pt idx="66">
                  <c:v>16.639900000000001</c:v>
                </c:pt>
                <c:pt idx="67">
                  <c:v>16.6005</c:v>
                </c:pt>
                <c:pt idx="68">
                  <c:v>16.5807</c:v>
                </c:pt>
                <c:pt idx="69">
                  <c:v>16.659600000000001</c:v>
                </c:pt>
                <c:pt idx="70">
                  <c:v>16.699000000000002</c:v>
                </c:pt>
                <c:pt idx="71">
                  <c:v>16.8568</c:v>
                </c:pt>
                <c:pt idx="72">
                  <c:v>16.915900000000001</c:v>
                </c:pt>
                <c:pt idx="73">
                  <c:v>16.8568</c:v>
                </c:pt>
                <c:pt idx="74">
                  <c:v>16.777899999999999</c:v>
                </c:pt>
                <c:pt idx="75">
                  <c:v>16.915900000000001</c:v>
                </c:pt>
                <c:pt idx="76">
                  <c:v>17.211600000000001</c:v>
                </c:pt>
                <c:pt idx="77">
                  <c:v>17.1525</c:v>
                </c:pt>
                <c:pt idx="78">
                  <c:v>17.053899999999999</c:v>
                </c:pt>
                <c:pt idx="79">
                  <c:v>16.211300000000001</c:v>
                </c:pt>
                <c:pt idx="80">
                  <c:v>16.2867</c:v>
                </c:pt>
                <c:pt idx="81">
                  <c:v>16.399799999999999</c:v>
                </c:pt>
                <c:pt idx="82">
                  <c:v>16.215</c:v>
                </c:pt>
                <c:pt idx="83">
                  <c:v>16.171700000000001</c:v>
                </c:pt>
                <c:pt idx="84">
                  <c:v>16.323399999999999</c:v>
                </c:pt>
                <c:pt idx="85">
                  <c:v>16.323399999999999</c:v>
                </c:pt>
                <c:pt idx="86">
                  <c:v>16.258400000000002</c:v>
                </c:pt>
                <c:pt idx="87">
                  <c:v>16.323399999999999</c:v>
                </c:pt>
                <c:pt idx="88">
                  <c:v>16.431799999999999</c:v>
                </c:pt>
                <c:pt idx="89">
                  <c:v>16.973700000000001</c:v>
                </c:pt>
                <c:pt idx="90">
                  <c:v>17.125499999999999</c:v>
                </c:pt>
                <c:pt idx="91">
                  <c:v>17.060500000000001</c:v>
                </c:pt>
                <c:pt idx="92">
                  <c:v>17.017099999999999</c:v>
                </c:pt>
                <c:pt idx="93">
                  <c:v>17.407299999999999</c:v>
                </c:pt>
                <c:pt idx="94">
                  <c:v>17.559000000000001</c:v>
                </c:pt>
                <c:pt idx="95">
                  <c:v>17.559000000000001</c:v>
                </c:pt>
                <c:pt idx="96">
                  <c:v>17.624099999999999</c:v>
                </c:pt>
                <c:pt idx="97">
                  <c:v>17.927600000000002</c:v>
                </c:pt>
                <c:pt idx="98">
                  <c:v>18.144300000000001</c:v>
                </c:pt>
                <c:pt idx="99">
                  <c:v>18.296099999999999</c:v>
                </c:pt>
                <c:pt idx="100">
                  <c:v>18.5562</c:v>
                </c:pt>
                <c:pt idx="101">
                  <c:v>18.317799999999998</c:v>
                </c:pt>
                <c:pt idx="102">
                  <c:v>18.100999999999999</c:v>
                </c:pt>
                <c:pt idx="103">
                  <c:v>18.144300000000001</c:v>
                </c:pt>
                <c:pt idx="104">
                  <c:v>18.057600000000001</c:v>
                </c:pt>
                <c:pt idx="105">
                  <c:v>18.317799999999998</c:v>
                </c:pt>
                <c:pt idx="106">
                  <c:v>18.252700000000001</c:v>
                </c:pt>
                <c:pt idx="107">
                  <c:v>18.014299999999999</c:v>
                </c:pt>
                <c:pt idx="108">
                  <c:v>17.819199999999999</c:v>
                </c:pt>
                <c:pt idx="109">
                  <c:v>17.7758</c:v>
                </c:pt>
                <c:pt idx="110">
                  <c:v>17.905899999999999</c:v>
                </c:pt>
                <c:pt idx="111">
                  <c:v>18.209399999999999</c:v>
                </c:pt>
                <c:pt idx="112">
                  <c:v>18.447800000000001</c:v>
                </c:pt>
                <c:pt idx="113">
                  <c:v>18.642900000000001</c:v>
                </c:pt>
                <c:pt idx="114">
                  <c:v>18.534600000000001</c:v>
                </c:pt>
                <c:pt idx="115">
                  <c:v>18.621300000000002</c:v>
                </c:pt>
                <c:pt idx="116">
                  <c:v>18.751300000000001</c:v>
                </c:pt>
                <c:pt idx="117">
                  <c:v>18.751300000000001</c:v>
                </c:pt>
                <c:pt idx="118">
                  <c:v>19.510100000000001</c:v>
                </c:pt>
                <c:pt idx="119">
                  <c:v>19.6401</c:v>
                </c:pt>
                <c:pt idx="120">
                  <c:v>20.377199999999998</c:v>
                </c:pt>
                <c:pt idx="121">
                  <c:v>20.290500000000002</c:v>
                </c:pt>
                <c:pt idx="122">
                  <c:v>20.940799999999999</c:v>
                </c:pt>
                <c:pt idx="123">
                  <c:v>20.962499999999999</c:v>
                </c:pt>
                <c:pt idx="124">
                  <c:v>20.984100000000002</c:v>
                </c:pt>
                <c:pt idx="125">
                  <c:v>21.461099999999998</c:v>
                </c:pt>
                <c:pt idx="126">
                  <c:v>21.2226</c:v>
                </c:pt>
                <c:pt idx="127">
                  <c:v>21.157599999999999</c:v>
                </c:pt>
                <c:pt idx="128">
                  <c:v>21.1142</c:v>
                </c:pt>
                <c:pt idx="129">
                  <c:v>21.439399999999999</c:v>
                </c:pt>
                <c:pt idx="130">
                  <c:v>21.244299999999999</c:v>
                </c:pt>
                <c:pt idx="131">
                  <c:v>20.789000000000001</c:v>
                </c:pt>
                <c:pt idx="132">
                  <c:v>21.135899999999999</c:v>
                </c:pt>
                <c:pt idx="133">
                  <c:v>21.005800000000001</c:v>
                </c:pt>
                <c:pt idx="134">
                  <c:v>21.331</c:v>
                </c:pt>
                <c:pt idx="135">
                  <c:v>21.352699999999999</c:v>
                </c:pt>
                <c:pt idx="136">
                  <c:v>20.984100000000002</c:v>
                </c:pt>
                <c:pt idx="137">
                  <c:v>20.962499999999999</c:v>
                </c:pt>
                <c:pt idx="138">
                  <c:v>20.4422</c:v>
                </c:pt>
                <c:pt idx="139">
                  <c:v>20.268799999999999</c:v>
                </c:pt>
                <c:pt idx="140">
                  <c:v>20.4422</c:v>
                </c:pt>
                <c:pt idx="141">
                  <c:v>20.377199999999998</c:v>
                </c:pt>
                <c:pt idx="142">
                  <c:v>19.2121</c:v>
                </c:pt>
                <c:pt idx="143">
                  <c:v>19.294899999999998</c:v>
                </c:pt>
                <c:pt idx="144">
                  <c:v>19.087800000000001</c:v>
                </c:pt>
                <c:pt idx="145">
                  <c:v>19.149899999999999</c:v>
                </c:pt>
                <c:pt idx="146">
                  <c:v>18.9636</c:v>
                </c:pt>
                <c:pt idx="147">
                  <c:v>19.191299999999998</c:v>
                </c:pt>
                <c:pt idx="148">
                  <c:v>19.791699999999999</c:v>
                </c:pt>
                <c:pt idx="149">
                  <c:v>19.936599999999999</c:v>
                </c:pt>
                <c:pt idx="150">
                  <c:v>20.081600000000002</c:v>
                </c:pt>
                <c:pt idx="151">
                  <c:v>19.9573</c:v>
                </c:pt>
                <c:pt idx="152">
                  <c:v>19.895199999999999</c:v>
                </c:pt>
                <c:pt idx="153">
                  <c:v>20.040199999999999</c:v>
                </c:pt>
                <c:pt idx="154">
                  <c:v>19.2742</c:v>
                </c:pt>
                <c:pt idx="155">
                  <c:v>19.253499999999999</c:v>
                </c:pt>
                <c:pt idx="156">
                  <c:v>19.046399999999998</c:v>
                </c:pt>
                <c:pt idx="157">
                  <c:v>19.232800000000001</c:v>
                </c:pt>
                <c:pt idx="158">
                  <c:v>18.839400000000001</c:v>
                </c:pt>
                <c:pt idx="159">
                  <c:v>19.046399999999998</c:v>
                </c:pt>
                <c:pt idx="160">
                  <c:v>18.8187</c:v>
                </c:pt>
                <c:pt idx="161">
                  <c:v>17.969899999999999</c:v>
                </c:pt>
                <c:pt idx="162">
                  <c:v>18.011299999999999</c:v>
                </c:pt>
                <c:pt idx="163">
                  <c:v>17.597200000000001</c:v>
                </c:pt>
                <c:pt idx="164">
                  <c:v>17.183199999999999</c:v>
                </c:pt>
                <c:pt idx="165">
                  <c:v>17.680099999999999</c:v>
                </c:pt>
                <c:pt idx="166">
                  <c:v>18.4253</c:v>
                </c:pt>
                <c:pt idx="167">
                  <c:v>18.011299999999999</c:v>
                </c:pt>
                <c:pt idx="168">
                  <c:v>18.3218</c:v>
                </c:pt>
                <c:pt idx="169">
                  <c:v>18.2804</c:v>
                </c:pt>
                <c:pt idx="170">
                  <c:v>19.1706</c:v>
                </c:pt>
                <c:pt idx="171">
                  <c:v>19.149899999999999</c:v>
                </c:pt>
                <c:pt idx="172">
                  <c:v>18.942900000000002</c:v>
                </c:pt>
                <c:pt idx="173">
                  <c:v>18.9222</c:v>
                </c:pt>
                <c:pt idx="174">
                  <c:v>19.1706</c:v>
                </c:pt>
                <c:pt idx="175">
                  <c:v>19.129200000000001</c:v>
                </c:pt>
                <c:pt idx="176">
                  <c:v>19.253499999999999</c:v>
                </c:pt>
                <c:pt idx="177">
                  <c:v>18.839400000000001</c:v>
                </c:pt>
                <c:pt idx="178">
                  <c:v>18.7773</c:v>
                </c:pt>
                <c:pt idx="179">
                  <c:v>19.025700000000001</c:v>
                </c:pt>
                <c:pt idx="180">
                  <c:v>19.253499999999999</c:v>
                </c:pt>
                <c:pt idx="181">
                  <c:v>18.797999999999998</c:v>
                </c:pt>
                <c:pt idx="182">
                  <c:v>18.880800000000001</c:v>
                </c:pt>
                <c:pt idx="183">
                  <c:v>18.7773</c:v>
                </c:pt>
                <c:pt idx="184">
                  <c:v>18.860099999999999</c:v>
                </c:pt>
                <c:pt idx="185">
                  <c:v>18.984300000000001</c:v>
                </c:pt>
                <c:pt idx="186">
                  <c:v>19.025700000000001</c:v>
                </c:pt>
                <c:pt idx="187">
                  <c:v>19.129200000000001</c:v>
                </c:pt>
                <c:pt idx="188">
                  <c:v>19.377700000000001</c:v>
                </c:pt>
                <c:pt idx="189">
                  <c:v>19.626100000000001</c:v>
                </c:pt>
                <c:pt idx="190">
                  <c:v>19.6675</c:v>
                </c:pt>
                <c:pt idx="191">
                  <c:v>19.522600000000001</c:v>
                </c:pt>
                <c:pt idx="192">
                  <c:v>19.501899999999999</c:v>
                </c:pt>
                <c:pt idx="193">
                  <c:v>19.6675</c:v>
                </c:pt>
                <c:pt idx="194">
                  <c:v>20.040199999999999</c:v>
                </c:pt>
                <c:pt idx="195">
                  <c:v>19.7089</c:v>
                </c:pt>
                <c:pt idx="196">
                  <c:v>19.915900000000001</c:v>
                </c:pt>
                <c:pt idx="197">
                  <c:v>19.915900000000001</c:v>
                </c:pt>
                <c:pt idx="198">
                  <c:v>19.4605</c:v>
                </c:pt>
                <c:pt idx="199">
                  <c:v>19.584700000000002</c:v>
                </c:pt>
                <c:pt idx="200">
                  <c:v>19.605399999999999</c:v>
                </c:pt>
                <c:pt idx="201">
                  <c:v>19.688199999999998</c:v>
                </c:pt>
                <c:pt idx="202">
                  <c:v>19.584700000000002</c:v>
                </c:pt>
                <c:pt idx="203">
                  <c:v>19.874500000000001</c:v>
                </c:pt>
                <c:pt idx="204">
                  <c:v>20.123000000000001</c:v>
                </c:pt>
                <c:pt idx="205">
                  <c:v>20.0609</c:v>
                </c:pt>
                <c:pt idx="206">
                  <c:v>19.998799999999999</c:v>
                </c:pt>
                <c:pt idx="207">
                  <c:v>18.8292</c:v>
                </c:pt>
                <c:pt idx="208">
                  <c:v>18.790099999999999</c:v>
                </c:pt>
                <c:pt idx="209">
                  <c:v>18.868400000000001</c:v>
                </c:pt>
                <c:pt idx="210">
                  <c:v>19.044799999999999</c:v>
                </c:pt>
                <c:pt idx="211">
                  <c:v>19.084</c:v>
                </c:pt>
                <c:pt idx="212">
                  <c:v>19.064399999999999</c:v>
                </c:pt>
                <c:pt idx="213">
                  <c:v>18.927199999999999</c:v>
                </c:pt>
                <c:pt idx="214">
                  <c:v>18.5549</c:v>
                </c:pt>
                <c:pt idx="215">
                  <c:v>18.613700000000001</c:v>
                </c:pt>
                <c:pt idx="216">
                  <c:v>18.5549</c:v>
                </c:pt>
                <c:pt idx="217">
                  <c:v>18.6921</c:v>
                </c:pt>
                <c:pt idx="218">
                  <c:v>18.750900000000001</c:v>
                </c:pt>
                <c:pt idx="219">
                  <c:v>18.750900000000001</c:v>
                </c:pt>
                <c:pt idx="220">
                  <c:v>18.731300000000001</c:v>
                </c:pt>
                <c:pt idx="221">
                  <c:v>18.868400000000001</c:v>
                </c:pt>
                <c:pt idx="222">
                  <c:v>18.888000000000002</c:v>
                </c:pt>
                <c:pt idx="223">
                  <c:v>18.731300000000001</c:v>
                </c:pt>
                <c:pt idx="224">
                  <c:v>18.613700000000001</c:v>
                </c:pt>
                <c:pt idx="225">
                  <c:v>18.633299999999998</c:v>
                </c:pt>
                <c:pt idx="226">
                  <c:v>18.790099999999999</c:v>
                </c:pt>
                <c:pt idx="227">
                  <c:v>18.790099999999999</c:v>
                </c:pt>
                <c:pt idx="228">
                  <c:v>18.731300000000001</c:v>
                </c:pt>
                <c:pt idx="229">
                  <c:v>18.750900000000001</c:v>
                </c:pt>
                <c:pt idx="230">
                  <c:v>19.573799999999999</c:v>
                </c:pt>
                <c:pt idx="231">
                  <c:v>19.985299999999999</c:v>
                </c:pt>
                <c:pt idx="232">
                  <c:v>20.279199999999999</c:v>
                </c:pt>
                <c:pt idx="233">
                  <c:v>20.396699999999999</c:v>
                </c:pt>
                <c:pt idx="234">
                  <c:v>20.5535</c:v>
                </c:pt>
                <c:pt idx="235">
                  <c:v>20.377099999999999</c:v>
                </c:pt>
                <c:pt idx="236">
                  <c:v>20.592600000000001</c:v>
                </c:pt>
                <c:pt idx="237">
                  <c:v>20.5731</c:v>
                </c:pt>
                <c:pt idx="238">
                  <c:v>20.4359</c:v>
                </c:pt>
                <c:pt idx="239">
                  <c:v>20.749400000000001</c:v>
                </c:pt>
                <c:pt idx="240">
                  <c:v>20.494700000000002</c:v>
                </c:pt>
                <c:pt idx="241">
                  <c:v>20.357500000000002</c:v>
                </c:pt>
                <c:pt idx="242">
                  <c:v>21.160900000000002</c:v>
                </c:pt>
                <c:pt idx="243">
                  <c:v>21.141300000000001</c:v>
                </c:pt>
                <c:pt idx="244">
                  <c:v>21.258800000000001</c:v>
                </c:pt>
                <c:pt idx="245">
                  <c:v>21.3568</c:v>
                </c:pt>
                <c:pt idx="246">
                  <c:v>21.709499999999998</c:v>
                </c:pt>
                <c:pt idx="247">
                  <c:v>21.827000000000002</c:v>
                </c:pt>
                <c:pt idx="248">
                  <c:v>21.689900000000002</c:v>
                </c:pt>
                <c:pt idx="249">
                  <c:v>21.3764</c:v>
                </c:pt>
                <c:pt idx="250">
                  <c:v>21.807400000000001</c:v>
                </c:pt>
                <c:pt idx="251">
                  <c:v>21.552700000000002</c:v>
                </c:pt>
                <c:pt idx="252">
                  <c:v>21.552700000000002</c:v>
                </c:pt>
                <c:pt idx="253">
                  <c:v>21.925000000000001</c:v>
                </c:pt>
                <c:pt idx="254">
                  <c:v>22.924299999999999</c:v>
                </c:pt>
                <c:pt idx="255">
                  <c:v>22.924299999999999</c:v>
                </c:pt>
                <c:pt idx="256">
                  <c:v>22.728300000000001</c:v>
                </c:pt>
                <c:pt idx="257">
                  <c:v>22.140499999999999</c:v>
                </c:pt>
                <c:pt idx="258">
                  <c:v>21.944600000000001</c:v>
                </c:pt>
                <c:pt idx="259">
                  <c:v>22.4344</c:v>
                </c:pt>
                <c:pt idx="260">
                  <c:v>22.767499999999998</c:v>
                </c:pt>
                <c:pt idx="261">
                  <c:v>22.512799999999999</c:v>
                </c:pt>
                <c:pt idx="262">
                  <c:v>22.336500000000001</c:v>
                </c:pt>
                <c:pt idx="263">
                  <c:v>22.532399999999999</c:v>
                </c:pt>
                <c:pt idx="264">
                  <c:v>22.5716</c:v>
                </c:pt>
                <c:pt idx="265">
                  <c:v>22.943899999999999</c:v>
                </c:pt>
                <c:pt idx="266">
                  <c:v>21.831700000000001</c:v>
                </c:pt>
                <c:pt idx="267">
                  <c:v>21.887899999999998</c:v>
                </c:pt>
                <c:pt idx="268">
                  <c:v>21.9254</c:v>
                </c:pt>
                <c:pt idx="269">
                  <c:v>21.569299999999998</c:v>
                </c:pt>
                <c:pt idx="270">
                  <c:v>21.363199999999999</c:v>
                </c:pt>
                <c:pt idx="271">
                  <c:v>21.306999999999999</c:v>
                </c:pt>
                <c:pt idx="272">
                  <c:v>21.1008</c:v>
                </c:pt>
                <c:pt idx="273">
                  <c:v>21.175799999999999</c:v>
                </c:pt>
                <c:pt idx="274">
                  <c:v>21.325700000000001</c:v>
                </c:pt>
                <c:pt idx="275">
                  <c:v>21.5318</c:v>
                </c:pt>
                <c:pt idx="276">
                  <c:v>21.644300000000001</c:v>
                </c:pt>
                <c:pt idx="277">
                  <c:v>20.913399999999999</c:v>
                </c:pt>
                <c:pt idx="278">
                  <c:v>21.175799999999999</c:v>
                </c:pt>
                <c:pt idx="279">
                  <c:v>20.950900000000001</c:v>
                </c:pt>
                <c:pt idx="280">
                  <c:v>20.426200000000001</c:v>
                </c:pt>
                <c:pt idx="281">
                  <c:v>20.669799999999999</c:v>
                </c:pt>
                <c:pt idx="282">
                  <c:v>21.044599999999999</c:v>
                </c:pt>
                <c:pt idx="283">
                  <c:v>22.5063</c:v>
                </c:pt>
                <c:pt idx="284">
                  <c:v>23.087199999999999</c:v>
                </c:pt>
                <c:pt idx="285">
                  <c:v>23.087199999999999</c:v>
                </c:pt>
                <c:pt idx="286">
                  <c:v>23.855499999999999</c:v>
                </c:pt>
                <c:pt idx="287">
                  <c:v>23.5932</c:v>
                </c:pt>
                <c:pt idx="288">
                  <c:v>23.911799999999999</c:v>
                </c:pt>
                <c:pt idx="289">
                  <c:v>24.6051</c:v>
                </c:pt>
                <c:pt idx="290">
                  <c:v>24.5489</c:v>
                </c:pt>
                <c:pt idx="291">
                  <c:v>24.4177</c:v>
                </c:pt>
                <c:pt idx="292">
                  <c:v>24.5489</c:v>
                </c:pt>
                <c:pt idx="293">
                  <c:v>24.305299999999999</c:v>
                </c:pt>
                <c:pt idx="294">
                  <c:v>24.455200000000001</c:v>
                </c:pt>
                <c:pt idx="295">
                  <c:v>25.129799999999999</c:v>
                </c:pt>
                <c:pt idx="296">
                  <c:v>25.3735</c:v>
                </c:pt>
                <c:pt idx="297">
                  <c:v>25.204799999999999</c:v>
                </c:pt>
                <c:pt idx="298">
                  <c:v>24.9237</c:v>
                </c:pt>
                <c:pt idx="299">
                  <c:v>25.485900000000001</c:v>
                </c:pt>
                <c:pt idx="300">
                  <c:v>25.860700000000001</c:v>
                </c:pt>
                <c:pt idx="301">
                  <c:v>25.766999999999999</c:v>
                </c:pt>
                <c:pt idx="302">
                  <c:v>24.717600000000001</c:v>
                </c:pt>
                <c:pt idx="303">
                  <c:v>24.886199999999999</c:v>
                </c:pt>
                <c:pt idx="304">
                  <c:v>25.673300000000001</c:v>
                </c:pt>
                <c:pt idx="305">
                  <c:v>25.4297</c:v>
                </c:pt>
                <c:pt idx="306">
                  <c:v>25.298500000000001</c:v>
                </c:pt>
                <c:pt idx="307">
                  <c:v>25.223500000000001</c:v>
                </c:pt>
                <c:pt idx="308">
                  <c:v>25.654499999999999</c:v>
                </c:pt>
                <c:pt idx="309">
                  <c:v>26.066800000000001</c:v>
                </c:pt>
                <c:pt idx="310">
                  <c:v>26.254200000000001</c:v>
                </c:pt>
                <c:pt idx="311">
                  <c:v>26.160499999999999</c:v>
                </c:pt>
                <c:pt idx="312">
                  <c:v>26.610299999999999</c:v>
                </c:pt>
                <c:pt idx="313">
                  <c:v>26.985099999999999</c:v>
                </c:pt>
                <c:pt idx="314">
                  <c:v>27.453600000000002</c:v>
                </c:pt>
                <c:pt idx="315">
                  <c:v>28.4468</c:v>
                </c:pt>
                <c:pt idx="316">
                  <c:v>28.015699999999999</c:v>
                </c:pt>
                <c:pt idx="317">
                  <c:v>28.231200000000001</c:v>
                </c:pt>
                <c:pt idx="318">
                  <c:v>27.757100000000001</c:v>
                </c:pt>
                <c:pt idx="319">
                  <c:v>27.584700000000002</c:v>
                </c:pt>
                <c:pt idx="320">
                  <c:v>28.338999999999999</c:v>
                </c:pt>
                <c:pt idx="321">
                  <c:v>28.726900000000001</c:v>
                </c:pt>
                <c:pt idx="322">
                  <c:v>29.330300000000001</c:v>
                </c:pt>
                <c:pt idx="323">
                  <c:v>28.468299999999999</c:v>
                </c:pt>
                <c:pt idx="324">
                  <c:v>28.015699999999999</c:v>
                </c:pt>
                <c:pt idx="325">
                  <c:v>28.403700000000001</c:v>
                </c:pt>
                <c:pt idx="326">
                  <c:v>28.619199999999999</c:v>
                </c:pt>
                <c:pt idx="327">
                  <c:v>26.7088</c:v>
                </c:pt>
                <c:pt idx="328">
                  <c:v>26.32</c:v>
                </c:pt>
                <c:pt idx="329">
                  <c:v>26.197199999999999</c:v>
                </c:pt>
                <c:pt idx="330">
                  <c:v>26.811199999999999</c:v>
                </c:pt>
                <c:pt idx="331">
                  <c:v>27.793600000000001</c:v>
                </c:pt>
                <c:pt idx="332">
                  <c:v>28.3871</c:v>
                </c:pt>
                <c:pt idx="333">
                  <c:v>28.571300000000001</c:v>
                </c:pt>
                <c:pt idx="334">
                  <c:v>28.141500000000001</c:v>
                </c:pt>
                <c:pt idx="335">
                  <c:v>27.4252</c:v>
                </c:pt>
                <c:pt idx="336">
                  <c:v>27.220500000000001</c:v>
                </c:pt>
                <c:pt idx="337">
                  <c:v>27.3842</c:v>
                </c:pt>
                <c:pt idx="338">
                  <c:v>27.159099999999999</c:v>
                </c:pt>
                <c:pt idx="339">
                  <c:v>27.4252</c:v>
                </c:pt>
                <c:pt idx="340">
                  <c:v>26.9954</c:v>
                </c:pt>
                <c:pt idx="341">
                  <c:v>26.1767</c:v>
                </c:pt>
                <c:pt idx="342">
                  <c:v>25.787800000000001</c:v>
                </c:pt>
                <c:pt idx="343">
                  <c:v>25.399000000000001</c:v>
                </c:pt>
                <c:pt idx="344">
                  <c:v>25.685500000000001</c:v>
                </c:pt>
                <c:pt idx="345">
                  <c:v>25.787800000000001</c:v>
                </c:pt>
                <c:pt idx="346">
                  <c:v>25.583200000000001</c:v>
                </c:pt>
                <c:pt idx="347">
                  <c:v>26.197199999999999</c:v>
                </c:pt>
                <c:pt idx="348">
                  <c:v>26.401800000000001</c:v>
                </c:pt>
                <c:pt idx="349">
                  <c:v>26.197199999999999</c:v>
                </c:pt>
                <c:pt idx="350">
                  <c:v>26.32</c:v>
                </c:pt>
                <c:pt idx="351">
                  <c:v>25.542200000000001</c:v>
                </c:pt>
                <c:pt idx="352">
                  <c:v>25.2148</c:v>
                </c:pt>
                <c:pt idx="353">
                  <c:v>24.273299999999999</c:v>
                </c:pt>
                <c:pt idx="354">
                  <c:v>24.723600000000001</c:v>
                </c:pt>
                <c:pt idx="355">
                  <c:v>24.969200000000001</c:v>
                </c:pt>
                <c:pt idx="356">
                  <c:v>24.846399999999999</c:v>
                </c:pt>
                <c:pt idx="357">
                  <c:v>25.972000000000001</c:v>
                </c:pt>
                <c:pt idx="358">
                  <c:v>26.6065</c:v>
                </c:pt>
                <c:pt idx="359">
                  <c:v>26.545100000000001</c:v>
                </c:pt>
                <c:pt idx="360">
                  <c:v>26.504200000000001</c:v>
                </c:pt>
                <c:pt idx="361">
                  <c:v>26.340399999999999</c:v>
                </c:pt>
                <c:pt idx="362">
                  <c:v>26.729299999999999</c:v>
                </c:pt>
                <c:pt idx="363">
                  <c:v>26.7088</c:v>
                </c:pt>
                <c:pt idx="364">
                  <c:v>26.913499999999999</c:v>
                </c:pt>
                <c:pt idx="365">
                  <c:v>27.322800000000001</c:v>
                </c:pt>
                <c:pt idx="366">
                  <c:v>27.3842</c:v>
                </c:pt>
                <c:pt idx="367">
                  <c:v>27.241</c:v>
                </c:pt>
                <c:pt idx="368">
                  <c:v>26.913499999999999</c:v>
                </c:pt>
                <c:pt idx="369">
                  <c:v>27.118200000000002</c:v>
                </c:pt>
                <c:pt idx="370">
                  <c:v>27.2819</c:v>
                </c:pt>
                <c:pt idx="371">
                  <c:v>27.363800000000001</c:v>
                </c:pt>
                <c:pt idx="372">
                  <c:v>27.588899999999999</c:v>
                </c:pt>
                <c:pt idx="373">
                  <c:v>27.220500000000001</c:v>
                </c:pt>
                <c:pt idx="374">
                  <c:v>26.729299999999999</c:v>
                </c:pt>
                <c:pt idx="375">
                  <c:v>27.036300000000001</c:v>
                </c:pt>
                <c:pt idx="376">
                  <c:v>26.872599999999998</c:v>
                </c:pt>
                <c:pt idx="377">
                  <c:v>26.6065</c:v>
                </c:pt>
                <c:pt idx="378">
                  <c:v>26.729299999999999</c:v>
                </c:pt>
                <c:pt idx="379">
                  <c:v>27.077200000000001</c:v>
                </c:pt>
                <c:pt idx="380">
                  <c:v>27.220500000000001</c:v>
                </c:pt>
                <c:pt idx="381">
                  <c:v>26.831600000000002</c:v>
                </c:pt>
                <c:pt idx="382">
                  <c:v>27.2</c:v>
                </c:pt>
                <c:pt idx="383">
                  <c:v>27.547999999999998</c:v>
                </c:pt>
                <c:pt idx="384">
                  <c:v>27.6708</c:v>
                </c:pt>
                <c:pt idx="385">
                  <c:v>27.691199999999998</c:v>
                </c:pt>
                <c:pt idx="386">
                  <c:v>27.4252</c:v>
                </c:pt>
                <c:pt idx="387">
                  <c:v>27.5275</c:v>
                </c:pt>
                <c:pt idx="388">
                  <c:v>27.588899999999999</c:v>
                </c:pt>
                <c:pt idx="389">
                  <c:v>27.486599999999999</c:v>
                </c:pt>
                <c:pt idx="390">
                  <c:v>27.466100000000001</c:v>
                </c:pt>
                <c:pt idx="391">
                  <c:v>26.243500000000001</c:v>
                </c:pt>
                <c:pt idx="392">
                  <c:v>26.5167</c:v>
                </c:pt>
                <c:pt idx="393">
                  <c:v>26.4191</c:v>
                </c:pt>
                <c:pt idx="394">
                  <c:v>26.146000000000001</c:v>
                </c:pt>
                <c:pt idx="395">
                  <c:v>26.165500000000002</c:v>
                </c:pt>
                <c:pt idx="396">
                  <c:v>26.165500000000002</c:v>
                </c:pt>
                <c:pt idx="397">
                  <c:v>26.1069</c:v>
                </c:pt>
                <c:pt idx="398">
                  <c:v>26.4191</c:v>
                </c:pt>
                <c:pt idx="399">
                  <c:v>27.648399999999999</c:v>
                </c:pt>
                <c:pt idx="400">
                  <c:v>27.238600000000002</c:v>
                </c:pt>
                <c:pt idx="401">
                  <c:v>26.848400000000002</c:v>
                </c:pt>
                <c:pt idx="402">
                  <c:v>26.731300000000001</c:v>
                </c:pt>
                <c:pt idx="403">
                  <c:v>26.5947</c:v>
                </c:pt>
                <c:pt idx="404">
                  <c:v>26.731300000000001</c:v>
                </c:pt>
                <c:pt idx="405">
                  <c:v>26.731300000000001</c:v>
                </c:pt>
                <c:pt idx="406">
                  <c:v>26.438600000000001</c:v>
                </c:pt>
                <c:pt idx="407">
                  <c:v>25.970400000000001</c:v>
                </c:pt>
                <c:pt idx="408">
                  <c:v>26.184999999999999</c:v>
                </c:pt>
                <c:pt idx="409">
                  <c:v>26.204499999999999</c:v>
                </c:pt>
                <c:pt idx="410">
                  <c:v>26.146000000000001</c:v>
                </c:pt>
                <c:pt idx="411">
                  <c:v>26.3216</c:v>
                </c:pt>
                <c:pt idx="412">
                  <c:v>26.4191</c:v>
                </c:pt>
                <c:pt idx="413">
                  <c:v>26.5167</c:v>
                </c:pt>
                <c:pt idx="414">
                  <c:v>26.5167</c:v>
                </c:pt>
                <c:pt idx="415">
                  <c:v>26.263000000000002</c:v>
                </c:pt>
                <c:pt idx="416">
                  <c:v>25.911799999999999</c:v>
                </c:pt>
                <c:pt idx="417">
                  <c:v>25.872800000000002</c:v>
                </c:pt>
                <c:pt idx="418">
                  <c:v>26.263000000000002</c:v>
                </c:pt>
                <c:pt idx="419">
                  <c:v>26.360600000000002</c:v>
                </c:pt>
                <c:pt idx="420">
                  <c:v>26.497199999999999</c:v>
                </c:pt>
                <c:pt idx="421">
                  <c:v>26.984999999999999</c:v>
                </c:pt>
                <c:pt idx="422">
                  <c:v>26.692299999999999</c:v>
                </c:pt>
                <c:pt idx="423">
                  <c:v>26.8874</c:v>
                </c:pt>
                <c:pt idx="424">
                  <c:v>26.536200000000001</c:v>
                </c:pt>
                <c:pt idx="425">
                  <c:v>26.1265</c:v>
                </c:pt>
                <c:pt idx="426">
                  <c:v>26.146000000000001</c:v>
                </c:pt>
                <c:pt idx="427">
                  <c:v>25.365500000000001</c:v>
                </c:pt>
                <c:pt idx="428">
                  <c:v>25.8338</c:v>
                </c:pt>
                <c:pt idx="429">
                  <c:v>25.950800000000001</c:v>
                </c:pt>
                <c:pt idx="430">
                  <c:v>26.1265</c:v>
                </c:pt>
                <c:pt idx="431">
                  <c:v>26.1265</c:v>
                </c:pt>
                <c:pt idx="432">
                  <c:v>26.380099999999999</c:v>
                </c:pt>
                <c:pt idx="433">
                  <c:v>27.102</c:v>
                </c:pt>
                <c:pt idx="434">
                  <c:v>27.1996</c:v>
                </c:pt>
                <c:pt idx="435">
                  <c:v>28.1557</c:v>
                </c:pt>
                <c:pt idx="436">
                  <c:v>27.745899999999999</c:v>
                </c:pt>
                <c:pt idx="437">
                  <c:v>28.292300000000001</c:v>
                </c:pt>
                <c:pt idx="438">
                  <c:v>27.999600000000001</c:v>
                </c:pt>
                <c:pt idx="439">
                  <c:v>28.975200000000001</c:v>
                </c:pt>
                <c:pt idx="440">
                  <c:v>29.170300000000001</c:v>
                </c:pt>
                <c:pt idx="441">
                  <c:v>28.682500000000001</c:v>
                </c:pt>
                <c:pt idx="442">
                  <c:v>29.170300000000001</c:v>
                </c:pt>
                <c:pt idx="443">
                  <c:v>29.365400000000001</c:v>
                </c:pt>
                <c:pt idx="444">
                  <c:v>29.306899999999999</c:v>
                </c:pt>
                <c:pt idx="445">
                  <c:v>29.170300000000001</c:v>
                </c:pt>
                <c:pt idx="446">
                  <c:v>29.2484</c:v>
                </c:pt>
                <c:pt idx="447">
                  <c:v>28.877600000000001</c:v>
                </c:pt>
                <c:pt idx="448">
                  <c:v>29.014199999999999</c:v>
                </c:pt>
                <c:pt idx="449">
                  <c:v>28.897099999999998</c:v>
                </c:pt>
                <c:pt idx="450">
                  <c:v>29.170300000000001</c:v>
                </c:pt>
                <c:pt idx="451">
                  <c:v>29.2288</c:v>
                </c:pt>
                <c:pt idx="452">
                  <c:v>29.3459</c:v>
                </c:pt>
                <c:pt idx="453">
                  <c:v>29.423999999999999</c:v>
                </c:pt>
                <c:pt idx="454">
                  <c:v>29.2288</c:v>
                </c:pt>
                <c:pt idx="455">
                  <c:v>29.189800000000002</c:v>
                </c:pt>
                <c:pt idx="456">
                  <c:v>29.365400000000001</c:v>
                </c:pt>
                <c:pt idx="457">
                  <c:v>28.3934</c:v>
                </c:pt>
                <c:pt idx="458">
                  <c:v>28.3004</c:v>
                </c:pt>
                <c:pt idx="459">
                  <c:v>27.741800000000001</c:v>
                </c:pt>
                <c:pt idx="460">
                  <c:v>27.797699999999999</c:v>
                </c:pt>
                <c:pt idx="461">
                  <c:v>27.9466</c:v>
                </c:pt>
                <c:pt idx="462">
                  <c:v>27.611499999999999</c:v>
                </c:pt>
                <c:pt idx="463">
                  <c:v>27.704599999999999</c:v>
                </c:pt>
                <c:pt idx="464">
                  <c:v>27.4253</c:v>
                </c:pt>
                <c:pt idx="465">
                  <c:v>27.481100000000001</c:v>
                </c:pt>
                <c:pt idx="466">
                  <c:v>27.015699999999999</c:v>
                </c:pt>
                <c:pt idx="467">
                  <c:v>27.0901</c:v>
                </c:pt>
                <c:pt idx="468">
                  <c:v>27.276299999999999</c:v>
                </c:pt>
                <c:pt idx="469">
                  <c:v>27.741800000000001</c:v>
                </c:pt>
                <c:pt idx="470">
                  <c:v>27.928000000000001</c:v>
                </c:pt>
                <c:pt idx="471">
                  <c:v>27.909400000000002</c:v>
                </c:pt>
                <c:pt idx="472">
                  <c:v>27.8721</c:v>
                </c:pt>
                <c:pt idx="473">
                  <c:v>28.7286</c:v>
                </c:pt>
                <c:pt idx="474">
                  <c:v>28.561</c:v>
                </c:pt>
                <c:pt idx="475">
                  <c:v>27.0901</c:v>
                </c:pt>
                <c:pt idx="476">
                  <c:v>27.220500000000001</c:v>
                </c:pt>
                <c:pt idx="477">
                  <c:v>27.239100000000001</c:v>
                </c:pt>
                <c:pt idx="478">
                  <c:v>27.276299999999999</c:v>
                </c:pt>
                <c:pt idx="479">
                  <c:v>27.201899999999998</c:v>
                </c:pt>
                <c:pt idx="480">
                  <c:v>26.438500000000001</c:v>
                </c:pt>
                <c:pt idx="481">
                  <c:v>27.0715</c:v>
                </c:pt>
                <c:pt idx="482">
                  <c:v>26.997</c:v>
                </c:pt>
                <c:pt idx="483">
                  <c:v>26.6433</c:v>
                </c:pt>
                <c:pt idx="484">
                  <c:v>26.978400000000001</c:v>
                </c:pt>
                <c:pt idx="485">
                  <c:v>26.7364</c:v>
                </c:pt>
                <c:pt idx="486">
                  <c:v>26.792200000000001</c:v>
                </c:pt>
                <c:pt idx="487">
                  <c:v>26.8109</c:v>
                </c:pt>
                <c:pt idx="488">
                  <c:v>26.624700000000001</c:v>
                </c:pt>
                <c:pt idx="489">
                  <c:v>26.438500000000001</c:v>
                </c:pt>
                <c:pt idx="490">
                  <c:v>26.159199999999998</c:v>
                </c:pt>
                <c:pt idx="491">
                  <c:v>25.879899999999999</c:v>
                </c:pt>
                <c:pt idx="492">
                  <c:v>26.401299999999999</c:v>
                </c:pt>
                <c:pt idx="493">
                  <c:v>26.308199999999999</c:v>
                </c:pt>
                <c:pt idx="494">
                  <c:v>26.122</c:v>
                </c:pt>
                <c:pt idx="495">
                  <c:v>26.159199999999998</c:v>
                </c:pt>
                <c:pt idx="496">
                  <c:v>26.066099999999999</c:v>
                </c:pt>
                <c:pt idx="497">
                  <c:v>25.898499999999999</c:v>
                </c:pt>
                <c:pt idx="498">
                  <c:v>26.364000000000001</c:v>
                </c:pt>
                <c:pt idx="499">
                  <c:v>26.326799999999999</c:v>
                </c:pt>
                <c:pt idx="500">
                  <c:v>25.9358</c:v>
                </c:pt>
                <c:pt idx="501">
                  <c:v>25.6007</c:v>
                </c:pt>
                <c:pt idx="502">
                  <c:v>25.302800000000001</c:v>
                </c:pt>
                <c:pt idx="503">
                  <c:v>25.4145</c:v>
                </c:pt>
                <c:pt idx="504">
                  <c:v>24.4649</c:v>
                </c:pt>
                <c:pt idx="505">
                  <c:v>24.2043</c:v>
                </c:pt>
                <c:pt idx="506">
                  <c:v>24.2043</c:v>
                </c:pt>
                <c:pt idx="507">
                  <c:v>23.198799999999999</c:v>
                </c:pt>
                <c:pt idx="508">
                  <c:v>23.273299999999999</c:v>
                </c:pt>
                <c:pt idx="509">
                  <c:v>23.831900000000001</c:v>
                </c:pt>
                <c:pt idx="510">
                  <c:v>24.0181</c:v>
                </c:pt>
                <c:pt idx="511">
                  <c:v>23.552600000000002</c:v>
                </c:pt>
                <c:pt idx="512">
                  <c:v>22.9009</c:v>
                </c:pt>
                <c:pt idx="513">
                  <c:v>23.496700000000001</c:v>
                </c:pt>
                <c:pt idx="514">
                  <c:v>23.0871</c:v>
                </c:pt>
                <c:pt idx="515">
                  <c:v>21.539200000000001</c:v>
                </c:pt>
                <c:pt idx="516">
                  <c:v>21.450199999999999</c:v>
                </c:pt>
                <c:pt idx="517">
                  <c:v>21.717300000000002</c:v>
                </c:pt>
                <c:pt idx="518">
                  <c:v>20.2042</c:v>
                </c:pt>
                <c:pt idx="519">
                  <c:v>20.115200000000002</c:v>
                </c:pt>
                <c:pt idx="520">
                  <c:v>18.7089</c:v>
                </c:pt>
                <c:pt idx="521">
                  <c:v>18.744499999999999</c:v>
                </c:pt>
                <c:pt idx="522">
                  <c:v>20.044</c:v>
                </c:pt>
                <c:pt idx="523">
                  <c:v>21.094200000000001</c:v>
                </c:pt>
                <c:pt idx="524">
                  <c:v>21.094200000000001</c:v>
                </c:pt>
                <c:pt idx="525">
                  <c:v>20.6492</c:v>
                </c:pt>
                <c:pt idx="526">
                  <c:v>19.2073</c:v>
                </c:pt>
                <c:pt idx="527">
                  <c:v>19.474299999999999</c:v>
                </c:pt>
                <c:pt idx="528">
                  <c:v>19.8659</c:v>
                </c:pt>
                <c:pt idx="529">
                  <c:v>19.883700000000001</c:v>
                </c:pt>
                <c:pt idx="530">
                  <c:v>19.6523</c:v>
                </c:pt>
                <c:pt idx="531">
                  <c:v>19.6523</c:v>
                </c:pt>
                <c:pt idx="532">
                  <c:v>19.937200000000001</c:v>
                </c:pt>
                <c:pt idx="533">
                  <c:v>20.008400000000002</c:v>
                </c:pt>
                <c:pt idx="534">
                  <c:v>19.492100000000001</c:v>
                </c:pt>
                <c:pt idx="535">
                  <c:v>19.474299999999999</c:v>
                </c:pt>
                <c:pt idx="536">
                  <c:v>19.331900000000001</c:v>
                </c:pt>
                <c:pt idx="537">
                  <c:v>19.527699999999999</c:v>
                </c:pt>
                <c:pt idx="538">
                  <c:v>19.527699999999999</c:v>
                </c:pt>
                <c:pt idx="539">
                  <c:v>20.346599999999999</c:v>
                </c:pt>
                <c:pt idx="540">
                  <c:v>20.6492</c:v>
                </c:pt>
                <c:pt idx="541">
                  <c:v>21.058599999999998</c:v>
                </c:pt>
                <c:pt idx="542">
                  <c:v>21.272200000000002</c:v>
                </c:pt>
                <c:pt idx="543">
                  <c:v>22.482700000000001</c:v>
                </c:pt>
                <c:pt idx="544">
                  <c:v>22.251300000000001</c:v>
                </c:pt>
                <c:pt idx="545">
                  <c:v>21.539200000000001</c:v>
                </c:pt>
                <c:pt idx="546">
                  <c:v>21.040800000000001</c:v>
                </c:pt>
                <c:pt idx="547">
                  <c:v>21.218800000000002</c:v>
                </c:pt>
                <c:pt idx="548">
                  <c:v>21.058599999999998</c:v>
                </c:pt>
                <c:pt idx="549">
                  <c:v>20.791599999999999</c:v>
                </c:pt>
                <c:pt idx="550">
                  <c:v>20.844999999999999</c:v>
                </c:pt>
                <c:pt idx="551">
                  <c:v>20.880600000000001</c:v>
                </c:pt>
                <c:pt idx="552">
                  <c:v>21.183199999999999</c:v>
                </c:pt>
                <c:pt idx="553">
                  <c:v>21.0764</c:v>
                </c:pt>
                <c:pt idx="554">
                  <c:v>20.844999999999999</c:v>
                </c:pt>
                <c:pt idx="555">
                  <c:v>20.738199999999999</c:v>
                </c:pt>
                <c:pt idx="556">
                  <c:v>20.667000000000002</c:v>
                </c:pt>
                <c:pt idx="557">
                  <c:v>20.898399999999999</c:v>
                </c:pt>
                <c:pt idx="558">
                  <c:v>20.844999999999999</c:v>
                </c:pt>
                <c:pt idx="559">
                  <c:v>20.791599999999999</c:v>
                </c:pt>
                <c:pt idx="560">
                  <c:v>20.4712</c:v>
                </c:pt>
                <c:pt idx="561">
                  <c:v>20.684799999999999</c:v>
                </c:pt>
                <c:pt idx="562">
                  <c:v>20.595800000000001</c:v>
                </c:pt>
                <c:pt idx="563">
                  <c:v>20.987400000000001</c:v>
                </c:pt>
                <c:pt idx="564">
                  <c:v>20.827200000000001</c:v>
                </c:pt>
                <c:pt idx="565">
                  <c:v>20.542400000000001</c:v>
                </c:pt>
                <c:pt idx="566">
                  <c:v>21.183199999999999</c:v>
                </c:pt>
                <c:pt idx="567">
                  <c:v>21.147600000000001</c:v>
                </c:pt>
                <c:pt idx="568">
                  <c:v>20.827200000000001</c:v>
                </c:pt>
                <c:pt idx="569">
                  <c:v>20.6492</c:v>
                </c:pt>
                <c:pt idx="570">
                  <c:v>20.667000000000002</c:v>
                </c:pt>
                <c:pt idx="571">
                  <c:v>20.631399999999999</c:v>
                </c:pt>
                <c:pt idx="572">
                  <c:v>20.738199999999999</c:v>
                </c:pt>
                <c:pt idx="573">
                  <c:v>20.844999999999999</c:v>
                </c:pt>
                <c:pt idx="574">
                  <c:v>20.827200000000001</c:v>
                </c:pt>
                <c:pt idx="575">
                  <c:v>20.880600000000001</c:v>
                </c:pt>
                <c:pt idx="576">
                  <c:v>20.178799999999999</c:v>
                </c:pt>
                <c:pt idx="577">
                  <c:v>20.281199999999998</c:v>
                </c:pt>
                <c:pt idx="578">
                  <c:v>20.2471</c:v>
                </c:pt>
                <c:pt idx="579">
                  <c:v>20.1447</c:v>
                </c:pt>
                <c:pt idx="580">
                  <c:v>20.9129</c:v>
                </c:pt>
                <c:pt idx="581">
                  <c:v>21.134799999999998</c:v>
                </c:pt>
                <c:pt idx="582">
                  <c:v>21.254300000000001</c:v>
                </c:pt>
                <c:pt idx="583">
                  <c:v>20.964099999999998</c:v>
                </c:pt>
                <c:pt idx="584">
                  <c:v>21.151900000000001</c:v>
                </c:pt>
                <c:pt idx="585">
                  <c:v>21.6128</c:v>
                </c:pt>
                <c:pt idx="586">
                  <c:v>21.6982</c:v>
                </c:pt>
                <c:pt idx="587">
                  <c:v>21.510400000000001</c:v>
                </c:pt>
                <c:pt idx="588">
                  <c:v>21.561599999999999</c:v>
                </c:pt>
                <c:pt idx="589">
                  <c:v>21.681100000000001</c:v>
                </c:pt>
                <c:pt idx="590">
                  <c:v>21.510400000000001</c:v>
                </c:pt>
                <c:pt idx="591">
                  <c:v>21.654599999999999</c:v>
                </c:pt>
                <c:pt idx="592">
                  <c:v>22.007999999999999</c:v>
                </c:pt>
                <c:pt idx="593">
                  <c:v>21.949100000000001</c:v>
                </c:pt>
                <c:pt idx="594">
                  <c:v>21.811699999999998</c:v>
                </c:pt>
                <c:pt idx="595">
                  <c:v>21.7332</c:v>
                </c:pt>
                <c:pt idx="596">
                  <c:v>21.850999999999999</c:v>
                </c:pt>
                <c:pt idx="597">
                  <c:v>20.810400000000001</c:v>
                </c:pt>
                <c:pt idx="598">
                  <c:v>20.830100000000002</c:v>
                </c:pt>
                <c:pt idx="599">
                  <c:v>20.4178</c:v>
                </c:pt>
                <c:pt idx="600">
                  <c:v>21.006799999999998</c:v>
                </c:pt>
                <c:pt idx="601">
                  <c:v>20.9282</c:v>
                </c:pt>
                <c:pt idx="602">
                  <c:v>20.7712</c:v>
                </c:pt>
                <c:pt idx="603">
                  <c:v>20.5945</c:v>
                </c:pt>
                <c:pt idx="604">
                  <c:v>20.849699999999999</c:v>
                </c:pt>
                <c:pt idx="605">
                  <c:v>20.7319</c:v>
                </c:pt>
                <c:pt idx="606">
                  <c:v>20.888999999999999</c:v>
                </c:pt>
                <c:pt idx="607">
                  <c:v>21.104900000000001</c:v>
                </c:pt>
                <c:pt idx="608">
                  <c:v>20.633800000000001</c:v>
                </c:pt>
                <c:pt idx="609">
                  <c:v>20.378499999999999</c:v>
                </c:pt>
                <c:pt idx="610">
                  <c:v>19.907399999999999</c:v>
                </c:pt>
                <c:pt idx="611">
                  <c:v>19.730699999999999</c:v>
                </c:pt>
                <c:pt idx="612">
                  <c:v>19.691400000000002</c:v>
                </c:pt>
                <c:pt idx="613">
                  <c:v>19.181000000000001</c:v>
                </c:pt>
                <c:pt idx="614">
                  <c:v>19.9663</c:v>
                </c:pt>
                <c:pt idx="615">
                  <c:v>19.436199999999999</c:v>
                </c:pt>
                <c:pt idx="616">
                  <c:v>19.396899999999999</c:v>
                </c:pt>
                <c:pt idx="617">
                  <c:v>19.6325</c:v>
                </c:pt>
                <c:pt idx="618">
                  <c:v>20.614100000000001</c:v>
                </c:pt>
                <c:pt idx="619">
                  <c:v>20.515999999999998</c:v>
                </c:pt>
                <c:pt idx="620">
                  <c:v>19.9466</c:v>
                </c:pt>
                <c:pt idx="621">
                  <c:v>20.2607</c:v>
                </c:pt>
                <c:pt idx="622">
                  <c:v>20.614100000000001</c:v>
                </c:pt>
                <c:pt idx="623">
                  <c:v>20.3</c:v>
                </c:pt>
                <c:pt idx="624">
                  <c:v>20.005500000000001</c:v>
                </c:pt>
                <c:pt idx="625">
                  <c:v>20.044799999999999</c:v>
                </c:pt>
                <c:pt idx="626">
                  <c:v>19.868099999999998</c:v>
                </c:pt>
                <c:pt idx="627">
                  <c:v>20.025099999999998</c:v>
                </c:pt>
                <c:pt idx="628">
                  <c:v>19.9466</c:v>
                </c:pt>
                <c:pt idx="629">
                  <c:v>20.005500000000001</c:v>
                </c:pt>
                <c:pt idx="630">
                  <c:v>20.319600000000001</c:v>
                </c:pt>
                <c:pt idx="631">
                  <c:v>20.712299999999999</c:v>
                </c:pt>
                <c:pt idx="632">
                  <c:v>20.221499999999999</c:v>
                </c:pt>
                <c:pt idx="633">
                  <c:v>20.221499999999999</c:v>
                </c:pt>
                <c:pt idx="634">
                  <c:v>19.573599999999999</c:v>
                </c:pt>
                <c:pt idx="635">
                  <c:v>19.239799999999999</c:v>
                </c:pt>
                <c:pt idx="636">
                  <c:v>19.534300000000002</c:v>
                </c:pt>
                <c:pt idx="637">
                  <c:v>19.239799999999999</c:v>
                </c:pt>
                <c:pt idx="638">
                  <c:v>19.1417</c:v>
                </c:pt>
                <c:pt idx="639">
                  <c:v>18.748999999999999</c:v>
                </c:pt>
                <c:pt idx="640">
                  <c:v>17.615600000000001</c:v>
                </c:pt>
                <c:pt idx="641">
                  <c:v>17.691299999999998</c:v>
                </c:pt>
                <c:pt idx="642">
                  <c:v>17.4451</c:v>
                </c:pt>
                <c:pt idx="643">
                  <c:v>17.691299999999998</c:v>
                </c:pt>
                <c:pt idx="644">
                  <c:v>18.089099999999998</c:v>
                </c:pt>
                <c:pt idx="645">
                  <c:v>18.089099999999998</c:v>
                </c:pt>
                <c:pt idx="646">
                  <c:v>17.899699999999999</c:v>
                </c:pt>
                <c:pt idx="647">
                  <c:v>17.8429</c:v>
                </c:pt>
                <c:pt idx="648">
                  <c:v>18.2027</c:v>
                </c:pt>
                <c:pt idx="649">
                  <c:v>17.805</c:v>
                </c:pt>
                <c:pt idx="650">
                  <c:v>17.501899999999999</c:v>
                </c:pt>
                <c:pt idx="651">
                  <c:v>16.971599999999999</c:v>
                </c:pt>
                <c:pt idx="652">
                  <c:v>17.009399999999999</c:v>
                </c:pt>
                <c:pt idx="653">
                  <c:v>16.6874</c:v>
                </c:pt>
                <c:pt idx="654">
                  <c:v>16.479099999999999</c:v>
                </c:pt>
                <c:pt idx="655">
                  <c:v>17.615600000000001</c:v>
                </c:pt>
                <c:pt idx="656">
                  <c:v>18.373200000000001</c:v>
                </c:pt>
                <c:pt idx="657">
                  <c:v>17.994399999999999</c:v>
                </c:pt>
                <c:pt idx="658">
                  <c:v>18.505800000000001</c:v>
                </c:pt>
                <c:pt idx="659">
                  <c:v>18.5626</c:v>
                </c:pt>
                <c:pt idx="660">
                  <c:v>19.3582</c:v>
                </c:pt>
                <c:pt idx="661">
                  <c:v>19.263500000000001</c:v>
                </c:pt>
                <c:pt idx="662">
                  <c:v>19.4529</c:v>
                </c:pt>
                <c:pt idx="663">
                  <c:v>19.680199999999999</c:v>
                </c:pt>
                <c:pt idx="664">
                  <c:v>19.888500000000001</c:v>
                </c:pt>
                <c:pt idx="665">
                  <c:v>19.566500000000001</c:v>
                </c:pt>
                <c:pt idx="666">
                  <c:v>19.111899999999999</c:v>
                </c:pt>
                <c:pt idx="667">
                  <c:v>18.979299999999999</c:v>
                </c:pt>
                <c:pt idx="668">
                  <c:v>19.1309</c:v>
                </c:pt>
                <c:pt idx="669">
                  <c:v>18.221699999999998</c:v>
                </c:pt>
                <c:pt idx="670">
                  <c:v>18.2027</c:v>
                </c:pt>
                <c:pt idx="671">
                  <c:v>19.055099999999999</c:v>
                </c:pt>
                <c:pt idx="672">
                  <c:v>18.7331</c:v>
                </c:pt>
                <c:pt idx="673">
                  <c:v>18.941500000000001</c:v>
                </c:pt>
                <c:pt idx="674">
                  <c:v>19.1309</c:v>
                </c:pt>
                <c:pt idx="675">
                  <c:v>18.941500000000001</c:v>
                </c:pt>
                <c:pt idx="676">
                  <c:v>18.5626</c:v>
                </c:pt>
                <c:pt idx="677">
                  <c:v>18.752099999999999</c:v>
                </c:pt>
                <c:pt idx="678">
                  <c:v>19.093</c:v>
                </c:pt>
                <c:pt idx="679">
                  <c:v>18.979299999999999</c:v>
                </c:pt>
                <c:pt idx="680">
                  <c:v>18.884599999999999</c:v>
                </c:pt>
                <c:pt idx="681">
                  <c:v>18.752099999999999</c:v>
                </c:pt>
                <c:pt idx="682">
                  <c:v>18.846800000000002</c:v>
                </c:pt>
                <c:pt idx="683">
                  <c:v>18.392199999999999</c:v>
                </c:pt>
                <c:pt idx="684">
                  <c:v>18.297499999999999</c:v>
                </c:pt>
                <c:pt idx="685">
                  <c:v>18.297499999999999</c:v>
                </c:pt>
                <c:pt idx="686">
                  <c:v>18.297499999999999</c:v>
                </c:pt>
                <c:pt idx="687">
                  <c:v>18.4679</c:v>
                </c:pt>
                <c:pt idx="688">
                  <c:v>18.221699999999998</c:v>
                </c:pt>
                <c:pt idx="689">
                  <c:v>18.089099999999998</c:v>
                </c:pt>
                <c:pt idx="690">
                  <c:v>18.354299999999999</c:v>
                </c:pt>
                <c:pt idx="691">
                  <c:v>18.108000000000001</c:v>
                </c:pt>
                <c:pt idx="692">
                  <c:v>18.183800000000002</c:v>
                </c:pt>
                <c:pt idx="693">
                  <c:v>17.748200000000001</c:v>
                </c:pt>
                <c:pt idx="694">
                  <c:v>17.767099999999999</c:v>
                </c:pt>
                <c:pt idx="695">
                  <c:v>17.9755</c:v>
                </c:pt>
                <c:pt idx="696">
                  <c:v>18.164899999999999</c:v>
                </c:pt>
                <c:pt idx="697">
                  <c:v>17.880700000000001</c:v>
                </c:pt>
                <c:pt idx="698">
                  <c:v>17.786000000000001</c:v>
                </c:pt>
                <c:pt idx="699">
                  <c:v>17.748200000000001</c:v>
                </c:pt>
                <c:pt idx="700">
                  <c:v>17.805</c:v>
                </c:pt>
                <c:pt idx="701">
                  <c:v>17.729199999999999</c:v>
                </c:pt>
                <c:pt idx="702">
                  <c:v>17.615600000000001</c:v>
                </c:pt>
                <c:pt idx="703">
                  <c:v>17.520900000000001</c:v>
                </c:pt>
                <c:pt idx="704">
                  <c:v>17.861799999999999</c:v>
                </c:pt>
                <c:pt idx="705">
                  <c:v>18.278500000000001</c:v>
                </c:pt>
                <c:pt idx="706">
                  <c:v>17.3902</c:v>
                </c:pt>
                <c:pt idx="707">
                  <c:v>17.245000000000001</c:v>
                </c:pt>
                <c:pt idx="708">
                  <c:v>17.063500000000001</c:v>
                </c:pt>
                <c:pt idx="709">
                  <c:v>17.698799999999999</c:v>
                </c:pt>
                <c:pt idx="710">
                  <c:v>17.517299999999999</c:v>
                </c:pt>
                <c:pt idx="711">
                  <c:v>17.680700000000002</c:v>
                </c:pt>
                <c:pt idx="712">
                  <c:v>18.061900000000001</c:v>
                </c:pt>
                <c:pt idx="713">
                  <c:v>17.952999999999999</c:v>
                </c:pt>
                <c:pt idx="714">
                  <c:v>18.116299999999999</c:v>
                </c:pt>
                <c:pt idx="715">
                  <c:v>17.880400000000002</c:v>
                </c:pt>
                <c:pt idx="716">
                  <c:v>19.114699999999999</c:v>
                </c:pt>
                <c:pt idx="717">
                  <c:v>19.205500000000001</c:v>
                </c:pt>
                <c:pt idx="718">
                  <c:v>18.896899999999999</c:v>
                </c:pt>
                <c:pt idx="719">
                  <c:v>19.060300000000002</c:v>
                </c:pt>
                <c:pt idx="720">
                  <c:v>18.788</c:v>
                </c:pt>
                <c:pt idx="721">
                  <c:v>18.334199999999999</c:v>
                </c:pt>
                <c:pt idx="722">
                  <c:v>17.880400000000002</c:v>
                </c:pt>
                <c:pt idx="723">
                  <c:v>18.533899999999999</c:v>
                </c:pt>
                <c:pt idx="724">
                  <c:v>18.9695</c:v>
                </c:pt>
                <c:pt idx="725">
                  <c:v>19.260000000000002</c:v>
                </c:pt>
                <c:pt idx="726">
                  <c:v>18.9695</c:v>
                </c:pt>
                <c:pt idx="727">
                  <c:v>18.933199999999999</c:v>
                </c:pt>
                <c:pt idx="728">
                  <c:v>18.860600000000002</c:v>
                </c:pt>
                <c:pt idx="729">
                  <c:v>18.497499999999999</c:v>
                </c:pt>
                <c:pt idx="730">
                  <c:v>17.9711</c:v>
                </c:pt>
                <c:pt idx="731">
                  <c:v>17.716999999999999</c:v>
                </c:pt>
                <c:pt idx="732">
                  <c:v>17.9711</c:v>
                </c:pt>
                <c:pt idx="733">
                  <c:v>17.753299999999999</c:v>
                </c:pt>
                <c:pt idx="734">
                  <c:v>17.898499999999999</c:v>
                </c:pt>
                <c:pt idx="735">
                  <c:v>17.934799999999999</c:v>
                </c:pt>
                <c:pt idx="736">
                  <c:v>17.481000000000002</c:v>
                </c:pt>
                <c:pt idx="737">
                  <c:v>17.154299999999999</c:v>
                </c:pt>
                <c:pt idx="738">
                  <c:v>16.7912</c:v>
                </c:pt>
                <c:pt idx="739">
                  <c:v>16.173999999999999</c:v>
                </c:pt>
                <c:pt idx="740">
                  <c:v>16.428100000000001</c:v>
                </c:pt>
                <c:pt idx="741">
                  <c:v>16.863800000000001</c:v>
                </c:pt>
                <c:pt idx="742">
                  <c:v>16.264800000000001</c:v>
                </c:pt>
                <c:pt idx="743">
                  <c:v>15.7928</c:v>
                </c:pt>
                <c:pt idx="744">
                  <c:v>15.447900000000001</c:v>
                </c:pt>
                <c:pt idx="745">
                  <c:v>15.3208</c:v>
                </c:pt>
                <c:pt idx="746">
                  <c:v>14.8126</c:v>
                </c:pt>
                <c:pt idx="747">
                  <c:v>19.1309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E9-4059-9AF9-719092353A6D}"/>
            </c:ext>
          </c:extLst>
        </c:ser>
        <c:ser>
          <c:idx val="4"/>
          <c:order val="3"/>
          <c:tx>
            <c:strRef>
              <c:f>'FX Data'!$F$956</c:f>
              <c:strCache>
                <c:ptCount val="1"/>
                <c:pt idx="0">
                  <c:v>=+1sd</c:v>
                </c:pt>
              </c:strCache>
            </c:strRef>
          </c:tx>
          <c:spPr>
            <a:ln w="12700" cap="rnd">
              <a:solidFill>
                <a:srgbClr val="F79646">
                  <a:lumMod val="60000"/>
                  <a:lumOff val="40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'FX Data'!$B$1457:$B$2453</c:f>
              <c:numCache>
                <c:formatCode>m/d/yyyy</c:formatCode>
                <c:ptCount val="997"/>
                <c:pt idx="0">
                  <c:v>44993</c:v>
                </c:pt>
                <c:pt idx="1">
                  <c:v>44994</c:v>
                </c:pt>
                <c:pt idx="2">
                  <c:v>44995</c:v>
                </c:pt>
                <c:pt idx="3">
                  <c:v>44998</c:v>
                </c:pt>
                <c:pt idx="4">
                  <c:v>44999</c:v>
                </c:pt>
                <c:pt idx="5">
                  <c:v>45000</c:v>
                </c:pt>
                <c:pt idx="6">
                  <c:v>45001</c:v>
                </c:pt>
                <c:pt idx="7">
                  <c:v>45002</c:v>
                </c:pt>
                <c:pt idx="8">
                  <c:v>45005</c:v>
                </c:pt>
                <c:pt idx="9">
                  <c:v>45006</c:v>
                </c:pt>
                <c:pt idx="10">
                  <c:v>45007</c:v>
                </c:pt>
                <c:pt idx="11">
                  <c:v>45008</c:v>
                </c:pt>
                <c:pt idx="12">
                  <c:v>45009</c:v>
                </c:pt>
                <c:pt idx="13">
                  <c:v>45012</c:v>
                </c:pt>
                <c:pt idx="14">
                  <c:v>45013</c:v>
                </c:pt>
                <c:pt idx="15">
                  <c:v>45014</c:v>
                </c:pt>
                <c:pt idx="16">
                  <c:v>45015</c:v>
                </c:pt>
                <c:pt idx="17">
                  <c:v>45016</c:v>
                </c:pt>
                <c:pt idx="18">
                  <c:v>45019</c:v>
                </c:pt>
                <c:pt idx="19">
                  <c:v>45020</c:v>
                </c:pt>
                <c:pt idx="20">
                  <c:v>45021</c:v>
                </c:pt>
                <c:pt idx="21">
                  <c:v>45022</c:v>
                </c:pt>
                <c:pt idx="22">
                  <c:v>45023</c:v>
                </c:pt>
                <c:pt idx="23">
                  <c:v>45026</c:v>
                </c:pt>
                <c:pt idx="24">
                  <c:v>45027</c:v>
                </c:pt>
                <c:pt idx="25">
                  <c:v>45028</c:v>
                </c:pt>
                <c:pt idx="26">
                  <c:v>45029</c:v>
                </c:pt>
                <c:pt idx="27">
                  <c:v>45030</c:v>
                </c:pt>
                <c:pt idx="28">
                  <c:v>45033</c:v>
                </c:pt>
                <c:pt idx="29">
                  <c:v>45034</c:v>
                </c:pt>
                <c:pt idx="30">
                  <c:v>45035</c:v>
                </c:pt>
                <c:pt idx="31">
                  <c:v>45036</c:v>
                </c:pt>
                <c:pt idx="32">
                  <c:v>45037</c:v>
                </c:pt>
                <c:pt idx="33">
                  <c:v>45040</c:v>
                </c:pt>
                <c:pt idx="34">
                  <c:v>45041</c:v>
                </c:pt>
                <c:pt idx="35">
                  <c:v>45042</c:v>
                </c:pt>
                <c:pt idx="36">
                  <c:v>45043</c:v>
                </c:pt>
                <c:pt idx="37">
                  <c:v>45044</c:v>
                </c:pt>
                <c:pt idx="38">
                  <c:v>45050</c:v>
                </c:pt>
                <c:pt idx="39">
                  <c:v>45051</c:v>
                </c:pt>
                <c:pt idx="40">
                  <c:v>45054</c:v>
                </c:pt>
                <c:pt idx="41">
                  <c:v>45055</c:v>
                </c:pt>
                <c:pt idx="42">
                  <c:v>45056</c:v>
                </c:pt>
                <c:pt idx="43">
                  <c:v>45057</c:v>
                </c:pt>
                <c:pt idx="44">
                  <c:v>45058</c:v>
                </c:pt>
                <c:pt idx="45">
                  <c:v>45061</c:v>
                </c:pt>
                <c:pt idx="46">
                  <c:v>45062</c:v>
                </c:pt>
                <c:pt idx="47">
                  <c:v>45063</c:v>
                </c:pt>
                <c:pt idx="48">
                  <c:v>45064</c:v>
                </c:pt>
                <c:pt idx="49">
                  <c:v>45065</c:v>
                </c:pt>
                <c:pt idx="50">
                  <c:v>45068</c:v>
                </c:pt>
                <c:pt idx="51">
                  <c:v>45069</c:v>
                </c:pt>
                <c:pt idx="52">
                  <c:v>45070</c:v>
                </c:pt>
                <c:pt idx="53">
                  <c:v>45071</c:v>
                </c:pt>
                <c:pt idx="54">
                  <c:v>45072</c:v>
                </c:pt>
                <c:pt idx="55">
                  <c:v>45075</c:v>
                </c:pt>
                <c:pt idx="56">
                  <c:v>45076</c:v>
                </c:pt>
                <c:pt idx="57">
                  <c:v>45077</c:v>
                </c:pt>
                <c:pt idx="58">
                  <c:v>45078</c:v>
                </c:pt>
                <c:pt idx="59">
                  <c:v>45079</c:v>
                </c:pt>
                <c:pt idx="60">
                  <c:v>45082</c:v>
                </c:pt>
                <c:pt idx="61">
                  <c:v>45083</c:v>
                </c:pt>
                <c:pt idx="62">
                  <c:v>45084</c:v>
                </c:pt>
                <c:pt idx="63">
                  <c:v>45085</c:v>
                </c:pt>
                <c:pt idx="64">
                  <c:v>45086</c:v>
                </c:pt>
                <c:pt idx="65">
                  <c:v>45089</c:v>
                </c:pt>
                <c:pt idx="66">
                  <c:v>45090</c:v>
                </c:pt>
                <c:pt idx="67">
                  <c:v>45091</c:v>
                </c:pt>
                <c:pt idx="68">
                  <c:v>45092</c:v>
                </c:pt>
                <c:pt idx="69">
                  <c:v>45093</c:v>
                </c:pt>
                <c:pt idx="70">
                  <c:v>45096</c:v>
                </c:pt>
                <c:pt idx="71">
                  <c:v>45097</c:v>
                </c:pt>
                <c:pt idx="72">
                  <c:v>45098</c:v>
                </c:pt>
                <c:pt idx="73">
                  <c:v>45099</c:v>
                </c:pt>
                <c:pt idx="74">
                  <c:v>45100</c:v>
                </c:pt>
                <c:pt idx="75">
                  <c:v>45103</c:v>
                </c:pt>
                <c:pt idx="76">
                  <c:v>45104</c:v>
                </c:pt>
                <c:pt idx="77">
                  <c:v>45105</c:v>
                </c:pt>
                <c:pt idx="78">
                  <c:v>45106</c:v>
                </c:pt>
                <c:pt idx="79">
                  <c:v>45107</c:v>
                </c:pt>
                <c:pt idx="80">
                  <c:v>45110</c:v>
                </c:pt>
                <c:pt idx="81">
                  <c:v>45111</c:v>
                </c:pt>
                <c:pt idx="82">
                  <c:v>45112</c:v>
                </c:pt>
                <c:pt idx="83">
                  <c:v>45113</c:v>
                </c:pt>
                <c:pt idx="84">
                  <c:v>45114</c:v>
                </c:pt>
                <c:pt idx="85">
                  <c:v>45117</c:v>
                </c:pt>
                <c:pt idx="86">
                  <c:v>45118</c:v>
                </c:pt>
                <c:pt idx="87">
                  <c:v>45119</c:v>
                </c:pt>
                <c:pt idx="88">
                  <c:v>45120</c:v>
                </c:pt>
                <c:pt idx="89">
                  <c:v>45121</c:v>
                </c:pt>
                <c:pt idx="90">
                  <c:v>45124</c:v>
                </c:pt>
                <c:pt idx="91">
                  <c:v>45125</c:v>
                </c:pt>
                <c:pt idx="92">
                  <c:v>45126</c:v>
                </c:pt>
                <c:pt idx="93">
                  <c:v>45127</c:v>
                </c:pt>
                <c:pt idx="94">
                  <c:v>45128</c:v>
                </c:pt>
                <c:pt idx="95">
                  <c:v>45131</c:v>
                </c:pt>
                <c:pt idx="96">
                  <c:v>45132</c:v>
                </c:pt>
                <c:pt idx="97">
                  <c:v>45133</c:v>
                </c:pt>
                <c:pt idx="98">
                  <c:v>45134</c:v>
                </c:pt>
                <c:pt idx="99">
                  <c:v>45135</c:v>
                </c:pt>
                <c:pt idx="100">
                  <c:v>45138</c:v>
                </c:pt>
                <c:pt idx="101">
                  <c:v>45139</c:v>
                </c:pt>
                <c:pt idx="102">
                  <c:v>45140</c:v>
                </c:pt>
                <c:pt idx="103">
                  <c:v>45141</c:v>
                </c:pt>
                <c:pt idx="104">
                  <c:v>45142</c:v>
                </c:pt>
                <c:pt idx="105">
                  <c:v>45145</c:v>
                </c:pt>
                <c:pt idx="106">
                  <c:v>45146</c:v>
                </c:pt>
                <c:pt idx="107">
                  <c:v>45147</c:v>
                </c:pt>
                <c:pt idx="108">
                  <c:v>45148</c:v>
                </c:pt>
                <c:pt idx="109">
                  <c:v>45149</c:v>
                </c:pt>
                <c:pt idx="110">
                  <c:v>45152</c:v>
                </c:pt>
                <c:pt idx="111">
                  <c:v>45153</c:v>
                </c:pt>
                <c:pt idx="112">
                  <c:v>45154</c:v>
                </c:pt>
                <c:pt idx="113">
                  <c:v>45155</c:v>
                </c:pt>
                <c:pt idx="114">
                  <c:v>45156</c:v>
                </c:pt>
                <c:pt idx="115">
                  <c:v>45159</c:v>
                </c:pt>
                <c:pt idx="116">
                  <c:v>45160</c:v>
                </c:pt>
                <c:pt idx="117">
                  <c:v>45161</c:v>
                </c:pt>
                <c:pt idx="118">
                  <c:v>45162</c:v>
                </c:pt>
                <c:pt idx="119">
                  <c:v>45163</c:v>
                </c:pt>
                <c:pt idx="120">
                  <c:v>45166</c:v>
                </c:pt>
                <c:pt idx="121">
                  <c:v>45167</c:v>
                </c:pt>
                <c:pt idx="122">
                  <c:v>45168</c:v>
                </c:pt>
                <c:pt idx="123">
                  <c:v>45169</c:v>
                </c:pt>
                <c:pt idx="124">
                  <c:v>45174</c:v>
                </c:pt>
                <c:pt idx="125">
                  <c:v>45175</c:v>
                </c:pt>
                <c:pt idx="126">
                  <c:v>45176</c:v>
                </c:pt>
                <c:pt idx="127">
                  <c:v>45177</c:v>
                </c:pt>
                <c:pt idx="128">
                  <c:v>45180</c:v>
                </c:pt>
                <c:pt idx="129">
                  <c:v>45181</c:v>
                </c:pt>
                <c:pt idx="130">
                  <c:v>45182</c:v>
                </c:pt>
                <c:pt idx="131">
                  <c:v>45183</c:v>
                </c:pt>
                <c:pt idx="132">
                  <c:v>45184</c:v>
                </c:pt>
                <c:pt idx="133">
                  <c:v>45187</c:v>
                </c:pt>
                <c:pt idx="134">
                  <c:v>45188</c:v>
                </c:pt>
                <c:pt idx="135">
                  <c:v>45189</c:v>
                </c:pt>
                <c:pt idx="136">
                  <c:v>45190</c:v>
                </c:pt>
                <c:pt idx="137">
                  <c:v>45191</c:v>
                </c:pt>
                <c:pt idx="138">
                  <c:v>45194</c:v>
                </c:pt>
                <c:pt idx="139">
                  <c:v>45195</c:v>
                </c:pt>
                <c:pt idx="140">
                  <c:v>45196</c:v>
                </c:pt>
                <c:pt idx="141">
                  <c:v>45197</c:v>
                </c:pt>
                <c:pt idx="142">
                  <c:v>45198</c:v>
                </c:pt>
                <c:pt idx="143">
                  <c:v>45201</c:v>
                </c:pt>
                <c:pt idx="144">
                  <c:v>45202</c:v>
                </c:pt>
                <c:pt idx="145">
                  <c:v>45203</c:v>
                </c:pt>
                <c:pt idx="146">
                  <c:v>45204</c:v>
                </c:pt>
                <c:pt idx="147">
                  <c:v>45205</c:v>
                </c:pt>
                <c:pt idx="148">
                  <c:v>45208</c:v>
                </c:pt>
                <c:pt idx="149">
                  <c:v>45209</c:v>
                </c:pt>
                <c:pt idx="150">
                  <c:v>45210</c:v>
                </c:pt>
                <c:pt idx="151">
                  <c:v>45211</c:v>
                </c:pt>
                <c:pt idx="152">
                  <c:v>45212</c:v>
                </c:pt>
                <c:pt idx="153">
                  <c:v>45215</c:v>
                </c:pt>
                <c:pt idx="154">
                  <c:v>45216</c:v>
                </c:pt>
                <c:pt idx="155">
                  <c:v>45217</c:v>
                </c:pt>
                <c:pt idx="156">
                  <c:v>45218</c:v>
                </c:pt>
                <c:pt idx="157">
                  <c:v>45219</c:v>
                </c:pt>
                <c:pt idx="158">
                  <c:v>45222</c:v>
                </c:pt>
                <c:pt idx="159">
                  <c:v>45223</c:v>
                </c:pt>
                <c:pt idx="160">
                  <c:v>45224</c:v>
                </c:pt>
                <c:pt idx="161">
                  <c:v>45225</c:v>
                </c:pt>
                <c:pt idx="162">
                  <c:v>45226</c:v>
                </c:pt>
                <c:pt idx="163">
                  <c:v>45229</c:v>
                </c:pt>
                <c:pt idx="164">
                  <c:v>45230</c:v>
                </c:pt>
                <c:pt idx="165">
                  <c:v>45231</c:v>
                </c:pt>
                <c:pt idx="166">
                  <c:v>45232</c:v>
                </c:pt>
                <c:pt idx="167">
                  <c:v>45233</c:v>
                </c:pt>
                <c:pt idx="168">
                  <c:v>45236</c:v>
                </c:pt>
                <c:pt idx="169">
                  <c:v>45237</c:v>
                </c:pt>
                <c:pt idx="170">
                  <c:v>45238</c:v>
                </c:pt>
                <c:pt idx="171">
                  <c:v>45239</c:v>
                </c:pt>
                <c:pt idx="172">
                  <c:v>45240</c:v>
                </c:pt>
                <c:pt idx="173">
                  <c:v>45243</c:v>
                </c:pt>
                <c:pt idx="174">
                  <c:v>45244</c:v>
                </c:pt>
                <c:pt idx="175">
                  <c:v>45245</c:v>
                </c:pt>
                <c:pt idx="176">
                  <c:v>45246</c:v>
                </c:pt>
                <c:pt idx="177">
                  <c:v>45247</c:v>
                </c:pt>
                <c:pt idx="178">
                  <c:v>45250</c:v>
                </c:pt>
                <c:pt idx="179">
                  <c:v>45251</c:v>
                </c:pt>
                <c:pt idx="180">
                  <c:v>45252</c:v>
                </c:pt>
                <c:pt idx="181">
                  <c:v>45253</c:v>
                </c:pt>
                <c:pt idx="182">
                  <c:v>45254</c:v>
                </c:pt>
                <c:pt idx="183">
                  <c:v>45257</c:v>
                </c:pt>
                <c:pt idx="184">
                  <c:v>45258</c:v>
                </c:pt>
                <c:pt idx="185">
                  <c:v>45259</c:v>
                </c:pt>
                <c:pt idx="186">
                  <c:v>45260</c:v>
                </c:pt>
                <c:pt idx="187">
                  <c:v>45261</c:v>
                </c:pt>
                <c:pt idx="188">
                  <c:v>45264</c:v>
                </c:pt>
                <c:pt idx="189">
                  <c:v>45265</c:v>
                </c:pt>
                <c:pt idx="190">
                  <c:v>45266</c:v>
                </c:pt>
                <c:pt idx="191">
                  <c:v>45267</c:v>
                </c:pt>
                <c:pt idx="192">
                  <c:v>45268</c:v>
                </c:pt>
                <c:pt idx="193">
                  <c:v>45271</c:v>
                </c:pt>
                <c:pt idx="194">
                  <c:v>45272</c:v>
                </c:pt>
                <c:pt idx="195">
                  <c:v>45273</c:v>
                </c:pt>
                <c:pt idx="196">
                  <c:v>45274</c:v>
                </c:pt>
                <c:pt idx="197">
                  <c:v>45275</c:v>
                </c:pt>
                <c:pt idx="198">
                  <c:v>45278</c:v>
                </c:pt>
                <c:pt idx="199">
                  <c:v>45279</c:v>
                </c:pt>
                <c:pt idx="200">
                  <c:v>45280</c:v>
                </c:pt>
                <c:pt idx="201">
                  <c:v>45281</c:v>
                </c:pt>
                <c:pt idx="202">
                  <c:v>45282</c:v>
                </c:pt>
                <c:pt idx="203">
                  <c:v>45285</c:v>
                </c:pt>
                <c:pt idx="204">
                  <c:v>45286</c:v>
                </c:pt>
                <c:pt idx="205">
                  <c:v>45287</c:v>
                </c:pt>
                <c:pt idx="206">
                  <c:v>45288</c:v>
                </c:pt>
                <c:pt idx="207">
                  <c:v>45289</c:v>
                </c:pt>
                <c:pt idx="208">
                  <c:v>45293</c:v>
                </c:pt>
                <c:pt idx="209">
                  <c:v>45294</c:v>
                </c:pt>
                <c:pt idx="210">
                  <c:v>45295</c:v>
                </c:pt>
                <c:pt idx="211">
                  <c:v>45296</c:v>
                </c:pt>
                <c:pt idx="212">
                  <c:v>45299</c:v>
                </c:pt>
                <c:pt idx="213">
                  <c:v>45300</c:v>
                </c:pt>
                <c:pt idx="214">
                  <c:v>45301</c:v>
                </c:pt>
                <c:pt idx="215">
                  <c:v>45302</c:v>
                </c:pt>
                <c:pt idx="216">
                  <c:v>45303</c:v>
                </c:pt>
                <c:pt idx="217">
                  <c:v>45306</c:v>
                </c:pt>
                <c:pt idx="218">
                  <c:v>45307</c:v>
                </c:pt>
                <c:pt idx="219">
                  <c:v>45308</c:v>
                </c:pt>
                <c:pt idx="220">
                  <c:v>45309</c:v>
                </c:pt>
                <c:pt idx="221">
                  <c:v>45310</c:v>
                </c:pt>
                <c:pt idx="222">
                  <c:v>45313</c:v>
                </c:pt>
                <c:pt idx="223">
                  <c:v>45314</c:v>
                </c:pt>
                <c:pt idx="224">
                  <c:v>45315</c:v>
                </c:pt>
                <c:pt idx="225">
                  <c:v>45316</c:v>
                </c:pt>
                <c:pt idx="226">
                  <c:v>45317</c:v>
                </c:pt>
                <c:pt idx="227">
                  <c:v>45320</c:v>
                </c:pt>
                <c:pt idx="228">
                  <c:v>45321</c:v>
                </c:pt>
                <c:pt idx="229">
                  <c:v>45322</c:v>
                </c:pt>
                <c:pt idx="230">
                  <c:v>45323</c:v>
                </c:pt>
                <c:pt idx="231">
                  <c:v>45324</c:v>
                </c:pt>
                <c:pt idx="232">
                  <c:v>45327</c:v>
                </c:pt>
                <c:pt idx="233">
                  <c:v>45328</c:v>
                </c:pt>
                <c:pt idx="234">
                  <c:v>45329</c:v>
                </c:pt>
                <c:pt idx="235">
                  <c:v>45337</c:v>
                </c:pt>
                <c:pt idx="236">
                  <c:v>45338</c:v>
                </c:pt>
                <c:pt idx="237">
                  <c:v>45341</c:v>
                </c:pt>
                <c:pt idx="238">
                  <c:v>45342</c:v>
                </c:pt>
                <c:pt idx="239">
                  <c:v>45343</c:v>
                </c:pt>
                <c:pt idx="240">
                  <c:v>45344</c:v>
                </c:pt>
                <c:pt idx="241">
                  <c:v>45345</c:v>
                </c:pt>
                <c:pt idx="242">
                  <c:v>45348</c:v>
                </c:pt>
                <c:pt idx="243">
                  <c:v>45349</c:v>
                </c:pt>
                <c:pt idx="244">
                  <c:v>45350</c:v>
                </c:pt>
                <c:pt idx="245">
                  <c:v>45351</c:v>
                </c:pt>
                <c:pt idx="246">
                  <c:v>45352</c:v>
                </c:pt>
                <c:pt idx="247">
                  <c:v>45355</c:v>
                </c:pt>
                <c:pt idx="248">
                  <c:v>45356</c:v>
                </c:pt>
                <c:pt idx="249">
                  <c:v>45357</c:v>
                </c:pt>
                <c:pt idx="250">
                  <c:v>45358</c:v>
                </c:pt>
                <c:pt idx="251">
                  <c:v>45359</c:v>
                </c:pt>
                <c:pt idx="252">
                  <c:v>45362</c:v>
                </c:pt>
                <c:pt idx="253">
                  <c:v>45363</c:v>
                </c:pt>
                <c:pt idx="254">
                  <c:v>45364</c:v>
                </c:pt>
                <c:pt idx="255">
                  <c:v>45365</c:v>
                </c:pt>
                <c:pt idx="256">
                  <c:v>45366</c:v>
                </c:pt>
                <c:pt idx="257">
                  <c:v>45369</c:v>
                </c:pt>
                <c:pt idx="258">
                  <c:v>45370</c:v>
                </c:pt>
                <c:pt idx="259">
                  <c:v>45371</c:v>
                </c:pt>
                <c:pt idx="260">
                  <c:v>45372</c:v>
                </c:pt>
                <c:pt idx="261">
                  <c:v>45373</c:v>
                </c:pt>
                <c:pt idx="262">
                  <c:v>45376</c:v>
                </c:pt>
                <c:pt idx="263">
                  <c:v>45377</c:v>
                </c:pt>
                <c:pt idx="264">
                  <c:v>45378</c:v>
                </c:pt>
                <c:pt idx="265">
                  <c:v>45379</c:v>
                </c:pt>
                <c:pt idx="266">
                  <c:v>45380</c:v>
                </c:pt>
                <c:pt idx="267">
                  <c:v>45383</c:v>
                </c:pt>
                <c:pt idx="268">
                  <c:v>45384</c:v>
                </c:pt>
                <c:pt idx="269">
                  <c:v>45385</c:v>
                </c:pt>
                <c:pt idx="270">
                  <c:v>45386</c:v>
                </c:pt>
                <c:pt idx="271">
                  <c:v>45387</c:v>
                </c:pt>
                <c:pt idx="272">
                  <c:v>45390</c:v>
                </c:pt>
                <c:pt idx="273">
                  <c:v>45391</c:v>
                </c:pt>
                <c:pt idx="274">
                  <c:v>45392</c:v>
                </c:pt>
                <c:pt idx="275">
                  <c:v>45393</c:v>
                </c:pt>
                <c:pt idx="276">
                  <c:v>45394</c:v>
                </c:pt>
                <c:pt idx="277">
                  <c:v>45397</c:v>
                </c:pt>
                <c:pt idx="278">
                  <c:v>45398</c:v>
                </c:pt>
                <c:pt idx="279">
                  <c:v>45399</c:v>
                </c:pt>
                <c:pt idx="280">
                  <c:v>45401</c:v>
                </c:pt>
                <c:pt idx="281">
                  <c:v>45404</c:v>
                </c:pt>
                <c:pt idx="282">
                  <c:v>45405</c:v>
                </c:pt>
                <c:pt idx="283">
                  <c:v>45406</c:v>
                </c:pt>
                <c:pt idx="284">
                  <c:v>45407</c:v>
                </c:pt>
                <c:pt idx="285">
                  <c:v>45408</c:v>
                </c:pt>
                <c:pt idx="286">
                  <c:v>45414</c:v>
                </c:pt>
                <c:pt idx="287">
                  <c:v>45415</c:v>
                </c:pt>
                <c:pt idx="288">
                  <c:v>45418</c:v>
                </c:pt>
                <c:pt idx="289">
                  <c:v>45419</c:v>
                </c:pt>
                <c:pt idx="290">
                  <c:v>45420</c:v>
                </c:pt>
                <c:pt idx="291">
                  <c:v>45421</c:v>
                </c:pt>
                <c:pt idx="292">
                  <c:v>45422</c:v>
                </c:pt>
                <c:pt idx="293">
                  <c:v>45425</c:v>
                </c:pt>
                <c:pt idx="294">
                  <c:v>45426</c:v>
                </c:pt>
                <c:pt idx="295">
                  <c:v>45427</c:v>
                </c:pt>
                <c:pt idx="296">
                  <c:v>45428</c:v>
                </c:pt>
                <c:pt idx="297">
                  <c:v>45429</c:v>
                </c:pt>
                <c:pt idx="298">
                  <c:v>45432</c:v>
                </c:pt>
                <c:pt idx="299">
                  <c:v>45433</c:v>
                </c:pt>
                <c:pt idx="300">
                  <c:v>45434</c:v>
                </c:pt>
                <c:pt idx="301">
                  <c:v>45435</c:v>
                </c:pt>
                <c:pt idx="302">
                  <c:v>45436</c:v>
                </c:pt>
                <c:pt idx="303">
                  <c:v>45439</c:v>
                </c:pt>
                <c:pt idx="304">
                  <c:v>45440</c:v>
                </c:pt>
                <c:pt idx="305">
                  <c:v>45441</c:v>
                </c:pt>
                <c:pt idx="306">
                  <c:v>45442</c:v>
                </c:pt>
                <c:pt idx="307">
                  <c:v>45443</c:v>
                </c:pt>
                <c:pt idx="308">
                  <c:v>45446</c:v>
                </c:pt>
                <c:pt idx="309">
                  <c:v>45447</c:v>
                </c:pt>
                <c:pt idx="310">
                  <c:v>45448</c:v>
                </c:pt>
                <c:pt idx="311">
                  <c:v>45449</c:v>
                </c:pt>
                <c:pt idx="312">
                  <c:v>45450</c:v>
                </c:pt>
                <c:pt idx="313">
                  <c:v>45453</c:v>
                </c:pt>
                <c:pt idx="314">
                  <c:v>45454</c:v>
                </c:pt>
                <c:pt idx="315">
                  <c:v>45455</c:v>
                </c:pt>
                <c:pt idx="316">
                  <c:v>45456</c:v>
                </c:pt>
                <c:pt idx="317">
                  <c:v>45457</c:v>
                </c:pt>
                <c:pt idx="318">
                  <c:v>45460</c:v>
                </c:pt>
                <c:pt idx="319">
                  <c:v>45461</c:v>
                </c:pt>
                <c:pt idx="320">
                  <c:v>45462</c:v>
                </c:pt>
                <c:pt idx="321">
                  <c:v>45463</c:v>
                </c:pt>
                <c:pt idx="322">
                  <c:v>45464</c:v>
                </c:pt>
                <c:pt idx="323">
                  <c:v>45467</c:v>
                </c:pt>
                <c:pt idx="324">
                  <c:v>45468</c:v>
                </c:pt>
                <c:pt idx="325">
                  <c:v>45469</c:v>
                </c:pt>
                <c:pt idx="326">
                  <c:v>45470</c:v>
                </c:pt>
                <c:pt idx="327">
                  <c:v>45471</c:v>
                </c:pt>
                <c:pt idx="328">
                  <c:v>45474</c:v>
                </c:pt>
                <c:pt idx="329">
                  <c:v>45475</c:v>
                </c:pt>
                <c:pt idx="330">
                  <c:v>45476</c:v>
                </c:pt>
                <c:pt idx="331">
                  <c:v>45477</c:v>
                </c:pt>
                <c:pt idx="332">
                  <c:v>45478</c:v>
                </c:pt>
                <c:pt idx="333">
                  <c:v>45481</c:v>
                </c:pt>
                <c:pt idx="334">
                  <c:v>45482</c:v>
                </c:pt>
                <c:pt idx="335">
                  <c:v>45483</c:v>
                </c:pt>
                <c:pt idx="336">
                  <c:v>45484</c:v>
                </c:pt>
                <c:pt idx="337">
                  <c:v>45485</c:v>
                </c:pt>
                <c:pt idx="338">
                  <c:v>45488</c:v>
                </c:pt>
                <c:pt idx="339">
                  <c:v>45489</c:v>
                </c:pt>
                <c:pt idx="340">
                  <c:v>45490</c:v>
                </c:pt>
                <c:pt idx="341">
                  <c:v>45491</c:v>
                </c:pt>
                <c:pt idx="342">
                  <c:v>45492</c:v>
                </c:pt>
                <c:pt idx="343">
                  <c:v>45495</c:v>
                </c:pt>
                <c:pt idx="344">
                  <c:v>45496</c:v>
                </c:pt>
                <c:pt idx="345">
                  <c:v>45497</c:v>
                </c:pt>
                <c:pt idx="346">
                  <c:v>45498</c:v>
                </c:pt>
                <c:pt idx="347">
                  <c:v>45499</c:v>
                </c:pt>
                <c:pt idx="348">
                  <c:v>45502</c:v>
                </c:pt>
                <c:pt idx="349">
                  <c:v>45503</c:v>
                </c:pt>
                <c:pt idx="350">
                  <c:v>45504</c:v>
                </c:pt>
                <c:pt idx="351">
                  <c:v>45505</c:v>
                </c:pt>
                <c:pt idx="352">
                  <c:v>45506</c:v>
                </c:pt>
                <c:pt idx="353">
                  <c:v>45509</c:v>
                </c:pt>
                <c:pt idx="354">
                  <c:v>45510</c:v>
                </c:pt>
                <c:pt idx="355">
                  <c:v>45511</c:v>
                </c:pt>
                <c:pt idx="356">
                  <c:v>45512</c:v>
                </c:pt>
                <c:pt idx="357">
                  <c:v>45513</c:v>
                </c:pt>
                <c:pt idx="358">
                  <c:v>45516</c:v>
                </c:pt>
                <c:pt idx="359">
                  <c:v>45517</c:v>
                </c:pt>
                <c:pt idx="360">
                  <c:v>45518</c:v>
                </c:pt>
                <c:pt idx="361">
                  <c:v>45519</c:v>
                </c:pt>
                <c:pt idx="362">
                  <c:v>45520</c:v>
                </c:pt>
                <c:pt idx="363">
                  <c:v>45523</c:v>
                </c:pt>
                <c:pt idx="364">
                  <c:v>45524</c:v>
                </c:pt>
                <c:pt idx="365">
                  <c:v>45525</c:v>
                </c:pt>
                <c:pt idx="366">
                  <c:v>45526</c:v>
                </c:pt>
                <c:pt idx="367">
                  <c:v>45527</c:v>
                </c:pt>
                <c:pt idx="368">
                  <c:v>45530</c:v>
                </c:pt>
                <c:pt idx="369">
                  <c:v>45531</c:v>
                </c:pt>
                <c:pt idx="370">
                  <c:v>45532</c:v>
                </c:pt>
                <c:pt idx="371">
                  <c:v>45533</c:v>
                </c:pt>
                <c:pt idx="372">
                  <c:v>45534</c:v>
                </c:pt>
                <c:pt idx="373">
                  <c:v>45539</c:v>
                </c:pt>
                <c:pt idx="374">
                  <c:v>45540</c:v>
                </c:pt>
                <c:pt idx="375">
                  <c:v>45541</c:v>
                </c:pt>
                <c:pt idx="376">
                  <c:v>45544</c:v>
                </c:pt>
                <c:pt idx="377">
                  <c:v>45545</c:v>
                </c:pt>
                <c:pt idx="378">
                  <c:v>45546</c:v>
                </c:pt>
                <c:pt idx="379">
                  <c:v>45547</c:v>
                </c:pt>
                <c:pt idx="380">
                  <c:v>45548</c:v>
                </c:pt>
                <c:pt idx="381">
                  <c:v>45551</c:v>
                </c:pt>
                <c:pt idx="382">
                  <c:v>45552</c:v>
                </c:pt>
                <c:pt idx="383">
                  <c:v>45553</c:v>
                </c:pt>
                <c:pt idx="384">
                  <c:v>45554</c:v>
                </c:pt>
                <c:pt idx="385">
                  <c:v>45555</c:v>
                </c:pt>
                <c:pt idx="386">
                  <c:v>45558</c:v>
                </c:pt>
                <c:pt idx="387">
                  <c:v>45559</c:v>
                </c:pt>
                <c:pt idx="388">
                  <c:v>45560</c:v>
                </c:pt>
                <c:pt idx="389">
                  <c:v>45561</c:v>
                </c:pt>
                <c:pt idx="390">
                  <c:v>45562</c:v>
                </c:pt>
                <c:pt idx="391">
                  <c:v>45565</c:v>
                </c:pt>
                <c:pt idx="392">
                  <c:v>45566</c:v>
                </c:pt>
                <c:pt idx="393">
                  <c:v>45567</c:v>
                </c:pt>
                <c:pt idx="394">
                  <c:v>45568</c:v>
                </c:pt>
                <c:pt idx="395">
                  <c:v>45569</c:v>
                </c:pt>
                <c:pt idx="396">
                  <c:v>45572</c:v>
                </c:pt>
                <c:pt idx="397">
                  <c:v>45573</c:v>
                </c:pt>
                <c:pt idx="398">
                  <c:v>45574</c:v>
                </c:pt>
                <c:pt idx="399">
                  <c:v>45575</c:v>
                </c:pt>
                <c:pt idx="400">
                  <c:v>45576</c:v>
                </c:pt>
                <c:pt idx="401">
                  <c:v>45579</c:v>
                </c:pt>
                <c:pt idx="402">
                  <c:v>45580</c:v>
                </c:pt>
                <c:pt idx="403">
                  <c:v>45581</c:v>
                </c:pt>
                <c:pt idx="404">
                  <c:v>45582</c:v>
                </c:pt>
                <c:pt idx="405">
                  <c:v>45583</c:v>
                </c:pt>
                <c:pt idx="406">
                  <c:v>45586</c:v>
                </c:pt>
                <c:pt idx="407">
                  <c:v>45587</c:v>
                </c:pt>
                <c:pt idx="408">
                  <c:v>45588</c:v>
                </c:pt>
                <c:pt idx="409">
                  <c:v>45589</c:v>
                </c:pt>
                <c:pt idx="410">
                  <c:v>45590</c:v>
                </c:pt>
                <c:pt idx="411">
                  <c:v>45593</c:v>
                </c:pt>
                <c:pt idx="412">
                  <c:v>45594</c:v>
                </c:pt>
                <c:pt idx="413">
                  <c:v>45595</c:v>
                </c:pt>
                <c:pt idx="414">
                  <c:v>45596</c:v>
                </c:pt>
                <c:pt idx="415">
                  <c:v>45597</c:v>
                </c:pt>
                <c:pt idx="416">
                  <c:v>45600</c:v>
                </c:pt>
                <c:pt idx="417">
                  <c:v>45601</c:v>
                </c:pt>
                <c:pt idx="418">
                  <c:v>45602</c:v>
                </c:pt>
                <c:pt idx="419">
                  <c:v>45603</c:v>
                </c:pt>
                <c:pt idx="420">
                  <c:v>45604</c:v>
                </c:pt>
                <c:pt idx="421">
                  <c:v>45607</c:v>
                </c:pt>
                <c:pt idx="422">
                  <c:v>45608</c:v>
                </c:pt>
                <c:pt idx="423">
                  <c:v>45609</c:v>
                </c:pt>
                <c:pt idx="424">
                  <c:v>45610</c:v>
                </c:pt>
                <c:pt idx="425">
                  <c:v>45611</c:v>
                </c:pt>
                <c:pt idx="426">
                  <c:v>45614</c:v>
                </c:pt>
                <c:pt idx="427">
                  <c:v>45615</c:v>
                </c:pt>
                <c:pt idx="428">
                  <c:v>45616</c:v>
                </c:pt>
                <c:pt idx="429">
                  <c:v>45617</c:v>
                </c:pt>
                <c:pt idx="430">
                  <c:v>45618</c:v>
                </c:pt>
                <c:pt idx="431">
                  <c:v>45621</c:v>
                </c:pt>
                <c:pt idx="432">
                  <c:v>45622</c:v>
                </c:pt>
                <c:pt idx="433">
                  <c:v>45623</c:v>
                </c:pt>
                <c:pt idx="434">
                  <c:v>45624</c:v>
                </c:pt>
                <c:pt idx="435">
                  <c:v>45625</c:v>
                </c:pt>
                <c:pt idx="436">
                  <c:v>45628</c:v>
                </c:pt>
                <c:pt idx="437">
                  <c:v>45629</c:v>
                </c:pt>
                <c:pt idx="438">
                  <c:v>45630</c:v>
                </c:pt>
                <c:pt idx="439">
                  <c:v>45631</c:v>
                </c:pt>
                <c:pt idx="440">
                  <c:v>45632</c:v>
                </c:pt>
                <c:pt idx="441">
                  <c:v>45635</c:v>
                </c:pt>
                <c:pt idx="442">
                  <c:v>45636</c:v>
                </c:pt>
                <c:pt idx="443">
                  <c:v>45637</c:v>
                </c:pt>
                <c:pt idx="444">
                  <c:v>45638</c:v>
                </c:pt>
                <c:pt idx="445">
                  <c:v>45639</c:v>
                </c:pt>
                <c:pt idx="446">
                  <c:v>45642</c:v>
                </c:pt>
                <c:pt idx="447">
                  <c:v>45643</c:v>
                </c:pt>
                <c:pt idx="448">
                  <c:v>45644</c:v>
                </c:pt>
                <c:pt idx="449">
                  <c:v>45645</c:v>
                </c:pt>
                <c:pt idx="450">
                  <c:v>45646</c:v>
                </c:pt>
                <c:pt idx="451">
                  <c:v>45649</c:v>
                </c:pt>
                <c:pt idx="452">
                  <c:v>45650</c:v>
                </c:pt>
                <c:pt idx="453">
                  <c:v>45651</c:v>
                </c:pt>
                <c:pt idx="454">
                  <c:v>45652</c:v>
                </c:pt>
                <c:pt idx="455">
                  <c:v>45653</c:v>
                </c:pt>
                <c:pt idx="456">
                  <c:v>45656</c:v>
                </c:pt>
                <c:pt idx="457">
                  <c:v>45657</c:v>
                </c:pt>
                <c:pt idx="458">
                  <c:v>45659</c:v>
                </c:pt>
                <c:pt idx="459">
                  <c:v>45660</c:v>
                </c:pt>
                <c:pt idx="460">
                  <c:v>45663</c:v>
                </c:pt>
                <c:pt idx="461">
                  <c:v>45664</c:v>
                </c:pt>
                <c:pt idx="462">
                  <c:v>45665</c:v>
                </c:pt>
                <c:pt idx="463">
                  <c:v>45666</c:v>
                </c:pt>
                <c:pt idx="464">
                  <c:v>45667</c:v>
                </c:pt>
                <c:pt idx="465">
                  <c:v>45670</c:v>
                </c:pt>
                <c:pt idx="466">
                  <c:v>45671</c:v>
                </c:pt>
                <c:pt idx="467">
                  <c:v>45672</c:v>
                </c:pt>
                <c:pt idx="468">
                  <c:v>45673</c:v>
                </c:pt>
                <c:pt idx="469">
                  <c:v>45674</c:v>
                </c:pt>
                <c:pt idx="470">
                  <c:v>45677</c:v>
                </c:pt>
                <c:pt idx="471">
                  <c:v>45678</c:v>
                </c:pt>
                <c:pt idx="472">
                  <c:v>45679</c:v>
                </c:pt>
                <c:pt idx="473">
                  <c:v>45680</c:v>
                </c:pt>
                <c:pt idx="474">
                  <c:v>45681</c:v>
                </c:pt>
                <c:pt idx="475">
                  <c:v>45691</c:v>
                </c:pt>
                <c:pt idx="476">
                  <c:v>45692</c:v>
                </c:pt>
                <c:pt idx="477">
                  <c:v>45693</c:v>
                </c:pt>
                <c:pt idx="478">
                  <c:v>45694</c:v>
                </c:pt>
                <c:pt idx="479">
                  <c:v>45695</c:v>
                </c:pt>
                <c:pt idx="480">
                  <c:v>45698</c:v>
                </c:pt>
                <c:pt idx="481">
                  <c:v>45699</c:v>
                </c:pt>
                <c:pt idx="482">
                  <c:v>45700</c:v>
                </c:pt>
                <c:pt idx="483">
                  <c:v>45701</c:v>
                </c:pt>
                <c:pt idx="484">
                  <c:v>45702</c:v>
                </c:pt>
                <c:pt idx="485">
                  <c:v>45705</c:v>
                </c:pt>
                <c:pt idx="486">
                  <c:v>45706</c:v>
                </c:pt>
                <c:pt idx="487">
                  <c:v>45707</c:v>
                </c:pt>
                <c:pt idx="488">
                  <c:v>45708</c:v>
                </c:pt>
                <c:pt idx="489">
                  <c:v>45709</c:v>
                </c:pt>
                <c:pt idx="490">
                  <c:v>45712</c:v>
                </c:pt>
                <c:pt idx="491">
                  <c:v>45713</c:v>
                </c:pt>
                <c:pt idx="492">
                  <c:v>45714</c:v>
                </c:pt>
                <c:pt idx="493">
                  <c:v>45715</c:v>
                </c:pt>
                <c:pt idx="494">
                  <c:v>45716</c:v>
                </c:pt>
                <c:pt idx="495">
                  <c:v>45719</c:v>
                </c:pt>
                <c:pt idx="496">
                  <c:v>45720</c:v>
                </c:pt>
                <c:pt idx="497">
                  <c:v>45721</c:v>
                </c:pt>
                <c:pt idx="498">
                  <c:v>45722</c:v>
                </c:pt>
                <c:pt idx="499">
                  <c:v>45723</c:v>
                </c:pt>
                <c:pt idx="500">
                  <c:v>45726</c:v>
                </c:pt>
                <c:pt idx="501">
                  <c:v>45727</c:v>
                </c:pt>
                <c:pt idx="502">
                  <c:v>45728</c:v>
                </c:pt>
                <c:pt idx="503">
                  <c:v>45729</c:v>
                </c:pt>
                <c:pt idx="504">
                  <c:v>45730</c:v>
                </c:pt>
                <c:pt idx="505">
                  <c:v>45733</c:v>
                </c:pt>
                <c:pt idx="506">
                  <c:v>45734</c:v>
                </c:pt>
                <c:pt idx="507">
                  <c:v>45735</c:v>
                </c:pt>
                <c:pt idx="508">
                  <c:v>45736</c:v>
                </c:pt>
                <c:pt idx="509">
                  <c:v>45737</c:v>
                </c:pt>
                <c:pt idx="510">
                  <c:v>45740</c:v>
                </c:pt>
                <c:pt idx="511">
                  <c:v>45741</c:v>
                </c:pt>
                <c:pt idx="512">
                  <c:v>45742</c:v>
                </c:pt>
                <c:pt idx="513">
                  <c:v>45743</c:v>
                </c:pt>
                <c:pt idx="514">
                  <c:v>45744</c:v>
                </c:pt>
                <c:pt idx="515">
                  <c:v>45747</c:v>
                </c:pt>
                <c:pt idx="516">
                  <c:v>45748</c:v>
                </c:pt>
                <c:pt idx="517">
                  <c:v>45749</c:v>
                </c:pt>
                <c:pt idx="518">
                  <c:v>45750</c:v>
                </c:pt>
                <c:pt idx="519">
                  <c:v>45751</c:v>
                </c:pt>
                <c:pt idx="520">
                  <c:v>45755</c:v>
                </c:pt>
                <c:pt idx="521">
                  <c:v>45756</c:v>
                </c:pt>
                <c:pt idx="522">
                  <c:v>45757</c:v>
                </c:pt>
                <c:pt idx="523">
                  <c:v>45758</c:v>
                </c:pt>
                <c:pt idx="524">
                  <c:v>45761</c:v>
                </c:pt>
                <c:pt idx="525">
                  <c:v>45762</c:v>
                </c:pt>
                <c:pt idx="526">
                  <c:v>45763</c:v>
                </c:pt>
                <c:pt idx="527">
                  <c:v>45764</c:v>
                </c:pt>
                <c:pt idx="528">
                  <c:v>45765</c:v>
                </c:pt>
                <c:pt idx="529">
                  <c:v>45768</c:v>
                </c:pt>
                <c:pt idx="530">
                  <c:v>45769</c:v>
                </c:pt>
                <c:pt idx="531">
                  <c:v>45770</c:v>
                </c:pt>
                <c:pt idx="532">
                  <c:v>45771</c:v>
                </c:pt>
                <c:pt idx="533">
                  <c:v>45772</c:v>
                </c:pt>
                <c:pt idx="534">
                  <c:v>45775</c:v>
                </c:pt>
                <c:pt idx="535">
                  <c:v>45776</c:v>
                </c:pt>
                <c:pt idx="536">
                  <c:v>45782</c:v>
                </c:pt>
                <c:pt idx="537">
                  <c:v>45783</c:v>
                </c:pt>
                <c:pt idx="538">
                  <c:v>45784</c:v>
                </c:pt>
                <c:pt idx="539">
                  <c:v>45785</c:v>
                </c:pt>
                <c:pt idx="540">
                  <c:v>45786</c:v>
                </c:pt>
                <c:pt idx="541">
                  <c:v>45789</c:v>
                </c:pt>
                <c:pt idx="542">
                  <c:v>45790</c:v>
                </c:pt>
                <c:pt idx="543">
                  <c:v>45791</c:v>
                </c:pt>
                <c:pt idx="544">
                  <c:v>45792</c:v>
                </c:pt>
                <c:pt idx="545">
                  <c:v>45793</c:v>
                </c:pt>
                <c:pt idx="546">
                  <c:v>45796</c:v>
                </c:pt>
                <c:pt idx="547">
                  <c:v>45797</c:v>
                </c:pt>
                <c:pt idx="548">
                  <c:v>45798</c:v>
                </c:pt>
                <c:pt idx="549">
                  <c:v>45799</c:v>
                </c:pt>
                <c:pt idx="550">
                  <c:v>45800</c:v>
                </c:pt>
                <c:pt idx="551">
                  <c:v>45803</c:v>
                </c:pt>
                <c:pt idx="552">
                  <c:v>45804</c:v>
                </c:pt>
                <c:pt idx="553">
                  <c:v>45805</c:v>
                </c:pt>
                <c:pt idx="554">
                  <c:v>45806</c:v>
                </c:pt>
                <c:pt idx="555">
                  <c:v>45807</c:v>
                </c:pt>
                <c:pt idx="556">
                  <c:v>45810</c:v>
                </c:pt>
                <c:pt idx="557">
                  <c:v>45811</c:v>
                </c:pt>
                <c:pt idx="558">
                  <c:v>45812</c:v>
                </c:pt>
                <c:pt idx="559">
                  <c:v>45813</c:v>
                </c:pt>
                <c:pt idx="560">
                  <c:v>45814</c:v>
                </c:pt>
                <c:pt idx="561">
                  <c:v>45817</c:v>
                </c:pt>
                <c:pt idx="562">
                  <c:v>45818</c:v>
                </c:pt>
                <c:pt idx="563">
                  <c:v>45819</c:v>
                </c:pt>
                <c:pt idx="564">
                  <c:v>45820</c:v>
                </c:pt>
                <c:pt idx="565">
                  <c:v>45821</c:v>
                </c:pt>
                <c:pt idx="566">
                  <c:v>45824</c:v>
                </c:pt>
                <c:pt idx="567">
                  <c:v>45825</c:v>
                </c:pt>
                <c:pt idx="568">
                  <c:v>45826</c:v>
                </c:pt>
                <c:pt idx="569">
                  <c:v>45827</c:v>
                </c:pt>
                <c:pt idx="570">
                  <c:v>45828</c:v>
                </c:pt>
                <c:pt idx="571">
                  <c:v>45831</c:v>
                </c:pt>
                <c:pt idx="572">
                  <c:v>45832</c:v>
                </c:pt>
                <c:pt idx="573">
                  <c:v>45833</c:v>
                </c:pt>
                <c:pt idx="574">
                  <c:v>45834</c:v>
                </c:pt>
                <c:pt idx="575">
                  <c:v>45835</c:v>
                </c:pt>
                <c:pt idx="576">
                  <c:v>45838</c:v>
                </c:pt>
                <c:pt idx="577">
                  <c:v>45839</c:v>
                </c:pt>
                <c:pt idx="578">
                  <c:v>45840</c:v>
                </c:pt>
                <c:pt idx="579">
                  <c:v>45841</c:v>
                </c:pt>
                <c:pt idx="580">
                  <c:v>45842</c:v>
                </c:pt>
                <c:pt idx="581">
                  <c:v>45845</c:v>
                </c:pt>
                <c:pt idx="582">
                  <c:v>45846</c:v>
                </c:pt>
                <c:pt idx="583">
                  <c:v>45847</c:v>
                </c:pt>
                <c:pt idx="584">
                  <c:v>45848</c:v>
                </c:pt>
                <c:pt idx="585">
                  <c:v>45849</c:v>
                </c:pt>
                <c:pt idx="586">
                  <c:v>45852</c:v>
                </c:pt>
                <c:pt idx="587">
                  <c:v>45853</c:v>
                </c:pt>
                <c:pt idx="588">
                  <c:v>45854</c:v>
                </c:pt>
                <c:pt idx="589">
                  <c:v>45855</c:v>
                </c:pt>
                <c:pt idx="590">
                  <c:v>45856</c:v>
                </c:pt>
                <c:pt idx="591">
                  <c:v>45859</c:v>
                </c:pt>
                <c:pt idx="592">
                  <c:v>45860</c:v>
                </c:pt>
                <c:pt idx="593">
                  <c:v>45861</c:v>
                </c:pt>
                <c:pt idx="594">
                  <c:v>45862</c:v>
                </c:pt>
                <c:pt idx="595">
                  <c:v>45863</c:v>
                </c:pt>
                <c:pt idx="596">
                  <c:v>45866</c:v>
                </c:pt>
                <c:pt idx="597">
                  <c:v>45867</c:v>
                </c:pt>
                <c:pt idx="598">
                  <c:v>45868</c:v>
                </c:pt>
                <c:pt idx="599">
                  <c:v>45869</c:v>
                </c:pt>
                <c:pt idx="600">
                  <c:v>45870</c:v>
                </c:pt>
                <c:pt idx="601">
                  <c:v>45873</c:v>
                </c:pt>
                <c:pt idx="602">
                  <c:v>45874</c:v>
                </c:pt>
                <c:pt idx="603">
                  <c:v>45875</c:v>
                </c:pt>
                <c:pt idx="604">
                  <c:v>45876</c:v>
                </c:pt>
                <c:pt idx="605">
                  <c:v>45877</c:v>
                </c:pt>
                <c:pt idx="606">
                  <c:v>45880</c:v>
                </c:pt>
                <c:pt idx="607">
                  <c:v>45881</c:v>
                </c:pt>
                <c:pt idx="608">
                  <c:v>45882</c:v>
                </c:pt>
                <c:pt idx="609">
                  <c:v>45883</c:v>
                </c:pt>
                <c:pt idx="610">
                  <c:v>45884</c:v>
                </c:pt>
                <c:pt idx="611">
                  <c:v>45887</c:v>
                </c:pt>
                <c:pt idx="612">
                  <c:v>45888</c:v>
                </c:pt>
                <c:pt idx="613">
                  <c:v>45889</c:v>
                </c:pt>
                <c:pt idx="614">
                  <c:v>45890</c:v>
                </c:pt>
                <c:pt idx="615">
                  <c:v>45891</c:v>
                </c:pt>
                <c:pt idx="616">
                  <c:v>45894</c:v>
                </c:pt>
                <c:pt idx="617">
                  <c:v>45895</c:v>
                </c:pt>
                <c:pt idx="618">
                  <c:v>45896</c:v>
                </c:pt>
                <c:pt idx="619">
                  <c:v>45897</c:v>
                </c:pt>
                <c:pt idx="620">
                  <c:v>45898</c:v>
                </c:pt>
                <c:pt idx="621">
                  <c:v>45903</c:v>
                </c:pt>
                <c:pt idx="622">
                  <c:v>45904</c:v>
                </c:pt>
                <c:pt idx="623">
                  <c:v>45905</c:v>
                </c:pt>
                <c:pt idx="624">
                  <c:v>45908</c:v>
                </c:pt>
                <c:pt idx="625">
                  <c:v>45909</c:v>
                </c:pt>
                <c:pt idx="626">
                  <c:v>45910</c:v>
                </c:pt>
                <c:pt idx="627">
                  <c:v>45911</c:v>
                </c:pt>
                <c:pt idx="628">
                  <c:v>45912</c:v>
                </c:pt>
                <c:pt idx="629">
                  <c:v>45915</c:v>
                </c:pt>
                <c:pt idx="630">
                  <c:v>45916</c:v>
                </c:pt>
                <c:pt idx="631">
                  <c:v>45917</c:v>
                </c:pt>
                <c:pt idx="632">
                  <c:v>45918</c:v>
                </c:pt>
                <c:pt idx="633">
                  <c:v>45919</c:v>
                </c:pt>
                <c:pt idx="634">
                  <c:v>45922</c:v>
                </c:pt>
                <c:pt idx="635">
                  <c:v>45923</c:v>
                </c:pt>
                <c:pt idx="636">
                  <c:v>45924</c:v>
                </c:pt>
                <c:pt idx="637">
                  <c:v>45925</c:v>
                </c:pt>
                <c:pt idx="638">
                  <c:v>45926</c:v>
                </c:pt>
                <c:pt idx="639">
                  <c:v>45929</c:v>
                </c:pt>
                <c:pt idx="640">
                  <c:v>45930</c:v>
                </c:pt>
                <c:pt idx="641">
                  <c:v>45931</c:v>
                </c:pt>
                <c:pt idx="642">
                  <c:v>45932</c:v>
                </c:pt>
                <c:pt idx="643">
                  <c:v>45933</c:v>
                </c:pt>
                <c:pt idx="644">
                  <c:v>45936</c:v>
                </c:pt>
                <c:pt idx="645">
                  <c:v>45937</c:v>
                </c:pt>
                <c:pt idx="646">
                  <c:v>45938</c:v>
                </c:pt>
                <c:pt idx="647">
                  <c:v>45939</c:v>
                </c:pt>
                <c:pt idx="648">
                  <c:v>45940</c:v>
                </c:pt>
                <c:pt idx="649">
                  <c:v>45943</c:v>
                </c:pt>
                <c:pt idx="650">
                  <c:v>45944</c:v>
                </c:pt>
                <c:pt idx="651">
                  <c:v>45945</c:v>
                </c:pt>
                <c:pt idx="652">
                  <c:v>45946</c:v>
                </c:pt>
                <c:pt idx="653">
                  <c:v>45947</c:v>
                </c:pt>
                <c:pt idx="654">
                  <c:v>45950</c:v>
                </c:pt>
                <c:pt idx="655">
                  <c:v>45951</c:v>
                </c:pt>
                <c:pt idx="656">
                  <c:v>45952</c:v>
                </c:pt>
                <c:pt idx="657">
                  <c:v>45953</c:v>
                </c:pt>
                <c:pt idx="658">
                  <c:v>45954</c:v>
                </c:pt>
                <c:pt idx="659">
                  <c:v>45957</c:v>
                </c:pt>
                <c:pt idx="660">
                  <c:v>45958</c:v>
                </c:pt>
                <c:pt idx="661">
                  <c:v>45959</c:v>
                </c:pt>
                <c:pt idx="662">
                  <c:v>45960</c:v>
                </c:pt>
                <c:pt idx="663">
                  <c:v>45961</c:v>
                </c:pt>
                <c:pt idx="664">
                  <c:v>45964</c:v>
                </c:pt>
                <c:pt idx="665">
                  <c:v>45965</c:v>
                </c:pt>
                <c:pt idx="666">
                  <c:v>45966</c:v>
                </c:pt>
                <c:pt idx="667">
                  <c:v>45967</c:v>
                </c:pt>
                <c:pt idx="668">
                  <c:v>45968</c:v>
                </c:pt>
                <c:pt idx="669">
                  <c:v>45971</c:v>
                </c:pt>
                <c:pt idx="670">
                  <c:v>45972</c:v>
                </c:pt>
                <c:pt idx="671">
                  <c:v>45973</c:v>
                </c:pt>
                <c:pt idx="672">
                  <c:v>45974</c:v>
                </c:pt>
                <c:pt idx="673">
                  <c:v>45975</c:v>
                </c:pt>
                <c:pt idx="674">
                  <c:v>45978</c:v>
                </c:pt>
                <c:pt idx="675">
                  <c:v>45979</c:v>
                </c:pt>
                <c:pt idx="676">
                  <c:v>45980</c:v>
                </c:pt>
                <c:pt idx="677">
                  <c:v>45981</c:v>
                </c:pt>
                <c:pt idx="678">
                  <c:v>45982</c:v>
                </c:pt>
                <c:pt idx="679">
                  <c:v>45985</c:v>
                </c:pt>
                <c:pt idx="680">
                  <c:v>45986</c:v>
                </c:pt>
                <c:pt idx="681">
                  <c:v>45987</c:v>
                </c:pt>
                <c:pt idx="682">
                  <c:v>45988</c:v>
                </c:pt>
                <c:pt idx="683">
                  <c:v>45989</c:v>
                </c:pt>
                <c:pt idx="684">
                  <c:v>45992</c:v>
                </c:pt>
                <c:pt idx="685">
                  <c:v>45993</c:v>
                </c:pt>
                <c:pt idx="686">
                  <c:v>45994</c:v>
                </c:pt>
                <c:pt idx="687">
                  <c:v>45995</c:v>
                </c:pt>
                <c:pt idx="688">
                  <c:v>45996</c:v>
                </c:pt>
                <c:pt idx="689">
                  <c:v>45999</c:v>
                </c:pt>
                <c:pt idx="690">
                  <c:v>46000</c:v>
                </c:pt>
                <c:pt idx="691">
                  <c:v>46001</c:v>
                </c:pt>
                <c:pt idx="692">
                  <c:v>46002</c:v>
                </c:pt>
                <c:pt idx="693">
                  <c:v>46003</c:v>
                </c:pt>
                <c:pt idx="694">
                  <c:v>46006</c:v>
                </c:pt>
                <c:pt idx="695">
                  <c:v>46007</c:v>
                </c:pt>
                <c:pt idx="696">
                  <c:v>46008</c:v>
                </c:pt>
                <c:pt idx="697">
                  <c:v>46009</c:v>
                </c:pt>
                <c:pt idx="698">
                  <c:v>46010</c:v>
                </c:pt>
                <c:pt idx="699">
                  <c:v>46013</c:v>
                </c:pt>
                <c:pt idx="700">
                  <c:v>46014</c:v>
                </c:pt>
                <c:pt idx="701">
                  <c:v>46015</c:v>
                </c:pt>
                <c:pt idx="702">
                  <c:v>46016</c:v>
                </c:pt>
                <c:pt idx="703">
                  <c:v>46017</c:v>
                </c:pt>
                <c:pt idx="704">
                  <c:v>46020</c:v>
                </c:pt>
                <c:pt idx="705">
                  <c:v>46021</c:v>
                </c:pt>
                <c:pt idx="706">
                  <c:v>46022</c:v>
                </c:pt>
                <c:pt idx="707">
                  <c:v>46027</c:v>
                </c:pt>
                <c:pt idx="708">
                  <c:v>46028</c:v>
                </c:pt>
                <c:pt idx="709">
                  <c:v>46029</c:v>
                </c:pt>
                <c:pt idx="710">
                  <c:v>46030</c:v>
                </c:pt>
                <c:pt idx="711">
                  <c:v>46031</c:v>
                </c:pt>
                <c:pt idx="712">
                  <c:v>46034</c:v>
                </c:pt>
                <c:pt idx="713">
                  <c:v>46035</c:v>
                </c:pt>
                <c:pt idx="714">
                  <c:v>46036</c:v>
                </c:pt>
                <c:pt idx="715">
                  <c:v>46037</c:v>
                </c:pt>
                <c:pt idx="716">
                  <c:v>46038</c:v>
                </c:pt>
                <c:pt idx="717">
                  <c:v>46041</c:v>
                </c:pt>
                <c:pt idx="718">
                  <c:v>46042</c:v>
                </c:pt>
                <c:pt idx="719">
                  <c:v>46043</c:v>
                </c:pt>
                <c:pt idx="720">
                  <c:v>46044</c:v>
                </c:pt>
                <c:pt idx="721">
                  <c:v>46045</c:v>
                </c:pt>
                <c:pt idx="722">
                  <c:v>46048</c:v>
                </c:pt>
                <c:pt idx="723">
                  <c:v>46049</c:v>
                </c:pt>
                <c:pt idx="724">
                  <c:v>46050</c:v>
                </c:pt>
                <c:pt idx="725">
                  <c:v>46051</c:v>
                </c:pt>
                <c:pt idx="726">
                  <c:v>46052</c:v>
                </c:pt>
                <c:pt idx="727">
                  <c:v>46055</c:v>
                </c:pt>
                <c:pt idx="728">
                  <c:v>46056</c:v>
                </c:pt>
                <c:pt idx="729">
                  <c:v>46057</c:v>
                </c:pt>
                <c:pt idx="730">
                  <c:v>46058</c:v>
                </c:pt>
                <c:pt idx="731">
                  <c:v>46059</c:v>
                </c:pt>
                <c:pt idx="732">
                  <c:v>46062</c:v>
                </c:pt>
                <c:pt idx="733">
                  <c:v>46063</c:v>
                </c:pt>
                <c:pt idx="734">
                  <c:v>46064</c:v>
                </c:pt>
                <c:pt idx="735">
                  <c:v>46065</c:v>
                </c:pt>
                <c:pt idx="736">
                  <c:v>46066</c:v>
                </c:pt>
                <c:pt idx="737">
                  <c:v>46076</c:v>
                </c:pt>
                <c:pt idx="738">
                  <c:v>46077</c:v>
                </c:pt>
                <c:pt idx="739">
                  <c:v>46078</c:v>
                </c:pt>
                <c:pt idx="740">
                  <c:v>46079</c:v>
                </c:pt>
                <c:pt idx="741">
                  <c:v>46080</c:v>
                </c:pt>
                <c:pt idx="742">
                  <c:v>46083</c:v>
                </c:pt>
                <c:pt idx="743">
                  <c:v>46084</c:v>
                </c:pt>
                <c:pt idx="744">
                  <c:v>46085</c:v>
                </c:pt>
                <c:pt idx="745">
                  <c:v>46086</c:v>
                </c:pt>
                <c:pt idx="746">
                  <c:v>46087</c:v>
                </c:pt>
                <c:pt idx="747">
                  <c:v>45968</c:v>
                </c:pt>
              </c:numCache>
            </c:numRef>
          </c:cat>
          <c:val>
            <c:numRef>
              <c:f>'FX Data'!$F$1462:$F$2855</c:f>
              <c:numCache>
                <c:formatCode>0.0</c:formatCode>
                <c:ptCount val="1394"/>
                <c:pt idx="0">
                  <c:v>24.033050394191257</c:v>
                </c:pt>
                <c:pt idx="1">
                  <c:v>24.033050394191257</c:v>
                </c:pt>
                <c:pt idx="2">
                  <c:v>24.033050394191257</c:v>
                </c:pt>
                <c:pt idx="3">
                  <c:v>24.033050394191257</c:v>
                </c:pt>
                <c:pt idx="4">
                  <c:v>24.033050394191257</c:v>
                </c:pt>
                <c:pt idx="5">
                  <c:v>24.033050394191257</c:v>
                </c:pt>
                <c:pt idx="6">
                  <c:v>24.033050394191257</c:v>
                </c:pt>
                <c:pt idx="7">
                  <c:v>24.033050394191257</c:v>
                </c:pt>
                <c:pt idx="8">
                  <c:v>24.033050394191257</c:v>
                </c:pt>
                <c:pt idx="9">
                  <c:v>24.033050394191257</c:v>
                </c:pt>
                <c:pt idx="10">
                  <c:v>24.033050394191257</c:v>
                </c:pt>
                <c:pt idx="11">
                  <c:v>24.033050394191257</c:v>
                </c:pt>
                <c:pt idx="12">
                  <c:v>24.033050394191257</c:v>
                </c:pt>
                <c:pt idx="13">
                  <c:v>24.033050394191257</c:v>
                </c:pt>
                <c:pt idx="14">
                  <c:v>24.033050394191257</c:v>
                </c:pt>
                <c:pt idx="15">
                  <c:v>24.033050394191257</c:v>
                </c:pt>
                <c:pt idx="16">
                  <c:v>24.033050394191257</c:v>
                </c:pt>
                <c:pt idx="17">
                  <c:v>24.033050394191257</c:v>
                </c:pt>
                <c:pt idx="18">
                  <c:v>24.033050394191257</c:v>
                </c:pt>
                <c:pt idx="19">
                  <c:v>24.033050394191257</c:v>
                </c:pt>
                <c:pt idx="20">
                  <c:v>24.033050394191257</c:v>
                </c:pt>
                <c:pt idx="21">
                  <c:v>24.033050394191257</c:v>
                </c:pt>
                <c:pt idx="22">
                  <c:v>24.033050394191257</c:v>
                </c:pt>
                <c:pt idx="23">
                  <c:v>24.033050394191257</c:v>
                </c:pt>
                <c:pt idx="24">
                  <c:v>24.033050394191257</c:v>
                </c:pt>
                <c:pt idx="25">
                  <c:v>24.033050394191257</c:v>
                </c:pt>
                <c:pt idx="26">
                  <c:v>24.033050394191257</c:v>
                </c:pt>
                <c:pt idx="27">
                  <c:v>24.033050394191257</c:v>
                </c:pt>
                <c:pt idx="28">
                  <c:v>24.033050394191257</c:v>
                </c:pt>
                <c:pt idx="29">
                  <c:v>24.033050394191257</c:v>
                </c:pt>
                <c:pt idx="30">
                  <c:v>24.033050394191257</c:v>
                </c:pt>
                <c:pt idx="31">
                  <c:v>24.033050394191257</c:v>
                </c:pt>
                <c:pt idx="32">
                  <c:v>24.033050394191257</c:v>
                </c:pt>
                <c:pt idx="33">
                  <c:v>24.033050394191257</c:v>
                </c:pt>
                <c:pt idx="34">
                  <c:v>24.033050394191257</c:v>
                </c:pt>
                <c:pt idx="35">
                  <c:v>24.033050394191257</c:v>
                </c:pt>
                <c:pt idx="36">
                  <c:v>24.033050394191257</c:v>
                </c:pt>
                <c:pt idx="37">
                  <c:v>24.033050394191257</c:v>
                </c:pt>
                <c:pt idx="38">
                  <c:v>24.033050394191257</c:v>
                </c:pt>
                <c:pt idx="39">
                  <c:v>24.033050394191257</c:v>
                </c:pt>
                <c:pt idx="40">
                  <c:v>24.033050394191257</c:v>
                </c:pt>
                <c:pt idx="41">
                  <c:v>24.033050394191257</c:v>
                </c:pt>
                <c:pt idx="42">
                  <c:v>24.033050394191257</c:v>
                </c:pt>
                <c:pt idx="43">
                  <c:v>24.033050394191257</c:v>
                </c:pt>
                <c:pt idx="44">
                  <c:v>24.033050394191257</c:v>
                </c:pt>
                <c:pt idx="45">
                  <c:v>24.033050394191257</c:v>
                </c:pt>
                <c:pt idx="46">
                  <c:v>24.033050394191257</c:v>
                </c:pt>
                <c:pt idx="47">
                  <c:v>24.033050394191257</c:v>
                </c:pt>
                <c:pt idx="48">
                  <c:v>24.033050394191257</c:v>
                </c:pt>
                <c:pt idx="49">
                  <c:v>24.033050394191257</c:v>
                </c:pt>
                <c:pt idx="50">
                  <c:v>24.033050394191257</c:v>
                </c:pt>
                <c:pt idx="51">
                  <c:v>24.033050394191257</c:v>
                </c:pt>
                <c:pt idx="52">
                  <c:v>24.033050394191257</c:v>
                </c:pt>
                <c:pt idx="53">
                  <c:v>24.033050394191257</c:v>
                </c:pt>
                <c:pt idx="54">
                  <c:v>24.033050394191257</c:v>
                </c:pt>
                <c:pt idx="55">
                  <c:v>24.033050394191257</c:v>
                </c:pt>
                <c:pt idx="56">
                  <c:v>24.033050394191257</c:v>
                </c:pt>
                <c:pt idx="57">
                  <c:v>24.033050394191257</c:v>
                </c:pt>
                <c:pt idx="58">
                  <c:v>24.033050394191257</c:v>
                </c:pt>
                <c:pt idx="59">
                  <c:v>24.033050394191257</c:v>
                </c:pt>
                <c:pt idx="60">
                  <c:v>24.033050394191257</c:v>
                </c:pt>
                <c:pt idx="61">
                  <c:v>24.033050394191257</c:v>
                </c:pt>
                <c:pt idx="62">
                  <c:v>24.033050394191257</c:v>
                </c:pt>
                <c:pt idx="63">
                  <c:v>24.033050394191257</c:v>
                </c:pt>
                <c:pt idx="64">
                  <c:v>24.033050394191257</c:v>
                </c:pt>
                <c:pt idx="65">
                  <c:v>24.033050394191257</c:v>
                </c:pt>
                <c:pt idx="66">
                  <c:v>24.033050394191257</c:v>
                </c:pt>
                <c:pt idx="67">
                  <c:v>24.033050394191257</c:v>
                </c:pt>
                <c:pt idx="68">
                  <c:v>24.033050394191257</c:v>
                </c:pt>
                <c:pt idx="69">
                  <c:v>24.033050394191257</c:v>
                </c:pt>
                <c:pt idx="70">
                  <c:v>24.033050394191257</c:v>
                </c:pt>
                <c:pt idx="71">
                  <c:v>24.033050394191257</c:v>
                </c:pt>
                <c:pt idx="72">
                  <c:v>24.033050394191257</c:v>
                </c:pt>
                <c:pt idx="73">
                  <c:v>24.033050394191257</c:v>
                </c:pt>
                <c:pt idx="74">
                  <c:v>24.033050394191257</c:v>
                </c:pt>
                <c:pt idx="75">
                  <c:v>24.033050394191257</c:v>
                </c:pt>
                <c:pt idx="76">
                  <c:v>24.033050394191257</c:v>
                </c:pt>
                <c:pt idx="77">
                  <c:v>24.033050394191257</c:v>
                </c:pt>
                <c:pt idx="78">
                  <c:v>24.033050394191257</c:v>
                </c:pt>
                <c:pt idx="79">
                  <c:v>24.033050394191257</c:v>
                </c:pt>
                <c:pt idx="80">
                  <c:v>24.033050394191257</c:v>
                </c:pt>
                <c:pt idx="81">
                  <c:v>24.033050394191257</c:v>
                </c:pt>
                <c:pt idx="82">
                  <c:v>24.033050394191257</c:v>
                </c:pt>
                <c:pt idx="83">
                  <c:v>24.033050394191257</c:v>
                </c:pt>
                <c:pt idx="84">
                  <c:v>24.033050394191257</c:v>
                </c:pt>
                <c:pt idx="85">
                  <c:v>24.033050394191257</c:v>
                </c:pt>
                <c:pt idx="86">
                  <c:v>24.033050394191257</c:v>
                </c:pt>
                <c:pt idx="87">
                  <c:v>24.033050394191257</c:v>
                </c:pt>
                <c:pt idx="88">
                  <c:v>24.033050394191257</c:v>
                </c:pt>
                <c:pt idx="89">
                  <c:v>24.033050394191257</c:v>
                </c:pt>
                <c:pt idx="90">
                  <c:v>24.033050394191257</c:v>
                </c:pt>
                <c:pt idx="91">
                  <c:v>24.033050394191257</c:v>
                </c:pt>
                <c:pt idx="92">
                  <c:v>24.033050394191257</c:v>
                </c:pt>
                <c:pt idx="93">
                  <c:v>24.033050394191257</c:v>
                </c:pt>
                <c:pt idx="94">
                  <c:v>24.033050394191257</c:v>
                </c:pt>
                <c:pt idx="95">
                  <c:v>24.033050394191257</c:v>
                </c:pt>
                <c:pt idx="96">
                  <c:v>24.033050394191257</c:v>
                </c:pt>
                <c:pt idx="97">
                  <c:v>24.033050394191257</c:v>
                </c:pt>
                <c:pt idx="98">
                  <c:v>24.033050394191257</c:v>
                </c:pt>
                <c:pt idx="99">
                  <c:v>24.033050394191257</c:v>
                </c:pt>
                <c:pt idx="100">
                  <c:v>24.033050394191257</c:v>
                </c:pt>
                <c:pt idx="101">
                  <c:v>24.033050394191257</c:v>
                </c:pt>
                <c:pt idx="102">
                  <c:v>24.033050394191257</c:v>
                </c:pt>
                <c:pt idx="103">
                  <c:v>24.033050394191257</c:v>
                </c:pt>
                <c:pt idx="104">
                  <c:v>24.033050394191257</c:v>
                </c:pt>
                <c:pt idx="105">
                  <c:v>24.033050394191257</c:v>
                </c:pt>
                <c:pt idx="106">
                  <c:v>24.033050394191257</c:v>
                </c:pt>
                <c:pt idx="107">
                  <c:v>24.033050394191257</c:v>
                </c:pt>
                <c:pt idx="108">
                  <c:v>24.033050394191257</c:v>
                </c:pt>
                <c:pt idx="109">
                  <c:v>24.033050394191257</c:v>
                </c:pt>
                <c:pt idx="110">
                  <c:v>24.033050394191257</c:v>
                </c:pt>
                <c:pt idx="111">
                  <c:v>24.033050394191257</c:v>
                </c:pt>
                <c:pt idx="112">
                  <c:v>24.033050394191257</c:v>
                </c:pt>
                <c:pt idx="113">
                  <c:v>24.033050394191257</c:v>
                </c:pt>
                <c:pt idx="114">
                  <c:v>24.033050394191257</c:v>
                </c:pt>
                <c:pt idx="115">
                  <c:v>24.033050394191257</c:v>
                </c:pt>
                <c:pt idx="116">
                  <c:v>24.033050394191257</c:v>
                </c:pt>
                <c:pt idx="117">
                  <c:v>24.033050394191257</c:v>
                </c:pt>
                <c:pt idx="118">
                  <c:v>24.033050394191257</c:v>
                </c:pt>
                <c:pt idx="119">
                  <c:v>24.033050394191257</c:v>
                </c:pt>
                <c:pt idx="120">
                  <c:v>24.033050394191257</c:v>
                </c:pt>
                <c:pt idx="121">
                  <c:v>24.033050394191257</c:v>
                </c:pt>
                <c:pt idx="122">
                  <c:v>24.033050394191257</c:v>
                </c:pt>
                <c:pt idx="123">
                  <c:v>24.033050394191257</c:v>
                </c:pt>
                <c:pt idx="124">
                  <c:v>24.033050394191257</c:v>
                </c:pt>
                <c:pt idx="125">
                  <c:v>24.033050394191257</c:v>
                </c:pt>
                <c:pt idx="126">
                  <c:v>24.033050394191257</c:v>
                </c:pt>
                <c:pt idx="127">
                  <c:v>24.033050394191257</c:v>
                </c:pt>
                <c:pt idx="128">
                  <c:v>24.033050394191257</c:v>
                </c:pt>
                <c:pt idx="129">
                  <c:v>24.033050394191257</c:v>
                </c:pt>
                <c:pt idx="130">
                  <c:v>24.033050394191257</c:v>
                </c:pt>
                <c:pt idx="131">
                  <c:v>24.033050394191257</c:v>
                </c:pt>
                <c:pt idx="132">
                  <c:v>24.033050394191257</c:v>
                </c:pt>
                <c:pt idx="133">
                  <c:v>24.033050394191257</c:v>
                </c:pt>
                <c:pt idx="134">
                  <c:v>24.033050394191257</c:v>
                </c:pt>
                <c:pt idx="135">
                  <c:v>24.033050394191257</c:v>
                </c:pt>
                <c:pt idx="136">
                  <c:v>24.033050394191257</c:v>
                </c:pt>
                <c:pt idx="137">
                  <c:v>24.033050394191257</c:v>
                </c:pt>
                <c:pt idx="138">
                  <c:v>24.033050394191257</c:v>
                </c:pt>
                <c:pt idx="139">
                  <c:v>24.033050394191257</c:v>
                </c:pt>
                <c:pt idx="140">
                  <c:v>24.033050394191257</c:v>
                </c:pt>
                <c:pt idx="141">
                  <c:v>24.033050394191257</c:v>
                </c:pt>
                <c:pt idx="142">
                  <c:v>24.033050394191257</c:v>
                </c:pt>
                <c:pt idx="143">
                  <c:v>24.033050394191257</c:v>
                </c:pt>
                <c:pt idx="144">
                  <c:v>24.033050394191257</c:v>
                </c:pt>
                <c:pt idx="145">
                  <c:v>24.033050394191257</c:v>
                </c:pt>
                <c:pt idx="146">
                  <c:v>24.033050394191257</c:v>
                </c:pt>
                <c:pt idx="147">
                  <c:v>24.033050394191257</c:v>
                </c:pt>
                <c:pt idx="148">
                  <c:v>24.033050394191257</c:v>
                </c:pt>
                <c:pt idx="149">
                  <c:v>24.033050394191257</c:v>
                </c:pt>
                <c:pt idx="150">
                  <c:v>24.033050394191257</c:v>
                </c:pt>
                <c:pt idx="151">
                  <c:v>24.033050394191257</c:v>
                </c:pt>
                <c:pt idx="152">
                  <c:v>24.033050394191257</c:v>
                </c:pt>
                <c:pt idx="153">
                  <c:v>24.033050394191257</c:v>
                </c:pt>
                <c:pt idx="154">
                  <c:v>24.033050394191257</c:v>
                </c:pt>
                <c:pt idx="155">
                  <c:v>24.033050394191257</c:v>
                </c:pt>
                <c:pt idx="156">
                  <c:v>24.033050394191257</c:v>
                </c:pt>
                <c:pt idx="157">
                  <c:v>24.033050394191257</c:v>
                </c:pt>
                <c:pt idx="158">
                  <c:v>24.033050394191257</c:v>
                </c:pt>
                <c:pt idx="159">
                  <c:v>24.033050394191257</c:v>
                </c:pt>
                <c:pt idx="160">
                  <c:v>24.033050394191257</c:v>
                </c:pt>
                <c:pt idx="161">
                  <c:v>24.033050394191257</c:v>
                </c:pt>
                <c:pt idx="162">
                  <c:v>24.033050394191257</c:v>
                </c:pt>
                <c:pt idx="163">
                  <c:v>24.033050394191257</c:v>
                </c:pt>
                <c:pt idx="164">
                  <c:v>24.033050394191257</c:v>
                </c:pt>
                <c:pt idx="165">
                  <c:v>24.033050394191257</c:v>
                </c:pt>
                <c:pt idx="166">
                  <c:v>24.033050394191257</c:v>
                </c:pt>
                <c:pt idx="167">
                  <c:v>24.033050394191257</c:v>
                </c:pt>
                <c:pt idx="168">
                  <c:v>24.033050394191257</c:v>
                </c:pt>
                <c:pt idx="169">
                  <c:v>24.033050394191257</c:v>
                </c:pt>
                <c:pt idx="170">
                  <c:v>24.033050394191257</c:v>
                </c:pt>
                <c:pt idx="171">
                  <c:v>24.033050394191257</c:v>
                </c:pt>
                <c:pt idx="172">
                  <c:v>24.033050394191257</c:v>
                </c:pt>
                <c:pt idx="173">
                  <c:v>24.033050394191257</c:v>
                </c:pt>
                <c:pt idx="174">
                  <c:v>24.033050394191257</c:v>
                </c:pt>
                <c:pt idx="175">
                  <c:v>24.033050394191257</c:v>
                </c:pt>
                <c:pt idx="176">
                  <c:v>24.033050394191257</c:v>
                </c:pt>
                <c:pt idx="177">
                  <c:v>24.033050394191257</c:v>
                </c:pt>
                <c:pt idx="178">
                  <c:v>24.033050394191257</c:v>
                </c:pt>
                <c:pt idx="179">
                  <c:v>24.033050394191257</c:v>
                </c:pt>
                <c:pt idx="180">
                  <c:v>24.033050394191257</c:v>
                </c:pt>
                <c:pt idx="181">
                  <c:v>24.033050394191257</c:v>
                </c:pt>
                <c:pt idx="182">
                  <c:v>24.033050394191257</c:v>
                </c:pt>
                <c:pt idx="183">
                  <c:v>24.033050394191257</c:v>
                </c:pt>
                <c:pt idx="184">
                  <c:v>24.033050394191257</c:v>
                </c:pt>
                <c:pt idx="185">
                  <c:v>24.033050394191257</c:v>
                </c:pt>
                <c:pt idx="186">
                  <c:v>24.033050394191257</c:v>
                </c:pt>
                <c:pt idx="187">
                  <c:v>24.033050394191257</c:v>
                </c:pt>
                <c:pt idx="188">
                  <c:v>24.033050394191257</c:v>
                </c:pt>
                <c:pt idx="189">
                  <c:v>24.033050394191257</c:v>
                </c:pt>
                <c:pt idx="190">
                  <c:v>24.033050394191257</c:v>
                </c:pt>
                <c:pt idx="191">
                  <c:v>24.033050394191257</c:v>
                </c:pt>
                <c:pt idx="192">
                  <c:v>24.033050394191257</c:v>
                </c:pt>
                <c:pt idx="193">
                  <c:v>24.033050394191257</c:v>
                </c:pt>
                <c:pt idx="194">
                  <c:v>24.033050394191257</c:v>
                </c:pt>
                <c:pt idx="195">
                  <c:v>24.033050394191257</c:v>
                </c:pt>
                <c:pt idx="196">
                  <c:v>24.033050394191257</c:v>
                </c:pt>
                <c:pt idx="197">
                  <c:v>24.033050394191257</c:v>
                </c:pt>
                <c:pt idx="198">
                  <c:v>24.033050394191257</c:v>
                </c:pt>
                <c:pt idx="199">
                  <c:v>24.033050394191257</c:v>
                </c:pt>
                <c:pt idx="200">
                  <c:v>24.033050394191257</c:v>
                </c:pt>
                <c:pt idx="201">
                  <c:v>24.033050394191257</c:v>
                </c:pt>
                <c:pt idx="202">
                  <c:v>24.033050394191257</c:v>
                </c:pt>
                <c:pt idx="203">
                  <c:v>24.033050394191257</c:v>
                </c:pt>
                <c:pt idx="204">
                  <c:v>24.033050394191257</c:v>
                </c:pt>
                <c:pt idx="205">
                  <c:v>24.033050394191257</c:v>
                </c:pt>
                <c:pt idx="206">
                  <c:v>24.033050394191257</c:v>
                </c:pt>
                <c:pt idx="207">
                  <c:v>24.033050394191257</c:v>
                </c:pt>
                <c:pt idx="208">
                  <c:v>24.033050394191257</c:v>
                </c:pt>
                <c:pt idx="209">
                  <c:v>24.033050394191257</c:v>
                </c:pt>
                <c:pt idx="210">
                  <c:v>24.033050394191257</c:v>
                </c:pt>
                <c:pt idx="211">
                  <c:v>24.033050394191257</c:v>
                </c:pt>
                <c:pt idx="212">
                  <c:v>24.033050394191257</c:v>
                </c:pt>
                <c:pt idx="213">
                  <c:v>24.033050394191257</c:v>
                </c:pt>
                <c:pt idx="214">
                  <c:v>24.033050394191257</c:v>
                </c:pt>
                <c:pt idx="215">
                  <c:v>24.033050394191257</c:v>
                </c:pt>
                <c:pt idx="216">
                  <c:v>24.033050394191257</c:v>
                </c:pt>
                <c:pt idx="217">
                  <c:v>24.033050394191257</c:v>
                </c:pt>
                <c:pt idx="218">
                  <c:v>24.033050394191257</c:v>
                </c:pt>
                <c:pt idx="219">
                  <c:v>24.033050394191257</c:v>
                </c:pt>
                <c:pt idx="220">
                  <c:v>24.033050394191257</c:v>
                </c:pt>
                <c:pt idx="221">
                  <c:v>24.033050394191257</c:v>
                </c:pt>
                <c:pt idx="222">
                  <c:v>24.033050394191257</c:v>
                </c:pt>
                <c:pt idx="223">
                  <c:v>24.033050394191257</c:v>
                </c:pt>
                <c:pt idx="224">
                  <c:v>24.033050394191257</c:v>
                </c:pt>
                <c:pt idx="225">
                  <c:v>24.033050394191257</c:v>
                </c:pt>
                <c:pt idx="226">
                  <c:v>24.033050394191257</c:v>
                </c:pt>
                <c:pt idx="227">
                  <c:v>24.033050394191257</c:v>
                </c:pt>
                <c:pt idx="228">
                  <c:v>24.033050394191257</c:v>
                </c:pt>
                <c:pt idx="229">
                  <c:v>24.033050394191257</c:v>
                </c:pt>
                <c:pt idx="230">
                  <c:v>24.033050394191257</c:v>
                </c:pt>
                <c:pt idx="231">
                  <c:v>24.033050394191257</c:v>
                </c:pt>
                <c:pt idx="232">
                  <c:v>24.033050394191257</c:v>
                </c:pt>
                <c:pt idx="233">
                  <c:v>24.033050394191257</c:v>
                </c:pt>
                <c:pt idx="234">
                  <c:v>24.033050394191257</c:v>
                </c:pt>
                <c:pt idx="235">
                  <c:v>24.033050394191257</c:v>
                </c:pt>
                <c:pt idx="236">
                  <c:v>24.033050394191257</c:v>
                </c:pt>
                <c:pt idx="237">
                  <c:v>24.033050394191257</c:v>
                </c:pt>
                <c:pt idx="238">
                  <c:v>24.033050394191257</c:v>
                </c:pt>
                <c:pt idx="239">
                  <c:v>24.033050394191257</c:v>
                </c:pt>
                <c:pt idx="240">
                  <c:v>24.033050394191257</c:v>
                </c:pt>
                <c:pt idx="241">
                  <c:v>24.033050394191257</c:v>
                </c:pt>
                <c:pt idx="242">
                  <c:v>24.033050394191257</c:v>
                </c:pt>
                <c:pt idx="243">
                  <c:v>24.033050394191257</c:v>
                </c:pt>
                <c:pt idx="244">
                  <c:v>24.033050394191257</c:v>
                </c:pt>
                <c:pt idx="245">
                  <c:v>24.033050394191257</c:v>
                </c:pt>
                <c:pt idx="246">
                  <c:v>24.033050394191257</c:v>
                </c:pt>
                <c:pt idx="247">
                  <c:v>24.033050394191257</c:v>
                </c:pt>
                <c:pt idx="248">
                  <c:v>24.033050394191257</c:v>
                </c:pt>
                <c:pt idx="249">
                  <c:v>24.033050394191257</c:v>
                </c:pt>
                <c:pt idx="250">
                  <c:v>24.033050394191257</c:v>
                </c:pt>
                <c:pt idx="251">
                  <c:v>24.033050394191257</c:v>
                </c:pt>
                <c:pt idx="252">
                  <c:v>24.033050394191257</c:v>
                </c:pt>
                <c:pt idx="253">
                  <c:v>24.033050394191257</c:v>
                </c:pt>
                <c:pt idx="254">
                  <c:v>24.033050394191257</c:v>
                </c:pt>
                <c:pt idx="255">
                  <c:v>24.033050394191257</c:v>
                </c:pt>
                <c:pt idx="256">
                  <c:v>24.033050394191257</c:v>
                </c:pt>
                <c:pt idx="257">
                  <c:v>24.033050394191257</c:v>
                </c:pt>
                <c:pt idx="258">
                  <c:v>24.033050394191257</c:v>
                </c:pt>
                <c:pt idx="259">
                  <c:v>24.033050394191257</c:v>
                </c:pt>
                <c:pt idx="260">
                  <c:v>24.033050394191257</c:v>
                </c:pt>
                <c:pt idx="261">
                  <c:v>24.033050394191257</c:v>
                </c:pt>
                <c:pt idx="262">
                  <c:v>24.033050394191257</c:v>
                </c:pt>
                <c:pt idx="263">
                  <c:v>24.033050394191257</c:v>
                </c:pt>
                <c:pt idx="264">
                  <c:v>24.033050394191257</c:v>
                </c:pt>
                <c:pt idx="265">
                  <c:v>24.033050394191257</c:v>
                </c:pt>
                <c:pt idx="266">
                  <c:v>24.033050394191257</c:v>
                </c:pt>
                <c:pt idx="267">
                  <c:v>24.033050394191257</c:v>
                </c:pt>
                <c:pt idx="268">
                  <c:v>24.033050394191257</c:v>
                </c:pt>
                <c:pt idx="269">
                  <c:v>24.033050394191257</c:v>
                </c:pt>
                <c:pt idx="270">
                  <c:v>24.033050394191257</c:v>
                </c:pt>
                <c:pt idx="271">
                  <c:v>24.033050394191257</c:v>
                </c:pt>
                <c:pt idx="272">
                  <c:v>24.033050394191257</c:v>
                </c:pt>
                <c:pt idx="273">
                  <c:v>24.033050394191257</c:v>
                </c:pt>
                <c:pt idx="274">
                  <c:v>24.033050394191257</c:v>
                </c:pt>
                <c:pt idx="275">
                  <c:v>24.033050394191257</c:v>
                </c:pt>
                <c:pt idx="276">
                  <c:v>24.033050394191257</c:v>
                </c:pt>
                <c:pt idx="277">
                  <c:v>24.033050394191257</c:v>
                </c:pt>
                <c:pt idx="278">
                  <c:v>24.033050394191257</c:v>
                </c:pt>
                <c:pt idx="279">
                  <c:v>24.033050394191257</c:v>
                </c:pt>
                <c:pt idx="280">
                  <c:v>24.033050394191257</c:v>
                </c:pt>
                <c:pt idx="281">
                  <c:v>24.033050394191257</c:v>
                </c:pt>
                <c:pt idx="282">
                  <c:v>24.033050394191257</c:v>
                </c:pt>
                <c:pt idx="283">
                  <c:v>24.033050394191257</c:v>
                </c:pt>
                <c:pt idx="284">
                  <c:v>24.033050394191257</c:v>
                </c:pt>
                <c:pt idx="285">
                  <c:v>24.033050394191257</c:v>
                </c:pt>
                <c:pt idx="286">
                  <c:v>24.033050394191257</c:v>
                </c:pt>
                <c:pt idx="287">
                  <c:v>24.033050394191257</c:v>
                </c:pt>
                <c:pt idx="288">
                  <c:v>24.033050394191257</c:v>
                </c:pt>
                <c:pt idx="289">
                  <c:v>24.033050394191257</c:v>
                </c:pt>
                <c:pt idx="290">
                  <c:v>24.033050394191257</c:v>
                </c:pt>
                <c:pt idx="291">
                  <c:v>24.033050394191257</c:v>
                </c:pt>
                <c:pt idx="292">
                  <c:v>24.033050394191257</c:v>
                </c:pt>
                <c:pt idx="293">
                  <c:v>24.033050394191257</c:v>
                </c:pt>
                <c:pt idx="294">
                  <c:v>24.033050394191257</c:v>
                </c:pt>
                <c:pt idx="295">
                  <c:v>24.033050394191257</c:v>
                </c:pt>
                <c:pt idx="296">
                  <c:v>24.033050394191257</c:v>
                </c:pt>
                <c:pt idx="297">
                  <c:v>24.033050394191257</c:v>
                </c:pt>
                <c:pt idx="298">
                  <c:v>24.033050394191257</c:v>
                </c:pt>
                <c:pt idx="299">
                  <c:v>24.033050394191257</c:v>
                </c:pt>
                <c:pt idx="300">
                  <c:v>24.033050394191257</c:v>
                </c:pt>
                <c:pt idx="301">
                  <c:v>24.033050394191257</c:v>
                </c:pt>
                <c:pt idx="302">
                  <c:v>24.033050394191257</c:v>
                </c:pt>
                <c:pt idx="303">
                  <c:v>24.033050394191257</c:v>
                </c:pt>
                <c:pt idx="304">
                  <c:v>24.033050394191257</c:v>
                </c:pt>
                <c:pt idx="305">
                  <c:v>24.033050394191257</c:v>
                </c:pt>
                <c:pt idx="306">
                  <c:v>24.033050394191257</c:v>
                </c:pt>
                <c:pt idx="307">
                  <c:v>24.033050394191257</c:v>
                </c:pt>
                <c:pt idx="308">
                  <c:v>24.033050394191257</c:v>
                </c:pt>
                <c:pt idx="309">
                  <c:v>24.033050394191257</c:v>
                </c:pt>
                <c:pt idx="310">
                  <c:v>24.033050394191257</c:v>
                </c:pt>
                <c:pt idx="311">
                  <c:v>24.033050394191257</c:v>
                </c:pt>
                <c:pt idx="312">
                  <c:v>24.033050394191257</c:v>
                </c:pt>
                <c:pt idx="313">
                  <c:v>24.033050394191257</c:v>
                </c:pt>
                <c:pt idx="314">
                  <c:v>24.033050394191257</c:v>
                </c:pt>
                <c:pt idx="315">
                  <c:v>24.033050394191257</c:v>
                </c:pt>
                <c:pt idx="316">
                  <c:v>24.033050394191257</c:v>
                </c:pt>
                <c:pt idx="317">
                  <c:v>24.033050394191257</c:v>
                </c:pt>
                <c:pt idx="318">
                  <c:v>24.033050394191257</c:v>
                </c:pt>
                <c:pt idx="319">
                  <c:v>24.033050394191257</c:v>
                </c:pt>
                <c:pt idx="320">
                  <c:v>24.033050394191257</c:v>
                </c:pt>
                <c:pt idx="321">
                  <c:v>24.033050394191257</c:v>
                </c:pt>
                <c:pt idx="322">
                  <c:v>24.033050394191257</c:v>
                </c:pt>
                <c:pt idx="323">
                  <c:v>24.033050394191257</c:v>
                </c:pt>
                <c:pt idx="324">
                  <c:v>24.033050394191257</c:v>
                </c:pt>
                <c:pt idx="325">
                  <c:v>24.033050394191257</c:v>
                </c:pt>
                <c:pt idx="326">
                  <c:v>24.033050394191257</c:v>
                </c:pt>
                <c:pt idx="327">
                  <c:v>24.033050394191257</c:v>
                </c:pt>
                <c:pt idx="328">
                  <c:v>24.033050394191257</c:v>
                </c:pt>
                <c:pt idx="329">
                  <c:v>24.033050394191257</c:v>
                </c:pt>
                <c:pt idx="330">
                  <c:v>24.033050394191257</c:v>
                </c:pt>
                <c:pt idx="331">
                  <c:v>24.033050394191257</c:v>
                </c:pt>
                <c:pt idx="332">
                  <c:v>24.033050394191257</c:v>
                </c:pt>
                <c:pt idx="333">
                  <c:v>24.033050394191257</c:v>
                </c:pt>
                <c:pt idx="334">
                  <c:v>24.033050394191257</c:v>
                </c:pt>
                <c:pt idx="335">
                  <c:v>24.033050394191257</c:v>
                </c:pt>
                <c:pt idx="336">
                  <c:v>24.033050394191257</c:v>
                </c:pt>
                <c:pt idx="337">
                  <c:v>24.033050394191257</c:v>
                </c:pt>
                <c:pt idx="338">
                  <c:v>24.033050394191257</c:v>
                </c:pt>
                <c:pt idx="339">
                  <c:v>24.033050394191257</c:v>
                </c:pt>
                <c:pt idx="340">
                  <c:v>24.033050394191257</c:v>
                </c:pt>
                <c:pt idx="341">
                  <c:v>24.033050394191257</c:v>
                </c:pt>
                <c:pt idx="342">
                  <c:v>24.033050394191257</c:v>
                </c:pt>
                <c:pt idx="343">
                  <c:v>24.033050394191257</c:v>
                </c:pt>
                <c:pt idx="344">
                  <c:v>24.033050394191257</c:v>
                </c:pt>
                <c:pt idx="345">
                  <c:v>24.033050394191257</c:v>
                </c:pt>
                <c:pt idx="346">
                  <c:v>24.033050394191257</c:v>
                </c:pt>
                <c:pt idx="347">
                  <c:v>24.033050394191257</c:v>
                </c:pt>
                <c:pt idx="348">
                  <c:v>24.033050394191257</c:v>
                </c:pt>
                <c:pt idx="349">
                  <c:v>24.033050394191257</c:v>
                </c:pt>
                <c:pt idx="350">
                  <c:v>24.033050394191257</c:v>
                </c:pt>
                <c:pt idx="351">
                  <c:v>24.033050394191257</c:v>
                </c:pt>
                <c:pt idx="352">
                  <c:v>24.033050394191257</c:v>
                </c:pt>
                <c:pt idx="353">
                  <c:v>24.033050394191257</c:v>
                </c:pt>
                <c:pt idx="354">
                  <c:v>24.033050394191257</c:v>
                </c:pt>
                <c:pt idx="355">
                  <c:v>24.033050394191257</c:v>
                </c:pt>
                <c:pt idx="356">
                  <c:v>24.033050394191257</c:v>
                </c:pt>
                <c:pt idx="357">
                  <c:v>24.033050394191257</c:v>
                </c:pt>
                <c:pt idx="358">
                  <c:v>24.033050394191257</c:v>
                </c:pt>
                <c:pt idx="359">
                  <c:v>24.033050394191257</c:v>
                </c:pt>
                <c:pt idx="360">
                  <c:v>24.033050394191257</c:v>
                </c:pt>
                <c:pt idx="361">
                  <c:v>24.033050394191257</c:v>
                </c:pt>
                <c:pt idx="362">
                  <c:v>24.033050394191257</c:v>
                </c:pt>
                <c:pt idx="363">
                  <c:v>24.033050394191257</c:v>
                </c:pt>
                <c:pt idx="364">
                  <c:v>24.033050394191257</c:v>
                </c:pt>
                <c:pt idx="365">
                  <c:v>24.033050394191257</c:v>
                </c:pt>
                <c:pt idx="366">
                  <c:v>24.033050394191257</c:v>
                </c:pt>
                <c:pt idx="367">
                  <c:v>24.033050394191257</c:v>
                </c:pt>
                <c:pt idx="368">
                  <c:v>24.033050394191257</c:v>
                </c:pt>
                <c:pt idx="369">
                  <c:v>24.033050394191257</c:v>
                </c:pt>
                <c:pt idx="370">
                  <c:v>24.033050394191257</c:v>
                </c:pt>
                <c:pt idx="371">
                  <c:v>24.033050394191257</c:v>
                </c:pt>
                <c:pt idx="372">
                  <c:v>24.033050394191257</c:v>
                </c:pt>
                <c:pt idx="373">
                  <c:v>24.033050394191257</c:v>
                </c:pt>
                <c:pt idx="374">
                  <c:v>24.033050394191257</c:v>
                </c:pt>
                <c:pt idx="375">
                  <c:v>24.033050394191257</c:v>
                </c:pt>
                <c:pt idx="376">
                  <c:v>24.033050394191257</c:v>
                </c:pt>
                <c:pt idx="377">
                  <c:v>24.033050394191257</c:v>
                </c:pt>
                <c:pt idx="378">
                  <c:v>24.033050394191257</c:v>
                </c:pt>
                <c:pt idx="379">
                  <c:v>24.033050394191257</c:v>
                </c:pt>
                <c:pt idx="380">
                  <c:v>24.033050394191257</c:v>
                </c:pt>
                <c:pt idx="381">
                  <c:v>24.033050394191257</c:v>
                </c:pt>
                <c:pt idx="382">
                  <c:v>24.033050394191257</c:v>
                </c:pt>
                <c:pt idx="383">
                  <c:v>24.033050394191257</c:v>
                </c:pt>
                <c:pt idx="384">
                  <c:v>24.033050394191257</c:v>
                </c:pt>
                <c:pt idx="385">
                  <c:v>24.033050394191257</c:v>
                </c:pt>
                <c:pt idx="386">
                  <c:v>24.033050394191257</c:v>
                </c:pt>
                <c:pt idx="387">
                  <c:v>24.033050394191257</c:v>
                </c:pt>
                <c:pt idx="388">
                  <c:v>24.033050394191257</c:v>
                </c:pt>
                <c:pt idx="389">
                  <c:v>24.033050394191257</c:v>
                </c:pt>
                <c:pt idx="390">
                  <c:v>24.033050394191257</c:v>
                </c:pt>
                <c:pt idx="391">
                  <c:v>24.033050394191257</c:v>
                </c:pt>
                <c:pt idx="392">
                  <c:v>24.033050394191257</c:v>
                </c:pt>
                <c:pt idx="393">
                  <c:v>24.033050394191257</c:v>
                </c:pt>
                <c:pt idx="394">
                  <c:v>24.033050394191257</c:v>
                </c:pt>
                <c:pt idx="395">
                  <c:v>24.033050394191257</c:v>
                </c:pt>
                <c:pt idx="396">
                  <c:v>24.033050394191257</c:v>
                </c:pt>
                <c:pt idx="397">
                  <c:v>24.033050394191257</c:v>
                </c:pt>
                <c:pt idx="398">
                  <c:v>24.033050394191257</c:v>
                </c:pt>
                <c:pt idx="399">
                  <c:v>24.033050394191257</c:v>
                </c:pt>
                <c:pt idx="400">
                  <c:v>24.033050394191257</c:v>
                </c:pt>
                <c:pt idx="401">
                  <c:v>24.033050394191257</c:v>
                </c:pt>
                <c:pt idx="402">
                  <c:v>24.033050394191257</c:v>
                </c:pt>
                <c:pt idx="403">
                  <c:v>24.033050394191257</c:v>
                </c:pt>
                <c:pt idx="404">
                  <c:v>24.033050394191257</c:v>
                </c:pt>
                <c:pt idx="405">
                  <c:v>24.033050394191257</c:v>
                </c:pt>
                <c:pt idx="406">
                  <c:v>24.033050394191257</c:v>
                </c:pt>
                <c:pt idx="407">
                  <c:v>24.033050394191257</c:v>
                </c:pt>
                <c:pt idx="408">
                  <c:v>24.033050394191257</c:v>
                </c:pt>
                <c:pt idx="409">
                  <c:v>24.033050394191257</c:v>
                </c:pt>
                <c:pt idx="410">
                  <c:v>24.033050394191257</c:v>
                </c:pt>
                <c:pt idx="411">
                  <c:v>24.033050394191257</c:v>
                </c:pt>
                <c:pt idx="412">
                  <c:v>24.033050394191257</c:v>
                </c:pt>
                <c:pt idx="413">
                  <c:v>24.033050394191257</c:v>
                </c:pt>
                <c:pt idx="414">
                  <c:v>24.033050394191257</c:v>
                </c:pt>
                <c:pt idx="415">
                  <c:v>24.033050394191257</c:v>
                </c:pt>
                <c:pt idx="416">
                  <c:v>24.033050394191257</c:v>
                </c:pt>
                <c:pt idx="417">
                  <c:v>24.033050394191257</c:v>
                </c:pt>
                <c:pt idx="418">
                  <c:v>24.033050394191257</c:v>
                </c:pt>
                <c:pt idx="419">
                  <c:v>24.033050394191257</c:v>
                </c:pt>
                <c:pt idx="420">
                  <c:v>24.033050394191257</c:v>
                </c:pt>
                <c:pt idx="421">
                  <c:v>24.033050394191257</c:v>
                </c:pt>
                <c:pt idx="422">
                  <c:v>24.033050394191257</c:v>
                </c:pt>
                <c:pt idx="423">
                  <c:v>24.033050394191257</c:v>
                </c:pt>
                <c:pt idx="424">
                  <c:v>24.033050394191257</c:v>
                </c:pt>
                <c:pt idx="425">
                  <c:v>24.033050394191257</c:v>
                </c:pt>
                <c:pt idx="426">
                  <c:v>24.033050394191257</c:v>
                </c:pt>
                <c:pt idx="427">
                  <c:v>24.033050394191257</c:v>
                </c:pt>
                <c:pt idx="428">
                  <c:v>24.033050394191257</c:v>
                </c:pt>
                <c:pt idx="429">
                  <c:v>24.033050394191257</c:v>
                </c:pt>
                <c:pt idx="430">
                  <c:v>24.033050394191257</c:v>
                </c:pt>
                <c:pt idx="431">
                  <c:v>24.033050394191257</c:v>
                </c:pt>
                <c:pt idx="432">
                  <c:v>24.033050394191257</c:v>
                </c:pt>
                <c:pt idx="433">
                  <c:v>24.033050394191257</c:v>
                </c:pt>
                <c:pt idx="434">
                  <c:v>24.033050394191257</c:v>
                </c:pt>
                <c:pt idx="435">
                  <c:v>24.033050394191257</c:v>
                </c:pt>
                <c:pt idx="436">
                  <c:v>24.033050394191257</c:v>
                </c:pt>
                <c:pt idx="437">
                  <c:v>24.033050394191257</c:v>
                </c:pt>
                <c:pt idx="438">
                  <c:v>24.033050394191257</c:v>
                </c:pt>
                <c:pt idx="439">
                  <c:v>24.033050394191257</c:v>
                </c:pt>
                <c:pt idx="440">
                  <c:v>24.033050394191257</c:v>
                </c:pt>
                <c:pt idx="441">
                  <c:v>24.033050394191257</c:v>
                </c:pt>
                <c:pt idx="442">
                  <c:v>24.033050394191257</c:v>
                </c:pt>
                <c:pt idx="443">
                  <c:v>24.033050394191257</c:v>
                </c:pt>
                <c:pt idx="444">
                  <c:v>24.033050394191257</c:v>
                </c:pt>
                <c:pt idx="445">
                  <c:v>24.033050394191257</c:v>
                </c:pt>
                <c:pt idx="446">
                  <c:v>24.033050394191257</c:v>
                </c:pt>
                <c:pt idx="447">
                  <c:v>24.033050394191257</c:v>
                </c:pt>
                <c:pt idx="448">
                  <c:v>24.033050394191257</c:v>
                </c:pt>
                <c:pt idx="449">
                  <c:v>24.033050394191257</c:v>
                </c:pt>
                <c:pt idx="450">
                  <c:v>24.033050394191257</c:v>
                </c:pt>
                <c:pt idx="451">
                  <c:v>24.033050394191257</c:v>
                </c:pt>
                <c:pt idx="452">
                  <c:v>24.033050394191257</c:v>
                </c:pt>
                <c:pt idx="453">
                  <c:v>24.033050394191257</c:v>
                </c:pt>
                <c:pt idx="454">
                  <c:v>24.033050394191257</c:v>
                </c:pt>
                <c:pt idx="455">
                  <c:v>24.033050394191257</c:v>
                </c:pt>
                <c:pt idx="456">
                  <c:v>24.033050394191257</c:v>
                </c:pt>
                <c:pt idx="457">
                  <c:v>24.033050394191257</c:v>
                </c:pt>
                <c:pt idx="458">
                  <c:v>24.033050394191257</c:v>
                </c:pt>
                <c:pt idx="459">
                  <c:v>24.033050394191257</c:v>
                </c:pt>
                <c:pt idx="460">
                  <c:v>24.033050394191257</c:v>
                </c:pt>
                <c:pt idx="461">
                  <c:v>24.033050394191257</c:v>
                </c:pt>
                <c:pt idx="462">
                  <c:v>24.033050394191257</c:v>
                </c:pt>
                <c:pt idx="463">
                  <c:v>24.033050394191257</c:v>
                </c:pt>
                <c:pt idx="464">
                  <c:v>24.033050394191257</c:v>
                </c:pt>
                <c:pt idx="465">
                  <c:v>24.033050394191257</c:v>
                </c:pt>
                <c:pt idx="466">
                  <c:v>24.033050394191257</c:v>
                </c:pt>
                <c:pt idx="467">
                  <c:v>24.033050394191257</c:v>
                </c:pt>
                <c:pt idx="468">
                  <c:v>24.033050394191257</c:v>
                </c:pt>
                <c:pt idx="469">
                  <c:v>24.033050394191257</c:v>
                </c:pt>
                <c:pt idx="470">
                  <c:v>24.033050394191257</c:v>
                </c:pt>
                <c:pt idx="471">
                  <c:v>24.033050394191257</c:v>
                </c:pt>
                <c:pt idx="472">
                  <c:v>24.033050394191257</c:v>
                </c:pt>
                <c:pt idx="473">
                  <c:v>24.033050394191257</c:v>
                </c:pt>
                <c:pt idx="474">
                  <c:v>24.033050394191257</c:v>
                </c:pt>
                <c:pt idx="475">
                  <c:v>24.033050394191257</c:v>
                </c:pt>
                <c:pt idx="476">
                  <c:v>24.033050394191257</c:v>
                </c:pt>
                <c:pt idx="477">
                  <c:v>24.033050394191257</c:v>
                </c:pt>
                <c:pt idx="478">
                  <c:v>24.033050394191257</c:v>
                </c:pt>
                <c:pt idx="479">
                  <c:v>24.033050394191257</c:v>
                </c:pt>
                <c:pt idx="480">
                  <c:v>24.033050394191257</c:v>
                </c:pt>
                <c:pt idx="481">
                  <c:v>24.033050394191257</c:v>
                </c:pt>
                <c:pt idx="482">
                  <c:v>24.033050394191257</c:v>
                </c:pt>
                <c:pt idx="483">
                  <c:v>24.033050394191257</c:v>
                </c:pt>
                <c:pt idx="484">
                  <c:v>24.033050394191257</c:v>
                </c:pt>
                <c:pt idx="485">
                  <c:v>24.033050394191257</c:v>
                </c:pt>
                <c:pt idx="486">
                  <c:v>24.033050394191257</c:v>
                </c:pt>
                <c:pt idx="487">
                  <c:v>24.033050394191257</c:v>
                </c:pt>
                <c:pt idx="488">
                  <c:v>24.033050394191257</c:v>
                </c:pt>
                <c:pt idx="489">
                  <c:v>24.033050394191257</c:v>
                </c:pt>
                <c:pt idx="490">
                  <c:v>24.033050394191257</c:v>
                </c:pt>
                <c:pt idx="491">
                  <c:v>24.033050394191257</c:v>
                </c:pt>
                <c:pt idx="492">
                  <c:v>24.033050394191257</c:v>
                </c:pt>
                <c:pt idx="493">
                  <c:v>24.033050394191257</c:v>
                </c:pt>
                <c:pt idx="494">
                  <c:v>24.033050394191257</c:v>
                </c:pt>
                <c:pt idx="495">
                  <c:v>24.033050394191257</c:v>
                </c:pt>
                <c:pt idx="496">
                  <c:v>24.033050394191257</c:v>
                </c:pt>
                <c:pt idx="497">
                  <c:v>24.033050394191257</c:v>
                </c:pt>
                <c:pt idx="498">
                  <c:v>24.033050394191257</c:v>
                </c:pt>
                <c:pt idx="499">
                  <c:v>24.033050394191257</c:v>
                </c:pt>
                <c:pt idx="500">
                  <c:v>24.033050394191257</c:v>
                </c:pt>
                <c:pt idx="501">
                  <c:v>24.033050394191257</c:v>
                </c:pt>
                <c:pt idx="502">
                  <c:v>24.033050394191257</c:v>
                </c:pt>
                <c:pt idx="503">
                  <c:v>24.033050394191257</c:v>
                </c:pt>
                <c:pt idx="504">
                  <c:v>24.033050394191257</c:v>
                </c:pt>
                <c:pt idx="505">
                  <c:v>24.033050394191257</c:v>
                </c:pt>
                <c:pt idx="506">
                  <c:v>24.033050394191257</c:v>
                </c:pt>
                <c:pt idx="507">
                  <c:v>24.033050394191257</c:v>
                </c:pt>
                <c:pt idx="508">
                  <c:v>24.033050394191257</c:v>
                </c:pt>
                <c:pt idx="509">
                  <c:v>24.033050394191257</c:v>
                </c:pt>
                <c:pt idx="510">
                  <c:v>24.033050394191257</c:v>
                </c:pt>
                <c:pt idx="511">
                  <c:v>24.033050394191257</c:v>
                </c:pt>
                <c:pt idx="512">
                  <c:v>24.033050394191257</c:v>
                </c:pt>
                <c:pt idx="513">
                  <c:v>24.033050394191257</c:v>
                </c:pt>
                <c:pt idx="514">
                  <c:v>24.033050394191257</c:v>
                </c:pt>
                <c:pt idx="515">
                  <c:v>24.033050394191257</c:v>
                </c:pt>
                <c:pt idx="516">
                  <c:v>24.033050394191257</c:v>
                </c:pt>
                <c:pt idx="517">
                  <c:v>24.033050394191257</c:v>
                </c:pt>
                <c:pt idx="518">
                  <c:v>24.033050394191257</c:v>
                </c:pt>
                <c:pt idx="519">
                  <c:v>24.033050394191257</c:v>
                </c:pt>
                <c:pt idx="520">
                  <c:v>24.033050394191257</c:v>
                </c:pt>
                <c:pt idx="521">
                  <c:v>24.033050394191257</c:v>
                </c:pt>
                <c:pt idx="522">
                  <c:v>24.033050394191257</c:v>
                </c:pt>
                <c:pt idx="523">
                  <c:v>24.033050394191257</c:v>
                </c:pt>
                <c:pt idx="524">
                  <c:v>24.033050394191257</c:v>
                </c:pt>
                <c:pt idx="525">
                  <c:v>24.033050394191257</c:v>
                </c:pt>
                <c:pt idx="526">
                  <c:v>24.033050394191257</c:v>
                </c:pt>
                <c:pt idx="527">
                  <c:v>24.033050394191257</c:v>
                </c:pt>
                <c:pt idx="528">
                  <c:v>24.033050394191257</c:v>
                </c:pt>
                <c:pt idx="529">
                  <c:v>24.033050394191257</c:v>
                </c:pt>
                <c:pt idx="530">
                  <c:v>24.033050394191257</c:v>
                </c:pt>
                <c:pt idx="531">
                  <c:v>24.033050394191257</c:v>
                </c:pt>
                <c:pt idx="532">
                  <c:v>24.033050394191257</c:v>
                </c:pt>
                <c:pt idx="533">
                  <c:v>24.033050394191257</c:v>
                </c:pt>
                <c:pt idx="534">
                  <c:v>24.033050394191257</c:v>
                </c:pt>
                <c:pt idx="535">
                  <c:v>24.033050394191257</c:v>
                </c:pt>
                <c:pt idx="536">
                  <c:v>24.033050394191257</c:v>
                </c:pt>
                <c:pt idx="537">
                  <c:v>24.033050394191257</c:v>
                </c:pt>
                <c:pt idx="538">
                  <c:v>24.033050394191257</c:v>
                </c:pt>
                <c:pt idx="539">
                  <c:v>24.033050394191257</c:v>
                </c:pt>
                <c:pt idx="540">
                  <c:v>24.033050394191257</c:v>
                </c:pt>
                <c:pt idx="541">
                  <c:v>24.033050394191257</c:v>
                </c:pt>
                <c:pt idx="542">
                  <c:v>24.033050394191257</c:v>
                </c:pt>
                <c:pt idx="543">
                  <c:v>24.033050394191257</c:v>
                </c:pt>
                <c:pt idx="544">
                  <c:v>24.033050394191257</c:v>
                </c:pt>
                <c:pt idx="545">
                  <c:v>24.033050394191257</c:v>
                </c:pt>
                <c:pt idx="546">
                  <c:v>24.033050394191257</c:v>
                </c:pt>
                <c:pt idx="547">
                  <c:v>24.033050394191257</c:v>
                </c:pt>
                <c:pt idx="548">
                  <c:v>24.033050394191257</c:v>
                </c:pt>
                <c:pt idx="549">
                  <c:v>24.033050394191257</c:v>
                </c:pt>
                <c:pt idx="550">
                  <c:v>24.033050394191257</c:v>
                </c:pt>
                <c:pt idx="551">
                  <c:v>24.033050394191257</c:v>
                </c:pt>
                <c:pt idx="552">
                  <c:v>24.033050394191257</c:v>
                </c:pt>
                <c:pt idx="553">
                  <c:v>24.033050394191257</c:v>
                </c:pt>
                <c:pt idx="554">
                  <c:v>24.033050394191257</c:v>
                </c:pt>
                <c:pt idx="555">
                  <c:v>24.033050394191257</c:v>
                </c:pt>
                <c:pt idx="556">
                  <c:v>24.033050394191257</c:v>
                </c:pt>
                <c:pt idx="557">
                  <c:v>24.033050394191257</c:v>
                </c:pt>
                <c:pt idx="558">
                  <c:v>24.033050394191257</c:v>
                </c:pt>
                <c:pt idx="559">
                  <c:v>24.033050394191257</c:v>
                </c:pt>
                <c:pt idx="560">
                  <c:v>24.033050394191257</c:v>
                </c:pt>
                <c:pt idx="561">
                  <c:v>24.033050394191257</c:v>
                </c:pt>
                <c:pt idx="562">
                  <c:v>24.033050394191257</c:v>
                </c:pt>
                <c:pt idx="563">
                  <c:v>24.033050394191257</c:v>
                </c:pt>
                <c:pt idx="564">
                  <c:v>24.033050394191257</c:v>
                </c:pt>
                <c:pt idx="565">
                  <c:v>24.033050394191257</c:v>
                </c:pt>
                <c:pt idx="566">
                  <c:v>24.033050394191257</c:v>
                </c:pt>
                <c:pt idx="567">
                  <c:v>24.033050394191257</c:v>
                </c:pt>
                <c:pt idx="568">
                  <c:v>24.033050394191257</c:v>
                </c:pt>
                <c:pt idx="569">
                  <c:v>24.033050394191257</c:v>
                </c:pt>
                <c:pt idx="570">
                  <c:v>24.033050394191257</c:v>
                </c:pt>
                <c:pt idx="571">
                  <c:v>24.033050394191257</c:v>
                </c:pt>
                <c:pt idx="572">
                  <c:v>24.033050394191257</c:v>
                </c:pt>
                <c:pt idx="573">
                  <c:v>24.033050394191257</c:v>
                </c:pt>
                <c:pt idx="574">
                  <c:v>24.033050394191257</c:v>
                </c:pt>
                <c:pt idx="575">
                  <c:v>24.033050394191257</c:v>
                </c:pt>
                <c:pt idx="576">
                  <c:v>24.033050394191257</c:v>
                </c:pt>
                <c:pt idx="577">
                  <c:v>24.033050394191257</c:v>
                </c:pt>
                <c:pt idx="578">
                  <c:v>24.033050394191257</c:v>
                </c:pt>
                <c:pt idx="579">
                  <c:v>24.033050394191257</c:v>
                </c:pt>
                <c:pt idx="580">
                  <c:v>24.033050394191257</c:v>
                </c:pt>
                <c:pt idx="581">
                  <c:v>24.033050394191257</c:v>
                </c:pt>
                <c:pt idx="582">
                  <c:v>24.033050394191257</c:v>
                </c:pt>
                <c:pt idx="583">
                  <c:v>24.033050394191257</c:v>
                </c:pt>
                <c:pt idx="584">
                  <c:v>24.033050394191257</c:v>
                </c:pt>
                <c:pt idx="585">
                  <c:v>24.033050394191257</c:v>
                </c:pt>
                <c:pt idx="586">
                  <c:v>24.033050394191257</c:v>
                </c:pt>
                <c:pt idx="587">
                  <c:v>24.033050394191257</c:v>
                </c:pt>
                <c:pt idx="588">
                  <c:v>24.033050394191257</c:v>
                </c:pt>
                <c:pt idx="589">
                  <c:v>24.033050394191257</c:v>
                </c:pt>
                <c:pt idx="590">
                  <c:v>24.033050394191257</c:v>
                </c:pt>
                <c:pt idx="591">
                  <c:v>24.033050394191257</c:v>
                </c:pt>
                <c:pt idx="592">
                  <c:v>24.033050394191257</c:v>
                </c:pt>
                <c:pt idx="593">
                  <c:v>24.033050394191257</c:v>
                </c:pt>
                <c:pt idx="594">
                  <c:v>24.033050394191257</c:v>
                </c:pt>
                <c:pt idx="595">
                  <c:v>24.033050394191257</c:v>
                </c:pt>
                <c:pt idx="596">
                  <c:v>24.033050394191257</c:v>
                </c:pt>
                <c:pt idx="597">
                  <c:v>24.033050394191257</c:v>
                </c:pt>
                <c:pt idx="598">
                  <c:v>24.033050394191257</c:v>
                </c:pt>
                <c:pt idx="599">
                  <c:v>24.033050394191257</c:v>
                </c:pt>
                <c:pt idx="600">
                  <c:v>24.033050394191257</c:v>
                </c:pt>
                <c:pt idx="601">
                  <c:v>24.033050394191257</c:v>
                </c:pt>
                <c:pt idx="602">
                  <c:v>24.033050394191257</c:v>
                </c:pt>
                <c:pt idx="603">
                  <c:v>24.033050394191257</c:v>
                </c:pt>
                <c:pt idx="604">
                  <c:v>24.033050394191257</c:v>
                </c:pt>
                <c:pt idx="605">
                  <c:v>24.033050394191257</c:v>
                </c:pt>
                <c:pt idx="606">
                  <c:v>24.033050394191257</c:v>
                </c:pt>
                <c:pt idx="607">
                  <c:v>24.033050394191257</c:v>
                </c:pt>
                <c:pt idx="608">
                  <c:v>24.033050394191257</c:v>
                </c:pt>
                <c:pt idx="609">
                  <c:v>24.033050394191257</c:v>
                </c:pt>
                <c:pt idx="610">
                  <c:v>24.033050394191257</c:v>
                </c:pt>
                <c:pt idx="611">
                  <c:v>24.033050394191257</c:v>
                </c:pt>
                <c:pt idx="612">
                  <c:v>24.033050394191257</c:v>
                </c:pt>
                <c:pt idx="613">
                  <c:v>24.033050394191257</c:v>
                </c:pt>
                <c:pt idx="614">
                  <c:v>24.033050394191257</c:v>
                </c:pt>
                <c:pt idx="615">
                  <c:v>24.033050394191257</c:v>
                </c:pt>
                <c:pt idx="616">
                  <c:v>24.033050394191257</c:v>
                </c:pt>
                <c:pt idx="617">
                  <c:v>24.033050394191257</c:v>
                </c:pt>
                <c:pt idx="618">
                  <c:v>24.033050394191257</c:v>
                </c:pt>
                <c:pt idx="619">
                  <c:v>24.033050394191257</c:v>
                </c:pt>
                <c:pt idx="620">
                  <c:v>24.033050394191257</c:v>
                </c:pt>
                <c:pt idx="621">
                  <c:v>24.033050394191257</c:v>
                </c:pt>
                <c:pt idx="622">
                  <c:v>24.033050394191257</c:v>
                </c:pt>
                <c:pt idx="623">
                  <c:v>24.033050394191257</c:v>
                </c:pt>
                <c:pt idx="624">
                  <c:v>24.033050394191257</c:v>
                </c:pt>
                <c:pt idx="625">
                  <c:v>24.033050394191257</c:v>
                </c:pt>
                <c:pt idx="626">
                  <c:v>24.033050394191257</c:v>
                </c:pt>
                <c:pt idx="627">
                  <c:v>24.033050394191257</c:v>
                </c:pt>
                <c:pt idx="628">
                  <c:v>24.033050394191257</c:v>
                </c:pt>
                <c:pt idx="629">
                  <c:v>24.033050394191257</c:v>
                </c:pt>
                <c:pt idx="630">
                  <c:v>24.033050394191257</c:v>
                </c:pt>
                <c:pt idx="631">
                  <c:v>24.033050394191257</c:v>
                </c:pt>
                <c:pt idx="632">
                  <c:v>24.033050394191257</c:v>
                </c:pt>
                <c:pt idx="633">
                  <c:v>24.033050394191257</c:v>
                </c:pt>
                <c:pt idx="634">
                  <c:v>24.033050394191257</c:v>
                </c:pt>
                <c:pt idx="635">
                  <c:v>24.033050394191257</c:v>
                </c:pt>
                <c:pt idx="636">
                  <c:v>24.033050394191257</c:v>
                </c:pt>
                <c:pt idx="637">
                  <c:v>24.033050394191257</c:v>
                </c:pt>
                <c:pt idx="638">
                  <c:v>24.033050394191257</c:v>
                </c:pt>
                <c:pt idx="639">
                  <c:v>24.033050394191257</c:v>
                </c:pt>
                <c:pt idx="640">
                  <c:v>24.033050394191257</c:v>
                </c:pt>
                <c:pt idx="641">
                  <c:v>24.033050394191257</c:v>
                </c:pt>
                <c:pt idx="642">
                  <c:v>24.033050394191257</c:v>
                </c:pt>
                <c:pt idx="643">
                  <c:v>24.033050394191257</c:v>
                </c:pt>
                <c:pt idx="644">
                  <c:v>24.033050394191257</c:v>
                </c:pt>
                <c:pt idx="645">
                  <c:v>24.033050394191257</c:v>
                </c:pt>
                <c:pt idx="646">
                  <c:v>24.033050394191257</c:v>
                </c:pt>
                <c:pt idx="647">
                  <c:v>24.033050394191257</c:v>
                </c:pt>
                <c:pt idx="648">
                  <c:v>24.033050394191257</c:v>
                </c:pt>
                <c:pt idx="649">
                  <c:v>24.033050394191257</c:v>
                </c:pt>
                <c:pt idx="650">
                  <c:v>24.033050394191257</c:v>
                </c:pt>
                <c:pt idx="651">
                  <c:v>24.033050394191257</c:v>
                </c:pt>
                <c:pt idx="652">
                  <c:v>24.033050394191257</c:v>
                </c:pt>
                <c:pt idx="653">
                  <c:v>24.033050394191257</c:v>
                </c:pt>
                <c:pt idx="654">
                  <c:v>24.033050394191257</c:v>
                </c:pt>
                <c:pt idx="655">
                  <c:v>24.033050394191257</c:v>
                </c:pt>
                <c:pt idx="656">
                  <c:v>24.033050394191257</c:v>
                </c:pt>
                <c:pt idx="657">
                  <c:v>24.033050394191257</c:v>
                </c:pt>
                <c:pt idx="658">
                  <c:v>24.033050394191257</c:v>
                </c:pt>
                <c:pt idx="659">
                  <c:v>24.033050394191257</c:v>
                </c:pt>
                <c:pt idx="660">
                  <c:v>24.033050394191257</c:v>
                </c:pt>
                <c:pt idx="661">
                  <c:v>24.033050394191257</c:v>
                </c:pt>
                <c:pt idx="662">
                  <c:v>24.033050394191257</c:v>
                </c:pt>
                <c:pt idx="663">
                  <c:v>24.033050394191257</c:v>
                </c:pt>
                <c:pt idx="664">
                  <c:v>24.033050394191257</c:v>
                </c:pt>
                <c:pt idx="665">
                  <c:v>24.033050394191257</c:v>
                </c:pt>
                <c:pt idx="666">
                  <c:v>24.033050394191257</c:v>
                </c:pt>
                <c:pt idx="667">
                  <c:v>24.033050394191257</c:v>
                </c:pt>
                <c:pt idx="668">
                  <c:v>24.033050394191257</c:v>
                </c:pt>
                <c:pt idx="669">
                  <c:v>24.033050394191257</c:v>
                </c:pt>
                <c:pt idx="670">
                  <c:v>24.033050394191257</c:v>
                </c:pt>
                <c:pt idx="671">
                  <c:v>24.033050394191257</c:v>
                </c:pt>
                <c:pt idx="672">
                  <c:v>24.033050394191257</c:v>
                </c:pt>
                <c:pt idx="673">
                  <c:v>24.033050394191257</c:v>
                </c:pt>
                <c:pt idx="674">
                  <c:v>24.033050394191257</c:v>
                </c:pt>
                <c:pt idx="675">
                  <c:v>24.033050394191257</c:v>
                </c:pt>
                <c:pt idx="676">
                  <c:v>24.033050394191257</c:v>
                </c:pt>
                <c:pt idx="677">
                  <c:v>24.033050394191257</c:v>
                </c:pt>
                <c:pt idx="678">
                  <c:v>24.033050394191257</c:v>
                </c:pt>
                <c:pt idx="679">
                  <c:v>24.033050394191257</c:v>
                </c:pt>
                <c:pt idx="680">
                  <c:v>24.033050394191257</c:v>
                </c:pt>
                <c:pt idx="681">
                  <c:v>24.033050394191257</c:v>
                </c:pt>
                <c:pt idx="682">
                  <c:v>24.033050394191257</c:v>
                </c:pt>
                <c:pt idx="683">
                  <c:v>24.033050394191257</c:v>
                </c:pt>
                <c:pt idx="684">
                  <c:v>24.033050394191257</c:v>
                </c:pt>
                <c:pt idx="685">
                  <c:v>24.033050394191257</c:v>
                </c:pt>
                <c:pt idx="686">
                  <c:v>24.033050394191257</c:v>
                </c:pt>
                <c:pt idx="687">
                  <c:v>24.033050394191257</c:v>
                </c:pt>
                <c:pt idx="688">
                  <c:v>24.033050394191257</c:v>
                </c:pt>
                <c:pt idx="689">
                  <c:v>24.033050394191257</c:v>
                </c:pt>
                <c:pt idx="690">
                  <c:v>24.033050394191257</c:v>
                </c:pt>
                <c:pt idx="691">
                  <c:v>24.033050394191257</c:v>
                </c:pt>
                <c:pt idx="692">
                  <c:v>24.033050394191257</c:v>
                </c:pt>
                <c:pt idx="693">
                  <c:v>24.033050394191257</c:v>
                </c:pt>
                <c:pt idx="694">
                  <c:v>24.033050394191257</c:v>
                </c:pt>
                <c:pt idx="695">
                  <c:v>24.033050394191257</c:v>
                </c:pt>
                <c:pt idx="696">
                  <c:v>24.033050394191257</c:v>
                </c:pt>
                <c:pt idx="697">
                  <c:v>24.033050394191257</c:v>
                </c:pt>
                <c:pt idx="698">
                  <c:v>24.033050394191257</c:v>
                </c:pt>
                <c:pt idx="699">
                  <c:v>24.033050394191257</c:v>
                </c:pt>
                <c:pt idx="700">
                  <c:v>24.033050394191257</c:v>
                </c:pt>
                <c:pt idx="701">
                  <c:v>24.033050394191257</c:v>
                </c:pt>
                <c:pt idx="702">
                  <c:v>24.033050394191257</c:v>
                </c:pt>
                <c:pt idx="703">
                  <c:v>24.033050394191257</c:v>
                </c:pt>
                <c:pt idx="704">
                  <c:v>24.033050394191257</c:v>
                </c:pt>
                <c:pt idx="705">
                  <c:v>24.033050394191257</c:v>
                </c:pt>
                <c:pt idx="706">
                  <c:v>24.033050394191257</c:v>
                </c:pt>
                <c:pt idx="707">
                  <c:v>24.033050394191257</c:v>
                </c:pt>
                <c:pt idx="708">
                  <c:v>24.033050394191257</c:v>
                </c:pt>
                <c:pt idx="709">
                  <c:v>24.033050394191257</c:v>
                </c:pt>
                <c:pt idx="710">
                  <c:v>24.033050394191257</c:v>
                </c:pt>
                <c:pt idx="711">
                  <c:v>24.033050394191257</c:v>
                </c:pt>
                <c:pt idx="712">
                  <c:v>24.033050394191257</c:v>
                </c:pt>
                <c:pt idx="713">
                  <c:v>24.033050394191257</c:v>
                </c:pt>
                <c:pt idx="714">
                  <c:v>24.033050394191257</c:v>
                </c:pt>
                <c:pt idx="715">
                  <c:v>24.033050394191257</c:v>
                </c:pt>
                <c:pt idx="716">
                  <c:v>24.033050394191257</c:v>
                </c:pt>
                <c:pt idx="717">
                  <c:v>24.033050394191257</c:v>
                </c:pt>
                <c:pt idx="718">
                  <c:v>24.033050394191257</c:v>
                </c:pt>
                <c:pt idx="719">
                  <c:v>24.033050394191257</c:v>
                </c:pt>
                <c:pt idx="720">
                  <c:v>24.033050394191257</c:v>
                </c:pt>
                <c:pt idx="721">
                  <c:v>24.033050394191257</c:v>
                </c:pt>
                <c:pt idx="722">
                  <c:v>24.033050394191257</c:v>
                </c:pt>
                <c:pt idx="723">
                  <c:v>24.033050394191257</c:v>
                </c:pt>
                <c:pt idx="724">
                  <c:v>24.033050394191257</c:v>
                </c:pt>
                <c:pt idx="725">
                  <c:v>24.033050394191257</c:v>
                </c:pt>
                <c:pt idx="726">
                  <c:v>24.033050394191257</c:v>
                </c:pt>
                <c:pt idx="727">
                  <c:v>24.033050394191257</c:v>
                </c:pt>
                <c:pt idx="728">
                  <c:v>24.033050394191257</c:v>
                </c:pt>
                <c:pt idx="729">
                  <c:v>24.033050394191257</c:v>
                </c:pt>
                <c:pt idx="730">
                  <c:v>24.033050394191257</c:v>
                </c:pt>
                <c:pt idx="731">
                  <c:v>24.033050394191257</c:v>
                </c:pt>
                <c:pt idx="732">
                  <c:v>24.033050394191257</c:v>
                </c:pt>
                <c:pt idx="733">
                  <c:v>24.033050394191257</c:v>
                </c:pt>
                <c:pt idx="734">
                  <c:v>24.033050394191257</c:v>
                </c:pt>
                <c:pt idx="735">
                  <c:v>24.033050394191257</c:v>
                </c:pt>
                <c:pt idx="736">
                  <c:v>24.033050394191257</c:v>
                </c:pt>
                <c:pt idx="737">
                  <c:v>24.033050394191257</c:v>
                </c:pt>
                <c:pt idx="738">
                  <c:v>24.033050394191257</c:v>
                </c:pt>
                <c:pt idx="739">
                  <c:v>24.033050394191257</c:v>
                </c:pt>
                <c:pt idx="740">
                  <c:v>24.033050394191257</c:v>
                </c:pt>
                <c:pt idx="741">
                  <c:v>24.033050394191257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E9-4059-9AF9-719092353A6D}"/>
            </c:ext>
          </c:extLst>
        </c:ser>
        <c:ser>
          <c:idx val="5"/>
          <c:order val="4"/>
          <c:tx>
            <c:strRef>
              <c:f>'FX Data'!$G$956</c:f>
              <c:strCache>
                <c:ptCount val="1"/>
                <c:pt idx="0">
                  <c:v>=+2sd</c:v>
                </c:pt>
              </c:strCache>
            </c:strRef>
          </c:tx>
          <c:spPr>
            <a:ln w="19050" cap="rnd">
              <a:solidFill>
                <a:sysClr val="window" lastClr="FFFFFF">
                  <a:lumMod val="75000"/>
                </a:sysClr>
              </a:solidFill>
              <a:round/>
            </a:ln>
            <a:effectLst/>
          </c:spPr>
          <c:marker>
            <c:symbol val="none"/>
          </c:marker>
          <c:cat>
            <c:numRef>
              <c:f>'FX Data'!$B$1457:$B$2453</c:f>
              <c:numCache>
                <c:formatCode>m/d/yyyy</c:formatCode>
                <c:ptCount val="997"/>
                <c:pt idx="0">
                  <c:v>44993</c:v>
                </c:pt>
                <c:pt idx="1">
                  <c:v>44994</c:v>
                </c:pt>
                <c:pt idx="2">
                  <c:v>44995</c:v>
                </c:pt>
                <c:pt idx="3">
                  <c:v>44998</c:v>
                </c:pt>
                <c:pt idx="4">
                  <c:v>44999</c:v>
                </c:pt>
                <c:pt idx="5">
                  <c:v>45000</c:v>
                </c:pt>
                <c:pt idx="6">
                  <c:v>45001</c:v>
                </c:pt>
                <c:pt idx="7">
                  <c:v>45002</c:v>
                </c:pt>
                <c:pt idx="8">
                  <c:v>45005</c:v>
                </c:pt>
                <c:pt idx="9">
                  <c:v>45006</c:v>
                </c:pt>
                <c:pt idx="10">
                  <c:v>45007</c:v>
                </c:pt>
                <c:pt idx="11">
                  <c:v>45008</c:v>
                </c:pt>
                <c:pt idx="12">
                  <c:v>45009</c:v>
                </c:pt>
                <c:pt idx="13">
                  <c:v>45012</c:v>
                </c:pt>
                <c:pt idx="14">
                  <c:v>45013</c:v>
                </c:pt>
                <c:pt idx="15">
                  <c:v>45014</c:v>
                </c:pt>
                <c:pt idx="16">
                  <c:v>45015</c:v>
                </c:pt>
                <c:pt idx="17">
                  <c:v>45016</c:v>
                </c:pt>
                <c:pt idx="18">
                  <c:v>45019</c:v>
                </c:pt>
                <c:pt idx="19">
                  <c:v>45020</c:v>
                </c:pt>
                <c:pt idx="20">
                  <c:v>45021</c:v>
                </c:pt>
                <c:pt idx="21">
                  <c:v>45022</c:v>
                </c:pt>
                <c:pt idx="22">
                  <c:v>45023</c:v>
                </c:pt>
                <c:pt idx="23">
                  <c:v>45026</c:v>
                </c:pt>
                <c:pt idx="24">
                  <c:v>45027</c:v>
                </c:pt>
                <c:pt idx="25">
                  <c:v>45028</c:v>
                </c:pt>
                <c:pt idx="26">
                  <c:v>45029</c:v>
                </c:pt>
                <c:pt idx="27">
                  <c:v>45030</c:v>
                </c:pt>
                <c:pt idx="28">
                  <c:v>45033</c:v>
                </c:pt>
                <c:pt idx="29">
                  <c:v>45034</c:v>
                </c:pt>
                <c:pt idx="30">
                  <c:v>45035</c:v>
                </c:pt>
                <c:pt idx="31">
                  <c:v>45036</c:v>
                </c:pt>
                <c:pt idx="32">
                  <c:v>45037</c:v>
                </c:pt>
                <c:pt idx="33">
                  <c:v>45040</c:v>
                </c:pt>
                <c:pt idx="34">
                  <c:v>45041</c:v>
                </c:pt>
                <c:pt idx="35">
                  <c:v>45042</c:v>
                </c:pt>
                <c:pt idx="36">
                  <c:v>45043</c:v>
                </c:pt>
                <c:pt idx="37">
                  <c:v>45044</c:v>
                </c:pt>
                <c:pt idx="38">
                  <c:v>45050</c:v>
                </c:pt>
                <c:pt idx="39">
                  <c:v>45051</c:v>
                </c:pt>
                <c:pt idx="40">
                  <c:v>45054</c:v>
                </c:pt>
                <c:pt idx="41">
                  <c:v>45055</c:v>
                </c:pt>
                <c:pt idx="42">
                  <c:v>45056</c:v>
                </c:pt>
                <c:pt idx="43">
                  <c:v>45057</c:v>
                </c:pt>
                <c:pt idx="44">
                  <c:v>45058</c:v>
                </c:pt>
                <c:pt idx="45">
                  <c:v>45061</c:v>
                </c:pt>
                <c:pt idx="46">
                  <c:v>45062</c:v>
                </c:pt>
                <c:pt idx="47">
                  <c:v>45063</c:v>
                </c:pt>
                <c:pt idx="48">
                  <c:v>45064</c:v>
                </c:pt>
                <c:pt idx="49">
                  <c:v>45065</c:v>
                </c:pt>
                <c:pt idx="50">
                  <c:v>45068</c:v>
                </c:pt>
                <c:pt idx="51">
                  <c:v>45069</c:v>
                </c:pt>
                <c:pt idx="52">
                  <c:v>45070</c:v>
                </c:pt>
                <c:pt idx="53">
                  <c:v>45071</c:v>
                </c:pt>
                <c:pt idx="54">
                  <c:v>45072</c:v>
                </c:pt>
                <c:pt idx="55">
                  <c:v>45075</c:v>
                </c:pt>
                <c:pt idx="56">
                  <c:v>45076</c:v>
                </c:pt>
                <c:pt idx="57">
                  <c:v>45077</c:v>
                </c:pt>
                <c:pt idx="58">
                  <c:v>45078</c:v>
                </c:pt>
                <c:pt idx="59">
                  <c:v>45079</c:v>
                </c:pt>
                <c:pt idx="60">
                  <c:v>45082</c:v>
                </c:pt>
                <c:pt idx="61">
                  <c:v>45083</c:v>
                </c:pt>
                <c:pt idx="62">
                  <c:v>45084</c:v>
                </c:pt>
                <c:pt idx="63">
                  <c:v>45085</c:v>
                </c:pt>
                <c:pt idx="64">
                  <c:v>45086</c:v>
                </c:pt>
                <c:pt idx="65">
                  <c:v>45089</c:v>
                </c:pt>
                <c:pt idx="66">
                  <c:v>45090</c:v>
                </c:pt>
                <c:pt idx="67">
                  <c:v>45091</c:v>
                </c:pt>
                <c:pt idx="68">
                  <c:v>45092</c:v>
                </c:pt>
                <c:pt idx="69">
                  <c:v>45093</c:v>
                </c:pt>
                <c:pt idx="70">
                  <c:v>45096</c:v>
                </c:pt>
                <c:pt idx="71">
                  <c:v>45097</c:v>
                </c:pt>
                <c:pt idx="72">
                  <c:v>45098</c:v>
                </c:pt>
                <c:pt idx="73">
                  <c:v>45099</c:v>
                </c:pt>
                <c:pt idx="74">
                  <c:v>45100</c:v>
                </c:pt>
                <c:pt idx="75">
                  <c:v>45103</c:v>
                </c:pt>
                <c:pt idx="76">
                  <c:v>45104</c:v>
                </c:pt>
                <c:pt idx="77">
                  <c:v>45105</c:v>
                </c:pt>
                <c:pt idx="78">
                  <c:v>45106</c:v>
                </c:pt>
                <c:pt idx="79">
                  <c:v>45107</c:v>
                </c:pt>
                <c:pt idx="80">
                  <c:v>45110</c:v>
                </c:pt>
                <c:pt idx="81">
                  <c:v>45111</c:v>
                </c:pt>
                <c:pt idx="82">
                  <c:v>45112</c:v>
                </c:pt>
                <c:pt idx="83">
                  <c:v>45113</c:v>
                </c:pt>
                <c:pt idx="84">
                  <c:v>45114</c:v>
                </c:pt>
                <c:pt idx="85">
                  <c:v>45117</c:v>
                </c:pt>
                <c:pt idx="86">
                  <c:v>45118</c:v>
                </c:pt>
                <c:pt idx="87">
                  <c:v>45119</c:v>
                </c:pt>
                <c:pt idx="88">
                  <c:v>45120</c:v>
                </c:pt>
                <c:pt idx="89">
                  <c:v>45121</c:v>
                </c:pt>
                <c:pt idx="90">
                  <c:v>45124</c:v>
                </c:pt>
                <c:pt idx="91">
                  <c:v>45125</c:v>
                </c:pt>
                <c:pt idx="92">
                  <c:v>45126</c:v>
                </c:pt>
                <c:pt idx="93">
                  <c:v>45127</c:v>
                </c:pt>
                <c:pt idx="94">
                  <c:v>45128</c:v>
                </c:pt>
                <c:pt idx="95">
                  <c:v>45131</c:v>
                </c:pt>
                <c:pt idx="96">
                  <c:v>45132</c:v>
                </c:pt>
                <c:pt idx="97">
                  <c:v>45133</c:v>
                </c:pt>
                <c:pt idx="98">
                  <c:v>45134</c:v>
                </c:pt>
                <c:pt idx="99">
                  <c:v>45135</c:v>
                </c:pt>
                <c:pt idx="100">
                  <c:v>45138</c:v>
                </c:pt>
                <c:pt idx="101">
                  <c:v>45139</c:v>
                </c:pt>
                <c:pt idx="102">
                  <c:v>45140</c:v>
                </c:pt>
                <c:pt idx="103">
                  <c:v>45141</c:v>
                </c:pt>
                <c:pt idx="104">
                  <c:v>45142</c:v>
                </c:pt>
                <c:pt idx="105">
                  <c:v>45145</c:v>
                </c:pt>
                <c:pt idx="106">
                  <c:v>45146</c:v>
                </c:pt>
                <c:pt idx="107">
                  <c:v>45147</c:v>
                </c:pt>
                <c:pt idx="108">
                  <c:v>45148</c:v>
                </c:pt>
                <c:pt idx="109">
                  <c:v>45149</c:v>
                </c:pt>
                <c:pt idx="110">
                  <c:v>45152</c:v>
                </c:pt>
                <c:pt idx="111">
                  <c:v>45153</c:v>
                </c:pt>
                <c:pt idx="112">
                  <c:v>45154</c:v>
                </c:pt>
                <c:pt idx="113">
                  <c:v>45155</c:v>
                </c:pt>
                <c:pt idx="114">
                  <c:v>45156</c:v>
                </c:pt>
                <c:pt idx="115">
                  <c:v>45159</c:v>
                </c:pt>
                <c:pt idx="116">
                  <c:v>45160</c:v>
                </c:pt>
                <c:pt idx="117">
                  <c:v>45161</c:v>
                </c:pt>
                <c:pt idx="118">
                  <c:v>45162</c:v>
                </c:pt>
                <c:pt idx="119">
                  <c:v>45163</c:v>
                </c:pt>
                <c:pt idx="120">
                  <c:v>45166</c:v>
                </c:pt>
                <c:pt idx="121">
                  <c:v>45167</c:v>
                </c:pt>
                <c:pt idx="122">
                  <c:v>45168</c:v>
                </c:pt>
                <c:pt idx="123">
                  <c:v>45169</c:v>
                </c:pt>
                <c:pt idx="124">
                  <c:v>45174</c:v>
                </c:pt>
                <c:pt idx="125">
                  <c:v>45175</c:v>
                </c:pt>
                <c:pt idx="126">
                  <c:v>45176</c:v>
                </c:pt>
                <c:pt idx="127">
                  <c:v>45177</c:v>
                </c:pt>
                <c:pt idx="128">
                  <c:v>45180</c:v>
                </c:pt>
                <c:pt idx="129">
                  <c:v>45181</c:v>
                </c:pt>
                <c:pt idx="130">
                  <c:v>45182</c:v>
                </c:pt>
                <c:pt idx="131">
                  <c:v>45183</c:v>
                </c:pt>
                <c:pt idx="132">
                  <c:v>45184</c:v>
                </c:pt>
                <c:pt idx="133">
                  <c:v>45187</c:v>
                </c:pt>
                <c:pt idx="134">
                  <c:v>45188</c:v>
                </c:pt>
                <c:pt idx="135">
                  <c:v>45189</c:v>
                </c:pt>
                <c:pt idx="136">
                  <c:v>45190</c:v>
                </c:pt>
                <c:pt idx="137">
                  <c:v>45191</c:v>
                </c:pt>
                <c:pt idx="138">
                  <c:v>45194</c:v>
                </c:pt>
                <c:pt idx="139">
                  <c:v>45195</c:v>
                </c:pt>
                <c:pt idx="140">
                  <c:v>45196</c:v>
                </c:pt>
                <c:pt idx="141">
                  <c:v>45197</c:v>
                </c:pt>
                <c:pt idx="142">
                  <c:v>45198</c:v>
                </c:pt>
                <c:pt idx="143">
                  <c:v>45201</c:v>
                </c:pt>
                <c:pt idx="144">
                  <c:v>45202</c:v>
                </c:pt>
                <c:pt idx="145">
                  <c:v>45203</c:v>
                </c:pt>
                <c:pt idx="146">
                  <c:v>45204</c:v>
                </c:pt>
                <c:pt idx="147">
                  <c:v>45205</c:v>
                </c:pt>
                <c:pt idx="148">
                  <c:v>45208</c:v>
                </c:pt>
                <c:pt idx="149">
                  <c:v>45209</c:v>
                </c:pt>
                <c:pt idx="150">
                  <c:v>45210</c:v>
                </c:pt>
                <c:pt idx="151">
                  <c:v>45211</c:v>
                </c:pt>
                <c:pt idx="152">
                  <c:v>45212</c:v>
                </c:pt>
                <c:pt idx="153">
                  <c:v>45215</c:v>
                </c:pt>
                <c:pt idx="154">
                  <c:v>45216</c:v>
                </c:pt>
                <c:pt idx="155">
                  <c:v>45217</c:v>
                </c:pt>
                <c:pt idx="156">
                  <c:v>45218</c:v>
                </c:pt>
                <c:pt idx="157">
                  <c:v>45219</c:v>
                </c:pt>
                <c:pt idx="158">
                  <c:v>45222</c:v>
                </c:pt>
                <c:pt idx="159">
                  <c:v>45223</c:v>
                </c:pt>
                <c:pt idx="160">
                  <c:v>45224</c:v>
                </c:pt>
                <c:pt idx="161">
                  <c:v>45225</c:v>
                </c:pt>
                <c:pt idx="162">
                  <c:v>45226</c:v>
                </c:pt>
                <c:pt idx="163">
                  <c:v>45229</c:v>
                </c:pt>
                <c:pt idx="164">
                  <c:v>45230</c:v>
                </c:pt>
                <c:pt idx="165">
                  <c:v>45231</c:v>
                </c:pt>
                <c:pt idx="166">
                  <c:v>45232</c:v>
                </c:pt>
                <c:pt idx="167">
                  <c:v>45233</c:v>
                </c:pt>
                <c:pt idx="168">
                  <c:v>45236</c:v>
                </c:pt>
                <c:pt idx="169">
                  <c:v>45237</c:v>
                </c:pt>
                <c:pt idx="170">
                  <c:v>45238</c:v>
                </c:pt>
                <c:pt idx="171">
                  <c:v>45239</c:v>
                </c:pt>
                <c:pt idx="172">
                  <c:v>45240</c:v>
                </c:pt>
                <c:pt idx="173">
                  <c:v>45243</c:v>
                </c:pt>
                <c:pt idx="174">
                  <c:v>45244</c:v>
                </c:pt>
                <c:pt idx="175">
                  <c:v>45245</c:v>
                </c:pt>
                <c:pt idx="176">
                  <c:v>45246</c:v>
                </c:pt>
                <c:pt idx="177">
                  <c:v>45247</c:v>
                </c:pt>
                <c:pt idx="178">
                  <c:v>45250</c:v>
                </c:pt>
                <c:pt idx="179">
                  <c:v>45251</c:v>
                </c:pt>
                <c:pt idx="180">
                  <c:v>45252</c:v>
                </c:pt>
                <c:pt idx="181">
                  <c:v>45253</c:v>
                </c:pt>
                <c:pt idx="182">
                  <c:v>45254</c:v>
                </c:pt>
                <c:pt idx="183">
                  <c:v>45257</c:v>
                </c:pt>
                <c:pt idx="184">
                  <c:v>45258</c:v>
                </c:pt>
                <c:pt idx="185">
                  <c:v>45259</c:v>
                </c:pt>
                <c:pt idx="186">
                  <c:v>45260</c:v>
                </c:pt>
                <c:pt idx="187">
                  <c:v>45261</c:v>
                </c:pt>
                <c:pt idx="188">
                  <c:v>45264</c:v>
                </c:pt>
                <c:pt idx="189">
                  <c:v>45265</c:v>
                </c:pt>
                <c:pt idx="190">
                  <c:v>45266</c:v>
                </c:pt>
                <c:pt idx="191">
                  <c:v>45267</c:v>
                </c:pt>
                <c:pt idx="192">
                  <c:v>45268</c:v>
                </c:pt>
                <c:pt idx="193">
                  <c:v>45271</c:v>
                </c:pt>
                <c:pt idx="194">
                  <c:v>45272</c:v>
                </c:pt>
                <c:pt idx="195">
                  <c:v>45273</c:v>
                </c:pt>
                <c:pt idx="196">
                  <c:v>45274</c:v>
                </c:pt>
                <c:pt idx="197">
                  <c:v>45275</c:v>
                </c:pt>
                <c:pt idx="198">
                  <c:v>45278</c:v>
                </c:pt>
                <c:pt idx="199">
                  <c:v>45279</c:v>
                </c:pt>
                <c:pt idx="200">
                  <c:v>45280</c:v>
                </c:pt>
                <c:pt idx="201">
                  <c:v>45281</c:v>
                </c:pt>
                <c:pt idx="202">
                  <c:v>45282</c:v>
                </c:pt>
                <c:pt idx="203">
                  <c:v>45285</c:v>
                </c:pt>
                <c:pt idx="204">
                  <c:v>45286</c:v>
                </c:pt>
                <c:pt idx="205">
                  <c:v>45287</c:v>
                </c:pt>
                <c:pt idx="206">
                  <c:v>45288</c:v>
                </c:pt>
                <c:pt idx="207">
                  <c:v>45289</c:v>
                </c:pt>
                <c:pt idx="208">
                  <c:v>45293</c:v>
                </c:pt>
                <c:pt idx="209">
                  <c:v>45294</c:v>
                </c:pt>
                <c:pt idx="210">
                  <c:v>45295</c:v>
                </c:pt>
                <c:pt idx="211">
                  <c:v>45296</c:v>
                </c:pt>
                <c:pt idx="212">
                  <c:v>45299</c:v>
                </c:pt>
                <c:pt idx="213">
                  <c:v>45300</c:v>
                </c:pt>
                <c:pt idx="214">
                  <c:v>45301</c:v>
                </c:pt>
                <c:pt idx="215">
                  <c:v>45302</c:v>
                </c:pt>
                <c:pt idx="216">
                  <c:v>45303</c:v>
                </c:pt>
                <c:pt idx="217">
                  <c:v>45306</c:v>
                </c:pt>
                <c:pt idx="218">
                  <c:v>45307</c:v>
                </c:pt>
                <c:pt idx="219">
                  <c:v>45308</c:v>
                </c:pt>
                <c:pt idx="220">
                  <c:v>45309</c:v>
                </c:pt>
                <c:pt idx="221">
                  <c:v>45310</c:v>
                </c:pt>
                <c:pt idx="222">
                  <c:v>45313</c:v>
                </c:pt>
                <c:pt idx="223">
                  <c:v>45314</c:v>
                </c:pt>
                <c:pt idx="224">
                  <c:v>45315</c:v>
                </c:pt>
                <c:pt idx="225">
                  <c:v>45316</c:v>
                </c:pt>
                <c:pt idx="226">
                  <c:v>45317</c:v>
                </c:pt>
                <c:pt idx="227">
                  <c:v>45320</c:v>
                </c:pt>
                <c:pt idx="228">
                  <c:v>45321</c:v>
                </c:pt>
                <c:pt idx="229">
                  <c:v>45322</c:v>
                </c:pt>
                <c:pt idx="230">
                  <c:v>45323</c:v>
                </c:pt>
                <c:pt idx="231">
                  <c:v>45324</c:v>
                </c:pt>
                <c:pt idx="232">
                  <c:v>45327</c:v>
                </c:pt>
                <c:pt idx="233">
                  <c:v>45328</c:v>
                </c:pt>
                <c:pt idx="234">
                  <c:v>45329</c:v>
                </c:pt>
                <c:pt idx="235">
                  <c:v>45337</c:v>
                </c:pt>
                <c:pt idx="236">
                  <c:v>45338</c:v>
                </c:pt>
                <c:pt idx="237">
                  <c:v>45341</c:v>
                </c:pt>
                <c:pt idx="238">
                  <c:v>45342</c:v>
                </c:pt>
                <c:pt idx="239">
                  <c:v>45343</c:v>
                </c:pt>
                <c:pt idx="240">
                  <c:v>45344</c:v>
                </c:pt>
                <c:pt idx="241">
                  <c:v>45345</c:v>
                </c:pt>
                <c:pt idx="242">
                  <c:v>45348</c:v>
                </c:pt>
                <c:pt idx="243">
                  <c:v>45349</c:v>
                </c:pt>
                <c:pt idx="244">
                  <c:v>45350</c:v>
                </c:pt>
                <c:pt idx="245">
                  <c:v>45351</c:v>
                </c:pt>
                <c:pt idx="246">
                  <c:v>45352</c:v>
                </c:pt>
                <c:pt idx="247">
                  <c:v>45355</c:v>
                </c:pt>
                <c:pt idx="248">
                  <c:v>45356</c:v>
                </c:pt>
                <c:pt idx="249">
                  <c:v>45357</c:v>
                </c:pt>
                <c:pt idx="250">
                  <c:v>45358</c:v>
                </c:pt>
                <c:pt idx="251">
                  <c:v>45359</c:v>
                </c:pt>
                <c:pt idx="252">
                  <c:v>45362</c:v>
                </c:pt>
                <c:pt idx="253">
                  <c:v>45363</c:v>
                </c:pt>
                <c:pt idx="254">
                  <c:v>45364</c:v>
                </c:pt>
                <c:pt idx="255">
                  <c:v>45365</c:v>
                </c:pt>
                <c:pt idx="256">
                  <c:v>45366</c:v>
                </c:pt>
                <c:pt idx="257">
                  <c:v>45369</c:v>
                </c:pt>
                <c:pt idx="258">
                  <c:v>45370</c:v>
                </c:pt>
                <c:pt idx="259">
                  <c:v>45371</c:v>
                </c:pt>
                <c:pt idx="260">
                  <c:v>45372</c:v>
                </c:pt>
                <c:pt idx="261">
                  <c:v>45373</c:v>
                </c:pt>
                <c:pt idx="262">
                  <c:v>45376</c:v>
                </c:pt>
                <c:pt idx="263">
                  <c:v>45377</c:v>
                </c:pt>
                <c:pt idx="264">
                  <c:v>45378</c:v>
                </c:pt>
                <c:pt idx="265">
                  <c:v>45379</c:v>
                </c:pt>
                <c:pt idx="266">
                  <c:v>45380</c:v>
                </c:pt>
                <c:pt idx="267">
                  <c:v>45383</c:v>
                </c:pt>
                <c:pt idx="268">
                  <c:v>45384</c:v>
                </c:pt>
                <c:pt idx="269">
                  <c:v>45385</c:v>
                </c:pt>
                <c:pt idx="270">
                  <c:v>45386</c:v>
                </c:pt>
                <c:pt idx="271">
                  <c:v>45387</c:v>
                </c:pt>
                <c:pt idx="272">
                  <c:v>45390</c:v>
                </c:pt>
                <c:pt idx="273">
                  <c:v>45391</c:v>
                </c:pt>
                <c:pt idx="274">
                  <c:v>45392</c:v>
                </c:pt>
                <c:pt idx="275">
                  <c:v>45393</c:v>
                </c:pt>
                <c:pt idx="276">
                  <c:v>45394</c:v>
                </c:pt>
                <c:pt idx="277">
                  <c:v>45397</c:v>
                </c:pt>
                <c:pt idx="278">
                  <c:v>45398</c:v>
                </c:pt>
                <c:pt idx="279">
                  <c:v>45399</c:v>
                </c:pt>
                <c:pt idx="280">
                  <c:v>45401</c:v>
                </c:pt>
                <c:pt idx="281">
                  <c:v>45404</c:v>
                </c:pt>
                <c:pt idx="282">
                  <c:v>45405</c:v>
                </c:pt>
                <c:pt idx="283">
                  <c:v>45406</c:v>
                </c:pt>
                <c:pt idx="284">
                  <c:v>45407</c:v>
                </c:pt>
                <c:pt idx="285">
                  <c:v>45408</c:v>
                </c:pt>
                <c:pt idx="286">
                  <c:v>45414</c:v>
                </c:pt>
                <c:pt idx="287">
                  <c:v>45415</c:v>
                </c:pt>
                <c:pt idx="288">
                  <c:v>45418</c:v>
                </c:pt>
                <c:pt idx="289">
                  <c:v>45419</c:v>
                </c:pt>
                <c:pt idx="290">
                  <c:v>45420</c:v>
                </c:pt>
                <c:pt idx="291">
                  <c:v>45421</c:v>
                </c:pt>
                <c:pt idx="292">
                  <c:v>45422</c:v>
                </c:pt>
                <c:pt idx="293">
                  <c:v>45425</c:v>
                </c:pt>
                <c:pt idx="294">
                  <c:v>45426</c:v>
                </c:pt>
                <c:pt idx="295">
                  <c:v>45427</c:v>
                </c:pt>
                <c:pt idx="296">
                  <c:v>45428</c:v>
                </c:pt>
                <c:pt idx="297">
                  <c:v>45429</c:v>
                </c:pt>
                <c:pt idx="298">
                  <c:v>45432</c:v>
                </c:pt>
                <c:pt idx="299">
                  <c:v>45433</c:v>
                </c:pt>
                <c:pt idx="300">
                  <c:v>45434</c:v>
                </c:pt>
                <c:pt idx="301">
                  <c:v>45435</c:v>
                </c:pt>
                <c:pt idx="302">
                  <c:v>45436</c:v>
                </c:pt>
                <c:pt idx="303">
                  <c:v>45439</c:v>
                </c:pt>
                <c:pt idx="304">
                  <c:v>45440</c:v>
                </c:pt>
                <c:pt idx="305">
                  <c:v>45441</c:v>
                </c:pt>
                <c:pt idx="306">
                  <c:v>45442</c:v>
                </c:pt>
                <c:pt idx="307">
                  <c:v>45443</c:v>
                </c:pt>
                <c:pt idx="308">
                  <c:v>45446</c:v>
                </c:pt>
                <c:pt idx="309">
                  <c:v>45447</c:v>
                </c:pt>
                <c:pt idx="310">
                  <c:v>45448</c:v>
                </c:pt>
                <c:pt idx="311">
                  <c:v>45449</c:v>
                </c:pt>
                <c:pt idx="312">
                  <c:v>45450</c:v>
                </c:pt>
                <c:pt idx="313">
                  <c:v>45453</c:v>
                </c:pt>
                <c:pt idx="314">
                  <c:v>45454</c:v>
                </c:pt>
                <c:pt idx="315">
                  <c:v>45455</c:v>
                </c:pt>
                <c:pt idx="316">
                  <c:v>45456</c:v>
                </c:pt>
                <c:pt idx="317">
                  <c:v>45457</c:v>
                </c:pt>
                <c:pt idx="318">
                  <c:v>45460</c:v>
                </c:pt>
                <c:pt idx="319">
                  <c:v>45461</c:v>
                </c:pt>
                <c:pt idx="320">
                  <c:v>45462</c:v>
                </c:pt>
                <c:pt idx="321">
                  <c:v>45463</c:v>
                </c:pt>
                <c:pt idx="322">
                  <c:v>45464</c:v>
                </c:pt>
                <c:pt idx="323">
                  <c:v>45467</c:v>
                </c:pt>
                <c:pt idx="324">
                  <c:v>45468</c:v>
                </c:pt>
                <c:pt idx="325">
                  <c:v>45469</c:v>
                </c:pt>
                <c:pt idx="326">
                  <c:v>45470</c:v>
                </c:pt>
                <c:pt idx="327">
                  <c:v>45471</c:v>
                </c:pt>
                <c:pt idx="328">
                  <c:v>45474</c:v>
                </c:pt>
                <c:pt idx="329">
                  <c:v>45475</c:v>
                </c:pt>
                <c:pt idx="330">
                  <c:v>45476</c:v>
                </c:pt>
                <c:pt idx="331">
                  <c:v>45477</c:v>
                </c:pt>
                <c:pt idx="332">
                  <c:v>45478</c:v>
                </c:pt>
                <c:pt idx="333">
                  <c:v>45481</c:v>
                </c:pt>
                <c:pt idx="334">
                  <c:v>45482</c:v>
                </c:pt>
                <c:pt idx="335">
                  <c:v>45483</c:v>
                </c:pt>
                <c:pt idx="336">
                  <c:v>45484</c:v>
                </c:pt>
                <c:pt idx="337">
                  <c:v>45485</c:v>
                </c:pt>
                <c:pt idx="338">
                  <c:v>45488</c:v>
                </c:pt>
                <c:pt idx="339">
                  <c:v>45489</c:v>
                </c:pt>
                <c:pt idx="340">
                  <c:v>45490</c:v>
                </c:pt>
                <c:pt idx="341">
                  <c:v>45491</c:v>
                </c:pt>
                <c:pt idx="342">
                  <c:v>45492</c:v>
                </c:pt>
                <c:pt idx="343">
                  <c:v>45495</c:v>
                </c:pt>
                <c:pt idx="344">
                  <c:v>45496</c:v>
                </c:pt>
                <c:pt idx="345">
                  <c:v>45497</c:v>
                </c:pt>
                <c:pt idx="346">
                  <c:v>45498</c:v>
                </c:pt>
                <c:pt idx="347">
                  <c:v>45499</c:v>
                </c:pt>
                <c:pt idx="348">
                  <c:v>45502</c:v>
                </c:pt>
                <c:pt idx="349">
                  <c:v>45503</c:v>
                </c:pt>
                <c:pt idx="350">
                  <c:v>45504</c:v>
                </c:pt>
                <c:pt idx="351">
                  <c:v>45505</c:v>
                </c:pt>
                <c:pt idx="352">
                  <c:v>45506</c:v>
                </c:pt>
                <c:pt idx="353">
                  <c:v>45509</c:v>
                </c:pt>
                <c:pt idx="354">
                  <c:v>45510</c:v>
                </c:pt>
                <c:pt idx="355">
                  <c:v>45511</c:v>
                </c:pt>
                <c:pt idx="356">
                  <c:v>45512</c:v>
                </c:pt>
                <c:pt idx="357">
                  <c:v>45513</c:v>
                </c:pt>
                <c:pt idx="358">
                  <c:v>45516</c:v>
                </c:pt>
                <c:pt idx="359">
                  <c:v>45517</c:v>
                </c:pt>
                <c:pt idx="360">
                  <c:v>45518</c:v>
                </c:pt>
                <c:pt idx="361">
                  <c:v>45519</c:v>
                </c:pt>
                <c:pt idx="362">
                  <c:v>45520</c:v>
                </c:pt>
                <c:pt idx="363">
                  <c:v>45523</c:v>
                </c:pt>
                <c:pt idx="364">
                  <c:v>45524</c:v>
                </c:pt>
                <c:pt idx="365">
                  <c:v>45525</c:v>
                </c:pt>
                <c:pt idx="366">
                  <c:v>45526</c:v>
                </c:pt>
                <c:pt idx="367">
                  <c:v>45527</c:v>
                </c:pt>
                <c:pt idx="368">
                  <c:v>45530</c:v>
                </c:pt>
                <c:pt idx="369">
                  <c:v>45531</c:v>
                </c:pt>
                <c:pt idx="370">
                  <c:v>45532</c:v>
                </c:pt>
                <c:pt idx="371">
                  <c:v>45533</c:v>
                </c:pt>
                <c:pt idx="372">
                  <c:v>45534</c:v>
                </c:pt>
                <c:pt idx="373">
                  <c:v>45539</c:v>
                </c:pt>
                <c:pt idx="374">
                  <c:v>45540</c:v>
                </c:pt>
                <c:pt idx="375">
                  <c:v>45541</c:v>
                </c:pt>
                <c:pt idx="376">
                  <c:v>45544</c:v>
                </c:pt>
                <c:pt idx="377">
                  <c:v>45545</c:v>
                </c:pt>
                <c:pt idx="378">
                  <c:v>45546</c:v>
                </c:pt>
                <c:pt idx="379">
                  <c:v>45547</c:v>
                </c:pt>
                <c:pt idx="380">
                  <c:v>45548</c:v>
                </c:pt>
                <c:pt idx="381">
                  <c:v>45551</c:v>
                </c:pt>
                <c:pt idx="382">
                  <c:v>45552</c:v>
                </c:pt>
                <c:pt idx="383">
                  <c:v>45553</c:v>
                </c:pt>
                <c:pt idx="384">
                  <c:v>45554</c:v>
                </c:pt>
                <c:pt idx="385">
                  <c:v>45555</c:v>
                </c:pt>
                <c:pt idx="386">
                  <c:v>45558</c:v>
                </c:pt>
                <c:pt idx="387">
                  <c:v>45559</c:v>
                </c:pt>
                <c:pt idx="388">
                  <c:v>45560</c:v>
                </c:pt>
                <c:pt idx="389">
                  <c:v>45561</c:v>
                </c:pt>
                <c:pt idx="390">
                  <c:v>45562</c:v>
                </c:pt>
                <c:pt idx="391">
                  <c:v>45565</c:v>
                </c:pt>
                <c:pt idx="392">
                  <c:v>45566</c:v>
                </c:pt>
                <c:pt idx="393">
                  <c:v>45567</c:v>
                </c:pt>
                <c:pt idx="394">
                  <c:v>45568</c:v>
                </c:pt>
                <c:pt idx="395">
                  <c:v>45569</c:v>
                </c:pt>
                <c:pt idx="396">
                  <c:v>45572</c:v>
                </c:pt>
                <c:pt idx="397">
                  <c:v>45573</c:v>
                </c:pt>
                <c:pt idx="398">
                  <c:v>45574</c:v>
                </c:pt>
                <c:pt idx="399">
                  <c:v>45575</c:v>
                </c:pt>
                <c:pt idx="400">
                  <c:v>45576</c:v>
                </c:pt>
                <c:pt idx="401">
                  <c:v>45579</c:v>
                </c:pt>
                <c:pt idx="402">
                  <c:v>45580</c:v>
                </c:pt>
                <c:pt idx="403">
                  <c:v>45581</c:v>
                </c:pt>
                <c:pt idx="404">
                  <c:v>45582</c:v>
                </c:pt>
                <c:pt idx="405">
                  <c:v>45583</c:v>
                </c:pt>
                <c:pt idx="406">
                  <c:v>45586</c:v>
                </c:pt>
                <c:pt idx="407">
                  <c:v>45587</c:v>
                </c:pt>
                <c:pt idx="408">
                  <c:v>45588</c:v>
                </c:pt>
                <c:pt idx="409">
                  <c:v>45589</c:v>
                </c:pt>
                <c:pt idx="410">
                  <c:v>45590</c:v>
                </c:pt>
                <c:pt idx="411">
                  <c:v>45593</c:v>
                </c:pt>
                <c:pt idx="412">
                  <c:v>45594</c:v>
                </c:pt>
                <c:pt idx="413">
                  <c:v>45595</c:v>
                </c:pt>
                <c:pt idx="414">
                  <c:v>45596</c:v>
                </c:pt>
                <c:pt idx="415">
                  <c:v>45597</c:v>
                </c:pt>
                <c:pt idx="416">
                  <c:v>45600</c:v>
                </c:pt>
                <c:pt idx="417">
                  <c:v>45601</c:v>
                </c:pt>
                <c:pt idx="418">
                  <c:v>45602</c:v>
                </c:pt>
                <c:pt idx="419">
                  <c:v>45603</c:v>
                </c:pt>
                <c:pt idx="420">
                  <c:v>45604</c:v>
                </c:pt>
                <c:pt idx="421">
                  <c:v>45607</c:v>
                </c:pt>
                <c:pt idx="422">
                  <c:v>45608</c:v>
                </c:pt>
                <c:pt idx="423">
                  <c:v>45609</c:v>
                </c:pt>
                <c:pt idx="424">
                  <c:v>45610</c:v>
                </c:pt>
                <c:pt idx="425">
                  <c:v>45611</c:v>
                </c:pt>
                <c:pt idx="426">
                  <c:v>45614</c:v>
                </c:pt>
                <c:pt idx="427">
                  <c:v>45615</c:v>
                </c:pt>
                <c:pt idx="428">
                  <c:v>45616</c:v>
                </c:pt>
                <c:pt idx="429">
                  <c:v>45617</c:v>
                </c:pt>
                <c:pt idx="430">
                  <c:v>45618</c:v>
                </c:pt>
                <c:pt idx="431">
                  <c:v>45621</c:v>
                </c:pt>
                <c:pt idx="432">
                  <c:v>45622</c:v>
                </c:pt>
                <c:pt idx="433">
                  <c:v>45623</c:v>
                </c:pt>
                <c:pt idx="434">
                  <c:v>45624</c:v>
                </c:pt>
                <c:pt idx="435">
                  <c:v>45625</c:v>
                </c:pt>
                <c:pt idx="436">
                  <c:v>45628</c:v>
                </c:pt>
                <c:pt idx="437">
                  <c:v>45629</c:v>
                </c:pt>
                <c:pt idx="438">
                  <c:v>45630</c:v>
                </c:pt>
                <c:pt idx="439">
                  <c:v>45631</c:v>
                </c:pt>
                <c:pt idx="440">
                  <c:v>45632</c:v>
                </c:pt>
                <c:pt idx="441">
                  <c:v>45635</c:v>
                </c:pt>
                <c:pt idx="442">
                  <c:v>45636</c:v>
                </c:pt>
                <c:pt idx="443">
                  <c:v>45637</c:v>
                </c:pt>
                <c:pt idx="444">
                  <c:v>45638</c:v>
                </c:pt>
                <c:pt idx="445">
                  <c:v>45639</c:v>
                </c:pt>
                <c:pt idx="446">
                  <c:v>45642</c:v>
                </c:pt>
                <c:pt idx="447">
                  <c:v>45643</c:v>
                </c:pt>
                <c:pt idx="448">
                  <c:v>45644</c:v>
                </c:pt>
                <c:pt idx="449">
                  <c:v>45645</c:v>
                </c:pt>
                <c:pt idx="450">
                  <c:v>45646</c:v>
                </c:pt>
                <c:pt idx="451">
                  <c:v>45649</c:v>
                </c:pt>
                <c:pt idx="452">
                  <c:v>45650</c:v>
                </c:pt>
                <c:pt idx="453">
                  <c:v>45651</c:v>
                </c:pt>
                <c:pt idx="454">
                  <c:v>45652</c:v>
                </c:pt>
                <c:pt idx="455">
                  <c:v>45653</c:v>
                </c:pt>
                <c:pt idx="456">
                  <c:v>45656</c:v>
                </c:pt>
                <c:pt idx="457">
                  <c:v>45657</c:v>
                </c:pt>
                <c:pt idx="458">
                  <c:v>45659</c:v>
                </c:pt>
                <c:pt idx="459">
                  <c:v>45660</c:v>
                </c:pt>
                <c:pt idx="460">
                  <c:v>45663</c:v>
                </c:pt>
                <c:pt idx="461">
                  <c:v>45664</c:v>
                </c:pt>
                <c:pt idx="462">
                  <c:v>45665</c:v>
                </c:pt>
                <c:pt idx="463">
                  <c:v>45666</c:v>
                </c:pt>
                <c:pt idx="464">
                  <c:v>45667</c:v>
                </c:pt>
                <c:pt idx="465">
                  <c:v>45670</c:v>
                </c:pt>
                <c:pt idx="466">
                  <c:v>45671</c:v>
                </c:pt>
                <c:pt idx="467">
                  <c:v>45672</c:v>
                </c:pt>
                <c:pt idx="468">
                  <c:v>45673</c:v>
                </c:pt>
                <c:pt idx="469">
                  <c:v>45674</c:v>
                </c:pt>
                <c:pt idx="470">
                  <c:v>45677</c:v>
                </c:pt>
                <c:pt idx="471">
                  <c:v>45678</c:v>
                </c:pt>
                <c:pt idx="472">
                  <c:v>45679</c:v>
                </c:pt>
                <c:pt idx="473">
                  <c:v>45680</c:v>
                </c:pt>
                <c:pt idx="474">
                  <c:v>45681</c:v>
                </c:pt>
                <c:pt idx="475">
                  <c:v>45691</c:v>
                </c:pt>
                <c:pt idx="476">
                  <c:v>45692</c:v>
                </c:pt>
                <c:pt idx="477">
                  <c:v>45693</c:v>
                </c:pt>
                <c:pt idx="478">
                  <c:v>45694</c:v>
                </c:pt>
                <c:pt idx="479">
                  <c:v>45695</c:v>
                </c:pt>
                <c:pt idx="480">
                  <c:v>45698</c:v>
                </c:pt>
                <c:pt idx="481">
                  <c:v>45699</c:v>
                </c:pt>
                <c:pt idx="482">
                  <c:v>45700</c:v>
                </c:pt>
                <c:pt idx="483">
                  <c:v>45701</c:v>
                </c:pt>
                <c:pt idx="484">
                  <c:v>45702</c:v>
                </c:pt>
                <c:pt idx="485">
                  <c:v>45705</c:v>
                </c:pt>
                <c:pt idx="486">
                  <c:v>45706</c:v>
                </c:pt>
                <c:pt idx="487">
                  <c:v>45707</c:v>
                </c:pt>
                <c:pt idx="488">
                  <c:v>45708</c:v>
                </c:pt>
                <c:pt idx="489">
                  <c:v>45709</c:v>
                </c:pt>
                <c:pt idx="490">
                  <c:v>45712</c:v>
                </c:pt>
                <c:pt idx="491">
                  <c:v>45713</c:v>
                </c:pt>
                <c:pt idx="492">
                  <c:v>45714</c:v>
                </c:pt>
                <c:pt idx="493">
                  <c:v>45715</c:v>
                </c:pt>
                <c:pt idx="494">
                  <c:v>45716</c:v>
                </c:pt>
                <c:pt idx="495">
                  <c:v>45719</c:v>
                </c:pt>
                <c:pt idx="496">
                  <c:v>45720</c:v>
                </c:pt>
                <c:pt idx="497">
                  <c:v>45721</c:v>
                </c:pt>
                <c:pt idx="498">
                  <c:v>45722</c:v>
                </c:pt>
                <c:pt idx="499">
                  <c:v>45723</c:v>
                </c:pt>
                <c:pt idx="500">
                  <c:v>45726</c:v>
                </c:pt>
                <c:pt idx="501">
                  <c:v>45727</c:v>
                </c:pt>
                <c:pt idx="502">
                  <c:v>45728</c:v>
                </c:pt>
                <c:pt idx="503">
                  <c:v>45729</c:v>
                </c:pt>
                <c:pt idx="504">
                  <c:v>45730</c:v>
                </c:pt>
                <c:pt idx="505">
                  <c:v>45733</c:v>
                </c:pt>
                <c:pt idx="506">
                  <c:v>45734</c:v>
                </c:pt>
                <c:pt idx="507">
                  <c:v>45735</c:v>
                </c:pt>
                <c:pt idx="508">
                  <c:v>45736</c:v>
                </c:pt>
                <c:pt idx="509">
                  <c:v>45737</c:v>
                </c:pt>
                <c:pt idx="510">
                  <c:v>45740</c:v>
                </c:pt>
                <c:pt idx="511">
                  <c:v>45741</c:v>
                </c:pt>
                <c:pt idx="512">
                  <c:v>45742</c:v>
                </c:pt>
                <c:pt idx="513">
                  <c:v>45743</c:v>
                </c:pt>
                <c:pt idx="514">
                  <c:v>45744</c:v>
                </c:pt>
                <c:pt idx="515">
                  <c:v>45747</c:v>
                </c:pt>
                <c:pt idx="516">
                  <c:v>45748</c:v>
                </c:pt>
                <c:pt idx="517">
                  <c:v>45749</c:v>
                </c:pt>
                <c:pt idx="518">
                  <c:v>45750</c:v>
                </c:pt>
                <c:pt idx="519">
                  <c:v>45751</c:v>
                </c:pt>
                <c:pt idx="520">
                  <c:v>45755</c:v>
                </c:pt>
                <c:pt idx="521">
                  <c:v>45756</c:v>
                </c:pt>
                <c:pt idx="522">
                  <c:v>45757</c:v>
                </c:pt>
                <c:pt idx="523">
                  <c:v>45758</c:v>
                </c:pt>
                <c:pt idx="524">
                  <c:v>45761</c:v>
                </c:pt>
                <c:pt idx="525">
                  <c:v>45762</c:v>
                </c:pt>
                <c:pt idx="526">
                  <c:v>45763</c:v>
                </c:pt>
                <c:pt idx="527">
                  <c:v>45764</c:v>
                </c:pt>
                <c:pt idx="528">
                  <c:v>45765</c:v>
                </c:pt>
                <c:pt idx="529">
                  <c:v>45768</c:v>
                </c:pt>
                <c:pt idx="530">
                  <c:v>45769</c:v>
                </c:pt>
                <c:pt idx="531">
                  <c:v>45770</c:v>
                </c:pt>
                <c:pt idx="532">
                  <c:v>45771</c:v>
                </c:pt>
                <c:pt idx="533">
                  <c:v>45772</c:v>
                </c:pt>
                <c:pt idx="534">
                  <c:v>45775</c:v>
                </c:pt>
                <c:pt idx="535">
                  <c:v>45776</c:v>
                </c:pt>
                <c:pt idx="536">
                  <c:v>45782</c:v>
                </c:pt>
                <c:pt idx="537">
                  <c:v>45783</c:v>
                </c:pt>
                <c:pt idx="538">
                  <c:v>45784</c:v>
                </c:pt>
                <c:pt idx="539">
                  <c:v>45785</c:v>
                </c:pt>
                <c:pt idx="540">
                  <c:v>45786</c:v>
                </c:pt>
                <c:pt idx="541">
                  <c:v>45789</c:v>
                </c:pt>
                <c:pt idx="542">
                  <c:v>45790</c:v>
                </c:pt>
                <c:pt idx="543">
                  <c:v>45791</c:v>
                </c:pt>
                <c:pt idx="544">
                  <c:v>45792</c:v>
                </c:pt>
                <c:pt idx="545">
                  <c:v>45793</c:v>
                </c:pt>
                <c:pt idx="546">
                  <c:v>45796</c:v>
                </c:pt>
                <c:pt idx="547">
                  <c:v>45797</c:v>
                </c:pt>
                <c:pt idx="548">
                  <c:v>45798</c:v>
                </c:pt>
                <c:pt idx="549">
                  <c:v>45799</c:v>
                </c:pt>
                <c:pt idx="550">
                  <c:v>45800</c:v>
                </c:pt>
                <c:pt idx="551">
                  <c:v>45803</c:v>
                </c:pt>
                <c:pt idx="552">
                  <c:v>45804</c:v>
                </c:pt>
                <c:pt idx="553">
                  <c:v>45805</c:v>
                </c:pt>
                <c:pt idx="554">
                  <c:v>45806</c:v>
                </c:pt>
                <c:pt idx="555">
                  <c:v>45807</c:v>
                </c:pt>
                <c:pt idx="556">
                  <c:v>45810</c:v>
                </c:pt>
                <c:pt idx="557">
                  <c:v>45811</c:v>
                </c:pt>
                <c:pt idx="558">
                  <c:v>45812</c:v>
                </c:pt>
                <c:pt idx="559">
                  <c:v>45813</c:v>
                </c:pt>
                <c:pt idx="560">
                  <c:v>45814</c:v>
                </c:pt>
                <c:pt idx="561">
                  <c:v>45817</c:v>
                </c:pt>
                <c:pt idx="562">
                  <c:v>45818</c:v>
                </c:pt>
                <c:pt idx="563">
                  <c:v>45819</c:v>
                </c:pt>
                <c:pt idx="564">
                  <c:v>45820</c:v>
                </c:pt>
                <c:pt idx="565">
                  <c:v>45821</c:v>
                </c:pt>
                <c:pt idx="566">
                  <c:v>45824</c:v>
                </c:pt>
                <c:pt idx="567">
                  <c:v>45825</c:v>
                </c:pt>
                <c:pt idx="568">
                  <c:v>45826</c:v>
                </c:pt>
                <c:pt idx="569">
                  <c:v>45827</c:v>
                </c:pt>
                <c:pt idx="570">
                  <c:v>45828</c:v>
                </c:pt>
                <c:pt idx="571">
                  <c:v>45831</c:v>
                </c:pt>
                <c:pt idx="572">
                  <c:v>45832</c:v>
                </c:pt>
                <c:pt idx="573">
                  <c:v>45833</c:v>
                </c:pt>
                <c:pt idx="574">
                  <c:v>45834</c:v>
                </c:pt>
                <c:pt idx="575">
                  <c:v>45835</c:v>
                </c:pt>
                <c:pt idx="576">
                  <c:v>45838</c:v>
                </c:pt>
                <c:pt idx="577">
                  <c:v>45839</c:v>
                </c:pt>
                <c:pt idx="578">
                  <c:v>45840</c:v>
                </c:pt>
                <c:pt idx="579">
                  <c:v>45841</c:v>
                </c:pt>
                <c:pt idx="580">
                  <c:v>45842</c:v>
                </c:pt>
                <c:pt idx="581">
                  <c:v>45845</c:v>
                </c:pt>
                <c:pt idx="582">
                  <c:v>45846</c:v>
                </c:pt>
                <c:pt idx="583">
                  <c:v>45847</c:v>
                </c:pt>
                <c:pt idx="584">
                  <c:v>45848</c:v>
                </c:pt>
                <c:pt idx="585">
                  <c:v>45849</c:v>
                </c:pt>
                <c:pt idx="586">
                  <c:v>45852</c:v>
                </c:pt>
                <c:pt idx="587">
                  <c:v>45853</c:v>
                </c:pt>
                <c:pt idx="588">
                  <c:v>45854</c:v>
                </c:pt>
                <c:pt idx="589">
                  <c:v>45855</c:v>
                </c:pt>
                <c:pt idx="590">
                  <c:v>45856</c:v>
                </c:pt>
                <c:pt idx="591">
                  <c:v>45859</c:v>
                </c:pt>
                <c:pt idx="592">
                  <c:v>45860</c:v>
                </c:pt>
                <c:pt idx="593">
                  <c:v>45861</c:v>
                </c:pt>
                <c:pt idx="594">
                  <c:v>45862</c:v>
                </c:pt>
                <c:pt idx="595">
                  <c:v>45863</c:v>
                </c:pt>
                <c:pt idx="596">
                  <c:v>45866</c:v>
                </c:pt>
                <c:pt idx="597">
                  <c:v>45867</c:v>
                </c:pt>
                <c:pt idx="598">
                  <c:v>45868</c:v>
                </c:pt>
                <c:pt idx="599">
                  <c:v>45869</c:v>
                </c:pt>
                <c:pt idx="600">
                  <c:v>45870</c:v>
                </c:pt>
                <c:pt idx="601">
                  <c:v>45873</c:v>
                </c:pt>
                <c:pt idx="602">
                  <c:v>45874</c:v>
                </c:pt>
                <c:pt idx="603">
                  <c:v>45875</c:v>
                </c:pt>
                <c:pt idx="604">
                  <c:v>45876</c:v>
                </c:pt>
                <c:pt idx="605">
                  <c:v>45877</c:v>
                </c:pt>
                <c:pt idx="606">
                  <c:v>45880</c:v>
                </c:pt>
                <c:pt idx="607">
                  <c:v>45881</c:v>
                </c:pt>
                <c:pt idx="608">
                  <c:v>45882</c:v>
                </c:pt>
                <c:pt idx="609">
                  <c:v>45883</c:v>
                </c:pt>
                <c:pt idx="610">
                  <c:v>45884</c:v>
                </c:pt>
                <c:pt idx="611">
                  <c:v>45887</c:v>
                </c:pt>
                <c:pt idx="612">
                  <c:v>45888</c:v>
                </c:pt>
                <c:pt idx="613">
                  <c:v>45889</c:v>
                </c:pt>
                <c:pt idx="614">
                  <c:v>45890</c:v>
                </c:pt>
                <c:pt idx="615">
                  <c:v>45891</c:v>
                </c:pt>
                <c:pt idx="616">
                  <c:v>45894</c:v>
                </c:pt>
                <c:pt idx="617">
                  <c:v>45895</c:v>
                </c:pt>
                <c:pt idx="618">
                  <c:v>45896</c:v>
                </c:pt>
                <c:pt idx="619">
                  <c:v>45897</c:v>
                </c:pt>
                <c:pt idx="620">
                  <c:v>45898</c:v>
                </c:pt>
                <c:pt idx="621">
                  <c:v>45903</c:v>
                </c:pt>
                <c:pt idx="622">
                  <c:v>45904</c:v>
                </c:pt>
                <c:pt idx="623">
                  <c:v>45905</c:v>
                </c:pt>
                <c:pt idx="624">
                  <c:v>45908</c:v>
                </c:pt>
                <c:pt idx="625">
                  <c:v>45909</c:v>
                </c:pt>
                <c:pt idx="626">
                  <c:v>45910</c:v>
                </c:pt>
                <c:pt idx="627">
                  <c:v>45911</c:v>
                </c:pt>
                <c:pt idx="628">
                  <c:v>45912</c:v>
                </c:pt>
                <c:pt idx="629">
                  <c:v>45915</c:v>
                </c:pt>
                <c:pt idx="630">
                  <c:v>45916</c:v>
                </c:pt>
                <c:pt idx="631">
                  <c:v>45917</c:v>
                </c:pt>
                <c:pt idx="632">
                  <c:v>45918</c:v>
                </c:pt>
                <c:pt idx="633">
                  <c:v>45919</c:v>
                </c:pt>
                <c:pt idx="634">
                  <c:v>45922</c:v>
                </c:pt>
                <c:pt idx="635">
                  <c:v>45923</c:v>
                </c:pt>
                <c:pt idx="636">
                  <c:v>45924</c:v>
                </c:pt>
                <c:pt idx="637">
                  <c:v>45925</c:v>
                </c:pt>
                <c:pt idx="638">
                  <c:v>45926</c:v>
                </c:pt>
                <c:pt idx="639">
                  <c:v>45929</c:v>
                </c:pt>
                <c:pt idx="640">
                  <c:v>45930</c:v>
                </c:pt>
                <c:pt idx="641">
                  <c:v>45931</c:v>
                </c:pt>
                <c:pt idx="642">
                  <c:v>45932</c:v>
                </c:pt>
                <c:pt idx="643">
                  <c:v>45933</c:v>
                </c:pt>
                <c:pt idx="644">
                  <c:v>45936</c:v>
                </c:pt>
                <c:pt idx="645">
                  <c:v>45937</c:v>
                </c:pt>
                <c:pt idx="646">
                  <c:v>45938</c:v>
                </c:pt>
                <c:pt idx="647">
                  <c:v>45939</c:v>
                </c:pt>
                <c:pt idx="648">
                  <c:v>45940</c:v>
                </c:pt>
                <c:pt idx="649">
                  <c:v>45943</c:v>
                </c:pt>
                <c:pt idx="650">
                  <c:v>45944</c:v>
                </c:pt>
                <c:pt idx="651">
                  <c:v>45945</c:v>
                </c:pt>
                <c:pt idx="652">
                  <c:v>45946</c:v>
                </c:pt>
                <c:pt idx="653">
                  <c:v>45947</c:v>
                </c:pt>
                <c:pt idx="654">
                  <c:v>45950</c:v>
                </c:pt>
                <c:pt idx="655">
                  <c:v>45951</c:v>
                </c:pt>
                <c:pt idx="656">
                  <c:v>45952</c:v>
                </c:pt>
                <c:pt idx="657">
                  <c:v>45953</c:v>
                </c:pt>
                <c:pt idx="658">
                  <c:v>45954</c:v>
                </c:pt>
                <c:pt idx="659">
                  <c:v>45957</c:v>
                </c:pt>
                <c:pt idx="660">
                  <c:v>45958</c:v>
                </c:pt>
                <c:pt idx="661">
                  <c:v>45959</c:v>
                </c:pt>
                <c:pt idx="662">
                  <c:v>45960</c:v>
                </c:pt>
                <c:pt idx="663">
                  <c:v>45961</c:v>
                </c:pt>
                <c:pt idx="664">
                  <c:v>45964</c:v>
                </c:pt>
                <c:pt idx="665">
                  <c:v>45965</c:v>
                </c:pt>
                <c:pt idx="666">
                  <c:v>45966</c:v>
                </c:pt>
                <c:pt idx="667">
                  <c:v>45967</c:v>
                </c:pt>
                <c:pt idx="668">
                  <c:v>45968</c:v>
                </c:pt>
                <c:pt idx="669">
                  <c:v>45971</c:v>
                </c:pt>
                <c:pt idx="670">
                  <c:v>45972</c:v>
                </c:pt>
                <c:pt idx="671">
                  <c:v>45973</c:v>
                </c:pt>
                <c:pt idx="672">
                  <c:v>45974</c:v>
                </c:pt>
                <c:pt idx="673">
                  <c:v>45975</c:v>
                </c:pt>
                <c:pt idx="674">
                  <c:v>45978</c:v>
                </c:pt>
                <c:pt idx="675">
                  <c:v>45979</c:v>
                </c:pt>
                <c:pt idx="676">
                  <c:v>45980</c:v>
                </c:pt>
                <c:pt idx="677">
                  <c:v>45981</c:v>
                </c:pt>
                <c:pt idx="678">
                  <c:v>45982</c:v>
                </c:pt>
                <c:pt idx="679">
                  <c:v>45985</c:v>
                </c:pt>
                <c:pt idx="680">
                  <c:v>45986</c:v>
                </c:pt>
                <c:pt idx="681">
                  <c:v>45987</c:v>
                </c:pt>
                <c:pt idx="682">
                  <c:v>45988</c:v>
                </c:pt>
                <c:pt idx="683">
                  <c:v>45989</c:v>
                </c:pt>
                <c:pt idx="684">
                  <c:v>45992</c:v>
                </c:pt>
                <c:pt idx="685">
                  <c:v>45993</c:v>
                </c:pt>
                <c:pt idx="686">
                  <c:v>45994</c:v>
                </c:pt>
                <c:pt idx="687">
                  <c:v>45995</c:v>
                </c:pt>
                <c:pt idx="688">
                  <c:v>45996</c:v>
                </c:pt>
                <c:pt idx="689">
                  <c:v>45999</c:v>
                </c:pt>
                <c:pt idx="690">
                  <c:v>46000</c:v>
                </c:pt>
                <c:pt idx="691">
                  <c:v>46001</c:v>
                </c:pt>
                <c:pt idx="692">
                  <c:v>46002</c:v>
                </c:pt>
                <c:pt idx="693">
                  <c:v>46003</c:v>
                </c:pt>
                <c:pt idx="694">
                  <c:v>46006</c:v>
                </c:pt>
                <c:pt idx="695">
                  <c:v>46007</c:v>
                </c:pt>
                <c:pt idx="696">
                  <c:v>46008</c:v>
                </c:pt>
                <c:pt idx="697">
                  <c:v>46009</c:v>
                </c:pt>
                <c:pt idx="698">
                  <c:v>46010</c:v>
                </c:pt>
                <c:pt idx="699">
                  <c:v>46013</c:v>
                </c:pt>
                <c:pt idx="700">
                  <c:v>46014</c:v>
                </c:pt>
                <c:pt idx="701">
                  <c:v>46015</c:v>
                </c:pt>
                <c:pt idx="702">
                  <c:v>46016</c:v>
                </c:pt>
                <c:pt idx="703">
                  <c:v>46017</c:v>
                </c:pt>
                <c:pt idx="704">
                  <c:v>46020</c:v>
                </c:pt>
                <c:pt idx="705">
                  <c:v>46021</c:v>
                </c:pt>
                <c:pt idx="706">
                  <c:v>46022</c:v>
                </c:pt>
                <c:pt idx="707">
                  <c:v>46027</c:v>
                </c:pt>
                <c:pt idx="708">
                  <c:v>46028</c:v>
                </c:pt>
                <c:pt idx="709">
                  <c:v>46029</c:v>
                </c:pt>
                <c:pt idx="710">
                  <c:v>46030</c:v>
                </c:pt>
                <c:pt idx="711">
                  <c:v>46031</c:v>
                </c:pt>
                <c:pt idx="712">
                  <c:v>46034</c:v>
                </c:pt>
                <c:pt idx="713">
                  <c:v>46035</c:v>
                </c:pt>
                <c:pt idx="714">
                  <c:v>46036</c:v>
                </c:pt>
                <c:pt idx="715">
                  <c:v>46037</c:v>
                </c:pt>
                <c:pt idx="716">
                  <c:v>46038</c:v>
                </c:pt>
                <c:pt idx="717">
                  <c:v>46041</c:v>
                </c:pt>
                <c:pt idx="718">
                  <c:v>46042</c:v>
                </c:pt>
                <c:pt idx="719">
                  <c:v>46043</c:v>
                </c:pt>
                <c:pt idx="720">
                  <c:v>46044</c:v>
                </c:pt>
                <c:pt idx="721">
                  <c:v>46045</c:v>
                </c:pt>
                <c:pt idx="722">
                  <c:v>46048</c:v>
                </c:pt>
                <c:pt idx="723">
                  <c:v>46049</c:v>
                </c:pt>
                <c:pt idx="724">
                  <c:v>46050</c:v>
                </c:pt>
                <c:pt idx="725">
                  <c:v>46051</c:v>
                </c:pt>
                <c:pt idx="726">
                  <c:v>46052</c:v>
                </c:pt>
                <c:pt idx="727">
                  <c:v>46055</c:v>
                </c:pt>
                <c:pt idx="728">
                  <c:v>46056</c:v>
                </c:pt>
                <c:pt idx="729">
                  <c:v>46057</c:v>
                </c:pt>
                <c:pt idx="730">
                  <c:v>46058</c:v>
                </c:pt>
                <c:pt idx="731">
                  <c:v>46059</c:v>
                </c:pt>
                <c:pt idx="732">
                  <c:v>46062</c:v>
                </c:pt>
                <c:pt idx="733">
                  <c:v>46063</c:v>
                </c:pt>
                <c:pt idx="734">
                  <c:v>46064</c:v>
                </c:pt>
                <c:pt idx="735">
                  <c:v>46065</c:v>
                </c:pt>
                <c:pt idx="736">
                  <c:v>46066</c:v>
                </c:pt>
                <c:pt idx="737">
                  <c:v>46076</c:v>
                </c:pt>
                <c:pt idx="738">
                  <c:v>46077</c:v>
                </c:pt>
                <c:pt idx="739">
                  <c:v>46078</c:v>
                </c:pt>
                <c:pt idx="740">
                  <c:v>46079</c:v>
                </c:pt>
                <c:pt idx="741">
                  <c:v>46080</c:v>
                </c:pt>
                <c:pt idx="742">
                  <c:v>46083</c:v>
                </c:pt>
                <c:pt idx="743">
                  <c:v>46084</c:v>
                </c:pt>
                <c:pt idx="744">
                  <c:v>46085</c:v>
                </c:pt>
                <c:pt idx="745">
                  <c:v>46086</c:v>
                </c:pt>
                <c:pt idx="746">
                  <c:v>46087</c:v>
                </c:pt>
                <c:pt idx="747">
                  <c:v>45968</c:v>
                </c:pt>
              </c:numCache>
            </c:numRef>
          </c:cat>
          <c:val>
            <c:numRef>
              <c:f>'FX Data'!$G$1462:$G$2855</c:f>
              <c:numCache>
                <c:formatCode>0.0</c:formatCode>
                <c:ptCount val="1394"/>
                <c:pt idx="0">
                  <c:v>27.569559842869719</c:v>
                </c:pt>
                <c:pt idx="1">
                  <c:v>27.569559842869719</c:v>
                </c:pt>
                <c:pt idx="2">
                  <c:v>27.569559842869719</c:v>
                </c:pt>
                <c:pt idx="3">
                  <c:v>27.569559842869719</c:v>
                </c:pt>
                <c:pt idx="4">
                  <c:v>27.569559842869719</c:v>
                </c:pt>
                <c:pt idx="5">
                  <c:v>27.569559842869719</c:v>
                </c:pt>
                <c:pt idx="6">
                  <c:v>27.569559842869719</c:v>
                </c:pt>
                <c:pt idx="7">
                  <c:v>27.569559842869719</c:v>
                </c:pt>
                <c:pt idx="8">
                  <c:v>27.569559842869719</c:v>
                </c:pt>
                <c:pt idx="9">
                  <c:v>27.569559842869719</c:v>
                </c:pt>
                <c:pt idx="10">
                  <c:v>27.569559842869719</c:v>
                </c:pt>
                <c:pt idx="11">
                  <c:v>27.569559842869719</c:v>
                </c:pt>
                <c:pt idx="12">
                  <c:v>27.569559842869719</c:v>
                </c:pt>
                <c:pt idx="13">
                  <c:v>27.569559842869719</c:v>
                </c:pt>
                <c:pt idx="14">
                  <c:v>27.569559842869719</c:v>
                </c:pt>
                <c:pt idx="15">
                  <c:v>27.569559842869719</c:v>
                </c:pt>
                <c:pt idx="16">
                  <c:v>27.569559842869719</c:v>
                </c:pt>
                <c:pt idx="17">
                  <c:v>27.569559842869719</c:v>
                </c:pt>
                <c:pt idx="18">
                  <c:v>27.569559842869719</c:v>
                </c:pt>
                <c:pt idx="19">
                  <c:v>27.569559842869719</c:v>
                </c:pt>
                <c:pt idx="20">
                  <c:v>27.569559842869719</c:v>
                </c:pt>
                <c:pt idx="21">
                  <c:v>27.569559842869719</c:v>
                </c:pt>
                <c:pt idx="22">
                  <c:v>27.569559842869719</c:v>
                </c:pt>
                <c:pt idx="23">
                  <c:v>27.569559842869719</c:v>
                </c:pt>
                <c:pt idx="24">
                  <c:v>27.569559842869719</c:v>
                </c:pt>
                <c:pt idx="25">
                  <c:v>27.569559842869719</c:v>
                </c:pt>
                <c:pt idx="26">
                  <c:v>27.569559842869719</c:v>
                </c:pt>
                <c:pt idx="27">
                  <c:v>27.569559842869719</c:v>
                </c:pt>
                <c:pt idx="28">
                  <c:v>27.569559842869719</c:v>
                </c:pt>
                <c:pt idx="29">
                  <c:v>27.569559842869719</c:v>
                </c:pt>
                <c:pt idx="30">
                  <c:v>27.569559842869719</c:v>
                </c:pt>
                <c:pt idx="31">
                  <c:v>27.569559842869719</c:v>
                </c:pt>
                <c:pt idx="32">
                  <c:v>27.569559842869719</c:v>
                </c:pt>
                <c:pt idx="33">
                  <c:v>27.569559842869719</c:v>
                </c:pt>
                <c:pt idx="34">
                  <c:v>27.569559842869719</c:v>
                </c:pt>
                <c:pt idx="35">
                  <c:v>27.569559842869719</c:v>
                </c:pt>
                <c:pt idx="36">
                  <c:v>27.569559842869719</c:v>
                </c:pt>
                <c:pt idx="37">
                  <c:v>27.569559842869719</c:v>
                </c:pt>
                <c:pt idx="38">
                  <c:v>27.569559842869719</c:v>
                </c:pt>
                <c:pt idx="39">
                  <c:v>27.569559842869719</c:v>
                </c:pt>
                <c:pt idx="40">
                  <c:v>27.569559842869719</c:v>
                </c:pt>
                <c:pt idx="41">
                  <c:v>27.569559842869719</c:v>
                </c:pt>
                <c:pt idx="42">
                  <c:v>27.569559842869719</c:v>
                </c:pt>
                <c:pt idx="43">
                  <c:v>27.569559842869719</c:v>
                </c:pt>
                <c:pt idx="44">
                  <c:v>27.569559842869719</c:v>
                </c:pt>
                <c:pt idx="45">
                  <c:v>27.569559842869719</c:v>
                </c:pt>
                <c:pt idx="46">
                  <c:v>27.569559842869719</c:v>
                </c:pt>
                <c:pt idx="47">
                  <c:v>27.569559842869719</c:v>
                </c:pt>
                <c:pt idx="48">
                  <c:v>27.569559842869719</c:v>
                </c:pt>
                <c:pt idx="49">
                  <c:v>27.569559842869719</c:v>
                </c:pt>
                <c:pt idx="50">
                  <c:v>27.569559842869719</c:v>
                </c:pt>
                <c:pt idx="51">
                  <c:v>27.569559842869719</c:v>
                </c:pt>
                <c:pt idx="52">
                  <c:v>27.569559842869719</c:v>
                </c:pt>
                <c:pt idx="53">
                  <c:v>27.569559842869719</c:v>
                </c:pt>
                <c:pt idx="54">
                  <c:v>27.569559842869719</c:v>
                </c:pt>
                <c:pt idx="55">
                  <c:v>27.569559842869719</c:v>
                </c:pt>
                <c:pt idx="56">
                  <c:v>27.569559842869719</c:v>
                </c:pt>
                <c:pt idx="57">
                  <c:v>27.569559842869719</c:v>
                </c:pt>
                <c:pt idx="58">
                  <c:v>27.569559842869719</c:v>
                </c:pt>
                <c:pt idx="59">
                  <c:v>27.569559842869719</c:v>
                </c:pt>
                <c:pt idx="60">
                  <c:v>27.569559842869719</c:v>
                </c:pt>
                <c:pt idx="61">
                  <c:v>27.569559842869719</c:v>
                </c:pt>
                <c:pt idx="62">
                  <c:v>27.569559842869719</c:v>
                </c:pt>
                <c:pt idx="63">
                  <c:v>27.569559842869719</c:v>
                </c:pt>
                <c:pt idx="64">
                  <c:v>27.569559842869719</c:v>
                </c:pt>
                <c:pt idx="65">
                  <c:v>27.569559842869719</c:v>
                </c:pt>
                <c:pt idx="66">
                  <c:v>27.569559842869719</c:v>
                </c:pt>
                <c:pt idx="67">
                  <c:v>27.569559842869719</c:v>
                </c:pt>
                <c:pt idx="68">
                  <c:v>27.569559842869719</c:v>
                </c:pt>
                <c:pt idx="69">
                  <c:v>27.569559842869719</c:v>
                </c:pt>
                <c:pt idx="70">
                  <c:v>27.569559842869719</c:v>
                </c:pt>
                <c:pt idx="71">
                  <c:v>27.569559842869719</c:v>
                </c:pt>
                <c:pt idx="72">
                  <c:v>27.569559842869719</c:v>
                </c:pt>
                <c:pt idx="73">
                  <c:v>27.569559842869719</c:v>
                </c:pt>
                <c:pt idx="74">
                  <c:v>27.569559842869719</c:v>
                </c:pt>
                <c:pt idx="75">
                  <c:v>27.569559842869719</c:v>
                </c:pt>
                <c:pt idx="76">
                  <c:v>27.569559842869719</c:v>
                </c:pt>
                <c:pt idx="77">
                  <c:v>27.569559842869719</c:v>
                </c:pt>
                <c:pt idx="78">
                  <c:v>27.569559842869719</c:v>
                </c:pt>
                <c:pt idx="79">
                  <c:v>27.569559842869719</c:v>
                </c:pt>
                <c:pt idx="80">
                  <c:v>27.569559842869719</c:v>
                </c:pt>
                <c:pt idx="81">
                  <c:v>27.569559842869719</c:v>
                </c:pt>
                <c:pt idx="82">
                  <c:v>27.569559842869719</c:v>
                </c:pt>
                <c:pt idx="83">
                  <c:v>27.569559842869719</c:v>
                </c:pt>
                <c:pt idx="84">
                  <c:v>27.569559842869719</c:v>
                </c:pt>
                <c:pt idx="85">
                  <c:v>27.569559842869719</c:v>
                </c:pt>
                <c:pt idx="86">
                  <c:v>27.569559842869719</c:v>
                </c:pt>
                <c:pt idx="87">
                  <c:v>27.569559842869719</c:v>
                </c:pt>
                <c:pt idx="88">
                  <c:v>27.569559842869719</c:v>
                </c:pt>
                <c:pt idx="89">
                  <c:v>27.569559842869719</c:v>
                </c:pt>
                <c:pt idx="90">
                  <c:v>27.569559842869719</c:v>
                </c:pt>
                <c:pt idx="91">
                  <c:v>27.569559842869719</c:v>
                </c:pt>
                <c:pt idx="92">
                  <c:v>27.569559842869719</c:v>
                </c:pt>
                <c:pt idx="93">
                  <c:v>27.569559842869719</c:v>
                </c:pt>
                <c:pt idx="94">
                  <c:v>27.569559842869719</c:v>
                </c:pt>
                <c:pt idx="95">
                  <c:v>27.569559842869719</c:v>
                </c:pt>
                <c:pt idx="96">
                  <c:v>27.569559842869719</c:v>
                </c:pt>
                <c:pt idx="97">
                  <c:v>27.569559842869719</c:v>
                </c:pt>
                <c:pt idx="98">
                  <c:v>27.569559842869719</c:v>
                </c:pt>
                <c:pt idx="99">
                  <c:v>27.569559842869719</c:v>
                </c:pt>
                <c:pt idx="100">
                  <c:v>27.569559842869719</c:v>
                </c:pt>
                <c:pt idx="101">
                  <c:v>27.569559842869719</c:v>
                </c:pt>
                <c:pt idx="102">
                  <c:v>27.569559842869719</c:v>
                </c:pt>
                <c:pt idx="103">
                  <c:v>27.569559842869719</c:v>
                </c:pt>
                <c:pt idx="104">
                  <c:v>27.569559842869719</c:v>
                </c:pt>
                <c:pt idx="105">
                  <c:v>27.569559842869719</c:v>
                </c:pt>
                <c:pt idx="106">
                  <c:v>27.569559842869719</c:v>
                </c:pt>
                <c:pt idx="107">
                  <c:v>27.569559842869719</c:v>
                </c:pt>
                <c:pt idx="108">
                  <c:v>27.569559842869719</c:v>
                </c:pt>
                <c:pt idx="109">
                  <c:v>27.569559842869719</c:v>
                </c:pt>
                <c:pt idx="110">
                  <c:v>27.569559842869719</c:v>
                </c:pt>
                <c:pt idx="111">
                  <c:v>27.569559842869719</c:v>
                </c:pt>
                <c:pt idx="112">
                  <c:v>27.569559842869719</c:v>
                </c:pt>
                <c:pt idx="113">
                  <c:v>27.569559842869719</c:v>
                </c:pt>
                <c:pt idx="114">
                  <c:v>27.569559842869719</c:v>
                </c:pt>
                <c:pt idx="115">
                  <c:v>27.569559842869719</c:v>
                </c:pt>
                <c:pt idx="116">
                  <c:v>27.569559842869719</c:v>
                </c:pt>
                <c:pt idx="117">
                  <c:v>27.569559842869719</c:v>
                </c:pt>
                <c:pt idx="118">
                  <c:v>27.569559842869719</c:v>
                </c:pt>
                <c:pt idx="119">
                  <c:v>27.569559842869719</c:v>
                </c:pt>
                <c:pt idx="120">
                  <c:v>27.569559842869719</c:v>
                </c:pt>
                <c:pt idx="121">
                  <c:v>27.569559842869719</c:v>
                </c:pt>
                <c:pt idx="122">
                  <c:v>27.569559842869719</c:v>
                </c:pt>
                <c:pt idx="123">
                  <c:v>27.569559842869719</c:v>
                </c:pt>
                <c:pt idx="124">
                  <c:v>27.569559842869719</c:v>
                </c:pt>
                <c:pt idx="125">
                  <c:v>27.569559842869719</c:v>
                </c:pt>
                <c:pt idx="126">
                  <c:v>27.569559842869719</c:v>
                </c:pt>
                <c:pt idx="127">
                  <c:v>27.569559842869719</c:v>
                </c:pt>
                <c:pt idx="128">
                  <c:v>27.569559842869719</c:v>
                </c:pt>
                <c:pt idx="129">
                  <c:v>27.569559842869719</c:v>
                </c:pt>
                <c:pt idx="130">
                  <c:v>27.569559842869719</c:v>
                </c:pt>
                <c:pt idx="131">
                  <c:v>27.569559842869719</c:v>
                </c:pt>
                <c:pt idx="132">
                  <c:v>27.569559842869719</c:v>
                </c:pt>
                <c:pt idx="133">
                  <c:v>27.569559842869719</c:v>
                </c:pt>
                <c:pt idx="134">
                  <c:v>27.569559842869719</c:v>
                </c:pt>
                <c:pt idx="135">
                  <c:v>27.569559842869719</c:v>
                </c:pt>
                <c:pt idx="136">
                  <c:v>27.569559842869719</c:v>
                </c:pt>
                <c:pt idx="137">
                  <c:v>27.569559842869719</c:v>
                </c:pt>
                <c:pt idx="138">
                  <c:v>27.569559842869719</c:v>
                </c:pt>
                <c:pt idx="139">
                  <c:v>27.569559842869719</c:v>
                </c:pt>
                <c:pt idx="140">
                  <c:v>27.569559842869719</c:v>
                </c:pt>
                <c:pt idx="141">
                  <c:v>27.569559842869719</c:v>
                </c:pt>
                <c:pt idx="142">
                  <c:v>27.569559842869719</c:v>
                </c:pt>
                <c:pt idx="143">
                  <c:v>27.569559842869719</c:v>
                </c:pt>
                <c:pt idx="144">
                  <c:v>27.569559842869719</c:v>
                </c:pt>
                <c:pt idx="145">
                  <c:v>27.569559842869719</c:v>
                </c:pt>
                <c:pt idx="146">
                  <c:v>27.569559842869719</c:v>
                </c:pt>
                <c:pt idx="147">
                  <c:v>27.569559842869719</c:v>
                </c:pt>
                <c:pt idx="148">
                  <c:v>27.569559842869719</c:v>
                </c:pt>
                <c:pt idx="149">
                  <c:v>27.569559842869719</c:v>
                </c:pt>
                <c:pt idx="150">
                  <c:v>27.569559842869719</c:v>
                </c:pt>
                <c:pt idx="151">
                  <c:v>27.569559842869719</c:v>
                </c:pt>
                <c:pt idx="152">
                  <c:v>27.569559842869719</c:v>
                </c:pt>
                <c:pt idx="153">
                  <c:v>27.569559842869719</c:v>
                </c:pt>
                <c:pt idx="154">
                  <c:v>27.569559842869719</c:v>
                </c:pt>
                <c:pt idx="155">
                  <c:v>27.569559842869719</c:v>
                </c:pt>
                <c:pt idx="156">
                  <c:v>27.569559842869719</c:v>
                </c:pt>
                <c:pt idx="157">
                  <c:v>27.569559842869719</c:v>
                </c:pt>
                <c:pt idx="158">
                  <c:v>27.569559842869719</c:v>
                </c:pt>
                <c:pt idx="159">
                  <c:v>27.569559842869719</c:v>
                </c:pt>
                <c:pt idx="160">
                  <c:v>27.569559842869719</c:v>
                </c:pt>
                <c:pt idx="161">
                  <c:v>27.569559842869719</c:v>
                </c:pt>
                <c:pt idx="162">
                  <c:v>27.569559842869719</c:v>
                </c:pt>
                <c:pt idx="163">
                  <c:v>27.569559842869719</c:v>
                </c:pt>
                <c:pt idx="164">
                  <c:v>27.569559842869719</c:v>
                </c:pt>
                <c:pt idx="165">
                  <c:v>27.569559842869719</c:v>
                </c:pt>
                <c:pt idx="166">
                  <c:v>27.569559842869719</c:v>
                </c:pt>
                <c:pt idx="167">
                  <c:v>27.569559842869719</c:v>
                </c:pt>
                <c:pt idx="168">
                  <c:v>27.569559842869719</c:v>
                </c:pt>
                <c:pt idx="169">
                  <c:v>27.569559842869719</c:v>
                </c:pt>
                <c:pt idx="170">
                  <c:v>27.569559842869719</c:v>
                </c:pt>
                <c:pt idx="171">
                  <c:v>27.569559842869719</c:v>
                </c:pt>
                <c:pt idx="172">
                  <c:v>27.569559842869719</c:v>
                </c:pt>
                <c:pt idx="173">
                  <c:v>27.569559842869719</c:v>
                </c:pt>
                <c:pt idx="174">
                  <c:v>27.569559842869719</c:v>
                </c:pt>
                <c:pt idx="175">
                  <c:v>27.569559842869719</c:v>
                </c:pt>
                <c:pt idx="176">
                  <c:v>27.569559842869719</c:v>
                </c:pt>
                <c:pt idx="177">
                  <c:v>27.569559842869719</c:v>
                </c:pt>
                <c:pt idx="178">
                  <c:v>27.569559842869719</c:v>
                </c:pt>
                <c:pt idx="179">
                  <c:v>27.569559842869719</c:v>
                </c:pt>
                <c:pt idx="180">
                  <c:v>27.569559842869719</c:v>
                </c:pt>
                <c:pt idx="181">
                  <c:v>27.569559842869719</c:v>
                </c:pt>
                <c:pt idx="182">
                  <c:v>27.569559842869719</c:v>
                </c:pt>
                <c:pt idx="183">
                  <c:v>27.569559842869719</c:v>
                </c:pt>
                <c:pt idx="184">
                  <c:v>27.569559842869719</c:v>
                </c:pt>
                <c:pt idx="185">
                  <c:v>27.569559842869719</c:v>
                </c:pt>
                <c:pt idx="186">
                  <c:v>27.569559842869719</c:v>
                </c:pt>
                <c:pt idx="187">
                  <c:v>27.569559842869719</c:v>
                </c:pt>
                <c:pt idx="188">
                  <c:v>27.569559842869719</c:v>
                </c:pt>
                <c:pt idx="189">
                  <c:v>27.569559842869719</c:v>
                </c:pt>
                <c:pt idx="190">
                  <c:v>27.569559842869719</c:v>
                </c:pt>
                <c:pt idx="191">
                  <c:v>27.569559842869719</c:v>
                </c:pt>
                <c:pt idx="192">
                  <c:v>27.569559842869719</c:v>
                </c:pt>
                <c:pt idx="193">
                  <c:v>27.569559842869719</c:v>
                </c:pt>
                <c:pt idx="194">
                  <c:v>27.569559842869719</c:v>
                </c:pt>
                <c:pt idx="195">
                  <c:v>27.569559842869719</c:v>
                </c:pt>
                <c:pt idx="196">
                  <c:v>27.569559842869719</c:v>
                </c:pt>
                <c:pt idx="197">
                  <c:v>27.569559842869719</c:v>
                </c:pt>
                <c:pt idx="198">
                  <c:v>27.569559842869719</c:v>
                </c:pt>
                <c:pt idx="199">
                  <c:v>27.569559842869719</c:v>
                </c:pt>
                <c:pt idx="200">
                  <c:v>27.569559842869719</c:v>
                </c:pt>
                <c:pt idx="201">
                  <c:v>27.569559842869719</c:v>
                </c:pt>
                <c:pt idx="202">
                  <c:v>27.569559842869719</c:v>
                </c:pt>
                <c:pt idx="203">
                  <c:v>27.569559842869719</c:v>
                </c:pt>
                <c:pt idx="204">
                  <c:v>27.569559842869719</c:v>
                </c:pt>
                <c:pt idx="205">
                  <c:v>27.569559842869719</c:v>
                </c:pt>
                <c:pt idx="206">
                  <c:v>27.569559842869719</c:v>
                </c:pt>
                <c:pt idx="207">
                  <c:v>27.569559842869719</c:v>
                </c:pt>
                <c:pt idx="208">
                  <c:v>27.569559842869719</c:v>
                </c:pt>
                <c:pt idx="209">
                  <c:v>27.569559842869719</c:v>
                </c:pt>
                <c:pt idx="210">
                  <c:v>27.569559842869719</c:v>
                </c:pt>
                <c:pt idx="211">
                  <c:v>27.569559842869719</c:v>
                </c:pt>
                <c:pt idx="212">
                  <c:v>27.569559842869719</c:v>
                </c:pt>
                <c:pt idx="213">
                  <c:v>27.569559842869719</c:v>
                </c:pt>
                <c:pt idx="214">
                  <c:v>27.569559842869719</c:v>
                </c:pt>
                <c:pt idx="215">
                  <c:v>27.569559842869719</c:v>
                </c:pt>
                <c:pt idx="216">
                  <c:v>27.569559842869719</c:v>
                </c:pt>
                <c:pt idx="217">
                  <c:v>27.569559842869719</c:v>
                </c:pt>
                <c:pt idx="218">
                  <c:v>27.569559842869719</c:v>
                </c:pt>
                <c:pt idx="219">
                  <c:v>27.569559842869719</c:v>
                </c:pt>
                <c:pt idx="220">
                  <c:v>27.569559842869719</c:v>
                </c:pt>
                <c:pt idx="221">
                  <c:v>27.569559842869719</c:v>
                </c:pt>
                <c:pt idx="222">
                  <c:v>27.569559842869719</c:v>
                </c:pt>
                <c:pt idx="223">
                  <c:v>27.569559842869719</c:v>
                </c:pt>
                <c:pt idx="224">
                  <c:v>27.569559842869719</c:v>
                </c:pt>
                <c:pt idx="225">
                  <c:v>27.569559842869719</c:v>
                </c:pt>
                <c:pt idx="226">
                  <c:v>27.569559842869719</c:v>
                </c:pt>
                <c:pt idx="227">
                  <c:v>27.569559842869719</c:v>
                </c:pt>
                <c:pt idx="228">
                  <c:v>27.569559842869719</c:v>
                </c:pt>
                <c:pt idx="229">
                  <c:v>27.569559842869719</c:v>
                </c:pt>
                <c:pt idx="230">
                  <c:v>27.569559842869719</c:v>
                </c:pt>
                <c:pt idx="231">
                  <c:v>27.569559842869719</c:v>
                </c:pt>
                <c:pt idx="232">
                  <c:v>27.569559842869719</c:v>
                </c:pt>
                <c:pt idx="233">
                  <c:v>27.569559842869719</c:v>
                </c:pt>
                <c:pt idx="234">
                  <c:v>27.569559842869719</c:v>
                </c:pt>
                <c:pt idx="235">
                  <c:v>27.569559842869719</c:v>
                </c:pt>
                <c:pt idx="236">
                  <c:v>27.569559842869719</c:v>
                </c:pt>
                <c:pt idx="237">
                  <c:v>27.569559842869719</c:v>
                </c:pt>
                <c:pt idx="238">
                  <c:v>27.569559842869719</c:v>
                </c:pt>
                <c:pt idx="239">
                  <c:v>27.569559842869719</c:v>
                </c:pt>
                <c:pt idx="240">
                  <c:v>27.569559842869719</c:v>
                </c:pt>
                <c:pt idx="241">
                  <c:v>27.569559842869719</c:v>
                </c:pt>
                <c:pt idx="242">
                  <c:v>27.569559842869719</c:v>
                </c:pt>
                <c:pt idx="243">
                  <c:v>27.569559842869719</c:v>
                </c:pt>
                <c:pt idx="244">
                  <c:v>27.569559842869719</c:v>
                </c:pt>
                <c:pt idx="245">
                  <c:v>27.569559842869719</c:v>
                </c:pt>
                <c:pt idx="246">
                  <c:v>27.569559842869719</c:v>
                </c:pt>
                <c:pt idx="247">
                  <c:v>27.569559842869719</c:v>
                </c:pt>
                <c:pt idx="248">
                  <c:v>27.569559842869719</c:v>
                </c:pt>
                <c:pt idx="249">
                  <c:v>27.569559842869719</c:v>
                </c:pt>
                <c:pt idx="250">
                  <c:v>27.569559842869719</c:v>
                </c:pt>
                <c:pt idx="251">
                  <c:v>27.569559842869719</c:v>
                </c:pt>
                <c:pt idx="252">
                  <c:v>27.569559842869719</c:v>
                </c:pt>
                <c:pt idx="253">
                  <c:v>27.569559842869719</c:v>
                </c:pt>
                <c:pt idx="254">
                  <c:v>27.569559842869719</c:v>
                </c:pt>
                <c:pt idx="255">
                  <c:v>27.569559842869719</c:v>
                </c:pt>
                <c:pt idx="256">
                  <c:v>27.569559842869719</c:v>
                </c:pt>
                <c:pt idx="257">
                  <c:v>27.569559842869719</c:v>
                </c:pt>
                <c:pt idx="258">
                  <c:v>27.569559842869719</c:v>
                </c:pt>
                <c:pt idx="259">
                  <c:v>27.569559842869719</c:v>
                </c:pt>
                <c:pt idx="260">
                  <c:v>27.569559842869719</c:v>
                </c:pt>
                <c:pt idx="261">
                  <c:v>27.569559842869719</c:v>
                </c:pt>
                <c:pt idx="262">
                  <c:v>27.569559842869719</c:v>
                </c:pt>
                <c:pt idx="263">
                  <c:v>27.569559842869719</c:v>
                </c:pt>
                <c:pt idx="264">
                  <c:v>27.569559842869719</c:v>
                </c:pt>
                <c:pt idx="265">
                  <c:v>27.569559842869719</c:v>
                </c:pt>
                <c:pt idx="266">
                  <c:v>27.569559842869719</c:v>
                </c:pt>
                <c:pt idx="267">
                  <c:v>27.569559842869719</c:v>
                </c:pt>
                <c:pt idx="268">
                  <c:v>27.569559842869719</c:v>
                </c:pt>
                <c:pt idx="269">
                  <c:v>27.569559842869719</c:v>
                </c:pt>
                <c:pt idx="270">
                  <c:v>27.569559842869719</c:v>
                </c:pt>
                <c:pt idx="271">
                  <c:v>27.569559842869719</c:v>
                </c:pt>
                <c:pt idx="272">
                  <c:v>27.569559842869719</c:v>
                </c:pt>
                <c:pt idx="273">
                  <c:v>27.569559842869719</c:v>
                </c:pt>
                <c:pt idx="274">
                  <c:v>27.569559842869719</c:v>
                </c:pt>
                <c:pt idx="275">
                  <c:v>27.569559842869719</c:v>
                </c:pt>
                <c:pt idx="276">
                  <c:v>27.569559842869719</c:v>
                </c:pt>
                <c:pt idx="277">
                  <c:v>27.569559842869719</c:v>
                </c:pt>
                <c:pt idx="278">
                  <c:v>27.569559842869719</c:v>
                </c:pt>
                <c:pt idx="279">
                  <c:v>27.569559842869719</c:v>
                </c:pt>
                <c:pt idx="280">
                  <c:v>27.569559842869719</c:v>
                </c:pt>
                <c:pt idx="281">
                  <c:v>27.569559842869719</c:v>
                </c:pt>
                <c:pt idx="282">
                  <c:v>27.569559842869719</c:v>
                </c:pt>
                <c:pt idx="283">
                  <c:v>27.569559842869719</c:v>
                </c:pt>
                <c:pt idx="284">
                  <c:v>27.569559842869719</c:v>
                </c:pt>
                <c:pt idx="285">
                  <c:v>27.569559842869719</c:v>
                </c:pt>
                <c:pt idx="286">
                  <c:v>27.569559842869719</c:v>
                </c:pt>
                <c:pt idx="287">
                  <c:v>27.569559842869719</c:v>
                </c:pt>
                <c:pt idx="288">
                  <c:v>27.569559842869719</c:v>
                </c:pt>
                <c:pt idx="289">
                  <c:v>27.569559842869719</c:v>
                </c:pt>
                <c:pt idx="290">
                  <c:v>27.569559842869719</c:v>
                </c:pt>
                <c:pt idx="291">
                  <c:v>27.569559842869719</c:v>
                </c:pt>
                <c:pt idx="292">
                  <c:v>27.569559842869719</c:v>
                </c:pt>
                <c:pt idx="293">
                  <c:v>27.569559842869719</c:v>
                </c:pt>
                <c:pt idx="294">
                  <c:v>27.569559842869719</c:v>
                </c:pt>
                <c:pt idx="295">
                  <c:v>27.569559842869719</c:v>
                </c:pt>
                <c:pt idx="296">
                  <c:v>27.569559842869719</c:v>
                </c:pt>
                <c:pt idx="297">
                  <c:v>27.569559842869719</c:v>
                </c:pt>
                <c:pt idx="298">
                  <c:v>27.569559842869719</c:v>
                </c:pt>
                <c:pt idx="299">
                  <c:v>27.569559842869719</c:v>
                </c:pt>
                <c:pt idx="300">
                  <c:v>27.569559842869719</c:v>
                </c:pt>
                <c:pt idx="301">
                  <c:v>27.569559842869719</c:v>
                </c:pt>
                <c:pt idx="302">
                  <c:v>27.569559842869719</c:v>
                </c:pt>
                <c:pt idx="303">
                  <c:v>27.569559842869719</c:v>
                </c:pt>
                <c:pt idx="304">
                  <c:v>27.569559842869719</c:v>
                </c:pt>
                <c:pt idx="305">
                  <c:v>27.569559842869719</c:v>
                </c:pt>
                <c:pt idx="306">
                  <c:v>27.569559842869719</c:v>
                </c:pt>
                <c:pt idx="307">
                  <c:v>27.569559842869719</c:v>
                </c:pt>
                <c:pt idx="308">
                  <c:v>27.569559842869719</c:v>
                </c:pt>
                <c:pt idx="309">
                  <c:v>27.569559842869719</c:v>
                </c:pt>
                <c:pt idx="310">
                  <c:v>27.569559842869719</c:v>
                </c:pt>
                <c:pt idx="311">
                  <c:v>27.569559842869719</c:v>
                </c:pt>
                <c:pt idx="312">
                  <c:v>27.569559842869719</c:v>
                </c:pt>
                <c:pt idx="313">
                  <c:v>27.569559842869719</c:v>
                </c:pt>
                <c:pt idx="314">
                  <c:v>27.569559842869719</c:v>
                </c:pt>
                <c:pt idx="315">
                  <c:v>27.569559842869719</c:v>
                </c:pt>
                <c:pt idx="316">
                  <c:v>27.569559842869719</c:v>
                </c:pt>
                <c:pt idx="317">
                  <c:v>27.569559842869719</c:v>
                </c:pt>
                <c:pt idx="318">
                  <c:v>27.569559842869719</c:v>
                </c:pt>
                <c:pt idx="319">
                  <c:v>27.569559842869719</c:v>
                </c:pt>
                <c:pt idx="320">
                  <c:v>27.569559842869719</c:v>
                </c:pt>
                <c:pt idx="321">
                  <c:v>27.569559842869719</c:v>
                </c:pt>
                <c:pt idx="322">
                  <c:v>27.569559842869719</c:v>
                </c:pt>
                <c:pt idx="323">
                  <c:v>27.569559842869719</c:v>
                </c:pt>
                <c:pt idx="324">
                  <c:v>27.569559842869719</c:v>
                </c:pt>
                <c:pt idx="325">
                  <c:v>27.569559842869719</c:v>
                </c:pt>
                <c:pt idx="326">
                  <c:v>27.569559842869719</c:v>
                </c:pt>
                <c:pt idx="327">
                  <c:v>27.569559842869719</c:v>
                </c:pt>
                <c:pt idx="328">
                  <c:v>27.569559842869719</c:v>
                </c:pt>
                <c:pt idx="329">
                  <c:v>27.569559842869719</c:v>
                </c:pt>
                <c:pt idx="330">
                  <c:v>27.569559842869719</c:v>
                </c:pt>
                <c:pt idx="331">
                  <c:v>27.569559842869719</c:v>
                </c:pt>
                <c:pt idx="332">
                  <c:v>27.569559842869719</c:v>
                </c:pt>
                <c:pt idx="333">
                  <c:v>27.569559842869719</c:v>
                </c:pt>
                <c:pt idx="334">
                  <c:v>27.569559842869719</c:v>
                </c:pt>
                <c:pt idx="335">
                  <c:v>27.569559842869719</c:v>
                </c:pt>
                <c:pt idx="336">
                  <c:v>27.569559842869719</c:v>
                </c:pt>
                <c:pt idx="337">
                  <c:v>27.569559842869719</c:v>
                </c:pt>
                <c:pt idx="338">
                  <c:v>27.569559842869719</c:v>
                </c:pt>
                <c:pt idx="339">
                  <c:v>27.569559842869719</c:v>
                </c:pt>
                <c:pt idx="340">
                  <c:v>27.569559842869719</c:v>
                </c:pt>
                <c:pt idx="341">
                  <c:v>27.569559842869719</c:v>
                </c:pt>
                <c:pt idx="342">
                  <c:v>27.569559842869719</c:v>
                </c:pt>
                <c:pt idx="343">
                  <c:v>27.569559842869719</c:v>
                </c:pt>
                <c:pt idx="344">
                  <c:v>27.569559842869719</c:v>
                </c:pt>
                <c:pt idx="345">
                  <c:v>27.569559842869719</c:v>
                </c:pt>
                <c:pt idx="346">
                  <c:v>27.569559842869719</c:v>
                </c:pt>
                <c:pt idx="347">
                  <c:v>27.569559842869719</c:v>
                </c:pt>
                <c:pt idx="348">
                  <c:v>27.569559842869719</c:v>
                </c:pt>
                <c:pt idx="349">
                  <c:v>27.569559842869719</c:v>
                </c:pt>
                <c:pt idx="350">
                  <c:v>27.569559842869719</c:v>
                </c:pt>
                <c:pt idx="351">
                  <c:v>27.569559842869719</c:v>
                </c:pt>
                <c:pt idx="352">
                  <c:v>27.569559842869719</c:v>
                </c:pt>
                <c:pt idx="353">
                  <c:v>27.569559842869719</c:v>
                </c:pt>
                <c:pt idx="354">
                  <c:v>27.569559842869719</c:v>
                </c:pt>
                <c:pt idx="355">
                  <c:v>27.569559842869719</c:v>
                </c:pt>
                <c:pt idx="356">
                  <c:v>27.569559842869719</c:v>
                </c:pt>
                <c:pt idx="357">
                  <c:v>27.569559842869719</c:v>
                </c:pt>
                <c:pt idx="358">
                  <c:v>27.569559842869719</c:v>
                </c:pt>
                <c:pt idx="359">
                  <c:v>27.569559842869719</c:v>
                </c:pt>
                <c:pt idx="360">
                  <c:v>27.569559842869719</c:v>
                </c:pt>
                <c:pt idx="361">
                  <c:v>27.569559842869719</c:v>
                </c:pt>
                <c:pt idx="362">
                  <c:v>27.569559842869719</c:v>
                </c:pt>
                <c:pt idx="363">
                  <c:v>27.569559842869719</c:v>
                </c:pt>
                <c:pt idx="364">
                  <c:v>27.569559842869719</c:v>
                </c:pt>
                <c:pt idx="365">
                  <c:v>27.569559842869719</c:v>
                </c:pt>
                <c:pt idx="366">
                  <c:v>27.569559842869719</c:v>
                </c:pt>
                <c:pt idx="367">
                  <c:v>27.569559842869719</c:v>
                </c:pt>
                <c:pt idx="368">
                  <c:v>27.569559842869719</c:v>
                </c:pt>
                <c:pt idx="369">
                  <c:v>27.569559842869719</c:v>
                </c:pt>
                <c:pt idx="370">
                  <c:v>27.569559842869719</c:v>
                </c:pt>
                <c:pt idx="371">
                  <c:v>27.569559842869719</c:v>
                </c:pt>
                <c:pt idx="372">
                  <c:v>27.569559842869719</c:v>
                </c:pt>
                <c:pt idx="373">
                  <c:v>27.569559842869719</c:v>
                </c:pt>
                <c:pt idx="374">
                  <c:v>27.569559842869719</c:v>
                </c:pt>
                <c:pt idx="375">
                  <c:v>27.569559842869719</c:v>
                </c:pt>
                <c:pt idx="376">
                  <c:v>27.569559842869719</c:v>
                </c:pt>
                <c:pt idx="377">
                  <c:v>27.569559842869719</c:v>
                </c:pt>
                <c:pt idx="378">
                  <c:v>27.569559842869719</c:v>
                </c:pt>
                <c:pt idx="379">
                  <c:v>27.569559842869719</c:v>
                </c:pt>
                <c:pt idx="380">
                  <c:v>27.569559842869719</c:v>
                </c:pt>
                <c:pt idx="381">
                  <c:v>27.569559842869719</c:v>
                </c:pt>
                <c:pt idx="382">
                  <c:v>27.569559842869719</c:v>
                </c:pt>
                <c:pt idx="383">
                  <c:v>27.569559842869719</c:v>
                </c:pt>
                <c:pt idx="384">
                  <c:v>27.569559842869719</c:v>
                </c:pt>
                <c:pt idx="385">
                  <c:v>27.569559842869719</c:v>
                </c:pt>
                <c:pt idx="386">
                  <c:v>27.569559842869719</c:v>
                </c:pt>
                <c:pt idx="387">
                  <c:v>27.569559842869719</c:v>
                </c:pt>
                <c:pt idx="388">
                  <c:v>27.569559842869719</c:v>
                </c:pt>
                <c:pt idx="389">
                  <c:v>27.569559842869719</c:v>
                </c:pt>
                <c:pt idx="390">
                  <c:v>27.569559842869719</c:v>
                </c:pt>
                <c:pt idx="391">
                  <c:v>27.569559842869719</c:v>
                </c:pt>
                <c:pt idx="392">
                  <c:v>27.569559842869719</c:v>
                </c:pt>
                <c:pt idx="393">
                  <c:v>27.569559842869719</c:v>
                </c:pt>
                <c:pt idx="394">
                  <c:v>27.569559842869719</c:v>
                </c:pt>
                <c:pt idx="395">
                  <c:v>27.569559842869719</c:v>
                </c:pt>
                <c:pt idx="396">
                  <c:v>27.569559842869719</c:v>
                </c:pt>
                <c:pt idx="397">
                  <c:v>27.569559842869719</c:v>
                </c:pt>
                <c:pt idx="398">
                  <c:v>27.569559842869719</c:v>
                </c:pt>
                <c:pt idx="399">
                  <c:v>27.569559842869719</c:v>
                </c:pt>
                <c:pt idx="400">
                  <c:v>27.569559842869719</c:v>
                </c:pt>
                <c:pt idx="401">
                  <c:v>27.569559842869719</c:v>
                </c:pt>
                <c:pt idx="402">
                  <c:v>27.569559842869719</c:v>
                </c:pt>
                <c:pt idx="403">
                  <c:v>27.569559842869719</c:v>
                </c:pt>
                <c:pt idx="404">
                  <c:v>27.569559842869719</c:v>
                </c:pt>
                <c:pt idx="405">
                  <c:v>27.569559842869719</c:v>
                </c:pt>
                <c:pt idx="406">
                  <c:v>27.569559842869719</c:v>
                </c:pt>
                <c:pt idx="407">
                  <c:v>27.569559842869719</c:v>
                </c:pt>
                <c:pt idx="408">
                  <c:v>27.569559842869719</c:v>
                </c:pt>
                <c:pt idx="409">
                  <c:v>27.569559842869719</c:v>
                </c:pt>
                <c:pt idx="410">
                  <c:v>27.569559842869719</c:v>
                </c:pt>
                <c:pt idx="411">
                  <c:v>27.569559842869719</c:v>
                </c:pt>
                <c:pt idx="412">
                  <c:v>27.569559842869719</c:v>
                </c:pt>
                <c:pt idx="413">
                  <c:v>27.569559842869719</c:v>
                </c:pt>
                <c:pt idx="414">
                  <c:v>27.569559842869719</c:v>
                </c:pt>
                <c:pt idx="415">
                  <c:v>27.569559842869719</c:v>
                </c:pt>
                <c:pt idx="416">
                  <c:v>27.569559842869719</c:v>
                </c:pt>
                <c:pt idx="417">
                  <c:v>27.569559842869719</c:v>
                </c:pt>
                <c:pt idx="418">
                  <c:v>27.569559842869719</c:v>
                </c:pt>
                <c:pt idx="419">
                  <c:v>27.569559842869719</c:v>
                </c:pt>
                <c:pt idx="420">
                  <c:v>27.569559842869719</c:v>
                </c:pt>
                <c:pt idx="421">
                  <c:v>27.569559842869719</c:v>
                </c:pt>
                <c:pt idx="422">
                  <c:v>27.569559842869719</c:v>
                </c:pt>
                <c:pt idx="423">
                  <c:v>27.569559842869719</c:v>
                </c:pt>
                <c:pt idx="424">
                  <c:v>27.569559842869719</c:v>
                </c:pt>
                <c:pt idx="425">
                  <c:v>27.569559842869719</c:v>
                </c:pt>
                <c:pt idx="426">
                  <c:v>27.569559842869719</c:v>
                </c:pt>
                <c:pt idx="427">
                  <c:v>27.569559842869719</c:v>
                </c:pt>
                <c:pt idx="428">
                  <c:v>27.569559842869719</c:v>
                </c:pt>
                <c:pt idx="429">
                  <c:v>27.569559842869719</c:v>
                </c:pt>
                <c:pt idx="430">
                  <c:v>27.569559842869719</c:v>
                </c:pt>
                <c:pt idx="431">
                  <c:v>27.569559842869719</c:v>
                </c:pt>
                <c:pt idx="432">
                  <c:v>27.569559842869719</c:v>
                </c:pt>
                <c:pt idx="433">
                  <c:v>27.569559842869719</c:v>
                </c:pt>
                <c:pt idx="434">
                  <c:v>27.569559842869719</c:v>
                </c:pt>
                <c:pt idx="435">
                  <c:v>27.569559842869719</c:v>
                </c:pt>
                <c:pt idx="436">
                  <c:v>27.569559842869719</c:v>
                </c:pt>
                <c:pt idx="437">
                  <c:v>27.569559842869719</c:v>
                </c:pt>
                <c:pt idx="438">
                  <c:v>27.569559842869719</c:v>
                </c:pt>
                <c:pt idx="439">
                  <c:v>27.569559842869719</c:v>
                </c:pt>
                <c:pt idx="440">
                  <c:v>27.569559842869719</c:v>
                </c:pt>
                <c:pt idx="441">
                  <c:v>27.569559842869719</c:v>
                </c:pt>
                <c:pt idx="442">
                  <c:v>27.569559842869719</c:v>
                </c:pt>
                <c:pt idx="443">
                  <c:v>27.569559842869719</c:v>
                </c:pt>
                <c:pt idx="444">
                  <c:v>27.569559842869719</c:v>
                </c:pt>
                <c:pt idx="445">
                  <c:v>27.569559842869719</c:v>
                </c:pt>
                <c:pt idx="446">
                  <c:v>27.569559842869719</c:v>
                </c:pt>
                <c:pt idx="447">
                  <c:v>27.569559842869719</c:v>
                </c:pt>
                <c:pt idx="448">
                  <c:v>27.569559842869719</c:v>
                </c:pt>
                <c:pt idx="449">
                  <c:v>27.569559842869719</c:v>
                </c:pt>
                <c:pt idx="450">
                  <c:v>27.569559842869719</c:v>
                </c:pt>
                <c:pt idx="451">
                  <c:v>27.569559842869719</c:v>
                </c:pt>
                <c:pt idx="452">
                  <c:v>27.569559842869719</c:v>
                </c:pt>
                <c:pt idx="453">
                  <c:v>27.569559842869719</c:v>
                </c:pt>
                <c:pt idx="454">
                  <c:v>27.569559842869719</c:v>
                </c:pt>
                <c:pt idx="455">
                  <c:v>27.569559842869719</c:v>
                </c:pt>
                <c:pt idx="456">
                  <c:v>27.569559842869719</c:v>
                </c:pt>
                <c:pt idx="457">
                  <c:v>27.569559842869719</c:v>
                </c:pt>
                <c:pt idx="458">
                  <c:v>27.569559842869719</c:v>
                </c:pt>
                <c:pt idx="459">
                  <c:v>27.569559842869719</c:v>
                </c:pt>
                <c:pt idx="460">
                  <c:v>27.569559842869719</c:v>
                </c:pt>
                <c:pt idx="461">
                  <c:v>27.569559842869719</c:v>
                </c:pt>
                <c:pt idx="462">
                  <c:v>27.569559842869719</c:v>
                </c:pt>
                <c:pt idx="463">
                  <c:v>27.569559842869719</c:v>
                </c:pt>
                <c:pt idx="464">
                  <c:v>27.569559842869719</c:v>
                </c:pt>
                <c:pt idx="465">
                  <c:v>27.569559842869719</c:v>
                </c:pt>
                <c:pt idx="466">
                  <c:v>27.569559842869719</c:v>
                </c:pt>
                <c:pt idx="467">
                  <c:v>27.569559842869719</c:v>
                </c:pt>
                <c:pt idx="468">
                  <c:v>27.569559842869719</c:v>
                </c:pt>
                <c:pt idx="469">
                  <c:v>27.569559842869719</c:v>
                </c:pt>
                <c:pt idx="470">
                  <c:v>27.569559842869719</c:v>
                </c:pt>
                <c:pt idx="471">
                  <c:v>27.569559842869719</c:v>
                </c:pt>
                <c:pt idx="472">
                  <c:v>27.569559842869719</c:v>
                </c:pt>
                <c:pt idx="473">
                  <c:v>27.569559842869719</c:v>
                </c:pt>
                <c:pt idx="474">
                  <c:v>27.569559842869719</c:v>
                </c:pt>
                <c:pt idx="475">
                  <c:v>27.569559842869719</c:v>
                </c:pt>
                <c:pt idx="476">
                  <c:v>27.569559842869719</c:v>
                </c:pt>
                <c:pt idx="477">
                  <c:v>27.569559842869719</c:v>
                </c:pt>
                <c:pt idx="478">
                  <c:v>27.569559842869719</c:v>
                </c:pt>
                <c:pt idx="479">
                  <c:v>27.569559842869719</c:v>
                </c:pt>
                <c:pt idx="480">
                  <c:v>27.569559842869719</c:v>
                </c:pt>
                <c:pt idx="481">
                  <c:v>27.569559842869719</c:v>
                </c:pt>
                <c:pt idx="482">
                  <c:v>27.569559842869719</c:v>
                </c:pt>
                <c:pt idx="483">
                  <c:v>27.569559842869719</c:v>
                </c:pt>
                <c:pt idx="484">
                  <c:v>27.569559842869719</c:v>
                </c:pt>
                <c:pt idx="485">
                  <c:v>27.569559842869719</c:v>
                </c:pt>
                <c:pt idx="486">
                  <c:v>27.569559842869719</c:v>
                </c:pt>
                <c:pt idx="487">
                  <c:v>27.569559842869719</c:v>
                </c:pt>
                <c:pt idx="488">
                  <c:v>27.569559842869719</c:v>
                </c:pt>
                <c:pt idx="489">
                  <c:v>27.569559842869719</c:v>
                </c:pt>
                <c:pt idx="490">
                  <c:v>27.569559842869719</c:v>
                </c:pt>
                <c:pt idx="491">
                  <c:v>27.569559842869719</c:v>
                </c:pt>
                <c:pt idx="492">
                  <c:v>27.569559842869719</c:v>
                </c:pt>
                <c:pt idx="493">
                  <c:v>27.569559842869719</c:v>
                </c:pt>
                <c:pt idx="494">
                  <c:v>27.569559842869719</c:v>
                </c:pt>
                <c:pt idx="495">
                  <c:v>27.569559842869719</c:v>
                </c:pt>
                <c:pt idx="496">
                  <c:v>27.569559842869719</c:v>
                </c:pt>
                <c:pt idx="497">
                  <c:v>27.569559842869719</c:v>
                </c:pt>
                <c:pt idx="498">
                  <c:v>27.569559842869719</c:v>
                </c:pt>
                <c:pt idx="499">
                  <c:v>27.569559842869719</c:v>
                </c:pt>
                <c:pt idx="500">
                  <c:v>27.569559842869719</c:v>
                </c:pt>
                <c:pt idx="501">
                  <c:v>27.569559842869719</c:v>
                </c:pt>
                <c:pt idx="502">
                  <c:v>27.569559842869719</c:v>
                </c:pt>
                <c:pt idx="503">
                  <c:v>27.569559842869719</c:v>
                </c:pt>
                <c:pt idx="504">
                  <c:v>27.569559842869719</c:v>
                </c:pt>
                <c:pt idx="505">
                  <c:v>27.569559842869719</c:v>
                </c:pt>
                <c:pt idx="506">
                  <c:v>27.569559842869719</c:v>
                </c:pt>
                <c:pt idx="507">
                  <c:v>27.569559842869719</c:v>
                </c:pt>
                <c:pt idx="508">
                  <c:v>27.569559842869719</c:v>
                </c:pt>
                <c:pt idx="509">
                  <c:v>27.569559842869719</c:v>
                </c:pt>
                <c:pt idx="510">
                  <c:v>27.569559842869719</c:v>
                </c:pt>
                <c:pt idx="511">
                  <c:v>27.569559842869719</c:v>
                </c:pt>
                <c:pt idx="512">
                  <c:v>27.569559842869719</c:v>
                </c:pt>
                <c:pt idx="513">
                  <c:v>27.569559842869719</c:v>
                </c:pt>
                <c:pt idx="514">
                  <c:v>27.569559842869719</c:v>
                </c:pt>
                <c:pt idx="515">
                  <c:v>27.569559842869719</c:v>
                </c:pt>
                <c:pt idx="516">
                  <c:v>27.569559842869719</c:v>
                </c:pt>
                <c:pt idx="517">
                  <c:v>27.569559842869719</c:v>
                </c:pt>
                <c:pt idx="518">
                  <c:v>27.569559842869719</c:v>
                </c:pt>
                <c:pt idx="519">
                  <c:v>27.569559842869719</c:v>
                </c:pt>
                <c:pt idx="520">
                  <c:v>27.569559842869719</c:v>
                </c:pt>
                <c:pt idx="521">
                  <c:v>27.569559842869719</c:v>
                </c:pt>
                <c:pt idx="522">
                  <c:v>27.569559842869719</c:v>
                </c:pt>
                <c:pt idx="523">
                  <c:v>27.569559842869719</c:v>
                </c:pt>
                <c:pt idx="524">
                  <c:v>27.569559842869719</c:v>
                </c:pt>
                <c:pt idx="525">
                  <c:v>27.569559842869719</c:v>
                </c:pt>
                <c:pt idx="526">
                  <c:v>27.569559842869719</c:v>
                </c:pt>
                <c:pt idx="527">
                  <c:v>27.569559842869719</c:v>
                </c:pt>
                <c:pt idx="528">
                  <c:v>27.569559842869719</c:v>
                </c:pt>
                <c:pt idx="529">
                  <c:v>27.569559842869719</c:v>
                </c:pt>
                <c:pt idx="530">
                  <c:v>27.569559842869719</c:v>
                </c:pt>
                <c:pt idx="531">
                  <c:v>27.569559842869719</c:v>
                </c:pt>
                <c:pt idx="532">
                  <c:v>27.569559842869719</c:v>
                </c:pt>
                <c:pt idx="533">
                  <c:v>27.569559842869719</c:v>
                </c:pt>
                <c:pt idx="534">
                  <c:v>27.569559842869719</c:v>
                </c:pt>
                <c:pt idx="535">
                  <c:v>27.569559842869719</c:v>
                </c:pt>
                <c:pt idx="536">
                  <c:v>27.569559842869719</c:v>
                </c:pt>
                <c:pt idx="537">
                  <c:v>27.569559842869719</c:v>
                </c:pt>
                <c:pt idx="538">
                  <c:v>27.569559842869719</c:v>
                </c:pt>
                <c:pt idx="539">
                  <c:v>27.569559842869719</c:v>
                </c:pt>
                <c:pt idx="540">
                  <c:v>27.569559842869719</c:v>
                </c:pt>
                <c:pt idx="541">
                  <c:v>27.569559842869719</c:v>
                </c:pt>
                <c:pt idx="542">
                  <c:v>27.569559842869719</c:v>
                </c:pt>
                <c:pt idx="543">
                  <c:v>27.569559842869719</c:v>
                </c:pt>
                <c:pt idx="544">
                  <c:v>27.569559842869719</c:v>
                </c:pt>
                <c:pt idx="545">
                  <c:v>27.569559842869719</c:v>
                </c:pt>
                <c:pt idx="546">
                  <c:v>27.569559842869719</c:v>
                </c:pt>
                <c:pt idx="547">
                  <c:v>27.569559842869719</c:v>
                </c:pt>
                <c:pt idx="548">
                  <c:v>27.569559842869719</c:v>
                </c:pt>
                <c:pt idx="549">
                  <c:v>27.569559842869719</c:v>
                </c:pt>
                <c:pt idx="550">
                  <c:v>27.569559842869719</c:v>
                </c:pt>
                <c:pt idx="551">
                  <c:v>27.569559842869719</c:v>
                </c:pt>
                <c:pt idx="552">
                  <c:v>27.569559842869719</c:v>
                </c:pt>
                <c:pt idx="553">
                  <c:v>27.569559842869719</c:v>
                </c:pt>
                <c:pt idx="554">
                  <c:v>27.569559842869719</c:v>
                </c:pt>
                <c:pt idx="555">
                  <c:v>27.569559842869719</c:v>
                </c:pt>
                <c:pt idx="556">
                  <c:v>27.569559842869719</c:v>
                </c:pt>
                <c:pt idx="557">
                  <c:v>27.569559842869719</c:v>
                </c:pt>
                <c:pt idx="558">
                  <c:v>27.569559842869719</c:v>
                </c:pt>
                <c:pt idx="559">
                  <c:v>27.569559842869719</c:v>
                </c:pt>
                <c:pt idx="560">
                  <c:v>27.569559842869719</c:v>
                </c:pt>
                <c:pt idx="561">
                  <c:v>27.569559842869719</c:v>
                </c:pt>
                <c:pt idx="562">
                  <c:v>27.569559842869719</c:v>
                </c:pt>
                <c:pt idx="563">
                  <c:v>27.569559842869719</c:v>
                </c:pt>
                <c:pt idx="564">
                  <c:v>27.569559842869719</c:v>
                </c:pt>
                <c:pt idx="565">
                  <c:v>27.569559842869719</c:v>
                </c:pt>
                <c:pt idx="566">
                  <c:v>27.569559842869719</c:v>
                </c:pt>
                <c:pt idx="567">
                  <c:v>27.569559842869719</c:v>
                </c:pt>
                <c:pt idx="568">
                  <c:v>27.569559842869719</c:v>
                </c:pt>
                <c:pt idx="569">
                  <c:v>27.569559842869719</c:v>
                </c:pt>
                <c:pt idx="570">
                  <c:v>27.569559842869719</c:v>
                </c:pt>
                <c:pt idx="571">
                  <c:v>27.569559842869719</c:v>
                </c:pt>
                <c:pt idx="572">
                  <c:v>27.569559842869719</c:v>
                </c:pt>
                <c:pt idx="573">
                  <c:v>27.569559842869719</c:v>
                </c:pt>
                <c:pt idx="574">
                  <c:v>27.569559842869719</c:v>
                </c:pt>
                <c:pt idx="575">
                  <c:v>27.569559842869719</c:v>
                </c:pt>
                <c:pt idx="576">
                  <c:v>27.569559842869719</c:v>
                </c:pt>
                <c:pt idx="577">
                  <c:v>27.569559842869719</c:v>
                </c:pt>
                <c:pt idx="578">
                  <c:v>27.569559842869719</c:v>
                </c:pt>
                <c:pt idx="579">
                  <c:v>27.569559842869719</c:v>
                </c:pt>
                <c:pt idx="580">
                  <c:v>27.569559842869719</c:v>
                </c:pt>
                <c:pt idx="581">
                  <c:v>27.569559842869719</c:v>
                </c:pt>
                <c:pt idx="582">
                  <c:v>27.569559842869719</c:v>
                </c:pt>
                <c:pt idx="583">
                  <c:v>27.569559842869719</c:v>
                </c:pt>
                <c:pt idx="584">
                  <c:v>27.569559842869719</c:v>
                </c:pt>
                <c:pt idx="585">
                  <c:v>27.569559842869719</c:v>
                </c:pt>
                <c:pt idx="586">
                  <c:v>27.569559842869719</c:v>
                </c:pt>
                <c:pt idx="587">
                  <c:v>27.569559842869719</c:v>
                </c:pt>
                <c:pt idx="588">
                  <c:v>27.569559842869719</c:v>
                </c:pt>
                <c:pt idx="589">
                  <c:v>27.569559842869719</c:v>
                </c:pt>
                <c:pt idx="590">
                  <c:v>27.569559842869719</c:v>
                </c:pt>
                <c:pt idx="591">
                  <c:v>27.569559842869719</c:v>
                </c:pt>
                <c:pt idx="592">
                  <c:v>27.569559842869719</c:v>
                </c:pt>
                <c:pt idx="593">
                  <c:v>27.569559842869719</c:v>
                </c:pt>
                <c:pt idx="594">
                  <c:v>27.569559842869719</c:v>
                </c:pt>
                <c:pt idx="595">
                  <c:v>27.569559842869719</c:v>
                </c:pt>
                <c:pt idx="596">
                  <c:v>27.569559842869719</c:v>
                </c:pt>
                <c:pt idx="597">
                  <c:v>27.569559842869719</c:v>
                </c:pt>
                <c:pt idx="598">
                  <c:v>27.569559842869719</c:v>
                </c:pt>
                <c:pt idx="599">
                  <c:v>27.569559842869719</c:v>
                </c:pt>
                <c:pt idx="600">
                  <c:v>27.569559842869719</c:v>
                </c:pt>
                <c:pt idx="601">
                  <c:v>27.569559842869719</c:v>
                </c:pt>
                <c:pt idx="602">
                  <c:v>27.569559842869719</c:v>
                </c:pt>
                <c:pt idx="603">
                  <c:v>27.569559842869719</c:v>
                </c:pt>
                <c:pt idx="604">
                  <c:v>27.569559842869719</c:v>
                </c:pt>
                <c:pt idx="605">
                  <c:v>27.569559842869719</c:v>
                </c:pt>
                <c:pt idx="606">
                  <c:v>27.569559842869719</c:v>
                </c:pt>
                <c:pt idx="607">
                  <c:v>27.569559842869719</c:v>
                </c:pt>
                <c:pt idx="608">
                  <c:v>27.569559842869719</c:v>
                </c:pt>
                <c:pt idx="609">
                  <c:v>27.569559842869719</c:v>
                </c:pt>
                <c:pt idx="610">
                  <c:v>27.569559842869719</c:v>
                </c:pt>
                <c:pt idx="611">
                  <c:v>27.569559842869719</c:v>
                </c:pt>
                <c:pt idx="612">
                  <c:v>27.569559842869719</c:v>
                </c:pt>
                <c:pt idx="613">
                  <c:v>27.569559842869719</c:v>
                </c:pt>
                <c:pt idx="614">
                  <c:v>27.569559842869719</c:v>
                </c:pt>
                <c:pt idx="615">
                  <c:v>27.569559842869719</c:v>
                </c:pt>
                <c:pt idx="616">
                  <c:v>27.569559842869719</c:v>
                </c:pt>
                <c:pt idx="617">
                  <c:v>27.569559842869719</c:v>
                </c:pt>
                <c:pt idx="618">
                  <c:v>27.569559842869719</c:v>
                </c:pt>
                <c:pt idx="619">
                  <c:v>27.569559842869719</c:v>
                </c:pt>
                <c:pt idx="620">
                  <c:v>27.569559842869719</c:v>
                </c:pt>
                <c:pt idx="621">
                  <c:v>27.569559842869719</c:v>
                </c:pt>
                <c:pt idx="622">
                  <c:v>27.569559842869719</c:v>
                </c:pt>
                <c:pt idx="623">
                  <c:v>27.569559842869719</c:v>
                </c:pt>
                <c:pt idx="624">
                  <c:v>27.569559842869719</c:v>
                </c:pt>
                <c:pt idx="625">
                  <c:v>27.569559842869719</c:v>
                </c:pt>
                <c:pt idx="626">
                  <c:v>27.569559842869719</c:v>
                </c:pt>
                <c:pt idx="627">
                  <c:v>27.569559842869719</c:v>
                </c:pt>
                <c:pt idx="628">
                  <c:v>27.569559842869719</c:v>
                </c:pt>
                <c:pt idx="629">
                  <c:v>27.569559842869719</c:v>
                </c:pt>
                <c:pt idx="630">
                  <c:v>27.569559842869719</c:v>
                </c:pt>
                <c:pt idx="631">
                  <c:v>27.569559842869719</c:v>
                </c:pt>
                <c:pt idx="632">
                  <c:v>27.569559842869719</c:v>
                </c:pt>
                <c:pt idx="633">
                  <c:v>27.569559842869719</c:v>
                </c:pt>
                <c:pt idx="634">
                  <c:v>27.569559842869719</c:v>
                </c:pt>
                <c:pt idx="635">
                  <c:v>27.569559842869719</c:v>
                </c:pt>
                <c:pt idx="636">
                  <c:v>27.569559842869719</c:v>
                </c:pt>
                <c:pt idx="637">
                  <c:v>27.569559842869719</c:v>
                </c:pt>
                <c:pt idx="638">
                  <c:v>27.569559842869719</c:v>
                </c:pt>
                <c:pt idx="639">
                  <c:v>27.569559842869719</c:v>
                </c:pt>
                <c:pt idx="640">
                  <c:v>27.569559842869719</c:v>
                </c:pt>
                <c:pt idx="641">
                  <c:v>27.569559842869719</c:v>
                </c:pt>
                <c:pt idx="642">
                  <c:v>27.569559842869719</c:v>
                </c:pt>
                <c:pt idx="643">
                  <c:v>27.569559842869719</c:v>
                </c:pt>
                <c:pt idx="644">
                  <c:v>27.569559842869719</c:v>
                </c:pt>
                <c:pt idx="645">
                  <c:v>27.569559842869719</c:v>
                </c:pt>
                <c:pt idx="646">
                  <c:v>27.569559842869719</c:v>
                </c:pt>
                <c:pt idx="647">
                  <c:v>27.569559842869719</c:v>
                </c:pt>
                <c:pt idx="648">
                  <c:v>27.569559842869719</c:v>
                </c:pt>
                <c:pt idx="649">
                  <c:v>27.569559842869719</c:v>
                </c:pt>
                <c:pt idx="650">
                  <c:v>27.569559842869719</c:v>
                </c:pt>
                <c:pt idx="651">
                  <c:v>27.569559842869719</c:v>
                </c:pt>
                <c:pt idx="652">
                  <c:v>27.569559842869719</c:v>
                </c:pt>
                <c:pt idx="653">
                  <c:v>27.569559842869719</c:v>
                </c:pt>
                <c:pt idx="654">
                  <c:v>27.569559842869719</c:v>
                </c:pt>
                <c:pt idx="655">
                  <c:v>27.569559842869719</c:v>
                </c:pt>
                <c:pt idx="656">
                  <c:v>27.569559842869719</c:v>
                </c:pt>
                <c:pt idx="657">
                  <c:v>27.569559842869719</c:v>
                </c:pt>
                <c:pt idx="658">
                  <c:v>27.569559842869719</c:v>
                </c:pt>
                <c:pt idx="659">
                  <c:v>27.569559842869719</c:v>
                </c:pt>
                <c:pt idx="660">
                  <c:v>27.569559842869719</c:v>
                </c:pt>
                <c:pt idx="661">
                  <c:v>27.569559842869719</c:v>
                </c:pt>
                <c:pt idx="662">
                  <c:v>27.569559842869719</c:v>
                </c:pt>
                <c:pt idx="663">
                  <c:v>27.569559842869719</c:v>
                </c:pt>
                <c:pt idx="664">
                  <c:v>27.569559842869719</c:v>
                </c:pt>
                <c:pt idx="665">
                  <c:v>27.569559842869719</c:v>
                </c:pt>
                <c:pt idx="666">
                  <c:v>27.569559842869719</c:v>
                </c:pt>
                <c:pt idx="667">
                  <c:v>27.569559842869719</c:v>
                </c:pt>
                <c:pt idx="668">
                  <c:v>27.569559842869719</c:v>
                </c:pt>
                <c:pt idx="669">
                  <c:v>27.569559842869719</c:v>
                </c:pt>
                <c:pt idx="670">
                  <c:v>27.569559842869719</c:v>
                </c:pt>
                <c:pt idx="671">
                  <c:v>27.569559842869719</c:v>
                </c:pt>
                <c:pt idx="672">
                  <c:v>27.569559842869719</c:v>
                </c:pt>
                <c:pt idx="673">
                  <c:v>27.569559842869719</c:v>
                </c:pt>
                <c:pt idx="674">
                  <c:v>27.569559842869719</c:v>
                </c:pt>
                <c:pt idx="675">
                  <c:v>27.569559842869719</c:v>
                </c:pt>
                <c:pt idx="676">
                  <c:v>27.569559842869719</c:v>
                </c:pt>
                <c:pt idx="677">
                  <c:v>27.569559842869719</c:v>
                </c:pt>
                <c:pt idx="678">
                  <c:v>27.569559842869719</c:v>
                </c:pt>
                <c:pt idx="679">
                  <c:v>27.569559842869719</c:v>
                </c:pt>
                <c:pt idx="680">
                  <c:v>27.569559842869719</c:v>
                </c:pt>
                <c:pt idx="681">
                  <c:v>27.569559842869719</c:v>
                </c:pt>
                <c:pt idx="682">
                  <c:v>27.569559842869719</c:v>
                </c:pt>
                <c:pt idx="683">
                  <c:v>27.569559842869719</c:v>
                </c:pt>
                <c:pt idx="684">
                  <c:v>27.569559842869719</c:v>
                </c:pt>
                <c:pt idx="685">
                  <c:v>27.569559842869719</c:v>
                </c:pt>
                <c:pt idx="686">
                  <c:v>27.569559842869719</c:v>
                </c:pt>
                <c:pt idx="687">
                  <c:v>27.569559842869719</c:v>
                </c:pt>
                <c:pt idx="688">
                  <c:v>27.569559842869719</c:v>
                </c:pt>
                <c:pt idx="689">
                  <c:v>27.569559842869719</c:v>
                </c:pt>
                <c:pt idx="690">
                  <c:v>27.569559842869719</c:v>
                </c:pt>
                <c:pt idx="691">
                  <c:v>27.569559842869719</c:v>
                </c:pt>
                <c:pt idx="692">
                  <c:v>27.569559842869719</c:v>
                </c:pt>
                <c:pt idx="693">
                  <c:v>27.569559842869719</c:v>
                </c:pt>
                <c:pt idx="694">
                  <c:v>27.569559842869719</c:v>
                </c:pt>
                <c:pt idx="695">
                  <c:v>27.569559842869719</c:v>
                </c:pt>
                <c:pt idx="696">
                  <c:v>27.569559842869719</c:v>
                </c:pt>
                <c:pt idx="697">
                  <c:v>27.569559842869719</c:v>
                </c:pt>
                <c:pt idx="698">
                  <c:v>27.569559842869719</c:v>
                </c:pt>
                <c:pt idx="699">
                  <c:v>27.569559842869719</c:v>
                </c:pt>
                <c:pt idx="700">
                  <c:v>27.569559842869719</c:v>
                </c:pt>
                <c:pt idx="701">
                  <c:v>27.569559842869719</c:v>
                </c:pt>
                <c:pt idx="702">
                  <c:v>27.569559842869719</c:v>
                </c:pt>
                <c:pt idx="703">
                  <c:v>27.569559842869719</c:v>
                </c:pt>
                <c:pt idx="704">
                  <c:v>27.569559842869719</c:v>
                </c:pt>
                <c:pt idx="705">
                  <c:v>27.569559842869719</c:v>
                </c:pt>
                <c:pt idx="706">
                  <c:v>27.569559842869719</c:v>
                </c:pt>
                <c:pt idx="707">
                  <c:v>27.569559842869719</c:v>
                </c:pt>
                <c:pt idx="708">
                  <c:v>27.569559842869719</c:v>
                </c:pt>
                <c:pt idx="709">
                  <c:v>27.569559842869719</c:v>
                </c:pt>
                <c:pt idx="710">
                  <c:v>27.569559842869719</c:v>
                </c:pt>
                <c:pt idx="711">
                  <c:v>27.569559842869719</c:v>
                </c:pt>
                <c:pt idx="712">
                  <c:v>27.569559842869719</c:v>
                </c:pt>
                <c:pt idx="713">
                  <c:v>27.569559842869719</c:v>
                </c:pt>
                <c:pt idx="714">
                  <c:v>27.569559842869719</c:v>
                </c:pt>
                <c:pt idx="715">
                  <c:v>27.569559842869719</c:v>
                </c:pt>
                <c:pt idx="716">
                  <c:v>27.569559842869719</c:v>
                </c:pt>
                <c:pt idx="717">
                  <c:v>27.569559842869719</c:v>
                </c:pt>
                <c:pt idx="718">
                  <c:v>27.569559842869719</c:v>
                </c:pt>
                <c:pt idx="719">
                  <c:v>27.569559842869719</c:v>
                </c:pt>
                <c:pt idx="720">
                  <c:v>27.569559842869719</c:v>
                </c:pt>
                <c:pt idx="721">
                  <c:v>27.569559842869719</c:v>
                </c:pt>
                <c:pt idx="722">
                  <c:v>27.569559842869719</c:v>
                </c:pt>
                <c:pt idx="723">
                  <c:v>27.569559842869719</c:v>
                </c:pt>
                <c:pt idx="724">
                  <c:v>27.569559842869719</c:v>
                </c:pt>
                <c:pt idx="725">
                  <c:v>27.569559842869719</c:v>
                </c:pt>
                <c:pt idx="726">
                  <c:v>27.569559842869719</c:v>
                </c:pt>
                <c:pt idx="727">
                  <c:v>27.569559842869719</c:v>
                </c:pt>
                <c:pt idx="728">
                  <c:v>27.569559842869719</c:v>
                </c:pt>
                <c:pt idx="729">
                  <c:v>27.569559842869719</c:v>
                </c:pt>
                <c:pt idx="730">
                  <c:v>27.569559842869719</c:v>
                </c:pt>
                <c:pt idx="731">
                  <c:v>27.569559842869719</c:v>
                </c:pt>
                <c:pt idx="732">
                  <c:v>27.569559842869719</c:v>
                </c:pt>
                <c:pt idx="733">
                  <c:v>27.569559842869719</c:v>
                </c:pt>
                <c:pt idx="734">
                  <c:v>27.569559842869719</c:v>
                </c:pt>
                <c:pt idx="735">
                  <c:v>27.569559842869719</c:v>
                </c:pt>
                <c:pt idx="736">
                  <c:v>27.569559842869719</c:v>
                </c:pt>
                <c:pt idx="737">
                  <c:v>27.569559842869719</c:v>
                </c:pt>
                <c:pt idx="738">
                  <c:v>27.569559842869719</c:v>
                </c:pt>
                <c:pt idx="739">
                  <c:v>27.569559842869719</c:v>
                </c:pt>
                <c:pt idx="740">
                  <c:v>27.569559842869719</c:v>
                </c:pt>
                <c:pt idx="741">
                  <c:v>27.569559842869719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EE9-4059-9AF9-719092353A6D}"/>
            </c:ext>
          </c:extLst>
        </c:ser>
        <c:ser>
          <c:idx val="0"/>
          <c:order val="5"/>
          <c:tx>
            <c:strRef>
              <c:f>'FX Data'!$E$956</c:f>
              <c:strCache>
                <c:ptCount val="1"/>
                <c:pt idx="0">
                  <c:v>Average P/E</c:v>
                </c:pt>
              </c:strCache>
            </c:strRef>
          </c:tx>
          <c:spPr>
            <a:ln w="28575" cap="rnd">
              <a:solidFill>
                <a:sysClr val="windowText" lastClr="000000">
                  <a:lumMod val="50000"/>
                  <a:lumOff val="50000"/>
                </a:sysClr>
              </a:solidFill>
              <a:round/>
            </a:ln>
            <a:effectLst/>
          </c:spPr>
          <c:marker>
            <c:symbol val="none"/>
          </c:marker>
          <c:cat>
            <c:numRef>
              <c:f>'FX Data'!$B$1457:$B$2453</c:f>
              <c:numCache>
                <c:formatCode>m/d/yyyy</c:formatCode>
                <c:ptCount val="997"/>
                <c:pt idx="0">
                  <c:v>44993</c:v>
                </c:pt>
                <c:pt idx="1">
                  <c:v>44994</c:v>
                </c:pt>
                <c:pt idx="2">
                  <c:v>44995</c:v>
                </c:pt>
                <c:pt idx="3">
                  <c:v>44998</c:v>
                </c:pt>
                <c:pt idx="4">
                  <c:v>44999</c:v>
                </c:pt>
                <c:pt idx="5">
                  <c:v>45000</c:v>
                </c:pt>
                <c:pt idx="6">
                  <c:v>45001</c:v>
                </c:pt>
                <c:pt idx="7">
                  <c:v>45002</c:v>
                </c:pt>
                <c:pt idx="8">
                  <c:v>45005</c:v>
                </c:pt>
                <c:pt idx="9">
                  <c:v>45006</c:v>
                </c:pt>
                <c:pt idx="10">
                  <c:v>45007</c:v>
                </c:pt>
                <c:pt idx="11">
                  <c:v>45008</c:v>
                </c:pt>
                <c:pt idx="12">
                  <c:v>45009</c:v>
                </c:pt>
                <c:pt idx="13">
                  <c:v>45012</c:v>
                </c:pt>
                <c:pt idx="14">
                  <c:v>45013</c:v>
                </c:pt>
                <c:pt idx="15">
                  <c:v>45014</c:v>
                </c:pt>
                <c:pt idx="16">
                  <c:v>45015</c:v>
                </c:pt>
                <c:pt idx="17">
                  <c:v>45016</c:v>
                </c:pt>
                <c:pt idx="18">
                  <c:v>45019</c:v>
                </c:pt>
                <c:pt idx="19">
                  <c:v>45020</c:v>
                </c:pt>
                <c:pt idx="20">
                  <c:v>45021</c:v>
                </c:pt>
                <c:pt idx="21">
                  <c:v>45022</c:v>
                </c:pt>
                <c:pt idx="22">
                  <c:v>45023</c:v>
                </c:pt>
                <c:pt idx="23">
                  <c:v>45026</c:v>
                </c:pt>
                <c:pt idx="24">
                  <c:v>45027</c:v>
                </c:pt>
                <c:pt idx="25">
                  <c:v>45028</c:v>
                </c:pt>
                <c:pt idx="26">
                  <c:v>45029</c:v>
                </c:pt>
                <c:pt idx="27">
                  <c:v>45030</c:v>
                </c:pt>
                <c:pt idx="28">
                  <c:v>45033</c:v>
                </c:pt>
                <c:pt idx="29">
                  <c:v>45034</c:v>
                </c:pt>
                <c:pt idx="30">
                  <c:v>45035</c:v>
                </c:pt>
                <c:pt idx="31">
                  <c:v>45036</c:v>
                </c:pt>
                <c:pt idx="32">
                  <c:v>45037</c:v>
                </c:pt>
                <c:pt idx="33">
                  <c:v>45040</c:v>
                </c:pt>
                <c:pt idx="34">
                  <c:v>45041</c:v>
                </c:pt>
                <c:pt idx="35">
                  <c:v>45042</c:v>
                </c:pt>
                <c:pt idx="36">
                  <c:v>45043</c:v>
                </c:pt>
                <c:pt idx="37">
                  <c:v>45044</c:v>
                </c:pt>
                <c:pt idx="38">
                  <c:v>45050</c:v>
                </c:pt>
                <c:pt idx="39">
                  <c:v>45051</c:v>
                </c:pt>
                <c:pt idx="40">
                  <c:v>45054</c:v>
                </c:pt>
                <c:pt idx="41">
                  <c:v>45055</c:v>
                </c:pt>
                <c:pt idx="42">
                  <c:v>45056</c:v>
                </c:pt>
                <c:pt idx="43">
                  <c:v>45057</c:v>
                </c:pt>
                <c:pt idx="44">
                  <c:v>45058</c:v>
                </c:pt>
                <c:pt idx="45">
                  <c:v>45061</c:v>
                </c:pt>
                <c:pt idx="46">
                  <c:v>45062</c:v>
                </c:pt>
                <c:pt idx="47">
                  <c:v>45063</c:v>
                </c:pt>
                <c:pt idx="48">
                  <c:v>45064</c:v>
                </c:pt>
                <c:pt idx="49">
                  <c:v>45065</c:v>
                </c:pt>
                <c:pt idx="50">
                  <c:v>45068</c:v>
                </c:pt>
                <c:pt idx="51">
                  <c:v>45069</c:v>
                </c:pt>
                <c:pt idx="52">
                  <c:v>45070</c:v>
                </c:pt>
                <c:pt idx="53">
                  <c:v>45071</c:v>
                </c:pt>
                <c:pt idx="54">
                  <c:v>45072</c:v>
                </c:pt>
                <c:pt idx="55">
                  <c:v>45075</c:v>
                </c:pt>
                <c:pt idx="56">
                  <c:v>45076</c:v>
                </c:pt>
                <c:pt idx="57">
                  <c:v>45077</c:v>
                </c:pt>
                <c:pt idx="58">
                  <c:v>45078</c:v>
                </c:pt>
                <c:pt idx="59">
                  <c:v>45079</c:v>
                </c:pt>
                <c:pt idx="60">
                  <c:v>45082</c:v>
                </c:pt>
                <c:pt idx="61">
                  <c:v>45083</c:v>
                </c:pt>
                <c:pt idx="62">
                  <c:v>45084</c:v>
                </c:pt>
                <c:pt idx="63">
                  <c:v>45085</c:v>
                </c:pt>
                <c:pt idx="64">
                  <c:v>45086</c:v>
                </c:pt>
                <c:pt idx="65">
                  <c:v>45089</c:v>
                </c:pt>
                <c:pt idx="66">
                  <c:v>45090</c:v>
                </c:pt>
                <c:pt idx="67">
                  <c:v>45091</c:v>
                </c:pt>
                <c:pt idx="68">
                  <c:v>45092</c:v>
                </c:pt>
                <c:pt idx="69">
                  <c:v>45093</c:v>
                </c:pt>
                <c:pt idx="70">
                  <c:v>45096</c:v>
                </c:pt>
                <c:pt idx="71">
                  <c:v>45097</c:v>
                </c:pt>
                <c:pt idx="72">
                  <c:v>45098</c:v>
                </c:pt>
                <c:pt idx="73">
                  <c:v>45099</c:v>
                </c:pt>
                <c:pt idx="74">
                  <c:v>45100</c:v>
                </c:pt>
                <c:pt idx="75">
                  <c:v>45103</c:v>
                </c:pt>
                <c:pt idx="76">
                  <c:v>45104</c:v>
                </c:pt>
                <c:pt idx="77">
                  <c:v>45105</c:v>
                </c:pt>
                <c:pt idx="78">
                  <c:v>45106</c:v>
                </c:pt>
                <c:pt idx="79">
                  <c:v>45107</c:v>
                </c:pt>
                <c:pt idx="80">
                  <c:v>45110</c:v>
                </c:pt>
                <c:pt idx="81">
                  <c:v>45111</c:v>
                </c:pt>
                <c:pt idx="82">
                  <c:v>45112</c:v>
                </c:pt>
                <c:pt idx="83">
                  <c:v>45113</c:v>
                </c:pt>
                <c:pt idx="84">
                  <c:v>45114</c:v>
                </c:pt>
                <c:pt idx="85">
                  <c:v>45117</c:v>
                </c:pt>
                <c:pt idx="86">
                  <c:v>45118</c:v>
                </c:pt>
                <c:pt idx="87">
                  <c:v>45119</c:v>
                </c:pt>
                <c:pt idx="88">
                  <c:v>45120</c:v>
                </c:pt>
                <c:pt idx="89">
                  <c:v>45121</c:v>
                </c:pt>
                <c:pt idx="90">
                  <c:v>45124</c:v>
                </c:pt>
                <c:pt idx="91">
                  <c:v>45125</c:v>
                </c:pt>
                <c:pt idx="92">
                  <c:v>45126</c:v>
                </c:pt>
                <c:pt idx="93">
                  <c:v>45127</c:v>
                </c:pt>
                <c:pt idx="94">
                  <c:v>45128</c:v>
                </c:pt>
                <c:pt idx="95">
                  <c:v>45131</c:v>
                </c:pt>
                <c:pt idx="96">
                  <c:v>45132</c:v>
                </c:pt>
                <c:pt idx="97">
                  <c:v>45133</c:v>
                </c:pt>
                <c:pt idx="98">
                  <c:v>45134</c:v>
                </c:pt>
                <c:pt idx="99">
                  <c:v>45135</c:v>
                </c:pt>
                <c:pt idx="100">
                  <c:v>45138</c:v>
                </c:pt>
                <c:pt idx="101">
                  <c:v>45139</c:v>
                </c:pt>
                <c:pt idx="102">
                  <c:v>45140</c:v>
                </c:pt>
                <c:pt idx="103">
                  <c:v>45141</c:v>
                </c:pt>
                <c:pt idx="104">
                  <c:v>45142</c:v>
                </c:pt>
                <c:pt idx="105">
                  <c:v>45145</c:v>
                </c:pt>
                <c:pt idx="106">
                  <c:v>45146</c:v>
                </c:pt>
                <c:pt idx="107">
                  <c:v>45147</c:v>
                </c:pt>
                <c:pt idx="108">
                  <c:v>45148</c:v>
                </c:pt>
                <c:pt idx="109">
                  <c:v>45149</c:v>
                </c:pt>
                <c:pt idx="110">
                  <c:v>45152</c:v>
                </c:pt>
                <c:pt idx="111">
                  <c:v>45153</c:v>
                </c:pt>
                <c:pt idx="112">
                  <c:v>45154</c:v>
                </c:pt>
                <c:pt idx="113">
                  <c:v>45155</c:v>
                </c:pt>
                <c:pt idx="114">
                  <c:v>45156</c:v>
                </c:pt>
                <c:pt idx="115">
                  <c:v>45159</c:v>
                </c:pt>
                <c:pt idx="116">
                  <c:v>45160</c:v>
                </c:pt>
                <c:pt idx="117">
                  <c:v>45161</c:v>
                </c:pt>
                <c:pt idx="118">
                  <c:v>45162</c:v>
                </c:pt>
                <c:pt idx="119">
                  <c:v>45163</c:v>
                </c:pt>
                <c:pt idx="120">
                  <c:v>45166</c:v>
                </c:pt>
                <c:pt idx="121">
                  <c:v>45167</c:v>
                </c:pt>
                <c:pt idx="122">
                  <c:v>45168</c:v>
                </c:pt>
                <c:pt idx="123">
                  <c:v>45169</c:v>
                </c:pt>
                <c:pt idx="124">
                  <c:v>45174</c:v>
                </c:pt>
                <c:pt idx="125">
                  <c:v>45175</c:v>
                </c:pt>
                <c:pt idx="126">
                  <c:v>45176</c:v>
                </c:pt>
                <c:pt idx="127">
                  <c:v>45177</c:v>
                </c:pt>
                <c:pt idx="128">
                  <c:v>45180</c:v>
                </c:pt>
                <c:pt idx="129">
                  <c:v>45181</c:v>
                </c:pt>
                <c:pt idx="130">
                  <c:v>45182</c:v>
                </c:pt>
                <c:pt idx="131">
                  <c:v>45183</c:v>
                </c:pt>
                <c:pt idx="132">
                  <c:v>45184</c:v>
                </c:pt>
                <c:pt idx="133">
                  <c:v>45187</c:v>
                </c:pt>
                <c:pt idx="134">
                  <c:v>45188</c:v>
                </c:pt>
                <c:pt idx="135">
                  <c:v>45189</c:v>
                </c:pt>
                <c:pt idx="136">
                  <c:v>45190</c:v>
                </c:pt>
                <c:pt idx="137">
                  <c:v>45191</c:v>
                </c:pt>
                <c:pt idx="138">
                  <c:v>45194</c:v>
                </c:pt>
                <c:pt idx="139">
                  <c:v>45195</c:v>
                </c:pt>
                <c:pt idx="140">
                  <c:v>45196</c:v>
                </c:pt>
                <c:pt idx="141">
                  <c:v>45197</c:v>
                </c:pt>
                <c:pt idx="142">
                  <c:v>45198</c:v>
                </c:pt>
                <c:pt idx="143">
                  <c:v>45201</c:v>
                </c:pt>
                <c:pt idx="144">
                  <c:v>45202</c:v>
                </c:pt>
                <c:pt idx="145">
                  <c:v>45203</c:v>
                </c:pt>
                <c:pt idx="146">
                  <c:v>45204</c:v>
                </c:pt>
                <c:pt idx="147">
                  <c:v>45205</c:v>
                </c:pt>
                <c:pt idx="148">
                  <c:v>45208</c:v>
                </c:pt>
                <c:pt idx="149">
                  <c:v>45209</c:v>
                </c:pt>
                <c:pt idx="150">
                  <c:v>45210</c:v>
                </c:pt>
                <c:pt idx="151">
                  <c:v>45211</c:v>
                </c:pt>
                <c:pt idx="152">
                  <c:v>45212</c:v>
                </c:pt>
                <c:pt idx="153">
                  <c:v>45215</c:v>
                </c:pt>
                <c:pt idx="154">
                  <c:v>45216</c:v>
                </c:pt>
                <c:pt idx="155">
                  <c:v>45217</c:v>
                </c:pt>
                <c:pt idx="156">
                  <c:v>45218</c:v>
                </c:pt>
                <c:pt idx="157">
                  <c:v>45219</c:v>
                </c:pt>
                <c:pt idx="158">
                  <c:v>45222</c:v>
                </c:pt>
                <c:pt idx="159">
                  <c:v>45223</c:v>
                </c:pt>
                <c:pt idx="160">
                  <c:v>45224</c:v>
                </c:pt>
                <c:pt idx="161">
                  <c:v>45225</c:v>
                </c:pt>
                <c:pt idx="162">
                  <c:v>45226</c:v>
                </c:pt>
                <c:pt idx="163">
                  <c:v>45229</c:v>
                </c:pt>
                <c:pt idx="164">
                  <c:v>45230</c:v>
                </c:pt>
                <c:pt idx="165">
                  <c:v>45231</c:v>
                </c:pt>
                <c:pt idx="166">
                  <c:v>45232</c:v>
                </c:pt>
                <c:pt idx="167">
                  <c:v>45233</c:v>
                </c:pt>
                <c:pt idx="168">
                  <c:v>45236</c:v>
                </c:pt>
                <c:pt idx="169">
                  <c:v>45237</c:v>
                </c:pt>
                <c:pt idx="170">
                  <c:v>45238</c:v>
                </c:pt>
                <c:pt idx="171">
                  <c:v>45239</c:v>
                </c:pt>
                <c:pt idx="172">
                  <c:v>45240</c:v>
                </c:pt>
                <c:pt idx="173">
                  <c:v>45243</c:v>
                </c:pt>
                <c:pt idx="174">
                  <c:v>45244</c:v>
                </c:pt>
                <c:pt idx="175">
                  <c:v>45245</c:v>
                </c:pt>
                <c:pt idx="176">
                  <c:v>45246</c:v>
                </c:pt>
                <c:pt idx="177">
                  <c:v>45247</c:v>
                </c:pt>
                <c:pt idx="178">
                  <c:v>45250</c:v>
                </c:pt>
                <c:pt idx="179">
                  <c:v>45251</c:v>
                </c:pt>
                <c:pt idx="180">
                  <c:v>45252</c:v>
                </c:pt>
                <c:pt idx="181">
                  <c:v>45253</c:v>
                </c:pt>
                <c:pt idx="182">
                  <c:v>45254</c:v>
                </c:pt>
                <c:pt idx="183">
                  <c:v>45257</c:v>
                </c:pt>
                <c:pt idx="184">
                  <c:v>45258</c:v>
                </c:pt>
                <c:pt idx="185">
                  <c:v>45259</c:v>
                </c:pt>
                <c:pt idx="186">
                  <c:v>45260</c:v>
                </c:pt>
                <c:pt idx="187">
                  <c:v>45261</c:v>
                </c:pt>
                <c:pt idx="188">
                  <c:v>45264</c:v>
                </c:pt>
                <c:pt idx="189">
                  <c:v>45265</c:v>
                </c:pt>
                <c:pt idx="190">
                  <c:v>45266</c:v>
                </c:pt>
                <c:pt idx="191">
                  <c:v>45267</c:v>
                </c:pt>
                <c:pt idx="192">
                  <c:v>45268</c:v>
                </c:pt>
                <c:pt idx="193">
                  <c:v>45271</c:v>
                </c:pt>
                <c:pt idx="194">
                  <c:v>45272</c:v>
                </c:pt>
                <c:pt idx="195">
                  <c:v>45273</c:v>
                </c:pt>
                <c:pt idx="196">
                  <c:v>45274</c:v>
                </c:pt>
                <c:pt idx="197">
                  <c:v>45275</c:v>
                </c:pt>
                <c:pt idx="198">
                  <c:v>45278</c:v>
                </c:pt>
                <c:pt idx="199">
                  <c:v>45279</c:v>
                </c:pt>
                <c:pt idx="200">
                  <c:v>45280</c:v>
                </c:pt>
                <c:pt idx="201">
                  <c:v>45281</c:v>
                </c:pt>
                <c:pt idx="202">
                  <c:v>45282</c:v>
                </c:pt>
                <c:pt idx="203">
                  <c:v>45285</c:v>
                </c:pt>
                <c:pt idx="204">
                  <c:v>45286</c:v>
                </c:pt>
                <c:pt idx="205">
                  <c:v>45287</c:v>
                </c:pt>
                <c:pt idx="206">
                  <c:v>45288</c:v>
                </c:pt>
                <c:pt idx="207">
                  <c:v>45289</c:v>
                </c:pt>
                <c:pt idx="208">
                  <c:v>45293</c:v>
                </c:pt>
                <c:pt idx="209">
                  <c:v>45294</c:v>
                </c:pt>
                <c:pt idx="210">
                  <c:v>45295</c:v>
                </c:pt>
                <c:pt idx="211">
                  <c:v>45296</c:v>
                </c:pt>
                <c:pt idx="212">
                  <c:v>45299</c:v>
                </c:pt>
                <c:pt idx="213">
                  <c:v>45300</c:v>
                </c:pt>
                <c:pt idx="214">
                  <c:v>45301</c:v>
                </c:pt>
                <c:pt idx="215">
                  <c:v>45302</c:v>
                </c:pt>
                <c:pt idx="216">
                  <c:v>45303</c:v>
                </c:pt>
                <c:pt idx="217">
                  <c:v>45306</c:v>
                </c:pt>
                <c:pt idx="218">
                  <c:v>45307</c:v>
                </c:pt>
                <c:pt idx="219">
                  <c:v>45308</c:v>
                </c:pt>
                <c:pt idx="220">
                  <c:v>45309</c:v>
                </c:pt>
                <c:pt idx="221">
                  <c:v>45310</c:v>
                </c:pt>
                <c:pt idx="222">
                  <c:v>45313</c:v>
                </c:pt>
                <c:pt idx="223">
                  <c:v>45314</c:v>
                </c:pt>
                <c:pt idx="224">
                  <c:v>45315</c:v>
                </c:pt>
                <c:pt idx="225">
                  <c:v>45316</c:v>
                </c:pt>
                <c:pt idx="226">
                  <c:v>45317</c:v>
                </c:pt>
                <c:pt idx="227">
                  <c:v>45320</c:v>
                </c:pt>
                <c:pt idx="228">
                  <c:v>45321</c:v>
                </c:pt>
                <c:pt idx="229">
                  <c:v>45322</c:v>
                </c:pt>
                <c:pt idx="230">
                  <c:v>45323</c:v>
                </c:pt>
                <c:pt idx="231">
                  <c:v>45324</c:v>
                </c:pt>
                <c:pt idx="232">
                  <c:v>45327</c:v>
                </c:pt>
                <c:pt idx="233">
                  <c:v>45328</c:v>
                </c:pt>
                <c:pt idx="234">
                  <c:v>45329</c:v>
                </c:pt>
                <c:pt idx="235">
                  <c:v>45337</c:v>
                </c:pt>
                <c:pt idx="236">
                  <c:v>45338</c:v>
                </c:pt>
                <c:pt idx="237">
                  <c:v>45341</c:v>
                </c:pt>
                <c:pt idx="238">
                  <c:v>45342</c:v>
                </c:pt>
                <c:pt idx="239">
                  <c:v>45343</c:v>
                </c:pt>
                <c:pt idx="240">
                  <c:v>45344</c:v>
                </c:pt>
                <c:pt idx="241">
                  <c:v>45345</c:v>
                </c:pt>
                <c:pt idx="242">
                  <c:v>45348</c:v>
                </c:pt>
                <c:pt idx="243">
                  <c:v>45349</c:v>
                </c:pt>
                <c:pt idx="244">
                  <c:v>45350</c:v>
                </c:pt>
                <c:pt idx="245">
                  <c:v>45351</c:v>
                </c:pt>
                <c:pt idx="246">
                  <c:v>45352</c:v>
                </c:pt>
                <c:pt idx="247">
                  <c:v>45355</c:v>
                </c:pt>
                <c:pt idx="248">
                  <c:v>45356</c:v>
                </c:pt>
                <c:pt idx="249">
                  <c:v>45357</c:v>
                </c:pt>
                <c:pt idx="250">
                  <c:v>45358</c:v>
                </c:pt>
                <c:pt idx="251">
                  <c:v>45359</c:v>
                </c:pt>
                <c:pt idx="252">
                  <c:v>45362</c:v>
                </c:pt>
                <c:pt idx="253">
                  <c:v>45363</c:v>
                </c:pt>
                <c:pt idx="254">
                  <c:v>45364</c:v>
                </c:pt>
                <c:pt idx="255">
                  <c:v>45365</c:v>
                </c:pt>
                <c:pt idx="256">
                  <c:v>45366</c:v>
                </c:pt>
                <c:pt idx="257">
                  <c:v>45369</c:v>
                </c:pt>
                <c:pt idx="258">
                  <c:v>45370</c:v>
                </c:pt>
                <c:pt idx="259">
                  <c:v>45371</c:v>
                </c:pt>
                <c:pt idx="260">
                  <c:v>45372</c:v>
                </c:pt>
                <c:pt idx="261">
                  <c:v>45373</c:v>
                </c:pt>
                <c:pt idx="262">
                  <c:v>45376</c:v>
                </c:pt>
                <c:pt idx="263">
                  <c:v>45377</c:v>
                </c:pt>
                <c:pt idx="264">
                  <c:v>45378</c:v>
                </c:pt>
                <c:pt idx="265">
                  <c:v>45379</c:v>
                </c:pt>
                <c:pt idx="266">
                  <c:v>45380</c:v>
                </c:pt>
                <c:pt idx="267">
                  <c:v>45383</c:v>
                </c:pt>
                <c:pt idx="268">
                  <c:v>45384</c:v>
                </c:pt>
                <c:pt idx="269">
                  <c:v>45385</c:v>
                </c:pt>
                <c:pt idx="270">
                  <c:v>45386</c:v>
                </c:pt>
                <c:pt idx="271">
                  <c:v>45387</c:v>
                </c:pt>
                <c:pt idx="272">
                  <c:v>45390</c:v>
                </c:pt>
                <c:pt idx="273">
                  <c:v>45391</c:v>
                </c:pt>
                <c:pt idx="274">
                  <c:v>45392</c:v>
                </c:pt>
                <c:pt idx="275">
                  <c:v>45393</c:v>
                </c:pt>
                <c:pt idx="276">
                  <c:v>45394</c:v>
                </c:pt>
                <c:pt idx="277">
                  <c:v>45397</c:v>
                </c:pt>
                <c:pt idx="278">
                  <c:v>45398</c:v>
                </c:pt>
                <c:pt idx="279">
                  <c:v>45399</c:v>
                </c:pt>
                <c:pt idx="280">
                  <c:v>45401</c:v>
                </c:pt>
                <c:pt idx="281">
                  <c:v>45404</c:v>
                </c:pt>
                <c:pt idx="282">
                  <c:v>45405</c:v>
                </c:pt>
                <c:pt idx="283">
                  <c:v>45406</c:v>
                </c:pt>
                <c:pt idx="284">
                  <c:v>45407</c:v>
                </c:pt>
                <c:pt idx="285">
                  <c:v>45408</c:v>
                </c:pt>
                <c:pt idx="286">
                  <c:v>45414</c:v>
                </c:pt>
                <c:pt idx="287">
                  <c:v>45415</c:v>
                </c:pt>
                <c:pt idx="288">
                  <c:v>45418</c:v>
                </c:pt>
                <c:pt idx="289">
                  <c:v>45419</c:v>
                </c:pt>
                <c:pt idx="290">
                  <c:v>45420</c:v>
                </c:pt>
                <c:pt idx="291">
                  <c:v>45421</c:v>
                </c:pt>
                <c:pt idx="292">
                  <c:v>45422</c:v>
                </c:pt>
                <c:pt idx="293">
                  <c:v>45425</c:v>
                </c:pt>
                <c:pt idx="294">
                  <c:v>45426</c:v>
                </c:pt>
                <c:pt idx="295">
                  <c:v>45427</c:v>
                </c:pt>
                <c:pt idx="296">
                  <c:v>45428</c:v>
                </c:pt>
                <c:pt idx="297">
                  <c:v>45429</c:v>
                </c:pt>
                <c:pt idx="298">
                  <c:v>45432</c:v>
                </c:pt>
                <c:pt idx="299">
                  <c:v>45433</c:v>
                </c:pt>
                <c:pt idx="300">
                  <c:v>45434</c:v>
                </c:pt>
                <c:pt idx="301">
                  <c:v>45435</c:v>
                </c:pt>
                <c:pt idx="302">
                  <c:v>45436</c:v>
                </c:pt>
                <c:pt idx="303">
                  <c:v>45439</c:v>
                </c:pt>
                <c:pt idx="304">
                  <c:v>45440</c:v>
                </c:pt>
                <c:pt idx="305">
                  <c:v>45441</c:v>
                </c:pt>
                <c:pt idx="306">
                  <c:v>45442</c:v>
                </c:pt>
                <c:pt idx="307">
                  <c:v>45443</c:v>
                </c:pt>
                <c:pt idx="308">
                  <c:v>45446</c:v>
                </c:pt>
                <c:pt idx="309">
                  <c:v>45447</c:v>
                </c:pt>
                <c:pt idx="310">
                  <c:v>45448</c:v>
                </c:pt>
                <c:pt idx="311">
                  <c:v>45449</c:v>
                </c:pt>
                <c:pt idx="312">
                  <c:v>45450</c:v>
                </c:pt>
                <c:pt idx="313">
                  <c:v>45453</c:v>
                </c:pt>
                <c:pt idx="314">
                  <c:v>45454</c:v>
                </c:pt>
                <c:pt idx="315">
                  <c:v>45455</c:v>
                </c:pt>
                <c:pt idx="316">
                  <c:v>45456</c:v>
                </c:pt>
                <c:pt idx="317">
                  <c:v>45457</c:v>
                </c:pt>
                <c:pt idx="318">
                  <c:v>45460</c:v>
                </c:pt>
                <c:pt idx="319">
                  <c:v>45461</c:v>
                </c:pt>
                <c:pt idx="320">
                  <c:v>45462</c:v>
                </c:pt>
                <c:pt idx="321">
                  <c:v>45463</c:v>
                </c:pt>
                <c:pt idx="322">
                  <c:v>45464</c:v>
                </c:pt>
                <c:pt idx="323">
                  <c:v>45467</c:v>
                </c:pt>
                <c:pt idx="324">
                  <c:v>45468</c:v>
                </c:pt>
                <c:pt idx="325">
                  <c:v>45469</c:v>
                </c:pt>
                <c:pt idx="326">
                  <c:v>45470</c:v>
                </c:pt>
                <c:pt idx="327">
                  <c:v>45471</c:v>
                </c:pt>
                <c:pt idx="328">
                  <c:v>45474</c:v>
                </c:pt>
                <c:pt idx="329">
                  <c:v>45475</c:v>
                </c:pt>
                <c:pt idx="330">
                  <c:v>45476</c:v>
                </c:pt>
                <c:pt idx="331">
                  <c:v>45477</c:v>
                </c:pt>
                <c:pt idx="332">
                  <c:v>45478</c:v>
                </c:pt>
                <c:pt idx="333">
                  <c:v>45481</c:v>
                </c:pt>
                <c:pt idx="334">
                  <c:v>45482</c:v>
                </c:pt>
                <c:pt idx="335">
                  <c:v>45483</c:v>
                </c:pt>
                <c:pt idx="336">
                  <c:v>45484</c:v>
                </c:pt>
                <c:pt idx="337">
                  <c:v>45485</c:v>
                </c:pt>
                <c:pt idx="338">
                  <c:v>45488</c:v>
                </c:pt>
                <c:pt idx="339">
                  <c:v>45489</c:v>
                </c:pt>
                <c:pt idx="340">
                  <c:v>45490</c:v>
                </c:pt>
                <c:pt idx="341">
                  <c:v>45491</c:v>
                </c:pt>
                <c:pt idx="342">
                  <c:v>45492</c:v>
                </c:pt>
                <c:pt idx="343">
                  <c:v>45495</c:v>
                </c:pt>
                <c:pt idx="344">
                  <c:v>45496</c:v>
                </c:pt>
                <c:pt idx="345">
                  <c:v>45497</c:v>
                </c:pt>
                <c:pt idx="346">
                  <c:v>45498</c:v>
                </c:pt>
                <c:pt idx="347">
                  <c:v>45499</c:v>
                </c:pt>
                <c:pt idx="348">
                  <c:v>45502</c:v>
                </c:pt>
                <c:pt idx="349">
                  <c:v>45503</c:v>
                </c:pt>
                <c:pt idx="350">
                  <c:v>45504</c:v>
                </c:pt>
                <c:pt idx="351">
                  <c:v>45505</c:v>
                </c:pt>
                <c:pt idx="352">
                  <c:v>45506</c:v>
                </c:pt>
                <c:pt idx="353">
                  <c:v>45509</c:v>
                </c:pt>
                <c:pt idx="354">
                  <c:v>45510</c:v>
                </c:pt>
                <c:pt idx="355">
                  <c:v>45511</c:v>
                </c:pt>
                <c:pt idx="356">
                  <c:v>45512</c:v>
                </c:pt>
                <c:pt idx="357">
                  <c:v>45513</c:v>
                </c:pt>
                <c:pt idx="358">
                  <c:v>45516</c:v>
                </c:pt>
                <c:pt idx="359">
                  <c:v>45517</c:v>
                </c:pt>
                <c:pt idx="360">
                  <c:v>45518</c:v>
                </c:pt>
                <c:pt idx="361">
                  <c:v>45519</c:v>
                </c:pt>
                <c:pt idx="362">
                  <c:v>45520</c:v>
                </c:pt>
                <c:pt idx="363">
                  <c:v>45523</c:v>
                </c:pt>
                <c:pt idx="364">
                  <c:v>45524</c:v>
                </c:pt>
                <c:pt idx="365">
                  <c:v>45525</c:v>
                </c:pt>
                <c:pt idx="366">
                  <c:v>45526</c:v>
                </c:pt>
                <c:pt idx="367">
                  <c:v>45527</c:v>
                </c:pt>
                <c:pt idx="368">
                  <c:v>45530</c:v>
                </c:pt>
                <c:pt idx="369">
                  <c:v>45531</c:v>
                </c:pt>
                <c:pt idx="370">
                  <c:v>45532</c:v>
                </c:pt>
                <c:pt idx="371">
                  <c:v>45533</c:v>
                </c:pt>
                <c:pt idx="372">
                  <c:v>45534</c:v>
                </c:pt>
                <c:pt idx="373">
                  <c:v>45539</c:v>
                </c:pt>
                <c:pt idx="374">
                  <c:v>45540</c:v>
                </c:pt>
                <c:pt idx="375">
                  <c:v>45541</c:v>
                </c:pt>
                <c:pt idx="376">
                  <c:v>45544</c:v>
                </c:pt>
                <c:pt idx="377">
                  <c:v>45545</c:v>
                </c:pt>
                <c:pt idx="378">
                  <c:v>45546</c:v>
                </c:pt>
                <c:pt idx="379">
                  <c:v>45547</c:v>
                </c:pt>
                <c:pt idx="380">
                  <c:v>45548</c:v>
                </c:pt>
                <c:pt idx="381">
                  <c:v>45551</c:v>
                </c:pt>
                <c:pt idx="382">
                  <c:v>45552</c:v>
                </c:pt>
                <c:pt idx="383">
                  <c:v>45553</c:v>
                </c:pt>
                <c:pt idx="384">
                  <c:v>45554</c:v>
                </c:pt>
                <c:pt idx="385">
                  <c:v>45555</c:v>
                </c:pt>
                <c:pt idx="386">
                  <c:v>45558</c:v>
                </c:pt>
                <c:pt idx="387">
                  <c:v>45559</c:v>
                </c:pt>
                <c:pt idx="388">
                  <c:v>45560</c:v>
                </c:pt>
                <c:pt idx="389">
                  <c:v>45561</c:v>
                </c:pt>
                <c:pt idx="390">
                  <c:v>45562</c:v>
                </c:pt>
                <c:pt idx="391">
                  <c:v>45565</c:v>
                </c:pt>
                <c:pt idx="392">
                  <c:v>45566</c:v>
                </c:pt>
                <c:pt idx="393">
                  <c:v>45567</c:v>
                </c:pt>
                <c:pt idx="394">
                  <c:v>45568</c:v>
                </c:pt>
                <c:pt idx="395">
                  <c:v>45569</c:v>
                </c:pt>
                <c:pt idx="396">
                  <c:v>45572</c:v>
                </c:pt>
                <c:pt idx="397">
                  <c:v>45573</c:v>
                </c:pt>
                <c:pt idx="398">
                  <c:v>45574</c:v>
                </c:pt>
                <c:pt idx="399">
                  <c:v>45575</c:v>
                </c:pt>
                <c:pt idx="400">
                  <c:v>45576</c:v>
                </c:pt>
                <c:pt idx="401">
                  <c:v>45579</c:v>
                </c:pt>
                <c:pt idx="402">
                  <c:v>45580</c:v>
                </c:pt>
                <c:pt idx="403">
                  <c:v>45581</c:v>
                </c:pt>
                <c:pt idx="404">
                  <c:v>45582</c:v>
                </c:pt>
                <c:pt idx="405">
                  <c:v>45583</c:v>
                </c:pt>
                <c:pt idx="406">
                  <c:v>45586</c:v>
                </c:pt>
                <c:pt idx="407">
                  <c:v>45587</c:v>
                </c:pt>
                <c:pt idx="408">
                  <c:v>45588</c:v>
                </c:pt>
                <c:pt idx="409">
                  <c:v>45589</c:v>
                </c:pt>
                <c:pt idx="410">
                  <c:v>45590</c:v>
                </c:pt>
                <c:pt idx="411">
                  <c:v>45593</c:v>
                </c:pt>
                <c:pt idx="412">
                  <c:v>45594</c:v>
                </c:pt>
                <c:pt idx="413">
                  <c:v>45595</c:v>
                </c:pt>
                <c:pt idx="414">
                  <c:v>45596</c:v>
                </c:pt>
                <c:pt idx="415">
                  <c:v>45597</c:v>
                </c:pt>
                <c:pt idx="416">
                  <c:v>45600</c:v>
                </c:pt>
                <c:pt idx="417">
                  <c:v>45601</c:v>
                </c:pt>
                <c:pt idx="418">
                  <c:v>45602</c:v>
                </c:pt>
                <c:pt idx="419">
                  <c:v>45603</c:v>
                </c:pt>
                <c:pt idx="420">
                  <c:v>45604</c:v>
                </c:pt>
                <c:pt idx="421">
                  <c:v>45607</c:v>
                </c:pt>
                <c:pt idx="422">
                  <c:v>45608</c:v>
                </c:pt>
                <c:pt idx="423">
                  <c:v>45609</c:v>
                </c:pt>
                <c:pt idx="424">
                  <c:v>45610</c:v>
                </c:pt>
                <c:pt idx="425">
                  <c:v>45611</c:v>
                </c:pt>
                <c:pt idx="426">
                  <c:v>45614</c:v>
                </c:pt>
                <c:pt idx="427">
                  <c:v>45615</c:v>
                </c:pt>
                <c:pt idx="428">
                  <c:v>45616</c:v>
                </c:pt>
                <c:pt idx="429">
                  <c:v>45617</c:v>
                </c:pt>
                <c:pt idx="430">
                  <c:v>45618</c:v>
                </c:pt>
                <c:pt idx="431">
                  <c:v>45621</c:v>
                </c:pt>
                <c:pt idx="432">
                  <c:v>45622</c:v>
                </c:pt>
                <c:pt idx="433">
                  <c:v>45623</c:v>
                </c:pt>
                <c:pt idx="434">
                  <c:v>45624</c:v>
                </c:pt>
                <c:pt idx="435">
                  <c:v>45625</c:v>
                </c:pt>
                <c:pt idx="436">
                  <c:v>45628</c:v>
                </c:pt>
                <c:pt idx="437">
                  <c:v>45629</c:v>
                </c:pt>
                <c:pt idx="438">
                  <c:v>45630</c:v>
                </c:pt>
                <c:pt idx="439">
                  <c:v>45631</c:v>
                </c:pt>
                <c:pt idx="440">
                  <c:v>45632</c:v>
                </c:pt>
                <c:pt idx="441">
                  <c:v>45635</c:v>
                </c:pt>
                <c:pt idx="442">
                  <c:v>45636</c:v>
                </c:pt>
                <c:pt idx="443">
                  <c:v>45637</c:v>
                </c:pt>
                <c:pt idx="444">
                  <c:v>45638</c:v>
                </c:pt>
                <c:pt idx="445">
                  <c:v>45639</c:v>
                </c:pt>
                <c:pt idx="446">
                  <c:v>45642</c:v>
                </c:pt>
                <c:pt idx="447">
                  <c:v>45643</c:v>
                </c:pt>
                <c:pt idx="448">
                  <c:v>45644</c:v>
                </c:pt>
                <c:pt idx="449">
                  <c:v>45645</c:v>
                </c:pt>
                <c:pt idx="450">
                  <c:v>45646</c:v>
                </c:pt>
                <c:pt idx="451">
                  <c:v>45649</c:v>
                </c:pt>
                <c:pt idx="452">
                  <c:v>45650</c:v>
                </c:pt>
                <c:pt idx="453">
                  <c:v>45651</c:v>
                </c:pt>
                <c:pt idx="454">
                  <c:v>45652</c:v>
                </c:pt>
                <c:pt idx="455">
                  <c:v>45653</c:v>
                </c:pt>
                <c:pt idx="456">
                  <c:v>45656</c:v>
                </c:pt>
                <c:pt idx="457">
                  <c:v>45657</c:v>
                </c:pt>
                <c:pt idx="458">
                  <c:v>45659</c:v>
                </c:pt>
                <c:pt idx="459">
                  <c:v>45660</c:v>
                </c:pt>
                <c:pt idx="460">
                  <c:v>45663</c:v>
                </c:pt>
                <c:pt idx="461">
                  <c:v>45664</c:v>
                </c:pt>
                <c:pt idx="462">
                  <c:v>45665</c:v>
                </c:pt>
                <c:pt idx="463">
                  <c:v>45666</c:v>
                </c:pt>
                <c:pt idx="464">
                  <c:v>45667</c:v>
                </c:pt>
                <c:pt idx="465">
                  <c:v>45670</c:v>
                </c:pt>
                <c:pt idx="466">
                  <c:v>45671</c:v>
                </c:pt>
                <c:pt idx="467">
                  <c:v>45672</c:v>
                </c:pt>
                <c:pt idx="468">
                  <c:v>45673</c:v>
                </c:pt>
                <c:pt idx="469">
                  <c:v>45674</c:v>
                </c:pt>
                <c:pt idx="470">
                  <c:v>45677</c:v>
                </c:pt>
                <c:pt idx="471">
                  <c:v>45678</c:v>
                </c:pt>
                <c:pt idx="472">
                  <c:v>45679</c:v>
                </c:pt>
                <c:pt idx="473">
                  <c:v>45680</c:v>
                </c:pt>
                <c:pt idx="474">
                  <c:v>45681</c:v>
                </c:pt>
                <c:pt idx="475">
                  <c:v>45691</c:v>
                </c:pt>
                <c:pt idx="476">
                  <c:v>45692</c:v>
                </c:pt>
                <c:pt idx="477">
                  <c:v>45693</c:v>
                </c:pt>
                <c:pt idx="478">
                  <c:v>45694</c:v>
                </c:pt>
                <c:pt idx="479">
                  <c:v>45695</c:v>
                </c:pt>
                <c:pt idx="480">
                  <c:v>45698</c:v>
                </c:pt>
                <c:pt idx="481">
                  <c:v>45699</c:v>
                </c:pt>
                <c:pt idx="482">
                  <c:v>45700</c:v>
                </c:pt>
                <c:pt idx="483">
                  <c:v>45701</c:v>
                </c:pt>
                <c:pt idx="484">
                  <c:v>45702</c:v>
                </c:pt>
                <c:pt idx="485">
                  <c:v>45705</c:v>
                </c:pt>
                <c:pt idx="486">
                  <c:v>45706</c:v>
                </c:pt>
                <c:pt idx="487">
                  <c:v>45707</c:v>
                </c:pt>
                <c:pt idx="488">
                  <c:v>45708</c:v>
                </c:pt>
                <c:pt idx="489">
                  <c:v>45709</c:v>
                </c:pt>
                <c:pt idx="490">
                  <c:v>45712</c:v>
                </c:pt>
                <c:pt idx="491">
                  <c:v>45713</c:v>
                </c:pt>
                <c:pt idx="492">
                  <c:v>45714</c:v>
                </c:pt>
                <c:pt idx="493">
                  <c:v>45715</c:v>
                </c:pt>
                <c:pt idx="494">
                  <c:v>45716</c:v>
                </c:pt>
                <c:pt idx="495">
                  <c:v>45719</c:v>
                </c:pt>
                <c:pt idx="496">
                  <c:v>45720</c:v>
                </c:pt>
                <c:pt idx="497">
                  <c:v>45721</c:v>
                </c:pt>
                <c:pt idx="498">
                  <c:v>45722</c:v>
                </c:pt>
                <c:pt idx="499">
                  <c:v>45723</c:v>
                </c:pt>
                <c:pt idx="500">
                  <c:v>45726</c:v>
                </c:pt>
                <c:pt idx="501">
                  <c:v>45727</c:v>
                </c:pt>
                <c:pt idx="502">
                  <c:v>45728</c:v>
                </c:pt>
                <c:pt idx="503">
                  <c:v>45729</c:v>
                </c:pt>
                <c:pt idx="504">
                  <c:v>45730</c:v>
                </c:pt>
                <c:pt idx="505">
                  <c:v>45733</c:v>
                </c:pt>
                <c:pt idx="506">
                  <c:v>45734</c:v>
                </c:pt>
                <c:pt idx="507">
                  <c:v>45735</c:v>
                </c:pt>
                <c:pt idx="508">
                  <c:v>45736</c:v>
                </c:pt>
                <c:pt idx="509">
                  <c:v>45737</c:v>
                </c:pt>
                <c:pt idx="510">
                  <c:v>45740</c:v>
                </c:pt>
                <c:pt idx="511">
                  <c:v>45741</c:v>
                </c:pt>
                <c:pt idx="512">
                  <c:v>45742</c:v>
                </c:pt>
                <c:pt idx="513">
                  <c:v>45743</c:v>
                </c:pt>
                <c:pt idx="514">
                  <c:v>45744</c:v>
                </c:pt>
                <c:pt idx="515">
                  <c:v>45747</c:v>
                </c:pt>
                <c:pt idx="516">
                  <c:v>45748</c:v>
                </c:pt>
                <c:pt idx="517">
                  <c:v>45749</c:v>
                </c:pt>
                <c:pt idx="518">
                  <c:v>45750</c:v>
                </c:pt>
                <c:pt idx="519">
                  <c:v>45751</c:v>
                </c:pt>
                <c:pt idx="520">
                  <c:v>45755</c:v>
                </c:pt>
                <c:pt idx="521">
                  <c:v>45756</c:v>
                </c:pt>
                <c:pt idx="522">
                  <c:v>45757</c:v>
                </c:pt>
                <c:pt idx="523">
                  <c:v>45758</c:v>
                </c:pt>
                <c:pt idx="524">
                  <c:v>45761</c:v>
                </c:pt>
                <c:pt idx="525">
                  <c:v>45762</c:v>
                </c:pt>
                <c:pt idx="526">
                  <c:v>45763</c:v>
                </c:pt>
                <c:pt idx="527">
                  <c:v>45764</c:v>
                </c:pt>
                <c:pt idx="528">
                  <c:v>45765</c:v>
                </c:pt>
                <c:pt idx="529">
                  <c:v>45768</c:v>
                </c:pt>
                <c:pt idx="530">
                  <c:v>45769</c:v>
                </c:pt>
                <c:pt idx="531">
                  <c:v>45770</c:v>
                </c:pt>
                <c:pt idx="532">
                  <c:v>45771</c:v>
                </c:pt>
                <c:pt idx="533">
                  <c:v>45772</c:v>
                </c:pt>
                <c:pt idx="534">
                  <c:v>45775</c:v>
                </c:pt>
                <c:pt idx="535">
                  <c:v>45776</c:v>
                </c:pt>
                <c:pt idx="536">
                  <c:v>45782</c:v>
                </c:pt>
                <c:pt idx="537">
                  <c:v>45783</c:v>
                </c:pt>
                <c:pt idx="538">
                  <c:v>45784</c:v>
                </c:pt>
                <c:pt idx="539">
                  <c:v>45785</c:v>
                </c:pt>
                <c:pt idx="540">
                  <c:v>45786</c:v>
                </c:pt>
                <c:pt idx="541">
                  <c:v>45789</c:v>
                </c:pt>
                <c:pt idx="542">
                  <c:v>45790</c:v>
                </c:pt>
                <c:pt idx="543">
                  <c:v>45791</c:v>
                </c:pt>
                <c:pt idx="544">
                  <c:v>45792</c:v>
                </c:pt>
                <c:pt idx="545">
                  <c:v>45793</c:v>
                </c:pt>
                <c:pt idx="546">
                  <c:v>45796</c:v>
                </c:pt>
                <c:pt idx="547">
                  <c:v>45797</c:v>
                </c:pt>
                <c:pt idx="548">
                  <c:v>45798</c:v>
                </c:pt>
                <c:pt idx="549">
                  <c:v>45799</c:v>
                </c:pt>
                <c:pt idx="550">
                  <c:v>45800</c:v>
                </c:pt>
                <c:pt idx="551">
                  <c:v>45803</c:v>
                </c:pt>
                <c:pt idx="552">
                  <c:v>45804</c:v>
                </c:pt>
                <c:pt idx="553">
                  <c:v>45805</c:v>
                </c:pt>
                <c:pt idx="554">
                  <c:v>45806</c:v>
                </c:pt>
                <c:pt idx="555">
                  <c:v>45807</c:v>
                </c:pt>
                <c:pt idx="556">
                  <c:v>45810</c:v>
                </c:pt>
                <c:pt idx="557">
                  <c:v>45811</c:v>
                </c:pt>
                <c:pt idx="558">
                  <c:v>45812</c:v>
                </c:pt>
                <c:pt idx="559">
                  <c:v>45813</c:v>
                </c:pt>
                <c:pt idx="560">
                  <c:v>45814</c:v>
                </c:pt>
                <c:pt idx="561">
                  <c:v>45817</c:v>
                </c:pt>
                <c:pt idx="562">
                  <c:v>45818</c:v>
                </c:pt>
                <c:pt idx="563">
                  <c:v>45819</c:v>
                </c:pt>
                <c:pt idx="564">
                  <c:v>45820</c:v>
                </c:pt>
                <c:pt idx="565">
                  <c:v>45821</c:v>
                </c:pt>
                <c:pt idx="566">
                  <c:v>45824</c:v>
                </c:pt>
                <c:pt idx="567">
                  <c:v>45825</c:v>
                </c:pt>
                <c:pt idx="568">
                  <c:v>45826</c:v>
                </c:pt>
                <c:pt idx="569">
                  <c:v>45827</c:v>
                </c:pt>
                <c:pt idx="570">
                  <c:v>45828</c:v>
                </c:pt>
                <c:pt idx="571">
                  <c:v>45831</c:v>
                </c:pt>
                <c:pt idx="572">
                  <c:v>45832</c:v>
                </c:pt>
                <c:pt idx="573">
                  <c:v>45833</c:v>
                </c:pt>
                <c:pt idx="574">
                  <c:v>45834</c:v>
                </c:pt>
                <c:pt idx="575">
                  <c:v>45835</c:v>
                </c:pt>
                <c:pt idx="576">
                  <c:v>45838</c:v>
                </c:pt>
                <c:pt idx="577">
                  <c:v>45839</c:v>
                </c:pt>
                <c:pt idx="578">
                  <c:v>45840</c:v>
                </c:pt>
                <c:pt idx="579">
                  <c:v>45841</c:v>
                </c:pt>
                <c:pt idx="580">
                  <c:v>45842</c:v>
                </c:pt>
                <c:pt idx="581">
                  <c:v>45845</c:v>
                </c:pt>
                <c:pt idx="582">
                  <c:v>45846</c:v>
                </c:pt>
                <c:pt idx="583">
                  <c:v>45847</c:v>
                </c:pt>
                <c:pt idx="584">
                  <c:v>45848</c:v>
                </c:pt>
                <c:pt idx="585">
                  <c:v>45849</c:v>
                </c:pt>
                <c:pt idx="586">
                  <c:v>45852</c:v>
                </c:pt>
                <c:pt idx="587">
                  <c:v>45853</c:v>
                </c:pt>
                <c:pt idx="588">
                  <c:v>45854</c:v>
                </c:pt>
                <c:pt idx="589">
                  <c:v>45855</c:v>
                </c:pt>
                <c:pt idx="590">
                  <c:v>45856</c:v>
                </c:pt>
                <c:pt idx="591">
                  <c:v>45859</c:v>
                </c:pt>
                <c:pt idx="592">
                  <c:v>45860</c:v>
                </c:pt>
                <c:pt idx="593">
                  <c:v>45861</c:v>
                </c:pt>
                <c:pt idx="594">
                  <c:v>45862</c:v>
                </c:pt>
                <c:pt idx="595">
                  <c:v>45863</c:v>
                </c:pt>
                <c:pt idx="596">
                  <c:v>45866</c:v>
                </c:pt>
                <c:pt idx="597">
                  <c:v>45867</c:v>
                </c:pt>
                <c:pt idx="598">
                  <c:v>45868</c:v>
                </c:pt>
                <c:pt idx="599">
                  <c:v>45869</c:v>
                </c:pt>
                <c:pt idx="600">
                  <c:v>45870</c:v>
                </c:pt>
                <c:pt idx="601">
                  <c:v>45873</c:v>
                </c:pt>
                <c:pt idx="602">
                  <c:v>45874</c:v>
                </c:pt>
                <c:pt idx="603">
                  <c:v>45875</c:v>
                </c:pt>
                <c:pt idx="604">
                  <c:v>45876</c:v>
                </c:pt>
                <c:pt idx="605">
                  <c:v>45877</c:v>
                </c:pt>
                <c:pt idx="606">
                  <c:v>45880</c:v>
                </c:pt>
                <c:pt idx="607">
                  <c:v>45881</c:v>
                </c:pt>
                <c:pt idx="608">
                  <c:v>45882</c:v>
                </c:pt>
                <c:pt idx="609">
                  <c:v>45883</c:v>
                </c:pt>
                <c:pt idx="610">
                  <c:v>45884</c:v>
                </c:pt>
                <c:pt idx="611">
                  <c:v>45887</c:v>
                </c:pt>
                <c:pt idx="612">
                  <c:v>45888</c:v>
                </c:pt>
                <c:pt idx="613">
                  <c:v>45889</c:v>
                </c:pt>
                <c:pt idx="614">
                  <c:v>45890</c:v>
                </c:pt>
                <c:pt idx="615">
                  <c:v>45891</c:v>
                </c:pt>
                <c:pt idx="616">
                  <c:v>45894</c:v>
                </c:pt>
                <c:pt idx="617">
                  <c:v>45895</c:v>
                </c:pt>
                <c:pt idx="618">
                  <c:v>45896</c:v>
                </c:pt>
                <c:pt idx="619">
                  <c:v>45897</c:v>
                </c:pt>
                <c:pt idx="620">
                  <c:v>45898</c:v>
                </c:pt>
                <c:pt idx="621">
                  <c:v>45903</c:v>
                </c:pt>
                <c:pt idx="622">
                  <c:v>45904</c:v>
                </c:pt>
                <c:pt idx="623">
                  <c:v>45905</c:v>
                </c:pt>
                <c:pt idx="624">
                  <c:v>45908</c:v>
                </c:pt>
                <c:pt idx="625">
                  <c:v>45909</c:v>
                </c:pt>
                <c:pt idx="626">
                  <c:v>45910</c:v>
                </c:pt>
                <c:pt idx="627">
                  <c:v>45911</c:v>
                </c:pt>
                <c:pt idx="628">
                  <c:v>45912</c:v>
                </c:pt>
                <c:pt idx="629">
                  <c:v>45915</c:v>
                </c:pt>
                <c:pt idx="630">
                  <c:v>45916</c:v>
                </c:pt>
                <c:pt idx="631">
                  <c:v>45917</c:v>
                </c:pt>
                <c:pt idx="632">
                  <c:v>45918</c:v>
                </c:pt>
                <c:pt idx="633">
                  <c:v>45919</c:v>
                </c:pt>
                <c:pt idx="634">
                  <c:v>45922</c:v>
                </c:pt>
                <c:pt idx="635">
                  <c:v>45923</c:v>
                </c:pt>
                <c:pt idx="636">
                  <c:v>45924</c:v>
                </c:pt>
                <c:pt idx="637">
                  <c:v>45925</c:v>
                </c:pt>
                <c:pt idx="638">
                  <c:v>45926</c:v>
                </c:pt>
                <c:pt idx="639">
                  <c:v>45929</c:v>
                </c:pt>
                <c:pt idx="640">
                  <c:v>45930</c:v>
                </c:pt>
                <c:pt idx="641">
                  <c:v>45931</c:v>
                </c:pt>
                <c:pt idx="642">
                  <c:v>45932</c:v>
                </c:pt>
                <c:pt idx="643">
                  <c:v>45933</c:v>
                </c:pt>
                <c:pt idx="644">
                  <c:v>45936</c:v>
                </c:pt>
                <c:pt idx="645">
                  <c:v>45937</c:v>
                </c:pt>
                <c:pt idx="646">
                  <c:v>45938</c:v>
                </c:pt>
                <c:pt idx="647">
                  <c:v>45939</c:v>
                </c:pt>
                <c:pt idx="648">
                  <c:v>45940</c:v>
                </c:pt>
                <c:pt idx="649">
                  <c:v>45943</c:v>
                </c:pt>
                <c:pt idx="650">
                  <c:v>45944</c:v>
                </c:pt>
                <c:pt idx="651">
                  <c:v>45945</c:v>
                </c:pt>
                <c:pt idx="652">
                  <c:v>45946</c:v>
                </c:pt>
                <c:pt idx="653">
                  <c:v>45947</c:v>
                </c:pt>
                <c:pt idx="654">
                  <c:v>45950</c:v>
                </c:pt>
                <c:pt idx="655">
                  <c:v>45951</c:v>
                </c:pt>
                <c:pt idx="656">
                  <c:v>45952</c:v>
                </c:pt>
                <c:pt idx="657">
                  <c:v>45953</c:v>
                </c:pt>
                <c:pt idx="658">
                  <c:v>45954</c:v>
                </c:pt>
                <c:pt idx="659">
                  <c:v>45957</c:v>
                </c:pt>
                <c:pt idx="660">
                  <c:v>45958</c:v>
                </c:pt>
                <c:pt idx="661">
                  <c:v>45959</c:v>
                </c:pt>
                <c:pt idx="662">
                  <c:v>45960</c:v>
                </c:pt>
                <c:pt idx="663">
                  <c:v>45961</c:v>
                </c:pt>
                <c:pt idx="664">
                  <c:v>45964</c:v>
                </c:pt>
                <c:pt idx="665">
                  <c:v>45965</c:v>
                </c:pt>
                <c:pt idx="666">
                  <c:v>45966</c:v>
                </c:pt>
                <c:pt idx="667">
                  <c:v>45967</c:v>
                </c:pt>
                <c:pt idx="668">
                  <c:v>45968</c:v>
                </c:pt>
                <c:pt idx="669">
                  <c:v>45971</c:v>
                </c:pt>
                <c:pt idx="670">
                  <c:v>45972</c:v>
                </c:pt>
                <c:pt idx="671">
                  <c:v>45973</c:v>
                </c:pt>
                <c:pt idx="672">
                  <c:v>45974</c:v>
                </c:pt>
                <c:pt idx="673">
                  <c:v>45975</c:v>
                </c:pt>
                <c:pt idx="674">
                  <c:v>45978</c:v>
                </c:pt>
                <c:pt idx="675">
                  <c:v>45979</c:v>
                </c:pt>
                <c:pt idx="676">
                  <c:v>45980</c:v>
                </c:pt>
                <c:pt idx="677">
                  <c:v>45981</c:v>
                </c:pt>
                <c:pt idx="678">
                  <c:v>45982</c:v>
                </c:pt>
                <c:pt idx="679">
                  <c:v>45985</c:v>
                </c:pt>
                <c:pt idx="680">
                  <c:v>45986</c:v>
                </c:pt>
                <c:pt idx="681">
                  <c:v>45987</c:v>
                </c:pt>
                <c:pt idx="682">
                  <c:v>45988</c:v>
                </c:pt>
                <c:pt idx="683">
                  <c:v>45989</c:v>
                </c:pt>
                <c:pt idx="684">
                  <c:v>45992</c:v>
                </c:pt>
                <c:pt idx="685">
                  <c:v>45993</c:v>
                </c:pt>
                <c:pt idx="686">
                  <c:v>45994</c:v>
                </c:pt>
                <c:pt idx="687">
                  <c:v>45995</c:v>
                </c:pt>
                <c:pt idx="688">
                  <c:v>45996</c:v>
                </c:pt>
                <c:pt idx="689">
                  <c:v>45999</c:v>
                </c:pt>
                <c:pt idx="690">
                  <c:v>46000</c:v>
                </c:pt>
                <c:pt idx="691">
                  <c:v>46001</c:v>
                </c:pt>
                <c:pt idx="692">
                  <c:v>46002</c:v>
                </c:pt>
                <c:pt idx="693">
                  <c:v>46003</c:v>
                </c:pt>
                <c:pt idx="694">
                  <c:v>46006</c:v>
                </c:pt>
                <c:pt idx="695">
                  <c:v>46007</c:v>
                </c:pt>
                <c:pt idx="696">
                  <c:v>46008</c:v>
                </c:pt>
                <c:pt idx="697">
                  <c:v>46009</c:v>
                </c:pt>
                <c:pt idx="698">
                  <c:v>46010</c:v>
                </c:pt>
                <c:pt idx="699">
                  <c:v>46013</c:v>
                </c:pt>
                <c:pt idx="700">
                  <c:v>46014</c:v>
                </c:pt>
                <c:pt idx="701">
                  <c:v>46015</c:v>
                </c:pt>
                <c:pt idx="702">
                  <c:v>46016</c:v>
                </c:pt>
                <c:pt idx="703">
                  <c:v>46017</c:v>
                </c:pt>
                <c:pt idx="704">
                  <c:v>46020</c:v>
                </c:pt>
                <c:pt idx="705">
                  <c:v>46021</c:v>
                </c:pt>
                <c:pt idx="706">
                  <c:v>46022</c:v>
                </c:pt>
                <c:pt idx="707">
                  <c:v>46027</c:v>
                </c:pt>
                <c:pt idx="708">
                  <c:v>46028</c:v>
                </c:pt>
                <c:pt idx="709">
                  <c:v>46029</c:v>
                </c:pt>
                <c:pt idx="710">
                  <c:v>46030</c:v>
                </c:pt>
                <c:pt idx="711">
                  <c:v>46031</c:v>
                </c:pt>
                <c:pt idx="712">
                  <c:v>46034</c:v>
                </c:pt>
                <c:pt idx="713">
                  <c:v>46035</c:v>
                </c:pt>
                <c:pt idx="714">
                  <c:v>46036</c:v>
                </c:pt>
                <c:pt idx="715">
                  <c:v>46037</c:v>
                </c:pt>
                <c:pt idx="716">
                  <c:v>46038</c:v>
                </c:pt>
                <c:pt idx="717">
                  <c:v>46041</c:v>
                </c:pt>
                <c:pt idx="718">
                  <c:v>46042</c:v>
                </c:pt>
                <c:pt idx="719">
                  <c:v>46043</c:v>
                </c:pt>
                <c:pt idx="720">
                  <c:v>46044</c:v>
                </c:pt>
                <c:pt idx="721">
                  <c:v>46045</c:v>
                </c:pt>
                <c:pt idx="722">
                  <c:v>46048</c:v>
                </c:pt>
                <c:pt idx="723">
                  <c:v>46049</c:v>
                </c:pt>
                <c:pt idx="724">
                  <c:v>46050</c:v>
                </c:pt>
                <c:pt idx="725">
                  <c:v>46051</c:v>
                </c:pt>
                <c:pt idx="726">
                  <c:v>46052</c:v>
                </c:pt>
                <c:pt idx="727">
                  <c:v>46055</c:v>
                </c:pt>
                <c:pt idx="728">
                  <c:v>46056</c:v>
                </c:pt>
                <c:pt idx="729">
                  <c:v>46057</c:v>
                </c:pt>
                <c:pt idx="730">
                  <c:v>46058</c:v>
                </c:pt>
                <c:pt idx="731">
                  <c:v>46059</c:v>
                </c:pt>
                <c:pt idx="732">
                  <c:v>46062</c:v>
                </c:pt>
                <c:pt idx="733">
                  <c:v>46063</c:v>
                </c:pt>
                <c:pt idx="734">
                  <c:v>46064</c:v>
                </c:pt>
                <c:pt idx="735">
                  <c:v>46065</c:v>
                </c:pt>
                <c:pt idx="736">
                  <c:v>46066</c:v>
                </c:pt>
                <c:pt idx="737">
                  <c:v>46076</c:v>
                </c:pt>
                <c:pt idx="738">
                  <c:v>46077</c:v>
                </c:pt>
                <c:pt idx="739">
                  <c:v>46078</c:v>
                </c:pt>
                <c:pt idx="740">
                  <c:v>46079</c:v>
                </c:pt>
                <c:pt idx="741">
                  <c:v>46080</c:v>
                </c:pt>
                <c:pt idx="742">
                  <c:v>46083</c:v>
                </c:pt>
                <c:pt idx="743">
                  <c:v>46084</c:v>
                </c:pt>
                <c:pt idx="744">
                  <c:v>46085</c:v>
                </c:pt>
                <c:pt idx="745">
                  <c:v>46086</c:v>
                </c:pt>
                <c:pt idx="746">
                  <c:v>46087</c:v>
                </c:pt>
                <c:pt idx="747">
                  <c:v>45968</c:v>
                </c:pt>
              </c:numCache>
            </c:numRef>
          </c:cat>
          <c:val>
            <c:numRef>
              <c:f>'FX Data'!$E$1462:$E$2855</c:f>
              <c:numCache>
                <c:formatCode>0.0</c:formatCode>
                <c:ptCount val="1394"/>
                <c:pt idx="0">
                  <c:v>20.496540945512795</c:v>
                </c:pt>
                <c:pt idx="1">
                  <c:v>20.496540945512795</c:v>
                </c:pt>
                <c:pt idx="2">
                  <c:v>20.496540945512795</c:v>
                </c:pt>
                <c:pt idx="3">
                  <c:v>20.496540945512795</c:v>
                </c:pt>
                <c:pt idx="4">
                  <c:v>20.496540945512795</c:v>
                </c:pt>
                <c:pt idx="5">
                  <c:v>20.496540945512795</c:v>
                </c:pt>
                <c:pt idx="6">
                  <c:v>20.496540945512795</c:v>
                </c:pt>
                <c:pt idx="7">
                  <c:v>20.496540945512795</c:v>
                </c:pt>
                <c:pt idx="8">
                  <c:v>20.496540945512795</c:v>
                </c:pt>
                <c:pt idx="9">
                  <c:v>20.496540945512795</c:v>
                </c:pt>
                <c:pt idx="10">
                  <c:v>20.496540945512795</c:v>
                </c:pt>
                <c:pt idx="11">
                  <c:v>20.496540945512795</c:v>
                </c:pt>
                <c:pt idx="12">
                  <c:v>20.496540945512795</c:v>
                </c:pt>
                <c:pt idx="13">
                  <c:v>20.496540945512795</c:v>
                </c:pt>
                <c:pt idx="14">
                  <c:v>20.496540945512795</c:v>
                </c:pt>
                <c:pt idx="15">
                  <c:v>20.496540945512795</c:v>
                </c:pt>
                <c:pt idx="16">
                  <c:v>20.496540945512795</c:v>
                </c:pt>
                <c:pt idx="17">
                  <c:v>20.496540945512795</c:v>
                </c:pt>
                <c:pt idx="18">
                  <c:v>20.496540945512795</c:v>
                </c:pt>
                <c:pt idx="19">
                  <c:v>20.496540945512795</c:v>
                </c:pt>
                <c:pt idx="20">
                  <c:v>20.496540945512795</c:v>
                </c:pt>
                <c:pt idx="21">
                  <c:v>20.496540945512795</c:v>
                </c:pt>
                <c:pt idx="22">
                  <c:v>20.496540945512795</c:v>
                </c:pt>
                <c:pt idx="23">
                  <c:v>20.496540945512795</c:v>
                </c:pt>
                <c:pt idx="24">
                  <c:v>20.496540945512795</c:v>
                </c:pt>
                <c:pt idx="25">
                  <c:v>20.496540945512795</c:v>
                </c:pt>
                <c:pt idx="26">
                  <c:v>20.496540945512795</c:v>
                </c:pt>
                <c:pt idx="27">
                  <c:v>20.496540945512795</c:v>
                </c:pt>
                <c:pt idx="28">
                  <c:v>20.496540945512795</c:v>
                </c:pt>
                <c:pt idx="29">
                  <c:v>20.496540945512795</c:v>
                </c:pt>
                <c:pt idx="30">
                  <c:v>20.496540945512795</c:v>
                </c:pt>
                <c:pt idx="31">
                  <c:v>20.496540945512795</c:v>
                </c:pt>
                <c:pt idx="32">
                  <c:v>20.496540945512795</c:v>
                </c:pt>
                <c:pt idx="33">
                  <c:v>20.496540945512795</c:v>
                </c:pt>
                <c:pt idx="34">
                  <c:v>20.496540945512795</c:v>
                </c:pt>
                <c:pt idx="35">
                  <c:v>20.496540945512795</c:v>
                </c:pt>
                <c:pt idx="36">
                  <c:v>20.496540945512795</c:v>
                </c:pt>
                <c:pt idx="37">
                  <c:v>20.496540945512795</c:v>
                </c:pt>
                <c:pt idx="38">
                  <c:v>20.496540945512795</c:v>
                </c:pt>
                <c:pt idx="39">
                  <c:v>20.496540945512795</c:v>
                </c:pt>
                <c:pt idx="40">
                  <c:v>20.496540945512795</c:v>
                </c:pt>
                <c:pt idx="41">
                  <c:v>20.496540945512795</c:v>
                </c:pt>
                <c:pt idx="42">
                  <c:v>20.496540945512795</c:v>
                </c:pt>
                <c:pt idx="43">
                  <c:v>20.496540945512795</c:v>
                </c:pt>
                <c:pt idx="44">
                  <c:v>20.496540945512795</c:v>
                </c:pt>
                <c:pt idx="45">
                  <c:v>20.496540945512795</c:v>
                </c:pt>
                <c:pt idx="46">
                  <c:v>20.496540945512795</c:v>
                </c:pt>
                <c:pt idx="47">
                  <c:v>20.496540945512795</c:v>
                </c:pt>
                <c:pt idx="48">
                  <c:v>20.496540945512795</c:v>
                </c:pt>
                <c:pt idx="49">
                  <c:v>20.496540945512795</c:v>
                </c:pt>
                <c:pt idx="50">
                  <c:v>20.496540945512795</c:v>
                </c:pt>
                <c:pt idx="51">
                  <c:v>20.496540945512795</c:v>
                </c:pt>
                <c:pt idx="52">
                  <c:v>20.496540945512795</c:v>
                </c:pt>
                <c:pt idx="53">
                  <c:v>20.496540945512795</c:v>
                </c:pt>
                <c:pt idx="54">
                  <c:v>20.496540945512795</c:v>
                </c:pt>
                <c:pt idx="55">
                  <c:v>20.496540945512795</c:v>
                </c:pt>
                <c:pt idx="56">
                  <c:v>20.496540945512795</c:v>
                </c:pt>
                <c:pt idx="57">
                  <c:v>20.496540945512795</c:v>
                </c:pt>
                <c:pt idx="58">
                  <c:v>20.496540945512795</c:v>
                </c:pt>
                <c:pt idx="59">
                  <c:v>20.496540945512795</c:v>
                </c:pt>
                <c:pt idx="60">
                  <c:v>20.496540945512795</c:v>
                </c:pt>
                <c:pt idx="61">
                  <c:v>20.496540945512795</c:v>
                </c:pt>
                <c:pt idx="62">
                  <c:v>20.496540945512795</c:v>
                </c:pt>
                <c:pt idx="63">
                  <c:v>20.496540945512795</c:v>
                </c:pt>
                <c:pt idx="64">
                  <c:v>20.496540945512795</c:v>
                </c:pt>
                <c:pt idx="65">
                  <c:v>20.496540945512795</c:v>
                </c:pt>
                <c:pt idx="66">
                  <c:v>20.496540945512795</c:v>
                </c:pt>
                <c:pt idx="67">
                  <c:v>20.496540945512795</c:v>
                </c:pt>
                <c:pt idx="68">
                  <c:v>20.496540945512795</c:v>
                </c:pt>
                <c:pt idx="69">
                  <c:v>20.496540945512795</c:v>
                </c:pt>
                <c:pt idx="70">
                  <c:v>20.496540945512795</c:v>
                </c:pt>
                <c:pt idx="71">
                  <c:v>20.496540945512795</c:v>
                </c:pt>
                <c:pt idx="72">
                  <c:v>20.496540945512795</c:v>
                </c:pt>
                <c:pt idx="73">
                  <c:v>20.496540945512795</c:v>
                </c:pt>
                <c:pt idx="74">
                  <c:v>20.496540945512795</c:v>
                </c:pt>
                <c:pt idx="75">
                  <c:v>20.496540945512795</c:v>
                </c:pt>
                <c:pt idx="76">
                  <c:v>20.496540945512795</c:v>
                </c:pt>
                <c:pt idx="77">
                  <c:v>20.496540945512795</c:v>
                </c:pt>
                <c:pt idx="78">
                  <c:v>20.496540945512795</c:v>
                </c:pt>
                <c:pt idx="79">
                  <c:v>20.496540945512795</c:v>
                </c:pt>
                <c:pt idx="80">
                  <c:v>20.496540945512795</c:v>
                </c:pt>
                <c:pt idx="81">
                  <c:v>20.496540945512795</c:v>
                </c:pt>
                <c:pt idx="82">
                  <c:v>20.496540945512795</c:v>
                </c:pt>
                <c:pt idx="83">
                  <c:v>20.496540945512795</c:v>
                </c:pt>
                <c:pt idx="84">
                  <c:v>20.496540945512795</c:v>
                </c:pt>
                <c:pt idx="85">
                  <c:v>20.496540945512795</c:v>
                </c:pt>
                <c:pt idx="86">
                  <c:v>20.496540945512795</c:v>
                </c:pt>
                <c:pt idx="87">
                  <c:v>20.496540945512795</c:v>
                </c:pt>
                <c:pt idx="88">
                  <c:v>20.496540945512795</c:v>
                </c:pt>
                <c:pt idx="89">
                  <c:v>20.496540945512795</c:v>
                </c:pt>
                <c:pt idx="90">
                  <c:v>20.496540945512795</c:v>
                </c:pt>
                <c:pt idx="91">
                  <c:v>20.496540945512795</c:v>
                </c:pt>
                <c:pt idx="92">
                  <c:v>20.496540945512795</c:v>
                </c:pt>
                <c:pt idx="93">
                  <c:v>20.496540945512795</c:v>
                </c:pt>
                <c:pt idx="94">
                  <c:v>20.496540945512795</c:v>
                </c:pt>
                <c:pt idx="95">
                  <c:v>20.496540945512795</c:v>
                </c:pt>
                <c:pt idx="96">
                  <c:v>20.496540945512795</c:v>
                </c:pt>
                <c:pt idx="97">
                  <c:v>20.496540945512795</c:v>
                </c:pt>
                <c:pt idx="98">
                  <c:v>20.496540945512795</c:v>
                </c:pt>
                <c:pt idx="99">
                  <c:v>20.496540945512795</c:v>
                </c:pt>
                <c:pt idx="100">
                  <c:v>20.496540945512795</c:v>
                </c:pt>
                <c:pt idx="101">
                  <c:v>20.496540945512795</c:v>
                </c:pt>
                <c:pt idx="102">
                  <c:v>20.496540945512795</c:v>
                </c:pt>
                <c:pt idx="103">
                  <c:v>20.496540945512795</c:v>
                </c:pt>
                <c:pt idx="104">
                  <c:v>20.496540945512795</c:v>
                </c:pt>
                <c:pt idx="105">
                  <c:v>20.496540945512795</c:v>
                </c:pt>
                <c:pt idx="106">
                  <c:v>20.496540945512795</c:v>
                </c:pt>
                <c:pt idx="107">
                  <c:v>20.496540945512795</c:v>
                </c:pt>
                <c:pt idx="108">
                  <c:v>20.496540945512795</c:v>
                </c:pt>
                <c:pt idx="109">
                  <c:v>20.496540945512795</c:v>
                </c:pt>
                <c:pt idx="110">
                  <c:v>20.496540945512795</c:v>
                </c:pt>
                <c:pt idx="111">
                  <c:v>20.496540945512795</c:v>
                </c:pt>
                <c:pt idx="112">
                  <c:v>20.496540945512795</c:v>
                </c:pt>
                <c:pt idx="113">
                  <c:v>20.496540945512795</c:v>
                </c:pt>
                <c:pt idx="114">
                  <c:v>20.496540945512795</c:v>
                </c:pt>
                <c:pt idx="115">
                  <c:v>20.496540945512795</c:v>
                </c:pt>
                <c:pt idx="116">
                  <c:v>20.496540945512795</c:v>
                </c:pt>
                <c:pt idx="117">
                  <c:v>20.496540945512795</c:v>
                </c:pt>
                <c:pt idx="118">
                  <c:v>20.496540945512795</c:v>
                </c:pt>
                <c:pt idx="119">
                  <c:v>20.496540945512795</c:v>
                </c:pt>
                <c:pt idx="120">
                  <c:v>20.496540945512795</c:v>
                </c:pt>
                <c:pt idx="121">
                  <c:v>20.496540945512795</c:v>
                </c:pt>
                <c:pt idx="122">
                  <c:v>20.496540945512795</c:v>
                </c:pt>
                <c:pt idx="123">
                  <c:v>20.496540945512795</c:v>
                </c:pt>
                <c:pt idx="124">
                  <c:v>20.496540945512795</c:v>
                </c:pt>
                <c:pt idx="125">
                  <c:v>20.496540945512795</c:v>
                </c:pt>
                <c:pt idx="126">
                  <c:v>20.496540945512795</c:v>
                </c:pt>
                <c:pt idx="127">
                  <c:v>20.496540945512795</c:v>
                </c:pt>
                <c:pt idx="128">
                  <c:v>20.496540945512795</c:v>
                </c:pt>
                <c:pt idx="129">
                  <c:v>20.496540945512795</c:v>
                </c:pt>
                <c:pt idx="130">
                  <c:v>20.496540945512795</c:v>
                </c:pt>
                <c:pt idx="131">
                  <c:v>20.496540945512795</c:v>
                </c:pt>
                <c:pt idx="132">
                  <c:v>20.496540945512795</c:v>
                </c:pt>
                <c:pt idx="133">
                  <c:v>20.496540945512795</c:v>
                </c:pt>
                <c:pt idx="134">
                  <c:v>20.496540945512795</c:v>
                </c:pt>
                <c:pt idx="135">
                  <c:v>20.496540945512795</c:v>
                </c:pt>
                <c:pt idx="136">
                  <c:v>20.496540945512795</c:v>
                </c:pt>
                <c:pt idx="137">
                  <c:v>20.496540945512795</c:v>
                </c:pt>
                <c:pt idx="138">
                  <c:v>20.496540945512795</c:v>
                </c:pt>
                <c:pt idx="139">
                  <c:v>20.496540945512795</c:v>
                </c:pt>
                <c:pt idx="140">
                  <c:v>20.496540945512795</c:v>
                </c:pt>
                <c:pt idx="141">
                  <c:v>20.496540945512795</c:v>
                </c:pt>
                <c:pt idx="142">
                  <c:v>20.496540945512795</c:v>
                </c:pt>
                <c:pt idx="143">
                  <c:v>20.496540945512795</c:v>
                </c:pt>
                <c:pt idx="144">
                  <c:v>20.496540945512795</c:v>
                </c:pt>
                <c:pt idx="145">
                  <c:v>20.496540945512795</c:v>
                </c:pt>
                <c:pt idx="146">
                  <c:v>20.496540945512795</c:v>
                </c:pt>
                <c:pt idx="147">
                  <c:v>20.496540945512795</c:v>
                </c:pt>
                <c:pt idx="148">
                  <c:v>20.496540945512795</c:v>
                </c:pt>
                <c:pt idx="149">
                  <c:v>20.496540945512795</c:v>
                </c:pt>
                <c:pt idx="150">
                  <c:v>20.496540945512795</c:v>
                </c:pt>
                <c:pt idx="151">
                  <c:v>20.496540945512795</c:v>
                </c:pt>
                <c:pt idx="152">
                  <c:v>20.496540945512795</c:v>
                </c:pt>
                <c:pt idx="153">
                  <c:v>20.496540945512795</c:v>
                </c:pt>
                <c:pt idx="154">
                  <c:v>20.496540945512795</c:v>
                </c:pt>
                <c:pt idx="155">
                  <c:v>20.496540945512795</c:v>
                </c:pt>
                <c:pt idx="156">
                  <c:v>20.496540945512795</c:v>
                </c:pt>
                <c:pt idx="157">
                  <c:v>20.496540945512795</c:v>
                </c:pt>
                <c:pt idx="158">
                  <c:v>20.496540945512795</c:v>
                </c:pt>
                <c:pt idx="159">
                  <c:v>20.496540945512795</c:v>
                </c:pt>
                <c:pt idx="160">
                  <c:v>20.496540945512795</c:v>
                </c:pt>
                <c:pt idx="161">
                  <c:v>20.496540945512795</c:v>
                </c:pt>
                <c:pt idx="162">
                  <c:v>20.496540945512795</c:v>
                </c:pt>
                <c:pt idx="163">
                  <c:v>20.496540945512795</c:v>
                </c:pt>
                <c:pt idx="164">
                  <c:v>20.496540945512795</c:v>
                </c:pt>
                <c:pt idx="165">
                  <c:v>20.496540945512795</c:v>
                </c:pt>
                <c:pt idx="166">
                  <c:v>20.496540945512795</c:v>
                </c:pt>
                <c:pt idx="167">
                  <c:v>20.496540945512795</c:v>
                </c:pt>
                <c:pt idx="168">
                  <c:v>20.496540945512795</c:v>
                </c:pt>
                <c:pt idx="169">
                  <c:v>20.496540945512795</c:v>
                </c:pt>
                <c:pt idx="170">
                  <c:v>20.496540945512795</c:v>
                </c:pt>
                <c:pt idx="171">
                  <c:v>20.496540945512795</c:v>
                </c:pt>
                <c:pt idx="172">
                  <c:v>20.496540945512795</c:v>
                </c:pt>
                <c:pt idx="173">
                  <c:v>20.496540945512795</c:v>
                </c:pt>
                <c:pt idx="174">
                  <c:v>20.496540945512795</c:v>
                </c:pt>
                <c:pt idx="175">
                  <c:v>20.496540945512795</c:v>
                </c:pt>
                <c:pt idx="176">
                  <c:v>20.496540945512795</c:v>
                </c:pt>
                <c:pt idx="177">
                  <c:v>20.496540945512795</c:v>
                </c:pt>
                <c:pt idx="178">
                  <c:v>20.496540945512795</c:v>
                </c:pt>
                <c:pt idx="179">
                  <c:v>20.496540945512795</c:v>
                </c:pt>
                <c:pt idx="180">
                  <c:v>20.496540945512795</c:v>
                </c:pt>
                <c:pt idx="181">
                  <c:v>20.496540945512795</c:v>
                </c:pt>
                <c:pt idx="182">
                  <c:v>20.496540945512795</c:v>
                </c:pt>
                <c:pt idx="183">
                  <c:v>20.496540945512795</c:v>
                </c:pt>
                <c:pt idx="184">
                  <c:v>20.496540945512795</c:v>
                </c:pt>
                <c:pt idx="185">
                  <c:v>20.496540945512795</c:v>
                </c:pt>
                <c:pt idx="186">
                  <c:v>20.496540945512795</c:v>
                </c:pt>
                <c:pt idx="187">
                  <c:v>20.496540945512795</c:v>
                </c:pt>
                <c:pt idx="188">
                  <c:v>20.496540945512795</c:v>
                </c:pt>
                <c:pt idx="189">
                  <c:v>20.496540945512795</c:v>
                </c:pt>
                <c:pt idx="190">
                  <c:v>20.496540945512795</c:v>
                </c:pt>
                <c:pt idx="191">
                  <c:v>20.496540945512795</c:v>
                </c:pt>
                <c:pt idx="192">
                  <c:v>20.496540945512795</c:v>
                </c:pt>
                <c:pt idx="193">
                  <c:v>20.496540945512795</c:v>
                </c:pt>
                <c:pt idx="194">
                  <c:v>20.496540945512795</c:v>
                </c:pt>
                <c:pt idx="195">
                  <c:v>20.496540945512795</c:v>
                </c:pt>
                <c:pt idx="196">
                  <c:v>20.496540945512795</c:v>
                </c:pt>
                <c:pt idx="197">
                  <c:v>20.496540945512795</c:v>
                </c:pt>
                <c:pt idx="198">
                  <c:v>20.496540945512795</c:v>
                </c:pt>
                <c:pt idx="199">
                  <c:v>20.496540945512795</c:v>
                </c:pt>
                <c:pt idx="200">
                  <c:v>20.496540945512795</c:v>
                </c:pt>
                <c:pt idx="201">
                  <c:v>20.496540945512795</c:v>
                </c:pt>
                <c:pt idx="202">
                  <c:v>20.496540945512795</c:v>
                </c:pt>
                <c:pt idx="203">
                  <c:v>20.496540945512795</c:v>
                </c:pt>
                <c:pt idx="204">
                  <c:v>20.496540945512795</c:v>
                </c:pt>
                <c:pt idx="205">
                  <c:v>20.496540945512795</c:v>
                </c:pt>
                <c:pt idx="206">
                  <c:v>20.496540945512795</c:v>
                </c:pt>
                <c:pt idx="207">
                  <c:v>20.496540945512795</c:v>
                </c:pt>
                <c:pt idx="208">
                  <c:v>20.496540945512795</c:v>
                </c:pt>
                <c:pt idx="209">
                  <c:v>20.496540945512795</c:v>
                </c:pt>
                <c:pt idx="210">
                  <c:v>20.496540945512795</c:v>
                </c:pt>
                <c:pt idx="211">
                  <c:v>20.496540945512795</c:v>
                </c:pt>
                <c:pt idx="212">
                  <c:v>20.496540945512795</c:v>
                </c:pt>
                <c:pt idx="213">
                  <c:v>20.496540945512795</c:v>
                </c:pt>
                <c:pt idx="214">
                  <c:v>20.496540945512795</c:v>
                </c:pt>
                <c:pt idx="215">
                  <c:v>20.496540945512795</c:v>
                </c:pt>
                <c:pt idx="216">
                  <c:v>20.496540945512795</c:v>
                </c:pt>
                <c:pt idx="217">
                  <c:v>20.496540945512795</c:v>
                </c:pt>
                <c:pt idx="218">
                  <c:v>20.496540945512795</c:v>
                </c:pt>
                <c:pt idx="219">
                  <c:v>20.496540945512795</c:v>
                </c:pt>
                <c:pt idx="220">
                  <c:v>20.496540945512795</c:v>
                </c:pt>
                <c:pt idx="221">
                  <c:v>20.496540945512795</c:v>
                </c:pt>
                <c:pt idx="222">
                  <c:v>20.496540945512795</c:v>
                </c:pt>
                <c:pt idx="223">
                  <c:v>20.496540945512795</c:v>
                </c:pt>
                <c:pt idx="224">
                  <c:v>20.496540945512795</c:v>
                </c:pt>
                <c:pt idx="225">
                  <c:v>20.496540945512795</c:v>
                </c:pt>
                <c:pt idx="226">
                  <c:v>20.496540945512795</c:v>
                </c:pt>
                <c:pt idx="227">
                  <c:v>20.496540945512795</c:v>
                </c:pt>
                <c:pt idx="228">
                  <c:v>20.496540945512795</c:v>
                </c:pt>
                <c:pt idx="229">
                  <c:v>20.496540945512795</c:v>
                </c:pt>
                <c:pt idx="230">
                  <c:v>20.496540945512795</c:v>
                </c:pt>
                <c:pt idx="231">
                  <c:v>20.496540945512795</c:v>
                </c:pt>
                <c:pt idx="232">
                  <c:v>20.496540945512795</c:v>
                </c:pt>
                <c:pt idx="233">
                  <c:v>20.496540945512795</c:v>
                </c:pt>
                <c:pt idx="234">
                  <c:v>20.496540945512795</c:v>
                </c:pt>
                <c:pt idx="235">
                  <c:v>20.496540945512795</c:v>
                </c:pt>
                <c:pt idx="236">
                  <c:v>20.496540945512795</c:v>
                </c:pt>
                <c:pt idx="237">
                  <c:v>20.496540945512795</c:v>
                </c:pt>
                <c:pt idx="238">
                  <c:v>20.496540945512795</c:v>
                </c:pt>
                <c:pt idx="239">
                  <c:v>20.496540945512795</c:v>
                </c:pt>
                <c:pt idx="240">
                  <c:v>20.496540945512795</c:v>
                </c:pt>
                <c:pt idx="241">
                  <c:v>20.496540945512795</c:v>
                </c:pt>
                <c:pt idx="242">
                  <c:v>20.496540945512795</c:v>
                </c:pt>
                <c:pt idx="243">
                  <c:v>20.496540945512795</c:v>
                </c:pt>
                <c:pt idx="244">
                  <c:v>20.496540945512795</c:v>
                </c:pt>
                <c:pt idx="245">
                  <c:v>20.496540945512795</c:v>
                </c:pt>
                <c:pt idx="246">
                  <c:v>20.496540945512795</c:v>
                </c:pt>
                <c:pt idx="247">
                  <c:v>20.496540945512795</c:v>
                </c:pt>
                <c:pt idx="248">
                  <c:v>20.496540945512795</c:v>
                </c:pt>
                <c:pt idx="249">
                  <c:v>20.496540945512795</c:v>
                </c:pt>
                <c:pt idx="250">
                  <c:v>20.496540945512795</c:v>
                </c:pt>
                <c:pt idx="251">
                  <c:v>20.496540945512795</c:v>
                </c:pt>
                <c:pt idx="252">
                  <c:v>20.496540945512795</c:v>
                </c:pt>
                <c:pt idx="253">
                  <c:v>20.496540945512795</c:v>
                </c:pt>
                <c:pt idx="254">
                  <c:v>20.496540945512795</c:v>
                </c:pt>
                <c:pt idx="255">
                  <c:v>20.496540945512795</c:v>
                </c:pt>
                <c:pt idx="256">
                  <c:v>20.496540945512795</c:v>
                </c:pt>
                <c:pt idx="257">
                  <c:v>20.496540945512795</c:v>
                </c:pt>
                <c:pt idx="258">
                  <c:v>20.496540945512795</c:v>
                </c:pt>
                <c:pt idx="259">
                  <c:v>20.496540945512795</c:v>
                </c:pt>
                <c:pt idx="260">
                  <c:v>20.496540945512795</c:v>
                </c:pt>
                <c:pt idx="261">
                  <c:v>20.496540945512795</c:v>
                </c:pt>
                <c:pt idx="262">
                  <c:v>20.496540945512795</c:v>
                </c:pt>
                <c:pt idx="263">
                  <c:v>20.496540945512795</c:v>
                </c:pt>
                <c:pt idx="264">
                  <c:v>20.496540945512795</c:v>
                </c:pt>
                <c:pt idx="265">
                  <c:v>20.496540945512795</c:v>
                </c:pt>
                <c:pt idx="266">
                  <c:v>20.496540945512795</c:v>
                </c:pt>
                <c:pt idx="267">
                  <c:v>20.496540945512795</c:v>
                </c:pt>
                <c:pt idx="268">
                  <c:v>20.496540945512795</c:v>
                </c:pt>
                <c:pt idx="269">
                  <c:v>20.496540945512795</c:v>
                </c:pt>
                <c:pt idx="270">
                  <c:v>20.496540945512795</c:v>
                </c:pt>
                <c:pt idx="271">
                  <c:v>20.496540945512795</c:v>
                </c:pt>
                <c:pt idx="272">
                  <c:v>20.496540945512795</c:v>
                </c:pt>
                <c:pt idx="273">
                  <c:v>20.496540945512795</c:v>
                </c:pt>
                <c:pt idx="274">
                  <c:v>20.496540945512795</c:v>
                </c:pt>
                <c:pt idx="275">
                  <c:v>20.496540945512795</c:v>
                </c:pt>
                <c:pt idx="276">
                  <c:v>20.496540945512795</c:v>
                </c:pt>
                <c:pt idx="277">
                  <c:v>20.496540945512795</c:v>
                </c:pt>
                <c:pt idx="278">
                  <c:v>20.496540945512795</c:v>
                </c:pt>
                <c:pt idx="279">
                  <c:v>20.496540945512795</c:v>
                </c:pt>
                <c:pt idx="280">
                  <c:v>20.496540945512795</c:v>
                </c:pt>
                <c:pt idx="281">
                  <c:v>20.496540945512795</c:v>
                </c:pt>
                <c:pt idx="282">
                  <c:v>20.496540945512795</c:v>
                </c:pt>
                <c:pt idx="283">
                  <c:v>20.496540945512795</c:v>
                </c:pt>
                <c:pt idx="284">
                  <c:v>20.496540945512795</c:v>
                </c:pt>
                <c:pt idx="285">
                  <c:v>20.496540945512795</c:v>
                </c:pt>
                <c:pt idx="286">
                  <c:v>20.496540945512795</c:v>
                </c:pt>
                <c:pt idx="287">
                  <c:v>20.496540945512795</c:v>
                </c:pt>
                <c:pt idx="288">
                  <c:v>20.496540945512795</c:v>
                </c:pt>
                <c:pt idx="289">
                  <c:v>20.496540945512795</c:v>
                </c:pt>
                <c:pt idx="290">
                  <c:v>20.496540945512795</c:v>
                </c:pt>
                <c:pt idx="291">
                  <c:v>20.496540945512795</c:v>
                </c:pt>
                <c:pt idx="292">
                  <c:v>20.496540945512795</c:v>
                </c:pt>
                <c:pt idx="293">
                  <c:v>20.496540945512795</c:v>
                </c:pt>
                <c:pt idx="294">
                  <c:v>20.496540945512795</c:v>
                </c:pt>
                <c:pt idx="295">
                  <c:v>20.496540945512795</c:v>
                </c:pt>
                <c:pt idx="296">
                  <c:v>20.496540945512795</c:v>
                </c:pt>
                <c:pt idx="297">
                  <c:v>20.496540945512795</c:v>
                </c:pt>
                <c:pt idx="298">
                  <c:v>20.496540945512795</c:v>
                </c:pt>
                <c:pt idx="299">
                  <c:v>20.496540945512795</c:v>
                </c:pt>
                <c:pt idx="300">
                  <c:v>20.496540945512795</c:v>
                </c:pt>
                <c:pt idx="301">
                  <c:v>20.496540945512795</c:v>
                </c:pt>
                <c:pt idx="302">
                  <c:v>20.496540945512795</c:v>
                </c:pt>
                <c:pt idx="303">
                  <c:v>20.496540945512795</c:v>
                </c:pt>
                <c:pt idx="304">
                  <c:v>20.496540945512795</c:v>
                </c:pt>
                <c:pt idx="305">
                  <c:v>20.496540945512795</c:v>
                </c:pt>
                <c:pt idx="306">
                  <c:v>20.496540945512795</c:v>
                </c:pt>
                <c:pt idx="307">
                  <c:v>20.496540945512795</c:v>
                </c:pt>
                <c:pt idx="308">
                  <c:v>20.496540945512795</c:v>
                </c:pt>
                <c:pt idx="309">
                  <c:v>20.496540945512795</c:v>
                </c:pt>
                <c:pt idx="310">
                  <c:v>20.496540945512795</c:v>
                </c:pt>
                <c:pt idx="311">
                  <c:v>20.496540945512795</c:v>
                </c:pt>
                <c:pt idx="312">
                  <c:v>20.496540945512795</c:v>
                </c:pt>
                <c:pt idx="313">
                  <c:v>20.496540945512795</c:v>
                </c:pt>
                <c:pt idx="314">
                  <c:v>20.496540945512795</c:v>
                </c:pt>
                <c:pt idx="315">
                  <c:v>20.496540945512795</c:v>
                </c:pt>
                <c:pt idx="316">
                  <c:v>20.496540945512795</c:v>
                </c:pt>
                <c:pt idx="317">
                  <c:v>20.496540945512795</c:v>
                </c:pt>
                <c:pt idx="318">
                  <c:v>20.496540945512795</c:v>
                </c:pt>
                <c:pt idx="319">
                  <c:v>20.496540945512795</c:v>
                </c:pt>
                <c:pt idx="320">
                  <c:v>20.496540945512795</c:v>
                </c:pt>
                <c:pt idx="321">
                  <c:v>20.496540945512795</c:v>
                </c:pt>
                <c:pt idx="322">
                  <c:v>20.496540945512795</c:v>
                </c:pt>
                <c:pt idx="323">
                  <c:v>20.496540945512795</c:v>
                </c:pt>
                <c:pt idx="324">
                  <c:v>20.496540945512795</c:v>
                </c:pt>
                <c:pt idx="325">
                  <c:v>20.496540945512795</c:v>
                </c:pt>
                <c:pt idx="326">
                  <c:v>20.496540945512795</c:v>
                </c:pt>
                <c:pt idx="327">
                  <c:v>20.496540945512795</c:v>
                </c:pt>
                <c:pt idx="328">
                  <c:v>20.496540945512795</c:v>
                </c:pt>
                <c:pt idx="329">
                  <c:v>20.496540945512795</c:v>
                </c:pt>
                <c:pt idx="330">
                  <c:v>20.496540945512795</c:v>
                </c:pt>
                <c:pt idx="331">
                  <c:v>20.496540945512795</c:v>
                </c:pt>
                <c:pt idx="332">
                  <c:v>20.496540945512795</c:v>
                </c:pt>
                <c:pt idx="333">
                  <c:v>20.496540945512795</c:v>
                </c:pt>
                <c:pt idx="334">
                  <c:v>20.496540945512795</c:v>
                </c:pt>
                <c:pt idx="335">
                  <c:v>20.496540945512795</c:v>
                </c:pt>
                <c:pt idx="336">
                  <c:v>20.496540945512795</c:v>
                </c:pt>
                <c:pt idx="337">
                  <c:v>20.496540945512795</c:v>
                </c:pt>
                <c:pt idx="338">
                  <c:v>20.496540945512795</c:v>
                </c:pt>
                <c:pt idx="339">
                  <c:v>20.496540945512795</c:v>
                </c:pt>
                <c:pt idx="340">
                  <c:v>20.496540945512795</c:v>
                </c:pt>
                <c:pt idx="341">
                  <c:v>20.496540945512795</c:v>
                </c:pt>
                <c:pt idx="342">
                  <c:v>20.496540945512795</c:v>
                </c:pt>
                <c:pt idx="343">
                  <c:v>20.496540945512795</c:v>
                </c:pt>
                <c:pt idx="344">
                  <c:v>20.496540945512795</c:v>
                </c:pt>
                <c:pt idx="345">
                  <c:v>20.496540945512795</c:v>
                </c:pt>
                <c:pt idx="346">
                  <c:v>20.496540945512795</c:v>
                </c:pt>
                <c:pt idx="347">
                  <c:v>20.496540945512795</c:v>
                </c:pt>
                <c:pt idx="348">
                  <c:v>20.496540945512795</c:v>
                </c:pt>
                <c:pt idx="349">
                  <c:v>20.496540945512795</c:v>
                </c:pt>
                <c:pt idx="350">
                  <c:v>20.496540945512795</c:v>
                </c:pt>
                <c:pt idx="351">
                  <c:v>20.496540945512795</c:v>
                </c:pt>
                <c:pt idx="352">
                  <c:v>20.496540945512795</c:v>
                </c:pt>
                <c:pt idx="353">
                  <c:v>20.496540945512795</c:v>
                </c:pt>
                <c:pt idx="354">
                  <c:v>20.496540945512795</c:v>
                </c:pt>
                <c:pt idx="355">
                  <c:v>20.496540945512795</c:v>
                </c:pt>
                <c:pt idx="356">
                  <c:v>20.496540945512795</c:v>
                </c:pt>
                <c:pt idx="357">
                  <c:v>20.496540945512795</c:v>
                </c:pt>
                <c:pt idx="358">
                  <c:v>20.496540945512795</c:v>
                </c:pt>
                <c:pt idx="359">
                  <c:v>20.496540945512795</c:v>
                </c:pt>
                <c:pt idx="360">
                  <c:v>20.496540945512795</c:v>
                </c:pt>
                <c:pt idx="361">
                  <c:v>20.496540945512795</c:v>
                </c:pt>
                <c:pt idx="362">
                  <c:v>20.496540945512795</c:v>
                </c:pt>
                <c:pt idx="363">
                  <c:v>20.496540945512795</c:v>
                </c:pt>
                <c:pt idx="364">
                  <c:v>20.496540945512795</c:v>
                </c:pt>
                <c:pt idx="365">
                  <c:v>20.496540945512795</c:v>
                </c:pt>
                <c:pt idx="366">
                  <c:v>20.496540945512795</c:v>
                </c:pt>
                <c:pt idx="367">
                  <c:v>20.496540945512795</c:v>
                </c:pt>
                <c:pt idx="368">
                  <c:v>20.496540945512795</c:v>
                </c:pt>
                <c:pt idx="369">
                  <c:v>20.496540945512795</c:v>
                </c:pt>
                <c:pt idx="370">
                  <c:v>20.496540945512795</c:v>
                </c:pt>
                <c:pt idx="371">
                  <c:v>20.496540945512795</c:v>
                </c:pt>
                <c:pt idx="372">
                  <c:v>20.496540945512795</c:v>
                </c:pt>
                <c:pt idx="373">
                  <c:v>20.496540945512795</c:v>
                </c:pt>
                <c:pt idx="374">
                  <c:v>20.496540945512795</c:v>
                </c:pt>
                <c:pt idx="375">
                  <c:v>20.496540945512795</c:v>
                </c:pt>
                <c:pt idx="376">
                  <c:v>20.496540945512795</c:v>
                </c:pt>
                <c:pt idx="377">
                  <c:v>20.496540945512795</c:v>
                </c:pt>
                <c:pt idx="378">
                  <c:v>20.496540945512795</c:v>
                </c:pt>
                <c:pt idx="379">
                  <c:v>20.496540945512795</c:v>
                </c:pt>
                <c:pt idx="380">
                  <c:v>20.496540945512795</c:v>
                </c:pt>
                <c:pt idx="381">
                  <c:v>20.496540945512795</c:v>
                </c:pt>
                <c:pt idx="382">
                  <c:v>20.496540945512795</c:v>
                </c:pt>
                <c:pt idx="383">
                  <c:v>20.496540945512795</c:v>
                </c:pt>
                <c:pt idx="384">
                  <c:v>20.496540945512795</c:v>
                </c:pt>
                <c:pt idx="385">
                  <c:v>20.496540945512795</c:v>
                </c:pt>
                <c:pt idx="386">
                  <c:v>20.496540945512795</c:v>
                </c:pt>
                <c:pt idx="387">
                  <c:v>20.496540945512795</c:v>
                </c:pt>
                <c:pt idx="388">
                  <c:v>20.496540945512795</c:v>
                </c:pt>
                <c:pt idx="389">
                  <c:v>20.496540945512795</c:v>
                </c:pt>
                <c:pt idx="390">
                  <c:v>20.496540945512795</c:v>
                </c:pt>
                <c:pt idx="391">
                  <c:v>20.496540945512795</c:v>
                </c:pt>
                <c:pt idx="392">
                  <c:v>20.496540945512795</c:v>
                </c:pt>
                <c:pt idx="393">
                  <c:v>20.496540945512795</c:v>
                </c:pt>
                <c:pt idx="394">
                  <c:v>20.496540945512795</c:v>
                </c:pt>
                <c:pt idx="395">
                  <c:v>20.496540945512795</c:v>
                </c:pt>
                <c:pt idx="396">
                  <c:v>20.496540945512795</c:v>
                </c:pt>
                <c:pt idx="397">
                  <c:v>20.496540945512795</c:v>
                </c:pt>
                <c:pt idx="398">
                  <c:v>20.496540945512795</c:v>
                </c:pt>
                <c:pt idx="399">
                  <c:v>20.496540945512795</c:v>
                </c:pt>
                <c:pt idx="400">
                  <c:v>20.496540945512795</c:v>
                </c:pt>
                <c:pt idx="401">
                  <c:v>20.496540945512795</c:v>
                </c:pt>
                <c:pt idx="402">
                  <c:v>20.496540945512795</c:v>
                </c:pt>
                <c:pt idx="403">
                  <c:v>20.496540945512795</c:v>
                </c:pt>
                <c:pt idx="404">
                  <c:v>20.496540945512795</c:v>
                </c:pt>
                <c:pt idx="405">
                  <c:v>20.496540945512795</c:v>
                </c:pt>
                <c:pt idx="406">
                  <c:v>20.496540945512795</c:v>
                </c:pt>
                <c:pt idx="407">
                  <c:v>20.496540945512795</c:v>
                </c:pt>
                <c:pt idx="408">
                  <c:v>20.496540945512795</c:v>
                </c:pt>
                <c:pt idx="409">
                  <c:v>20.496540945512795</c:v>
                </c:pt>
                <c:pt idx="410">
                  <c:v>20.496540945512795</c:v>
                </c:pt>
                <c:pt idx="411">
                  <c:v>20.496540945512795</c:v>
                </c:pt>
                <c:pt idx="412">
                  <c:v>20.496540945512795</c:v>
                </c:pt>
                <c:pt idx="413">
                  <c:v>20.496540945512795</c:v>
                </c:pt>
                <c:pt idx="414">
                  <c:v>20.496540945512795</c:v>
                </c:pt>
                <c:pt idx="415">
                  <c:v>20.496540945512795</c:v>
                </c:pt>
                <c:pt idx="416">
                  <c:v>20.496540945512795</c:v>
                </c:pt>
                <c:pt idx="417">
                  <c:v>20.496540945512795</c:v>
                </c:pt>
                <c:pt idx="418">
                  <c:v>20.496540945512795</c:v>
                </c:pt>
                <c:pt idx="419">
                  <c:v>20.496540945512795</c:v>
                </c:pt>
                <c:pt idx="420">
                  <c:v>20.496540945512795</c:v>
                </c:pt>
                <c:pt idx="421">
                  <c:v>20.496540945512795</c:v>
                </c:pt>
                <c:pt idx="422">
                  <c:v>20.496540945512795</c:v>
                </c:pt>
                <c:pt idx="423">
                  <c:v>20.496540945512795</c:v>
                </c:pt>
                <c:pt idx="424">
                  <c:v>20.496540945512795</c:v>
                </c:pt>
                <c:pt idx="425">
                  <c:v>20.496540945512795</c:v>
                </c:pt>
                <c:pt idx="426">
                  <c:v>20.496540945512795</c:v>
                </c:pt>
                <c:pt idx="427">
                  <c:v>20.496540945512795</c:v>
                </c:pt>
                <c:pt idx="428">
                  <c:v>20.496540945512795</c:v>
                </c:pt>
                <c:pt idx="429">
                  <c:v>20.496540945512795</c:v>
                </c:pt>
                <c:pt idx="430">
                  <c:v>20.496540945512795</c:v>
                </c:pt>
                <c:pt idx="431">
                  <c:v>20.496540945512795</c:v>
                </c:pt>
                <c:pt idx="432">
                  <c:v>20.496540945512795</c:v>
                </c:pt>
                <c:pt idx="433">
                  <c:v>20.496540945512795</c:v>
                </c:pt>
                <c:pt idx="434">
                  <c:v>20.496540945512795</c:v>
                </c:pt>
                <c:pt idx="435">
                  <c:v>20.496540945512795</c:v>
                </c:pt>
                <c:pt idx="436">
                  <c:v>20.496540945512795</c:v>
                </c:pt>
                <c:pt idx="437">
                  <c:v>20.496540945512795</c:v>
                </c:pt>
                <c:pt idx="438">
                  <c:v>20.496540945512795</c:v>
                </c:pt>
                <c:pt idx="439">
                  <c:v>20.496540945512795</c:v>
                </c:pt>
                <c:pt idx="440">
                  <c:v>20.496540945512795</c:v>
                </c:pt>
                <c:pt idx="441">
                  <c:v>20.496540945512795</c:v>
                </c:pt>
                <c:pt idx="442">
                  <c:v>20.496540945512795</c:v>
                </c:pt>
                <c:pt idx="443">
                  <c:v>20.496540945512795</c:v>
                </c:pt>
                <c:pt idx="444">
                  <c:v>20.496540945512795</c:v>
                </c:pt>
                <c:pt idx="445">
                  <c:v>20.496540945512795</c:v>
                </c:pt>
                <c:pt idx="446">
                  <c:v>20.496540945512795</c:v>
                </c:pt>
                <c:pt idx="447">
                  <c:v>20.496540945512795</c:v>
                </c:pt>
                <c:pt idx="448">
                  <c:v>20.496540945512795</c:v>
                </c:pt>
                <c:pt idx="449">
                  <c:v>20.496540945512795</c:v>
                </c:pt>
                <c:pt idx="450">
                  <c:v>20.496540945512795</c:v>
                </c:pt>
                <c:pt idx="451">
                  <c:v>20.496540945512795</c:v>
                </c:pt>
                <c:pt idx="452">
                  <c:v>20.496540945512795</c:v>
                </c:pt>
                <c:pt idx="453">
                  <c:v>20.496540945512795</c:v>
                </c:pt>
                <c:pt idx="454">
                  <c:v>20.496540945512795</c:v>
                </c:pt>
                <c:pt idx="455">
                  <c:v>20.496540945512795</c:v>
                </c:pt>
                <c:pt idx="456">
                  <c:v>20.496540945512795</c:v>
                </c:pt>
                <c:pt idx="457">
                  <c:v>20.496540945512795</c:v>
                </c:pt>
                <c:pt idx="458">
                  <c:v>20.496540945512795</c:v>
                </c:pt>
                <c:pt idx="459">
                  <c:v>20.496540945512795</c:v>
                </c:pt>
                <c:pt idx="460">
                  <c:v>20.496540945512795</c:v>
                </c:pt>
                <c:pt idx="461">
                  <c:v>20.496540945512795</c:v>
                </c:pt>
                <c:pt idx="462">
                  <c:v>20.496540945512795</c:v>
                </c:pt>
                <c:pt idx="463">
                  <c:v>20.496540945512795</c:v>
                </c:pt>
                <c:pt idx="464">
                  <c:v>20.496540945512795</c:v>
                </c:pt>
                <c:pt idx="465">
                  <c:v>20.496540945512795</c:v>
                </c:pt>
                <c:pt idx="466">
                  <c:v>20.496540945512795</c:v>
                </c:pt>
                <c:pt idx="467">
                  <c:v>20.496540945512795</c:v>
                </c:pt>
                <c:pt idx="468">
                  <c:v>20.496540945512795</c:v>
                </c:pt>
                <c:pt idx="469">
                  <c:v>20.496540945512795</c:v>
                </c:pt>
                <c:pt idx="470">
                  <c:v>20.496540945512795</c:v>
                </c:pt>
                <c:pt idx="471">
                  <c:v>20.496540945512795</c:v>
                </c:pt>
                <c:pt idx="472">
                  <c:v>20.496540945512795</c:v>
                </c:pt>
                <c:pt idx="473">
                  <c:v>20.496540945512795</c:v>
                </c:pt>
                <c:pt idx="474">
                  <c:v>20.496540945512795</c:v>
                </c:pt>
                <c:pt idx="475">
                  <c:v>20.496540945512795</c:v>
                </c:pt>
                <c:pt idx="476">
                  <c:v>20.496540945512795</c:v>
                </c:pt>
                <c:pt idx="477">
                  <c:v>20.496540945512795</c:v>
                </c:pt>
                <c:pt idx="478">
                  <c:v>20.496540945512795</c:v>
                </c:pt>
                <c:pt idx="479">
                  <c:v>20.496540945512795</c:v>
                </c:pt>
                <c:pt idx="480">
                  <c:v>20.496540945512795</c:v>
                </c:pt>
                <c:pt idx="481">
                  <c:v>20.496540945512795</c:v>
                </c:pt>
                <c:pt idx="482">
                  <c:v>20.496540945512795</c:v>
                </c:pt>
                <c:pt idx="483">
                  <c:v>20.496540945512795</c:v>
                </c:pt>
                <c:pt idx="484">
                  <c:v>20.496540945512795</c:v>
                </c:pt>
                <c:pt idx="485">
                  <c:v>20.496540945512795</c:v>
                </c:pt>
                <c:pt idx="486">
                  <c:v>20.496540945512795</c:v>
                </c:pt>
                <c:pt idx="487">
                  <c:v>20.496540945512795</c:v>
                </c:pt>
                <c:pt idx="488">
                  <c:v>20.496540945512795</c:v>
                </c:pt>
                <c:pt idx="489">
                  <c:v>20.496540945512795</c:v>
                </c:pt>
                <c:pt idx="490">
                  <c:v>20.496540945512795</c:v>
                </c:pt>
                <c:pt idx="491">
                  <c:v>20.496540945512795</c:v>
                </c:pt>
                <c:pt idx="492">
                  <c:v>20.496540945512795</c:v>
                </c:pt>
                <c:pt idx="493">
                  <c:v>20.496540945512795</c:v>
                </c:pt>
                <c:pt idx="494">
                  <c:v>20.496540945512795</c:v>
                </c:pt>
                <c:pt idx="495">
                  <c:v>20.496540945512795</c:v>
                </c:pt>
                <c:pt idx="496">
                  <c:v>20.496540945512795</c:v>
                </c:pt>
                <c:pt idx="497">
                  <c:v>20.496540945512795</c:v>
                </c:pt>
                <c:pt idx="498">
                  <c:v>20.496540945512795</c:v>
                </c:pt>
                <c:pt idx="499">
                  <c:v>20.496540945512795</c:v>
                </c:pt>
                <c:pt idx="500">
                  <c:v>20.496540945512795</c:v>
                </c:pt>
                <c:pt idx="501">
                  <c:v>20.496540945512795</c:v>
                </c:pt>
                <c:pt idx="502">
                  <c:v>20.496540945512795</c:v>
                </c:pt>
                <c:pt idx="503">
                  <c:v>20.496540945512795</c:v>
                </c:pt>
                <c:pt idx="504">
                  <c:v>20.496540945512795</c:v>
                </c:pt>
                <c:pt idx="505">
                  <c:v>20.496540945512795</c:v>
                </c:pt>
                <c:pt idx="506">
                  <c:v>20.496540945512795</c:v>
                </c:pt>
                <c:pt idx="507">
                  <c:v>20.496540945512795</c:v>
                </c:pt>
                <c:pt idx="508">
                  <c:v>20.496540945512795</c:v>
                </c:pt>
                <c:pt idx="509">
                  <c:v>20.496540945512795</c:v>
                </c:pt>
                <c:pt idx="510">
                  <c:v>20.496540945512795</c:v>
                </c:pt>
                <c:pt idx="511">
                  <c:v>20.496540945512795</c:v>
                </c:pt>
                <c:pt idx="512">
                  <c:v>20.496540945512795</c:v>
                </c:pt>
                <c:pt idx="513">
                  <c:v>20.496540945512795</c:v>
                </c:pt>
                <c:pt idx="514">
                  <c:v>20.496540945512795</c:v>
                </c:pt>
                <c:pt idx="515">
                  <c:v>20.496540945512795</c:v>
                </c:pt>
                <c:pt idx="516">
                  <c:v>20.496540945512795</c:v>
                </c:pt>
                <c:pt idx="517">
                  <c:v>20.496540945512795</c:v>
                </c:pt>
                <c:pt idx="518">
                  <c:v>20.496540945512795</c:v>
                </c:pt>
                <c:pt idx="519">
                  <c:v>20.496540945512795</c:v>
                </c:pt>
                <c:pt idx="520">
                  <c:v>20.496540945512795</c:v>
                </c:pt>
                <c:pt idx="521">
                  <c:v>20.496540945512795</c:v>
                </c:pt>
                <c:pt idx="522">
                  <c:v>20.496540945512795</c:v>
                </c:pt>
                <c:pt idx="523">
                  <c:v>20.496540945512795</c:v>
                </c:pt>
                <c:pt idx="524">
                  <c:v>20.496540945512795</c:v>
                </c:pt>
                <c:pt idx="525">
                  <c:v>20.496540945512795</c:v>
                </c:pt>
                <c:pt idx="526">
                  <c:v>20.496540945512795</c:v>
                </c:pt>
                <c:pt idx="527">
                  <c:v>20.496540945512795</c:v>
                </c:pt>
                <c:pt idx="528">
                  <c:v>20.496540945512795</c:v>
                </c:pt>
                <c:pt idx="529">
                  <c:v>20.496540945512795</c:v>
                </c:pt>
                <c:pt idx="530">
                  <c:v>20.496540945512795</c:v>
                </c:pt>
                <c:pt idx="531">
                  <c:v>20.496540945512795</c:v>
                </c:pt>
                <c:pt idx="532">
                  <c:v>20.496540945512795</c:v>
                </c:pt>
                <c:pt idx="533">
                  <c:v>20.496540945512795</c:v>
                </c:pt>
                <c:pt idx="534">
                  <c:v>20.496540945512795</c:v>
                </c:pt>
                <c:pt idx="535">
                  <c:v>20.496540945512795</c:v>
                </c:pt>
                <c:pt idx="536">
                  <c:v>20.496540945512795</c:v>
                </c:pt>
                <c:pt idx="537">
                  <c:v>20.496540945512795</c:v>
                </c:pt>
                <c:pt idx="538">
                  <c:v>20.496540945512795</c:v>
                </c:pt>
                <c:pt idx="539">
                  <c:v>20.496540945512795</c:v>
                </c:pt>
                <c:pt idx="540">
                  <c:v>20.496540945512795</c:v>
                </c:pt>
                <c:pt idx="541">
                  <c:v>20.496540945512795</c:v>
                </c:pt>
                <c:pt idx="542">
                  <c:v>20.496540945512795</c:v>
                </c:pt>
                <c:pt idx="543">
                  <c:v>20.496540945512795</c:v>
                </c:pt>
                <c:pt idx="544">
                  <c:v>20.496540945512795</c:v>
                </c:pt>
                <c:pt idx="545">
                  <c:v>20.496540945512795</c:v>
                </c:pt>
                <c:pt idx="546">
                  <c:v>20.496540945512795</c:v>
                </c:pt>
                <c:pt idx="547">
                  <c:v>20.496540945512795</c:v>
                </c:pt>
                <c:pt idx="548">
                  <c:v>20.496540945512795</c:v>
                </c:pt>
                <c:pt idx="549">
                  <c:v>20.496540945512795</c:v>
                </c:pt>
                <c:pt idx="550">
                  <c:v>20.496540945512795</c:v>
                </c:pt>
                <c:pt idx="551">
                  <c:v>20.496540945512795</c:v>
                </c:pt>
                <c:pt idx="552">
                  <c:v>20.496540945512795</c:v>
                </c:pt>
                <c:pt idx="553">
                  <c:v>20.496540945512795</c:v>
                </c:pt>
                <c:pt idx="554">
                  <c:v>20.496540945512795</c:v>
                </c:pt>
                <c:pt idx="555">
                  <c:v>20.496540945512795</c:v>
                </c:pt>
                <c:pt idx="556">
                  <c:v>20.496540945512795</c:v>
                </c:pt>
                <c:pt idx="557">
                  <c:v>20.496540945512795</c:v>
                </c:pt>
                <c:pt idx="558">
                  <c:v>20.496540945512795</c:v>
                </c:pt>
                <c:pt idx="559">
                  <c:v>20.496540945512795</c:v>
                </c:pt>
                <c:pt idx="560">
                  <c:v>20.496540945512795</c:v>
                </c:pt>
                <c:pt idx="561">
                  <c:v>20.496540945512795</c:v>
                </c:pt>
                <c:pt idx="562">
                  <c:v>20.496540945512795</c:v>
                </c:pt>
                <c:pt idx="563">
                  <c:v>20.496540945512795</c:v>
                </c:pt>
                <c:pt idx="564">
                  <c:v>20.496540945512795</c:v>
                </c:pt>
                <c:pt idx="565">
                  <c:v>20.496540945512795</c:v>
                </c:pt>
                <c:pt idx="566">
                  <c:v>20.496540945512795</c:v>
                </c:pt>
                <c:pt idx="567">
                  <c:v>20.496540945512795</c:v>
                </c:pt>
                <c:pt idx="568">
                  <c:v>20.496540945512795</c:v>
                </c:pt>
                <c:pt idx="569">
                  <c:v>20.496540945512795</c:v>
                </c:pt>
                <c:pt idx="570">
                  <c:v>20.496540945512795</c:v>
                </c:pt>
                <c:pt idx="571">
                  <c:v>20.496540945512795</c:v>
                </c:pt>
                <c:pt idx="572">
                  <c:v>20.496540945512795</c:v>
                </c:pt>
                <c:pt idx="573">
                  <c:v>20.496540945512795</c:v>
                </c:pt>
                <c:pt idx="574">
                  <c:v>20.496540945512795</c:v>
                </c:pt>
                <c:pt idx="575">
                  <c:v>20.496540945512795</c:v>
                </c:pt>
                <c:pt idx="576">
                  <c:v>20.496540945512795</c:v>
                </c:pt>
                <c:pt idx="577">
                  <c:v>20.496540945512795</c:v>
                </c:pt>
                <c:pt idx="578">
                  <c:v>20.496540945512795</c:v>
                </c:pt>
                <c:pt idx="579">
                  <c:v>20.496540945512795</c:v>
                </c:pt>
                <c:pt idx="580">
                  <c:v>20.496540945512795</c:v>
                </c:pt>
                <c:pt idx="581">
                  <c:v>20.496540945512795</c:v>
                </c:pt>
                <c:pt idx="582">
                  <c:v>20.496540945512795</c:v>
                </c:pt>
                <c:pt idx="583">
                  <c:v>20.496540945512795</c:v>
                </c:pt>
                <c:pt idx="584">
                  <c:v>20.496540945512795</c:v>
                </c:pt>
                <c:pt idx="585">
                  <c:v>20.496540945512795</c:v>
                </c:pt>
                <c:pt idx="586">
                  <c:v>20.496540945512795</c:v>
                </c:pt>
                <c:pt idx="587">
                  <c:v>20.496540945512795</c:v>
                </c:pt>
                <c:pt idx="588">
                  <c:v>20.496540945512795</c:v>
                </c:pt>
                <c:pt idx="589">
                  <c:v>20.496540945512795</c:v>
                </c:pt>
                <c:pt idx="590">
                  <c:v>20.496540945512795</c:v>
                </c:pt>
                <c:pt idx="591">
                  <c:v>20.496540945512795</c:v>
                </c:pt>
                <c:pt idx="592">
                  <c:v>20.496540945512795</c:v>
                </c:pt>
                <c:pt idx="593">
                  <c:v>20.496540945512795</c:v>
                </c:pt>
                <c:pt idx="594">
                  <c:v>20.496540945512795</c:v>
                </c:pt>
                <c:pt idx="595">
                  <c:v>20.496540945512795</c:v>
                </c:pt>
                <c:pt idx="596">
                  <c:v>20.496540945512795</c:v>
                </c:pt>
                <c:pt idx="597">
                  <c:v>20.496540945512795</c:v>
                </c:pt>
                <c:pt idx="598">
                  <c:v>20.496540945512795</c:v>
                </c:pt>
                <c:pt idx="599">
                  <c:v>20.496540945512795</c:v>
                </c:pt>
                <c:pt idx="600">
                  <c:v>20.496540945512795</c:v>
                </c:pt>
                <c:pt idx="601">
                  <c:v>20.496540945512795</c:v>
                </c:pt>
                <c:pt idx="602">
                  <c:v>20.496540945512795</c:v>
                </c:pt>
                <c:pt idx="603">
                  <c:v>20.496540945512795</c:v>
                </c:pt>
                <c:pt idx="604">
                  <c:v>20.496540945512795</c:v>
                </c:pt>
                <c:pt idx="605">
                  <c:v>20.496540945512795</c:v>
                </c:pt>
                <c:pt idx="606">
                  <c:v>20.496540945512795</c:v>
                </c:pt>
                <c:pt idx="607">
                  <c:v>20.496540945512795</c:v>
                </c:pt>
                <c:pt idx="608">
                  <c:v>20.496540945512795</c:v>
                </c:pt>
                <c:pt idx="609">
                  <c:v>20.496540945512795</c:v>
                </c:pt>
                <c:pt idx="610">
                  <c:v>20.496540945512795</c:v>
                </c:pt>
                <c:pt idx="611">
                  <c:v>20.496540945512795</c:v>
                </c:pt>
                <c:pt idx="612">
                  <c:v>20.496540945512795</c:v>
                </c:pt>
                <c:pt idx="613">
                  <c:v>20.496540945512795</c:v>
                </c:pt>
                <c:pt idx="614">
                  <c:v>20.496540945512795</c:v>
                </c:pt>
                <c:pt idx="615">
                  <c:v>20.496540945512795</c:v>
                </c:pt>
                <c:pt idx="616">
                  <c:v>20.496540945512795</c:v>
                </c:pt>
                <c:pt idx="617">
                  <c:v>20.496540945512795</c:v>
                </c:pt>
                <c:pt idx="618">
                  <c:v>20.496540945512795</c:v>
                </c:pt>
                <c:pt idx="619">
                  <c:v>20.496540945512795</c:v>
                </c:pt>
                <c:pt idx="620">
                  <c:v>20.496540945512795</c:v>
                </c:pt>
                <c:pt idx="621">
                  <c:v>20.496540945512795</c:v>
                </c:pt>
                <c:pt idx="622">
                  <c:v>20.496540945512795</c:v>
                </c:pt>
                <c:pt idx="623">
                  <c:v>20.496540945512795</c:v>
                </c:pt>
                <c:pt idx="624">
                  <c:v>20.496540945512795</c:v>
                </c:pt>
                <c:pt idx="625">
                  <c:v>20.496540945512795</c:v>
                </c:pt>
                <c:pt idx="626">
                  <c:v>20.496540945512795</c:v>
                </c:pt>
                <c:pt idx="627">
                  <c:v>20.496540945512795</c:v>
                </c:pt>
                <c:pt idx="628">
                  <c:v>20.496540945512795</c:v>
                </c:pt>
                <c:pt idx="629">
                  <c:v>20.496540945512795</c:v>
                </c:pt>
                <c:pt idx="630">
                  <c:v>20.496540945512795</c:v>
                </c:pt>
                <c:pt idx="631">
                  <c:v>20.496540945512795</c:v>
                </c:pt>
                <c:pt idx="632">
                  <c:v>20.496540945512795</c:v>
                </c:pt>
                <c:pt idx="633">
                  <c:v>20.496540945512795</c:v>
                </c:pt>
                <c:pt idx="634">
                  <c:v>20.496540945512795</c:v>
                </c:pt>
                <c:pt idx="635">
                  <c:v>20.496540945512795</c:v>
                </c:pt>
                <c:pt idx="636">
                  <c:v>20.496540945512795</c:v>
                </c:pt>
                <c:pt idx="637">
                  <c:v>20.496540945512795</c:v>
                </c:pt>
                <c:pt idx="638">
                  <c:v>20.496540945512795</c:v>
                </c:pt>
                <c:pt idx="639">
                  <c:v>20.496540945512795</c:v>
                </c:pt>
                <c:pt idx="640">
                  <c:v>20.496540945512795</c:v>
                </c:pt>
                <c:pt idx="641">
                  <c:v>20.496540945512795</c:v>
                </c:pt>
                <c:pt idx="642">
                  <c:v>20.496540945512795</c:v>
                </c:pt>
                <c:pt idx="643">
                  <c:v>20.496540945512795</c:v>
                </c:pt>
                <c:pt idx="644">
                  <c:v>20.496540945512795</c:v>
                </c:pt>
                <c:pt idx="645">
                  <c:v>20.496540945512795</c:v>
                </c:pt>
                <c:pt idx="646">
                  <c:v>20.496540945512795</c:v>
                </c:pt>
                <c:pt idx="647">
                  <c:v>20.496540945512795</c:v>
                </c:pt>
                <c:pt idx="648">
                  <c:v>20.496540945512795</c:v>
                </c:pt>
                <c:pt idx="649">
                  <c:v>20.496540945512795</c:v>
                </c:pt>
                <c:pt idx="650">
                  <c:v>20.496540945512795</c:v>
                </c:pt>
                <c:pt idx="651">
                  <c:v>20.496540945512795</c:v>
                </c:pt>
                <c:pt idx="652">
                  <c:v>20.496540945512795</c:v>
                </c:pt>
                <c:pt idx="653">
                  <c:v>20.496540945512795</c:v>
                </c:pt>
                <c:pt idx="654">
                  <c:v>20.496540945512795</c:v>
                </c:pt>
                <c:pt idx="655">
                  <c:v>20.496540945512795</c:v>
                </c:pt>
                <c:pt idx="656">
                  <c:v>20.496540945512795</c:v>
                </c:pt>
                <c:pt idx="657">
                  <c:v>20.496540945512795</c:v>
                </c:pt>
                <c:pt idx="658">
                  <c:v>20.496540945512795</c:v>
                </c:pt>
                <c:pt idx="659">
                  <c:v>20.496540945512795</c:v>
                </c:pt>
                <c:pt idx="660">
                  <c:v>20.496540945512795</c:v>
                </c:pt>
                <c:pt idx="661">
                  <c:v>20.496540945512795</c:v>
                </c:pt>
                <c:pt idx="662">
                  <c:v>20.496540945512795</c:v>
                </c:pt>
                <c:pt idx="663">
                  <c:v>20.496540945512795</c:v>
                </c:pt>
                <c:pt idx="664">
                  <c:v>20.496540945512795</c:v>
                </c:pt>
                <c:pt idx="665">
                  <c:v>20.496540945512795</c:v>
                </c:pt>
                <c:pt idx="666">
                  <c:v>20.496540945512795</c:v>
                </c:pt>
                <c:pt idx="667">
                  <c:v>20.496540945512795</c:v>
                </c:pt>
                <c:pt idx="668">
                  <c:v>20.496540945512795</c:v>
                </c:pt>
                <c:pt idx="669">
                  <c:v>20.496540945512795</c:v>
                </c:pt>
                <c:pt idx="670">
                  <c:v>20.496540945512795</c:v>
                </c:pt>
                <c:pt idx="671">
                  <c:v>20.496540945512795</c:v>
                </c:pt>
                <c:pt idx="672">
                  <c:v>20.496540945512795</c:v>
                </c:pt>
                <c:pt idx="673">
                  <c:v>20.496540945512795</c:v>
                </c:pt>
                <c:pt idx="674">
                  <c:v>20.496540945512795</c:v>
                </c:pt>
                <c:pt idx="675">
                  <c:v>20.496540945512795</c:v>
                </c:pt>
                <c:pt idx="676">
                  <c:v>20.496540945512795</c:v>
                </c:pt>
                <c:pt idx="677">
                  <c:v>20.496540945512795</c:v>
                </c:pt>
                <c:pt idx="678">
                  <c:v>20.496540945512795</c:v>
                </c:pt>
                <c:pt idx="679">
                  <c:v>20.496540945512795</c:v>
                </c:pt>
                <c:pt idx="680">
                  <c:v>20.496540945512795</c:v>
                </c:pt>
                <c:pt idx="681">
                  <c:v>20.496540945512795</c:v>
                </c:pt>
                <c:pt idx="682">
                  <c:v>20.496540945512795</c:v>
                </c:pt>
                <c:pt idx="683">
                  <c:v>20.496540945512795</c:v>
                </c:pt>
                <c:pt idx="684">
                  <c:v>20.496540945512795</c:v>
                </c:pt>
                <c:pt idx="685">
                  <c:v>20.496540945512795</c:v>
                </c:pt>
                <c:pt idx="686">
                  <c:v>20.496540945512795</c:v>
                </c:pt>
                <c:pt idx="687">
                  <c:v>20.496540945512795</c:v>
                </c:pt>
                <c:pt idx="688">
                  <c:v>20.496540945512795</c:v>
                </c:pt>
                <c:pt idx="689">
                  <c:v>20.496540945512795</c:v>
                </c:pt>
                <c:pt idx="690">
                  <c:v>20.496540945512795</c:v>
                </c:pt>
                <c:pt idx="691">
                  <c:v>20.496540945512795</c:v>
                </c:pt>
                <c:pt idx="692">
                  <c:v>20.496540945512795</c:v>
                </c:pt>
                <c:pt idx="693">
                  <c:v>20.496540945512795</c:v>
                </c:pt>
                <c:pt idx="694">
                  <c:v>20.496540945512795</c:v>
                </c:pt>
                <c:pt idx="695">
                  <c:v>20.496540945512795</c:v>
                </c:pt>
                <c:pt idx="696">
                  <c:v>20.496540945512795</c:v>
                </c:pt>
                <c:pt idx="697">
                  <c:v>20.496540945512795</c:v>
                </c:pt>
                <c:pt idx="698">
                  <c:v>20.496540945512795</c:v>
                </c:pt>
                <c:pt idx="699">
                  <c:v>20.496540945512795</c:v>
                </c:pt>
                <c:pt idx="700">
                  <c:v>20.496540945512795</c:v>
                </c:pt>
                <c:pt idx="701">
                  <c:v>20.496540945512795</c:v>
                </c:pt>
                <c:pt idx="702">
                  <c:v>20.496540945512795</c:v>
                </c:pt>
                <c:pt idx="703">
                  <c:v>20.496540945512795</c:v>
                </c:pt>
                <c:pt idx="704">
                  <c:v>20.496540945512795</c:v>
                </c:pt>
                <c:pt idx="705">
                  <c:v>20.496540945512795</c:v>
                </c:pt>
                <c:pt idx="706">
                  <c:v>20.496540945512795</c:v>
                </c:pt>
                <c:pt idx="707">
                  <c:v>20.496540945512795</c:v>
                </c:pt>
                <c:pt idx="708">
                  <c:v>20.496540945512795</c:v>
                </c:pt>
                <c:pt idx="709">
                  <c:v>20.496540945512795</c:v>
                </c:pt>
                <c:pt idx="710">
                  <c:v>20.496540945512795</c:v>
                </c:pt>
                <c:pt idx="711">
                  <c:v>20.496540945512795</c:v>
                </c:pt>
                <c:pt idx="712">
                  <c:v>20.496540945512795</c:v>
                </c:pt>
                <c:pt idx="713">
                  <c:v>20.496540945512795</c:v>
                </c:pt>
                <c:pt idx="714">
                  <c:v>20.496540945512795</c:v>
                </c:pt>
                <c:pt idx="715">
                  <c:v>20.496540945512795</c:v>
                </c:pt>
                <c:pt idx="716">
                  <c:v>20.496540945512795</c:v>
                </c:pt>
                <c:pt idx="717">
                  <c:v>20.496540945512795</c:v>
                </c:pt>
                <c:pt idx="718">
                  <c:v>20.496540945512795</c:v>
                </c:pt>
                <c:pt idx="719">
                  <c:v>20.496540945512795</c:v>
                </c:pt>
                <c:pt idx="720">
                  <c:v>20.496540945512795</c:v>
                </c:pt>
                <c:pt idx="721">
                  <c:v>20.496540945512795</c:v>
                </c:pt>
                <c:pt idx="722">
                  <c:v>20.496540945512795</c:v>
                </c:pt>
                <c:pt idx="723">
                  <c:v>20.496540945512795</c:v>
                </c:pt>
                <c:pt idx="724">
                  <c:v>20.496540945512795</c:v>
                </c:pt>
                <c:pt idx="725">
                  <c:v>20.496540945512795</c:v>
                </c:pt>
                <c:pt idx="726">
                  <c:v>20.496540945512795</c:v>
                </c:pt>
                <c:pt idx="727">
                  <c:v>20.496540945512795</c:v>
                </c:pt>
                <c:pt idx="728">
                  <c:v>20.496540945512795</c:v>
                </c:pt>
                <c:pt idx="729">
                  <c:v>20.496540945512795</c:v>
                </c:pt>
                <c:pt idx="730">
                  <c:v>20.496540945512795</c:v>
                </c:pt>
                <c:pt idx="731">
                  <c:v>20.496540945512795</c:v>
                </c:pt>
                <c:pt idx="732">
                  <c:v>20.496540945512795</c:v>
                </c:pt>
                <c:pt idx="733">
                  <c:v>20.496540945512795</c:v>
                </c:pt>
                <c:pt idx="734">
                  <c:v>20.496540945512795</c:v>
                </c:pt>
                <c:pt idx="735">
                  <c:v>20.496540945512795</c:v>
                </c:pt>
                <c:pt idx="736">
                  <c:v>20.496540945512795</c:v>
                </c:pt>
                <c:pt idx="737">
                  <c:v>20.496540945512795</c:v>
                </c:pt>
                <c:pt idx="738">
                  <c:v>20.496540945512795</c:v>
                </c:pt>
                <c:pt idx="739">
                  <c:v>20.496540945512795</c:v>
                </c:pt>
                <c:pt idx="740">
                  <c:v>20.496540945512795</c:v>
                </c:pt>
                <c:pt idx="741">
                  <c:v>20.496540945512795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EE9-4059-9AF9-719092353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4353871"/>
        <c:axId val="1384354351"/>
      </c:lineChart>
      <c:dateAx>
        <c:axId val="1384353871"/>
        <c:scaling>
          <c:orientation val="minMax"/>
          <c:max val="45797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384354351"/>
        <c:crosses val="autoZero"/>
        <c:auto val="1"/>
        <c:lblOffset val="100"/>
        <c:baseTimeUnit val="days"/>
        <c:majorUnit val="6"/>
        <c:majorTimeUnit val="months"/>
      </c:dateAx>
      <c:valAx>
        <c:axId val="1384354351"/>
        <c:scaling>
          <c:orientation val="minMax"/>
          <c:max val="30"/>
          <c:min val="10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384353871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6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5462962962962962E-2"/>
          <c:y val="0.18910800922611948"/>
          <c:w val="0.94907407407407407"/>
          <c:h val="0.673386622126779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'[1]Market RS_Global tech firms'!$J$126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'[1]Market RS_Global tech firms'!$I$127:$I$130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cat>
          <c:val>
            <c:numRef>
              <c:f>'[1]Market RS_Global tech firms'!$J$127:$J$130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CA5F-48D3-BCF4-A57951FB3EB9}"/>
            </c:ext>
          </c:extLst>
        </c:ser>
        <c:ser>
          <c:idx val="1"/>
          <c:order val="1"/>
          <c:tx>
            <c:strRef>
              <c:f>'[1]Market RS_Global tech firms'!$K$126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'[1]Market RS_Global tech firms'!$I$127:$I$130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cat>
          <c:val>
            <c:numRef>
              <c:f>'[1]Market RS_Global tech firms'!$K$127:$K$130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1-CA5F-48D3-BCF4-A57951FB3EB9}"/>
            </c:ext>
          </c:extLst>
        </c:ser>
        <c:ser>
          <c:idx val="2"/>
          <c:order val="2"/>
          <c:tx>
            <c:strRef>
              <c:f>'[1]Market RS_Global tech firms'!$L$126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'[1]Market RS_Global tech firms'!$I$127:$I$130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cat>
          <c:val>
            <c:numRef>
              <c:f>'[1]Market RS_Global tech firms'!$L$127:$L$130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2-CA5F-48D3-BCF4-A57951FB3EB9}"/>
            </c:ext>
          </c:extLst>
        </c:ser>
        <c:ser>
          <c:idx val="3"/>
          <c:order val="3"/>
          <c:tx>
            <c:strRef>
              <c:f>'[1]Market RS_Global tech firms'!$M$126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'[1]Market RS_Global tech firms'!$I$127:$I$130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cat>
          <c:val>
            <c:numRef>
              <c:f>'[1]Market RS_Global tech firms'!$M$127:$M$130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3-CA5F-48D3-BCF4-A57951FB3E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465359423"/>
        <c:axId val="465364703"/>
      </c:barChart>
      <c:catAx>
        <c:axId val="465359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465364703"/>
        <c:crosses val="autoZero"/>
        <c:auto val="1"/>
        <c:lblAlgn val="ctr"/>
        <c:lblOffset val="100"/>
        <c:noMultiLvlLbl val="0"/>
      </c:catAx>
      <c:valAx>
        <c:axId val="465364703"/>
        <c:scaling>
          <c:orientation val="minMax"/>
        </c:scaling>
        <c:delete val="1"/>
        <c:axPos val="l"/>
        <c:numFmt formatCode="0%" sourceLinked="0"/>
        <c:majorTickMark val="none"/>
        <c:minorTickMark val="none"/>
        <c:tickLblPos val="nextTo"/>
        <c:crossAx val="465359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705603205849264E-2"/>
          <c:y val="0.15366472669177222"/>
          <c:w val="0.41242823162729658"/>
          <c:h val="0.64267077484879609"/>
        </c:manualLayout>
      </c:layout>
      <c:doughnutChart>
        <c:varyColors val="1"/>
        <c:ser>
          <c:idx val="0"/>
          <c:order val="0"/>
          <c:tx>
            <c:strRef>
              <c:f>Charts!$AD$36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294-4E4F-BE61-F458E62EC6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294-4E4F-BE61-F458E62EC6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294-4E4F-BE61-F458E62EC610}"/>
              </c:ext>
            </c:extLst>
          </c:dPt>
          <c:dLbls>
            <c:dLbl>
              <c:idx val="0"/>
              <c:layout>
                <c:manualLayout>
                  <c:x val="-1.8601190476190476E-2"/>
                  <c:y val="0.1265441398011448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Revenue and Profit make-up (+11.4% YoY)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E294-4E4F-BE61-F458E62EC610}"/>
                </c:ext>
              </c:extLst>
            </c:dLbl>
            <c:dLbl>
              <c:idx val="1"/>
              <c:layout>
                <c:manualLayout>
                  <c:x val="-1.1160714285714286E-2"/>
                  <c:y val="0.22509483693266874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​ (+12.9% YoY)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E294-4E4F-BE61-F458E62EC610}"/>
                </c:ext>
              </c:extLst>
            </c:dLbl>
            <c:dLbl>
              <c:idx val="2"/>
              <c:layout>
                <c:manualLayout>
                  <c:x val="-5.0551444741282342E-2"/>
                  <c:y val="-8.934457537489949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​ (+5.5% YoY</a:t>
                    </a:r>
                    <a:r>
                      <a:rPr lang="en-US" baseline="0"/>
                      <a:t>) </a:t>
                    </a:r>
                    <a:r>
                      <a:rPr lang="en-US"/>
                      <a:t>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518601190476188"/>
                      <c:h val="0.12788405797101449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5-E294-4E4F-BE61-F458E62EC6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K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Charts!$AC$40:$AC$42</c:f>
              <c:strCache>
                <c:ptCount val="3"/>
                <c:pt idx="0">
                  <c:v>Technology</c:v>
                </c:pt>
                <c:pt idx="1">
                  <c:v>Telecom</c:v>
                </c:pt>
                <c:pt idx="2">
                  <c:v>Education</c:v>
                </c:pt>
              </c:strCache>
            </c:strRef>
          </c:cat>
          <c:val>
            <c:numRef>
              <c:f>Charts!$AD$40:$AD$42</c:f>
              <c:numCache>
                <c:formatCode>#,##0</c:formatCode>
                <c:ptCount val="3"/>
                <c:pt idx="0">
                  <c:v>27123</c:v>
                </c:pt>
                <c:pt idx="1">
                  <c:v>12611</c:v>
                </c:pt>
                <c:pt idx="2">
                  <c:v>4084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94-4E4F-BE61-F458E62EC61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46952919947507"/>
          <c:y val="0.84337591281683044"/>
          <c:w val="0.74409155886764156"/>
          <c:h val="0.151403731523146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9137042735558438E-2"/>
          <c:y val="0.15411933973369607"/>
          <c:w val="0.92086295726444156"/>
          <c:h val="0.74155196661438916"/>
        </c:manualLayout>
      </c:layout>
      <c:doughnutChart>
        <c:varyColors val="1"/>
        <c:ser>
          <c:idx val="0"/>
          <c:order val="0"/>
          <c:tx>
            <c:strRef>
              <c:f>Charts!$AF$36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02C-43B2-BAE3-CC9D0F798F0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02C-43B2-BAE3-CC9D0F798F0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02C-43B2-BAE3-CC9D0F798F04}"/>
              </c:ext>
            </c:extLst>
          </c:dPt>
          <c:dLbls>
            <c:dLbl>
              <c:idx val="0"/>
              <c:layout>
                <c:manualLayout>
                  <c:x val="-4.2567517845316918E-3"/>
                  <c:y val="-0.13287590688718498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Revenue and Profit make-up (+14.4% YoY)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58866999862565073"/>
                      <c:h val="0.19786045975022354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1-C02C-43B2-BAE3-CC9D0F798F04}"/>
                </c:ext>
              </c:extLst>
            </c:dLbl>
            <c:dLbl>
              <c:idx val="1"/>
              <c:layout>
                <c:manualLayout>
                  <c:x val="0"/>
                  <c:y val="9.215180069704401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​ </a:t>
                    </a:r>
                  </a:p>
                  <a:p>
                    <a:r>
                      <a:rPr lang="en-US"/>
                      <a:t>(+19.9% YoY)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9187652315190906"/>
                      <c:h val="0.27322259136212623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3-C02C-43B2-BAE3-CC9D0F798F04}"/>
                </c:ext>
              </c:extLst>
            </c:dLbl>
            <c:dLbl>
              <c:idx val="2"/>
              <c:layout>
                <c:manualLayout>
                  <c:x val="-1.6247324302940128E-2"/>
                  <c:y val="-0.16399768454703448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​</a:t>
                    </a:r>
                    <a:r>
                      <a:rPr lang="en-US" baseline="0"/>
                      <a:t> </a:t>
                    </a:r>
                  </a:p>
                  <a:p>
                    <a:r>
                      <a:rPr lang="en-US" baseline="0"/>
                      <a:t>(+26.1% YoY)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0483368697686724"/>
                      <c:h val="0.20518589022526029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5-C02C-43B2-BAE3-CC9D0F798F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Charts!$AC$40:$AC$42</c:f>
              <c:strCache>
                <c:ptCount val="3"/>
                <c:pt idx="0">
                  <c:v>Technology</c:v>
                </c:pt>
                <c:pt idx="1">
                  <c:v>Telecom</c:v>
                </c:pt>
                <c:pt idx="2">
                  <c:v>Education</c:v>
                </c:pt>
              </c:strCache>
            </c:strRef>
          </c:cat>
          <c:val>
            <c:numRef>
              <c:f>Charts!$AF$40:$AF$42</c:f>
              <c:numCache>
                <c:formatCode>#,##0</c:formatCode>
                <c:ptCount val="3"/>
                <c:pt idx="0">
                  <c:v>3807</c:v>
                </c:pt>
                <c:pt idx="1">
                  <c:v>2850</c:v>
                </c:pt>
                <c:pt idx="2">
                  <c:v>1658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02C-43B2-BAE3-CC9D0F798F0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6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Charts!$A$1666</c:f>
              <c:strCache>
                <c:ptCount val="1"/>
                <c:pt idx="0">
                  <c:v>Domestic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Charts!$B$1663:$H$1663</c:f>
              <c:strCache>
                <c:ptCount val="7"/>
                <c:pt idx="0">
                  <c:v>M2/25</c:v>
                </c:pt>
                <c:pt idx="1">
                  <c:v>M3/25</c:v>
                </c:pt>
                <c:pt idx="2">
                  <c:v>M4/25</c:v>
                </c:pt>
                <c:pt idx="3">
                  <c:v>M5/25</c:v>
                </c:pt>
                <c:pt idx="4">
                  <c:v>M6/25</c:v>
                </c:pt>
                <c:pt idx="5">
                  <c:v>M7/25</c:v>
                </c:pt>
                <c:pt idx="6">
                  <c:v>M8/25</c:v>
                </c:pt>
              </c:strCache>
            </c:strRef>
          </c:cat>
          <c:val>
            <c:numRef>
              <c:f>Charts!$B$1666:$H$1666</c:f>
              <c:numCache>
                <c:formatCode>0.00%</c:formatCode>
                <c:ptCount val="7"/>
                <c:pt idx="0">
                  <c:v>9.9000000000000005E-2</c:v>
                </c:pt>
                <c:pt idx="1">
                  <c:v>4.2000000000000003E-2</c:v>
                </c:pt>
                <c:pt idx="2">
                  <c:v>0.115</c:v>
                </c:pt>
                <c:pt idx="3">
                  <c:v>0.23899999999999999</c:v>
                </c:pt>
                <c:pt idx="4">
                  <c:v>-0.34200000000000003</c:v>
                </c:pt>
                <c:pt idx="5">
                  <c:v>0.25700000000000001</c:v>
                </c:pt>
                <c:pt idx="6">
                  <c:v>4.3999999999999997E-2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BC-42B3-8AEB-535FB2CCB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670400"/>
        <c:axId val="612672320"/>
      </c:barChart>
      <c:catAx>
        <c:axId val="612670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672320"/>
        <c:crosses val="autoZero"/>
        <c:auto val="1"/>
        <c:lblAlgn val="ctr"/>
        <c:lblOffset val="100"/>
        <c:noMultiLvlLbl val="0"/>
      </c:catAx>
      <c:valAx>
        <c:axId val="61267232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670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371642069331493E-2"/>
          <c:y val="0.10304045131151059"/>
          <c:w val="0.85487608106363755"/>
          <c:h val="0.82013362716452898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[177]PE!$B$2:$B$1249</c:f>
              <c:numCache>
                <c:formatCode>General</c:formatCode>
                <c:ptCount val="12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[177]PE!$B$1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[177]PE!$A$2:$A$1249</c15:sqref>
                        </c15:formulaRef>
                      </c:ext>
                    </c:extLst>
                    <c:numCache>
                      <c:formatCode>General</c:formatCode>
                      <c:ptCount val="124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0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0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0</c:v>
                      </c:pt>
                      <c:pt idx="688">
                        <c:v>0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0</c:v>
                      </c:pt>
                      <c:pt idx="692">
                        <c:v>0</c:v>
                      </c:pt>
                      <c:pt idx="693">
                        <c:v>0</c:v>
                      </c:pt>
                      <c:pt idx="694">
                        <c:v>0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0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0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0</c:v>
                      </c:pt>
                      <c:pt idx="772">
                        <c:v>0</c:v>
                      </c:pt>
                      <c:pt idx="773">
                        <c:v>0</c:v>
                      </c:pt>
                      <c:pt idx="774">
                        <c:v>0</c:v>
                      </c:pt>
                      <c:pt idx="775">
                        <c:v>0</c:v>
                      </c:pt>
                      <c:pt idx="776">
                        <c:v>0</c:v>
                      </c:pt>
                      <c:pt idx="777">
                        <c:v>0</c:v>
                      </c:pt>
                      <c:pt idx="778">
                        <c:v>0</c:v>
                      </c:pt>
                      <c:pt idx="779">
                        <c:v>0</c:v>
                      </c:pt>
                      <c:pt idx="780">
                        <c:v>0</c:v>
                      </c:pt>
                      <c:pt idx="781">
                        <c:v>0</c:v>
                      </c:pt>
                      <c:pt idx="782">
                        <c:v>0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  <c:pt idx="801">
                        <c:v>0</c:v>
                      </c:pt>
                      <c:pt idx="802">
                        <c:v>0</c:v>
                      </c:pt>
                      <c:pt idx="803">
                        <c:v>0</c:v>
                      </c:pt>
                      <c:pt idx="804">
                        <c:v>0</c:v>
                      </c:pt>
                      <c:pt idx="805">
                        <c:v>0</c:v>
                      </c:pt>
                      <c:pt idx="806">
                        <c:v>0</c:v>
                      </c:pt>
                      <c:pt idx="807">
                        <c:v>0</c:v>
                      </c:pt>
                      <c:pt idx="808">
                        <c:v>0</c:v>
                      </c:pt>
                      <c:pt idx="809">
                        <c:v>0</c:v>
                      </c:pt>
                      <c:pt idx="810">
                        <c:v>0</c:v>
                      </c:pt>
                      <c:pt idx="811">
                        <c:v>0</c:v>
                      </c:pt>
                      <c:pt idx="812">
                        <c:v>0</c:v>
                      </c:pt>
                      <c:pt idx="813">
                        <c:v>0</c:v>
                      </c:pt>
                      <c:pt idx="814">
                        <c:v>0</c:v>
                      </c:pt>
                      <c:pt idx="815">
                        <c:v>0</c:v>
                      </c:pt>
                      <c:pt idx="816">
                        <c:v>0</c:v>
                      </c:pt>
                      <c:pt idx="817">
                        <c:v>0</c:v>
                      </c:pt>
                      <c:pt idx="818">
                        <c:v>0</c:v>
                      </c:pt>
                      <c:pt idx="819">
                        <c:v>0</c:v>
                      </c:pt>
                      <c:pt idx="820">
                        <c:v>0</c:v>
                      </c:pt>
                      <c:pt idx="821">
                        <c:v>0</c:v>
                      </c:pt>
                      <c:pt idx="822">
                        <c:v>0</c:v>
                      </c:pt>
                      <c:pt idx="823">
                        <c:v>0</c:v>
                      </c:pt>
                      <c:pt idx="824">
                        <c:v>0</c:v>
                      </c:pt>
                      <c:pt idx="825">
                        <c:v>0</c:v>
                      </c:pt>
                      <c:pt idx="826">
                        <c:v>0</c:v>
                      </c:pt>
                      <c:pt idx="827">
                        <c:v>0</c:v>
                      </c:pt>
                      <c:pt idx="828">
                        <c:v>0</c:v>
                      </c:pt>
                      <c:pt idx="829">
                        <c:v>0</c:v>
                      </c:pt>
                      <c:pt idx="830">
                        <c:v>0</c:v>
                      </c:pt>
                      <c:pt idx="831">
                        <c:v>0</c:v>
                      </c:pt>
                      <c:pt idx="832">
                        <c:v>0</c:v>
                      </c:pt>
                      <c:pt idx="833">
                        <c:v>0</c:v>
                      </c:pt>
                      <c:pt idx="834">
                        <c:v>0</c:v>
                      </c:pt>
                      <c:pt idx="835">
                        <c:v>0</c:v>
                      </c:pt>
                      <c:pt idx="836">
                        <c:v>0</c:v>
                      </c:pt>
                      <c:pt idx="837">
                        <c:v>0</c:v>
                      </c:pt>
                      <c:pt idx="838">
                        <c:v>0</c:v>
                      </c:pt>
                      <c:pt idx="839">
                        <c:v>0</c:v>
                      </c:pt>
                      <c:pt idx="840">
                        <c:v>0</c:v>
                      </c:pt>
                      <c:pt idx="841">
                        <c:v>0</c:v>
                      </c:pt>
                      <c:pt idx="842">
                        <c:v>0</c:v>
                      </c:pt>
                      <c:pt idx="843">
                        <c:v>0</c:v>
                      </c:pt>
                      <c:pt idx="844">
                        <c:v>0</c:v>
                      </c:pt>
                      <c:pt idx="845">
                        <c:v>0</c:v>
                      </c:pt>
                      <c:pt idx="846">
                        <c:v>0</c:v>
                      </c:pt>
                      <c:pt idx="847">
                        <c:v>0</c:v>
                      </c:pt>
                      <c:pt idx="848">
                        <c:v>0</c:v>
                      </c:pt>
                      <c:pt idx="849">
                        <c:v>0</c:v>
                      </c:pt>
                      <c:pt idx="850">
                        <c:v>0</c:v>
                      </c:pt>
                      <c:pt idx="851">
                        <c:v>0</c:v>
                      </c:pt>
                      <c:pt idx="852">
                        <c:v>0</c:v>
                      </c:pt>
                      <c:pt idx="853">
                        <c:v>0</c:v>
                      </c:pt>
                      <c:pt idx="854">
                        <c:v>0</c:v>
                      </c:pt>
                      <c:pt idx="855">
                        <c:v>0</c:v>
                      </c:pt>
                      <c:pt idx="856">
                        <c:v>0</c:v>
                      </c:pt>
                      <c:pt idx="857">
                        <c:v>0</c:v>
                      </c:pt>
                      <c:pt idx="858">
                        <c:v>0</c:v>
                      </c:pt>
                      <c:pt idx="859">
                        <c:v>0</c:v>
                      </c:pt>
                      <c:pt idx="860">
                        <c:v>0</c:v>
                      </c:pt>
                      <c:pt idx="861">
                        <c:v>0</c:v>
                      </c:pt>
                      <c:pt idx="862">
                        <c:v>0</c:v>
                      </c:pt>
                      <c:pt idx="863">
                        <c:v>0</c:v>
                      </c:pt>
                      <c:pt idx="864">
                        <c:v>0</c:v>
                      </c:pt>
                      <c:pt idx="865">
                        <c:v>0</c:v>
                      </c:pt>
                      <c:pt idx="866">
                        <c:v>0</c:v>
                      </c:pt>
                      <c:pt idx="867">
                        <c:v>0</c:v>
                      </c:pt>
                      <c:pt idx="868">
                        <c:v>0</c:v>
                      </c:pt>
                      <c:pt idx="869">
                        <c:v>0</c:v>
                      </c:pt>
                      <c:pt idx="870">
                        <c:v>0</c:v>
                      </c:pt>
                      <c:pt idx="871">
                        <c:v>0</c:v>
                      </c:pt>
                      <c:pt idx="872">
                        <c:v>0</c:v>
                      </c:pt>
                      <c:pt idx="873">
                        <c:v>0</c:v>
                      </c:pt>
                      <c:pt idx="874">
                        <c:v>0</c:v>
                      </c:pt>
                      <c:pt idx="875">
                        <c:v>0</c:v>
                      </c:pt>
                      <c:pt idx="876">
                        <c:v>0</c:v>
                      </c:pt>
                      <c:pt idx="877">
                        <c:v>0</c:v>
                      </c:pt>
                      <c:pt idx="878">
                        <c:v>0</c:v>
                      </c:pt>
                      <c:pt idx="879">
                        <c:v>0</c:v>
                      </c:pt>
                      <c:pt idx="880">
                        <c:v>0</c:v>
                      </c:pt>
                      <c:pt idx="881">
                        <c:v>0</c:v>
                      </c:pt>
                      <c:pt idx="882">
                        <c:v>0</c:v>
                      </c:pt>
                      <c:pt idx="883">
                        <c:v>0</c:v>
                      </c:pt>
                      <c:pt idx="884">
                        <c:v>0</c:v>
                      </c:pt>
                      <c:pt idx="885">
                        <c:v>0</c:v>
                      </c:pt>
                      <c:pt idx="886">
                        <c:v>0</c:v>
                      </c:pt>
                      <c:pt idx="887">
                        <c:v>0</c:v>
                      </c:pt>
                      <c:pt idx="888">
                        <c:v>0</c:v>
                      </c:pt>
                      <c:pt idx="889">
                        <c:v>0</c:v>
                      </c:pt>
                      <c:pt idx="890">
                        <c:v>0</c:v>
                      </c:pt>
                      <c:pt idx="891">
                        <c:v>0</c:v>
                      </c:pt>
                      <c:pt idx="892">
                        <c:v>0</c:v>
                      </c:pt>
                      <c:pt idx="893">
                        <c:v>0</c:v>
                      </c:pt>
                      <c:pt idx="894">
                        <c:v>0</c:v>
                      </c:pt>
                      <c:pt idx="895">
                        <c:v>0</c:v>
                      </c:pt>
                      <c:pt idx="896">
                        <c:v>0</c:v>
                      </c:pt>
                      <c:pt idx="897">
                        <c:v>0</c:v>
                      </c:pt>
                      <c:pt idx="898">
                        <c:v>0</c:v>
                      </c:pt>
                      <c:pt idx="899">
                        <c:v>0</c:v>
                      </c:pt>
                      <c:pt idx="900">
                        <c:v>0</c:v>
                      </c:pt>
                      <c:pt idx="901">
                        <c:v>0</c:v>
                      </c:pt>
                      <c:pt idx="902">
                        <c:v>0</c:v>
                      </c:pt>
                      <c:pt idx="903">
                        <c:v>0</c:v>
                      </c:pt>
                      <c:pt idx="904">
                        <c:v>0</c:v>
                      </c:pt>
                      <c:pt idx="905">
                        <c:v>0</c:v>
                      </c:pt>
                      <c:pt idx="906">
                        <c:v>0</c:v>
                      </c:pt>
                      <c:pt idx="907">
                        <c:v>0</c:v>
                      </c:pt>
                      <c:pt idx="908">
                        <c:v>0</c:v>
                      </c:pt>
                      <c:pt idx="909">
                        <c:v>0</c:v>
                      </c:pt>
                      <c:pt idx="910">
                        <c:v>0</c:v>
                      </c:pt>
                      <c:pt idx="911">
                        <c:v>0</c:v>
                      </c:pt>
                      <c:pt idx="912">
                        <c:v>0</c:v>
                      </c:pt>
                      <c:pt idx="913">
                        <c:v>0</c:v>
                      </c:pt>
                      <c:pt idx="914">
                        <c:v>0</c:v>
                      </c:pt>
                      <c:pt idx="915">
                        <c:v>0</c:v>
                      </c:pt>
                      <c:pt idx="916">
                        <c:v>0</c:v>
                      </c:pt>
                      <c:pt idx="917">
                        <c:v>0</c:v>
                      </c:pt>
                      <c:pt idx="918">
                        <c:v>0</c:v>
                      </c:pt>
                      <c:pt idx="919">
                        <c:v>0</c:v>
                      </c:pt>
                      <c:pt idx="920">
                        <c:v>0</c:v>
                      </c:pt>
                      <c:pt idx="921">
                        <c:v>0</c:v>
                      </c:pt>
                      <c:pt idx="922">
                        <c:v>0</c:v>
                      </c:pt>
                      <c:pt idx="923">
                        <c:v>0</c:v>
                      </c:pt>
                      <c:pt idx="924">
                        <c:v>0</c:v>
                      </c:pt>
                      <c:pt idx="925">
                        <c:v>0</c:v>
                      </c:pt>
                      <c:pt idx="926">
                        <c:v>0</c:v>
                      </c:pt>
                      <c:pt idx="927">
                        <c:v>0</c:v>
                      </c:pt>
                      <c:pt idx="928">
                        <c:v>0</c:v>
                      </c:pt>
                      <c:pt idx="929">
                        <c:v>0</c:v>
                      </c:pt>
                      <c:pt idx="930">
                        <c:v>0</c:v>
                      </c:pt>
                      <c:pt idx="931">
                        <c:v>0</c:v>
                      </c:pt>
                      <c:pt idx="932">
                        <c:v>0</c:v>
                      </c:pt>
                      <c:pt idx="933">
                        <c:v>0</c:v>
                      </c:pt>
                      <c:pt idx="934">
                        <c:v>0</c:v>
                      </c:pt>
                      <c:pt idx="935">
                        <c:v>0</c:v>
                      </c:pt>
                      <c:pt idx="936">
                        <c:v>0</c:v>
                      </c:pt>
                      <c:pt idx="937">
                        <c:v>0</c:v>
                      </c:pt>
                      <c:pt idx="938">
                        <c:v>0</c:v>
                      </c:pt>
                      <c:pt idx="939">
                        <c:v>0</c:v>
                      </c:pt>
                      <c:pt idx="940">
                        <c:v>0</c:v>
                      </c:pt>
                      <c:pt idx="941">
                        <c:v>0</c:v>
                      </c:pt>
                      <c:pt idx="942">
                        <c:v>0</c:v>
                      </c:pt>
                      <c:pt idx="943">
                        <c:v>0</c:v>
                      </c:pt>
                      <c:pt idx="944">
                        <c:v>0</c:v>
                      </c:pt>
                      <c:pt idx="945">
                        <c:v>0</c:v>
                      </c:pt>
                      <c:pt idx="946">
                        <c:v>0</c:v>
                      </c:pt>
                      <c:pt idx="947">
                        <c:v>0</c:v>
                      </c:pt>
                      <c:pt idx="948">
                        <c:v>0</c:v>
                      </c:pt>
                      <c:pt idx="949">
                        <c:v>0</c:v>
                      </c:pt>
                      <c:pt idx="950">
                        <c:v>0</c:v>
                      </c:pt>
                      <c:pt idx="951">
                        <c:v>0</c:v>
                      </c:pt>
                      <c:pt idx="952">
                        <c:v>0</c:v>
                      </c:pt>
                      <c:pt idx="953">
                        <c:v>0</c:v>
                      </c:pt>
                      <c:pt idx="954">
                        <c:v>0</c:v>
                      </c:pt>
                      <c:pt idx="955">
                        <c:v>0</c:v>
                      </c:pt>
                      <c:pt idx="956">
                        <c:v>0</c:v>
                      </c:pt>
                      <c:pt idx="957">
                        <c:v>0</c:v>
                      </c:pt>
                      <c:pt idx="958">
                        <c:v>0</c:v>
                      </c:pt>
                      <c:pt idx="959">
                        <c:v>0</c:v>
                      </c:pt>
                      <c:pt idx="960">
                        <c:v>0</c:v>
                      </c:pt>
                      <c:pt idx="961">
                        <c:v>0</c:v>
                      </c:pt>
                      <c:pt idx="962">
                        <c:v>0</c:v>
                      </c:pt>
                      <c:pt idx="963">
                        <c:v>0</c:v>
                      </c:pt>
                      <c:pt idx="964">
                        <c:v>0</c:v>
                      </c:pt>
                      <c:pt idx="965">
                        <c:v>0</c:v>
                      </c:pt>
                      <c:pt idx="966">
                        <c:v>0</c:v>
                      </c:pt>
                      <c:pt idx="967">
                        <c:v>0</c:v>
                      </c:pt>
                      <c:pt idx="968">
                        <c:v>0</c:v>
                      </c:pt>
                      <c:pt idx="969">
                        <c:v>0</c:v>
                      </c:pt>
                      <c:pt idx="970">
                        <c:v>0</c:v>
                      </c:pt>
                      <c:pt idx="971">
                        <c:v>0</c:v>
                      </c:pt>
                      <c:pt idx="972">
                        <c:v>0</c:v>
                      </c:pt>
                      <c:pt idx="973">
                        <c:v>0</c:v>
                      </c:pt>
                      <c:pt idx="974">
                        <c:v>0</c:v>
                      </c:pt>
                      <c:pt idx="975">
                        <c:v>0</c:v>
                      </c:pt>
                      <c:pt idx="976">
                        <c:v>0</c:v>
                      </c:pt>
                      <c:pt idx="977">
                        <c:v>0</c:v>
                      </c:pt>
                      <c:pt idx="978">
                        <c:v>0</c:v>
                      </c:pt>
                      <c:pt idx="979">
                        <c:v>0</c:v>
                      </c:pt>
                      <c:pt idx="980">
                        <c:v>0</c:v>
                      </c:pt>
                      <c:pt idx="981">
                        <c:v>0</c:v>
                      </c:pt>
                      <c:pt idx="982">
                        <c:v>0</c:v>
                      </c:pt>
                      <c:pt idx="983">
                        <c:v>0</c:v>
                      </c:pt>
                      <c:pt idx="984">
                        <c:v>0</c:v>
                      </c:pt>
                      <c:pt idx="985">
                        <c:v>0</c:v>
                      </c:pt>
                      <c:pt idx="986">
                        <c:v>0</c:v>
                      </c:pt>
                      <c:pt idx="987">
                        <c:v>0</c:v>
                      </c:pt>
                      <c:pt idx="988">
                        <c:v>0</c:v>
                      </c:pt>
                      <c:pt idx="989">
                        <c:v>0</c:v>
                      </c:pt>
                      <c:pt idx="990">
                        <c:v>0</c:v>
                      </c:pt>
                      <c:pt idx="991">
                        <c:v>0</c:v>
                      </c:pt>
                      <c:pt idx="992">
                        <c:v>0</c:v>
                      </c:pt>
                      <c:pt idx="993">
                        <c:v>0</c:v>
                      </c:pt>
                      <c:pt idx="994">
                        <c:v>0</c:v>
                      </c:pt>
                      <c:pt idx="995">
                        <c:v>0</c:v>
                      </c:pt>
                      <c:pt idx="996">
                        <c:v>0</c:v>
                      </c:pt>
                      <c:pt idx="997">
                        <c:v>0</c:v>
                      </c:pt>
                      <c:pt idx="998">
                        <c:v>0</c:v>
                      </c:pt>
                      <c:pt idx="999">
                        <c:v>0</c:v>
                      </c:pt>
                      <c:pt idx="1000">
                        <c:v>0</c:v>
                      </c:pt>
                      <c:pt idx="1001">
                        <c:v>0</c:v>
                      </c:pt>
                      <c:pt idx="1002">
                        <c:v>0</c:v>
                      </c:pt>
                      <c:pt idx="1003">
                        <c:v>0</c:v>
                      </c:pt>
                      <c:pt idx="1004">
                        <c:v>0</c:v>
                      </c:pt>
                      <c:pt idx="1005">
                        <c:v>0</c:v>
                      </c:pt>
                      <c:pt idx="1006">
                        <c:v>0</c:v>
                      </c:pt>
                      <c:pt idx="1007">
                        <c:v>0</c:v>
                      </c:pt>
                      <c:pt idx="1008">
                        <c:v>0</c:v>
                      </c:pt>
                      <c:pt idx="1009">
                        <c:v>0</c:v>
                      </c:pt>
                      <c:pt idx="1010">
                        <c:v>0</c:v>
                      </c:pt>
                      <c:pt idx="1011">
                        <c:v>0</c:v>
                      </c:pt>
                      <c:pt idx="1012">
                        <c:v>0</c:v>
                      </c:pt>
                      <c:pt idx="1013">
                        <c:v>0</c:v>
                      </c:pt>
                      <c:pt idx="1014">
                        <c:v>0</c:v>
                      </c:pt>
                      <c:pt idx="1015">
                        <c:v>0</c:v>
                      </c:pt>
                      <c:pt idx="1016">
                        <c:v>0</c:v>
                      </c:pt>
                      <c:pt idx="1017">
                        <c:v>0</c:v>
                      </c:pt>
                      <c:pt idx="1018">
                        <c:v>0</c:v>
                      </c:pt>
                      <c:pt idx="1019">
                        <c:v>0</c:v>
                      </c:pt>
                      <c:pt idx="1020">
                        <c:v>0</c:v>
                      </c:pt>
                      <c:pt idx="1021">
                        <c:v>0</c:v>
                      </c:pt>
                      <c:pt idx="1022">
                        <c:v>0</c:v>
                      </c:pt>
                      <c:pt idx="1023">
                        <c:v>0</c:v>
                      </c:pt>
                      <c:pt idx="1024">
                        <c:v>0</c:v>
                      </c:pt>
                      <c:pt idx="1025">
                        <c:v>0</c:v>
                      </c:pt>
                      <c:pt idx="1026">
                        <c:v>0</c:v>
                      </c:pt>
                      <c:pt idx="1027">
                        <c:v>0</c:v>
                      </c:pt>
                      <c:pt idx="1028">
                        <c:v>0</c:v>
                      </c:pt>
                      <c:pt idx="1029">
                        <c:v>0</c:v>
                      </c:pt>
                      <c:pt idx="1030">
                        <c:v>0</c:v>
                      </c:pt>
                      <c:pt idx="1031">
                        <c:v>0</c:v>
                      </c:pt>
                      <c:pt idx="1032">
                        <c:v>0</c:v>
                      </c:pt>
                      <c:pt idx="1033">
                        <c:v>0</c:v>
                      </c:pt>
                      <c:pt idx="1034">
                        <c:v>0</c:v>
                      </c:pt>
                      <c:pt idx="1035">
                        <c:v>0</c:v>
                      </c:pt>
                      <c:pt idx="1036">
                        <c:v>0</c:v>
                      </c:pt>
                      <c:pt idx="1037">
                        <c:v>0</c:v>
                      </c:pt>
                      <c:pt idx="1038">
                        <c:v>0</c:v>
                      </c:pt>
                      <c:pt idx="1039">
                        <c:v>0</c:v>
                      </c:pt>
                      <c:pt idx="1040">
                        <c:v>0</c:v>
                      </c:pt>
                      <c:pt idx="1041">
                        <c:v>0</c:v>
                      </c:pt>
                      <c:pt idx="1042">
                        <c:v>0</c:v>
                      </c:pt>
                      <c:pt idx="1043">
                        <c:v>0</c:v>
                      </c:pt>
                      <c:pt idx="1044">
                        <c:v>0</c:v>
                      </c:pt>
                      <c:pt idx="1045">
                        <c:v>0</c:v>
                      </c:pt>
                      <c:pt idx="1046">
                        <c:v>0</c:v>
                      </c:pt>
                      <c:pt idx="1047">
                        <c:v>0</c:v>
                      </c:pt>
                      <c:pt idx="1048">
                        <c:v>0</c:v>
                      </c:pt>
                      <c:pt idx="1049">
                        <c:v>0</c:v>
                      </c:pt>
                      <c:pt idx="1050">
                        <c:v>0</c:v>
                      </c:pt>
                      <c:pt idx="1051">
                        <c:v>0</c:v>
                      </c:pt>
                      <c:pt idx="1052">
                        <c:v>0</c:v>
                      </c:pt>
                      <c:pt idx="1053">
                        <c:v>0</c:v>
                      </c:pt>
                      <c:pt idx="1054">
                        <c:v>0</c:v>
                      </c:pt>
                      <c:pt idx="1055">
                        <c:v>0</c:v>
                      </c:pt>
                      <c:pt idx="1056">
                        <c:v>0</c:v>
                      </c:pt>
                      <c:pt idx="1057">
                        <c:v>0</c:v>
                      </c:pt>
                      <c:pt idx="1058">
                        <c:v>0</c:v>
                      </c:pt>
                      <c:pt idx="1059">
                        <c:v>0</c:v>
                      </c:pt>
                      <c:pt idx="1060">
                        <c:v>0</c:v>
                      </c:pt>
                      <c:pt idx="1061">
                        <c:v>0</c:v>
                      </c:pt>
                      <c:pt idx="1062">
                        <c:v>0</c:v>
                      </c:pt>
                      <c:pt idx="1063">
                        <c:v>0</c:v>
                      </c:pt>
                      <c:pt idx="1064">
                        <c:v>0</c:v>
                      </c:pt>
                      <c:pt idx="1065">
                        <c:v>0</c:v>
                      </c:pt>
                      <c:pt idx="1066">
                        <c:v>0</c:v>
                      </c:pt>
                      <c:pt idx="1067">
                        <c:v>0</c:v>
                      </c:pt>
                      <c:pt idx="1068">
                        <c:v>0</c:v>
                      </c:pt>
                      <c:pt idx="1069">
                        <c:v>0</c:v>
                      </c:pt>
                      <c:pt idx="1070">
                        <c:v>0</c:v>
                      </c:pt>
                      <c:pt idx="1071">
                        <c:v>0</c:v>
                      </c:pt>
                      <c:pt idx="1072">
                        <c:v>0</c:v>
                      </c:pt>
                      <c:pt idx="1073">
                        <c:v>0</c:v>
                      </c:pt>
                      <c:pt idx="1074">
                        <c:v>0</c:v>
                      </c:pt>
                      <c:pt idx="1075">
                        <c:v>0</c:v>
                      </c:pt>
                      <c:pt idx="1076">
                        <c:v>0</c:v>
                      </c:pt>
                      <c:pt idx="1077">
                        <c:v>0</c:v>
                      </c:pt>
                      <c:pt idx="1078">
                        <c:v>0</c:v>
                      </c:pt>
                      <c:pt idx="1079">
                        <c:v>0</c:v>
                      </c:pt>
                      <c:pt idx="1080">
                        <c:v>0</c:v>
                      </c:pt>
                      <c:pt idx="1081">
                        <c:v>0</c:v>
                      </c:pt>
                      <c:pt idx="1082">
                        <c:v>0</c:v>
                      </c:pt>
                      <c:pt idx="1083">
                        <c:v>0</c:v>
                      </c:pt>
                      <c:pt idx="1084">
                        <c:v>0</c:v>
                      </c:pt>
                      <c:pt idx="1085">
                        <c:v>0</c:v>
                      </c:pt>
                      <c:pt idx="1086">
                        <c:v>0</c:v>
                      </c:pt>
                      <c:pt idx="1087">
                        <c:v>0</c:v>
                      </c:pt>
                      <c:pt idx="1088">
                        <c:v>0</c:v>
                      </c:pt>
                      <c:pt idx="1089">
                        <c:v>0</c:v>
                      </c:pt>
                      <c:pt idx="1090">
                        <c:v>0</c:v>
                      </c:pt>
                      <c:pt idx="1091">
                        <c:v>0</c:v>
                      </c:pt>
                      <c:pt idx="1092">
                        <c:v>0</c:v>
                      </c:pt>
                      <c:pt idx="1093">
                        <c:v>0</c:v>
                      </c:pt>
                      <c:pt idx="1094">
                        <c:v>0</c:v>
                      </c:pt>
                      <c:pt idx="1095">
                        <c:v>0</c:v>
                      </c:pt>
                      <c:pt idx="1096">
                        <c:v>0</c:v>
                      </c:pt>
                      <c:pt idx="1097">
                        <c:v>0</c:v>
                      </c:pt>
                      <c:pt idx="1098">
                        <c:v>0</c:v>
                      </c:pt>
                      <c:pt idx="1099">
                        <c:v>0</c:v>
                      </c:pt>
                      <c:pt idx="1100">
                        <c:v>0</c:v>
                      </c:pt>
                      <c:pt idx="1101">
                        <c:v>0</c:v>
                      </c:pt>
                      <c:pt idx="1102">
                        <c:v>0</c:v>
                      </c:pt>
                      <c:pt idx="1103">
                        <c:v>0</c:v>
                      </c:pt>
                      <c:pt idx="1104">
                        <c:v>0</c:v>
                      </c:pt>
                      <c:pt idx="1105">
                        <c:v>0</c:v>
                      </c:pt>
                      <c:pt idx="1106">
                        <c:v>0</c:v>
                      </c:pt>
                      <c:pt idx="1107">
                        <c:v>0</c:v>
                      </c:pt>
                      <c:pt idx="1108">
                        <c:v>0</c:v>
                      </c:pt>
                      <c:pt idx="1109">
                        <c:v>0</c:v>
                      </c:pt>
                      <c:pt idx="1110">
                        <c:v>0</c:v>
                      </c:pt>
                      <c:pt idx="1111">
                        <c:v>0</c:v>
                      </c:pt>
                      <c:pt idx="1112">
                        <c:v>0</c:v>
                      </c:pt>
                      <c:pt idx="1113">
                        <c:v>0</c:v>
                      </c:pt>
                      <c:pt idx="1114">
                        <c:v>0</c:v>
                      </c:pt>
                      <c:pt idx="1115">
                        <c:v>0</c:v>
                      </c:pt>
                      <c:pt idx="1116">
                        <c:v>0</c:v>
                      </c:pt>
                      <c:pt idx="1117">
                        <c:v>0</c:v>
                      </c:pt>
                      <c:pt idx="1118">
                        <c:v>0</c:v>
                      </c:pt>
                      <c:pt idx="1119">
                        <c:v>0</c:v>
                      </c:pt>
                      <c:pt idx="1120">
                        <c:v>0</c:v>
                      </c:pt>
                      <c:pt idx="1121">
                        <c:v>0</c:v>
                      </c:pt>
                      <c:pt idx="1122">
                        <c:v>0</c:v>
                      </c:pt>
                      <c:pt idx="1123">
                        <c:v>0</c:v>
                      </c:pt>
                      <c:pt idx="1124">
                        <c:v>0</c:v>
                      </c:pt>
                      <c:pt idx="1125">
                        <c:v>0</c:v>
                      </c:pt>
                      <c:pt idx="1126">
                        <c:v>0</c:v>
                      </c:pt>
                      <c:pt idx="1127">
                        <c:v>0</c:v>
                      </c:pt>
                      <c:pt idx="1128">
                        <c:v>0</c:v>
                      </c:pt>
                      <c:pt idx="1129">
                        <c:v>0</c:v>
                      </c:pt>
                      <c:pt idx="1130">
                        <c:v>0</c:v>
                      </c:pt>
                      <c:pt idx="1131">
                        <c:v>0</c:v>
                      </c:pt>
                      <c:pt idx="1132">
                        <c:v>0</c:v>
                      </c:pt>
                      <c:pt idx="1133">
                        <c:v>0</c:v>
                      </c:pt>
                      <c:pt idx="1134">
                        <c:v>0</c:v>
                      </c:pt>
                      <c:pt idx="1135">
                        <c:v>0</c:v>
                      </c:pt>
                      <c:pt idx="1136">
                        <c:v>0</c:v>
                      </c:pt>
                      <c:pt idx="1137">
                        <c:v>0</c:v>
                      </c:pt>
                      <c:pt idx="1138">
                        <c:v>0</c:v>
                      </c:pt>
                      <c:pt idx="1139">
                        <c:v>0</c:v>
                      </c:pt>
                      <c:pt idx="1140">
                        <c:v>0</c:v>
                      </c:pt>
                      <c:pt idx="1141">
                        <c:v>0</c:v>
                      </c:pt>
                      <c:pt idx="1142">
                        <c:v>0</c:v>
                      </c:pt>
                      <c:pt idx="1143">
                        <c:v>0</c:v>
                      </c:pt>
                      <c:pt idx="1144">
                        <c:v>0</c:v>
                      </c:pt>
                      <c:pt idx="1145">
                        <c:v>0</c:v>
                      </c:pt>
                      <c:pt idx="1146">
                        <c:v>0</c:v>
                      </c:pt>
                      <c:pt idx="1147">
                        <c:v>0</c:v>
                      </c:pt>
                      <c:pt idx="1148">
                        <c:v>0</c:v>
                      </c:pt>
                      <c:pt idx="1149">
                        <c:v>0</c:v>
                      </c:pt>
                      <c:pt idx="1150">
                        <c:v>0</c:v>
                      </c:pt>
                      <c:pt idx="1151">
                        <c:v>0</c:v>
                      </c:pt>
                      <c:pt idx="1152">
                        <c:v>0</c:v>
                      </c:pt>
                      <c:pt idx="1153">
                        <c:v>0</c:v>
                      </c:pt>
                      <c:pt idx="1154">
                        <c:v>0</c:v>
                      </c:pt>
                      <c:pt idx="1155">
                        <c:v>0</c:v>
                      </c:pt>
                      <c:pt idx="1156">
                        <c:v>0</c:v>
                      </c:pt>
                      <c:pt idx="1157">
                        <c:v>0</c:v>
                      </c:pt>
                      <c:pt idx="1158">
                        <c:v>0</c:v>
                      </c:pt>
                      <c:pt idx="1159">
                        <c:v>0</c:v>
                      </c:pt>
                      <c:pt idx="1160">
                        <c:v>0</c:v>
                      </c:pt>
                      <c:pt idx="1161">
                        <c:v>0</c:v>
                      </c:pt>
                      <c:pt idx="1162">
                        <c:v>0</c:v>
                      </c:pt>
                      <c:pt idx="1163">
                        <c:v>0</c:v>
                      </c:pt>
                      <c:pt idx="1164">
                        <c:v>0</c:v>
                      </c:pt>
                      <c:pt idx="1165">
                        <c:v>0</c:v>
                      </c:pt>
                      <c:pt idx="1166">
                        <c:v>0</c:v>
                      </c:pt>
                      <c:pt idx="1167">
                        <c:v>0</c:v>
                      </c:pt>
                      <c:pt idx="1168">
                        <c:v>0</c:v>
                      </c:pt>
                      <c:pt idx="1169">
                        <c:v>0</c:v>
                      </c:pt>
                      <c:pt idx="1170">
                        <c:v>0</c:v>
                      </c:pt>
                      <c:pt idx="1171">
                        <c:v>0</c:v>
                      </c:pt>
                      <c:pt idx="1172">
                        <c:v>0</c:v>
                      </c:pt>
                      <c:pt idx="1173">
                        <c:v>0</c:v>
                      </c:pt>
                      <c:pt idx="1174">
                        <c:v>0</c:v>
                      </c:pt>
                      <c:pt idx="1175">
                        <c:v>0</c:v>
                      </c:pt>
                      <c:pt idx="1176">
                        <c:v>0</c:v>
                      </c:pt>
                      <c:pt idx="1177">
                        <c:v>0</c:v>
                      </c:pt>
                      <c:pt idx="1178">
                        <c:v>0</c:v>
                      </c:pt>
                      <c:pt idx="1179">
                        <c:v>0</c:v>
                      </c:pt>
                      <c:pt idx="1180">
                        <c:v>0</c:v>
                      </c:pt>
                      <c:pt idx="1181">
                        <c:v>0</c:v>
                      </c:pt>
                      <c:pt idx="1182">
                        <c:v>0</c:v>
                      </c:pt>
                      <c:pt idx="1183">
                        <c:v>0</c:v>
                      </c:pt>
                      <c:pt idx="1184">
                        <c:v>0</c:v>
                      </c:pt>
                      <c:pt idx="1185">
                        <c:v>0</c:v>
                      </c:pt>
                      <c:pt idx="1186">
                        <c:v>0</c:v>
                      </c:pt>
                      <c:pt idx="1187">
                        <c:v>0</c:v>
                      </c:pt>
                      <c:pt idx="1188">
                        <c:v>0</c:v>
                      </c:pt>
                      <c:pt idx="1189">
                        <c:v>0</c:v>
                      </c:pt>
                      <c:pt idx="1190">
                        <c:v>0</c:v>
                      </c:pt>
                      <c:pt idx="1191">
                        <c:v>0</c:v>
                      </c:pt>
                      <c:pt idx="1192">
                        <c:v>0</c:v>
                      </c:pt>
                      <c:pt idx="1193">
                        <c:v>0</c:v>
                      </c:pt>
                      <c:pt idx="1194">
                        <c:v>0</c:v>
                      </c:pt>
                      <c:pt idx="1195">
                        <c:v>0</c:v>
                      </c:pt>
                      <c:pt idx="1196">
                        <c:v>0</c:v>
                      </c:pt>
                      <c:pt idx="1197">
                        <c:v>0</c:v>
                      </c:pt>
                      <c:pt idx="1198">
                        <c:v>0</c:v>
                      </c:pt>
                      <c:pt idx="1199">
                        <c:v>0</c:v>
                      </c:pt>
                      <c:pt idx="1200">
                        <c:v>0</c:v>
                      </c:pt>
                      <c:pt idx="1201">
                        <c:v>0</c:v>
                      </c:pt>
                      <c:pt idx="1202">
                        <c:v>0</c:v>
                      </c:pt>
                      <c:pt idx="1203">
                        <c:v>0</c:v>
                      </c:pt>
                      <c:pt idx="1204">
                        <c:v>0</c:v>
                      </c:pt>
                      <c:pt idx="1205">
                        <c:v>0</c:v>
                      </c:pt>
                      <c:pt idx="1206">
                        <c:v>0</c:v>
                      </c:pt>
                      <c:pt idx="1207">
                        <c:v>0</c:v>
                      </c:pt>
                      <c:pt idx="1208">
                        <c:v>0</c:v>
                      </c:pt>
                      <c:pt idx="1209">
                        <c:v>0</c:v>
                      </c:pt>
                      <c:pt idx="1210">
                        <c:v>0</c:v>
                      </c:pt>
                      <c:pt idx="1211">
                        <c:v>0</c:v>
                      </c:pt>
                      <c:pt idx="1212">
                        <c:v>0</c:v>
                      </c:pt>
                      <c:pt idx="1213">
                        <c:v>0</c:v>
                      </c:pt>
                      <c:pt idx="1214">
                        <c:v>0</c:v>
                      </c:pt>
                      <c:pt idx="1215">
                        <c:v>0</c:v>
                      </c:pt>
                      <c:pt idx="1216">
                        <c:v>0</c:v>
                      </c:pt>
                      <c:pt idx="1217">
                        <c:v>0</c:v>
                      </c:pt>
                      <c:pt idx="1218">
                        <c:v>0</c:v>
                      </c:pt>
                      <c:pt idx="1219">
                        <c:v>0</c:v>
                      </c:pt>
                      <c:pt idx="1220">
                        <c:v>0</c:v>
                      </c:pt>
                      <c:pt idx="1221">
                        <c:v>0</c:v>
                      </c:pt>
                      <c:pt idx="1222">
                        <c:v>0</c:v>
                      </c:pt>
                      <c:pt idx="1223">
                        <c:v>0</c:v>
                      </c:pt>
                      <c:pt idx="1224">
                        <c:v>0</c:v>
                      </c:pt>
                      <c:pt idx="1225">
                        <c:v>0</c:v>
                      </c:pt>
                      <c:pt idx="1226">
                        <c:v>0</c:v>
                      </c:pt>
                      <c:pt idx="1227">
                        <c:v>0</c:v>
                      </c:pt>
                      <c:pt idx="1228">
                        <c:v>0</c:v>
                      </c:pt>
                      <c:pt idx="1229">
                        <c:v>0</c:v>
                      </c:pt>
                      <c:pt idx="1230">
                        <c:v>0</c:v>
                      </c:pt>
                      <c:pt idx="1231">
                        <c:v>0</c:v>
                      </c:pt>
                      <c:pt idx="1232">
                        <c:v>0</c:v>
                      </c:pt>
                      <c:pt idx="1233">
                        <c:v>0</c:v>
                      </c:pt>
                      <c:pt idx="1234">
                        <c:v>0</c:v>
                      </c:pt>
                      <c:pt idx="1235">
                        <c:v>0</c:v>
                      </c:pt>
                      <c:pt idx="1236">
                        <c:v>0</c:v>
                      </c:pt>
                      <c:pt idx="1237">
                        <c:v>0</c:v>
                      </c:pt>
                      <c:pt idx="1238">
                        <c:v>0</c:v>
                      </c:pt>
                      <c:pt idx="1239">
                        <c:v>0</c:v>
                      </c:pt>
                      <c:pt idx="1240">
                        <c:v>0</c:v>
                      </c:pt>
                      <c:pt idx="1241">
                        <c:v>0</c:v>
                      </c:pt>
                      <c:pt idx="1242">
                        <c:v>0</c:v>
                      </c:pt>
                      <c:pt idx="1243">
                        <c:v>0</c:v>
                      </c:pt>
                      <c:pt idx="1244">
                        <c:v>0</c:v>
                      </c:pt>
                      <c:pt idx="1245">
                        <c:v>0</c:v>
                      </c:pt>
                      <c:pt idx="1246">
                        <c:v>0</c:v>
                      </c:pt>
                      <c:pt idx="1247">
                        <c:v>0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AB20-4917-8225-5CFA6125024E}"/>
            </c:ext>
          </c:extLst>
        </c:ser>
        <c:ser>
          <c:idx val="1"/>
          <c:order val="1"/>
          <c:spPr>
            <a:ln w="22225" cap="rnd">
              <a:solidFill>
                <a:schemeClr val="dk1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[177]PE!$C$2:$C$1249</c:f>
              <c:numCache>
                <c:formatCode>General</c:formatCode>
                <c:ptCount val="12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[177]PE!$C$1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[177]PE!$A$2:$A$1249</c15:sqref>
                        </c15:formulaRef>
                      </c:ext>
                    </c:extLst>
                    <c:numCache>
                      <c:formatCode>General</c:formatCode>
                      <c:ptCount val="124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0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0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0</c:v>
                      </c:pt>
                      <c:pt idx="688">
                        <c:v>0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0</c:v>
                      </c:pt>
                      <c:pt idx="692">
                        <c:v>0</c:v>
                      </c:pt>
                      <c:pt idx="693">
                        <c:v>0</c:v>
                      </c:pt>
                      <c:pt idx="694">
                        <c:v>0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0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0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0</c:v>
                      </c:pt>
                      <c:pt idx="772">
                        <c:v>0</c:v>
                      </c:pt>
                      <c:pt idx="773">
                        <c:v>0</c:v>
                      </c:pt>
                      <c:pt idx="774">
                        <c:v>0</c:v>
                      </c:pt>
                      <c:pt idx="775">
                        <c:v>0</c:v>
                      </c:pt>
                      <c:pt idx="776">
                        <c:v>0</c:v>
                      </c:pt>
                      <c:pt idx="777">
                        <c:v>0</c:v>
                      </c:pt>
                      <c:pt idx="778">
                        <c:v>0</c:v>
                      </c:pt>
                      <c:pt idx="779">
                        <c:v>0</c:v>
                      </c:pt>
                      <c:pt idx="780">
                        <c:v>0</c:v>
                      </c:pt>
                      <c:pt idx="781">
                        <c:v>0</c:v>
                      </c:pt>
                      <c:pt idx="782">
                        <c:v>0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  <c:pt idx="801">
                        <c:v>0</c:v>
                      </c:pt>
                      <c:pt idx="802">
                        <c:v>0</c:v>
                      </c:pt>
                      <c:pt idx="803">
                        <c:v>0</c:v>
                      </c:pt>
                      <c:pt idx="804">
                        <c:v>0</c:v>
                      </c:pt>
                      <c:pt idx="805">
                        <c:v>0</c:v>
                      </c:pt>
                      <c:pt idx="806">
                        <c:v>0</c:v>
                      </c:pt>
                      <c:pt idx="807">
                        <c:v>0</c:v>
                      </c:pt>
                      <c:pt idx="808">
                        <c:v>0</c:v>
                      </c:pt>
                      <c:pt idx="809">
                        <c:v>0</c:v>
                      </c:pt>
                      <c:pt idx="810">
                        <c:v>0</c:v>
                      </c:pt>
                      <c:pt idx="811">
                        <c:v>0</c:v>
                      </c:pt>
                      <c:pt idx="812">
                        <c:v>0</c:v>
                      </c:pt>
                      <c:pt idx="813">
                        <c:v>0</c:v>
                      </c:pt>
                      <c:pt idx="814">
                        <c:v>0</c:v>
                      </c:pt>
                      <c:pt idx="815">
                        <c:v>0</c:v>
                      </c:pt>
                      <c:pt idx="816">
                        <c:v>0</c:v>
                      </c:pt>
                      <c:pt idx="817">
                        <c:v>0</c:v>
                      </c:pt>
                      <c:pt idx="818">
                        <c:v>0</c:v>
                      </c:pt>
                      <c:pt idx="819">
                        <c:v>0</c:v>
                      </c:pt>
                      <c:pt idx="820">
                        <c:v>0</c:v>
                      </c:pt>
                      <c:pt idx="821">
                        <c:v>0</c:v>
                      </c:pt>
                      <c:pt idx="822">
                        <c:v>0</c:v>
                      </c:pt>
                      <c:pt idx="823">
                        <c:v>0</c:v>
                      </c:pt>
                      <c:pt idx="824">
                        <c:v>0</c:v>
                      </c:pt>
                      <c:pt idx="825">
                        <c:v>0</c:v>
                      </c:pt>
                      <c:pt idx="826">
                        <c:v>0</c:v>
                      </c:pt>
                      <c:pt idx="827">
                        <c:v>0</c:v>
                      </c:pt>
                      <c:pt idx="828">
                        <c:v>0</c:v>
                      </c:pt>
                      <c:pt idx="829">
                        <c:v>0</c:v>
                      </c:pt>
                      <c:pt idx="830">
                        <c:v>0</c:v>
                      </c:pt>
                      <c:pt idx="831">
                        <c:v>0</c:v>
                      </c:pt>
                      <c:pt idx="832">
                        <c:v>0</c:v>
                      </c:pt>
                      <c:pt idx="833">
                        <c:v>0</c:v>
                      </c:pt>
                      <c:pt idx="834">
                        <c:v>0</c:v>
                      </c:pt>
                      <c:pt idx="835">
                        <c:v>0</c:v>
                      </c:pt>
                      <c:pt idx="836">
                        <c:v>0</c:v>
                      </c:pt>
                      <c:pt idx="837">
                        <c:v>0</c:v>
                      </c:pt>
                      <c:pt idx="838">
                        <c:v>0</c:v>
                      </c:pt>
                      <c:pt idx="839">
                        <c:v>0</c:v>
                      </c:pt>
                      <c:pt idx="840">
                        <c:v>0</c:v>
                      </c:pt>
                      <c:pt idx="841">
                        <c:v>0</c:v>
                      </c:pt>
                      <c:pt idx="842">
                        <c:v>0</c:v>
                      </c:pt>
                      <c:pt idx="843">
                        <c:v>0</c:v>
                      </c:pt>
                      <c:pt idx="844">
                        <c:v>0</c:v>
                      </c:pt>
                      <c:pt idx="845">
                        <c:v>0</c:v>
                      </c:pt>
                      <c:pt idx="846">
                        <c:v>0</c:v>
                      </c:pt>
                      <c:pt idx="847">
                        <c:v>0</c:v>
                      </c:pt>
                      <c:pt idx="848">
                        <c:v>0</c:v>
                      </c:pt>
                      <c:pt idx="849">
                        <c:v>0</c:v>
                      </c:pt>
                      <c:pt idx="850">
                        <c:v>0</c:v>
                      </c:pt>
                      <c:pt idx="851">
                        <c:v>0</c:v>
                      </c:pt>
                      <c:pt idx="852">
                        <c:v>0</c:v>
                      </c:pt>
                      <c:pt idx="853">
                        <c:v>0</c:v>
                      </c:pt>
                      <c:pt idx="854">
                        <c:v>0</c:v>
                      </c:pt>
                      <c:pt idx="855">
                        <c:v>0</c:v>
                      </c:pt>
                      <c:pt idx="856">
                        <c:v>0</c:v>
                      </c:pt>
                      <c:pt idx="857">
                        <c:v>0</c:v>
                      </c:pt>
                      <c:pt idx="858">
                        <c:v>0</c:v>
                      </c:pt>
                      <c:pt idx="859">
                        <c:v>0</c:v>
                      </c:pt>
                      <c:pt idx="860">
                        <c:v>0</c:v>
                      </c:pt>
                      <c:pt idx="861">
                        <c:v>0</c:v>
                      </c:pt>
                      <c:pt idx="862">
                        <c:v>0</c:v>
                      </c:pt>
                      <c:pt idx="863">
                        <c:v>0</c:v>
                      </c:pt>
                      <c:pt idx="864">
                        <c:v>0</c:v>
                      </c:pt>
                      <c:pt idx="865">
                        <c:v>0</c:v>
                      </c:pt>
                      <c:pt idx="866">
                        <c:v>0</c:v>
                      </c:pt>
                      <c:pt idx="867">
                        <c:v>0</c:v>
                      </c:pt>
                      <c:pt idx="868">
                        <c:v>0</c:v>
                      </c:pt>
                      <c:pt idx="869">
                        <c:v>0</c:v>
                      </c:pt>
                      <c:pt idx="870">
                        <c:v>0</c:v>
                      </c:pt>
                      <c:pt idx="871">
                        <c:v>0</c:v>
                      </c:pt>
                      <c:pt idx="872">
                        <c:v>0</c:v>
                      </c:pt>
                      <c:pt idx="873">
                        <c:v>0</c:v>
                      </c:pt>
                      <c:pt idx="874">
                        <c:v>0</c:v>
                      </c:pt>
                      <c:pt idx="875">
                        <c:v>0</c:v>
                      </c:pt>
                      <c:pt idx="876">
                        <c:v>0</c:v>
                      </c:pt>
                      <c:pt idx="877">
                        <c:v>0</c:v>
                      </c:pt>
                      <c:pt idx="878">
                        <c:v>0</c:v>
                      </c:pt>
                      <c:pt idx="879">
                        <c:v>0</c:v>
                      </c:pt>
                      <c:pt idx="880">
                        <c:v>0</c:v>
                      </c:pt>
                      <c:pt idx="881">
                        <c:v>0</c:v>
                      </c:pt>
                      <c:pt idx="882">
                        <c:v>0</c:v>
                      </c:pt>
                      <c:pt idx="883">
                        <c:v>0</c:v>
                      </c:pt>
                      <c:pt idx="884">
                        <c:v>0</c:v>
                      </c:pt>
                      <c:pt idx="885">
                        <c:v>0</c:v>
                      </c:pt>
                      <c:pt idx="886">
                        <c:v>0</c:v>
                      </c:pt>
                      <c:pt idx="887">
                        <c:v>0</c:v>
                      </c:pt>
                      <c:pt idx="888">
                        <c:v>0</c:v>
                      </c:pt>
                      <c:pt idx="889">
                        <c:v>0</c:v>
                      </c:pt>
                      <c:pt idx="890">
                        <c:v>0</c:v>
                      </c:pt>
                      <c:pt idx="891">
                        <c:v>0</c:v>
                      </c:pt>
                      <c:pt idx="892">
                        <c:v>0</c:v>
                      </c:pt>
                      <c:pt idx="893">
                        <c:v>0</c:v>
                      </c:pt>
                      <c:pt idx="894">
                        <c:v>0</c:v>
                      </c:pt>
                      <c:pt idx="895">
                        <c:v>0</c:v>
                      </c:pt>
                      <c:pt idx="896">
                        <c:v>0</c:v>
                      </c:pt>
                      <c:pt idx="897">
                        <c:v>0</c:v>
                      </c:pt>
                      <c:pt idx="898">
                        <c:v>0</c:v>
                      </c:pt>
                      <c:pt idx="899">
                        <c:v>0</c:v>
                      </c:pt>
                      <c:pt idx="900">
                        <c:v>0</c:v>
                      </c:pt>
                      <c:pt idx="901">
                        <c:v>0</c:v>
                      </c:pt>
                      <c:pt idx="902">
                        <c:v>0</c:v>
                      </c:pt>
                      <c:pt idx="903">
                        <c:v>0</c:v>
                      </c:pt>
                      <c:pt idx="904">
                        <c:v>0</c:v>
                      </c:pt>
                      <c:pt idx="905">
                        <c:v>0</c:v>
                      </c:pt>
                      <c:pt idx="906">
                        <c:v>0</c:v>
                      </c:pt>
                      <c:pt idx="907">
                        <c:v>0</c:v>
                      </c:pt>
                      <c:pt idx="908">
                        <c:v>0</c:v>
                      </c:pt>
                      <c:pt idx="909">
                        <c:v>0</c:v>
                      </c:pt>
                      <c:pt idx="910">
                        <c:v>0</c:v>
                      </c:pt>
                      <c:pt idx="911">
                        <c:v>0</c:v>
                      </c:pt>
                      <c:pt idx="912">
                        <c:v>0</c:v>
                      </c:pt>
                      <c:pt idx="913">
                        <c:v>0</c:v>
                      </c:pt>
                      <c:pt idx="914">
                        <c:v>0</c:v>
                      </c:pt>
                      <c:pt idx="915">
                        <c:v>0</c:v>
                      </c:pt>
                      <c:pt idx="916">
                        <c:v>0</c:v>
                      </c:pt>
                      <c:pt idx="917">
                        <c:v>0</c:v>
                      </c:pt>
                      <c:pt idx="918">
                        <c:v>0</c:v>
                      </c:pt>
                      <c:pt idx="919">
                        <c:v>0</c:v>
                      </c:pt>
                      <c:pt idx="920">
                        <c:v>0</c:v>
                      </c:pt>
                      <c:pt idx="921">
                        <c:v>0</c:v>
                      </c:pt>
                      <c:pt idx="922">
                        <c:v>0</c:v>
                      </c:pt>
                      <c:pt idx="923">
                        <c:v>0</c:v>
                      </c:pt>
                      <c:pt idx="924">
                        <c:v>0</c:v>
                      </c:pt>
                      <c:pt idx="925">
                        <c:v>0</c:v>
                      </c:pt>
                      <c:pt idx="926">
                        <c:v>0</c:v>
                      </c:pt>
                      <c:pt idx="927">
                        <c:v>0</c:v>
                      </c:pt>
                      <c:pt idx="928">
                        <c:v>0</c:v>
                      </c:pt>
                      <c:pt idx="929">
                        <c:v>0</c:v>
                      </c:pt>
                      <c:pt idx="930">
                        <c:v>0</c:v>
                      </c:pt>
                      <c:pt idx="931">
                        <c:v>0</c:v>
                      </c:pt>
                      <c:pt idx="932">
                        <c:v>0</c:v>
                      </c:pt>
                      <c:pt idx="933">
                        <c:v>0</c:v>
                      </c:pt>
                      <c:pt idx="934">
                        <c:v>0</c:v>
                      </c:pt>
                      <c:pt idx="935">
                        <c:v>0</c:v>
                      </c:pt>
                      <c:pt idx="936">
                        <c:v>0</c:v>
                      </c:pt>
                      <c:pt idx="937">
                        <c:v>0</c:v>
                      </c:pt>
                      <c:pt idx="938">
                        <c:v>0</c:v>
                      </c:pt>
                      <c:pt idx="939">
                        <c:v>0</c:v>
                      </c:pt>
                      <c:pt idx="940">
                        <c:v>0</c:v>
                      </c:pt>
                      <c:pt idx="941">
                        <c:v>0</c:v>
                      </c:pt>
                      <c:pt idx="942">
                        <c:v>0</c:v>
                      </c:pt>
                      <c:pt idx="943">
                        <c:v>0</c:v>
                      </c:pt>
                      <c:pt idx="944">
                        <c:v>0</c:v>
                      </c:pt>
                      <c:pt idx="945">
                        <c:v>0</c:v>
                      </c:pt>
                      <c:pt idx="946">
                        <c:v>0</c:v>
                      </c:pt>
                      <c:pt idx="947">
                        <c:v>0</c:v>
                      </c:pt>
                      <c:pt idx="948">
                        <c:v>0</c:v>
                      </c:pt>
                      <c:pt idx="949">
                        <c:v>0</c:v>
                      </c:pt>
                      <c:pt idx="950">
                        <c:v>0</c:v>
                      </c:pt>
                      <c:pt idx="951">
                        <c:v>0</c:v>
                      </c:pt>
                      <c:pt idx="952">
                        <c:v>0</c:v>
                      </c:pt>
                      <c:pt idx="953">
                        <c:v>0</c:v>
                      </c:pt>
                      <c:pt idx="954">
                        <c:v>0</c:v>
                      </c:pt>
                      <c:pt idx="955">
                        <c:v>0</c:v>
                      </c:pt>
                      <c:pt idx="956">
                        <c:v>0</c:v>
                      </c:pt>
                      <c:pt idx="957">
                        <c:v>0</c:v>
                      </c:pt>
                      <c:pt idx="958">
                        <c:v>0</c:v>
                      </c:pt>
                      <c:pt idx="959">
                        <c:v>0</c:v>
                      </c:pt>
                      <c:pt idx="960">
                        <c:v>0</c:v>
                      </c:pt>
                      <c:pt idx="961">
                        <c:v>0</c:v>
                      </c:pt>
                      <c:pt idx="962">
                        <c:v>0</c:v>
                      </c:pt>
                      <c:pt idx="963">
                        <c:v>0</c:v>
                      </c:pt>
                      <c:pt idx="964">
                        <c:v>0</c:v>
                      </c:pt>
                      <c:pt idx="965">
                        <c:v>0</c:v>
                      </c:pt>
                      <c:pt idx="966">
                        <c:v>0</c:v>
                      </c:pt>
                      <c:pt idx="967">
                        <c:v>0</c:v>
                      </c:pt>
                      <c:pt idx="968">
                        <c:v>0</c:v>
                      </c:pt>
                      <c:pt idx="969">
                        <c:v>0</c:v>
                      </c:pt>
                      <c:pt idx="970">
                        <c:v>0</c:v>
                      </c:pt>
                      <c:pt idx="971">
                        <c:v>0</c:v>
                      </c:pt>
                      <c:pt idx="972">
                        <c:v>0</c:v>
                      </c:pt>
                      <c:pt idx="973">
                        <c:v>0</c:v>
                      </c:pt>
                      <c:pt idx="974">
                        <c:v>0</c:v>
                      </c:pt>
                      <c:pt idx="975">
                        <c:v>0</c:v>
                      </c:pt>
                      <c:pt idx="976">
                        <c:v>0</c:v>
                      </c:pt>
                      <c:pt idx="977">
                        <c:v>0</c:v>
                      </c:pt>
                      <c:pt idx="978">
                        <c:v>0</c:v>
                      </c:pt>
                      <c:pt idx="979">
                        <c:v>0</c:v>
                      </c:pt>
                      <c:pt idx="980">
                        <c:v>0</c:v>
                      </c:pt>
                      <c:pt idx="981">
                        <c:v>0</c:v>
                      </c:pt>
                      <c:pt idx="982">
                        <c:v>0</c:v>
                      </c:pt>
                      <c:pt idx="983">
                        <c:v>0</c:v>
                      </c:pt>
                      <c:pt idx="984">
                        <c:v>0</c:v>
                      </c:pt>
                      <c:pt idx="985">
                        <c:v>0</c:v>
                      </c:pt>
                      <c:pt idx="986">
                        <c:v>0</c:v>
                      </c:pt>
                      <c:pt idx="987">
                        <c:v>0</c:v>
                      </c:pt>
                      <c:pt idx="988">
                        <c:v>0</c:v>
                      </c:pt>
                      <c:pt idx="989">
                        <c:v>0</c:v>
                      </c:pt>
                      <c:pt idx="990">
                        <c:v>0</c:v>
                      </c:pt>
                      <c:pt idx="991">
                        <c:v>0</c:v>
                      </c:pt>
                      <c:pt idx="992">
                        <c:v>0</c:v>
                      </c:pt>
                      <c:pt idx="993">
                        <c:v>0</c:v>
                      </c:pt>
                      <c:pt idx="994">
                        <c:v>0</c:v>
                      </c:pt>
                      <c:pt idx="995">
                        <c:v>0</c:v>
                      </c:pt>
                      <c:pt idx="996">
                        <c:v>0</c:v>
                      </c:pt>
                      <c:pt idx="997">
                        <c:v>0</c:v>
                      </c:pt>
                      <c:pt idx="998">
                        <c:v>0</c:v>
                      </c:pt>
                      <c:pt idx="999">
                        <c:v>0</c:v>
                      </c:pt>
                      <c:pt idx="1000">
                        <c:v>0</c:v>
                      </c:pt>
                      <c:pt idx="1001">
                        <c:v>0</c:v>
                      </c:pt>
                      <c:pt idx="1002">
                        <c:v>0</c:v>
                      </c:pt>
                      <c:pt idx="1003">
                        <c:v>0</c:v>
                      </c:pt>
                      <c:pt idx="1004">
                        <c:v>0</c:v>
                      </c:pt>
                      <c:pt idx="1005">
                        <c:v>0</c:v>
                      </c:pt>
                      <c:pt idx="1006">
                        <c:v>0</c:v>
                      </c:pt>
                      <c:pt idx="1007">
                        <c:v>0</c:v>
                      </c:pt>
                      <c:pt idx="1008">
                        <c:v>0</c:v>
                      </c:pt>
                      <c:pt idx="1009">
                        <c:v>0</c:v>
                      </c:pt>
                      <c:pt idx="1010">
                        <c:v>0</c:v>
                      </c:pt>
                      <c:pt idx="1011">
                        <c:v>0</c:v>
                      </c:pt>
                      <c:pt idx="1012">
                        <c:v>0</c:v>
                      </c:pt>
                      <c:pt idx="1013">
                        <c:v>0</c:v>
                      </c:pt>
                      <c:pt idx="1014">
                        <c:v>0</c:v>
                      </c:pt>
                      <c:pt idx="1015">
                        <c:v>0</c:v>
                      </c:pt>
                      <c:pt idx="1016">
                        <c:v>0</c:v>
                      </c:pt>
                      <c:pt idx="1017">
                        <c:v>0</c:v>
                      </c:pt>
                      <c:pt idx="1018">
                        <c:v>0</c:v>
                      </c:pt>
                      <c:pt idx="1019">
                        <c:v>0</c:v>
                      </c:pt>
                      <c:pt idx="1020">
                        <c:v>0</c:v>
                      </c:pt>
                      <c:pt idx="1021">
                        <c:v>0</c:v>
                      </c:pt>
                      <c:pt idx="1022">
                        <c:v>0</c:v>
                      </c:pt>
                      <c:pt idx="1023">
                        <c:v>0</c:v>
                      </c:pt>
                      <c:pt idx="1024">
                        <c:v>0</c:v>
                      </c:pt>
                      <c:pt idx="1025">
                        <c:v>0</c:v>
                      </c:pt>
                      <c:pt idx="1026">
                        <c:v>0</c:v>
                      </c:pt>
                      <c:pt idx="1027">
                        <c:v>0</c:v>
                      </c:pt>
                      <c:pt idx="1028">
                        <c:v>0</c:v>
                      </c:pt>
                      <c:pt idx="1029">
                        <c:v>0</c:v>
                      </c:pt>
                      <c:pt idx="1030">
                        <c:v>0</c:v>
                      </c:pt>
                      <c:pt idx="1031">
                        <c:v>0</c:v>
                      </c:pt>
                      <c:pt idx="1032">
                        <c:v>0</c:v>
                      </c:pt>
                      <c:pt idx="1033">
                        <c:v>0</c:v>
                      </c:pt>
                      <c:pt idx="1034">
                        <c:v>0</c:v>
                      </c:pt>
                      <c:pt idx="1035">
                        <c:v>0</c:v>
                      </c:pt>
                      <c:pt idx="1036">
                        <c:v>0</c:v>
                      </c:pt>
                      <c:pt idx="1037">
                        <c:v>0</c:v>
                      </c:pt>
                      <c:pt idx="1038">
                        <c:v>0</c:v>
                      </c:pt>
                      <c:pt idx="1039">
                        <c:v>0</c:v>
                      </c:pt>
                      <c:pt idx="1040">
                        <c:v>0</c:v>
                      </c:pt>
                      <c:pt idx="1041">
                        <c:v>0</c:v>
                      </c:pt>
                      <c:pt idx="1042">
                        <c:v>0</c:v>
                      </c:pt>
                      <c:pt idx="1043">
                        <c:v>0</c:v>
                      </c:pt>
                      <c:pt idx="1044">
                        <c:v>0</c:v>
                      </c:pt>
                      <c:pt idx="1045">
                        <c:v>0</c:v>
                      </c:pt>
                      <c:pt idx="1046">
                        <c:v>0</c:v>
                      </c:pt>
                      <c:pt idx="1047">
                        <c:v>0</c:v>
                      </c:pt>
                      <c:pt idx="1048">
                        <c:v>0</c:v>
                      </c:pt>
                      <c:pt idx="1049">
                        <c:v>0</c:v>
                      </c:pt>
                      <c:pt idx="1050">
                        <c:v>0</c:v>
                      </c:pt>
                      <c:pt idx="1051">
                        <c:v>0</c:v>
                      </c:pt>
                      <c:pt idx="1052">
                        <c:v>0</c:v>
                      </c:pt>
                      <c:pt idx="1053">
                        <c:v>0</c:v>
                      </c:pt>
                      <c:pt idx="1054">
                        <c:v>0</c:v>
                      </c:pt>
                      <c:pt idx="1055">
                        <c:v>0</c:v>
                      </c:pt>
                      <c:pt idx="1056">
                        <c:v>0</c:v>
                      </c:pt>
                      <c:pt idx="1057">
                        <c:v>0</c:v>
                      </c:pt>
                      <c:pt idx="1058">
                        <c:v>0</c:v>
                      </c:pt>
                      <c:pt idx="1059">
                        <c:v>0</c:v>
                      </c:pt>
                      <c:pt idx="1060">
                        <c:v>0</c:v>
                      </c:pt>
                      <c:pt idx="1061">
                        <c:v>0</c:v>
                      </c:pt>
                      <c:pt idx="1062">
                        <c:v>0</c:v>
                      </c:pt>
                      <c:pt idx="1063">
                        <c:v>0</c:v>
                      </c:pt>
                      <c:pt idx="1064">
                        <c:v>0</c:v>
                      </c:pt>
                      <c:pt idx="1065">
                        <c:v>0</c:v>
                      </c:pt>
                      <c:pt idx="1066">
                        <c:v>0</c:v>
                      </c:pt>
                      <c:pt idx="1067">
                        <c:v>0</c:v>
                      </c:pt>
                      <c:pt idx="1068">
                        <c:v>0</c:v>
                      </c:pt>
                      <c:pt idx="1069">
                        <c:v>0</c:v>
                      </c:pt>
                      <c:pt idx="1070">
                        <c:v>0</c:v>
                      </c:pt>
                      <c:pt idx="1071">
                        <c:v>0</c:v>
                      </c:pt>
                      <c:pt idx="1072">
                        <c:v>0</c:v>
                      </c:pt>
                      <c:pt idx="1073">
                        <c:v>0</c:v>
                      </c:pt>
                      <c:pt idx="1074">
                        <c:v>0</c:v>
                      </c:pt>
                      <c:pt idx="1075">
                        <c:v>0</c:v>
                      </c:pt>
                      <c:pt idx="1076">
                        <c:v>0</c:v>
                      </c:pt>
                      <c:pt idx="1077">
                        <c:v>0</c:v>
                      </c:pt>
                      <c:pt idx="1078">
                        <c:v>0</c:v>
                      </c:pt>
                      <c:pt idx="1079">
                        <c:v>0</c:v>
                      </c:pt>
                      <c:pt idx="1080">
                        <c:v>0</c:v>
                      </c:pt>
                      <c:pt idx="1081">
                        <c:v>0</c:v>
                      </c:pt>
                      <c:pt idx="1082">
                        <c:v>0</c:v>
                      </c:pt>
                      <c:pt idx="1083">
                        <c:v>0</c:v>
                      </c:pt>
                      <c:pt idx="1084">
                        <c:v>0</c:v>
                      </c:pt>
                      <c:pt idx="1085">
                        <c:v>0</c:v>
                      </c:pt>
                      <c:pt idx="1086">
                        <c:v>0</c:v>
                      </c:pt>
                      <c:pt idx="1087">
                        <c:v>0</c:v>
                      </c:pt>
                      <c:pt idx="1088">
                        <c:v>0</c:v>
                      </c:pt>
                      <c:pt idx="1089">
                        <c:v>0</c:v>
                      </c:pt>
                      <c:pt idx="1090">
                        <c:v>0</c:v>
                      </c:pt>
                      <c:pt idx="1091">
                        <c:v>0</c:v>
                      </c:pt>
                      <c:pt idx="1092">
                        <c:v>0</c:v>
                      </c:pt>
                      <c:pt idx="1093">
                        <c:v>0</c:v>
                      </c:pt>
                      <c:pt idx="1094">
                        <c:v>0</c:v>
                      </c:pt>
                      <c:pt idx="1095">
                        <c:v>0</c:v>
                      </c:pt>
                      <c:pt idx="1096">
                        <c:v>0</c:v>
                      </c:pt>
                      <c:pt idx="1097">
                        <c:v>0</c:v>
                      </c:pt>
                      <c:pt idx="1098">
                        <c:v>0</c:v>
                      </c:pt>
                      <c:pt idx="1099">
                        <c:v>0</c:v>
                      </c:pt>
                      <c:pt idx="1100">
                        <c:v>0</c:v>
                      </c:pt>
                      <c:pt idx="1101">
                        <c:v>0</c:v>
                      </c:pt>
                      <c:pt idx="1102">
                        <c:v>0</c:v>
                      </c:pt>
                      <c:pt idx="1103">
                        <c:v>0</c:v>
                      </c:pt>
                      <c:pt idx="1104">
                        <c:v>0</c:v>
                      </c:pt>
                      <c:pt idx="1105">
                        <c:v>0</c:v>
                      </c:pt>
                      <c:pt idx="1106">
                        <c:v>0</c:v>
                      </c:pt>
                      <c:pt idx="1107">
                        <c:v>0</c:v>
                      </c:pt>
                      <c:pt idx="1108">
                        <c:v>0</c:v>
                      </c:pt>
                      <c:pt idx="1109">
                        <c:v>0</c:v>
                      </c:pt>
                      <c:pt idx="1110">
                        <c:v>0</c:v>
                      </c:pt>
                      <c:pt idx="1111">
                        <c:v>0</c:v>
                      </c:pt>
                      <c:pt idx="1112">
                        <c:v>0</c:v>
                      </c:pt>
                      <c:pt idx="1113">
                        <c:v>0</c:v>
                      </c:pt>
                      <c:pt idx="1114">
                        <c:v>0</c:v>
                      </c:pt>
                      <c:pt idx="1115">
                        <c:v>0</c:v>
                      </c:pt>
                      <c:pt idx="1116">
                        <c:v>0</c:v>
                      </c:pt>
                      <c:pt idx="1117">
                        <c:v>0</c:v>
                      </c:pt>
                      <c:pt idx="1118">
                        <c:v>0</c:v>
                      </c:pt>
                      <c:pt idx="1119">
                        <c:v>0</c:v>
                      </c:pt>
                      <c:pt idx="1120">
                        <c:v>0</c:v>
                      </c:pt>
                      <c:pt idx="1121">
                        <c:v>0</c:v>
                      </c:pt>
                      <c:pt idx="1122">
                        <c:v>0</c:v>
                      </c:pt>
                      <c:pt idx="1123">
                        <c:v>0</c:v>
                      </c:pt>
                      <c:pt idx="1124">
                        <c:v>0</c:v>
                      </c:pt>
                      <c:pt idx="1125">
                        <c:v>0</c:v>
                      </c:pt>
                      <c:pt idx="1126">
                        <c:v>0</c:v>
                      </c:pt>
                      <c:pt idx="1127">
                        <c:v>0</c:v>
                      </c:pt>
                      <c:pt idx="1128">
                        <c:v>0</c:v>
                      </c:pt>
                      <c:pt idx="1129">
                        <c:v>0</c:v>
                      </c:pt>
                      <c:pt idx="1130">
                        <c:v>0</c:v>
                      </c:pt>
                      <c:pt idx="1131">
                        <c:v>0</c:v>
                      </c:pt>
                      <c:pt idx="1132">
                        <c:v>0</c:v>
                      </c:pt>
                      <c:pt idx="1133">
                        <c:v>0</c:v>
                      </c:pt>
                      <c:pt idx="1134">
                        <c:v>0</c:v>
                      </c:pt>
                      <c:pt idx="1135">
                        <c:v>0</c:v>
                      </c:pt>
                      <c:pt idx="1136">
                        <c:v>0</c:v>
                      </c:pt>
                      <c:pt idx="1137">
                        <c:v>0</c:v>
                      </c:pt>
                      <c:pt idx="1138">
                        <c:v>0</c:v>
                      </c:pt>
                      <c:pt idx="1139">
                        <c:v>0</c:v>
                      </c:pt>
                      <c:pt idx="1140">
                        <c:v>0</c:v>
                      </c:pt>
                      <c:pt idx="1141">
                        <c:v>0</c:v>
                      </c:pt>
                      <c:pt idx="1142">
                        <c:v>0</c:v>
                      </c:pt>
                      <c:pt idx="1143">
                        <c:v>0</c:v>
                      </c:pt>
                      <c:pt idx="1144">
                        <c:v>0</c:v>
                      </c:pt>
                      <c:pt idx="1145">
                        <c:v>0</c:v>
                      </c:pt>
                      <c:pt idx="1146">
                        <c:v>0</c:v>
                      </c:pt>
                      <c:pt idx="1147">
                        <c:v>0</c:v>
                      </c:pt>
                      <c:pt idx="1148">
                        <c:v>0</c:v>
                      </c:pt>
                      <c:pt idx="1149">
                        <c:v>0</c:v>
                      </c:pt>
                      <c:pt idx="1150">
                        <c:v>0</c:v>
                      </c:pt>
                      <c:pt idx="1151">
                        <c:v>0</c:v>
                      </c:pt>
                      <c:pt idx="1152">
                        <c:v>0</c:v>
                      </c:pt>
                      <c:pt idx="1153">
                        <c:v>0</c:v>
                      </c:pt>
                      <c:pt idx="1154">
                        <c:v>0</c:v>
                      </c:pt>
                      <c:pt idx="1155">
                        <c:v>0</c:v>
                      </c:pt>
                      <c:pt idx="1156">
                        <c:v>0</c:v>
                      </c:pt>
                      <c:pt idx="1157">
                        <c:v>0</c:v>
                      </c:pt>
                      <c:pt idx="1158">
                        <c:v>0</c:v>
                      </c:pt>
                      <c:pt idx="1159">
                        <c:v>0</c:v>
                      </c:pt>
                      <c:pt idx="1160">
                        <c:v>0</c:v>
                      </c:pt>
                      <c:pt idx="1161">
                        <c:v>0</c:v>
                      </c:pt>
                      <c:pt idx="1162">
                        <c:v>0</c:v>
                      </c:pt>
                      <c:pt idx="1163">
                        <c:v>0</c:v>
                      </c:pt>
                      <c:pt idx="1164">
                        <c:v>0</c:v>
                      </c:pt>
                      <c:pt idx="1165">
                        <c:v>0</c:v>
                      </c:pt>
                      <c:pt idx="1166">
                        <c:v>0</c:v>
                      </c:pt>
                      <c:pt idx="1167">
                        <c:v>0</c:v>
                      </c:pt>
                      <c:pt idx="1168">
                        <c:v>0</c:v>
                      </c:pt>
                      <c:pt idx="1169">
                        <c:v>0</c:v>
                      </c:pt>
                      <c:pt idx="1170">
                        <c:v>0</c:v>
                      </c:pt>
                      <c:pt idx="1171">
                        <c:v>0</c:v>
                      </c:pt>
                      <c:pt idx="1172">
                        <c:v>0</c:v>
                      </c:pt>
                      <c:pt idx="1173">
                        <c:v>0</c:v>
                      </c:pt>
                      <c:pt idx="1174">
                        <c:v>0</c:v>
                      </c:pt>
                      <c:pt idx="1175">
                        <c:v>0</c:v>
                      </c:pt>
                      <c:pt idx="1176">
                        <c:v>0</c:v>
                      </c:pt>
                      <c:pt idx="1177">
                        <c:v>0</c:v>
                      </c:pt>
                      <c:pt idx="1178">
                        <c:v>0</c:v>
                      </c:pt>
                      <c:pt idx="1179">
                        <c:v>0</c:v>
                      </c:pt>
                      <c:pt idx="1180">
                        <c:v>0</c:v>
                      </c:pt>
                      <c:pt idx="1181">
                        <c:v>0</c:v>
                      </c:pt>
                      <c:pt idx="1182">
                        <c:v>0</c:v>
                      </c:pt>
                      <c:pt idx="1183">
                        <c:v>0</c:v>
                      </c:pt>
                      <c:pt idx="1184">
                        <c:v>0</c:v>
                      </c:pt>
                      <c:pt idx="1185">
                        <c:v>0</c:v>
                      </c:pt>
                      <c:pt idx="1186">
                        <c:v>0</c:v>
                      </c:pt>
                      <c:pt idx="1187">
                        <c:v>0</c:v>
                      </c:pt>
                      <c:pt idx="1188">
                        <c:v>0</c:v>
                      </c:pt>
                      <c:pt idx="1189">
                        <c:v>0</c:v>
                      </c:pt>
                      <c:pt idx="1190">
                        <c:v>0</c:v>
                      </c:pt>
                      <c:pt idx="1191">
                        <c:v>0</c:v>
                      </c:pt>
                      <c:pt idx="1192">
                        <c:v>0</c:v>
                      </c:pt>
                      <c:pt idx="1193">
                        <c:v>0</c:v>
                      </c:pt>
                      <c:pt idx="1194">
                        <c:v>0</c:v>
                      </c:pt>
                      <c:pt idx="1195">
                        <c:v>0</c:v>
                      </c:pt>
                      <c:pt idx="1196">
                        <c:v>0</c:v>
                      </c:pt>
                      <c:pt idx="1197">
                        <c:v>0</c:v>
                      </c:pt>
                      <c:pt idx="1198">
                        <c:v>0</c:v>
                      </c:pt>
                      <c:pt idx="1199">
                        <c:v>0</c:v>
                      </c:pt>
                      <c:pt idx="1200">
                        <c:v>0</c:v>
                      </c:pt>
                      <c:pt idx="1201">
                        <c:v>0</c:v>
                      </c:pt>
                      <c:pt idx="1202">
                        <c:v>0</c:v>
                      </c:pt>
                      <c:pt idx="1203">
                        <c:v>0</c:v>
                      </c:pt>
                      <c:pt idx="1204">
                        <c:v>0</c:v>
                      </c:pt>
                      <c:pt idx="1205">
                        <c:v>0</c:v>
                      </c:pt>
                      <c:pt idx="1206">
                        <c:v>0</c:v>
                      </c:pt>
                      <c:pt idx="1207">
                        <c:v>0</c:v>
                      </c:pt>
                      <c:pt idx="1208">
                        <c:v>0</c:v>
                      </c:pt>
                      <c:pt idx="1209">
                        <c:v>0</c:v>
                      </c:pt>
                      <c:pt idx="1210">
                        <c:v>0</c:v>
                      </c:pt>
                      <c:pt idx="1211">
                        <c:v>0</c:v>
                      </c:pt>
                      <c:pt idx="1212">
                        <c:v>0</c:v>
                      </c:pt>
                      <c:pt idx="1213">
                        <c:v>0</c:v>
                      </c:pt>
                      <c:pt idx="1214">
                        <c:v>0</c:v>
                      </c:pt>
                      <c:pt idx="1215">
                        <c:v>0</c:v>
                      </c:pt>
                      <c:pt idx="1216">
                        <c:v>0</c:v>
                      </c:pt>
                      <c:pt idx="1217">
                        <c:v>0</c:v>
                      </c:pt>
                      <c:pt idx="1218">
                        <c:v>0</c:v>
                      </c:pt>
                      <c:pt idx="1219">
                        <c:v>0</c:v>
                      </c:pt>
                      <c:pt idx="1220">
                        <c:v>0</c:v>
                      </c:pt>
                      <c:pt idx="1221">
                        <c:v>0</c:v>
                      </c:pt>
                      <c:pt idx="1222">
                        <c:v>0</c:v>
                      </c:pt>
                      <c:pt idx="1223">
                        <c:v>0</c:v>
                      </c:pt>
                      <c:pt idx="1224">
                        <c:v>0</c:v>
                      </c:pt>
                      <c:pt idx="1225">
                        <c:v>0</c:v>
                      </c:pt>
                      <c:pt idx="1226">
                        <c:v>0</c:v>
                      </c:pt>
                      <c:pt idx="1227">
                        <c:v>0</c:v>
                      </c:pt>
                      <c:pt idx="1228">
                        <c:v>0</c:v>
                      </c:pt>
                      <c:pt idx="1229">
                        <c:v>0</c:v>
                      </c:pt>
                      <c:pt idx="1230">
                        <c:v>0</c:v>
                      </c:pt>
                      <c:pt idx="1231">
                        <c:v>0</c:v>
                      </c:pt>
                      <c:pt idx="1232">
                        <c:v>0</c:v>
                      </c:pt>
                      <c:pt idx="1233">
                        <c:v>0</c:v>
                      </c:pt>
                      <c:pt idx="1234">
                        <c:v>0</c:v>
                      </c:pt>
                      <c:pt idx="1235">
                        <c:v>0</c:v>
                      </c:pt>
                      <c:pt idx="1236">
                        <c:v>0</c:v>
                      </c:pt>
                      <c:pt idx="1237">
                        <c:v>0</c:v>
                      </c:pt>
                      <c:pt idx="1238">
                        <c:v>0</c:v>
                      </c:pt>
                      <c:pt idx="1239">
                        <c:v>0</c:v>
                      </c:pt>
                      <c:pt idx="1240">
                        <c:v>0</c:v>
                      </c:pt>
                      <c:pt idx="1241">
                        <c:v>0</c:v>
                      </c:pt>
                      <c:pt idx="1242">
                        <c:v>0</c:v>
                      </c:pt>
                      <c:pt idx="1243">
                        <c:v>0</c:v>
                      </c:pt>
                      <c:pt idx="1244">
                        <c:v>0</c:v>
                      </c:pt>
                      <c:pt idx="1245">
                        <c:v>0</c:v>
                      </c:pt>
                      <c:pt idx="1246">
                        <c:v>0</c:v>
                      </c:pt>
                      <c:pt idx="1247">
                        <c:v>0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AB20-4917-8225-5CFA6125024E}"/>
            </c:ext>
          </c:extLst>
        </c:ser>
        <c:ser>
          <c:idx val="2"/>
          <c:order val="2"/>
          <c:spPr>
            <a:ln w="22225" cap="rnd">
              <a:solidFill>
                <a:schemeClr val="dk1">
                  <a:tint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[177]PE!$D$2:$D$1249</c:f>
              <c:numCache>
                <c:formatCode>General</c:formatCode>
                <c:ptCount val="12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[177]PE!$D$1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[177]PE!$A$2:$A$1249</c15:sqref>
                        </c15:formulaRef>
                      </c:ext>
                    </c:extLst>
                    <c:numCache>
                      <c:formatCode>General</c:formatCode>
                      <c:ptCount val="124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0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0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0</c:v>
                      </c:pt>
                      <c:pt idx="688">
                        <c:v>0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0</c:v>
                      </c:pt>
                      <c:pt idx="692">
                        <c:v>0</c:v>
                      </c:pt>
                      <c:pt idx="693">
                        <c:v>0</c:v>
                      </c:pt>
                      <c:pt idx="694">
                        <c:v>0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0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0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0</c:v>
                      </c:pt>
                      <c:pt idx="772">
                        <c:v>0</c:v>
                      </c:pt>
                      <c:pt idx="773">
                        <c:v>0</c:v>
                      </c:pt>
                      <c:pt idx="774">
                        <c:v>0</c:v>
                      </c:pt>
                      <c:pt idx="775">
                        <c:v>0</c:v>
                      </c:pt>
                      <c:pt idx="776">
                        <c:v>0</c:v>
                      </c:pt>
                      <c:pt idx="777">
                        <c:v>0</c:v>
                      </c:pt>
                      <c:pt idx="778">
                        <c:v>0</c:v>
                      </c:pt>
                      <c:pt idx="779">
                        <c:v>0</c:v>
                      </c:pt>
                      <c:pt idx="780">
                        <c:v>0</c:v>
                      </c:pt>
                      <c:pt idx="781">
                        <c:v>0</c:v>
                      </c:pt>
                      <c:pt idx="782">
                        <c:v>0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  <c:pt idx="801">
                        <c:v>0</c:v>
                      </c:pt>
                      <c:pt idx="802">
                        <c:v>0</c:v>
                      </c:pt>
                      <c:pt idx="803">
                        <c:v>0</c:v>
                      </c:pt>
                      <c:pt idx="804">
                        <c:v>0</c:v>
                      </c:pt>
                      <c:pt idx="805">
                        <c:v>0</c:v>
                      </c:pt>
                      <c:pt idx="806">
                        <c:v>0</c:v>
                      </c:pt>
                      <c:pt idx="807">
                        <c:v>0</c:v>
                      </c:pt>
                      <c:pt idx="808">
                        <c:v>0</c:v>
                      </c:pt>
                      <c:pt idx="809">
                        <c:v>0</c:v>
                      </c:pt>
                      <c:pt idx="810">
                        <c:v>0</c:v>
                      </c:pt>
                      <c:pt idx="811">
                        <c:v>0</c:v>
                      </c:pt>
                      <c:pt idx="812">
                        <c:v>0</c:v>
                      </c:pt>
                      <c:pt idx="813">
                        <c:v>0</c:v>
                      </c:pt>
                      <c:pt idx="814">
                        <c:v>0</c:v>
                      </c:pt>
                      <c:pt idx="815">
                        <c:v>0</c:v>
                      </c:pt>
                      <c:pt idx="816">
                        <c:v>0</c:v>
                      </c:pt>
                      <c:pt idx="817">
                        <c:v>0</c:v>
                      </c:pt>
                      <c:pt idx="818">
                        <c:v>0</c:v>
                      </c:pt>
                      <c:pt idx="819">
                        <c:v>0</c:v>
                      </c:pt>
                      <c:pt idx="820">
                        <c:v>0</c:v>
                      </c:pt>
                      <c:pt idx="821">
                        <c:v>0</c:v>
                      </c:pt>
                      <c:pt idx="822">
                        <c:v>0</c:v>
                      </c:pt>
                      <c:pt idx="823">
                        <c:v>0</c:v>
                      </c:pt>
                      <c:pt idx="824">
                        <c:v>0</c:v>
                      </c:pt>
                      <c:pt idx="825">
                        <c:v>0</c:v>
                      </c:pt>
                      <c:pt idx="826">
                        <c:v>0</c:v>
                      </c:pt>
                      <c:pt idx="827">
                        <c:v>0</c:v>
                      </c:pt>
                      <c:pt idx="828">
                        <c:v>0</c:v>
                      </c:pt>
                      <c:pt idx="829">
                        <c:v>0</c:v>
                      </c:pt>
                      <c:pt idx="830">
                        <c:v>0</c:v>
                      </c:pt>
                      <c:pt idx="831">
                        <c:v>0</c:v>
                      </c:pt>
                      <c:pt idx="832">
                        <c:v>0</c:v>
                      </c:pt>
                      <c:pt idx="833">
                        <c:v>0</c:v>
                      </c:pt>
                      <c:pt idx="834">
                        <c:v>0</c:v>
                      </c:pt>
                      <c:pt idx="835">
                        <c:v>0</c:v>
                      </c:pt>
                      <c:pt idx="836">
                        <c:v>0</c:v>
                      </c:pt>
                      <c:pt idx="837">
                        <c:v>0</c:v>
                      </c:pt>
                      <c:pt idx="838">
                        <c:v>0</c:v>
                      </c:pt>
                      <c:pt idx="839">
                        <c:v>0</c:v>
                      </c:pt>
                      <c:pt idx="840">
                        <c:v>0</c:v>
                      </c:pt>
                      <c:pt idx="841">
                        <c:v>0</c:v>
                      </c:pt>
                      <c:pt idx="842">
                        <c:v>0</c:v>
                      </c:pt>
                      <c:pt idx="843">
                        <c:v>0</c:v>
                      </c:pt>
                      <c:pt idx="844">
                        <c:v>0</c:v>
                      </c:pt>
                      <c:pt idx="845">
                        <c:v>0</c:v>
                      </c:pt>
                      <c:pt idx="846">
                        <c:v>0</c:v>
                      </c:pt>
                      <c:pt idx="847">
                        <c:v>0</c:v>
                      </c:pt>
                      <c:pt idx="848">
                        <c:v>0</c:v>
                      </c:pt>
                      <c:pt idx="849">
                        <c:v>0</c:v>
                      </c:pt>
                      <c:pt idx="850">
                        <c:v>0</c:v>
                      </c:pt>
                      <c:pt idx="851">
                        <c:v>0</c:v>
                      </c:pt>
                      <c:pt idx="852">
                        <c:v>0</c:v>
                      </c:pt>
                      <c:pt idx="853">
                        <c:v>0</c:v>
                      </c:pt>
                      <c:pt idx="854">
                        <c:v>0</c:v>
                      </c:pt>
                      <c:pt idx="855">
                        <c:v>0</c:v>
                      </c:pt>
                      <c:pt idx="856">
                        <c:v>0</c:v>
                      </c:pt>
                      <c:pt idx="857">
                        <c:v>0</c:v>
                      </c:pt>
                      <c:pt idx="858">
                        <c:v>0</c:v>
                      </c:pt>
                      <c:pt idx="859">
                        <c:v>0</c:v>
                      </c:pt>
                      <c:pt idx="860">
                        <c:v>0</c:v>
                      </c:pt>
                      <c:pt idx="861">
                        <c:v>0</c:v>
                      </c:pt>
                      <c:pt idx="862">
                        <c:v>0</c:v>
                      </c:pt>
                      <c:pt idx="863">
                        <c:v>0</c:v>
                      </c:pt>
                      <c:pt idx="864">
                        <c:v>0</c:v>
                      </c:pt>
                      <c:pt idx="865">
                        <c:v>0</c:v>
                      </c:pt>
                      <c:pt idx="866">
                        <c:v>0</c:v>
                      </c:pt>
                      <c:pt idx="867">
                        <c:v>0</c:v>
                      </c:pt>
                      <c:pt idx="868">
                        <c:v>0</c:v>
                      </c:pt>
                      <c:pt idx="869">
                        <c:v>0</c:v>
                      </c:pt>
                      <c:pt idx="870">
                        <c:v>0</c:v>
                      </c:pt>
                      <c:pt idx="871">
                        <c:v>0</c:v>
                      </c:pt>
                      <c:pt idx="872">
                        <c:v>0</c:v>
                      </c:pt>
                      <c:pt idx="873">
                        <c:v>0</c:v>
                      </c:pt>
                      <c:pt idx="874">
                        <c:v>0</c:v>
                      </c:pt>
                      <c:pt idx="875">
                        <c:v>0</c:v>
                      </c:pt>
                      <c:pt idx="876">
                        <c:v>0</c:v>
                      </c:pt>
                      <c:pt idx="877">
                        <c:v>0</c:v>
                      </c:pt>
                      <c:pt idx="878">
                        <c:v>0</c:v>
                      </c:pt>
                      <c:pt idx="879">
                        <c:v>0</c:v>
                      </c:pt>
                      <c:pt idx="880">
                        <c:v>0</c:v>
                      </c:pt>
                      <c:pt idx="881">
                        <c:v>0</c:v>
                      </c:pt>
                      <c:pt idx="882">
                        <c:v>0</c:v>
                      </c:pt>
                      <c:pt idx="883">
                        <c:v>0</c:v>
                      </c:pt>
                      <c:pt idx="884">
                        <c:v>0</c:v>
                      </c:pt>
                      <c:pt idx="885">
                        <c:v>0</c:v>
                      </c:pt>
                      <c:pt idx="886">
                        <c:v>0</c:v>
                      </c:pt>
                      <c:pt idx="887">
                        <c:v>0</c:v>
                      </c:pt>
                      <c:pt idx="888">
                        <c:v>0</c:v>
                      </c:pt>
                      <c:pt idx="889">
                        <c:v>0</c:v>
                      </c:pt>
                      <c:pt idx="890">
                        <c:v>0</c:v>
                      </c:pt>
                      <c:pt idx="891">
                        <c:v>0</c:v>
                      </c:pt>
                      <c:pt idx="892">
                        <c:v>0</c:v>
                      </c:pt>
                      <c:pt idx="893">
                        <c:v>0</c:v>
                      </c:pt>
                      <c:pt idx="894">
                        <c:v>0</c:v>
                      </c:pt>
                      <c:pt idx="895">
                        <c:v>0</c:v>
                      </c:pt>
                      <c:pt idx="896">
                        <c:v>0</c:v>
                      </c:pt>
                      <c:pt idx="897">
                        <c:v>0</c:v>
                      </c:pt>
                      <c:pt idx="898">
                        <c:v>0</c:v>
                      </c:pt>
                      <c:pt idx="899">
                        <c:v>0</c:v>
                      </c:pt>
                      <c:pt idx="900">
                        <c:v>0</c:v>
                      </c:pt>
                      <c:pt idx="901">
                        <c:v>0</c:v>
                      </c:pt>
                      <c:pt idx="902">
                        <c:v>0</c:v>
                      </c:pt>
                      <c:pt idx="903">
                        <c:v>0</c:v>
                      </c:pt>
                      <c:pt idx="904">
                        <c:v>0</c:v>
                      </c:pt>
                      <c:pt idx="905">
                        <c:v>0</c:v>
                      </c:pt>
                      <c:pt idx="906">
                        <c:v>0</c:v>
                      </c:pt>
                      <c:pt idx="907">
                        <c:v>0</c:v>
                      </c:pt>
                      <c:pt idx="908">
                        <c:v>0</c:v>
                      </c:pt>
                      <c:pt idx="909">
                        <c:v>0</c:v>
                      </c:pt>
                      <c:pt idx="910">
                        <c:v>0</c:v>
                      </c:pt>
                      <c:pt idx="911">
                        <c:v>0</c:v>
                      </c:pt>
                      <c:pt idx="912">
                        <c:v>0</c:v>
                      </c:pt>
                      <c:pt idx="913">
                        <c:v>0</c:v>
                      </c:pt>
                      <c:pt idx="914">
                        <c:v>0</c:v>
                      </c:pt>
                      <c:pt idx="915">
                        <c:v>0</c:v>
                      </c:pt>
                      <c:pt idx="916">
                        <c:v>0</c:v>
                      </c:pt>
                      <c:pt idx="917">
                        <c:v>0</c:v>
                      </c:pt>
                      <c:pt idx="918">
                        <c:v>0</c:v>
                      </c:pt>
                      <c:pt idx="919">
                        <c:v>0</c:v>
                      </c:pt>
                      <c:pt idx="920">
                        <c:v>0</c:v>
                      </c:pt>
                      <c:pt idx="921">
                        <c:v>0</c:v>
                      </c:pt>
                      <c:pt idx="922">
                        <c:v>0</c:v>
                      </c:pt>
                      <c:pt idx="923">
                        <c:v>0</c:v>
                      </c:pt>
                      <c:pt idx="924">
                        <c:v>0</c:v>
                      </c:pt>
                      <c:pt idx="925">
                        <c:v>0</c:v>
                      </c:pt>
                      <c:pt idx="926">
                        <c:v>0</c:v>
                      </c:pt>
                      <c:pt idx="927">
                        <c:v>0</c:v>
                      </c:pt>
                      <c:pt idx="928">
                        <c:v>0</c:v>
                      </c:pt>
                      <c:pt idx="929">
                        <c:v>0</c:v>
                      </c:pt>
                      <c:pt idx="930">
                        <c:v>0</c:v>
                      </c:pt>
                      <c:pt idx="931">
                        <c:v>0</c:v>
                      </c:pt>
                      <c:pt idx="932">
                        <c:v>0</c:v>
                      </c:pt>
                      <c:pt idx="933">
                        <c:v>0</c:v>
                      </c:pt>
                      <c:pt idx="934">
                        <c:v>0</c:v>
                      </c:pt>
                      <c:pt idx="935">
                        <c:v>0</c:v>
                      </c:pt>
                      <c:pt idx="936">
                        <c:v>0</c:v>
                      </c:pt>
                      <c:pt idx="937">
                        <c:v>0</c:v>
                      </c:pt>
                      <c:pt idx="938">
                        <c:v>0</c:v>
                      </c:pt>
                      <c:pt idx="939">
                        <c:v>0</c:v>
                      </c:pt>
                      <c:pt idx="940">
                        <c:v>0</c:v>
                      </c:pt>
                      <c:pt idx="941">
                        <c:v>0</c:v>
                      </c:pt>
                      <c:pt idx="942">
                        <c:v>0</c:v>
                      </c:pt>
                      <c:pt idx="943">
                        <c:v>0</c:v>
                      </c:pt>
                      <c:pt idx="944">
                        <c:v>0</c:v>
                      </c:pt>
                      <c:pt idx="945">
                        <c:v>0</c:v>
                      </c:pt>
                      <c:pt idx="946">
                        <c:v>0</c:v>
                      </c:pt>
                      <c:pt idx="947">
                        <c:v>0</c:v>
                      </c:pt>
                      <c:pt idx="948">
                        <c:v>0</c:v>
                      </c:pt>
                      <c:pt idx="949">
                        <c:v>0</c:v>
                      </c:pt>
                      <c:pt idx="950">
                        <c:v>0</c:v>
                      </c:pt>
                      <c:pt idx="951">
                        <c:v>0</c:v>
                      </c:pt>
                      <c:pt idx="952">
                        <c:v>0</c:v>
                      </c:pt>
                      <c:pt idx="953">
                        <c:v>0</c:v>
                      </c:pt>
                      <c:pt idx="954">
                        <c:v>0</c:v>
                      </c:pt>
                      <c:pt idx="955">
                        <c:v>0</c:v>
                      </c:pt>
                      <c:pt idx="956">
                        <c:v>0</c:v>
                      </c:pt>
                      <c:pt idx="957">
                        <c:v>0</c:v>
                      </c:pt>
                      <c:pt idx="958">
                        <c:v>0</c:v>
                      </c:pt>
                      <c:pt idx="959">
                        <c:v>0</c:v>
                      </c:pt>
                      <c:pt idx="960">
                        <c:v>0</c:v>
                      </c:pt>
                      <c:pt idx="961">
                        <c:v>0</c:v>
                      </c:pt>
                      <c:pt idx="962">
                        <c:v>0</c:v>
                      </c:pt>
                      <c:pt idx="963">
                        <c:v>0</c:v>
                      </c:pt>
                      <c:pt idx="964">
                        <c:v>0</c:v>
                      </c:pt>
                      <c:pt idx="965">
                        <c:v>0</c:v>
                      </c:pt>
                      <c:pt idx="966">
                        <c:v>0</c:v>
                      </c:pt>
                      <c:pt idx="967">
                        <c:v>0</c:v>
                      </c:pt>
                      <c:pt idx="968">
                        <c:v>0</c:v>
                      </c:pt>
                      <c:pt idx="969">
                        <c:v>0</c:v>
                      </c:pt>
                      <c:pt idx="970">
                        <c:v>0</c:v>
                      </c:pt>
                      <c:pt idx="971">
                        <c:v>0</c:v>
                      </c:pt>
                      <c:pt idx="972">
                        <c:v>0</c:v>
                      </c:pt>
                      <c:pt idx="973">
                        <c:v>0</c:v>
                      </c:pt>
                      <c:pt idx="974">
                        <c:v>0</c:v>
                      </c:pt>
                      <c:pt idx="975">
                        <c:v>0</c:v>
                      </c:pt>
                      <c:pt idx="976">
                        <c:v>0</c:v>
                      </c:pt>
                      <c:pt idx="977">
                        <c:v>0</c:v>
                      </c:pt>
                      <c:pt idx="978">
                        <c:v>0</c:v>
                      </c:pt>
                      <c:pt idx="979">
                        <c:v>0</c:v>
                      </c:pt>
                      <c:pt idx="980">
                        <c:v>0</c:v>
                      </c:pt>
                      <c:pt idx="981">
                        <c:v>0</c:v>
                      </c:pt>
                      <c:pt idx="982">
                        <c:v>0</c:v>
                      </c:pt>
                      <c:pt idx="983">
                        <c:v>0</c:v>
                      </c:pt>
                      <c:pt idx="984">
                        <c:v>0</c:v>
                      </c:pt>
                      <c:pt idx="985">
                        <c:v>0</c:v>
                      </c:pt>
                      <c:pt idx="986">
                        <c:v>0</c:v>
                      </c:pt>
                      <c:pt idx="987">
                        <c:v>0</c:v>
                      </c:pt>
                      <c:pt idx="988">
                        <c:v>0</c:v>
                      </c:pt>
                      <c:pt idx="989">
                        <c:v>0</c:v>
                      </c:pt>
                      <c:pt idx="990">
                        <c:v>0</c:v>
                      </c:pt>
                      <c:pt idx="991">
                        <c:v>0</c:v>
                      </c:pt>
                      <c:pt idx="992">
                        <c:v>0</c:v>
                      </c:pt>
                      <c:pt idx="993">
                        <c:v>0</c:v>
                      </c:pt>
                      <c:pt idx="994">
                        <c:v>0</c:v>
                      </c:pt>
                      <c:pt idx="995">
                        <c:v>0</c:v>
                      </c:pt>
                      <c:pt idx="996">
                        <c:v>0</c:v>
                      </c:pt>
                      <c:pt idx="997">
                        <c:v>0</c:v>
                      </c:pt>
                      <c:pt idx="998">
                        <c:v>0</c:v>
                      </c:pt>
                      <c:pt idx="999">
                        <c:v>0</c:v>
                      </c:pt>
                      <c:pt idx="1000">
                        <c:v>0</c:v>
                      </c:pt>
                      <c:pt idx="1001">
                        <c:v>0</c:v>
                      </c:pt>
                      <c:pt idx="1002">
                        <c:v>0</c:v>
                      </c:pt>
                      <c:pt idx="1003">
                        <c:v>0</c:v>
                      </c:pt>
                      <c:pt idx="1004">
                        <c:v>0</c:v>
                      </c:pt>
                      <c:pt idx="1005">
                        <c:v>0</c:v>
                      </c:pt>
                      <c:pt idx="1006">
                        <c:v>0</c:v>
                      </c:pt>
                      <c:pt idx="1007">
                        <c:v>0</c:v>
                      </c:pt>
                      <c:pt idx="1008">
                        <c:v>0</c:v>
                      </c:pt>
                      <c:pt idx="1009">
                        <c:v>0</c:v>
                      </c:pt>
                      <c:pt idx="1010">
                        <c:v>0</c:v>
                      </c:pt>
                      <c:pt idx="1011">
                        <c:v>0</c:v>
                      </c:pt>
                      <c:pt idx="1012">
                        <c:v>0</c:v>
                      </c:pt>
                      <c:pt idx="1013">
                        <c:v>0</c:v>
                      </c:pt>
                      <c:pt idx="1014">
                        <c:v>0</c:v>
                      </c:pt>
                      <c:pt idx="1015">
                        <c:v>0</c:v>
                      </c:pt>
                      <c:pt idx="1016">
                        <c:v>0</c:v>
                      </c:pt>
                      <c:pt idx="1017">
                        <c:v>0</c:v>
                      </c:pt>
                      <c:pt idx="1018">
                        <c:v>0</c:v>
                      </c:pt>
                      <c:pt idx="1019">
                        <c:v>0</c:v>
                      </c:pt>
                      <c:pt idx="1020">
                        <c:v>0</c:v>
                      </c:pt>
                      <c:pt idx="1021">
                        <c:v>0</c:v>
                      </c:pt>
                      <c:pt idx="1022">
                        <c:v>0</c:v>
                      </c:pt>
                      <c:pt idx="1023">
                        <c:v>0</c:v>
                      </c:pt>
                      <c:pt idx="1024">
                        <c:v>0</c:v>
                      </c:pt>
                      <c:pt idx="1025">
                        <c:v>0</c:v>
                      </c:pt>
                      <c:pt idx="1026">
                        <c:v>0</c:v>
                      </c:pt>
                      <c:pt idx="1027">
                        <c:v>0</c:v>
                      </c:pt>
                      <c:pt idx="1028">
                        <c:v>0</c:v>
                      </c:pt>
                      <c:pt idx="1029">
                        <c:v>0</c:v>
                      </c:pt>
                      <c:pt idx="1030">
                        <c:v>0</c:v>
                      </c:pt>
                      <c:pt idx="1031">
                        <c:v>0</c:v>
                      </c:pt>
                      <c:pt idx="1032">
                        <c:v>0</c:v>
                      </c:pt>
                      <c:pt idx="1033">
                        <c:v>0</c:v>
                      </c:pt>
                      <c:pt idx="1034">
                        <c:v>0</c:v>
                      </c:pt>
                      <c:pt idx="1035">
                        <c:v>0</c:v>
                      </c:pt>
                      <c:pt idx="1036">
                        <c:v>0</c:v>
                      </c:pt>
                      <c:pt idx="1037">
                        <c:v>0</c:v>
                      </c:pt>
                      <c:pt idx="1038">
                        <c:v>0</c:v>
                      </c:pt>
                      <c:pt idx="1039">
                        <c:v>0</c:v>
                      </c:pt>
                      <c:pt idx="1040">
                        <c:v>0</c:v>
                      </c:pt>
                      <c:pt idx="1041">
                        <c:v>0</c:v>
                      </c:pt>
                      <c:pt idx="1042">
                        <c:v>0</c:v>
                      </c:pt>
                      <c:pt idx="1043">
                        <c:v>0</c:v>
                      </c:pt>
                      <c:pt idx="1044">
                        <c:v>0</c:v>
                      </c:pt>
                      <c:pt idx="1045">
                        <c:v>0</c:v>
                      </c:pt>
                      <c:pt idx="1046">
                        <c:v>0</c:v>
                      </c:pt>
                      <c:pt idx="1047">
                        <c:v>0</c:v>
                      </c:pt>
                      <c:pt idx="1048">
                        <c:v>0</c:v>
                      </c:pt>
                      <c:pt idx="1049">
                        <c:v>0</c:v>
                      </c:pt>
                      <c:pt idx="1050">
                        <c:v>0</c:v>
                      </c:pt>
                      <c:pt idx="1051">
                        <c:v>0</c:v>
                      </c:pt>
                      <c:pt idx="1052">
                        <c:v>0</c:v>
                      </c:pt>
                      <c:pt idx="1053">
                        <c:v>0</c:v>
                      </c:pt>
                      <c:pt idx="1054">
                        <c:v>0</c:v>
                      </c:pt>
                      <c:pt idx="1055">
                        <c:v>0</c:v>
                      </c:pt>
                      <c:pt idx="1056">
                        <c:v>0</c:v>
                      </c:pt>
                      <c:pt idx="1057">
                        <c:v>0</c:v>
                      </c:pt>
                      <c:pt idx="1058">
                        <c:v>0</c:v>
                      </c:pt>
                      <c:pt idx="1059">
                        <c:v>0</c:v>
                      </c:pt>
                      <c:pt idx="1060">
                        <c:v>0</c:v>
                      </c:pt>
                      <c:pt idx="1061">
                        <c:v>0</c:v>
                      </c:pt>
                      <c:pt idx="1062">
                        <c:v>0</c:v>
                      </c:pt>
                      <c:pt idx="1063">
                        <c:v>0</c:v>
                      </c:pt>
                      <c:pt idx="1064">
                        <c:v>0</c:v>
                      </c:pt>
                      <c:pt idx="1065">
                        <c:v>0</c:v>
                      </c:pt>
                      <c:pt idx="1066">
                        <c:v>0</c:v>
                      </c:pt>
                      <c:pt idx="1067">
                        <c:v>0</c:v>
                      </c:pt>
                      <c:pt idx="1068">
                        <c:v>0</c:v>
                      </c:pt>
                      <c:pt idx="1069">
                        <c:v>0</c:v>
                      </c:pt>
                      <c:pt idx="1070">
                        <c:v>0</c:v>
                      </c:pt>
                      <c:pt idx="1071">
                        <c:v>0</c:v>
                      </c:pt>
                      <c:pt idx="1072">
                        <c:v>0</c:v>
                      </c:pt>
                      <c:pt idx="1073">
                        <c:v>0</c:v>
                      </c:pt>
                      <c:pt idx="1074">
                        <c:v>0</c:v>
                      </c:pt>
                      <c:pt idx="1075">
                        <c:v>0</c:v>
                      </c:pt>
                      <c:pt idx="1076">
                        <c:v>0</c:v>
                      </c:pt>
                      <c:pt idx="1077">
                        <c:v>0</c:v>
                      </c:pt>
                      <c:pt idx="1078">
                        <c:v>0</c:v>
                      </c:pt>
                      <c:pt idx="1079">
                        <c:v>0</c:v>
                      </c:pt>
                      <c:pt idx="1080">
                        <c:v>0</c:v>
                      </c:pt>
                      <c:pt idx="1081">
                        <c:v>0</c:v>
                      </c:pt>
                      <c:pt idx="1082">
                        <c:v>0</c:v>
                      </c:pt>
                      <c:pt idx="1083">
                        <c:v>0</c:v>
                      </c:pt>
                      <c:pt idx="1084">
                        <c:v>0</c:v>
                      </c:pt>
                      <c:pt idx="1085">
                        <c:v>0</c:v>
                      </c:pt>
                      <c:pt idx="1086">
                        <c:v>0</c:v>
                      </c:pt>
                      <c:pt idx="1087">
                        <c:v>0</c:v>
                      </c:pt>
                      <c:pt idx="1088">
                        <c:v>0</c:v>
                      </c:pt>
                      <c:pt idx="1089">
                        <c:v>0</c:v>
                      </c:pt>
                      <c:pt idx="1090">
                        <c:v>0</c:v>
                      </c:pt>
                      <c:pt idx="1091">
                        <c:v>0</c:v>
                      </c:pt>
                      <c:pt idx="1092">
                        <c:v>0</c:v>
                      </c:pt>
                      <c:pt idx="1093">
                        <c:v>0</c:v>
                      </c:pt>
                      <c:pt idx="1094">
                        <c:v>0</c:v>
                      </c:pt>
                      <c:pt idx="1095">
                        <c:v>0</c:v>
                      </c:pt>
                      <c:pt idx="1096">
                        <c:v>0</c:v>
                      </c:pt>
                      <c:pt idx="1097">
                        <c:v>0</c:v>
                      </c:pt>
                      <c:pt idx="1098">
                        <c:v>0</c:v>
                      </c:pt>
                      <c:pt idx="1099">
                        <c:v>0</c:v>
                      </c:pt>
                      <c:pt idx="1100">
                        <c:v>0</c:v>
                      </c:pt>
                      <c:pt idx="1101">
                        <c:v>0</c:v>
                      </c:pt>
                      <c:pt idx="1102">
                        <c:v>0</c:v>
                      </c:pt>
                      <c:pt idx="1103">
                        <c:v>0</c:v>
                      </c:pt>
                      <c:pt idx="1104">
                        <c:v>0</c:v>
                      </c:pt>
                      <c:pt idx="1105">
                        <c:v>0</c:v>
                      </c:pt>
                      <c:pt idx="1106">
                        <c:v>0</c:v>
                      </c:pt>
                      <c:pt idx="1107">
                        <c:v>0</c:v>
                      </c:pt>
                      <c:pt idx="1108">
                        <c:v>0</c:v>
                      </c:pt>
                      <c:pt idx="1109">
                        <c:v>0</c:v>
                      </c:pt>
                      <c:pt idx="1110">
                        <c:v>0</c:v>
                      </c:pt>
                      <c:pt idx="1111">
                        <c:v>0</c:v>
                      </c:pt>
                      <c:pt idx="1112">
                        <c:v>0</c:v>
                      </c:pt>
                      <c:pt idx="1113">
                        <c:v>0</c:v>
                      </c:pt>
                      <c:pt idx="1114">
                        <c:v>0</c:v>
                      </c:pt>
                      <c:pt idx="1115">
                        <c:v>0</c:v>
                      </c:pt>
                      <c:pt idx="1116">
                        <c:v>0</c:v>
                      </c:pt>
                      <c:pt idx="1117">
                        <c:v>0</c:v>
                      </c:pt>
                      <c:pt idx="1118">
                        <c:v>0</c:v>
                      </c:pt>
                      <c:pt idx="1119">
                        <c:v>0</c:v>
                      </c:pt>
                      <c:pt idx="1120">
                        <c:v>0</c:v>
                      </c:pt>
                      <c:pt idx="1121">
                        <c:v>0</c:v>
                      </c:pt>
                      <c:pt idx="1122">
                        <c:v>0</c:v>
                      </c:pt>
                      <c:pt idx="1123">
                        <c:v>0</c:v>
                      </c:pt>
                      <c:pt idx="1124">
                        <c:v>0</c:v>
                      </c:pt>
                      <c:pt idx="1125">
                        <c:v>0</c:v>
                      </c:pt>
                      <c:pt idx="1126">
                        <c:v>0</c:v>
                      </c:pt>
                      <c:pt idx="1127">
                        <c:v>0</c:v>
                      </c:pt>
                      <c:pt idx="1128">
                        <c:v>0</c:v>
                      </c:pt>
                      <c:pt idx="1129">
                        <c:v>0</c:v>
                      </c:pt>
                      <c:pt idx="1130">
                        <c:v>0</c:v>
                      </c:pt>
                      <c:pt idx="1131">
                        <c:v>0</c:v>
                      </c:pt>
                      <c:pt idx="1132">
                        <c:v>0</c:v>
                      </c:pt>
                      <c:pt idx="1133">
                        <c:v>0</c:v>
                      </c:pt>
                      <c:pt idx="1134">
                        <c:v>0</c:v>
                      </c:pt>
                      <c:pt idx="1135">
                        <c:v>0</c:v>
                      </c:pt>
                      <c:pt idx="1136">
                        <c:v>0</c:v>
                      </c:pt>
                      <c:pt idx="1137">
                        <c:v>0</c:v>
                      </c:pt>
                      <c:pt idx="1138">
                        <c:v>0</c:v>
                      </c:pt>
                      <c:pt idx="1139">
                        <c:v>0</c:v>
                      </c:pt>
                      <c:pt idx="1140">
                        <c:v>0</c:v>
                      </c:pt>
                      <c:pt idx="1141">
                        <c:v>0</c:v>
                      </c:pt>
                      <c:pt idx="1142">
                        <c:v>0</c:v>
                      </c:pt>
                      <c:pt idx="1143">
                        <c:v>0</c:v>
                      </c:pt>
                      <c:pt idx="1144">
                        <c:v>0</c:v>
                      </c:pt>
                      <c:pt idx="1145">
                        <c:v>0</c:v>
                      </c:pt>
                      <c:pt idx="1146">
                        <c:v>0</c:v>
                      </c:pt>
                      <c:pt idx="1147">
                        <c:v>0</c:v>
                      </c:pt>
                      <c:pt idx="1148">
                        <c:v>0</c:v>
                      </c:pt>
                      <c:pt idx="1149">
                        <c:v>0</c:v>
                      </c:pt>
                      <c:pt idx="1150">
                        <c:v>0</c:v>
                      </c:pt>
                      <c:pt idx="1151">
                        <c:v>0</c:v>
                      </c:pt>
                      <c:pt idx="1152">
                        <c:v>0</c:v>
                      </c:pt>
                      <c:pt idx="1153">
                        <c:v>0</c:v>
                      </c:pt>
                      <c:pt idx="1154">
                        <c:v>0</c:v>
                      </c:pt>
                      <c:pt idx="1155">
                        <c:v>0</c:v>
                      </c:pt>
                      <c:pt idx="1156">
                        <c:v>0</c:v>
                      </c:pt>
                      <c:pt idx="1157">
                        <c:v>0</c:v>
                      </c:pt>
                      <c:pt idx="1158">
                        <c:v>0</c:v>
                      </c:pt>
                      <c:pt idx="1159">
                        <c:v>0</c:v>
                      </c:pt>
                      <c:pt idx="1160">
                        <c:v>0</c:v>
                      </c:pt>
                      <c:pt idx="1161">
                        <c:v>0</c:v>
                      </c:pt>
                      <c:pt idx="1162">
                        <c:v>0</c:v>
                      </c:pt>
                      <c:pt idx="1163">
                        <c:v>0</c:v>
                      </c:pt>
                      <c:pt idx="1164">
                        <c:v>0</c:v>
                      </c:pt>
                      <c:pt idx="1165">
                        <c:v>0</c:v>
                      </c:pt>
                      <c:pt idx="1166">
                        <c:v>0</c:v>
                      </c:pt>
                      <c:pt idx="1167">
                        <c:v>0</c:v>
                      </c:pt>
                      <c:pt idx="1168">
                        <c:v>0</c:v>
                      </c:pt>
                      <c:pt idx="1169">
                        <c:v>0</c:v>
                      </c:pt>
                      <c:pt idx="1170">
                        <c:v>0</c:v>
                      </c:pt>
                      <c:pt idx="1171">
                        <c:v>0</c:v>
                      </c:pt>
                      <c:pt idx="1172">
                        <c:v>0</c:v>
                      </c:pt>
                      <c:pt idx="1173">
                        <c:v>0</c:v>
                      </c:pt>
                      <c:pt idx="1174">
                        <c:v>0</c:v>
                      </c:pt>
                      <c:pt idx="1175">
                        <c:v>0</c:v>
                      </c:pt>
                      <c:pt idx="1176">
                        <c:v>0</c:v>
                      </c:pt>
                      <c:pt idx="1177">
                        <c:v>0</c:v>
                      </c:pt>
                      <c:pt idx="1178">
                        <c:v>0</c:v>
                      </c:pt>
                      <c:pt idx="1179">
                        <c:v>0</c:v>
                      </c:pt>
                      <c:pt idx="1180">
                        <c:v>0</c:v>
                      </c:pt>
                      <c:pt idx="1181">
                        <c:v>0</c:v>
                      </c:pt>
                      <c:pt idx="1182">
                        <c:v>0</c:v>
                      </c:pt>
                      <c:pt idx="1183">
                        <c:v>0</c:v>
                      </c:pt>
                      <c:pt idx="1184">
                        <c:v>0</c:v>
                      </c:pt>
                      <c:pt idx="1185">
                        <c:v>0</c:v>
                      </c:pt>
                      <c:pt idx="1186">
                        <c:v>0</c:v>
                      </c:pt>
                      <c:pt idx="1187">
                        <c:v>0</c:v>
                      </c:pt>
                      <c:pt idx="1188">
                        <c:v>0</c:v>
                      </c:pt>
                      <c:pt idx="1189">
                        <c:v>0</c:v>
                      </c:pt>
                      <c:pt idx="1190">
                        <c:v>0</c:v>
                      </c:pt>
                      <c:pt idx="1191">
                        <c:v>0</c:v>
                      </c:pt>
                      <c:pt idx="1192">
                        <c:v>0</c:v>
                      </c:pt>
                      <c:pt idx="1193">
                        <c:v>0</c:v>
                      </c:pt>
                      <c:pt idx="1194">
                        <c:v>0</c:v>
                      </c:pt>
                      <c:pt idx="1195">
                        <c:v>0</c:v>
                      </c:pt>
                      <c:pt idx="1196">
                        <c:v>0</c:v>
                      </c:pt>
                      <c:pt idx="1197">
                        <c:v>0</c:v>
                      </c:pt>
                      <c:pt idx="1198">
                        <c:v>0</c:v>
                      </c:pt>
                      <c:pt idx="1199">
                        <c:v>0</c:v>
                      </c:pt>
                      <c:pt idx="1200">
                        <c:v>0</c:v>
                      </c:pt>
                      <c:pt idx="1201">
                        <c:v>0</c:v>
                      </c:pt>
                      <c:pt idx="1202">
                        <c:v>0</c:v>
                      </c:pt>
                      <c:pt idx="1203">
                        <c:v>0</c:v>
                      </c:pt>
                      <c:pt idx="1204">
                        <c:v>0</c:v>
                      </c:pt>
                      <c:pt idx="1205">
                        <c:v>0</c:v>
                      </c:pt>
                      <c:pt idx="1206">
                        <c:v>0</c:v>
                      </c:pt>
                      <c:pt idx="1207">
                        <c:v>0</c:v>
                      </c:pt>
                      <c:pt idx="1208">
                        <c:v>0</c:v>
                      </c:pt>
                      <c:pt idx="1209">
                        <c:v>0</c:v>
                      </c:pt>
                      <c:pt idx="1210">
                        <c:v>0</c:v>
                      </c:pt>
                      <c:pt idx="1211">
                        <c:v>0</c:v>
                      </c:pt>
                      <c:pt idx="1212">
                        <c:v>0</c:v>
                      </c:pt>
                      <c:pt idx="1213">
                        <c:v>0</c:v>
                      </c:pt>
                      <c:pt idx="1214">
                        <c:v>0</c:v>
                      </c:pt>
                      <c:pt idx="1215">
                        <c:v>0</c:v>
                      </c:pt>
                      <c:pt idx="1216">
                        <c:v>0</c:v>
                      </c:pt>
                      <c:pt idx="1217">
                        <c:v>0</c:v>
                      </c:pt>
                      <c:pt idx="1218">
                        <c:v>0</c:v>
                      </c:pt>
                      <c:pt idx="1219">
                        <c:v>0</c:v>
                      </c:pt>
                      <c:pt idx="1220">
                        <c:v>0</c:v>
                      </c:pt>
                      <c:pt idx="1221">
                        <c:v>0</c:v>
                      </c:pt>
                      <c:pt idx="1222">
                        <c:v>0</c:v>
                      </c:pt>
                      <c:pt idx="1223">
                        <c:v>0</c:v>
                      </c:pt>
                      <c:pt idx="1224">
                        <c:v>0</c:v>
                      </c:pt>
                      <c:pt idx="1225">
                        <c:v>0</c:v>
                      </c:pt>
                      <c:pt idx="1226">
                        <c:v>0</c:v>
                      </c:pt>
                      <c:pt idx="1227">
                        <c:v>0</c:v>
                      </c:pt>
                      <c:pt idx="1228">
                        <c:v>0</c:v>
                      </c:pt>
                      <c:pt idx="1229">
                        <c:v>0</c:v>
                      </c:pt>
                      <c:pt idx="1230">
                        <c:v>0</c:v>
                      </c:pt>
                      <c:pt idx="1231">
                        <c:v>0</c:v>
                      </c:pt>
                      <c:pt idx="1232">
                        <c:v>0</c:v>
                      </c:pt>
                      <c:pt idx="1233">
                        <c:v>0</c:v>
                      </c:pt>
                      <c:pt idx="1234">
                        <c:v>0</c:v>
                      </c:pt>
                      <c:pt idx="1235">
                        <c:v>0</c:v>
                      </c:pt>
                      <c:pt idx="1236">
                        <c:v>0</c:v>
                      </c:pt>
                      <c:pt idx="1237">
                        <c:v>0</c:v>
                      </c:pt>
                      <c:pt idx="1238">
                        <c:v>0</c:v>
                      </c:pt>
                      <c:pt idx="1239">
                        <c:v>0</c:v>
                      </c:pt>
                      <c:pt idx="1240">
                        <c:v>0</c:v>
                      </c:pt>
                      <c:pt idx="1241">
                        <c:v>0</c:v>
                      </c:pt>
                      <c:pt idx="1242">
                        <c:v>0</c:v>
                      </c:pt>
                      <c:pt idx="1243">
                        <c:v>0</c:v>
                      </c:pt>
                      <c:pt idx="1244">
                        <c:v>0</c:v>
                      </c:pt>
                      <c:pt idx="1245">
                        <c:v>0</c:v>
                      </c:pt>
                      <c:pt idx="1246">
                        <c:v>0</c:v>
                      </c:pt>
                      <c:pt idx="1247">
                        <c:v>0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AB20-4917-8225-5CFA6125024E}"/>
            </c:ext>
          </c:extLst>
        </c:ser>
        <c:ser>
          <c:idx val="3"/>
          <c:order val="3"/>
          <c:spPr>
            <a:ln w="22225" cap="rnd">
              <a:solidFill>
                <a:schemeClr val="dk1">
                  <a:tint val="985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[177]PE!$E$2:$E$1249</c:f>
              <c:numCache>
                <c:formatCode>General</c:formatCode>
                <c:ptCount val="12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[177]PE!$E$1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[177]PE!$A$2:$A$1249</c15:sqref>
                        </c15:formulaRef>
                      </c:ext>
                    </c:extLst>
                    <c:numCache>
                      <c:formatCode>General</c:formatCode>
                      <c:ptCount val="124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0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0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0</c:v>
                      </c:pt>
                      <c:pt idx="688">
                        <c:v>0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0</c:v>
                      </c:pt>
                      <c:pt idx="692">
                        <c:v>0</c:v>
                      </c:pt>
                      <c:pt idx="693">
                        <c:v>0</c:v>
                      </c:pt>
                      <c:pt idx="694">
                        <c:v>0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0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0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0</c:v>
                      </c:pt>
                      <c:pt idx="772">
                        <c:v>0</c:v>
                      </c:pt>
                      <c:pt idx="773">
                        <c:v>0</c:v>
                      </c:pt>
                      <c:pt idx="774">
                        <c:v>0</c:v>
                      </c:pt>
                      <c:pt idx="775">
                        <c:v>0</c:v>
                      </c:pt>
                      <c:pt idx="776">
                        <c:v>0</c:v>
                      </c:pt>
                      <c:pt idx="777">
                        <c:v>0</c:v>
                      </c:pt>
                      <c:pt idx="778">
                        <c:v>0</c:v>
                      </c:pt>
                      <c:pt idx="779">
                        <c:v>0</c:v>
                      </c:pt>
                      <c:pt idx="780">
                        <c:v>0</c:v>
                      </c:pt>
                      <c:pt idx="781">
                        <c:v>0</c:v>
                      </c:pt>
                      <c:pt idx="782">
                        <c:v>0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  <c:pt idx="801">
                        <c:v>0</c:v>
                      </c:pt>
                      <c:pt idx="802">
                        <c:v>0</c:v>
                      </c:pt>
                      <c:pt idx="803">
                        <c:v>0</c:v>
                      </c:pt>
                      <c:pt idx="804">
                        <c:v>0</c:v>
                      </c:pt>
                      <c:pt idx="805">
                        <c:v>0</c:v>
                      </c:pt>
                      <c:pt idx="806">
                        <c:v>0</c:v>
                      </c:pt>
                      <c:pt idx="807">
                        <c:v>0</c:v>
                      </c:pt>
                      <c:pt idx="808">
                        <c:v>0</c:v>
                      </c:pt>
                      <c:pt idx="809">
                        <c:v>0</c:v>
                      </c:pt>
                      <c:pt idx="810">
                        <c:v>0</c:v>
                      </c:pt>
                      <c:pt idx="811">
                        <c:v>0</c:v>
                      </c:pt>
                      <c:pt idx="812">
                        <c:v>0</c:v>
                      </c:pt>
                      <c:pt idx="813">
                        <c:v>0</c:v>
                      </c:pt>
                      <c:pt idx="814">
                        <c:v>0</c:v>
                      </c:pt>
                      <c:pt idx="815">
                        <c:v>0</c:v>
                      </c:pt>
                      <c:pt idx="816">
                        <c:v>0</c:v>
                      </c:pt>
                      <c:pt idx="817">
                        <c:v>0</c:v>
                      </c:pt>
                      <c:pt idx="818">
                        <c:v>0</c:v>
                      </c:pt>
                      <c:pt idx="819">
                        <c:v>0</c:v>
                      </c:pt>
                      <c:pt idx="820">
                        <c:v>0</c:v>
                      </c:pt>
                      <c:pt idx="821">
                        <c:v>0</c:v>
                      </c:pt>
                      <c:pt idx="822">
                        <c:v>0</c:v>
                      </c:pt>
                      <c:pt idx="823">
                        <c:v>0</c:v>
                      </c:pt>
                      <c:pt idx="824">
                        <c:v>0</c:v>
                      </c:pt>
                      <c:pt idx="825">
                        <c:v>0</c:v>
                      </c:pt>
                      <c:pt idx="826">
                        <c:v>0</c:v>
                      </c:pt>
                      <c:pt idx="827">
                        <c:v>0</c:v>
                      </c:pt>
                      <c:pt idx="828">
                        <c:v>0</c:v>
                      </c:pt>
                      <c:pt idx="829">
                        <c:v>0</c:v>
                      </c:pt>
                      <c:pt idx="830">
                        <c:v>0</c:v>
                      </c:pt>
                      <c:pt idx="831">
                        <c:v>0</c:v>
                      </c:pt>
                      <c:pt idx="832">
                        <c:v>0</c:v>
                      </c:pt>
                      <c:pt idx="833">
                        <c:v>0</c:v>
                      </c:pt>
                      <c:pt idx="834">
                        <c:v>0</c:v>
                      </c:pt>
                      <c:pt idx="835">
                        <c:v>0</c:v>
                      </c:pt>
                      <c:pt idx="836">
                        <c:v>0</c:v>
                      </c:pt>
                      <c:pt idx="837">
                        <c:v>0</c:v>
                      </c:pt>
                      <c:pt idx="838">
                        <c:v>0</c:v>
                      </c:pt>
                      <c:pt idx="839">
                        <c:v>0</c:v>
                      </c:pt>
                      <c:pt idx="840">
                        <c:v>0</c:v>
                      </c:pt>
                      <c:pt idx="841">
                        <c:v>0</c:v>
                      </c:pt>
                      <c:pt idx="842">
                        <c:v>0</c:v>
                      </c:pt>
                      <c:pt idx="843">
                        <c:v>0</c:v>
                      </c:pt>
                      <c:pt idx="844">
                        <c:v>0</c:v>
                      </c:pt>
                      <c:pt idx="845">
                        <c:v>0</c:v>
                      </c:pt>
                      <c:pt idx="846">
                        <c:v>0</c:v>
                      </c:pt>
                      <c:pt idx="847">
                        <c:v>0</c:v>
                      </c:pt>
                      <c:pt idx="848">
                        <c:v>0</c:v>
                      </c:pt>
                      <c:pt idx="849">
                        <c:v>0</c:v>
                      </c:pt>
                      <c:pt idx="850">
                        <c:v>0</c:v>
                      </c:pt>
                      <c:pt idx="851">
                        <c:v>0</c:v>
                      </c:pt>
                      <c:pt idx="852">
                        <c:v>0</c:v>
                      </c:pt>
                      <c:pt idx="853">
                        <c:v>0</c:v>
                      </c:pt>
                      <c:pt idx="854">
                        <c:v>0</c:v>
                      </c:pt>
                      <c:pt idx="855">
                        <c:v>0</c:v>
                      </c:pt>
                      <c:pt idx="856">
                        <c:v>0</c:v>
                      </c:pt>
                      <c:pt idx="857">
                        <c:v>0</c:v>
                      </c:pt>
                      <c:pt idx="858">
                        <c:v>0</c:v>
                      </c:pt>
                      <c:pt idx="859">
                        <c:v>0</c:v>
                      </c:pt>
                      <c:pt idx="860">
                        <c:v>0</c:v>
                      </c:pt>
                      <c:pt idx="861">
                        <c:v>0</c:v>
                      </c:pt>
                      <c:pt idx="862">
                        <c:v>0</c:v>
                      </c:pt>
                      <c:pt idx="863">
                        <c:v>0</c:v>
                      </c:pt>
                      <c:pt idx="864">
                        <c:v>0</c:v>
                      </c:pt>
                      <c:pt idx="865">
                        <c:v>0</c:v>
                      </c:pt>
                      <c:pt idx="866">
                        <c:v>0</c:v>
                      </c:pt>
                      <c:pt idx="867">
                        <c:v>0</c:v>
                      </c:pt>
                      <c:pt idx="868">
                        <c:v>0</c:v>
                      </c:pt>
                      <c:pt idx="869">
                        <c:v>0</c:v>
                      </c:pt>
                      <c:pt idx="870">
                        <c:v>0</c:v>
                      </c:pt>
                      <c:pt idx="871">
                        <c:v>0</c:v>
                      </c:pt>
                      <c:pt idx="872">
                        <c:v>0</c:v>
                      </c:pt>
                      <c:pt idx="873">
                        <c:v>0</c:v>
                      </c:pt>
                      <c:pt idx="874">
                        <c:v>0</c:v>
                      </c:pt>
                      <c:pt idx="875">
                        <c:v>0</c:v>
                      </c:pt>
                      <c:pt idx="876">
                        <c:v>0</c:v>
                      </c:pt>
                      <c:pt idx="877">
                        <c:v>0</c:v>
                      </c:pt>
                      <c:pt idx="878">
                        <c:v>0</c:v>
                      </c:pt>
                      <c:pt idx="879">
                        <c:v>0</c:v>
                      </c:pt>
                      <c:pt idx="880">
                        <c:v>0</c:v>
                      </c:pt>
                      <c:pt idx="881">
                        <c:v>0</c:v>
                      </c:pt>
                      <c:pt idx="882">
                        <c:v>0</c:v>
                      </c:pt>
                      <c:pt idx="883">
                        <c:v>0</c:v>
                      </c:pt>
                      <c:pt idx="884">
                        <c:v>0</c:v>
                      </c:pt>
                      <c:pt idx="885">
                        <c:v>0</c:v>
                      </c:pt>
                      <c:pt idx="886">
                        <c:v>0</c:v>
                      </c:pt>
                      <c:pt idx="887">
                        <c:v>0</c:v>
                      </c:pt>
                      <c:pt idx="888">
                        <c:v>0</c:v>
                      </c:pt>
                      <c:pt idx="889">
                        <c:v>0</c:v>
                      </c:pt>
                      <c:pt idx="890">
                        <c:v>0</c:v>
                      </c:pt>
                      <c:pt idx="891">
                        <c:v>0</c:v>
                      </c:pt>
                      <c:pt idx="892">
                        <c:v>0</c:v>
                      </c:pt>
                      <c:pt idx="893">
                        <c:v>0</c:v>
                      </c:pt>
                      <c:pt idx="894">
                        <c:v>0</c:v>
                      </c:pt>
                      <c:pt idx="895">
                        <c:v>0</c:v>
                      </c:pt>
                      <c:pt idx="896">
                        <c:v>0</c:v>
                      </c:pt>
                      <c:pt idx="897">
                        <c:v>0</c:v>
                      </c:pt>
                      <c:pt idx="898">
                        <c:v>0</c:v>
                      </c:pt>
                      <c:pt idx="899">
                        <c:v>0</c:v>
                      </c:pt>
                      <c:pt idx="900">
                        <c:v>0</c:v>
                      </c:pt>
                      <c:pt idx="901">
                        <c:v>0</c:v>
                      </c:pt>
                      <c:pt idx="902">
                        <c:v>0</c:v>
                      </c:pt>
                      <c:pt idx="903">
                        <c:v>0</c:v>
                      </c:pt>
                      <c:pt idx="904">
                        <c:v>0</c:v>
                      </c:pt>
                      <c:pt idx="905">
                        <c:v>0</c:v>
                      </c:pt>
                      <c:pt idx="906">
                        <c:v>0</c:v>
                      </c:pt>
                      <c:pt idx="907">
                        <c:v>0</c:v>
                      </c:pt>
                      <c:pt idx="908">
                        <c:v>0</c:v>
                      </c:pt>
                      <c:pt idx="909">
                        <c:v>0</c:v>
                      </c:pt>
                      <c:pt idx="910">
                        <c:v>0</c:v>
                      </c:pt>
                      <c:pt idx="911">
                        <c:v>0</c:v>
                      </c:pt>
                      <c:pt idx="912">
                        <c:v>0</c:v>
                      </c:pt>
                      <c:pt idx="913">
                        <c:v>0</c:v>
                      </c:pt>
                      <c:pt idx="914">
                        <c:v>0</c:v>
                      </c:pt>
                      <c:pt idx="915">
                        <c:v>0</c:v>
                      </c:pt>
                      <c:pt idx="916">
                        <c:v>0</c:v>
                      </c:pt>
                      <c:pt idx="917">
                        <c:v>0</c:v>
                      </c:pt>
                      <c:pt idx="918">
                        <c:v>0</c:v>
                      </c:pt>
                      <c:pt idx="919">
                        <c:v>0</c:v>
                      </c:pt>
                      <c:pt idx="920">
                        <c:v>0</c:v>
                      </c:pt>
                      <c:pt idx="921">
                        <c:v>0</c:v>
                      </c:pt>
                      <c:pt idx="922">
                        <c:v>0</c:v>
                      </c:pt>
                      <c:pt idx="923">
                        <c:v>0</c:v>
                      </c:pt>
                      <c:pt idx="924">
                        <c:v>0</c:v>
                      </c:pt>
                      <c:pt idx="925">
                        <c:v>0</c:v>
                      </c:pt>
                      <c:pt idx="926">
                        <c:v>0</c:v>
                      </c:pt>
                      <c:pt idx="927">
                        <c:v>0</c:v>
                      </c:pt>
                      <c:pt idx="928">
                        <c:v>0</c:v>
                      </c:pt>
                      <c:pt idx="929">
                        <c:v>0</c:v>
                      </c:pt>
                      <c:pt idx="930">
                        <c:v>0</c:v>
                      </c:pt>
                      <c:pt idx="931">
                        <c:v>0</c:v>
                      </c:pt>
                      <c:pt idx="932">
                        <c:v>0</c:v>
                      </c:pt>
                      <c:pt idx="933">
                        <c:v>0</c:v>
                      </c:pt>
                      <c:pt idx="934">
                        <c:v>0</c:v>
                      </c:pt>
                      <c:pt idx="935">
                        <c:v>0</c:v>
                      </c:pt>
                      <c:pt idx="936">
                        <c:v>0</c:v>
                      </c:pt>
                      <c:pt idx="937">
                        <c:v>0</c:v>
                      </c:pt>
                      <c:pt idx="938">
                        <c:v>0</c:v>
                      </c:pt>
                      <c:pt idx="939">
                        <c:v>0</c:v>
                      </c:pt>
                      <c:pt idx="940">
                        <c:v>0</c:v>
                      </c:pt>
                      <c:pt idx="941">
                        <c:v>0</c:v>
                      </c:pt>
                      <c:pt idx="942">
                        <c:v>0</c:v>
                      </c:pt>
                      <c:pt idx="943">
                        <c:v>0</c:v>
                      </c:pt>
                      <c:pt idx="944">
                        <c:v>0</c:v>
                      </c:pt>
                      <c:pt idx="945">
                        <c:v>0</c:v>
                      </c:pt>
                      <c:pt idx="946">
                        <c:v>0</c:v>
                      </c:pt>
                      <c:pt idx="947">
                        <c:v>0</c:v>
                      </c:pt>
                      <c:pt idx="948">
                        <c:v>0</c:v>
                      </c:pt>
                      <c:pt idx="949">
                        <c:v>0</c:v>
                      </c:pt>
                      <c:pt idx="950">
                        <c:v>0</c:v>
                      </c:pt>
                      <c:pt idx="951">
                        <c:v>0</c:v>
                      </c:pt>
                      <c:pt idx="952">
                        <c:v>0</c:v>
                      </c:pt>
                      <c:pt idx="953">
                        <c:v>0</c:v>
                      </c:pt>
                      <c:pt idx="954">
                        <c:v>0</c:v>
                      </c:pt>
                      <c:pt idx="955">
                        <c:v>0</c:v>
                      </c:pt>
                      <c:pt idx="956">
                        <c:v>0</c:v>
                      </c:pt>
                      <c:pt idx="957">
                        <c:v>0</c:v>
                      </c:pt>
                      <c:pt idx="958">
                        <c:v>0</c:v>
                      </c:pt>
                      <c:pt idx="959">
                        <c:v>0</c:v>
                      </c:pt>
                      <c:pt idx="960">
                        <c:v>0</c:v>
                      </c:pt>
                      <c:pt idx="961">
                        <c:v>0</c:v>
                      </c:pt>
                      <c:pt idx="962">
                        <c:v>0</c:v>
                      </c:pt>
                      <c:pt idx="963">
                        <c:v>0</c:v>
                      </c:pt>
                      <c:pt idx="964">
                        <c:v>0</c:v>
                      </c:pt>
                      <c:pt idx="965">
                        <c:v>0</c:v>
                      </c:pt>
                      <c:pt idx="966">
                        <c:v>0</c:v>
                      </c:pt>
                      <c:pt idx="967">
                        <c:v>0</c:v>
                      </c:pt>
                      <c:pt idx="968">
                        <c:v>0</c:v>
                      </c:pt>
                      <c:pt idx="969">
                        <c:v>0</c:v>
                      </c:pt>
                      <c:pt idx="970">
                        <c:v>0</c:v>
                      </c:pt>
                      <c:pt idx="971">
                        <c:v>0</c:v>
                      </c:pt>
                      <c:pt idx="972">
                        <c:v>0</c:v>
                      </c:pt>
                      <c:pt idx="973">
                        <c:v>0</c:v>
                      </c:pt>
                      <c:pt idx="974">
                        <c:v>0</c:v>
                      </c:pt>
                      <c:pt idx="975">
                        <c:v>0</c:v>
                      </c:pt>
                      <c:pt idx="976">
                        <c:v>0</c:v>
                      </c:pt>
                      <c:pt idx="977">
                        <c:v>0</c:v>
                      </c:pt>
                      <c:pt idx="978">
                        <c:v>0</c:v>
                      </c:pt>
                      <c:pt idx="979">
                        <c:v>0</c:v>
                      </c:pt>
                      <c:pt idx="980">
                        <c:v>0</c:v>
                      </c:pt>
                      <c:pt idx="981">
                        <c:v>0</c:v>
                      </c:pt>
                      <c:pt idx="982">
                        <c:v>0</c:v>
                      </c:pt>
                      <c:pt idx="983">
                        <c:v>0</c:v>
                      </c:pt>
                      <c:pt idx="984">
                        <c:v>0</c:v>
                      </c:pt>
                      <c:pt idx="985">
                        <c:v>0</c:v>
                      </c:pt>
                      <c:pt idx="986">
                        <c:v>0</c:v>
                      </c:pt>
                      <c:pt idx="987">
                        <c:v>0</c:v>
                      </c:pt>
                      <c:pt idx="988">
                        <c:v>0</c:v>
                      </c:pt>
                      <c:pt idx="989">
                        <c:v>0</c:v>
                      </c:pt>
                      <c:pt idx="990">
                        <c:v>0</c:v>
                      </c:pt>
                      <c:pt idx="991">
                        <c:v>0</c:v>
                      </c:pt>
                      <c:pt idx="992">
                        <c:v>0</c:v>
                      </c:pt>
                      <c:pt idx="993">
                        <c:v>0</c:v>
                      </c:pt>
                      <c:pt idx="994">
                        <c:v>0</c:v>
                      </c:pt>
                      <c:pt idx="995">
                        <c:v>0</c:v>
                      </c:pt>
                      <c:pt idx="996">
                        <c:v>0</c:v>
                      </c:pt>
                      <c:pt idx="997">
                        <c:v>0</c:v>
                      </c:pt>
                      <c:pt idx="998">
                        <c:v>0</c:v>
                      </c:pt>
                      <c:pt idx="999">
                        <c:v>0</c:v>
                      </c:pt>
                      <c:pt idx="1000">
                        <c:v>0</c:v>
                      </c:pt>
                      <c:pt idx="1001">
                        <c:v>0</c:v>
                      </c:pt>
                      <c:pt idx="1002">
                        <c:v>0</c:v>
                      </c:pt>
                      <c:pt idx="1003">
                        <c:v>0</c:v>
                      </c:pt>
                      <c:pt idx="1004">
                        <c:v>0</c:v>
                      </c:pt>
                      <c:pt idx="1005">
                        <c:v>0</c:v>
                      </c:pt>
                      <c:pt idx="1006">
                        <c:v>0</c:v>
                      </c:pt>
                      <c:pt idx="1007">
                        <c:v>0</c:v>
                      </c:pt>
                      <c:pt idx="1008">
                        <c:v>0</c:v>
                      </c:pt>
                      <c:pt idx="1009">
                        <c:v>0</c:v>
                      </c:pt>
                      <c:pt idx="1010">
                        <c:v>0</c:v>
                      </c:pt>
                      <c:pt idx="1011">
                        <c:v>0</c:v>
                      </c:pt>
                      <c:pt idx="1012">
                        <c:v>0</c:v>
                      </c:pt>
                      <c:pt idx="1013">
                        <c:v>0</c:v>
                      </c:pt>
                      <c:pt idx="1014">
                        <c:v>0</c:v>
                      </c:pt>
                      <c:pt idx="1015">
                        <c:v>0</c:v>
                      </c:pt>
                      <c:pt idx="1016">
                        <c:v>0</c:v>
                      </c:pt>
                      <c:pt idx="1017">
                        <c:v>0</c:v>
                      </c:pt>
                      <c:pt idx="1018">
                        <c:v>0</c:v>
                      </c:pt>
                      <c:pt idx="1019">
                        <c:v>0</c:v>
                      </c:pt>
                      <c:pt idx="1020">
                        <c:v>0</c:v>
                      </c:pt>
                      <c:pt idx="1021">
                        <c:v>0</c:v>
                      </c:pt>
                      <c:pt idx="1022">
                        <c:v>0</c:v>
                      </c:pt>
                      <c:pt idx="1023">
                        <c:v>0</c:v>
                      </c:pt>
                      <c:pt idx="1024">
                        <c:v>0</c:v>
                      </c:pt>
                      <c:pt idx="1025">
                        <c:v>0</c:v>
                      </c:pt>
                      <c:pt idx="1026">
                        <c:v>0</c:v>
                      </c:pt>
                      <c:pt idx="1027">
                        <c:v>0</c:v>
                      </c:pt>
                      <c:pt idx="1028">
                        <c:v>0</c:v>
                      </c:pt>
                      <c:pt idx="1029">
                        <c:v>0</c:v>
                      </c:pt>
                      <c:pt idx="1030">
                        <c:v>0</c:v>
                      </c:pt>
                      <c:pt idx="1031">
                        <c:v>0</c:v>
                      </c:pt>
                      <c:pt idx="1032">
                        <c:v>0</c:v>
                      </c:pt>
                      <c:pt idx="1033">
                        <c:v>0</c:v>
                      </c:pt>
                      <c:pt idx="1034">
                        <c:v>0</c:v>
                      </c:pt>
                      <c:pt idx="1035">
                        <c:v>0</c:v>
                      </c:pt>
                      <c:pt idx="1036">
                        <c:v>0</c:v>
                      </c:pt>
                      <c:pt idx="1037">
                        <c:v>0</c:v>
                      </c:pt>
                      <c:pt idx="1038">
                        <c:v>0</c:v>
                      </c:pt>
                      <c:pt idx="1039">
                        <c:v>0</c:v>
                      </c:pt>
                      <c:pt idx="1040">
                        <c:v>0</c:v>
                      </c:pt>
                      <c:pt idx="1041">
                        <c:v>0</c:v>
                      </c:pt>
                      <c:pt idx="1042">
                        <c:v>0</c:v>
                      </c:pt>
                      <c:pt idx="1043">
                        <c:v>0</c:v>
                      </c:pt>
                      <c:pt idx="1044">
                        <c:v>0</c:v>
                      </c:pt>
                      <c:pt idx="1045">
                        <c:v>0</c:v>
                      </c:pt>
                      <c:pt idx="1046">
                        <c:v>0</c:v>
                      </c:pt>
                      <c:pt idx="1047">
                        <c:v>0</c:v>
                      </c:pt>
                      <c:pt idx="1048">
                        <c:v>0</c:v>
                      </c:pt>
                      <c:pt idx="1049">
                        <c:v>0</c:v>
                      </c:pt>
                      <c:pt idx="1050">
                        <c:v>0</c:v>
                      </c:pt>
                      <c:pt idx="1051">
                        <c:v>0</c:v>
                      </c:pt>
                      <c:pt idx="1052">
                        <c:v>0</c:v>
                      </c:pt>
                      <c:pt idx="1053">
                        <c:v>0</c:v>
                      </c:pt>
                      <c:pt idx="1054">
                        <c:v>0</c:v>
                      </c:pt>
                      <c:pt idx="1055">
                        <c:v>0</c:v>
                      </c:pt>
                      <c:pt idx="1056">
                        <c:v>0</c:v>
                      </c:pt>
                      <c:pt idx="1057">
                        <c:v>0</c:v>
                      </c:pt>
                      <c:pt idx="1058">
                        <c:v>0</c:v>
                      </c:pt>
                      <c:pt idx="1059">
                        <c:v>0</c:v>
                      </c:pt>
                      <c:pt idx="1060">
                        <c:v>0</c:v>
                      </c:pt>
                      <c:pt idx="1061">
                        <c:v>0</c:v>
                      </c:pt>
                      <c:pt idx="1062">
                        <c:v>0</c:v>
                      </c:pt>
                      <c:pt idx="1063">
                        <c:v>0</c:v>
                      </c:pt>
                      <c:pt idx="1064">
                        <c:v>0</c:v>
                      </c:pt>
                      <c:pt idx="1065">
                        <c:v>0</c:v>
                      </c:pt>
                      <c:pt idx="1066">
                        <c:v>0</c:v>
                      </c:pt>
                      <c:pt idx="1067">
                        <c:v>0</c:v>
                      </c:pt>
                      <c:pt idx="1068">
                        <c:v>0</c:v>
                      </c:pt>
                      <c:pt idx="1069">
                        <c:v>0</c:v>
                      </c:pt>
                      <c:pt idx="1070">
                        <c:v>0</c:v>
                      </c:pt>
                      <c:pt idx="1071">
                        <c:v>0</c:v>
                      </c:pt>
                      <c:pt idx="1072">
                        <c:v>0</c:v>
                      </c:pt>
                      <c:pt idx="1073">
                        <c:v>0</c:v>
                      </c:pt>
                      <c:pt idx="1074">
                        <c:v>0</c:v>
                      </c:pt>
                      <c:pt idx="1075">
                        <c:v>0</c:v>
                      </c:pt>
                      <c:pt idx="1076">
                        <c:v>0</c:v>
                      </c:pt>
                      <c:pt idx="1077">
                        <c:v>0</c:v>
                      </c:pt>
                      <c:pt idx="1078">
                        <c:v>0</c:v>
                      </c:pt>
                      <c:pt idx="1079">
                        <c:v>0</c:v>
                      </c:pt>
                      <c:pt idx="1080">
                        <c:v>0</c:v>
                      </c:pt>
                      <c:pt idx="1081">
                        <c:v>0</c:v>
                      </c:pt>
                      <c:pt idx="1082">
                        <c:v>0</c:v>
                      </c:pt>
                      <c:pt idx="1083">
                        <c:v>0</c:v>
                      </c:pt>
                      <c:pt idx="1084">
                        <c:v>0</c:v>
                      </c:pt>
                      <c:pt idx="1085">
                        <c:v>0</c:v>
                      </c:pt>
                      <c:pt idx="1086">
                        <c:v>0</c:v>
                      </c:pt>
                      <c:pt idx="1087">
                        <c:v>0</c:v>
                      </c:pt>
                      <c:pt idx="1088">
                        <c:v>0</c:v>
                      </c:pt>
                      <c:pt idx="1089">
                        <c:v>0</c:v>
                      </c:pt>
                      <c:pt idx="1090">
                        <c:v>0</c:v>
                      </c:pt>
                      <c:pt idx="1091">
                        <c:v>0</c:v>
                      </c:pt>
                      <c:pt idx="1092">
                        <c:v>0</c:v>
                      </c:pt>
                      <c:pt idx="1093">
                        <c:v>0</c:v>
                      </c:pt>
                      <c:pt idx="1094">
                        <c:v>0</c:v>
                      </c:pt>
                      <c:pt idx="1095">
                        <c:v>0</c:v>
                      </c:pt>
                      <c:pt idx="1096">
                        <c:v>0</c:v>
                      </c:pt>
                      <c:pt idx="1097">
                        <c:v>0</c:v>
                      </c:pt>
                      <c:pt idx="1098">
                        <c:v>0</c:v>
                      </c:pt>
                      <c:pt idx="1099">
                        <c:v>0</c:v>
                      </c:pt>
                      <c:pt idx="1100">
                        <c:v>0</c:v>
                      </c:pt>
                      <c:pt idx="1101">
                        <c:v>0</c:v>
                      </c:pt>
                      <c:pt idx="1102">
                        <c:v>0</c:v>
                      </c:pt>
                      <c:pt idx="1103">
                        <c:v>0</c:v>
                      </c:pt>
                      <c:pt idx="1104">
                        <c:v>0</c:v>
                      </c:pt>
                      <c:pt idx="1105">
                        <c:v>0</c:v>
                      </c:pt>
                      <c:pt idx="1106">
                        <c:v>0</c:v>
                      </c:pt>
                      <c:pt idx="1107">
                        <c:v>0</c:v>
                      </c:pt>
                      <c:pt idx="1108">
                        <c:v>0</c:v>
                      </c:pt>
                      <c:pt idx="1109">
                        <c:v>0</c:v>
                      </c:pt>
                      <c:pt idx="1110">
                        <c:v>0</c:v>
                      </c:pt>
                      <c:pt idx="1111">
                        <c:v>0</c:v>
                      </c:pt>
                      <c:pt idx="1112">
                        <c:v>0</c:v>
                      </c:pt>
                      <c:pt idx="1113">
                        <c:v>0</c:v>
                      </c:pt>
                      <c:pt idx="1114">
                        <c:v>0</c:v>
                      </c:pt>
                      <c:pt idx="1115">
                        <c:v>0</c:v>
                      </c:pt>
                      <c:pt idx="1116">
                        <c:v>0</c:v>
                      </c:pt>
                      <c:pt idx="1117">
                        <c:v>0</c:v>
                      </c:pt>
                      <c:pt idx="1118">
                        <c:v>0</c:v>
                      </c:pt>
                      <c:pt idx="1119">
                        <c:v>0</c:v>
                      </c:pt>
                      <c:pt idx="1120">
                        <c:v>0</c:v>
                      </c:pt>
                      <c:pt idx="1121">
                        <c:v>0</c:v>
                      </c:pt>
                      <c:pt idx="1122">
                        <c:v>0</c:v>
                      </c:pt>
                      <c:pt idx="1123">
                        <c:v>0</c:v>
                      </c:pt>
                      <c:pt idx="1124">
                        <c:v>0</c:v>
                      </c:pt>
                      <c:pt idx="1125">
                        <c:v>0</c:v>
                      </c:pt>
                      <c:pt idx="1126">
                        <c:v>0</c:v>
                      </c:pt>
                      <c:pt idx="1127">
                        <c:v>0</c:v>
                      </c:pt>
                      <c:pt idx="1128">
                        <c:v>0</c:v>
                      </c:pt>
                      <c:pt idx="1129">
                        <c:v>0</c:v>
                      </c:pt>
                      <c:pt idx="1130">
                        <c:v>0</c:v>
                      </c:pt>
                      <c:pt idx="1131">
                        <c:v>0</c:v>
                      </c:pt>
                      <c:pt idx="1132">
                        <c:v>0</c:v>
                      </c:pt>
                      <c:pt idx="1133">
                        <c:v>0</c:v>
                      </c:pt>
                      <c:pt idx="1134">
                        <c:v>0</c:v>
                      </c:pt>
                      <c:pt idx="1135">
                        <c:v>0</c:v>
                      </c:pt>
                      <c:pt idx="1136">
                        <c:v>0</c:v>
                      </c:pt>
                      <c:pt idx="1137">
                        <c:v>0</c:v>
                      </c:pt>
                      <c:pt idx="1138">
                        <c:v>0</c:v>
                      </c:pt>
                      <c:pt idx="1139">
                        <c:v>0</c:v>
                      </c:pt>
                      <c:pt idx="1140">
                        <c:v>0</c:v>
                      </c:pt>
                      <c:pt idx="1141">
                        <c:v>0</c:v>
                      </c:pt>
                      <c:pt idx="1142">
                        <c:v>0</c:v>
                      </c:pt>
                      <c:pt idx="1143">
                        <c:v>0</c:v>
                      </c:pt>
                      <c:pt idx="1144">
                        <c:v>0</c:v>
                      </c:pt>
                      <c:pt idx="1145">
                        <c:v>0</c:v>
                      </c:pt>
                      <c:pt idx="1146">
                        <c:v>0</c:v>
                      </c:pt>
                      <c:pt idx="1147">
                        <c:v>0</c:v>
                      </c:pt>
                      <c:pt idx="1148">
                        <c:v>0</c:v>
                      </c:pt>
                      <c:pt idx="1149">
                        <c:v>0</c:v>
                      </c:pt>
                      <c:pt idx="1150">
                        <c:v>0</c:v>
                      </c:pt>
                      <c:pt idx="1151">
                        <c:v>0</c:v>
                      </c:pt>
                      <c:pt idx="1152">
                        <c:v>0</c:v>
                      </c:pt>
                      <c:pt idx="1153">
                        <c:v>0</c:v>
                      </c:pt>
                      <c:pt idx="1154">
                        <c:v>0</c:v>
                      </c:pt>
                      <c:pt idx="1155">
                        <c:v>0</c:v>
                      </c:pt>
                      <c:pt idx="1156">
                        <c:v>0</c:v>
                      </c:pt>
                      <c:pt idx="1157">
                        <c:v>0</c:v>
                      </c:pt>
                      <c:pt idx="1158">
                        <c:v>0</c:v>
                      </c:pt>
                      <c:pt idx="1159">
                        <c:v>0</c:v>
                      </c:pt>
                      <c:pt idx="1160">
                        <c:v>0</c:v>
                      </c:pt>
                      <c:pt idx="1161">
                        <c:v>0</c:v>
                      </c:pt>
                      <c:pt idx="1162">
                        <c:v>0</c:v>
                      </c:pt>
                      <c:pt idx="1163">
                        <c:v>0</c:v>
                      </c:pt>
                      <c:pt idx="1164">
                        <c:v>0</c:v>
                      </c:pt>
                      <c:pt idx="1165">
                        <c:v>0</c:v>
                      </c:pt>
                      <c:pt idx="1166">
                        <c:v>0</c:v>
                      </c:pt>
                      <c:pt idx="1167">
                        <c:v>0</c:v>
                      </c:pt>
                      <c:pt idx="1168">
                        <c:v>0</c:v>
                      </c:pt>
                      <c:pt idx="1169">
                        <c:v>0</c:v>
                      </c:pt>
                      <c:pt idx="1170">
                        <c:v>0</c:v>
                      </c:pt>
                      <c:pt idx="1171">
                        <c:v>0</c:v>
                      </c:pt>
                      <c:pt idx="1172">
                        <c:v>0</c:v>
                      </c:pt>
                      <c:pt idx="1173">
                        <c:v>0</c:v>
                      </c:pt>
                      <c:pt idx="1174">
                        <c:v>0</c:v>
                      </c:pt>
                      <c:pt idx="1175">
                        <c:v>0</c:v>
                      </c:pt>
                      <c:pt idx="1176">
                        <c:v>0</c:v>
                      </c:pt>
                      <c:pt idx="1177">
                        <c:v>0</c:v>
                      </c:pt>
                      <c:pt idx="1178">
                        <c:v>0</c:v>
                      </c:pt>
                      <c:pt idx="1179">
                        <c:v>0</c:v>
                      </c:pt>
                      <c:pt idx="1180">
                        <c:v>0</c:v>
                      </c:pt>
                      <c:pt idx="1181">
                        <c:v>0</c:v>
                      </c:pt>
                      <c:pt idx="1182">
                        <c:v>0</c:v>
                      </c:pt>
                      <c:pt idx="1183">
                        <c:v>0</c:v>
                      </c:pt>
                      <c:pt idx="1184">
                        <c:v>0</c:v>
                      </c:pt>
                      <c:pt idx="1185">
                        <c:v>0</c:v>
                      </c:pt>
                      <c:pt idx="1186">
                        <c:v>0</c:v>
                      </c:pt>
                      <c:pt idx="1187">
                        <c:v>0</c:v>
                      </c:pt>
                      <c:pt idx="1188">
                        <c:v>0</c:v>
                      </c:pt>
                      <c:pt idx="1189">
                        <c:v>0</c:v>
                      </c:pt>
                      <c:pt idx="1190">
                        <c:v>0</c:v>
                      </c:pt>
                      <c:pt idx="1191">
                        <c:v>0</c:v>
                      </c:pt>
                      <c:pt idx="1192">
                        <c:v>0</c:v>
                      </c:pt>
                      <c:pt idx="1193">
                        <c:v>0</c:v>
                      </c:pt>
                      <c:pt idx="1194">
                        <c:v>0</c:v>
                      </c:pt>
                      <c:pt idx="1195">
                        <c:v>0</c:v>
                      </c:pt>
                      <c:pt idx="1196">
                        <c:v>0</c:v>
                      </c:pt>
                      <c:pt idx="1197">
                        <c:v>0</c:v>
                      </c:pt>
                      <c:pt idx="1198">
                        <c:v>0</c:v>
                      </c:pt>
                      <c:pt idx="1199">
                        <c:v>0</c:v>
                      </c:pt>
                      <c:pt idx="1200">
                        <c:v>0</c:v>
                      </c:pt>
                      <c:pt idx="1201">
                        <c:v>0</c:v>
                      </c:pt>
                      <c:pt idx="1202">
                        <c:v>0</c:v>
                      </c:pt>
                      <c:pt idx="1203">
                        <c:v>0</c:v>
                      </c:pt>
                      <c:pt idx="1204">
                        <c:v>0</c:v>
                      </c:pt>
                      <c:pt idx="1205">
                        <c:v>0</c:v>
                      </c:pt>
                      <c:pt idx="1206">
                        <c:v>0</c:v>
                      </c:pt>
                      <c:pt idx="1207">
                        <c:v>0</c:v>
                      </c:pt>
                      <c:pt idx="1208">
                        <c:v>0</c:v>
                      </c:pt>
                      <c:pt idx="1209">
                        <c:v>0</c:v>
                      </c:pt>
                      <c:pt idx="1210">
                        <c:v>0</c:v>
                      </c:pt>
                      <c:pt idx="1211">
                        <c:v>0</c:v>
                      </c:pt>
                      <c:pt idx="1212">
                        <c:v>0</c:v>
                      </c:pt>
                      <c:pt idx="1213">
                        <c:v>0</c:v>
                      </c:pt>
                      <c:pt idx="1214">
                        <c:v>0</c:v>
                      </c:pt>
                      <c:pt idx="1215">
                        <c:v>0</c:v>
                      </c:pt>
                      <c:pt idx="1216">
                        <c:v>0</c:v>
                      </c:pt>
                      <c:pt idx="1217">
                        <c:v>0</c:v>
                      </c:pt>
                      <c:pt idx="1218">
                        <c:v>0</c:v>
                      </c:pt>
                      <c:pt idx="1219">
                        <c:v>0</c:v>
                      </c:pt>
                      <c:pt idx="1220">
                        <c:v>0</c:v>
                      </c:pt>
                      <c:pt idx="1221">
                        <c:v>0</c:v>
                      </c:pt>
                      <c:pt idx="1222">
                        <c:v>0</c:v>
                      </c:pt>
                      <c:pt idx="1223">
                        <c:v>0</c:v>
                      </c:pt>
                      <c:pt idx="1224">
                        <c:v>0</c:v>
                      </c:pt>
                      <c:pt idx="1225">
                        <c:v>0</c:v>
                      </c:pt>
                      <c:pt idx="1226">
                        <c:v>0</c:v>
                      </c:pt>
                      <c:pt idx="1227">
                        <c:v>0</c:v>
                      </c:pt>
                      <c:pt idx="1228">
                        <c:v>0</c:v>
                      </c:pt>
                      <c:pt idx="1229">
                        <c:v>0</c:v>
                      </c:pt>
                      <c:pt idx="1230">
                        <c:v>0</c:v>
                      </c:pt>
                      <c:pt idx="1231">
                        <c:v>0</c:v>
                      </c:pt>
                      <c:pt idx="1232">
                        <c:v>0</c:v>
                      </c:pt>
                      <c:pt idx="1233">
                        <c:v>0</c:v>
                      </c:pt>
                      <c:pt idx="1234">
                        <c:v>0</c:v>
                      </c:pt>
                      <c:pt idx="1235">
                        <c:v>0</c:v>
                      </c:pt>
                      <c:pt idx="1236">
                        <c:v>0</c:v>
                      </c:pt>
                      <c:pt idx="1237">
                        <c:v>0</c:v>
                      </c:pt>
                      <c:pt idx="1238">
                        <c:v>0</c:v>
                      </c:pt>
                      <c:pt idx="1239">
                        <c:v>0</c:v>
                      </c:pt>
                      <c:pt idx="1240">
                        <c:v>0</c:v>
                      </c:pt>
                      <c:pt idx="1241">
                        <c:v>0</c:v>
                      </c:pt>
                      <c:pt idx="1242">
                        <c:v>0</c:v>
                      </c:pt>
                      <c:pt idx="1243">
                        <c:v>0</c:v>
                      </c:pt>
                      <c:pt idx="1244">
                        <c:v>0</c:v>
                      </c:pt>
                      <c:pt idx="1245">
                        <c:v>0</c:v>
                      </c:pt>
                      <c:pt idx="1246">
                        <c:v>0</c:v>
                      </c:pt>
                      <c:pt idx="1247">
                        <c:v>0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AB20-4917-8225-5CFA6125024E}"/>
            </c:ext>
          </c:extLst>
        </c:ser>
        <c:ser>
          <c:idx val="4"/>
          <c:order val="4"/>
          <c:spPr>
            <a:ln w="22225" cap="rnd">
              <a:solidFill>
                <a:schemeClr val="dk1">
                  <a:tint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[177]PE!$F$2:$F$1249</c:f>
              <c:numCache>
                <c:formatCode>General</c:formatCode>
                <c:ptCount val="12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[177]PE!$F$1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[177]PE!$A$2:$A$1249</c15:sqref>
                        </c15:formulaRef>
                      </c:ext>
                    </c:extLst>
                    <c:numCache>
                      <c:formatCode>General</c:formatCode>
                      <c:ptCount val="124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0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0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0</c:v>
                      </c:pt>
                      <c:pt idx="688">
                        <c:v>0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0</c:v>
                      </c:pt>
                      <c:pt idx="692">
                        <c:v>0</c:v>
                      </c:pt>
                      <c:pt idx="693">
                        <c:v>0</c:v>
                      </c:pt>
                      <c:pt idx="694">
                        <c:v>0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0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0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0</c:v>
                      </c:pt>
                      <c:pt idx="772">
                        <c:v>0</c:v>
                      </c:pt>
                      <c:pt idx="773">
                        <c:v>0</c:v>
                      </c:pt>
                      <c:pt idx="774">
                        <c:v>0</c:v>
                      </c:pt>
                      <c:pt idx="775">
                        <c:v>0</c:v>
                      </c:pt>
                      <c:pt idx="776">
                        <c:v>0</c:v>
                      </c:pt>
                      <c:pt idx="777">
                        <c:v>0</c:v>
                      </c:pt>
                      <c:pt idx="778">
                        <c:v>0</c:v>
                      </c:pt>
                      <c:pt idx="779">
                        <c:v>0</c:v>
                      </c:pt>
                      <c:pt idx="780">
                        <c:v>0</c:v>
                      </c:pt>
                      <c:pt idx="781">
                        <c:v>0</c:v>
                      </c:pt>
                      <c:pt idx="782">
                        <c:v>0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  <c:pt idx="801">
                        <c:v>0</c:v>
                      </c:pt>
                      <c:pt idx="802">
                        <c:v>0</c:v>
                      </c:pt>
                      <c:pt idx="803">
                        <c:v>0</c:v>
                      </c:pt>
                      <c:pt idx="804">
                        <c:v>0</c:v>
                      </c:pt>
                      <c:pt idx="805">
                        <c:v>0</c:v>
                      </c:pt>
                      <c:pt idx="806">
                        <c:v>0</c:v>
                      </c:pt>
                      <c:pt idx="807">
                        <c:v>0</c:v>
                      </c:pt>
                      <c:pt idx="808">
                        <c:v>0</c:v>
                      </c:pt>
                      <c:pt idx="809">
                        <c:v>0</c:v>
                      </c:pt>
                      <c:pt idx="810">
                        <c:v>0</c:v>
                      </c:pt>
                      <c:pt idx="811">
                        <c:v>0</c:v>
                      </c:pt>
                      <c:pt idx="812">
                        <c:v>0</c:v>
                      </c:pt>
                      <c:pt idx="813">
                        <c:v>0</c:v>
                      </c:pt>
                      <c:pt idx="814">
                        <c:v>0</c:v>
                      </c:pt>
                      <c:pt idx="815">
                        <c:v>0</c:v>
                      </c:pt>
                      <c:pt idx="816">
                        <c:v>0</c:v>
                      </c:pt>
                      <c:pt idx="817">
                        <c:v>0</c:v>
                      </c:pt>
                      <c:pt idx="818">
                        <c:v>0</c:v>
                      </c:pt>
                      <c:pt idx="819">
                        <c:v>0</c:v>
                      </c:pt>
                      <c:pt idx="820">
                        <c:v>0</c:v>
                      </c:pt>
                      <c:pt idx="821">
                        <c:v>0</c:v>
                      </c:pt>
                      <c:pt idx="822">
                        <c:v>0</c:v>
                      </c:pt>
                      <c:pt idx="823">
                        <c:v>0</c:v>
                      </c:pt>
                      <c:pt idx="824">
                        <c:v>0</c:v>
                      </c:pt>
                      <c:pt idx="825">
                        <c:v>0</c:v>
                      </c:pt>
                      <c:pt idx="826">
                        <c:v>0</c:v>
                      </c:pt>
                      <c:pt idx="827">
                        <c:v>0</c:v>
                      </c:pt>
                      <c:pt idx="828">
                        <c:v>0</c:v>
                      </c:pt>
                      <c:pt idx="829">
                        <c:v>0</c:v>
                      </c:pt>
                      <c:pt idx="830">
                        <c:v>0</c:v>
                      </c:pt>
                      <c:pt idx="831">
                        <c:v>0</c:v>
                      </c:pt>
                      <c:pt idx="832">
                        <c:v>0</c:v>
                      </c:pt>
                      <c:pt idx="833">
                        <c:v>0</c:v>
                      </c:pt>
                      <c:pt idx="834">
                        <c:v>0</c:v>
                      </c:pt>
                      <c:pt idx="835">
                        <c:v>0</c:v>
                      </c:pt>
                      <c:pt idx="836">
                        <c:v>0</c:v>
                      </c:pt>
                      <c:pt idx="837">
                        <c:v>0</c:v>
                      </c:pt>
                      <c:pt idx="838">
                        <c:v>0</c:v>
                      </c:pt>
                      <c:pt idx="839">
                        <c:v>0</c:v>
                      </c:pt>
                      <c:pt idx="840">
                        <c:v>0</c:v>
                      </c:pt>
                      <c:pt idx="841">
                        <c:v>0</c:v>
                      </c:pt>
                      <c:pt idx="842">
                        <c:v>0</c:v>
                      </c:pt>
                      <c:pt idx="843">
                        <c:v>0</c:v>
                      </c:pt>
                      <c:pt idx="844">
                        <c:v>0</c:v>
                      </c:pt>
                      <c:pt idx="845">
                        <c:v>0</c:v>
                      </c:pt>
                      <c:pt idx="846">
                        <c:v>0</c:v>
                      </c:pt>
                      <c:pt idx="847">
                        <c:v>0</c:v>
                      </c:pt>
                      <c:pt idx="848">
                        <c:v>0</c:v>
                      </c:pt>
                      <c:pt idx="849">
                        <c:v>0</c:v>
                      </c:pt>
                      <c:pt idx="850">
                        <c:v>0</c:v>
                      </c:pt>
                      <c:pt idx="851">
                        <c:v>0</c:v>
                      </c:pt>
                      <c:pt idx="852">
                        <c:v>0</c:v>
                      </c:pt>
                      <c:pt idx="853">
                        <c:v>0</c:v>
                      </c:pt>
                      <c:pt idx="854">
                        <c:v>0</c:v>
                      </c:pt>
                      <c:pt idx="855">
                        <c:v>0</c:v>
                      </c:pt>
                      <c:pt idx="856">
                        <c:v>0</c:v>
                      </c:pt>
                      <c:pt idx="857">
                        <c:v>0</c:v>
                      </c:pt>
                      <c:pt idx="858">
                        <c:v>0</c:v>
                      </c:pt>
                      <c:pt idx="859">
                        <c:v>0</c:v>
                      </c:pt>
                      <c:pt idx="860">
                        <c:v>0</c:v>
                      </c:pt>
                      <c:pt idx="861">
                        <c:v>0</c:v>
                      </c:pt>
                      <c:pt idx="862">
                        <c:v>0</c:v>
                      </c:pt>
                      <c:pt idx="863">
                        <c:v>0</c:v>
                      </c:pt>
                      <c:pt idx="864">
                        <c:v>0</c:v>
                      </c:pt>
                      <c:pt idx="865">
                        <c:v>0</c:v>
                      </c:pt>
                      <c:pt idx="866">
                        <c:v>0</c:v>
                      </c:pt>
                      <c:pt idx="867">
                        <c:v>0</c:v>
                      </c:pt>
                      <c:pt idx="868">
                        <c:v>0</c:v>
                      </c:pt>
                      <c:pt idx="869">
                        <c:v>0</c:v>
                      </c:pt>
                      <c:pt idx="870">
                        <c:v>0</c:v>
                      </c:pt>
                      <c:pt idx="871">
                        <c:v>0</c:v>
                      </c:pt>
                      <c:pt idx="872">
                        <c:v>0</c:v>
                      </c:pt>
                      <c:pt idx="873">
                        <c:v>0</c:v>
                      </c:pt>
                      <c:pt idx="874">
                        <c:v>0</c:v>
                      </c:pt>
                      <c:pt idx="875">
                        <c:v>0</c:v>
                      </c:pt>
                      <c:pt idx="876">
                        <c:v>0</c:v>
                      </c:pt>
                      <c:pt idx="877">
                        <c:v>0</c:v>
                      </c:pt>
                      <c:pt idx="878">
                        <c:v>0</c:v>
                      </c:pt>
                      <c:pt idx="879">
                        <c:v>0</c:v>
                      </c:pt>
                      <c:pt idx="880">
                        <c:v>0</c:v>
                      </c:pt>
                      <c:pt idx="881">
                        <c:v>0</c:v>
                      </c:pt>
                      <c:pt idx="882">
                        <c:v>0</c:v>
                      </c:pt>
                      <c:pt idx="883">
                        <c:v>0</c:v>
                      </c:pt>
                      <c:pt idx="884">
                        <c:v>0</c:v>
                      </c:pt>
                      <c:pt idx="885">
                        <c:v>0</c:v>
                      </c:pt>
                      <c:pt idx="886">
                        <c:v>0</c:v>
                      </c:pt>
                      <c:pt idx="887">
                        <c:v>0</c:v>
                      </c:pt>
                      <c:pt idx="888">
                        <c:v>0</c:v>
                      </c:pt>
                      <c:pt idx="889">
                        <c:v>0</c:v>
                      </c:pt>
                      <c:pt idx="890">
                        <c:v>0</c:v>
                      </c:pt>
                      <c:pt idx="891">
                        <c:v>0</c:v>
                      </c:pt>
                      <c:pt idx="892">
                        <c:v>0</c:v>
                      </c:pt>
                      <c:pt idx="893">
                        <c:v>0</c:v>
                      </c:pt>
                      <c:pt idx="894">
                        <c:v>0</c:v>
                      </c:pt>
                      <c:pt idx="895">
                        <c:v>0</c:v>
                      </c:pt>
                      <c:pt idx="896">
                        <c:v>0</c:v>
                      </c:pt>
                      <c:pt idx="897">
                        <c:v>0</c:v>
                      </c:pt>
                      <c:pt idx="898">
                        <c:v>0</c:v>
                      </c:pt>
                      <c:pt idx="899">
                        <c:v>0</c:v>
                      </c:pt>
                      <c:pt idx="900">
                        <c:v>0</c:v>
                      </c:pt>
                      <c:pt idx="901">
                        <c:v>0</c:v>
                      </c:pt>
                      <c:pt idx="902">
                        <c:v>0</c:v>
                      </c:pt>
                      <c:pt idx="903">
                        <c:v>0</c:v>
                      </c:pt>
                      <c:pt idx="904">
                        <c:v>0</c:v>
                      </c:pt>
                      <c:pt idx="905">
                        <c:v>0</c:v>
                      </c:pt>
                      <c:pt idx="906">
                        <c:v>0</c:v>
                      </c:pt>
                      <c:pt idx="907">
                        <c:v>0</c:v>
                      </c:pt>
                      <c:pt idx="908">
                        <c:v>0</c:v>
                      </c:pt>
                      <c:pt idx="909">
                        <c:v>0</c:v>
                      </c:pt>
                      <c:pt idx="910">
                        <c:v>0</c:v>
                      </c:pt>
                      <c:pt idx="911">
                        <c:v>0</c:v>
                      </c:pt>
                      <c:pt idx="912">
                        <c:v>0</c:v>
                      </c:pt>
                      <c:pt idx="913">
                        <c:v>0</c:v>
                      </c:pt>
                      <c:pt idx="914">
                        <c:v>0</c:v>
                      </c:pt>
                      <c:pt idx="915">
                        <c:v>0</c:v>
                      </c:pt>
                      <c:pt idx="916">
                        <c:v>0</c:v>
                      </c:pt>
                      <c:pt idx="917">
                        <c:v>0</c:v>
                      </c:pt>
                      <c:pt idx="918">
                        <c:v>0</c:v>
                      </c:pt>
                      <c:pt idx="919">
                        <c:v>0</c:v>
                      </c:pt>
                      <c:pt idx="920">
                        <c:v>0</c:v>
                      </c:pt>
                      <c:pt idx="921">
                        <c:v>0</c:v>
                      </c:pt>
                      <c:pt idx="922">
                        <c:v>0</c:v>
                      </c:pt>
                      <c:pt idx="923">
                        <c:v>0</c:v>
                      </c:pt>
                      <c:pt idx="924">
                        <c:v>0</c:v>
                      </c:pt>
                      <c:pt idx="925">
                        <c:v>0</c:v>
                      </c:pt>
                      <c:pt idx="926">
                        <c:v>0</c:v>
                      </c:pt>
                      <c:pt idx="927">
                        <c:v>0</c:v>
                      </c:pt>
                      <c:pt idx="928">
                        <c:v>0</c:v>
                      </c:pt>
                      <c:pt idx="929">
                        <c:v>0</c:v>
                      </c:pt>
                      <c:pt idx="930">
                        <c:v>0</c:v>
                      </c:pt>
                      <c:pt idx="931">
                        <c:v>0</c:v>
                      </c:pt>
                      <c:pt idx="932">
                        <c:v>0</c:v>
                      </c:pt>
                      <c:pt idx="933">
                        <c:v>0</c:v>
                      </c:pt>
                      <c:pt idx="934">
                        <c:v>0</c:v>
                      </c:pt>
                      <c:pt idx="935">
                        <c:v>0</c:v>
                      </c:pt>
                      <c:pt idx="936">
                        <c:v>0</c:v>
                      </c:pt>
                      <c:pt idx="937">
                        <c:v>0</c:v>
                      </c:pt>
                      <c:pt idx="938">
                        <c:v>0</c:v>
                      </c:pt>
                      <c:pt idx="939">
                        <c:v>0</c:v>
                      </c:pt>
                      <c:pt idx="940">
                        <c:v>0</c:v>
                      </c:pt>
                      <c:pt idx="941">
                        <c:v>0</c:v>
                      </c:pt>
                      <c:pt idx="942">
                        <c:v>0</c:v>
                      </c:pt>
                      <c:pt idx="943">
                        <c:v>0</c:v>
                      </c:pt>
                      <c:pt idx="944">
                        <c:v>0</c:v>
                      </c:pt>
                      <c:pt idx="945">
                        <c:v>0</c:v>
                      </c:pt>
                      <c:pt idx="946">
                        <c:v>0</c:v>
                      </c:pt>
                      <c:pt idx="947">
                        <c:v>0</c:v>
                      </c:pt>
                      <c:pt idx="948">
                        <c:v>0</c:v>
                      </c:pt>
                      <c:pt idx="949">
                        <c:v>0</c:v>
                      </c:pt>
                      <c:pt idx="950">
                        <c:v>0</c:v>
                      </c:pt>
                      <c:pt idx="951">
                        <c:v>0</c:v>
                      </c:pt>
                      <c:pt idx="952">
                        <c:v>0</c:v>
                      </c:pt>
                      <c:pt idx="953">
                        <c:v>0</c:v>
                      </c:pt>
                      <c:pt idx="954">
                        <c:v>0</c:v>
                      </c:pt>
                      <c:pt idx="955">
                        <c:v>0</c:v>
                      </c:pt>
                      <c:pt idx="956">
                        <c:v>0</c:v>
                      </c:pt>
                      <c:pt idx="957">
                        <c:v>0</c:v>
                      </c:pt>
                      <c:pt idx="958">
                        <c:v>0</c:v>
                      </c:pt>
                      <c:pt idx="959">
                        <c:v>0</c:v>
                      </c:pt>
                      <c:pt idx="960">
                        <c:v>0</c:v>
                      </c:pt>
                      <c:pt idx="961">
                        <c:v>0</c:v>
                      </c:pt>
                      <c:pt idx="962">
                        <c:v>0</c:v>
                      </c:pt>
                      <c:pt idx="963">
                        <c:v>0</c:v>
                      </c:pt>
                      <c:pt idx="964">
                        <c:v>0</c:v>
                      </c:pt>
                      <c:pt idx="965">
                        <c:v>0</c:v>
                      </c:pt>
                      <c:pt idx="966">
                        <c:v>0</c:v>
                      </c:pt>
                      <c:pt idx="967">
                        <c:v>0</c:v>
                      </c:pt>
                      <c:pt idx="968">
                        <c:v>0</c:v>
                      </c:pt>
                      <c:pt idx="969">
                        <c:v>0</c:v>
                      </c:pt>
                      <c:pt idx="970">
                        <c:v>0</c:v>
                      </c:pt>
                      <c:pt idx="971">
                        <c:v>0</c:v>
                      </c:pt>
                      <c:pt idx="972">
                        <c:v>0</c:v>
                      </c:pt>
                      <c:pt idx="973">
                        <c:v>0</c:v>
                      </c:pt>
                      <c:pt idx="974">
                        <c:v>0</c:v>
                      </c:pt>
                      <c:pt idx="975">
                        <c:v>0</c:v>
                      </c:pt>
                      <c:pt idx="976">
                        <c:v>0</c:v>
                      </c:pt>
                      <c:pt idx="977">
                        <c:v>0</c:v>
                      </c:pt>
                      <c:pt idx="978">
                        <c:v>0</c:v>
                      </c:pt>
                      <c:pt idx="979">
                        <c:v>0</c:v>
                      </c:pt>
                      <c:pt idx="980">
                        <c:v>0</c:v>
                      </c:pt>
                      <c:pt idx="981">
                        <c:v>0</c:v>
                      </c:pt>
                      <c:pt idx="982">
                        <c:v>0</c:v>
                      </c:pt>
                      <c:pt idx="983">
                        <c:v>0</c:v>
                      </c:pt>
                      <c:pt idx="984">
                        <c:v>0</c:v>
                      </c:pt>
                      <c:pt idx="985">
                        <c:v>0</c:v>
                      </c:pt>
                      <c:pt idx="986">
                        <c:v>0</c:v>
                      </c:pt>
                      <c:pt idx="987">
                        <c:v>0</c:v>
                      </c:pt>
                      <c:pt idx="988">
                        <c:v>0</c:v>
                      </c:pt>
                      <c:pt idx="989">
                        <c:v>0</c:v>
                      </c:pt>
                      <c:pt idx="990">
                        <c:v>0</c:v>
                      </c:pt>
                      <c:pt idx="991">
                        <c:v>0</c:v>
                      </c:pt>
                      <c:pt idx="992">
                        <c:v>0</c:v>
                      </c:pt>
                      <c:pt idx="993">
                        <c:v>0</c:v>
                      </c:pt>
                      <c:pt idx="994">
                        <c:v>0</c:v>
                      </c:pt>
                      <c:pt idx="995">
                        <c:v>0</c:v>
                      </c:pt>
                      <c:pt idx="996">
                        <c:v>0</c:v>
                      </c:pt>
                      <c:pt idx="997">
                        <c:v>0</c:v>
                      </c:pt>
                      <c:pt idx="998">
                        <c:v>0</c:v>
                      </c:pt>
                      <c:pt idx="999">
                        <c:v>0</c:v>
                      </c:pt>
                      <c:pt idx="1000">
                        <c:v>0</c:v>
                      </c:pt>
                      <c:pt idx="1001">
                        <c:v>0</c:v>
                      </c:pt>
                      <c:pt idx="1002">
                        <c:v>0</c:v>
                      </c:pt>
                      <c:pt idx="1003">
                        <c:v>0</c:v>
                      </c:pt>
                      <c:pt idx="1004">
                        <c:v>0</c:v>
                      </c:pt>
                      <c:pt idx="1005">
                        <c:v>0</c:v>
                      </c:pt>
                      <c:pt idx="1006">
                        <c:v>0</c:v>
                      </c:pt>
                      <c:pt idx="1007">
                        <c:v>0</c:v>
                      </c:pt>
                      <c:pt idx="1008">
                        <c:v>0</c:v>
                      </c:pt>
                      <c:pt idx="1009">
                        <c:v>0</c:v>
                      </c:pt>
                      <c:pt idx="1010">
                        <c:v>0</c:v>
                      </c:pt>
                      <c:pt idx="1011">
                        <c:v>0</c:v>
                      </c:pt>
                      <c:pt idx="1012">
                        <c:v>0</c:v>
                      </c:pt>
                      <c:pt idx="1013">
                        <c:v>0</c:v>
                      </c:pt>
                      <c:pt idx="1014">
                        <c:v>0</c:v>
                      </c:pt>
                      <c:pt idx="1015">
                        <c:v>0</c:v>
                      </c:pt>
                      <c:pt idx="1016">
                        <c:v>0</c:v>
                      </c:pt>
                      <c:pt idx="1017">
                        <c:v>0</c:v>
                      </c:pt>
                      <c:pt idx="1018">
                        <c:v>0</c:v>
                      </c:pt>
                      <c:pt idx="1019">
                        <c:v>0</c:v>
                      </c:pt>
                      <c:pt idx="1020">
                        <c:v>0</c:v>
                      </c:pt>
                      <c:pt idx="1021">
                        <c:v>0</c:v>
                      </c:pt>
                      <c:pt idx="1022">
                        <c:v>0</c:v>
                      </c:pt>
                      <c:pt idx="1023">
                        <c:v>0</c:v>
                      </c:pt>
                      <c:pt idx="1024">
                        <c:v>0</c:v>
                      </c:pt>
                      <c:pt idx="1025">
                        <c:v>0</c:v>
                      </c:pt>
                      <c:pt idx="1026">
                        <c:v>0</c:v>
                      </c:pt>
                      <c:pt idx="1027">
                        <c:v>0</c:v>
                      </c:pt>
                      <c:pt idx="1028">
                        <c:v>0</c:v>
                      </c:pt>
                      <c:pt idx="1029">
                        <c:v>0</c:v>
                      </c:pt>
                      <c:pt idx="1030">
                        <c:v>0</c:v>
                      </c:pt>
                      <c:pt idx="1031">
                        <c:v>0</c:v>
                      </c:pt>
                      <c:pt idx="1032">
                        <c:v>0</c:v>
                      </c:pt>
                      <c:pt idx="1033">
                        <c:v>0</c:v>
                      </c:pt>
                      <c:pt idx="1034">
                        <c:v>0</c:v>
                      </c:pt>
                      <c:pt idx="1035">
                        <c:v>0</c:v>
                      </c:pt>
                      <c:pt idx="1036">
                        <c:v>0</c:v>
                      </c:pt>
                      <c:pt idx="1037">
                        <c:v>0</c:v>
                      </c:pt>
                      <c:pt idx="1038">
                        <c:v>0</c:v>
                      </c:pt>
                      <c:pt idx="1039">
                        <c:v>0</c:v>
                      </c:pt>
                      <c:pt idx="1040">
                        <c:v>0</c:v>
                      </c:pt>
                      <c:pt idx="1041">
                        <c:v>0</c:v>
                      </c:pt>
                      <c:pt idx="1042">
                        <c:v>0</c:v>
                      </c:pt>
                      <c:pt idx="1043">
                        <c:v>0</c:v>
                      </c:pt>
                      <c:pt idx="1044">
                        <c:v>0</c:v>
                      </c:pt>
                      <c:pt idx="1045">
                        <c:v>0</c:v>
                      </c:pt>
                      <c:pt idx="1046">
                        <c:v>0</c:v>
                      </c:pt>
                      <c:pt idx="1047">
                        <c:v>0</c:v>
                      </c:pt>
                      <c:pt idx="1048">
                        <c:v>0</c:v>
                      </c:pt>
                      <c:pt idx="1049">
                        <c:v>0</c:v>
                      </c:pt>
                      <c:pt idx="1050">
                        <c:v>0</c:v>
                      </c:pt>
                      <c:pt idx="1051">
                        <c:v>0</c:v>
                      </c:pt>
                      <c:pt idx="1052">
                        <c:v>0</c:v>
                      </c:pt>
                      <c:pt idx="1053">
                        <c:v>0</c:v>
                      </c:pt>
                      <c:pt idx="1054">
                        <c:v>0</c:v>
                      </c:pt>
                      <c:pt idx="1055">
                        <c:v>0</c:v>
                      </c:pt>
                      <c:pt idx="1056">
                        <c:v>0</c:v>
                      </c:pt>
                      <c:pt idx="1057">
                        <c:v>0</c:v>
                      </c:pt>
                      <c:pt idx="1058">
                        <c:v>0</c:v>
                      </c:pt>
                      <c:pt idx="1059">
                        <c:v>0</c:v>
                      </c:pt>
                      <c:pt idx="1060">
                        <c:v>0</c:v>
                      </c:pt>
                      <c:pt idx="1061">
                        <c:v>0</c:v>
                      </c:pt>
                      <c:pt idx="1062">
                        <c:v>0</c:v>
                      </c:pt>
                      <c:pt idx="1063">
                        <c:v>0</c:v>
                      </c:pt>
                      <c:pt idx="1064">
                        <c:v>0</c:v>
                      </c:pt>
                      <c:pt idx="1065">
                        <c:v>0</c:v>
                      </c:pt>
                      <c:pt idx="1066">
                        <c:v>0</c:v>
                      </c:pt>
                      <c:pt idx="1067">
                        <c:v>0</c:v>
                      </c:pt>
                      <c:pt idx="1068">
                        <c:v>0</c:v>
                      </c:pt>
                      <c:pt idx="1069">
                        <c:v>0</c:v>
                      </c:pt>
                      <c:pt idx="1070">
                        <c:v>0</c:v>
                      </c:pt>
                      <c:pt idx="1071">
                        <c:v>0</c:v>
                      </c:pt>
                      <c:pt idx="1072">
                        <c:v>0</c:v>
                      </c:pt>
                      <c:pt idx="1073">
                        <c:v>0</c:v>
                      </c:pt>
                      <c:pt idx="1074">
                        <c:v>0</c:v>
                      </c:pt>
                      <c:pt idx="1075">
                        <c:v>0</c:v>
                      </c:pt>
                      <c:pt idx="1076">
                        <c:v>0</c:v>
                      </c:pt>
                      <c:pt idx="1077">
                        <c:v>0</c:v>
                      </c:pt>
                      <c:pt idx="1078">
                        <c:v>0</c:v>
                      </c:pt>
                      <c:pt idx="1079">
                        <c:v>0</c:v>
                      </c:pt>
                      <c:pt idx="1080">
                        <c:v>0</c:v>
                      </c:pt>
                      <c:pt idx="1081">
                        <c:v>0</c:v>
                      </c:pt>
                      <c:pt idx="1082">
                        <c:v>0</c:v>
                      </c:pt>
                      <c:pt idx="1083">
                        <c:v>0</c:v>
                      </c:pt>
                      <c:pt idx="1084">
                        <c:v>0</c:v>
                      </c:pt>
                      <c:pt idx="1085">
                        <c:v>0</c:v>
                      </c:pt>
                      <c:pt idx="1086">
                        <c:v>0</c:v>
                      </c:pt>
                      <c:pt idx="1087">
                        <c:v>0</c:v>
                      </c:pt>
                      <c:pt idx="1088">
                        <c:v>0</c:v>
                      </c:pt>
                      <c:pt idx="1089">
                        <c:v>0</c:v>
                      </c:pt>
                      <c:pt idx="1090">
                        <c:v>0</c:v>
                      </c:pt>
                      <c:pt idx="1091">
                        <c:v>0</c:v>
                      </c:pt>
                      <c:pt idx="1092">
                        <c:v>0</c:v>
                      </c:pt>
                      <c:pt idx="1093">
                        <c:v>0</c:v>
                      </c:pt>
                      <c:pt idx="1094">
                        <c:v>0</c:v>
                      </c:pt>
                      <c:pt idx="1095">
                        <c:v>0</c:v>
                      </c:pt>
                      <c:pt idx="1096">
                        <c:v>0</c:v>
                      </c:pt>
                      <c:pt idx="1097">
                        <c:v>0</c:v>
                      </c:pt>
                      <c:pt idx="1098">
                        <c:v>0</c:v>
                      </c:pt>
                      <c:pt idx="1099">
                        <c:v>0</c:v>
                      </c:pt>
                      <c:pt idx="1100">
                        <c:v>0</c:v>
                      </c:pt>
                      <c:pt idx="1101">
                        <c:v>0</c:v>
                      </c:pt>
                      <c:pt idx="1102">
                        <c:v>0</c:v>
                      </c:pt>
                      <c:pt idx="1103">
                        <c:v>0</c:v>
                      </c:pt>
                      <c:pt idx="1104">
                        <c:v>0</c:v>
                      </c:pt>
                      <c:pt idx="1105">
                        <c:v>0</c:v>
                      </c:pt>
                      <c:pt idx="1106">
                        <c:v>0</c:v>
                      </c:pt>
                      <c:pt idx="1107">
                        <c:v>0</c:v>
                      </c:pt>
                      <c:pt idx="1108">
                        <c:v>0</c:v>
                      </c:pt>
                      <c:pt idx="1109">
                        <c:v>0</c:v>
                      </c:pt>
                      <c:pt idx="1110">
                        <c:v>0</c:v>
                      </c:pt>
                      <c:pt idx="1111">
                        <c:v>0</c:v>
                      </c:pt>
                      <c:pt idx="1112">
                        <c:v>0</c:v>
                      </c:pt>
                      <c:pt idx="1113">
                        <c:v>0</c:v>
                      </c:pt>
                      <c:pt idx="1114">
                        <c:v>0</c:v>
                      </c:pt>
                      <c:pt idx="1115">
                        <c:v>0</c:v>
                      </c:pt>
                      <c:pt idx="1116">
                        <c:v>0</c:v>
                      </c:pt>
                      <c:pt idx="1117">
                        <c:v>0</c:v>
                      </c:pt>
                      <c:pt idx="1118">
                        <c:v>0</c:v>
                      </c:pt>
                      <c:pt idx="1119">
                        <c:v>0</c:v>
                      </c:pt>
                      <c:pt idx="1120">
                        <c:v>0</c:v>
                      </c:pt>
                      <c:pt idx="1121">
                        <c:v>0</c:v>
                      </c:pt>
                      <c:pt idx="1122">
                        <c:v>0</c:v>
                      </c:pt>
                      <c:pt idx="1123">
                        <c:v>0</c:v>
                      </c:pt>
                      <c:pt idx="1124">
                        <c:v>0</c:v>
                      </c:pt>
                      <c:pt idx="1125">
                        <c:v>0</c:v>
                      </c:pt>
                      <c:pt idx="1126">
                        <c:v>0</c:v>
                      </c:pt>
                      <c:pt idx="1127">
                        <c:v>0</c:v>
                      </c:pt>
                      <c:pt idx="1128">
                        <c:v>0</c:v>
                      </c:pt>
                      <c:pt idx="1129">
                        <c:v>0</c:v>
                      </c:pt>
                      <c:pt idx="1130">
                        <c:v>0</c:v>
                      </c:pt>
                      <c:pt idx="1131">
                        <c:v>0</c:v>
                      </c:pt>
                      <c:pt idx="1132">
                        <c:v>0</c:v>
                      </c:pt>
                      <c:pt idx="1133">
                        <c:v>0</c:v>
                      </c:pt>
                      <c:pt idx="1134">
                        <c:v>0</c:v>
                      </c:pt>
                      <c:pt idx="1135">
                        <c:v>0</c:v>
                      </c:pt>
                      <c:pt idx="1136">
                        <c:v>0</c:v>
                      </c:pt>
                      <c:pt idx="1137">
                        <c:v>0</c:v>
                      </c:pt>
                      <c:pt idx="1138">
                        <c:v>0</c:v>
                      </c:pt>
                      <c:pt idx="1139">
                        <c:v>0</c:v>
                      </c:pt>
                      <c:pt idx="1140">
                        <c:v>0</c:v>
                      </c:pt>
                      <c:pt idx="1141">
                        <c:v>0</c:v>
                      </c:pt>
                      <c:pt idx="1142">
                        <c:v>0</c:v>
                      </c:pt>
                      <c:pt idx="1143">
                        <c:v>0</c:v>
                      </c:pt>
                      <c:pt idx="1144">
                        <c:v>0</c:v>
                      </c:pt>
                      <c:pt idx="1145">
                        <c:v>0</c:v>
                      </c:pt>
                      <c:pt idx="1146">
                        <c:v>0</c:v>
                      </c:pt>
                      <c:pt idx="1147">
                        <c:v>0</c:v>
                      </c:pt>
                      <c:pt idx="1148">
                        <c:v>0</c:v>
                      </c:pt>
                      <c:pt idx="1149">
                        <c:v>0</c:v>
                      </c:pt>
                      <c:pt idx="1150">
                        <c:v>0</c:v>
                      </c:pt>
                      <c:pt idx="1151">
                        <c:v>0</c:v>
                      </c:pt>
                      <c:pt idx="1152">
                        <c:v>0</c:v>
                      </c:pt>
                      <c:pt idx="1153">
                        <c:v>0</c:v>
                      </c:pt>
                      <c:pt idx="1154">
                        <c:v>0</c:v>
                      </c:pt>
                      <c:pt idx="1155">
                        <c:v>0</c:v>
                      </c:pt>
                      <c:pt idx="1156">
                        <c:v>0</c:v>
                      </c:pt>
                      <c:pt idx="1157">
                        <c:v>0</c:v>
                      </c:pt>
                      <c:pt idx="1158">
                        <c:v>0</c:v>
                      </c:pt>
                      <c:pt idx="1159">
                        <c:v>0</c:v>
                      </c:pt>
                      <c:pt idx="1160">
                        <c:v>0</c:v>
                      </c:pt>
                      <c:pt idx="1161">
                        <c:v>0</c:v>
                      </c:pt>
                      <c:pt idx="1162">
                        <c:v>0</c:v>
                      </c:pt>
                      <c:pt idx="1163">
                        <c:v>0</c:v>
                      </c:pt>
                      <c:pt idx="1164">
                        <c:v>0</c:v>
                      </c:pt>
                      <c:pt idx="1165">
                        <c:v>0</c:v>
                      </c:pt>
                      <c:pt idx="1166">
                        <c:v>0</c:v>
                      </c:pt>
                      <c:pt idx="1167">
                        <c:v>0</c:v>
                      </c:pt>
                      <c:pt idx="1168">
                        <c:v>0</c:v>
                      </c:pt>
                      <c:pt idx="1169">
                        <c:v>0</c:v>
                      </c:pt>
                      <c:pt idx="1170">
                        <c:v>0</c:v>
                      </c:pt>
                      <c:pt idx="1171">
                        <c:v>0</c:v>
                      </c:pt>
                      <c:pt idx="1172">
                        <c:v>0</c:v>
                      </c:pt>
                      <c:pt idx="1173">
                        <c:v>0</c:v>
                      </c:pt>
                      <c:pt idx="1174">
                        <c:v>0</c:v>
                      </c:pt>
                      <c:pt idx="1175">
                        <c:v>0</c:v>
                      </c:pt>
                      <c:pt idx="1176">
                        <c:v>0</c:v>
                      </c:pt>
                      <c:pt idx="1177">
                        <c:v>0</c:v>
                      </c:pt>
                      <c:pt idx="1178">
                        <c:v>0</c:v>
                      </c:pt>
                      <c:pt idx="1179">
                        <c:v>0</c:v>
                      </c:pt>
                      <c:pt idx="1180">
                        <c:v>0</c:v>
                      </c:pt>
                      <c:pt idx="1181">
                        <c:v>0</c:v>
                      </c:pt>
                      <c:pt idx="1182">
                        <c:v>0</c:v>
                      </c:pt>
                      <c:pt idx="1183">
                        <c:v>0</c:v>
                      </c:pt>
                      <c:pt idx="1184">
                        <c:v>0</c:v>
                      </c:pt>
                      <c:pt idx="1185">
                        <c:v>0</c:v>
                      </c:pt>
                      <c:pt idx="1186">
                        <c:v>0</c:v>
                      </c:pt>
                      <c:pt idx="1187">
                        <c:v>0</c:v>
                      </c:pt>
                      <c:pt idx="1188">
                        <c:v>0</c:v>
                      </c:pt>
                      <c:pt idx="1189">
                        <c:v>0</c:v>
                      </c:pt>
                      <c:pt idx="1190">
                        <c:v>0</c:v>
                      </c:pt>
                      <c:pt idx="1191">
                        <c:v>0</c:v>
                      </c:pt>
                      <c:pt idx="1192">
                        <c:v>0</c:v>
                      </c:pt>
                      <c:pt idx="1193">
                        <c:v>0</c:v>
                      </c:pt>
                      <c:pt idx="1194">
                        <c:v>0</c:v>
                      </c:pt>
                      <c:pt idx="1195">
                        <c:v>0</c:v>
                      </c:pt>
                      <c:pt idx="1196">
                        <c:v>0</c:v>
                      </c:pt>
                      <c:pt idx="1197">
                        <c:v>0</c:v>
                      </c:pt>
                      <c:pt idx="1198">
                        <c:v>0</c:v>
                      </c:pt>
                      <c:pt idx="1199">
                        <c:v>0</c:v>
                      </c:pt>
                      <c:pt idx="1200">
                        <c:v>0</c:v>
                      </c:pt>
                      <c:pt idx="1201">
                        <c:v>0</c:v>
                      </c:pt>
                      <c:pt idx="1202">
                        <c:v>0</c:v>
                      </c:pt>
                      <c:pt idx="1203">
                        <c:v>0</c:v>
                      </c:pt>
                      <c:pt idx="1204">
                        <c:v>0</c:v>
                      </c:pt>
                      <c:pt idx="1205">
                        <c:v>0</c:v>
                      </c:pt>
                      <c:pt idx="1206">
                        <c:v>0</c:v>
                      </c:pt>
                      <c:pt idx="1207">
                        <c:v>0</c:v>
                      </c:pt>
                      <c:pt idx="1208">
                        <c:v>0</c:v>
                      </c:pt>
                      <c:pt idx="1209">
                        <c:v>0</c:v>
                      </c:pt>
                      <c:pt idx="1210">
                        <c:v>0</c:v>
                      </c:pt>
                      <c:pt idx="1211">
                        <c:v>0</c:v>
                      </c:pt>
                      <c:pt idx="1212">
                        <c:v>0</c:v>
                      </c:pt>
                      <c:pt idx="1213">
                        <c:v>0</c:v>
                      </c:pt>
                      <c:pt idx="1214">
                        <c:v>0</c:v>
                      </c:pt>
                      <c:pt idx="1215">
                        <c:v>0</c:v>
                      </c:pt>
                      <c:pt idx="1216">
                        <c:v>0</c:v>
                      </c:pt>
                      <c:pt idx="1217">
                        <c:v>0</c:v>
                      </c:pt>
                      <c:pt idx="1218">
                        <c:v>0</c:v>
                      </c:pt>
                      <c:pt idx="1219">
                        <c:v>0</c:v>
                      </c:pt>
                      <c:pt idx="1220">
                        <c:v>0</c:v>
                      </c:pt>
                      <c:pt idx="1221">
                        <c:v>0</c:v>
                      </c:pt>
                      <c:pt idx="1222">
                        <c:v>0</c:v>
                      </c:pt>
                      <c:pt idx="1223">
                        <c:v>0</c:v>
                      </c:pt>
                      <c:pt idx="1224">
                        <c:v>0</c:v>
                      </c:pt>
                      <c:pt idx="1225">
                        <c:v>0</c:v>
                      </c:pt>
                      <c:pt idx="1226">
                        <c:v>0</c:v>
                      </c:pt>
                      <c:pt idx="1227">
                        <c:v>0</c:v>
                      </c:pt>
                      <c:pt idx="1228">
                        <c:v>0</c:v>
                      </c:pt>
                      <c:pt idx="1229">
                        <c:v>0</c:v>
                      </c:pt>
                      <c:pt idx="1230">
                        <c:v>0</c:v>
                      </c:pt>
                      <c:pt idx="1231">
                        <c:v>0</c:v>
                      </c:pt>
                      <c:pt idx="1232">
                        <c:v>0</c:v>
                      </c:pt>
                      <c:pt idx="1233">
                        <c:v>0</c:v>
                      </c:pt>
                      <c:pt idx="1234">
                        <c:v>0</c:v>
                      </c:pt>
                      <c:pt idx="1235">
                        <c:v>0</c:v>
                      </c:pt>
                      <c:pt idx="1236">
                        <c:v>0</c:v>
                      </c:pt>
                      <c:pt idx="1237">
                        <c:v>0</c:v>
                      </c:pt>
                      <c:pt idx="1238">
                        <c:v>0</c:v>
                      </c:pt>
                      <c:pt idx="1239">
                        <c:v>0</c:v>
                      </c:pt>
                      <c:pt idx="1240">
                        <c:v>0</c:v>
                      </c:pt>
                      <c:pt idx="1241">
                        <c:v>0</c:v>
                      </c:pt>
                      <c:pt idx="1242">
                        <c:v>0</c:v>
                      </c:pt>
                      <c:pt idx="1243">
                        <c:v>0</c:v>
                      </c:pt>
                      <c:pt idx="1244">
                        <c:v>0</c:v>
                      </c:pt>
                      <c:pt idx="1245">
                        <c:v>0</c:v>
                      </c:pt>
                      <c:pt idx="1246">
                        <c:v>0</c:v>
                      </c:pt>
                      <c:pt idx="1247">
                        <c:v>0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4-AB20-4917-8225-5CFA6125024E}"/>
            </c:ext>
          </c:extLst>
        </c:ser>
        <c:ser>
          <c:idx val="5"/>
          <c:order val="5"/>
          <c:spPr>
            <a:ln w="22225" cap="rnd">
              <a:solidFill>
                <a:schemeClr val="dk1">
                  <a:tint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[177]PE!$G$2:$G$1249</c:f>
              <c:numCache>
                <c:formatCode>General</c:formatCode>
                <c:ptCount val="12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[177]PE!$G$1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[177]PE!$A$2:$A$1249</c15:sqref>
                        </c15:formulaRef>
                      </c:ext>
                    </c:extLst>
                    <c:numCache>
                      <c:formatCode>General</c:formatCode>
                      <c:ptCount val="124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0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0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0</c:v>
                      </c:pt>
                      <c:pt idx="688">
                        <c:v>0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0</c:v>
                      </c:pt>
                      <c:pt idx="692">
                        <c:v>0</c:v>
                      </c:pt>
                      <c:pt idx="693">
                        <c:v>0</c:v>
                      </c:pt>
                      <c:pt idx="694">
                        <c:v>0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0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0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0</c:v>
                      </c:pt>
                      <c:pt idx="772">
                        <c:v>0</c:v>
                      </c:pt>
                      <c:pt idx="773">
                        <c:v>0</c:v>
                      </c:pt>
                      <c:pt idx="774">
                        <c:v>0</c:v>
                      </c:pt>
                      <c:pt idx="775">
                        <c:v>0</c:v>
                      </c:pt>
                      <c:pt idx="776">
                        <c:v>0</c:v>
                      </c:pt>
                      <c:pt idx="777">
                        <c:v>0</c:v>
                      </c:pt>
                      <c:pt idx="778">
                        <c:v>0</c:v>
                      </c:pt>
                      <c:pt idx="779">
                        <c:v>0</c:v>
                      </c:pt>
                      <c:pt idx="780">
                        <c:v>0</c:v>
                      </c:pt>
                      <c:pt idx="781">
                        <c:v>0</c:v>
                      </c:pt>
                      <c:pt idx="782">
                        <c:v>0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  <c:pt idx="801">
                        <c:v>0</c:v>
                      </c:pt>
                      <c:pt idx="802">
                        <c:v>0</c:v>
                      </c:pt>
                      <c:pt idx="803">
                        <c:v>0</c:v>
                      </c:pt>
                      <c:pt idx="804">
                        <c:v>0</c:v>
                      </c:pt>
                      <c:pt idx="805">
                        <c:v>0</c:v>
                      </c:pt>
                      <c:pt idx="806">
                        <c:v>0</c:v>
                      </c:pt>
                      <c:pt idx="807">
                        <c:v>0</c:v>
                      </c:pt>
                      <c:pt idx="808">
                        <c:v>0</c:v>
                      </c:pt>
                      <c:pt idx="809">
                        <c:v>0</c:v>
                      </c:pt>
                      <c:pt idx="810">
                        <c:v>0</c:v>
                      </c:pt>
                      <c:pt idx="811">
                        <c:v>0</c:v>
                      </c:pt>
                      <c:pt idx="812">
                        <c:v>0</c:v>
                      </c:pt>
                      <c:pt idx="813">
                        <c:v>0</c:v>
                      </c:pt>
                      <c:pt idx="814">
                        <c:v>0</c:v>
                      </c:pt>
                      <c:pt idx="815">
                        <c:v>0</c:v>
                      </c:pt>
                      <c:pt idx="816">
                        <c:v>0</c:v>
                      </c:pt>
                      <c:pt idx="817">
                        <c:v>0</c:v>
                      </c:pt>
                      <c:pt idx="818">
                        <c:v>0</c:v>
                      </c:pt>
                      <c:pt idx="819">
                        <c:v>0</c:v>
                      </c:pt>
                      <c:pt idx="820">
                        <c:v>0</c:v>
                      </c:pt>
                      <c:pt idx="821">
                        <c:v>0</c:v>
                      </c:pt>
                      <c:pt idx="822">
                        <c:v>0</c:v>
                      </c:pt>
                      <c:pt idx="823">
                        <c:v>0</c:v>
                      </c:pt>
                      <c:pt idx="824">
                        <c:v>0</c:v>
                      </c:pt>
                      <c:pt idx="825">
                        <c:v>0</c:v>
                      </c:pt>
                      <c:pt idx="826">
                        <c:v>0</c:v>
                      </c:pt>
                      <c:pt idx="827">
                        <c:v>0</c:v>
                      </c:pt>
                      <c:pt idx="828">
                        <c:v>0</c:v>
                      </c:pt>
                      <c:pt idx="829">
                        <c:v>0</c:v>
                      </c:pt>
                      <c:pt idx="830">
                        <c:v>0</c:v>
                      </c:pt>
                      <c:pt idx="831">
                        <c:v>0</c:v>
                      </c:pt>
                      <c:pt idx="832">
                        <c:v>0</c:v>
                      </c:pt>
                      <c:pt idx="833">
                        <c:v>0</c:v>
                      </c:pt>
                      <c:pt idx="834">
                        <c:v>0</c:v>
                      </c:pt>
                      <c:pt idx="835">
                        <c:v>0</c:v>
                      </c:pt>
                      <c:pt idx="836">
                        <c:v>0</c:v>
                      </c:pt>
                      <c:pt idx="837">
                        <c:v>0</c:v>
                      </c:pt>
                      <c:pt idx="838">
                        <c:v>0</c:v>
                      </c:pt>
                      <c:pt idx="839">
                        <c:v>0</c:v>
                      </c:pt>
                      <c:pt idx="840">
                        <c:v>0</c:v>
                      </c:pt>
                      <c:pt idx="841">
                        <c:v>0</c:v>
                      </c:pt>
                      <c:pt idx="842">
                        <c:v>0</c:v>
                      </c:pt>
                      <c:pt idx="843">
                        <c:v>0</c:v>
                      </c:pt>
                      <c:pt idx="844">
                        <c:v>0</c:v>
                      </c:pt>
                      <c:pt idx="845">
                        <c:v>0</c:v>
                      </c:pt>
                      <c:pt idx="846">
                        <c:v>0</c:v>
                      </c:pt>
                      <c:pt idx="847">
                        <c:v>0</c:v>
                      </c:pt>
                      <c:pt idx="848">
                        <c:v>0</c:v>
                      </c:pt>
                      <c:pt idx="849">
                        <c:v>0</c:v>
                      </c:pt>
                      <c:pt idx="850">
                        <c:v>0</c:v>
                      </c:pt>
                      <c:pt idx="851">
                        <c:v>0</c:v>
                      </c:pt>
                      <c:pt idx="852">
                        <c:v>0</c:v>
                      </c:pt>
                      <c:pt idx="853">
                        <c:v>0</c:v>
                      </c:pt>
                      <c:pt idx="854">
                        <c:v>0</c:v>
                      </c:pt>
                      <c:pt idx="855">
                        <c:v>0</c:v>
                      </c:pt>
                      <c:pt idx="856">
                        <c:v>0</c:v>
                      </c:pt>
                      <c:pt idx="857">
                        <c:v>0</c:v>
                      </c:pt>
                      <c:pt idx="858">
                        <c:v>0</c:v>
                      </c:pt>
                      <c:pt idx="859">
                        <c:v>0</c:v>
                      </c:pt>
                      <c:pt idx="860">
                        <c:v>0</c:v>
                      </c:pt>
                      <c:pt idx="861">
                        <c:v>0</c:v>
                      </c:pt>
                      <c:pt idx="862">
                        <c:v>0</c:v>
                      </c:pt>
                      <c:pt idx="863">
                        <c:v>0</c:v>
                      </c:pt>
                      <c:pt idx="864">
                        <c:v>0</c:v>
                      </c:pt>
                      <c:pt idx="865">
                        <c:v>0</c:v>
                      </c:pt>
                      <c:pt idx="866">
                        <c:v>0</c:v>
                      </c:pt>
                      <c:pt idx="867">
                        <c:v>0</c:v>
                      </c:pt>
                      <c:pt idx="868">
                        <c:v>0</c:v>
                      </c:pt>
                      <c:pt idx="869">
                        <c:v>0</c:v>
                      </c:pt>
                      <c:pt idx="870">
                        <c:v>0</c:v>
                      </c:pt>
                      <c:pt idx="871">
                        <c:v>0</c:v>
                      </c:pt>
                      <c:pt idx="872">
                        <c:v>0</c:v>
                      </c:pt>
                      <c:pt idx="873">
                        <c:v>0</c:v>
                      </c:pt>
                      <c:pt idx="874">
                        <c:v>0</c:v>
                      </c:pt>
                      <c:pt idx="875">
                        <c:v>0</c:v>
                      </c:pt>
                      <c:pt idx="876">
                        <c:v>0</c:v>
                      </c:pt>
                      <c:pt idx="877">
                        <c:v>0</c:v>
                      </c:pt>
                      <c:pt idx="878">
                        <c:v>0</c:v>
                      </c:pt>
                      <c:pt idx="879">
                        <c:v>0</c:v>
                      </c:pt>
                      <c:pt idx="880">
                        <c:v>0</c:v>
                      </c:pt>
                      <c:pt idx="881">
                        <c:v>0</c:v>
                      </c:pt>
                      <c:pt idx="882">
                        <c:v>0</c:v>
                      </c:pt>
                      <c:pt idx="883">
                        <c:v>0</c:v>
                      </c:pt>
                      <c:pt idx="884">
                        <c:v>0</c:v>
                      </c:pt>
                      <c:pt idx="885">
                        <c:v>0</c:v>
                      </c:pt>
                      <c:pt idx="886">
                        <c:v>0</c:v>
                      </c:pt>
                      <c:pt idx="887">
                        <c:v>0</c:v>
                      </c:pt>
                      <c:pt idx="888">
                        <c:v>0</c:v>
                      </c:pt>
                      <c:pt idx="889">
                        <c:v>0</c:v>
                      </c:pt>
                      <c:pt idx="890">
                        <c:v>0</c:v>
                      </c:pt>
                      <c:pt idx="891">
                        <c:v>0</c:v>
                      </c:pt>
                      <c:pt idx="892">
                        <c:v>0</c:v>
                      </c:pt>
                      <c:pt idx="893">
                        <c:v>0</c:v>
                      </c:pt>
                      <c:pt idx="894">
                        <c:v>0</c:v>
                      </c:pt>
                      <c:pt idx="895">
                        <c:v>0</c:v>
                      </c:pt>
                      <c:pt idx="896">
                        <c:v>0</c:v>
                      </c:pt>
                      <c:pt idx="897">
                        <c:v>0</c:v>
                      </c:pt>
                      <c:pt idx="898">
                        <c:v>0</c:v>
                      </c:pt>
                      <c:pt idx="899">
                        <c:v>0</c:v>
                      </c:pt>
                      <c:pt idx="900">
                        <c:v>0</c:v>
                      </c:pt>
                      <c:pt idx="901">
                        <c:v>0</c:v>
                      </c:pt>
                      <c:pt idx="902">
                        <c:v>0</c:v>
                      </c:pt>
                      <c:pt idx="903">
                        <c:v>0</c:v>
                      </c:pt>
                      <c:pt idx="904">
                        <c:v>0</c:v>
                      </c:pt>
                      <c:pt idx="905">
                        <c:v>0</c:v>
                      </c:pt>
                      <c:pt idx="906">
                        <c:v>0</c:v>
                      </c:pt>
                      <c:pt idx="907">
                        <c:v>0</c:v>
                      </c:pt>
                      <c:pt idx="908">
                        <c:v>0</c:v>
                      </c:pt>
                      <c:pt idx="909">
                        <c:v>0</c:v>
                      </c:pt>
                      <c:pt idx="910">
                        <c:v>0</c:v>
                      </c:pt>
                      <c:pt idx="911">
                        <c:v>0</c:v>
                      </c:pt>
                      <c:pt idx="912">
                        <c:v>0</c:v>
                      </c:pt>
                      <c:pt idx="913">
                        <c:v>0</c:v>
                      </c:pt>
                      <c:pt idx="914">
                        <c:v>0</c:v>
                      </c:pt>
                      <c:pt idx="915">
                        <c:v>0</c:v>
                      </c:pt>
                      <c:pt idx="916">
                        <c:v>0</c:v>
                      </c:pt>
                      <c:pt idx="917">
                        <c:v>0</c:v>
                      </c:pt>
                      <c:pt idx="918">
                        <c:v>0</c:v>
                      </c:pt>
                      <c:pt idx="919">
                        <c:v>0</c:v>
                      </c:pt>
                      <c:pt idx="920">
                        <c:v>0</c:v>
                      </c:pt>
                      <c:pt idx="921">
                        <c:v>0</c:v>
                      </c:pt>
                      <c:pt idx="922">
                        <c:v>0</c:v>
                      </c:pt>
                      <c:pt idx="923">
                        <c:v>0</c:v>
                      </c:pt>
                      <c:pt idx="924">
                        <c:v>0</c:v>
                      </c:pt>
                      <c:pt idx="925">
                        <c:v>0</c:v>
                      </c:pt>
                      <c:pt idx="926">
                        <c:v>0</c:v>
                      </c:pt>
                      <c:pt idx="927">
                        <c:v>0</c:v>
                      </c:pt>
                      <c:pt idx="928">
                        <c:v>0</c:v>
                      </c:pt>
                      <c:pt idx="929">
                        <c:v>0</c:v>
                      </c:pt>
                      <c:pt idx="930">
                        <c:v>0</c:v>
                      </c:pt>
                      <c:pt idx="931">
                        <c:v>0</c:v>
                      </c:pt>
                      <c:pt idx="932">
                        <c:v>0</c:v>
                      </c:pt>
                      <c:pt idx="933">
                        <c:v>0</c:v>
                      </c:pt>
                      <c:pt idx="934">
                        <c:v>0</c:v>
                      </c:pt>
                      <c:pt idx="935">
                        <c:v>0</c:v>
                      </c:pt>
                      <c:pt idx="936">
                        <c:v>0</c:v>
                      </c:pt>
                      <c:pt idx="937">
                        <c:v>0</c:v>
                      </c:pt>
                      <c:pt idx="938">
                        <c:v>0</c:v>
                      </c:pt>
                      <c:pt idx="939">
                        <c:v>0</c:v>
                      </c:pt>
                      <c:pt idx="940">
                        <c:v>0</c:v>
                      </c:pt>
                      <c:pt idx="941">
                        <c:v>0</c:v>
                      </c:pt>
                      <c:pt idx="942">
                        <c:v>0</c:v>
                      </c:pt>
                      <c:pt idx="943">
                        <c:v>0</c:v>
                      </c:pt>
                      <c:pt idx="944">
                        <c:v>0</c:v>
                      </c:pt>
                      <c:pt idx="945">
                        <c:v>0</c:v>
                      </c:pt>
                      <c:pt idx="946">
                        <c:v>0</c:v>
                      </c:pt>
                      <c:pt idx="947">
                        <c:v>0</c:v>
                      </c:pt>
                      <c:pt idx="948">
                        <c:v>0</c:v>
                      </c:pt>
                      <c:pt idx="949">
                        <c:v>0</c:v>
                      </c:pt>
                      <c:pt idx="950">
                        <c:v>0</c:v>
                      </c:pt>
                      <c:pt idx="951">
                        <c:v>0</c:v>
                      </c:pt>
                      <c:pt idx="952">
                        <c:v>0</c:v>
                      </c:pt>
                      <c:pt idx="953">
                        <c:v>0</c:v>
                      </c:pt>
                      <c:pt idx="954">
                        <c:v>0</c:v>
                      </c:pt>
                      <c:pt idx="955">
                        <c:v>0</c:v>
                      </c:pt>
                      <c:pt idx="956">
                        <c:v>0</c:v>
                      </c:pt>
                      <c:pt idx="957">
                        <c:v>0</c:v>
                      </c:pt>
                      <c:pt idx="958">
                        <c:v>0</c:v>
                      </c:pt>
                      <c:pt idx="959">
                        <c:v>0</c:v>
                      </c:pt>
                      <c:pt idx="960">
                        <c:v>0</c:v>
                      </c:pt>
                      <c:pt idx="961">
                        <c:v>0</c:v>
                      </c:pt>
                      <c:pt idx="962">
                        <c:v>0</c:v>
                      </c:pt>
                      <c:pt idx="963">
                        <c:v>0</c:v>
                      </c:pt>
                      <c:pt idx="964">
                        <c:v>0</c:v>
                      </c:pt>
                      <c:pt idx="965">
                        <c:v>0</c:v>
                      </c:pt>
                      <c:pt idx="966">
                        <c:v>0</c:v>
                      </c:pt>
                      <c:pt idx="967">
                        <c:v>0</c:v>
                      </c:pt>
                      <c:pt idx="968">
                        <c:v>0</c:v>
                      </c:pt>
                      <c:pt idx="969">
                        <c:v>0</c:v>
                      </c:pt>
                      <c:pt idx="970">
                        <c:v>0</c:v>
                      </c:pt>
                      <c:pt idx="971">
                        <c:v>0</c:v>
                      </c:pt>
                      <c:pt idx="972">
                        <c:v>0</c:v>
                      </c:pt>
                      <c:pt idx="973">
                        <c:v>0</c:v>
                      </c:pt>
                      <c:pt idx="974">
                        <c:v>0</c:v>
                      </c:pt>
                      <c:pt idx="975">
                        <c:v>0</c:v>
                      </c:pt>
                      <c:pt idx="976">
                        <c:v>0</c:v>
                      </c:pt>
                      <c:pt idx="977">
                        <c:v>0</c:v>
                      </c:pt>
                      <c:pt idx="978">
                        <c:v>0</c:v>
                      </c:pt>
                      <c:pt idx="979">
                        <c:v>0</c:v>
                      </c:pt>
                      <c:pt idx="980">
                        <c:v>0</c:v>
                      </c:pt>
                      <c:pt idx="981">
                        <c:v>0</c:v>
                      </c:pt>
                      <c:pt idx="982">
                        <c:v>0</c:v>
                      </c:pt>
                      <c:pt idx="983">
                        <c:v>0</c:v>
                      </c:pt>
                      <c:pt idx="984">
                        <c:v>0</c:v>
                      </c:pt>
                      <c:pt idx="985">
                        <c:v>0</c:v>
                      </c:pt>
                      <c:pt idx="986">
                        <c:v>0</c:v>
                      </c:pt>
                      <c:pt idx="987">
                        <c:v>0</c:v>
                      </c:pt>
                      <c:pt idx="988">
                        <c:v>0</c:v>
                      </c:pt>
                      <c:pt idx="989">
                        <c:v>0</c:v>
                      </c:pt>
                      <c:pt idx="990">
                        <c:v>0</c:v>
                      </c:pt>
                      <c:pt idx="991">
                        <c:v>0</c:v>
                      </c:pt>
                      <c:pt idx="992">
                        <c:v>0</c:v>
                      </c:pt>
                      <c:pt idx="993">
                        <c:v>0</c:v>
                      </c:pt>
                      <c:pt idx="994">
                        <c:v>0</c:v>
                      </c:pt>
                      <c:pt idx="995">
                        <c:v>0</c:v>
                      </c:pt>
                      <c:pt idx="996">
                        <c:v>0</c:v>
                      </c:pt>
                      <c:pt idx="997">
                        <c:v>0</c:v>
                      </c:pt>
                      <c:pt idx="998">
                        <c:v>0</c:v>
                      </c:pt>
                      <c:pt idx="999">
                        <c:v>0</c:v>
                      </c:pt>
                      <c:pt idx="1000">
                        <c:v>0</c:v>
                      </c:pt>
                      <c:pt idx="1001">
                        <c:v>0</c:v>
                      </c:pt>
                      <c:pt idx="1002">
                        <c:v>0</c:v>
                      </c:pt>
                      <c:pt idx="1003">
                        <c:v>0</c:v>
                      </c:pt>
                      <c:pt idx="1004">
                        <c:v>0</c:v>
                      </c:pt>
                      <c:pt idx="1005">
                        <c:v>0</c:v>
                      </c:pt>
                      <c:pt idx="1006">
                        <c:v>0</c:v>
                      </c:pt>
                      <c:pt idx="1007">
                        <c:v>0</c:v>
                      </c:pt>
                      <c:pt idx="1008">
                        <c:v>0</c:v>
                      </c:pt>
                      <c:pt idx="1009">
                        <c:v>0</c:v>
                      </c:pt>
                      <c:pt idx="1010">
                        <c:v>0</c:v>
                      </c:pt>
                      <c:pt idx="1011">
                        <c:v>0</c:v>
                      </c:pt>
                      <c:pt idx="1012">
                        <c:v>0</c:v>
                      </c:pt>
                      <c:pt idx="1013">
                        <c:v>0</c:v>
                      </c:pt>
                      <c:pt idx="1014">
                        <c:v>0</c:v>
                      </c:pt>
                      <c:pt idx="1015">
                        <c:v>0</c:v>
                      </c:pt>
                      <c:pt idx="1016">
                        <c:v>0</c:v>
                      </c:pt>
                      <c:pt idx="1017">
                        <c:v>0</c:v>
                      </c:pt>
                      <c:pt idx="1018">
                        <c:v>0</c:v>
                      </c:pt>
                      <c:pt idx="1019">
                        <c:v>0</c:v>
                      </c:pt>
                      <c:pt idx="1020">
                        <c:v>0</c:v>
                      </c:pt>
                      <c:pt idx="1021">
                        <c:v>0</c:v>
                      </c:pt>
                      <c:pt idx="1022">
                        <c:v>0</c:v>
                      </c:pt>
                      <c:pt idx="1023">
                        <c:v>0</c:v>
                      </c:pt>
                      <c:pt idx="1024">
                        <c:v>0</c:v>
                      </c:pt>
                      <c:pt idx="1025">
                        <c:v>0</c:v>
                      </c:pt>
                      <c:pt idx="1026">
                        <c:v>0</c:v>
                      </c:pt>
                      <c:pt idx="1027">
                        <c:v>0</c:v>
                      </c:pt>
                      <c:pt idx="1028">
                        <c:v>0</c:v>
                      </c:pt>
                      <c:pt idx="1029">
                        <c:v>0</c:v>
                      </c:pt>
                      <c:pt idx="1030">
                        <c:v>0</c:v>
                      </c:pt>
                      <c:pt idx="1031">
                        <c:v>0</c:v>
                      </c:pt>
                      <c:pt idx="1032">
                        <c:v>0</c:v>
                      </c:pt>
                      <c:pt idx="1033">
                        <c:v>0</c:v>
                      </c:pt>
                      <c:pt idx="1034">
                        <c:v>0</c:v>
                      </c:pt>
                      <c:pt idx="1035">
                        <c:v>0</c:v>
                      </c:pt>
                      <c:pt idx="1036">
                        <c:v>0</c:v>
                      </c:pt>
                      <c:pt idx="1037">
                        <c:v>0</c:v>
                      </c:pt>
                      <c:pt idx="1038">
                        <c:v>0</c:v>
                      </c:pt>
                      <c:pt idx="1039">
                        <c:v>0</c:v>
                      </c:pt>
                      <c:pt idx="1040">
                        <c:v>0</c:v>
                      </c:pt>
                      <c:pt idx="1041">
                        <c:v>0</c:v>
                      </c:pt>
                      <c:pt idx="1042">
                        <c:v>0</c:v>
                      </c:pt>
                      <c:pt idx="1043">
                        <c:v>0</c:v>
                      </c:pt>
                      <c:pt idx="1044">
                        <c:v>0</c:v>
                      </c:pt>
                      <c:pt idx="1045">
                        <c:v>0</c:v>
                      </c:pt>
                      <c:pt idx="1046">
                        <c:v>0</c:v>
                      </c:pt>
                      <c:pt idx="1047">
                        <c:v>0</c:v>
                      </c:pt>
                      <c:pt idx="1048">
                        <c:v>0</c:v>
                      </c:pt>
                      <c:pt idx="1049">
                        <c:v>0</c:v>
                      </c:pt>
                      <c:pt idx="1050">
                        <c:v>0</c:v>
                      </c:pt>
                      <c:pt idx="1051">
                        <c:v>0</c:v>
                      </c:pt>
                      <c:pt idx="1052">
                        <c:v>0</c:v>
                      </c:pt>
                      <c:pt idx="1053">
                        <c:v>0</c:v>
                      </c:pt>
                      <c:pt idx="1054">
                        <c:v>0</c:v>
                      </c:pt>
                      <c:pt idx="1055">
                        <c:v>0</c:v>
                      </c:pt>
                      <c:pt idx="1056">
                        <c:v>0</c:v>
                      </c:pt>
                      <c:pt idx="1057">
                        <c:v>0</c:v>
                      </c:pt>
                      <c:pt idx="1058">
                        <c:v>0</c:v>
                      </c:pt>
                      <c:pt idx="1059">
                        <c:v>0</c:v>
                      </c:pt>
                      <c:pt idx="1060">
                        <c:v>0</c:v>
                      </c:pt>
                      <c:pt idx="1061">
                        <c:v>0</c:v>
                      </c:pt>
                      <c:pt idx="1062">
                        <c:v>0</c:v>
                      </c:pt>
                      <c:pt idx="1063">
                        <c:v>0</c:v>
                      </c:pt>
                      <c:pt idx="1064">
                        <c:v>0</c:v>
                      </c:pt>
                      <c:pt idx="1065">
                        <c:v>0</c:v>
                      </c:pt>
                      <c:pt idx="1066">
                        <c:v>0</c:v>
                      </c:pt>
                      <c:pt idx="1067">
                        <c:v>0</c:v>
                      </c:pt>
                      <c:pt idx="1068">
                        <c:v>0</c:v>
                      </c:pt>
                      <c:pt idx="1069">
                        <c:v>0</c:v>
                      </c:pt>
                      <c:pt idx="1070">
                        <c:v>0</c:v>
                      </c:pt>
                      <c:pt idx="1071">
                        <c:v>0</c:v>
                      </c:pt>
                      <c:pt idx="1072">
                        <c:v>0</c:v>
                      </c:pt>
                      <c:pt idx="1073">
                        <c:v>0</c:v>
                      </c:pt>
                      <c:pt idx="1074">
                        <c:v>0</c:v>
                      </c:pt>
                      <c:pt idx="1075">
                        <c:v>0</c:v>
                      </c:pt>
                      <c:pt idx="1076">
                        <c:v>0</c:v>
                      </c:pt>
                      <c:pt idx="1077">
                        <c:v>0</c:v>
                      </c:pt>
                      <c:pt idx="1078">
                        <c:v>0</c:v>
                      </c:pt>
                      <c:pt idx="1079">
                        <c:v>0</c:v>
                      </c:pt>
                      <c:pt idx="1080">
                        <c:v>0</c:v>
                      </c:pt>
                      <c:pt idx="1081">
                        <c:v>0</c:v>
                      </c:pt>
                      <c:pt idx="1082">
                        <c:v>0</c:v>
                      </c:pt>
                      <c:pt idx="1083">
                        <c:v>0</c:v>
                      </c:pt>
                      <c:pt idx="1084">
                        <c:v>0</c:v>
                      </c:pt>
                      <c:pt idx="1085">
                        <c:v>0</c:v>
                      </c:pt>
                      <c:pt idx="1086">
                        <c:v>0</c:v>
                      </c:pt>
                      <c:pt idx="1087">
                        <c:v>0</c:v>
                      </c:pt>
                      <c:pt idx="1088">
                        <c:v>0</c:v>
                      </c:pt>
                      <c:pt idx="1089">
                        <c:v>0</c:v>
                      </c:pt>
                      <c:pt idx="1090">
                        <c:v>0</c:v>
                      </c:pt>
                      <c:pt idx="1091">
                        <c:v>0</c:v>
                      </c:pt>
                      <c:pt idx="1092">
                        <c:v>0</c:v>
                      </c:pt>
                      <c:pt idx="1093">
                        <c:v>0</c:v>
                      </c:pt>
                      <c:pt idx="1094">
                        <c:v>0</c:v>
                      </c:pt>
                      <c:pt idx="1095">
                        <c:v>0</c:v>
                      </c:pt>
                      <c:pt idx="1096">
                        <c:v>0</c:v>
                      </c:pt>
                      <c:pt idx="1097">
                        <c:v>0</c:v>
                      </c:pt>
                      <c:pt idx="1098">
                        <c:v>0</c:v>
                      </c:pt>
                      <c:pt idx="1099">
                        <c:v>0</c:v>
                      </c:pt>
                      <c:pt idx="1100">
                        <c:v>0</c:v>
                      </c:pt>
                      <c:pt idx="1101">
                        <c:v>0</c:v>
                      </c:pt>
                      <c:pt idx="1102">
                        <c:v>0</c:v>
                      </c:pt>
                      <c:pt idx="1103">
                        <c:v>0</c:v>
                      </c:pt>
                      <c:pt idx="1104">
                        <c:v>0</c:v>
                      </c:pt>
                      <c:pt idx="1105">
                        <c:v>0</c:v>
                      </c:pt>
                      <c:pt idx="1106">
                        <c:v>0</c:v>
                      </c:pt>
                      <c:pt idx="1107">
                        <c:v>0</c:v>
                      </c:pt>
                      <c:pt idx="1108">
                        <c:v>0</c:v>
                      </c:pt>
                      <c:pt idx="1109">
                        <c:v>0</c:v>
                      </c:pt>
                      <c:pt idx="1110">
                        <c:v>0</c:v>
                      </c:pt>
                      <c:pt idx="1111">
                        <c:v>0</c:v>
                      </c:pt>
                      <c:pt idx="1112">
                        <c:v>0</c:v>
                      </c:pt>
                      <c:pt idx="1113">
                        <c:v>0</c:v>
                      </c:pt>
                      <c:pt idx="1114">
                        <c:v>0</c:v>
                      </c:pt>
                      <c:pt idx="1115">
                        <c:v>0</c:v>
                      </c:pt>
                      <c:pt idx="1116">
                        <c:v>0</c:v>
                      </c:pt>
                      <c:pt idx="1117">
                        <c:v>0</c:v>
                      </c:pt>
                      <c:pt idx="1118">
                        <c:v>0</c:v>
                      </c:pt>
                      <c:pt idx="1119">
                        <c:v>0</c:v>
                      </c:pt>
                      <c:pt idx="1120">
                        <c:v>0</c:v>
                      </c:pt>
                      <c:pt idx="1121">
                        <c:v>0</c:v>
                      </c:pt>
                      <c:pt idx="1122">
                        <c:v>0</c:v>
                      </c:pt>
                      <c:pt idx="1123">
                        <c:v>0</c:v>
                      </c:pt>
                      <c:pt idx="1124">
                        <c:v>0</c:v>
                      </c:pt>
                      <c:pt idx="1125">
                        <c:v>0</c:v>
                      </c:pt>
                      <c:pt idx="1126">
                        <c:v>0</c:v>
                      </c:pt>
                      <c:pt idx="1127">
                        <c:v>0</c:v>
                      </c:pt>
                      <c:pt idx="1128">
                        <c:v>0</c:v>
                      </c:pt>
                      <c:pt idx="1129">
                        <c:v>0</c:v>
                      </c:pt>
                      <c:pt idx="1130">
                        <c:v>0</c:v>
                      </c:pt>
                      <c:pt idx="1131">
                        <c:v>0</c:v>
                      </c:pt>
                      <c:pt idx="1132">
                        <c:v>0</c:v>
                      </c:pt>
                      <c:pt idx="1133">
                        <c:v>0</c:v>
                      </c:pt>
                      <c:pt idx="1134">
                        <c:v>0</c:v>
                      </c:pt>
                      <c:pt idx="1135">
                        <c:v>0</c:v>
                      </c:pt>
                      <c:pt idx="1136">
                        <c:v>0</c:v>
                      </c:pt>
                      <c:pt idx="1137">
                        <c:v>0</c:v>
                      </c:pt>
                      <c:pt idx="1138">
                        <c:v>0</c:v>
                      </c:pt>
                      <c:pt idx="1139">
                        <c:v>0</c:v>
                      </c:pt>
                      <c:pt idx="1140">
                        <c:v>0</c:v>
                      </c:pt>
                      <c:pt idx="1141">
                        <c:v>0</c:v>
                      </c:pt>
                      <c:pt idx="1142">
                        <c:v>0</c:v>
                      </c:pt>
                      <c:pt idx="1143">
                        <c:v>0</c:v>
                      </c:pt>
                      <c:pt idx="1144">
                        <c:v>0</c:v>
                      </c:pt>
                      <c:pt idx="1145">
                        <c:v>0</c:v>
                      </c:pt>
                      <c:pt idx="1146">
                        <c:v>0</c:v>
                      </c:pt>
                      <c:pt idx="1147">
                        <c:v>0</c:v>
                      </c:pt>
                      <c:pt idx="1148">
                        <c:v>0</c:v>
                      </c:pt>
                      <c:pt idx="1149">
                        <c:v>0</c:v>
                      </c:pt>
                      <c:pt idx="1150">
                        <c:v>0</c:v>
                      </c:pt>
                      <c:pt idx="1151">
                        <c:v>0</c:v>
                      </c:pt>
                      <c:pt idx="1152">
                        <c:v>0</c:v>
                      </c:pt>
                      <c:pt idx="1153">
                        <c:v>0</c:v>
                      </c:pt>
                      <c:pt idx="1154">
                        <c:v>0</c:v>
                      </c:pt>
                      <c:pt idx="1155">
                        <c:v>0</c:v>
                      </c:pt>
                      <c:pt idx="1156">
                        <c:v>0</c:v>
                      </c:pt>
                      <c:pt idx="1157">
                        <c:v>0</c:v>
                      </c:pt>
                      <c:pt idx="1158">
                        <c:v>0</c:v>
                      </c:pt>
                      <c:pt idx="1159">
                        <c:v>0</c:v>
                      </c:pt>
                      <c:pt idx="1160">
                        <c:v>0</c:v>
                      </c:pt>
                      <c:pt idx="1161">
                        <c:v>0</c:v>
                      </c:pt>
                      <c:pt idx="1162">
                        <c:v>0</c:v>
                      </c:pt>
                      <c:pt idx="1163">
                        <c:v>0</c:v>
                      </c:pt>
                      <c:pt idx="1164">
                        <c:v>0</c:v>
                      </c:pt>
                      <c:pt idx="1165">
                        <c:v>0</c:v>
                      </c:pt>
                      <c:pt idx="1166">
                        <c:v>0</c:v>
                      </c:pt>
                      <c:pt idx="1167">
                        <c:v>0</c:v>
                      </c:pt>
                      <c:pt idx="1168">
                        <c:v>0</c:v>
                      </c:pt>
                      <c:pt idx="1169">
                        <c:v>0</c:v>
                      </c:pt>
                      <c:pt idx="1170">
                        <c:v>0</c:v>
                      </c:pt>
                      <c:pt idx="1171">
                        <c:v>0</c:v>
                      </c:pt>
                      <c:pt idx="1172">
                        <c:v>0</c:v>
                      </c:pt>
                      <c:pt idx="1173">
                        <c:v>0</c:v>
                      </c:pt>
                      <c:pt idx="1174">
                        <c:v>0</c:v>
                      </c:pt>
                      <c:pt idx="1175">
                        <c:v>0</c:v>
                      </c:pt>
                      <c:pt idx="1176">
                        <c:v>0</c:v>
                      </c:pt>
                      <c:pt idx="1177">
                        <c:v>0</c:v>
                      </c:pt>
                      <c:pt idx="1178">
                        <c:v>0</c:v>
                      </c:pt>
                      <c:pt idx="1179">
                        <c:v>0</c:v>
                      </c:pt>
                      <c:pt idx="1180">
                        <c:v>0</c:v>
                      </c:pt>
                      <c:pt idx="1181">
                        <c:v>0</c:v>
                      </c:pt>
                      <c:pt idx="1182">
                        <c:v>0</c:v>
                      </c:pt>
                      <c:pt idx="1183">
                        <c:v>0</c:v>
                      </c:pt>
                      <c:pt idx="1184">
                        <c:v>0</c:v>
                      </c:pt>
                      <c:pt idx="1185">
                        <c:v>0</c:v>
                      </c:pt>
                      <c:pt idx="1186">
                        <c:v>0</c:v>
                      </c:pt>
                      <c:pt idx="1187">
                        <c:v>0</c:v>
                      </c:pt>
                      <c:pt idx="1188">
                        <c:v>0</c:v>
                      </c:pt>
                      <c:pt idx="1189">
                        <c:v>0</c:v>
                      </c:pt>
                      <c:pt idx="1190">
                        <c:v>0</c:v>
                      </c:pt>
                      <c:pt idx="1191">
                        <c:v>0</c:v>
                      </c:pt>
                      <c:pt idx="1192">
                        <c:v>0</c:v>
                      </c:pt>
                      <c:pt idx="1193">
                        <c:v>0</c:v>
                      </c:pt>
                      <c:pt idx="1194">
                        <c:v>0</c:v>
                      </c:pt>
                      <c:pt idx="1195">
                        <c:v>0</c:v>
                      </c:pt>
                      <c:pt idx="1196">
                        <c:v>0</c:v>
                      </c:pt>
                      <c:pt idx="1197">
                        <c:v>0</c:v>
                      </c:pt>
                      <c:pt idx="1198">
                        <c:v>0</c:v>
                      </c:pt>
                      <c:pt idx="1199">
                        <c:v>0</c:v>
                      </c:pt>
                      <c:pt idx="1200">
                        <c:v>0</c:v>
                      </c:pt>
                      <c:pt idx="1201">
                        <c:v>0</c:v>
                      </c:pt>
                      <c:pt idx="1202">
                        <c:v>0</c:v>
                      </c:pt>
                      <c:pt idx="1203">
                        <c:v>0</c:v>
                      </c:pt>
                      <c:pt idx="1204">
                        <c:v>0</c:v>
                      </c:pt>
                      <c:pt idx="1205">
                        <c:v>0</c:v>
                      </c:pt>
                      <c:pt idx="1206">
                        <c:v>0</c:v>
                      </c:pt>
                      <c:pt idx="1207">
                        <c:v>0</c:v>
                      </c:pt>
                      <c:pt idx="1208">
                        <c:v>0</c:v>
                      </c:pt>
                      <c:pt idx="1209">
                        <c:v>0</c:v>
                      </c:pt>
                      <c:pt idx="1210">
                        <c:v>0</c:v>
                      </c:pt>
                      <c:pt idx="1211">
                        <c:v>0</c:v>
                      </c:pt>
                      <c:pt idx="1212">
                        <c:v>0</c:v>
                      </c:pt>
                      <c:pt idx="1213">
                        <c:v>0</c:v>
                      </c:pt>
                      <c:pt idx="1214">
                        <c:v>0</c:v>
                      </c:pt>
                      <c:pt idx="1215">
                        <c:v>0</c:v>
                      </c:pt>
                      <c:pt idx="1216">
                        <c:v>0</c:v>
                      </c:pt>
                      <c:pt idx="1217">
                        <c:v>0</c:v>
                      </c:pt>
                      <c:pt idx="1218">
                        <c:v>0</c:v>
                      </c:pt>
                      <c:pt idx="1219">
                        <c:v>0</c:v>
                      </c:pt>
                      <c:pt idx="1220">
                        <c:v>0</c:v>
                      </c:pt>
                      <c:pt idx="1221">
                        <c:v>0</c:v>
                      </c:pt>
                      <c:pt idx="1222">
                        <c:v>0</c:v>
                      </c:pt>
                      <c:pt idx="1223">
                        <c:v>0</c:v>
                      </c:pt>
                      <c:pt idx="1224">
                        <c:v>0</c:v>
                      </c:pt>
                      <c:pt idx="1225">
                        <c:v>0</c:v>
                      </c:pt>
                      <c:pt idx="1226">
                        <c:v>0</c:v>
                      </c:pt>
                      <c:pt idx="1227">
                        <c:v>0</c:v>
                      </c:pt>
                      <c:pt idx="1228">
                        <c:v>0</c:v>
                      </c:pt>
                      <c:pt idx="1229">
                        <c:v>0</c:v>
                      </c:pt>
                      <c:pt idx="1230">
                        <c:v>0</c:v>
                      </c:pt>
                      <c:pt idx="1231">
                        <c:v>0</c:v>
                      </c:pt>
                      <c:pt idx="1232">
                        <c:v>0</c:v>
                      </c:pt>
                      <c:pt idx="1233">
                        <c:v>0</c:v>
                      </c:pt>
                      <c:pt idx="1234">
                        <c:v>0</c:v>
                      </c:pt>
                      <c:pt idx="1235">
                        <c:v>0</c:v>
                      </c:pt>
                      <c:pt idx="1236">
                        <c:v>0</c:v>
                      </c:pt>
                      <c:pt idx="1237">
                        <c:v>0</c:v>
                      </c:pt>
                      <c:pt idx="1238">
                        <c:v>0</c:v>
                      </c:pt>
                      <c:pt idx="1239">
                        <c:v>0</c:v>
                      </c:pt>
                      <c:pt idx="1240">
                        <c:v>0</c:v>
                      </c:pt>
                      <c:pt idx="1241">
                        <c:v>0</c:v>
                      </c:pt>
                      <c:pt idx="1242">
                        <c:v>0</c:v>
                      </c:pt>
                      <c:pt idx="1243">
                        <c:v>0</c:v>
                      </c:pt>
                      <c:pt idx="1244">
                        <c:v>0</c:v>
                      </c:pt>
                      <c:pt idx="1245">
                        <c:v>0</c:v>
                      </c:pt>
                      <c:pt idx="1246">
                        <c:v>0</c:v>
                      </c:pt>
                      <c:pt idx="1247">
                        <c:v>0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5-AB20-4917-8225-5CFA61250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7306192"/>
        <c:axId val="417307152"/>
      </c:lineChart>
      <c:catAx>
        <c:axId val="417306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417307152"/>
        <c:crosses val="autoZero"/>
        <c:auto val="1"/>
        <c:lblAlgn val="ctr"/>
        <c:lblOffset val="100"/>
        <c:noMultiLvlLbl val="0"/>
      </c:catAx>
      <c:valAx>
        <c:axId val="417307152"/>
        <c:scaling>
          <c:orientation val="minMax"/>
          <c:max val="30"/>
          <c:min val="1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417306192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5844628028053866E-2"/>
          <c:y val="3.5332574119949375E-2"/>
          <c:w val="0.87910983463132686"/>
          <c:h val="0.8438787734373332"/>
        </c:manualLayout>
      </c:layout>
      <c:lineChart>
        <c:grouping val="standard"/>
        <c:varyColors val="0"/>
        <c:ser>
          <c:idx val="0"/>
          <c:order val="0"/>
          <c:tx>
            <c:strRef>
              <c:f>Revenue!$A$249</c:f>
              <c:strCache>
                <c:ptCount val="1"/>
                <c:pt idx="0">
                  <c:v>Global IT Revenue YoY% growth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Revenue!$AP$1:$AZ$1</c:f>
              <c:strCache>
                <c:ptCount val="11"/>
                <c:pt idx="0">
                  <c:v>4Q22</c:v>
                </c:pt>
                <c:pt idx="1">
                  <c:v>1Q23</c:v>
                </c:pt>
                <c:pt idx="2">
                  <c:v>2Q23</c:v>
                </c:pt>
                <c:pt idx="3">
                  <c:v>3Q23</c:v>
                </c:pt>
                <c:pt idx="4">
                  <c:v>4Q23</c:v>
                </c:pt>
                <c:pt idx="5">
                  <c:v>1Q24</c:v>
                </c:pt>
                <c:pt idx="6">
                  <c:v>2Q24</c:v>
                </c:pt>
                <c:pt idx="7">
                  <c:v>3Q24</c:v>
                </c:pt>
                <c:pt idx="8">
                  <c:v>4Q24</c:v>
                </c:pt>
                <c:pt idx="9">
                  <c:v>1Q25</c:v>
                </c:pt>
                <c:pt idx="10">
                  <c:v>2Q25</c:v>
                </c:pt>
              </c:strCache>
            </c:strRef>
          </c:cat>
          <c:val>
            <c:numRef>
              <c:f>Revenue!$AP$249:$AZ$249</c:f>
              <c:numCache>
                <c:formatCode>0.00%</c:formatCode>
                <c:ptCount val="11"/>
                <c:pt idx="0">
                  <c:v>0.31939752238606323</c:v>
                </c:pt>
                <c:pt idx="1">
                  <c:v>0.32262359453680478</c:v>
                </c:pt>
                <c:pt idx="2">
                  <c:v>0.28343346516742352</c:v>
                </c:pt>
                <c:pt idx="3">
                  <c:v>0.31746826206809398</c:v>
                </c:pt>
                <c:pt idx="4">
                  <c:v>0.22370220429875465</c:v>
                </c:pt>
                <c:pt idx="5">
                  <c:v>0.28710353156272461</c:v>
                </c:pt>
                <c:pt idx="6">
                  <c:v>0.30829617655883568</c:v>
                </c:pt>
                <c:pt idx="7">
                  <c:v>0.26504141272073745</c:v>
                </c:pt>
                <c:pt idx="8">
                  <c:v>0.24362053437406161</c:v>
                </c:pt>
                <c:pt idx="9">
                  <c:v>0.16959565652236042</c:v>
                </c:pt>
                <c:pt idx="10">
                  <c:v>0.12001584367573281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EC-4EA8-BC02-866F480F3C3B}"/>
            </c:ext>
          </c:extLst>
        </c:ser>
        <c:ser>
          <c:idx val="1"/>
          <c:order val="1"/>
          <c:tx>
            <c:v>Signed revenue TTM YoY% growth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Revenue!$AP$1:$AZ$1</c:f>
              <c:strCache>
                <c:ptCount val="11"/>
                <c:pt idx="0">
                  <c:v>4Q22</c:v>
                </c:pt>
                <c:pt idx="1">
                  <c:v>1Q23</c:v>
                </c:pt>
                <c:pt idx="2">
                  <c:v>2Q23</c:v>
                </c:pt>
                <c:pt idx="3">
                  <c:v>3Q23</c:v>
                </c:pt>
                <c:pt idx="4">
                  <c:v>4Q23</c:v>
                </c:pt>
                <c:pt idx="5">
                  <c:v>1Q24</c:v>
                </c:pt>
                <c:pt idx="6">
                  <c:v>2Q24</c:v>
                </c:pt>
                <c:pt idx="7">
                  <c:v>3Q24</c:v>
                </c:pt>
                <c:pt idx="8">
                  <c:v>4Q24</c:v>
                </c:pt>
                <c:pt idx="9">
                  <c:v>1Q25</c:v>
                </c:pt>
                <c:pt idx="10">
                  <c:v>2Q25</c:v>
                </c:pt>
              </c:strCache>
            </c:strRef>
          </c:cat>
          <c:val>
            <c:numRef>
              <c:f>Revenue!$AP$257:$AZ$257</c:f>
              <c:numCache>
                <c:formatCode>0.0%</c:formatCode>
                <c:ptCount val="11"/>
                <c:pt idx="0">
                  <c:v>0.38948587606975105</c:v>
                </c:pt>
                <c:pt idx="1">
                  <c:v>0.3640731128168313</c:v>
                </c:pt>
                <c:pt idx="2">
                  <c:v>0.32044491525423724</c:v>
                </c:pt>
                <c:pt idx="3">
                  <c:v>0.3052270516561717</c:v>
                </c:pt>
                <c:pt idx="4">
                  <c:v>0.37616930628878387</c:v>
                </c:pt>
                <c:pt idx="5">
                  <c:v>0.18897255282973036</c:v>
                </c:pt>
                <c:pt idx="6">
                  <c:v>0.33858804653028485</c:v>
                </c:pt>
                <c:pt idx="7">
                  <c:v>0.33900764855854093</c:v>
                </c:pt>
                <c:pt idx="8">
                  <c:v>0.13039674260524281</c:v>
                </c:pt>
                <c:pt idx="9">
                  <c:v>0.20119169220292821</c:v>
                </c:pt>
                <c:pt idx="10">
                  <c:v>4.3720595726828737E-2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EC-4EA8-BC02-866F480F3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6978367"/>
        <c:axId val="1206974527"/>
      </c:lineChart>
      <c:catAx>
        <c:axId val="1206978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974527"/>
        <c:crosses val="autoZero"/>
        <c:auto val="1"/>
        <c:lblAlgn val="ctr"/>
        <c:lblOffset val="100"/>
        <c:noMultiLvlLbl val="0"/>
      </c:catAx>
      <c:valAx>
        <c:axId val="1206974527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978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244209227944727E-4"/>
          <c:y val="0.94137199617985123"/>
          <c:w val="0.99975097887354247"/>
          <c:h val="4.25311591185773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687414270970213E-2"/>
          <c:y val="3.9704300189392097E-2"/>
          <c:w val="0.88344927608970081"/>
          <c:h val="0.75029358683831493"/>
        </c:manualLayout>
      </c:layout>
      <c:lineChart>
        <c:grouping val="standard"/>
        <c:varyColors val="0"/>
        <c:ser>
          <c:idx val="0"/>
          <c:order val="0"/>
          <c:tx>
            <c:strRef>
              <c:f>Revenue!$A$251</c:f>
              <c:strCache>
                <c:ptCount val="1"/>
                <c:pt idx="0">
                  <c:v>Global IT TTM %growth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Revenue!$AP$1:$AZ$1</c:f>
              <c:strCache>
                <c:ptCount val="11"/>
                <c:pt idx="0">
                  <c:v>4Q22</c:v>
                </c:pt>
                <c:pt idx="1">
                  <c:v>1Q23</c:v>
                </c:pt>
                <c:pt idx="2">
                  <c:v>2Q23</c:v>
                </c:pt>
                <c:pt idx="3">
                  <c:v>3Q23</c:v>
                </c:pt>
                <c:pt idx="4">
                  <c:v>4Q23</c:v>
                </c:pt>
                <c:pt idx="5">
                  <c:v>1Q24</c:v>
                </c:pt>
                <c:pt idx="6">
                  <c:v>2Q24</c:v>
                </c:pt>
                <c:pt idx="7">
                  <c:v>3Q24</c:v>
                </c:pt>
                <c:pt idx="8">
                  <c:v>4Q24</c:v>
                </c:pt>
                <c:pt idx="9">
                  <c:v>1Q25</c:v>
                </c:pt>
                <c:pt idx="10">
                  <c:v>2Q25</c:v>
                </c:pt>
              </c:strCache>
            </c:strRef>
          </c:cat>
          <c:val>
            <c:numRef>
              <c:f>Revenue!$AP$251:$AZ$251</c:f>
              <c:numCache>
                <c:formatCode>0.0%</c:formatCode>
                <c:ptCount val="11"/>
                <c:pt idx="0">
                  <c:v>0.30139082434317066</c:v>
                </c:pt>
                <c:pt idx="1">
                  <c:v>0.30788541068555575</c:v>
                </c:pt>
                <c:pt idx="2">
                  <c:v>0.30632560248369711</c:v>
                </c:pt>
                <c:pt idx="3">
                  <c:v>0.31040419626797711</c:v>
                </c:pt>
                <c:pt idx="4">
                  <c:v>0.28349943838972846</c:v>
                </c:pt>
                <c:pt idx="5">
                  <c:v>0.27652375303146637</c:v>
                </c:pt>
                <c:pt idx="6">
                  <c:v>0.28362000722959468</c:v>
                </c:pt>
                <c:pt idx="7">
                  <c:v>0.27134063151342613</c:v>
                </c:pt>
                <c:pt idx="8">
                  <c:v>0.27441534914360988</c:v>
                </c:pt>
                <c:pt idx="9">
                  <c:v>0.24336493236601564</c:v>
                </c:pt>
                <c:pt idx="10">
                  <c:v>0.19595425924585652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16-4269-B297-8EE63FA903F7}"/>
            </c:ext>
          </c:extLst>
        </c:ser>
        <c:ser>
          <c:idx val="1"/>
          <c:order val="1"/>
          <c:tx>
            <c:strRef>
              <c:f>Revenue!$A$254</c:f>
              <c:strCache>
                <c:ptCount val="1"/>
                <c:pt idx="0">
                  <c:v>Signed revenue YoY% growth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Revenue!$AP$1:$AZ$1</c:f>
              <c:strCache>
                <c:ptCount val="11"/>
                <c:pt idx="0">
                  <c:v>4Q22</c:v>
                </c:pt>
                <c:pt idx="1">
                  <c:v>1Q23</c:v>
                </c:pt>
                <c:pt idx="2">
                  <c:v>2Q23</c:v>
                </c:pt>
                <c:pt idx="3">
                  <c:v>3Q23</c:v>
                </c:pt>
                <c:pt idx="4">
                  <c:v>4Q23</c:v>
                </c:pt>
                <c:pt idx="5">
                  <c:v>1Q24</c:v>
                </c:pt>
                <c:pt idx="6">
                  <c:v>2Q24</c:v>
                </c:pt>
                <c:pt idx="7">
                  <c:v>3Q24</c:v>
                </c:pt>
                <c:pt idx="8">
                  <c:v>4Q24</c:v>
                </c:pt>
                <c:pt idx="9">
                  <c:v>1Q25</c:v>
                </c:pt>
                <c:pt idx="10">
                  <c:v>2Q25</c:v>
                </c:pt>
              </c:strCache>
            </c:strRef>
          </c:cat>
          <c:val>
            <c:numRef>
              <c:f>Revenue!$AP$257:$AZ$257</c:f>
              <c:numCache>
                <c:formatCode>0.0%</c:formatCode>
                <c:ptCount val="11"/>
                <c:pt idx="0">
                  <c:v>0.38948587606975105</c:v>
                </c:pt>
                <c:pt idx="1">
                  <c:v>0.3640731128168313</c:v>
                </c:pt>
                <c:pt idx="2">
                  <c:v>0.32044491525423724</c:v>
                </c:pt>
                <c:pt idx="3">
                  <c:v>0.3052270516561717</c:v>
                </c:pt>
                <c:pt idx="4">
                  <c:v>0.37616930628878387</c:v>
                </c:pt>
                <c:pt idx="5">
                  <c:v>0.18897255282973036</c:v>
                </c:pt>
                <c:pt idx="6">
                  <c:v>0.33858804653028485</c:v>
                </c:pt>
                <c:pt idx="7">
                  <c:v>0.33900764855854093</c:v>
                </c:pt>
                <c:pt idx="8">
                  <c:v>0.13039674260524281</c:v>
                </c:pt>
                <c:pt idx="9">
                  <c:v>0.20119169220292821</c:v>
                </c:pt>
                <c:pt idx="10">
                  <c:v>4.3720595726828737E-2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16-4269-B297-8EE63FA90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6978367"/>
        <c:axId val="1206974527"/>
      </c:lineChart>
      <c:catAx>
        <c:axId val="1206978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974527"/>
        <c:crosses val="autoZero"/>
        <c:auto val="1"/>
        <c:lblAlgn val="ctr"/>
        <c:lblOffset val="100"/>
        <c:noMultiLvlLbl val="0"/>
      </c:catAx>
      <c:valAx>
        <c:axId val="1206974527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978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7847113248726887E-2"/>
          <c:y val="0.90932751264390976"/>
          <c:w val="0.8688263752551515"/>
          <c:h val="5.12820313999313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r>
              <a:rPr lang="en-US" sz="1800"/>
              <a:t>(VNDbn)</a:t>
            </a:r>
          </a:p>
        </c:rich>
      </c:tx>
      <c:layout>
        <c:manualLayout>
          <c:xMode val="edge"/>
          <c:yMode val="edge"/>
          <c:x val="0"/>
          <c:y val="2.593969083156521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226178293080338"/>
          <c:y val="6.2598466209933493E-2"/>
          <c:w val="0.76085436281473995"/>
          <c:h val="0.70814250983751115"/>
        </c:manualLayout>
      </c:layout>
      <c:barChart>
        <c:barDir val="col"/>
        <c:grouping val="clustered"/>
        <c:varyColors val="0"/>
        <c:ser>
          <c:idx val="1"/>
          <c:order val="0"/>
          <c:tx>
            <c:v>Doanh thu (tỷ)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PL!$K$4:$W$4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  <c:pt idx="3">
                  <c:v>2027</c:v>
                </c:pt>
                <c:pt idx="4">
                  <c:v>2028</c:v>
                </c:pt>
              </c:strCache>
              <c:extLst/>
            </c:strRef>
          </c:cat>
          <c:val>
            <c:numRef>
              <c:f>PL!$K$9:$W$9</c:f>
              <c:numCache>
                <c:formatCode>_(* #,##0_);[Red]_(* \(#,##0\);_(* \-??_);_(@_)</c:formatCode>
                <c:ptCount val="7"/>
                <c:pt idx="0" formatCode="#,##0">
                  <c:v>62848.79</c:v>
                </c:pt>
                <c:pt idx="1">
                  <c:v>70207.69</c:v>
                </c:pt>
                <c:pt idx="2">
                  <c:v>57194.606680421704</c:v>
                </c:pt>
                <c:pt idx="3">
                  <c:v>65945.020200000014</c:v>
                </c:pt>
                <c:pt idx="4">
                  <c:v>76536.739860000016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03A8-4A8F-9D4C-683A40BF3911}"/>
            </c:ext>
          </c:extLst>
        </c:ser>
        <c:ser>
          <c:idx val="0"/>
          <c:order val="1"/>
          <c:tx>
            <c:v>LNTCĐTS (tỷ)</c:v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PL!$K$4:$W$4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  <c:pt idx="3">
                  <c:v>2027</c:v>
                </c:pt>
                <c:pt idx="4">
                  <c:v>2028</c:v>
                </c:pt>
              </c:strCache>
              <c:extLst/>
            </c:strRef>
          </c:cat>
          <c:val>
            <c:numRef>
              <c:f>PL!$K$55:$W$55</c:f>
              <c:numCache>
                <c:formatCode>#,##0_);\(#,##0\)</c:formatCode>
                <c:ptCount val="7"/>
                <c:pt idx="0">
                  <c:v>7856.7700000000059</c:v>
                </c:pt>
                <c:pt idx="1">
                  <c:v>9464.1600000000035</c:v>
                </c:pt>
                <c:pt idx="2">
                  <c:v>11112.888759006528</c:v>
                </c:pt>
                <c:pt idx="3">
                  <c:v>12554.662616528081</c:v>
                </c:pt>
                <c:pt idx="4">
                  <c:v>14225.375740105508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1-03A8-4A8F-9D4C-683A40BF391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8262415"/>
        <c:axId val="118262895"/>
      </c:barChart>
      <c:lineChart>
        <c:grouping val="standard"/>
        <c:varyColors val="0"/>
        <c:ser>
          <c:idx val="2"/>
          <c:order val="2"/>
          <c:tx>
            <c:v>Tăng trưởng DT (%svck)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PL!$K$4:$W$4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  <c:pt idx="3">
                  <c:v>2027</c:v>
                </c:pt>
                <c:pt idx="4">
                  <c:v>2028</c:v>
                </c:pt>
              </c:strCache>
              <c:extLst/>
            </c:strRef>
          </c:cat>
          <c:val>
            <c:numRef>
              <c:f>PL!$K$10:$W$10</c:f>
              <c:numCache>
                <c:formatCode>0.0%</c:formatCode>
                <c:ptCount val="7"/>
                <c:pt idx="0">
                  <c:v>0.19443742550995746</c:v>
                </c:pt>
                <c:pt idx="1">
                  <c:v>0.11708896861817064</c:v>
                </c:pt>
                <c:pt idx="2">
                  <c:v>-0.18535125311170753</c:v>
                </c:pt>
                <c:pt idx="3">
                  <c:v>0.15299368292663984</c:v>
                </c:pt>
                <c:pt idx="4">
                  <c:v>0.16061439708225311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03A8-4A8F-9D4C-683A40BF3911}"/>
            </c:ext>
          </c:extLst>
        </c:ser>
        <c:ser>
          <c:idx val="3"/>
          <c:order val="3"/>
          <c:tx>
            <c:v>Tăng trưởng LNTCĐTS (%svck)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PL!$K$4:$W$4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  <c:pt idx="3">
                  <c:v>2027</c:v>
                </c:pt>
                <c:pt idx="4">
                  <c:v>2028</c:v>
                </c:pt>
              </c:strCache>
              <c:extLst/>
            </c:strRef>
          </c:cat>
          <c:val>
            <c:numRef>
              <c:f>PL!$K$56:$W$56</c:f>
              <c:numCache>
                <c:formatCode>0.0%</c:formatCode>
                <c:ptCount val="7"/>
                <c:pt idx="0">
                  <c:v>0.21524185279313524</c:v>
                </c:pt>
                <c:pt idx="1">
                  <c:v>0.20458661765585551</c:v>
                </c:pt>
                <c:pt idx="2">
                  <c:v>0.17420761684148656</c:v>
                </c:pt>
                <c:pt idx="3">
                  <c:v>0.12973889047103593</c:v>
                </c:pt>
                <c:pt idx="4">
                  <c:v>0.13307511118442572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3-03A8-4A8F-9D4C-683A40BF3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6923647"/>
        <c:axId val="1206933247"/>
      </c:lineChart>
      <c:catAx>
        <c:axId val="11826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18262895"/>
        <c:crosses val="autoZero"/>
        <c:auto val="1"/>
        <c:lblAlgn val="ctr"/>
        <c:lblOffset val="100"/>
        <c:noMultiLvlLbl val="0"/>
      </c:catAx>
      <c:valAx>
        <c:axId val="118262895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18262415"/>
        <c:crosses val="autoZero"/>
        <c:crossBetween val="between"/>
      </c:valAx>
      <c:valAx>
        <c:axId val="1206933247"/>
        <c:scaling>
          <c:orientation val="minMax"/>
          <c:max val="0.25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US"/>
          </a:p>
        </c:txPr>
        <c:crossAx val="1206923647"/>
        <c:crosses val="max"/>
        <c:crossBetween val="between"/>
      </c:valAx>
      <c:catAx>
        <c:axId val="12069236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06933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515632650276514E-2"/>
          <c:y val="0.87905213556275053"/>
          <c:w val="0.94816410921685235"/>
          <c:h val="0.100770225749248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913124630121222E-2"/>
          <c:y val="7.3283343149508365E-2"/>
          <c:w val="0.88259507576497787"/>
          <c:h val="0.64348537388531557"/>
        </c:manualLayout>
      </c:layout>
      <c:lineChart>
        <c:grouping val="standard"/>
        <c:varyColors val="0"/>
        <c:ser>
          <c:idx val="0"/>
          <c:order val="0"/>
          <c:tx>
            <c:v>Tăng trưởng % doanh thu CNTT nước ngoài TTM (tỷ)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Revenue!$AQ$1:$BA$1</c:f>
              <c:strCache>
                <c:ptCount val="11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  <c:pt idx="6">
                  <c:v>3Q24</c:v>
                </c:pt>
                <c:pt idx="7">
                  <c:v>4Q24</c:v>
                </c:pt>
                <c:pt idx="8">
                  <c:v>1Q25</c:v>
                </c:pt>
                <c:pt idx="9">
                  <c:v>2Q25</c:v>
                </c:pt>
                <c:pt idx="10">
                  <c:v>3Q25</c:v>
                </c:pt>
              </c:strCache>
              <c:extLst/>
            </c:strRef>
          </c:cat>
          <c:val>
            <c:numRef>
              <c:f>Revenue!$AQ$251:$BA$251</c:f>
              <c:numCache>
                <c:formatCode>0.0%</c:formatCode>
                <c:ptCount val="11"/>
                <c:pt idx="0">
                  <c:v>0.30788541068555575</c:v>
                </c:pt>
                <c:pt idx="1">
                  <c:v>0.30632560248369711</c:v>
                </c:pt>
                <c:pt idx="2">
                  <c:v>0.31040419626797711</c:v>
                </c:pt>
                <c:pt idx="3">
                  <c:v>0.28349943838972846</c:v>
                </c:pt>
                <c:pt idx="4">
                  <c:v>0.27652375303146637</c:v>
                </c:pt>
                <c:pt idx="5">
                  <c:v>0.28362000722959468</c:v>
                </c:pt>
                <c:pt idx="6">
                  <c:v>0.27134063151342613</c:v>
                </c:pt>
                <c:pt idx="7">
                  <c:v>0.27441534914360988</c:v>
                </c:pt>
                <c:pt idx="8">
                  <c:v>0.24336493236601564</c:v>
                </c:pt>
                <c:pt idx="9">
                  <c:v>0.19595425924585652</c:v>
                </c:pt>
                <c:pt idx="10">
                  <c:v>0.15441527446300718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2EE5-42EB-86C3-C63F3479FEA0}"/>
            </c:ext>
          </c:extLst>
        </c:ser>
        <c:ser>
          <c:idx val="1"/>
          <c:order val="1"/>
          <c:tx>
            <c:v>Tăng trưởng %YoY doanh thu ký trước TTM (tỷ)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Revenue!$AQ$1:$BA$1</c:f>
              <c:strCache>
                <c:ptCount val="11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  <c:pt idx="6">
                  <c:v>3Q24</c:v>
                </c:pt>
                <c:pt idx="7">
                  <c:v>4Q24</c:v>
                </c:pt>
                <c:pt idx="8">
                  <c:v>1Q25</c:v>
                </c:pt>
                <c:pt idx="9">
                  <c:v>2Q25</c:v>
                </c:pt>
                <c:pt idx="10">
                  <c:v>3Q25</c:v>
                </c:pt>
              </c:strCache>
              <c:extLst/>
            </c:strRef>
          </c:cat>
          <c:val>
            <c:numRef>
              <c:f>Revenue!$AQ$257:$BA$257</c:f>
              <c:numCache>
                <c:formatCode>0.0%</c:formatCode>
                <c:ptCount val="11"/>
                <c:pt idx="0">
                  <c:v>0.3640731128168313</c:v>
                </c:pt>
                <c:pt idx="1">
                  <c:v>0.32044491525423724</c:v>
                </c:pt>
                <c:pt idx="2">
                  <c:v>0.3052270516561717</c:v>
                </c:pt>
                <c:pt idx="3">
                  <c:v>0.37616930628878387</c:v>
                </c:pt>
                <c:pt idx="4">
                  <c:v>0.18897255282973036</c:v>
                </c:pt>
                <c:pt idx="5">
                  <c:v>0.33858804653028485</c:v>
                </c:pt>
                <c:pt idx="6">
                  <c:v>0.33900764855854093</c:v>
                </c:pt>
                <c:pt idx="7">
                  <c:v>0.13039674260524281</c:v>
                </c:pt>
                <c:pt idx="8">
                  <c:v>0.20119169220292821</c:v>
                </c:pt>
                <c:pt idx="9">
                  <c:v>4.3720595726828737E-2</c:v>
                </c:pt>
                <c:pt idx="10">
                  <c:v>0.10826644794656981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1-2EE5-42EB-86C3-C63F3479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6978367"/>
        <c:axId val="1206974527"/>
      </c:lineChart>
      <c:catAx>
        <c:axId val="1206978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974527"/>
        <c:crosses val="autoZero"/>
        <c:auto val="1"/>
        <c:lblAlgn val="ctr"/>
        <c:lblOffset val="100"/>
        <c:noMultiLvlLbl val="0"/>
      </c:catAx>
      <c:valAx>
        <c:axId val="1206974527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978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Charts!$U$1718</c:f>
              <c:strCache>
                <c:ptCount val="1"/>
                <c:pt idx="0">
                  <c:v>Doanh thu (tỷ đồng)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Charts!$T$1719:$T$1723</c:f>
              <c:strCache>
                <c:ptCount val="5"/>
                <c:pt idx="0">
                  <c:v>Dịch vụ CNTT nước ngoài</c:v>
                </c:pt>
                <c:pt idx="1">
                  <c:v>Dịch vụ CNTT trong nước</c:v>
                </c:pt>
                <c:pt idx="2">
                  <c:v>Dịch vụ Viễn thông</c:v>
                </c:pt>
                <c:pt idx="3">
                  <c:v>Quảng cáo trực tuyến</c:v>
                </c:pt>
                <c:pt idx="4">
                  <c:v>Giáo dục, đầu tư &amp; khác</c:v>
                </c:pt>
              </c:strCache>
            </c:strRef>
          </c:cat>
          <c:val>
            <c:numRef>
              <c:f>Charts!$U$1719:$U$1723</c:f>
              <c:numCache>
                <c:formatCode>#,##0</c:formatCode>
                <c:ptCount val="5"/>
                <c:pt idx="0">
                  <c:v>25574</c:v>
                </c:pt>
                <c:pt idx="1">
                  <c:v>5376</c:v>
                </c:pt>
                <c:pt idx="2">
                  <c:v>13738</c:v>
                </c:pt>
                <c:pt idx="3" formatCode="General">
                  <c:v>549</c:v>
                </c:pt>
                <c:pt idx="4">
                  <c:v>4651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4D-4472-9792-ADBF7EF39E59}"/>
            </c:ext>
          </c:extLst>
        </c:ser>
        <c:ser>
          <c:idx val="2"/>
          <c:order val="2"/>
          <c:tx>
            <c:strRef>
              <c:f>Charts!$W$1718</c:f>
              <c:strCache>
                <c:ptCount val="1"/>
                <c:pt idx="0">
                  <c:v>LNTT (tỷ đồng)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Charts!$T$1719:$T$1723</c:f>
              <c:strCache>
                <c:ptCount val="5"/>
                <c:pt idx="0">
                  <c:v>Dịch vụ CNTT nước ngoài</c:v>
                </c:pt>
                <c:pt idx="1">
                  <c:v>Dịch vụ CNTT trong nước</c:v>
                </c:pt>
                <c:pt idx="2">
                  <c:v>Dịch vụ Viễn thông</c:v>
                </c:pt>
                <c:pt idx="3">
                  <c:v>Quảng cáo trực tuyến</c:v>
                </c:pt>
                <c:pt idx="4">
                  <c:v>Giáo dục, đầu tư &amp; khác</c:v>
                </c:pt>
              </c:strCache>
            </c:strRef>
          </c:cat>
          <c:val>
            <c:numRef>
              <c:f>Charts!$W$1719:$W$1723</c:f>
              <c:numCache>
                <c:formatCode>General</c:formatCode>
                <c:ptCount val="5"/>
                <c:pt idx="0" formatCode="#,##0">
                  <c:v>4073</c:v>
                </c:pt>
                <c:pt idx="1">
                  <c:v>260</c:v>
                </c:pt>
                <c:pt idx="2" formatCode="#,##0">
                  <c:v>3091</c:v>
                </c:pt>
                <c:pt idx="3">
                  <c:v>137</c:v>
                </c:pt>
                <c:pt idx="4" formatCode="#,##0">
                  <c:v>1979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4D-4472-9792-ADBF7EF39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63671952"/>
        <c:axId val="263681072"/>
      </c:barChart>
      <c:lineChart>
        <c:grouping val="standard"/>
        <c:varyColors val="0"/>
        <c:ser>
          <c:idx val="1"/>
          <c:order val="1"/>
          <c:tx>
            <c:strRef>
              <c:f>Charts!$V$1718</c:f>
              <c:strCache>
                <c:ptCount val="1"/>
                <c:pt idx="0">
                  <c:v>Tăng trưởng svck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Charts!$T$1719:$T$1723</c:f>
              <c:strCache>
                <c:ptCount val="5"/>
                <c:pt idx="0">
                  <c:v>Dịch vụ CNTT nước ngoài</c:v>
                </c:pt>
                <c:pt idx="1">
                  <c:v>Dịch vụ CNTT trong nước</c:v>
                </c:pt>
                <c:pt idx="2">
                  <c:v>Dịch vụ Viễn thông</c:v>
                </c:pt>
                <c:pt idx="3">
                  <c:v>Quảng cáo trực tuyến</c:v>
                </c:pt>
                <c:pt idx="4">
                  <c:v>Giáo dục, đầu tư &amp; khác</c:v>
                </c:pt>
              </c:strCache>
            </c:strRef>
          </c:cat>
          <c:val>
            <c:numRef>
              <c:f>Charts!$V$1719:$V$1723</c:f>
              <c:numCache>
                <c:formatCode>0.00%</c:formatCode>
                <c:ptCount val="5"/>
                <c:pt idx="0">
                  <c:v>0.128</c:v>
                </c:pt>
                <c:pt idx="1">
                  <c:v>1.4999999999999999E-2</c:v>
                </c:pt>
                <c:pt idx="2">
                  <c:v>0.115</c:v>
                </c:pt>
                <c:pt idx="3">
                  <c:v>0.14399999999999999</c:v>
                </c:pt>
                <c:pt idx="4">
                  <c:v>3.9E-2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4D-4472-9792-ADBF7EF39E59}"/>
            </c:ext>
          </c:extLst>
        </c:ser>
        <c:ser>
          <c:idx val="3"/>
          <c:order val="3"/>
          <c:tx>
            <c:strRef>
              <c:f>Charts!$X$1718</c:f>
              <c:strCache>
                <c:ptCount val="1"/>
                <c:pt idx="0">
                  <c:v>Tăng trưởng svck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Charts!$T$1719:$T$1723</c:f>
              <c:strCache>
                <c:ptCount val="5"/>
                <c:pt idx="0">
                  <c:v>Dịch vụ CNTT nước ngoài</c:v>
                </c:pt>
                <c:pt idx="1">
                  <c:v>Dịch vụ CNTT trong nước</c:v>
                </c:pt>
                <c:pt idx="2">
                  <c:v>Dịch vụ Viễn thông</c:v>
                </c:pt>
                <c:pt idx="3">
                  <c:v>Quảng cáo trực tuyến</c:v>
                </c:pt>
                <c:pt idx="4">
                  <c:v>Giáo dục, đầu tư &amp; khác</c:v>
                </c:pt>
              </c:strCache>
            </c:strRef>
          </c:cat>
          <c:val>
            <c:numRef>
              <c:f>Charts!$X$1719:$X$1723</c:f>
              <c:numCache>
                <c:formatCode>0.00%</c:formatCode>
                <c:ptCount val="5"/>
                <c:pt idx="0">
                  <c:v>0.127</c:v>
                </c:pt>
                <c:pt idx="1">
                  <c:v>0.31900000000000001</c:v>
                </c:pt>
                <c:pt idx="2">
                  <c:v>0.21299999999999999</c:v>
                </c:pt>
                <c:pt idx="3">
                  <c:v>0.14799999999999999</c:v>
                </c:pt>
                <c:pt idx="4">
                  <c:v>0.21199999999999999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84D-4472-9792-ADBF7EF39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610992"/>
        <c:axId val="263620592"/>
      </c:lineChart>
      <c:catAx>
        <c:axId val="26367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US"/>
          </a:p>
        </c:txPr>
        <c:crossAx val="263681072"/>
        <c:crosses val="autoZero"/>
        <c:auto val="1"/>
        <c:lblAlgn val="ctr"/>
        <c:lblOffset val="100"/>
        <c:noMultiLvlLbl val="0"/>
      </c:catAx>
      <c:valAx>
        <c:axId val="263681072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US"/>
          </a:p>
        </c:txPr>
        <c:crossAx val="263671952"/>
        <c:crosses val="autoZero"/>
        <c:crossBetween val="between"/>
      </c:valAx>
      <c:valAx>
        <c:axId val="263620592"/>
        <c:scaling>
          <c:orientation val="minMax"/>
          <c:max val="0.35000000000000003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US"/>
          </a:p>
        </c:txPr>
        <c:crossAx val="263610992"/>
        <c:crosses val="max"/>
        <c:crossBetween val="between"/>
      </c:valAx>
      <c:catAx>
        <c:axId val="2636109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636205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Noto Sans" panose="020B0502040504020204" pitchFamily="34" charset="0"/>
          <a:ea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Report!$A$32</c:f>
              <c:strCache>
                <c:ptCount val="1"/>
                <c:pt idx="0">
                  <c:v>Cash and Cash Equivalents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Report!$B$30:$F$30</c15:sqref>
                  </c15:fullRef>
                </c:ext>
              </c:extLst>
              <c:f>Report!$D$30:$F$30</c:f>
              <c:numCache>
                <c:formatCode>General</c:formatCode>
                <c:ptCount val="1"/>
                <c:pt idx="0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Report!$B$32:$F$32</c15:sqref>
                  </c15:fullRef>
                </c:ext>
              </c:extLst>
              <c:f>Report!$D$32:$F$32</c:f>
              <c:numCache>
                <c:formatCode>_(* #,##0_);_(* \(#,##0\);_(* "-"_);_(@_)</c:formatCode>
                <c:ptCount val="1"/>
                <c:pt idx="0">
                  <c:v>9315.44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11-4238-AD2A-939FB026F6D0}"/>
            </c:ext>
          </c:extLst>
        </c:ser>
        <c:ser>
          <c:idx val="3"/>
          <c:order val="1"/>
          <c:tx>
            <c:strRef>
              <c:f>Report!$A$33</c:f>
              <c:strCache>
                <c:ptCount val="1"/>
                <c:pt idx="0">
                  <c:v>Account Receivables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Report!$B$30:$F$30</c15:sqref>
                  </c15:fullRef>
                </c:ext>
              </c:extLst>
              <c:f>Report!$D$30:$F$30</c:f>
              <c:numCache>
                <c:formatCode>General</c:formatCode>
                <c:ptCount val="1"/>
                <c:pt idx="0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Report!$B$33:$F$33</c15:sqref>
                  </c15:fullRef>
                </c:ext>
              </c:extLst>
              <c:f>Report!$D$33:$F$33</c:f>
              <c:numCache>
                <c:formatCode>_(* #,##0_);_(* \(#,##0\);_(* "-"_);_(@_)</c:formatCode>
                <c:ptCount val="1"/>
                <c:pt idx="0">
                  <c:v>9917.49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11-4238-AD2A-939FB026F6D0}"/>
            </c:ext>
          </c:extLst>
        </c:ser>
        <c:ser>
          <c:idx val="4"/>
          <c:order val="2"/>
          <c:tx>
            <c:strRef>
              <c:f>Report!$A$34</c:f>
              <c:strCache>
                <c:ptCount val="1"/>
                <c:pt idx="0">
                  <c:v>Inventories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Report!$B$30:$F$30</c15:sqref>
                  </c15:fullRef>
                </c:ext>
              </c:extLst>
              <c:f>Report!$D$30:$F$30</c:f>
              <c:numCache>
                <c:formatCode>General</c:formatCode>
                <c:ptCount val="1"/>
                <c:pt idx="0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Report!$B$34:$F$34</c15:sqref>
                  </c15:fullRef>
                </c:ext>
              </c:extLst>
              <c:f>Report!$D$34:$F$34</c:f>
              <c:numCache>
                <c:formatCode>_(* #,##0_);_(* \(#,##0\);_(* "-"_);_(@_)</c:formatCode>
                <c:ptCount val="1"/>
                <c:pt idx="0">
                  <c:v>1856.75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E11-4238-AD2A-939FB026F6D0}"/>
            </c:ext>
          </c:extLst>
        </c:ser>
        <c:ser>
          <c:idx val="5"/>
          <c:order val="3"/>
          <c:tx>
            <c:strRef>
              <c:f>Report!$A$35</c:f>
              <c:strCache>
                <c:ptCount val="1"/>
                <c:pt idx="0">
                  <c:v>Other Current Assets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Report!$B$30:$F$30</c15:sqref>
                  </c15:fullRef>
                </c:ext>
              </c:extLst>
              <c:f>Report!$D$30:$F$30</c:f>
              <c:numCache>
                <c:formatCode>General</c:formatCode>
                <c:ptCount val="1"/>
                <c:pt idx="0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Report!$B$35:$F$35</c15:sqref>
                  </c15:fullRef>
                </c:ext>
              </c:extLst>
              <c:f>Report!$D$35:$F$35</c:f>
              <c:numCache>
                <c:formatCode>_(* #,##0_);_(* \(#,##0\);_(* "-"_);_(@_)</c:formatCode>
                <c:ptCount val="1"/>
                <c:pt idx="0">
                  <c:v>24446.26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E11-4238-AD2A-939FB026F6D0}"/>
            </c:ext>
          </c:extLst>
        </c:ser>
        <c:ser>
          <c:idx val="7"/>
          <c:order val="4"/>
          <c:tx>
            <c:strRef>
              <c:f>Report!$A$37</c:f>
              <c:strCache>
                <c:ptCount val="1"/>
                <c:pt idx="0">
                  <c:v>Property, Plant and Equipment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Report!$B$30:$F$30</c15:sqref>
                  </c15:fullRef>
                </c:ext>
              </c:extLst>
              <c:f>Report!$D$30:$F$30</c:f>
              <c:numCache>
                <c:formatCode>General</c:formatCode>
                <c:ptCount val="1"/>
                <c:pt idx="0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Report!$B$37:$F$37</c15:sqref>
                  </c15:fullRef>
                </c:ext>
              </c:extLst>
              <c:f>Report!$D$37:$F$37</c:f>
              <c:numCache>
                <c:formatCode>_(* #,##0_);_(* \(#,##0\);_(* "-"_);_(@_)</c:formatCode>
                <c:ptCount val="1"/>
                <c:pt idx="0">
                  <c:v>12774.56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E11-4238-AD2A-939FB026F6D0}"/>
            </c:ext>
          </c:extLst>
        </c:ser>
        <c:ser>
          <c:idx val="8"/>
          <c:order val="5"/>
          <c:tx>
            <c:strRef>
              <c:f>Report!$A$38</c:f>
              <c:strCache>
                <c:ptCount val="1"/>
                <c:pt idx="0">
                  <c:v>Work-in-progress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Report!$B$30:$F$30</c15:sqref>
                  </c15:fullRef>
                </c:ext>
              </c:extLst>
              <c:f>Report!$D$30:$F$30</c:f>
              <c:numCache>
                <c:formatCode>General</c:formatCode>
                <c:ptCount val="1"/>
                <c:pt idx="0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Report!$B$38:$F$38</c15:sqref>
                  </c15:fullRef>
                </c:ext>
              </c:extLst>
              <c:f>Report!$D$38:$F$38</c:f>
              <c:numCache>
                <c:formatCode>_(* #,##0_);_(* \(#,##0\);_(* "-"_);_(@_)</c:formatCode>
                <c:ptCount val="1"/>
                <c:pt idx="0">
                  <c:v>2559.77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E11-4238-AD2A-939FB026F6D0}"/>
            </c:ext>
          </c:extLst>
        </c:ser>
        <c:ser>
          <c:idx val="9"/>
          <c:order val="6"/>
          <c:tx>
            <c:strRef>
              <c:f>Report!$A$39</c:f>
              <c:strCache>
                <c:ptCount val="1"/>
                <c:pt idx="0">
                  <c:v>Intangible Assets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Report!$B$30:$F$30</c15:sqref>
                  </c15:fullRef>
                </c:ext>
              </c:extLst>
              <c:f>Report!$D$30:$F$30</c:f>
              <c:numCache>
                <c:formatCode>General</c:formatCode>
                <c:ptCount val="1"/>
                <c:pt idx="0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Report!$B$39:$F$39</c15:sqref>
                  </c15:fullRef>
                </c:ext>
              </c:extLst>
              <c:f>Report!$D$39:$F$39</c:f>
              <c:numCache>
                <c:formatCode>_(* #,##0_);_(* \(#,##0\);_(* "-"_);_(@_)</c:formatCode>
                <c:ptCount val="1"/>
                <c:pt idx="0">
                  <c:v>2039.5200000000002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E11-4238-AD2A-939FB026F6D0}"/>
            </c:ext>
          </c:extLst>
        </c:ser>
        <c:ser>
          <c:idx val="10"/>
          <c:order val="7"/>
          <c:tx>
            <c:strRef>
              <c:f>Report!$A$40</c:f>
              <c:strCache>
                <c:ptCount val="1"/>
                <c:pt idx="0">
                  <c:v>Other Non-Current Assets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Report!$B$30:$F$30</c15:sqref>
                  </c15:fullRef>
                </c:ext>
              </c:extLst>
              <c:f>Report!$D$30:$F$30</c:f>
              <c:numCache>
                <c:formatCode>General</c:formatCode>
                <c:ptCount val="1"/>
                <c:pt idx="0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Report!$B$40:$F$40</c15:sqref>
                  </c15:fullRef>
                </c:ext>
              </c:extLst>
              <c:f>Report!$D$40:$F$40</c:f>
              <c:numCache>
                <c:formatCode>_(* #,##0_);_(* \(#,##0\);_(* "-"_);_(@_)</c:formatCode>
                <c:ptCount val="1"/>
                <c:pt idx="0">
                  <c:v>9088.16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E11-4238-AD2A-939FB026F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100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  <c:axId val="2057029312"/>
        <c:axId val="2057029792"/>
      </c:barChart>
      <c:catAx>
        <c:axId val="205702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029792"/>
        <c:crosses val="autoZero"/>
        <c:auto val="1"/>
        <c:lblAlgn val="ctr"/>
        <c:lblOffset val="100"/>
        <c:noMultiLvlLbl val="0"/>
      </c:catAx>
      <c:valAx>
        <c:axId val="2057029792"/>
        <c:scaling>
          <c:orientation val="minMax"/>
        </c:scaling>
        <c:delete val="0"/>
        <c:axPos val="l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02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3"/>
          <c:order val="0"/>
          <c:tx>
            <c:strRef>
              <c:f>Report!$A$43</c:f>
              <c:strCache>
                <c:ptCount val="1"/>
                <c:pt idx="0">
                  <c:v>Account Payables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Report!$B$30:$F$30</c15:sqref>
                  </c15:fullRef>
                </c:ext>
              </c:extLst>
              <c:f>Report!$D$30:$F$30</c:f>
              <c:numCache>
                <c:formatCode>General</c:formatCode>
                <c:ptCount val="1"/>
                <c:pt idx="0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Report!$B$43:$F$43</c15:sqref>
                  </c15:fullRef>
                </c:ext>
              </c:extLst>
              <c:f>Report!$D$43:$F$43</c:f>
              <c:numCache>
                <c:formatCode>#,##0</c:formatCode>
                <c:ptCount val="1"/>
                <c:pt idx="0">
                  <c:v>4423.91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77-4658-87C4-FBE200B3F36E}"/>
            </c:ext>
          </c:extLst>
        </c:ser>
        <c:ser>
          <c:idx val="4"/>
          <c:order val="1"/>
          <c:tx>
            <c:strRef>
              <c:f>Report!$A$44</c:f>
              <c:strCache>
                <c:ptCount val="1"/>
                <c:pt idx="0">
                  <c:v>Short-Term Financial Liabilities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Report!$B$30:$F$30</c15:sqref>
                  </c15:fullRef>
                </c:ext>
              </c:extLst>
              <c:f>Report!$D$30:$F$30</c:f>
              <c:numCache>
                <c:formatCode>General</c:formatCode>
                <c:ptCount val="1"/>
                <c:pt idx="0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Report!$B$44:$F$44</c15:sqref>
                  </c15:fullRef>
                </c:ext>
              </c:extLst>
              <c:f>Report!$D$44:$F$44</c:f>
              <c:numCache>
                <c:formatCode>#,##0</c:formatCode>
                <c:ptCount val="1"/>
                <c:pt idx="0">
                  <c:v>14446.24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77-4658-87C4-FBE200B3F36E}"/>
            </c:ext>
          </c:extLst>
        </c:ser>
        <c:ser>
          <c:idx val="5"/>
          <c:order val="2"/>
          <c:tx>
            <c:strRef>
              <c:f>Report!$A$45</c:f>
              <c:strCache>
                <c:ptCount val="1"/>
                <c:pt idx="0">
                  <c:v>Other Current Liabilities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Report!$B$30:$F$30</c15:sqref>
                  </c15:fullRef>
                </c:ext>
              </c:extLst>
              <c:f>Report!$D$30:$F$30</c:f>
              <c:numCache>
                <c:formatCode>General</c:formatCode>
                <c:ptCount val="1"/>
                <c:pt idx="0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Report!$B$45:$F$45</c15:sqref>
                  </c15:fullRef>
                </c:ext>
              </c:extLst>
              <c:f>Report!$D$45:$F$45</c:f>
              <c:numCache>
                <c:formatCode>#,##0</c:formatCode>
                <c:ptCount val="1"/>
                <c:pt idx="0">
                  <c:v>15966.029999999999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77-4658-87C4-FBE200B3F36E}"/>
            </c:ext>
          </c:extLst>
        </c:ser>
        <c:ser>
          <c:idx val="8"/>
          <c:order val="3"/>
          <c:tx>
            <c:strRef>
              <c:f>Report!$A$47</c:f>
              <c:strCache>
                <c:ptCount val="1"/>
                <c:pt idx="0">
                  <c:v>Long-Term Financial Liabilities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Report!$B$30:$F$30</c15:sqref>
                  </c15:fullRef>
                </c:ext>
              </c:extLst>
              <c:f>Report!$D$30:$F$30</c:f>
              <c:numCache>
                <c:formatCode>General</c:formatCode>
                <c:ptCount val="1"/>
                <c:pt idx="0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Report!$B$47:$F$47</c15:sqref>
                  </c15:fullRef>
                </c:ext>
              </c:extLst>
              <c:f>Report!$D$47:$F$47</c:f>
              <c:numCache>
                <c:formatCode>#,##0</c:formatCode>
                <c:ptCount val="1"/>
                <c:pt idx="0">
                  <c:v>501.12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377-4658-87C4-FBE200B3F36E}"/>
            </c:ext>
          </c:extLst>
        </c:ser>
        <c:ser>
          <c:idx val="9"/>
          <c:order val="4"/>
          <c:tx>
            <c:strRef>
              <c:f>Report!$A$48</c:f>
              <c:strCache>
                <c:ptCount val="1"/>
                <c:pt idx="0">
                  <c:v>Other Non-Current Liabilities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Report!$B$30:$F$30</c15:sqref>
                  </c15:fullRef>
                </c:ext>
              </c:extLst>
              <c:f>Report!$D$30:$F$30</c:f>
              <c:numCache>
                <c:formatCode>General</c:formatCode>
                <c:ptCount val="1"/>
                <c:pt idx="0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Report!$B$48:$F$48</c15:sqref>
                  </c15:fullRef>
                </c:ext>
              </c:extLst>
              <c:f>Report!$D$48:$F$48</c:f>
              <c:numCache>
                <c:formatCode>_(* #,##0_);_(* \(#,##0\);_(* \-??_);_(@_)</c:formatCode>
                <c:ptCount val="1"/>
                <c:pt idx="0">
                  <c:v>935.15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377-4658-87C4-FBE200B3F36E}"/>
            </c:ext>
          </c:extLst>
        </c:ser>
        <c:ser>
          <c:idx val="0"/>
          <c:order val="5"/>
          <c:tx>
            <c:strRef>
              <c:f>Report!$A$50</c:f>
              <c:strCache>
                <c:ptCount val="1"/>
                <c:pt idx="0">
                  <c:v>Capital Stock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Report!$B$30:$F$30</c15:sqref>
                  </c15:fullRef>
                </c:ext>
              </c:extLst>
              <c:f>Report!$D$30:$F$30</c:f>
              <c:numCache>
                <c:formatCode>General</c:formatCode>
                <c:ptCount val="1"/>
                <c:pt idx="0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Report!$B$50:$F$50</c15:sqref>
                  </c15:fullRef>
                </c:ext>
              </c:extLst>
              <c:f>Report!$D$50:$F$50</c:f>
              <c:numCache>
                <c:formatCode>#,##0</c:formatCode>
                <c:ptCount val="1"/>
                <c:pt idx="0">
                  <c:v>14710.69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377-4658-87C4-FBE200B3F36E}"/>
            </c:ext>
          </c:extLst>
        </c:ser>
        <c:ser>
          <c:idx val="1"/>
          <c:order val="6"/>
          <c:tx>
            <c:strRef>
              <c:f>Report!$A$51</c:f>
              <c:strCache>
                <c:ptCount val="1"/>
                <c:pt idx="0">
                  <c:v>Retained Earnings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Report!$B$30:$F$30</c15:sqref>
                  </c15:fullRef>
                </c:ext>
              </c:extLst>
              <c:f>Report!$D$30:$F$30</c:f>
              <c:numCache>
                <c:formatCode>General</c:formatCode>
                <c:ptCount val="1"/>
                <c:pt idx="0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Report!$B$51:$F$51</c15:sqref>
                  </c15:fullRef>
                </c:ext>
              </c:extLst>
              <c:f>Report!$D$51:$F$51</c:f>
              <c:numCache>
                <c:formatCode>#,##0</c:formatCode>
                <c:ptCount val="1"/>
                <c:pt idx="0">
                  <c:v>11030.53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377-4658-87C4-FBE200B3F36E}"/>
            </c:ext>
          </c:extLst>
        </c:ser>
        <c:ser>
          <c:idx val="6"/>
          <c:order val="7"/>
          <c:tx>
            <c:strRef>
              <c:f>Report!$A$52</c:f>
              <c:strCache>
                <c:ptCount val="1"/>
                <c:pt idx="0">
                  <c:v>Other Equity Accounts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Report!$B$30:$F$30</c15:sqref>
                  </c15:fullRef>
                </c:ext>
              </c:extLst>
              <c:f>Report!$D$30:$F$30</c:f>
              <c:numCache>
                <c:formatCode>General</c:formatCode>
                <c:ptCount val="1"/>
                <c:pt idx="0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Report!$B$52:$F$52</c15:sqref>
                  </c15:fullRef>
                </c:ext>
              </c:extLst>
              <c:f>Report!$D$52:$F$52</c:f>
              <c:numCache>
                <c:formatCode>#,##0</c:formatCode>
                <c:ptCount val="1"/>
                <c:pt idx="0">
                  <c:v>4003.29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377-4658-87C4-FBE200B3F36E}"/>
            </c:ext>
          </c:extLst>
        </c:ser>
        <c:ser>
          <c:idx val="11"/>
          <c:order val="8"/>
          <c:tx>
            <c:strRef>
              <c:f>Report!$A$53</c:f>
              <c:strCache>
                <c:ptCount val="1"/>
                <c:pt idx="0">
                  <c:v>Minority Interest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Report!$B$30:$F$30</c15:sqref>
                  </c15:fullRef>
                </c:ext>
              </c:extLst>
              <c:f>Report!$D$30:$F$30</c:f>
              <c:numCache>
                <c:formatCode>General</c:formatCode>
                <c:ptCount val="1"/>
                <c:pt idx="0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Report!$B$53:$F$53</c15:sqref>
                  </c15:fullRef>
                </c:ext>
              </c:extLst>
              <c:f>Report!$D$53:$F$53</c:f>
              <c:numCache>
                <c:formatCode>#,##0</c:formatCode>
                <c:ptCount val="1"/>
                <c:pt idx="0">
                  <c:v>5933.31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377-4658-87C4-FBE200B3F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100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  <c:axId val="2057029312"/>
        <c:axId val="2057029792"/>
      </c:barChart>
      <c:catAx>
        <c:axId val="205702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029792"/>
        <c:crosses val="autoZero"/>
        <c:auto val="1"/>
        <c:lblAlgn val="ctr"/>
        <c:lblOffset val="100"/>
        <c:noMultiLvlLbl val="0"/>
      </c:catAx>
      <c:valAx>
        <c:axId val="2057029792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02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8429571303587E-2"/>
          <c:y val="5.6250000000000001E-2"/>
          <c:w val="0.8387031933508311"/>
          <c:h val="0.691711504811898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Report!$A$190</c:f>
              <c:strCache>
                <c:ptCount val="1"/>
                <c:pt idx="0">
                  <c:v>IT sector revenue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Report!$B$188:$H$188</c:f>
              <c:numCache>
                <c:formatCode>0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Report!$B$189:$H$189</c:f>
              <c:numCache>
                <c:formatCode>_(* #,##0_);_(* \(#,##0\);_(* \-??_);_(@_)</c:formatCode>
                <c:ptCount val="3"/>
                <c:pt idx="0">
                  <c:v>64910</c:v>
                </c:pt>
                <c:pt idx="1">
                  <c:v>73420</c:v>
                </c:pt>
                <c:pt idx="2">
                  <c:v>87100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73-4B52-941C-2E10D9745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42230736"/>
        <c:axId val="1242217296"/>
      </c:barChart>
      <c:lineChart>
        <c:grouping val="standard"/>
        <c:varyColors val="0"/>
        <c:ser>
          <c:idx val="1"/>
          <c:order val="1"/>
          <c:tx>
            <c:strRef>
              <c:f>Report!$A$191</c:f>
              <c:strCache>
                <c:ptCount val="1"/>
                <c:pt idx="0">
                  <c:v>YoY growth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4701443569553805E-2"/>
                  <c:y val="-0.1471759259259260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173-4B52-941C-2E10D97451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Report!$B$188:$H$188</c:f>
              <c:numCache>
                <c:formatCode>0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Report!$B$191:$H$191</c:f>
              <c:numCache>
                <c:formatCode>0.0%</c:formatCode>
                <c:ptCount val="3"/>
                <c:pt idx="0">
                  <c:v>0.20419999999999999</c:v>
                </c:pt>
                <c:pt idx="1">
                  <c:v>0.13110460637806187</c:v>
                </c:pt>
                <c:pt idx="2">
                  <c:v>0.18759999999999999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73-4B52-941C-2E10D9745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2210576"/>
        <c:axId val="1242212976"/>
      </c:lineChart>
      <c:catAx>
        <c:axId val="124223073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US"/>
          </a:p>
        </c:txPr>
        <c:crossAx val="1242217296"/>
        <c:crosses val="autoZero"/>
        <c:auto val="1"/>
        <c:lblAlgn val="ctr"/>
        <c:lblOffset val="100"/>
        <c:noMultiLvlLbl val="0"/>
      </c:catAx>
      <c:valAx>
        <c:axId val="1242217296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US"/>
          </a:p>
        </c:txPr>
        <c:crossAx val="1242230736"/>
        <c:crosses val="autoZero"/>
        <c:crossBetween val="between"/>
      </c:valAx>
      <c:valAx>
        <c:axId val="1242212976"/>
        <c:scaling>
          <c:orientation val="minMax"/>
          <c:max val="0.25"/>
          <c:min val="-0.1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US"/>
          </a:p>
        </c:txPr>
        <c:crossAx val="1242210576"/>
        <c:crosses val="max"/>
        <c:crossBetween val="between"/>
      </c:valAx>
      <c:catAx>
        <c:axId val="1242210576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2422129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438298337707783"/>
          <c:y val="0.90205125400991548"/>
          <c:w val="0.73203952331810163"/>
          <c:h val="9.79486880974410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latin typeface="Noto Sans" panose="020B0502040504020204" pitchFamily="34" charset="0"/>
          <a:ea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8429571303587E-2"/>
          <c:y val="5.6250000000000001E-2"/>
          <c:w val="0.8387031933508311"/>
          <c:h val="0.69171150481189847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42230736"/>
        <c:axId val="124221729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Report!$A$189</c15:sqref>
                        </c15:formulaRef>
                      </c:ext>
                    </c:extLst>
                    <c:strCache>
                      <c:ptCount val="1"/>
                      <c:pt idx="0">
                        <c:v>Doanh thu ngành IT</c:v>
                      </c:pt>
                    </c:strCache>
                  </c:strRef>
                </c:tx>
                <c:spPr>
                  <a:solidFill>
                    <a:schemeClr val="bg1">
                      <a:lumMod val="8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ellipsis" wrap="square" anchor="ctr" anchorCtr="1"/>
                    <a:lstStyle/>
                    <a:p>
                      <a:pPr>
                        <a:defRPr sz="105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Noto Sans" panose="020B0502040504020204" pitchFamily="34" charset="0"/>
                          <a:ea typeface="Noto Sans" panose="020B0502040504020204" pitchFamily="34" charset="0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Report!$B$188:$I$188</c15:sqref>
                        </c15:formulaRef>
                      </c:ext>
                    </c:extLst>
                    <c:strCache>
                      <c:ptCount val="4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  <c:pt idx="3">
                        <c:v>1Q25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Report!$B$189:$I$189</c15:sqref>
                        </c15:formulaRef>
                      </c:ext>
                    </c:extLst>
                    <c:numCache>
                      <c:formatCode>_(* #,##0_);_(* \(#,##0\);_(* \-??_);_(@_)</c:formatCode>
                      <c:ptCount val="4"/>
                      <c:pt idx="0">
                        <c:v>64910</c:v>
                      </c:pt>
                      <c:pt idx="1">
                        <c:v>73420</c:v>
                      </c:pt>
                      <c:pt idx="2">
                        <c:v>87100</c:v>
                      </c:pt>
                      <c:pt idx="3">
                        <c:v>19020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916-42EC-B9DB-76CF0EDCC6A1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"/>
          <c:order val="1"/>
          <c:tx>
            <c:v>Tăng trưởng doanh thu ngành CNTT svck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4701443569553805E-2"/>
                  <c:y val="-0.1471759259259260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916-42EC-B9DB-76CF0EDCC6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Report!$B$188:$I$188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1Q25</c:v>
                </c:pt>
              </c:strCache>
            </c:strRef>
          </c:cat>
          <c:val>
            <c:numRef>
              <c:f>Report!$B$191:$I$191</c:f>
              <c:numCache>
                <c:formatCode>0.0%</c:formatCode>
                <c:ptCount val="4"/>
                <c:pt idx="0">
                  <c:v>0.20419999999999999</c:v>
                </c:pt>
                <c:pt idx="1">
                  <c:v>0.13110460637806187</c:v>
                </c:pt>
                <c:pt idx="2">
                  <c:v>0.18759999999999999</c:v>
                </c:pt>
                <c:pt idx="3" formatCode="0%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16-42EC-B9DB-76CF0EDCC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2210576"/>
        <c:axId val="1242212976"/>
      </c:lineChart>
      <c:catAx>
        <c:axId val="124223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US"/>
          </a:p>
        </c:txPr>
        <c:crossAx val="1242217296"/>
        <c:crosses val="autoZero"/>
        <c:auto val="1"/>
        <c:lblAlgn val="ctr"/>
        <c:lblOffset val="100"/>
        <c:noMultiLvlLbl val="0"/>
      </c:catAx>
      <c:valAx>
        <c:axId val="1242217296"/>
        <c:scaling>
          <c:orientation val="minMax"/>
        </c:scaling>
        <c:delete val="0"/>
        <c:axPos val="l"/>
        <c:numFmt formatCode="_(* #,##0_);_(* \(#,##0\);_(* \-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US"/>
          </a:p>
        </c:txPr>
        <c:crossAx val="1242230736"/>
        <c:crosses val="autoZero"/>
        <c:crossBetween val="between"/>
      </c:valAx>
      <c:valAx>
        <c:axId val="1242212976"/>
        <c:scaling>
          <c:orientation val="minMax"/>
          <c:max val="0.25"/>
          <c:min val="-0.1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US"/>
          </a:p>
        </c:txPr>
        <c:crossAx val="1242210576"/>
        <c:crosses val="max"/>
        <c:crossBetween val="between"/>
      </c:valAx>
      <c:catAx>
        <c:axId val="12422105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422129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438298337707783"/>
          <c:y val="0.90205125400991548"/>
          <c:w val="0.63456714785651791"/>
          <c:h val="9.33191163604549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latin typeface="Noto Sans" panose="020B0502040504020204" pitchFamily="34" charset="0"/>
          <a:ea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Report!$B$214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Report!$A$216:$A$221</c:f>
              <c:strCache>
                <c:ptCount val="6"/>
                <c:pt idx="0">
                  <c:v>Taiwan</c:v>
                </c:pt>
                <c:pt idx="1">
                  <c:v>Vietnam</c:v>
                </c:pt>
                <c:pt idx="2">
                  <c:v>China</c:v>
                </c:pt>
                <c:pt idx="3">
                  <c:v>Thailand</c:v>
                </c:pt>
                <c:pt idx="4">
                  <c:v>Indonesia</c:v>
                </c:pt>
                <c:pt idx="5">
                  <c:v>Malaysia</c:v>
                </c:pt>
              </c:strCache>
            </c:strRef>
          </c:cat>
          <c:val>
            <c:numRef>
              <c:f>Report!$B$216:$B$221</c:f>
            </c:numRef>
          </c:val>
          <c:extLst>
            <c:ext xmlns:c16="http://schemas.microsoft.com/office/drawing/2014/chart" uri="{C3380CC4-5D6E-409C-BE32-E72D297353CC}">
              <c16:uniqueId val="{00000000-3BF1-40E6-AB3F-29B414B0A2BC}"/>
            </c:ext>
          </c:extLst>
        </c:ser>
        <c:ser>
          <c:idx val="1"/>
          <c:order val="1"/>
          <c:tx>
            <c:strRef>
              <c:f>Report!$C$214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Report!$A$216:$A$221</c:f>
              <c:strCache>
                <c:ptCount val="6"/>
                <c:pt idx="0">
                  <c:v>Taiwan</c:v>
                </c:pt>
                <c:pt idx="1">
                  <c:v>Vietnam</c:v>
                </c:pt>
                <c:pt idx="2">
                  <c:v>China</c:v>
                </c:pt>
                <c:pt idx="3">
                  <c:v>Thailand</c:v>
                </c:pt>
                <c:pt idx="4">
                  <c:v>Indonesia</c:v>
                </c:pt>
                <c:pt idx="5">
                  <c:v>Malaysia</c:v>
                </c:pt>
              </c:strCache>
            </c:strRef>
          </c:cat>
          <c:val>
            <c:numRef>
              <c:f>Report!$C$216:$C$221</c:f>
            </c:numRef>
          </c:val>
          <c:extLst>
            <c:ext xmlns:c16="http://schemas.microsoft.com/office/drawing/2014/chart" uri="{C3380CC4-5D6E-409C-BE32-E72D297353CC}">
              <c16:uniqueId val="{00000001-3BF1-40E6-AB3F-29B414B0A2BC}"/>
            </c:ext>
          </c:extLst>
        </c:ser>
        <c:ser>
          <c:idx val="2"/>
          <c:order val="2"/>
          <c:tx>
            <c:strRef>
              <c:f>Report!$D$215</c:f>
              <c:strCache>
                <c:ptCount val="1"/>
                <c:pt idx="0">
                  <c:v>So sánh Chi phí mỗi Megawatt giữa các khu vực - Ước tính Trung bình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Report!$A$216:$A$221</c:f>
              <c:strCache>
                <c:ptCount val="6"/>
                <c:pt idx="0">
                  <c:v>Taiwan</c:v>
                </c:pt>
                <c:pt idx="1">
                  <c:v>Vietnam</c:v>
                </c:pt>
                <c:pt idx="2">
                  <c:v>China</c:v>
                </c:pt>
                <c:pt idx="3">
                  <c:v>Thailand</c:v>
                </c:pt>
                <c:pt idx="4">
                  <c:v>Indonesia</c:v>
                </c:pt>
                <c:pt idx="5">
                  <c:v>Malaysia</c:v>
                </c:pt>
              </c:strCache>
            </c:strRef>
          </c:cat>
          <c:val>
            <c:numRef>
              <c:f>Report!$D$216:$D$221</c:f>
            </c:numRef>
          </c:val>
          <c:extLst>
            <c:ext xmlns:c16="http://schemas.microsoft.com/office/drawing/2014/chart" uri="{C3380CC4-5D6E-409C-BE32-E72D297353CC}">
              <c16:uniqueId val="{00000002-3BF1-40E6-AB3F-29B414B0A2B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326318239"/>
        <c:axId val="326321119"/>
      </c:barChart>
      <c:catAx>
        <c:axId val="32631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321119"/>
        <c:crosses val="autoZero"/>
        <c:auto val="1"/>
        <c:lblAlgn val="ctr"/>
        <c:lblOffset val="100"/>
        <c:noMultiLvlLbl val="0"/>
      </c:catAx>
      <c:valAx>
        <c:axId val="326321119"/>
        <c:scaling>
          <c:orientation val="minMax"/>
        </c:scaling>
        <c:delete val="1"/>
        <c:axPos val="l"/>
        <c:numFmt formatCode="#,##0.0" sourceLinked="0"/>
        <c:majorTickMark val="none"/>
        <c:minorTickMark val="none"/>
        <c:tickLblPos val="nextTo"/>
        <c:crossAx val="326318239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7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r>
              <a:rPr lang="en-US" sz="700"/>
              <a:t>(tỷ)</a:t>
            </a:r>
          </a:p>
        </c:rich>
      </c:tx>
      <c:layout>
        <c:manualLayout>
          <c:xMode val="edge"/>
          <c:yMode val="edge"/>
          <c:x val="5.5302809371050844E-2"/>
          <c:y val="5.277638448228268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KR"/>
        </a:p>
      </c:txPr>
    </c:title>
    <c:autoTitleDeleted val="0"/>
    <c:plotArea>
      <c:layout>
        <c:manualLayout>
          <c:layoutTarget val="inner"/>
          <c:xMode val="edge"/>
          <c:yMode val="edge"/>
          <c:x val="0.1417664542773904"/>
          <c:y val="0.14828674120220461"/>
          <c:w val="0.71893622724768835"/>
          <c:h val="0.61335254813104256"/>
        </c:manualLayout>
      </c:layout>
      <c:barChart>
        <c:barDir val="col"/>
        <c:grouping val="clustered"/>
        <c:varyColors val="0"/>
        <c:ser>
          <c:idx val="1"/>
          <c:order val="0"/>
          <c:tx>
            <c:v>Doanh thu ký mới (tỷ)</c:v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Charts!$D$47:$H$47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7M25</c:v>
                </c:pt>
              </c:strCache>
            </c:strRef>
          </c:cat>
          <c:val>
            <c:numRef>
              <c:f>Charts!$D$48:$H$48</c:f>
              <c:numCache>
                <c:formatCode>#,##0</c:formatCode>
                <c:ptCount val="5"/>
                <c:pt idx="0">
                  <c:v>15541</c:v>
                </c:pt>
                <c:pt idx="1">
                  <c:v>21594</c:v>
                </c:pt>
                <c:pt idx="2">
                  <c:v>29717</c:v>
                </c:pt>
                <c:pt idx="3">
                  <c:v>33592</c:v>
                </c:pt>
                <c:pt idx="4">
                  <c:v>23370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51-42AD-ABFB-A3CD77BAA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66310896"/>
        <c:axId val="966333456"/>
      </c:barChart>
      <c:lineChart>
        <c:grouping val="standard"/>
        <c:varyColors val="0"/>
        <c:ser>
          <c:idx val="2"/>
          <c:order val="1"/>
          <c:tx>
            <c:v>Tăng svck (%)</c:v>
          </c:tx>
          <c:spPr>
            <a:ln w="28575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Noto Sans" panose="020B0502040504020204" pitchFamily="34" charset="0"/>
                  </a:defRPr>
                </a:pPr>
                <a:endParaRPr lang="en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Charts!$D$47:$H$47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7M25</c:v>
                </c:pt>
              </c:strCache>
            </c:strRef>
          </c:cat>
          <c:val>
            <c:numRef>
              <c:f>Charts!$D$49:$H$49</c:f>
              <c:numCache>
                <c:formatCode>0.0%</c:formatCode>
                <c:ptCount val="5"/>
                <c:pt idx="0">
                  <c:v>0.18678885070637641</c:v>
                </c:pt>
                <c:pt idx="1">
                  <c:v>0.38948587606975105</c:v>
                </c:pt>
                <c:pt idx="2">
                  <c:v>0.37616930628878387</c:v>
                </c:pt>
                <c:pt idx="3">
                  <c:v>0.13039674260524281</c:v>
                </c:pt>
                <c:pt idx="4">
                  <c:v>7.6999999999999999E-2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51-42AD-ABFB-A3CD77BAA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6359856"/>
        <c:axId val="966358896"/>
      </c:lineChart>
      <c:catAx>
        <c:axId val="96631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966333456"/>
        <c:crosses val="autoZero"/>
        <c:auto val="1"/>
        <c:lblAlgn val="ctr"/>
        <c:lblOffset val="100"/>
        <c:noMultiLvlLbl val="0"/>
      </c:catAx>
      <c:valAx>
        <c:axId val="966333456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966310896"/>
        <c:crosses val="autoZero"/>
        <c:crossBetween val="between"/>
        <c:majorUnit val="10000"/>
      </c:valAx>
      <c:valAx>
        <c:axId val="966358896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defRPr>
            </a:pPr>
            <a:endParaRPr lang="en-KR"/>
          </a:p>
        </c:txPr>
        <c:crossAx val="966359856"/>
        <c:crosses val="max"/>
        <c:crossBetween val="between"/>
      </c:valAx>
      <c:catAx>
        <c:axId val="9663598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663588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057412857062901"/>
          <c:y val="0.88364442571327662"/>
          <c:w val="0.5988517428587421"/>
          <c:h val="0.11635557428672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Noto Sans" panose="020B0502040504020204" pitchFamily="34" charset="0"/>
          <a:ea typeface="Noto Sans" panose="020B0502040504020204" pitchFamily="34" charset="0"/>
          <a:cs typeface="Noto Sans" panose="020B0502040504020204" pitchFamily="34" charset="0"/>
        </a:defRPr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2657844852726742E-2"/>
          <c:y val="7.8857824103587305E-3"/>
          <c:w val="0.92898093467483212"/>
          <c:h val="0.99211421758964125"/>
        </c:manualLayout>
      </c:layout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-4.608850976961224E-3"/>
                  <c:y val="0.128357563313932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457-48FF-8789-3C255C66D433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Noto Sans" panose="020B0502040504020204" pitchFamily="34" charset="0"/>
                      <a:ea typeface="Noto Sans" panose="020B0502040504020204" pitchFamily="34" charset="0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2457-48FF-8789-3C255C66D4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" panose="020B0502040504020204" pitchFamily="34" charset="0"/>
                    <a:ea typeface="Noto Sans" panose="020B0502040504020204" pitchFamily="34" charset="0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Report!$B$188:$J$188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1Q25</c:v>
                </c:pt>
                <c:pt idx="4">
                  <c:v>2Q25</c:v>
                </c:pt>
              </c:strCache>
            </c:strRef>
          </c:cat>
          <c:val>
            <c:numRef>
              <c:f>Report!$D$191:$J$191</c:f>
              <c:numCache>
                <c:formatCode>0.0%</c:formatCode>
                <c:ptCount val="5"/>
                <c:pt idx="0">
                  <c:v>0.20419999999999999</c:v>
                </c:pt>
                <c:pt idx="1">
                  <c:v>0.13110460637806187</c:v>
                </c:pt>
                <c:pt idx="2">
                  <c:v>0.18759999999999999</c:v>
                </c:pt>
                <c:pt idx="3" formatCode="0%">
                  <c:v>0.15</c:v>
                </c:pt>
                <c:pt idx="4" formatCode="0%">
                  <c:v>3.8600000000000002E-2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57-48FF-8789-3C255C66D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42230736"/>
        <c:axId val="124221729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Report!$A$191</c15:sqref>
                        </c15:formulaRef>
                      </c:ext>
                    </c:extLst>
                    <c:strCache>
                      <c:ptCount val="1"/>
                      <c:pt idx="0">
                        <c:v>YoY growth</c:v>
                      </c:pt>
                    </c:strCache>
                  </c:strRef>
                </c:tx>
                <c:spPr>
                  <a:solidFill>
                    <a:schemeClr val="bg1">
                      <a:lumMod val="8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ellipsis" wrap="square" anchor="ctr" anchorCtr="1"/>
                    <a:lstStyle/>
                    <a:p>
                      <a:pPr>
                        <a:defRPr sz="12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Noto Sans" panose="020B0502040504020204" pitchFamily="34" charset="0"/>
                          <a:ea typeface="Noto Sans" panose="020B0502040504020204" pitchFamily="34" charset="0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Report!$B$188:$J$188</c15:sqref>
                        </c15:formulaRef>
                      </c:ext>
                    </c:extLst>
                    <c:strCache>
                      <c:ptCount val="5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  <c:pt idx="3">
                        <c:v>1Q25</c:v>
                      </c:pt>
                      <c:pt idx="4">
                        <c:v>2Q25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Report!$B$191:$I$191</c15:sqref>
                        </c15:formulaRef>
                      </c:ext>
                    </c:extLst>
                    <c:numCache>
                      <c:formatCode>0.0%</c:formatCode>
                      <c:ptCount val="4"/>
                      <c:pt idx="0">
                        <c:v>0.20419999999999999</c:v>
                      </c:pt>
                      <c:pt idx="1">
                        <c:v>0.13110460637806187</c:v>
                      </c:pt>
                      <c:pt idx="2">
                        <c:v>0.18759999999999999</c:v>
                      </c:pt>
                      <c:pt idx="3" formatCode="0%">
                        <c:v>0.15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2457-48FF-8789-3C255C66D433}"/>
                  </c:ext>
                </c:extLst>
              </c15:ser>
            </c15:filteredBarSeries>
          </c:ext>
        </c:extLst>
      </c:barChart>
      <c:catAx>
        <c:axId val="124223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+mn-cs"/>
              </a:defRPr>
            </a:pPr>
            <a:endParaRPr lang="en-US"/>
          </a:p>
        </c:txPr>
        <c:crossAx val="1242217296"/>
        <c:crosses val="autoZero"/>
        <c:auto val="1"/>
        <c:lblAlgn val="ctr"/>
        <c:lblOffset val="100"/>
        <c:noMultiLvlLbl val="0"/>
      </c:catAx>
      <c:valAx>
        <c:axId val="1242217296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1242230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Noto Sans" panose="020B0502040504020204" pitchFamily="34" charset="0"/>
          <a:ea typeface="Noto Sans" panose="020B050204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LIQUIDITY</a:t>
            </a:r>
            <a:r>
              <a:rPr lang="en-US" baseline="0"/>
              <a:t> RATIOs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Ratios!$B$8</c:f>
              <c:strCache>
                <c:ptCount val="1"/>
                <c:pt idx="0">
                  <c:v>    Current Ratio 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Ratios!$I$4:$O$4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Ratios!$C$8:$O$8</c:f>
              <c:numCache>
                <c:formatCode>#,##0.00</c:formatCode>
                <c:ptCount val="7"/>
                <c:pt idx="0">
                  <c:v>1.2736762982955805</c:v>
                </c:pt>
                <c:pt idx="1">
                  <c:v>1.1786655897941385</c:v>
                </c:pt>
                <c:pt idx="2">
                  <c:v>1.1297232327412472</c:v>
                </c:pt>
                <c:pt idx="3">
                  <c:v>1.1800089976240276</c:v>
                </c:pt>
                <c:pt idx="4">
                  <c:v>1.2616739557217973</c:v>
                </c:pt>
                <c:pt idx="5">
                  <c:v>1.2378981470395827</c:v>
                </c:pt>
                <c:pt idx="6">
                  <c:v>1.3071450428835769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24-4ADA-93AA-29D7937BBAE6}"/>
            </c:ext>
          </c:extLst>
        </c:ser>
        <c:ser>
          <c:idx val="1"/>
          <c:order val="1"/>
          <c:tx>
            <c:strRef>
              <c:f>Ratios!$B$9</c:f>
              <c:strCache>
                <c:ptCount val="1"/>
                <c:pt idx="0">
                  <c:v>    Acid-test Ratio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Ratios!$I$4:$O$4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Ratios!$C$9:$O$9</c:f>
              <c:numCache>
                <c:formatCode>#,##0.00</c:formatCode>
                <c:ptCount val="7"/>
                <c:pt idx="0">
                  <c:v>1.1767080523568723</c:v>
                </c:pt>
                <c:pt idx="1">
                  <c:v>1.0948289630670789</c:v>
                </c:pt>
                <c:pt idx="2">
                  <c:v>1.0668973132330091</c:v>
                </c:pt>
                <c:pt idx="3">
                  <c:v>1.1254641387524884</c:v>
                </c:pt>
                <c:pt idx="4">
                  <c:v>1.1751724242755717</c:v>
                </c:pt>
                <c:pt idx="5">
                  <c:v>1.1797241312829325</c:v>
                </c:pt>
                <c:pt idx="6">
                  <c:v>1.2500142093650912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24-4ADA-93AA-29D7937BBAE6}"/>
            </c:ext>
          </c:extLst>
        </c:ser>
        <c:ser>
          <c:idx val="2"/>
          <c:order val="2"/>
          <c:tx>
            <c:strRef>
              <c:f>Ratios!$B$10</c:f>
              <c:strCache>
                <c:ptCount val="1"/>
                <c:pt idx="0">
                  <c:v>    (Cash+Short term financial investment)/Current Liabilities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Ratios!$I$4:$O$4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Ratios!$C$10:$O$10</c:f>
              <c:numCache>
                <c:formatCode>#,##0.00</c:formatCode>
                <c:ptCount val="7"/>
                <c:pt idx="0">
                  <c:v>0.65699622103830257</c:v>
                </c:pt>
                <c:pt idx="1">
                  <c:v>0.6311144357878623</c:v>
                </c:pt>
                <c:pt idx="2">
                  <c:v>0.76558601063890119</c:v>
                </c:pt>
                <c:pt idx="3">
                  <c:v>0.87861539815491607</c:v>
                </c:pt>
                <c:pt idx="4">
                  <c:v>0.79471811114439728</c:v>
                </c:pt>
                <c:pt idx="5">
                  <c:v>0.82232667221949662</c:v>
                </c:pt>
                <c:pt idx="6">
                  <c:v>0.89276866751750628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24-4ADA-93AA-29D7937BBAE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84661247"/>
        <c:axId val="984660287"/>
      </c:lineChart>
      <c:catAx>
        <c:axId val="984661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660287"/>
        <c:crosses val="autoZero"/>
        <c:auto val="1"/>
        <c:lblAlgn val="ctr"/>
        <c:lblOffset val="100"/>
        <c:noMultiLvlLbl val="0"/>
      </c:catAx>
      <c:valAx>
        <c:axId val="98466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661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197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64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chartArea>
  <cs:dataLabel>
    <cs:lnRef idx="0"/>
    <cs:fillRef idx="0"/>
    <cs:effectRef idx="0"/>
    <cs:fontRef idx="minor">
      <a:schemeClr val="lt1"/>
    </cs:fontRef>
    <cs:defRPr sz="1197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197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1197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2128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1064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197" kern="1200"/>
  </cs:valueAxis>
  <cs:wall>
    <cs:lnRef idx="0"/>
    <cs:fillRef idx="0"/>
    <cs:effectRef idx="0"/>
    <cs:fontRef idx="minor">
      <a:schemeClr val="dk1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7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trlProps/ctrlProp1.xml><?xml version="1.0" encoding="utf-8"?>
<formControlPr xmlns="http://schemas.microsoft.com/office/spreadsheetml/2009/9/main" objectType="Drop" dropLines="5" dropStyle="combo" dx="22" fmlaLink="$E$5" fmlaRange="$C$11:$C$13" noThreeD="1" sel="1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chart" Target="../charts/chart24.xml"/><Relationship Id="rId21" Type="http://schemas.openxmlformats.org/officeDocument/2006/relationships/chart" Target="../charts/chart19.xml"/><Relationship Id="rId42" Type="http://schemas.openxmlformats.org/officeDocument/2006/relationships/chart" Target="../charts/chart40.xml"/><Relationship Id="rId47" Type="http://schemas.openxmlformats.org/officeDocument/2006/relationships/chart" Target="../charts/chart45.xml"/><Relationship Id="rId63" Type="http://schemas.openxmlformats.org/officeDocument/2006/relationships/chart" Target="../charts/chart61.xml"/><Relationship Id="rId68" Type="http://schemas.openxmlformats.org/officeDocument/2006/relationships/chart" Target="../charts/chart66.xml"/><Relationship Id="rId16" Type="http://schemas.openxmlformats.org/officeDocument/2006/relationships/chart" Target="../charts/chart14.xml"/><Relationship Id="rId11" Type="http://schemas.openxmlformats.org/officeDocument/2006/relationships/chart" Target="../charts/chart9.xml"/><Relationship Id="rId32" Type="http://schemas.openxmlformats.org/officeDocument/2006/relationships/chart" Target="../charts/chart30.xml"/><Relationship Id="rId37" Type="http://schemas.openxmlformats.org/officeDocument/2006/relationships/chart" Target="../charts/chart35.xml"/><Relationship Id="rId53" Type="http://schemas.openxmlformats.org/officeDocument/2006/relationships/chart" Target="../charts/chart51.xml"/><Relationship Id="rId58" Type="http://schemas.openxmlformats.org/officeDocument/2006/relationships/chart" Target="../charts/chart56.xml"/><Relationship Id="rId74" Type="http://schemas.openxmlformats.org/officeDocument/2006/relationships/chart" Target="../charts/chart72.xml"/><Relationship Id="rId79" Type="http://schemas.openxmlformats.org/officeDocument/2006/relationships/chart" Target="../charts/chart77.xml"/><Relationship Id="rId5" Type="http://schemas.openxmlformats.org/officeDocument/2006/relationships/chart" Target="../charts/chart3.xml"/><Relationship Id="rId61" Type="http://schemas.openxmlformats.org/officeDocument/2006/relationships/chart" Target="../charts/chart59.xml"/><Relationship Id="rId82" Type="http://schemas.openxmlformats.org/officeDocument/2006/relationships/chart" Target="../charts/chart80.xml"/><Relationship Id="rId19" Type="http://schemas.openxmlformats.org/officeDocument/2006/relationships/chart" Target="../charts/chart17.xml"/><Relationship Id="rId14" Type="http://schemas.openxmlformats.org/officeDocument/2006/relationships/chart" Target="../charts/chart12.xml"/><Relationship Id="rId22" Type="http://schemas.openxmlformats.org/officeDocument/2006/relationships/chart" Target="../charts/chart20.xml"/><Relationship Id="rId27" Type="http://schemas.openxmlformats.org/officeDocument/2006/relationships/chart" Target="../charts/chart25.xml"/><Relationship Id="rId30" Type="http://schemas.openxmlformats.org/officeDocument/2006/relationships/chart" Target="../charts/chart28.xml"/><Relationship Id="rId35" Type="http://schemas.openxmlformats.org/officeDocument/2006/relationships/chart" Target="../charts/chart33.xml"/><Relationship Id="rId43" Type="http://schemas.openxmlformats.org/officeDocument/2006/relationships/chart" Target="../charts/chart41.xml"/><Relationship Id="rId48" Type="http://schemas.openxmlformats.org/officeDocument/2006/relationships/chart" Target="../charts/chart46.xml"/><Relationship Id="rId56" Type="http://schemas.openxmlformats.org/officeDocument/2006/relationships/chart" Target="../charts/chart54.xml"/><Relationship Id="rId64" Type="http://schemas.openxmlformats.org/officeDocument/2006/relationships/chart" Target="../charts/chart62.xml"/><Relationship Id="rId69" Type="http://schemas.openxmlformats.org/officeDocument/2006/relationships/chart" Target="../charts/chart67.xml"/><Relationship Id="rId77" Type="http://schemas.openxmlformats.org/officeDocument/2006/relationships/chart" Target="../charts/chart75.xml"/><Relationship Id="rId8" Type="http://schemas.openxmlformats.org/officeDocument/2006/relationships/chart" Target="../charts/chart6.xml"/><Relationship Id="rId51" Type="http://schemas.openxmlformats.org/officeDocument/2006/relationships/chart" Target="../charts/chart49.xml"/><Relationship Id="rId72" Type="http://schemas.openxmlformats.org/officeDocument/2006/relationships/chart" Target="../charts/chart70.xml"/><Relationship Id="rId80" Type="http://schemas.openxmlformats.org/officeDocument/2006/relationships/chart" Target="../charts/chart78.xml"/><Relationship Id="rId3" Type="http://schemas.openxmlformats.org/officeDocument/2006/relationships/image" Target="../media/image3.png"/><Relationship Id="rId12" Type="http://schemas.openxmlformats.org/officeDocument/2006/relationships/chart" Target="../charts/chart10.xml"/><Relationship Id="rId17" Type="http://schemas.openxmlformats.org/officeDocument/2006/relationships/chart" Target="../charts/chart15.xml"/><Relationship Id="rId25" Type="http://schemas.openxmlformats.org/officeDocument/2006/relationships/chart" Target="../charts/chart23.xml"/><Relationship Id="rId33" Type="http://schemas.openxmlformats.org/officeDocument/2006/relationships/chart" Target="../charts/chart31.xml"/><Relationship Id="rId38" Type="http://schemas.openxmlformats.org/officeDocument/2006/relationships/chart" Target="../charts/chart36.xml"/><Relationship Id="rId46" Type="http://schemas.openxmlformats.org/officeDocument/2006/relationships/chart" Target="../charts/chart44.xml"/><Relationship Id="rId59" Type="http://schemas.openxmlformats.org/officeDocument/2006/relationships/chart" Target="../charts/chart57.xml"/><Relationship Id="rId67" Type="http://schemas.openxmlformats.org/officeDocument/2006/relationships/chart" Target="../charts/chart65.xml"/><Relationship Id="rId20" Type="http://schemas.openxmlformats.org/officeDocument/2006/relationships/chart" Target="../charts/chart18.xml"/><Relationship Id="rId41" Type="http://schemas.openxmlformats.org/officeDocument/2006/relationships/chart" Target="../charts/chart39.xml"/><Relationship Id="rId54" Type="http://schemas.openxmlformats.org/officeDocument/2006/relationships/chart" Target="../charts/chart52.xml"/><Relationship Id="rId62" Type="http://schemas.openxmlformats.org/officeDocument/2006/relationships/chart" Target="../charts/chart60.xml"/><Relationship Id="rId70" Type="http://schemas.openxmlformats.org/officeDocument/2006/relationships/chart" Target="../charts/chart68.xml"/><Relationship Id="rId75" Type="http://schemas.openxmlformats.org/officeDocument/2006/relationships/chart" Target="../charts/chart73.xml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15" Type="http://schemas.openxmlformats.org/officeDocument/2006/relationships/chart" Target="../charts/chart13.xml"/><Relationship Id="rId23" Type="http://schemas.openxmlformats.org/officeDocument/2006/relationships/chart" Target="../charts/chart21.xml"/><Relationship Id="rId28" Type="http://schemas.openxmlformats.org/officeDocument/2006/relationships/chart" Target="../charts/chart26.xml"/><Relationship Id="rId36" Type="http://schemas.openxmlformats.org/officeDocument/2006/relationships/chart" Target="../charts/chart34.xml"/><Relationship Id="rId49" Type="http://schemas.openxmlformats.org/officeDocument/2006/relationships/chart" Target="../charts/chart47.xml"/><Relationship Id="rId57" Type="http://schemas.openxmlformats.org/officeDocument/2006/relationships/chart" Target="../charts/chart55.xml"/><Relationship Id="rId10" Type="http://schemas.openxmlformats.org/officeDocument/2006/relationships/chart" Target="../charts/chart8.xml"/><Relationship Id="rId31" Type="http://schemas.openxmlformats.org/officeDocument/2006/relationships/chart" Target="../charts/chart29.xml"/><Relationship Id="rId44" Type="http://schemas.openxmlformats.org/officeDocument/2006/relationships/chart" Target="../charts/chart42.xml"/><Relationship Id="rId52" Type="http://schemas.openxmlformats.org/officeDocument/2006/relationships/chart" Target="../charts/chart50.xml"/><Relationship Id="rId60" Type="http://schemas.openxmlformats.org/officeDocument/2006/relationships/chart" Target="../charts/chart58.xml"/><Relationship Id="rId65" Type="http://schemas.openxmlformats.org/officeDocument/2006/relationships/chart" Target="../charts/chart63.xml"/><Relationship Id="rId73" Type="http://schemas.openxmlformats.org/officeDocument/2006/relationships/chart" Target="../charts/chart71.xml"/><Relationship Id="rId78" Type="http://schemas.openxmlformats.org/officeDocument/2006/relationships/chart" Target="../charts/chart76.xml"/><Relationship Id="rId81" Type="http://schemas.openxmlformats.org/officeDocument/2006/relationships/chart" Target="../charts/chart79.xml"/><Relationship Id="rId4" Type="http://schemas.openxmlformats.org/officeDocument/2006/relationships/chart" Target="../charts/chart2.xml"/><Relationship Id="rId9" Type="http://schemas.openxmlformats.org/officeDocument/2006/relationships/chart" Target="../charts/chart7.xml"/><Relationship Id="rId13" Type="http://schemas.openxmlformats.org/officeDocument/2006/relationships/chart" Target="../charts/chart11.xml"/><Relationship Id="rId18" Type="http://schemas.openxmlformats.org/officeDocument/2006/relationships/chart" Target="../charts/chart16.xml"/><Relationship Id="rId39" Type="http://schemas.openxmlformats.org/officeDocument/2006/relationships/chart" Target="../charts/chart37.xml"/><Relationship Id="rId34" Type="http://schemas.openxmlformats.org/officeDocument/2006/relationships/chart" Target="../charts/chart32.xml"/><Relationship Id="rId50" Type="http://schemas.openxmlformats.org/officeDocument/2006/relationships/chart" Target="../charts/chart48.xml"/><Relationship Id="rId55" Type="http://schemas.openxmlformats.org/officeDocument/2006/relationships/chart" Target="../charts/chart53.xml"/><Relationship Id="rId76" Type="http://schemas.openxmlformats.org/officeDocument/2006/relationships/chart" Target="../charts/chart74.xml"/><Relationship Id="rId7" Type="http://schemas.openxmlformats.org/officeDocument/2006/relationships/chart" Target="../charts/chart5.xml"/><Relationship Id="rId71" Type="http://schemas.openxmlformats.org/officeDocument/2006/relationships/chart" Target="../charts/chart69.xml"/><Relationship Id="rId2" Type="http://schemas.openxmlformats.org/officeDocument/2006/relationships/image" Target="../media/image2.png"/><Relationship Id="rId29" Type="http://schemas.openxmlformats.org/officeDocument/2006/relationships/chart" Target="../charts/chart27.xml"/><Relationship Id="rId24" Type="http://schemas.openxmlformats.org/officeDocument/2006/relationships/chart" Target="../charts/chart22.xml"/><Relationship Id="rId40" Type="http://schemas.openxmlformats.org/officeDocument/2006/relationships/chart" Target="../charts/chart38.xml"/><Relationship Id="rId45" Type="http://schemas.openxmlformats.org/officeDocument/2006/relationships/chart" Target="../charts/chart43.xml"/><Relationship Id="rId66" Type="http://schemas.openxmlformats.org/officeDocument/2006/relationships/chart" Target="../charts/chart6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7.xml"/><Relationship Id="rId13" Type="http://schemas.openxmlformats.org/officeDocument/2006/relationships/chart" Target="../charts/chart92.xml"/><Relationship Id="rId18" Type="http://schemas.openxmlformats.org/officeDocument/2006/relationships/chart" Target="../charts/chart97.xml"/><Relationship Id="rId26" Type="http://schemas.openxmlformats.org/officeDocument/2006/relationships/chart" Target="../charts/chart105.xml"/><Relationship Id="rId3" Type="http://schemas.openxmlformats.org/officeDocument/2006/relationships/chart" Target="../charts/chart82.xml"/><Relationship Id="rId21" Type="http://schemas.openxmlformats.org/officeDocument/2006/relationships/chart" Target="../charts/chart100.xml"/><Relationship Id="rId7" Type="http://schemas.openxmlformats.org/officeDocument/2006/relationships/chart" Target="../charts/chart86.xml"/><Relationship Id="rId12" Type="http://schemas.openxmlformats.org/officeDocument/2006/relationships/chart" Target="../charts/chart91.xml"/><Relationship Id="rId17" Type="http://schemas.openxmlformats.org/officeDocument/2006/relationships/chart" Target="../charts/chart96.xml"/><Relationship Id="rId25" Type="http://schemas.openxmlformats.org/officeDocument/2006/relationships/chart" Target="../charts/chart104.xml"/><Relationship Id="rId2" Type="http://schemas.openxmlformats.org/officeDocument/2006/relationships/image" Target="../media/image5.jpeg"/><Relationship Id="rId16" Type="http://schemas.openxmlformats.org/officeDocument/2006/relationships/chart" Target="../charts/chart95.xml"/><Relationship Id="rId20" Type="http://schemas.openxmlformats.org/officeDocument/2006/relationships/chart" Target="../charts/chart99.xml"/><Relationship Id="rId29" Type="http://schemas.openxmlformats.org/officeDocument/2006/relationships/chart" Target="../charts/chart108.xml"/><Relationship Id="rId1" Type="http://schemas.openxmlformats.org/officeDocument/2006/relationships/chart" Target="../charts/chart81.xml"/><Relationship Id="rId6" Type="http://schemas.openxmlformats.org/officeDocument/2006/relationships/chart" Target="../charts/chart85.xml"/><Relationship Id="rId11" Type="http://schemas.openxmlformats.org/officeDocument/2006/relationships/chart" Target="../charts/chart90.xml"/><Relationship Id="rId24" Type="http://schemas.openxmlformats.org/officeDocument/2006/relationships/chart" Target="../charts/chart103.xml"/><Relationship Id="rId32" Type="http://schemas.openxmlformats.org/officeDocument/2006/relationships/chart" Target="../charts/chart111.xml"/><Relationship Id="rId5" Type="http://schemas.openxmlformats.org/officeDocument/2006/relationships/chart" Target="../charts/chart84.xml"/><Relationship Id="rId15" Type="http://schemas.openxmlformats.org/officeDocument/2006/relationships/chart" Target="../charts/chart94.xml"/><Relationship Id="rId23" Type="http://schemas.openxmlformats.org/officeDocument/2006/relationships/chart" Target="../charts/chart102.xml"/><Relationship Id="rId28" Type="http://schemas.openxmlformats.org/officeDocument/2006/relationships/chart" Target="../charts/chart107.xml"/><Relationship Id="rId10" Type="http://schemas.openxmlformats.org/officeDocument/2006/relationships/chart" Target="../charts/chart89.xml"/><Relationship Id="rId19" Type="http://schemas.openxmlformats.org/officeDocument/2006/relationships/chart" Target="../charts/chart98.xml"/><Relationship Id="rId31" Type="http://schemas.openxmlformats.org/officeDocument/2006/relationships/chart" Target="../charts/chart110.xml"/><Relationship Id="rId4" Type="http://schemas.openxmlformats.org/officeDocument/2006/relationships/chart" Target="../charts/chart83.xml"/><Relationship Id="rId9" Type="http://schemas.openxmlformats.org/officeDocument/2006/relationships/chart" Target="../charts/chart88.xml"/><Relationship Id="rId14" Type="http://schemas.openxmlformats.org/officeDocument/2006/relationships/chart" Target="../charts/chart93.xml"/><Relationship Id="rId22" Type="http://schemas.openxmlformats.org/officeDocument/2006/relationships/chart" Target="../charts/chart101.xml"/><Relationship Id="rId27" Type="http://schemas.openxmlformats.org/officeDocument/2006/relationships/chart" Target="../charts/chart106.xml"/><Relationship Id="rId30" Type="http://schemas.openxmlformats.org/officeDocument/2006/relationships/chart" Target="../charts/chart109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7.xml"/><Relationship Id="rId3" Type="http://schemas.openxmlformats.org/officeDocument/2006/relationships/chart" Target="../charts/chart112.xml"/><Relationship Id="rId7" Type="http://schemas.openxmlformats.org/officeDocument/2006/relationships/chart" Target="../charts/chart116.xml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chart" Target="../charts/chart115.xml"/><Relationship Id="rId5" Type="http://schemas.openxmlformats.org/officeDocument/2006/relationships/chart" Target="../charts/chart114.xml"/><Relationship Id="rId4" Type="http://schemas.openxmlformats.org/officeDocument/2006/relationships/chart" Target="../charts/chart113.xml"/></Relationships>
</file>

<file path=xl/drawings/_rels/drawing12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27.xml"/><Relationship Id="rId18" Type="http://schemas.openxmlformats.org/officeDocument/2006/relationships/chart" Target="../charts/chart132.xml"/><Relationship Id="rId26" Type="http://schemas.openxmlformats.org/officeDocument/2006/relationships/chart" Target="../charts/chart140.xml"/><Relationship Id="rId39" Type="http://schemas.openxmlformats.org/officeDocument/2006/relationships/chart" Target="../charts/chart153.xml"/><Relationship Id="rId21" Type="http://schemas.openxmlformats.org/officeDocument/2006/relationships/chart" Target="../charts/chart135.xml"/><Relationship Id="rId34" Type="http://schemas.openxmlformats.org/officeDocument/2006/relationships/chart" Target="../charts/chart148.xml"/><Relationship Id="rId42" Type="http://schemas.openxmlformats.org/officeDocument/2006/relationships/chart" Target="../charts/chart156.xml"/><Relationship Id="rId47" Type="http://schemas.openxmlformats.org/officeDocument/2006/relationships/chart" Target="../charts/chart161.xml"/><Relationship Id="rId7" Type="http://schemas.openxmlformats.org/officeDocument/2006/relationships/image" Target="../media/image10.png"/><Relationship Id="rId2" Type="http://schemas.openxmlformats.org/officeDocument/2006/relationships/chart" Target="../charts/chart119.xml"/><Relationship Id="rId16" Type="http://schemas.openxmlformats.org/officeDocument/2006/relationships/chart" Target="../charts/chart130.xml"/><Relationship Id="rId29" Type="http://schemas.openxmlformats.org/officeDocument/2006/relationships/chart" Target="../charts/chart143.xml"/><Relationship Id="rId1" Type="http://schemas.openxmlformats.org/officeDocument/2006/relationships/chart" Target="../charts/chart118.xml"/><Relationship Id="rId6" Type="http://schemas.openxmlformats.org/officeDocument/2006/relationships/image" Target="../media/image9.jpeg"/><Relationship Id="rId11" Type="http://schemas.openxmlformats.org/officeDocument/2006/relationships/chart" Target="../charts/chart125.xml"/><Relationship Id="rId24" Type="http://schemas.openxmlformats.org/officeDocument/2006/relationships/chart" Target="../charts/chart138.xml"/><Relationship Id="rId32" Type="http://schemas.openxmlformats.org/officeDocument/2006/relationships/chart" Target="../charts/chart146.xml"/><Relationship Id="rId37" Type="http://schemas.openxmlformats.org/officeDocument/2006/relationships/chart" Target="../charts/chart151.xml"/><Relationship Id="rId40" Type="http://schemas.openxmlformats.org/officeDocument/2006/relationships/chart" Target="../charts/chart154.xml"/><Relationship Id="rId45" Type="http://schemas.openxmlformats.org/officeDocument/2006/relationships/chart" Target="../charts/chart159.xml"/><Relationship Id="rId5" Type="http://schemas.openxmlformats.org/officeDocument/2006/relationships/image" Target="../media/image8.png"/><Relationship Id="rId15" Type="http://schemas.openxmlformats.org/officeDocument/2006/relationships/chart" Target="../charts/chart129.xml"/><Relationship Id="rId23" Type="http://schemas.openxmlformats.org/officeDocument/2006/relationships/chart" Target="../charts/chart137.xml"/><Relationship Id="rId28" Type="http://schemas.openxmlformats.org/officeDocument/2006/relationships/chart" Target="../charts/chart142.xml"/><Relationship Id="rId36" Type="http://schemas.openxmlformats.org/officeDocument/2006/relationships/chart" Target="../charts/chart150.xml"/><Relationship Id="rId10" Type="http://schemas.openxmlformats.org/officeDocument/2006/relationships/chart" Target="../charts/chart124.xml"/><Relationship Id="rId19" Type="http://schemas.openxmlformats.org/officeDocument/2006/relationships/chart" Target="../charts/chart133.xml"/><Relationship Id="rId31" Type="http://schemas.openxmlformats.org/officeDocument/2006/relationships/chart" Target="../charts/chart145.xml"/><Relationship Id="rId44" Type="http://schemas.openxmlformats.org/officeDocument/2006/relationships/chart" Target="../charts/chart158.xml"/><Relationship Id="rId4" Type="http://schemas.openxmlformats.org/officeDocument/2006/relationships/chart" Target="../charts/chart121.xml"/><Relationship Id="rId9" Type="http://schemas.openxmlformats.org/officeDocument/2006/relationships/chart" Target="../charts/chart123.xml"/><Relationship Id="rId14" Type="http://schemas.openxmlformats.org/officeDocument/2006/relationships/chart" Target="../charts/chart128.xml"/><Relationship Id="rId22" Type="http://schemas.openxmlformats.org/officeDocument/2006/relationships/chart" Target="../charts/chart136.xml"/><Relationship Id="rId27" Type="http://schemas.openxmlformats.org/officeDocument/2006/relationships/chart" Target="../charts/chart141.xml"/><Relationship Id="rId30" Type="http://schemas.openxmlformats.org/officeDocument/2006/relationships/chart" Target="../charts/chart144.xml"/><Relationship Id="rId35" Type="http://schemas.openxmlformats.org/officeDocument/2006/relationships/chart" Target="../charts/chart149.xml"/><Relationship Id="rId43" Type="http://schemas.openxmlformats.org/officeDocument/2006/relationships/chart" Target="../charts/chart157.xml"/><Relationship Id="rId48" Type="http://schemas.openxmlformats.org/officeDocument/2006/relationships/chart" Target="../charts/chart162.xml"/><Relationship Id="rId8" Type="http://schemas.openxmlformats.org/officeDocument/2006/relationships/chart" Target="../charts/chart122.xml"/><Relationship Id="rId3" Type="http://schemas.openxmlformats.org/officeDocument/2006/relationships/chart" Target="../charts/chart120.xml"/><Relationship Id="rId12" Type="http://schemas.openxmlformats.org/officeDocument/2006/relationships/chart" Target="../charts/chart126.xml"/><Relationship Id="rId17" Type="http://schemas.openxmlformats.org/officeDocument/2006/relationships/chart" Target="../charts/chart131.xml"/><Relationship Id="rId25" Type="http://schemas.openxmlformats.org/officeDocument/2006/relationships/chart" Target="../charts/chart139.xml"/><Relationship Id="rId33" Type="http://schemas.openxmlformats.org/officeDocument/2006/relationships/chart" Target="../charts/chart147.xml"/><Relationship Id="rId38" Type="http://schemas.openxmlformats.org/officeDocument/2006/relationships/chart" Target="../charts/chart152.xml"/><Relationship Id="rId46" Type="http://schemas.openxmlformats.org/officeDocument/2006/relationships/chart" Target="../charts/chart160.xml"/><Relationship Id="rId20" Type="http://schemas.openxmlformats.org/officeDocument/2006/relationships/chart" Target="../charts/chart134.xml"/><Relationship Id="rId41" Type="http://schemas.openxmlformats.org/officeDocument/2006/relationships/chart" Target="../charts/chart155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5.xml"/><Relationship Id="rId7" Type="http://schemas.openxmlformats.org/officeDocument/2006/relationships/chart" Target="../charts/chart169.xml"/><Relationship Id="rId2" Type="http://schemas.openxmlformats.org/officeDocument/2006/relationships/chart" Target="../charts/chart164.xml"/><Relationship Id="rId1" Type="http://schemas.openxmlformats.org/officeDocument/2006/relationships/chart" Target="../charts/chart163.xml"/><Relationship Id="rId6" Type="http://schemas.openxmlformats.org/officeDocument/2006/relationships/chart" Target="../charts/chart168.xml"/><Relationship Id="rId5" Type="http://schemas.openxmlformats.org/officeDocument/2006/relationships/chart" Target="../charts/chart167.xml"/><Relationship Id="rId4" Type="http://schemas.openxmlformats.org/officeDocument/2006/relationships/chart" Target="../charts/chart16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0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523875</xdr:colOff>
          <xdr:row>3</xdr:row>
          <xdr:rowOff>152400</xdr:rowOff>
        </xdr:from>
        <xdr:to>
          <xdr:col>5</xdr:col>
          <xdr:colOff>142875</xdr:colOff>
          <xdr:row>5</xdr:row>
          <xdr:rowOff>9525</xdr:rowOff>
        </xdr:to>
        <xdr:sp macro="" textlink="">
          <xdr:nvSpPr>
            <xdr:cNvPr id="62193665" name="Drop Down 1" hidden="1">
              <a:extLst>
                <a:ext uri="{63B3BB69-23CF-44E3-9099-C40C66FF867C}">
                  <a14:compatExt spid="_x0000_s62193665"/>
                </a:ext>
                <a:ext uri="{FF2B5EF4-FFF2-40B4-BE49-F238E27FC236}">
                  <a16:creationId xmlns:a16="http://schemas.microsoft.com/office/drawing/2014/main" id="{00000000-0008-0000-0200-00000100B5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11</xdr:col>
      <xdr:colOff>295603</xdr:colOff>
      <xdr:row>73</xdr:row>
      <xdr:rowOff>24304</xdr:rowOff>
    </xdr:from>
    <xdr:to>
      <xdr:col>18</xdr:col>
      <xdr:colOff>446689</xdr:colOff>
      <xdr:row>87</xdr:row>
      <xdr:rowOff>87366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87F88E-57A2-B28E-0D28-71B1018DE0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103</xdr:col>
      <xdr:colOff>405848</xdr:colOff>
      <xdr:row>74</xdr:row>
      <xdr:rowOff>41413</xdr:rowOff>
    </xdr:from>
    <xdr:to>
      <xdr:col>114</xdr:col>
      <xdr:colOff>202924</xdr:colOff>
      <xdr:row>111</xdr:row>
      <xdr:rowOff>89040</xdr:rowOff>
    </xdr:to>
    <xdr:pic>
      <xdr:nvPicPr>
        <xdr:cNvPr id="61851140" name="Picture 1">
          <a:extLst>
            <a:ext uri="{FF2B5EF4-FFF2-40B4-BE49-F238E27FC236}">
              <a16:creationId xmlns:a16="http://schemas.microsoft.com/office/drawing/2014/main" id="{00000000-0008-0000-0200-000004C6A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6305" y="12134022"/>
          <a:ext cx="6265793" cy="61767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</xdr:col>
      <xdr:colOff>57150</xdr:colOff>
      <xdr:row>12</xdr:row>
      <xdr:rowOff>76200</xdr:rowOff>
    </xdr:from>
    <xdr:to>
      <xdr:col>19</xdr:col>
      <xdr:colOff>47625</xdr:colOff>
      <xdr:row>21</xdr:row>
      <xdr:rowOff>114300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CxnSpPr/>
      </xdr:nvCxnSpPr>
      <xdr:spPr bwMode="auto">
        <a:xfrm flipV="1">
          <a:off x="10906125" y="1857375"/>
          <a:ext cx="838200" cy="1495425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 editAs="oneCell">
    <xdr:from>
      <xdr:col>71</xdr:col>
      <xdr:colOff>538370</xdr:colOff>
      <xdr:row>108</xdr:row>
      <xdr:rowOff>0</xdr:rowOff>
    </xdr:from>
    <xdr:to>
      <xdr:col>77</xdr:col>
      <xdr:colOff>372716</xdr:colOff>
      <xdr:row>121</xdr:row>
      <xdr:rowOff>60665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222F69-E162-B68D-2048-51896242D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39022" y="17724783"/>
          <a:ext cx="3901109" cy="2214143"/>
        </a:xfrm>
        <a:prstGeom prst="rect">
          <a:avLst/>
        </a:prstGeom>
      </xdr:spPr>
    </xdr:pic>
    <xdr:clientData/>
  </xdr:twoCellAnchor>
  <xdr:twoCellAnchor editAs="oneCell">
    <xdr:from>
      <xdr:col>58</xdr:col>
      <xdr:colOff>687456</xdr:colOff>
      <xdr:row>89</xdr:row>
      <xdr:rowOff>45554</xdr:rowOff>
    </xdr:from>
    <xdr:to>
      <xdr:col>65</xdr:col>
      <xdr:colOff>629991</xdr:colOff>
      <xdr:row>107</xdr:row>
      <xdr:rowOff>16969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D10728-7737-7768-2F7E-45B09590B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22565" y="14622945"/>
          <a:ext cx="5284817" cy="2953155"/>
        </a:xfrm>
        <a:prstGeom prst="rect">
          <a:avLst/>
        </a:prstGeom>
      </xdr:spPr>
    </xdr:pic>
    <xdr:clientData/>
  </xdr:twoCellAnchor>
  <xdr:twoCellAnchor>
    <xdr:from>
      <xdr:col>14</xdr:col>
      <xdr:colOff>563222</xdr:colOff>
      <xdr:row>234</xdr:row>
      <xdr:rowOff>127552</xdr:rowOff>
    </xdr:from>
    <xdr:to>
      <xdr:col>19</xdr:col>
      <xdr:colOff>911092</xdr:colOff>
      <xdr:row>252</xdr:row>
      <xdr:rowOff>62948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CA3306-14FC-B22C-F88B-FE6AD8BF99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65</xdr:col>
      <xdr:colOff>273327</xdr:colOff>
      <xdr:row>27</xdr:row>
      <xdr:rowOff>11596</xdr:rowOff>
    </xdr:from>
    <xdr:to>
      <xdr:col>78</xdr:col>
      <xdr:colOff>207066</xdr:colOff>
      <xdr:row>43</xdr:row>
      <xdr:rowOff>104362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D3BA08E-4DEA-7295-C7D1-2B3A4BC37C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712719</xdr:colOff>
      <xdr:row>164</xdr:row>
      <xdr:rowOff>108915</xdr:rowOff>
    </xdr:from>
    <xdr:to>
      <xdr:col>23</xdr:col>
      <xdr:colOff>62593</xdr:colOff>
      <xdr:row>176</xdr:row>
      <xdr:rowOff>72444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63392AC-1491-0E8F-4A6E-072C71F97A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79</xdr:col>
      <xdr:colOff>0</xdr:colOff>
      <xdr:row>27</xdr:row>
      <xdr:rowOff>1</xdr:rowOff>
    </xdr:from>
    <xdr:to>
      <xdr:col>85</xdr:col>
      <xdr:colOff>621195</xdr:colOff>
      <xdr:row>44</xdr:row>
      <xdr:rowOff>24849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313BFD2-7F0E-D24B-9F1A-A5A5A391AB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66674</xdr:colOff>
      <xdr:row>115</xdr:row>
      <xdr:rowOff>147637</xdr:rowOff>
    </xdr:from>
    <xdr:to>
      <xdr:col>23</xdr:col>
      <xdr:colOff>609599</xdr:colOff>
      <xdr:row>152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5829E3D-CEDF-6BCD-FD42-BDA4D1EAA9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291353</xdr:colOff>
      <xdr:row>116</xdr:row>
      <xdr:rowOff>0</xdr:rowOff>
    </xdr:from>
    <xdr:to>
      <xdr:col>32</xdr:col>
      <xdr:colOff>277090</xdr:colOff>
      <xdr:row>153</xdr:row>
      <xdr:rowOff>86591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4BDB0D2-3D97-7B4C-E3F6-CBA77FDE89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32</xdr:col>
      <xdr:colOff>133350</xdr:colOff>
      <xdr:row>141</xdr:row>
      <xdr:rowOff>41827</xdr:rowOff>
    </xdr:from>
    <xdr:to>
      <xdr:col>40</xdr:col>
      <xdr:colOff>317041</xdr:colOff>
      <xdr:row>168</xdr:row>
      <xdr:rowOff>124691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CD077CD-CD98-4844-888A-D21151BA95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18</xdr:col>
      <xdr:colOff>68036</xdr:colOff>
      <xdr:row>30</xdr:row>
      <xdr:rowOff>122463</xdr:rowOff>
    </xdr:from>
    <xdr:to>
      <xdr:col>22</xdr:col>
      <xdr:colOff>680357</xdr:colOff>
      <xdr:row>48</xdr:row>
      <xdr:rowOff>136071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F6D2D89-1787-B363-CB56-70B2C814BE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22</xdr:col>
      <xdr:colOff>721179</xdr:colOff>
      <xdr:row>30</xdr:row>
      <xdr:rowOff>27214</xdr:rowOff>
    </xdr:from>
    <xdr:to>
      <xdr:col>29</xdr:col>
      <xdr:colOff>-1</xdr:colOff>
      <xdr:row>48</xdr:row>
      <xdr:rowOff>40822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6E200AE-2F22-4425-8F10-2690092224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66</xdr:col>
      <xdr:colOff>399317</xdr:colOff>
      <xdr:row>134</xdr:row>
      <xdr:rowOff>2198</xdr:rowOff>
    </xdr:from>
    <xdr:to>
      <xdr:col>71</xdr:col>
      <xdr:colOff>468190</xdr:colOff>
      <xdr:row>148</xdr:row>
      <xdr:rowOff>80596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615EE757-5048-7D5E-6F91-845A28E9B9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65</xdr:col>
      <xdr:colOff>442546</xdr:colOff>
      <xdr:row>149</xdr:row>
      <xdr:rowOff>153866</xdr:rowOff>
    </xdr:from>
    <xdr:to>
      <xdr:col>72</xdr:col>
      <xdr:colOff>567104</xdr:colOff>
      <xdr:row>166</xdr:row>
      <xdr:rowOff>156796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88510158-29C5-49B2-8726-DCDC49C70A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66</xdr:col>
      <xdr:colOff>87924</xdr:colOff>
      <xdr:row>106</xdr:row>
      <xdr:rowOff>120894</xdr:rowOff>
    </xdr:from>
    <xdr:to>
      <xdr:col>73</xdr:col>
      <xdr:colOff>279157</xdr:colOff>
      <xdr:row>133</xdr:row>
      <xdr:rowOff>123824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4F3E7FCE-4588-7500-52C1-9A9B5BA020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63</xdr:col>
      <xdr:colOff>205154</xdr:colOff>
      <xdr:row>152</xdr:row>
      <xdr:rowOff>73270</xdr:rowOff>
    </xdr:from>
    <xdr:to>
      <xdr:col>63</xdr:col>
      <xdr:colOff>731520</xdr:colOff>
      <xdr:row>162</xdr:row>
      <xdr:rowOff>99647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63392AC-1491-0E8F-4A6E-072C71F97A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70</xdr:col>
      <xdr:colOff>630115</xdr:colOff>
      <xdr:row>148</xdr:row>
      <xdr:rowOff>53486</xdr:rowOff>
    </xdr:from>
    <xdr:to>
      <xdr:col>77</xdr:col>
      <xdr:colOff>380999</xdr:colOff>
      <xdr:row>165</xdr:row>
      <xdr:rowOff>56417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D21C982-D259-780B-921E-B79C962E4A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66</xdr:col>
      <xdr:colOff>405912</xdr:colOff>
      <xdr:row>166</xdr:row>
      <xdr:rowOff>139944</xdr:rowOff>
    </xdr:from>
    <xdr:to>
      <xdr:col>72</xdr:col>
      <xdr:colOff>149470</xdr:colOff>
      <xdr:row>176</xdr:row>
      <xdr:rowOff>6839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63392AC-1491-0E8F-4A6E-072C71F97A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68</xdr:col>
      <xdr:colOff>0</xdr:colOff>
      <xdr:row>184</xdr:row>
      <xdr:rowOff>0</xdr:rowOff>
    </xdr:from>
    <xdr:to>
      <xdr:col>72</xdr:col>
      <xdr:colOff>424863</xdr:colOff>
      <xdr:row>193</xdr:row>
      <xdr:rowOff>22469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018F904-EB1D-FADF-1C18-915B93BB0D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66</xdr:col>
      <xdr:colOff>196102</xdr:colOff>
      <xdr:row>151</xdr:row>
      <xdr:rowOff>158563</xdr:rowOff>
    </xdr:from>
    <xdr:to>
      <xdr:col>73</xdr:col>
      <xdr:colOff>510988</xdr:colOff>
      <xdr:row>169</xdr:row>
      <xdr:rowOff>77881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A3BD8BE-92B7-5B21-11D1-2C57E45C7B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19</xdr:col>
      <xdr:colOff>942975</xdr:colOff>
      <xdr:row>177</xdr:row>
      <xdr:rowOff>66675</xdr:rowOff>
    </xdr:from>
    <xdr:to>
      <xdr:col>23</xdr:col>
      <xdr:colOff>322580</xdr:colOff>
      <xdr:row>188</xdr:row>
      <xdr:rowOff>134620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DD21FBCD-096F-C01B-8E51-E5376FFF82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60</xdr:col>
      <xdr:colOff>180974</xdr:colOff>
      <xdr:row>179</xdr:row>
      <xdr:rowOff>85724</xdr:rowOff>
    </xdr:from>
    <xdr:to>
      <xdr:col>67</xdr:col>
      <xdr:colOff>457199</xdr:colOff>
      <xdr:row>194</xdr:row>
      <xdr:rowOff>57150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DD21FBCD-096F-C01B-8E51-E5376FFF82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44</xdr:col>
      <xdr:colOff>0</xdr:colOff>
      <xdr:row>225</xdr:row>
      <xdr:rowOff>0</xdr:rowOff>
    </xdr:from>
    <xdr:to>
      <xdr:col>48</xdr:col>
      <xdr:colOff>425202</xdr:colOff>
      <xdr:row>234</xdr:row>
      <xdr:rowOff>70595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9A3BD8BE-92B7-5B21-11D1-2C57E45C7B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18</xdr:col>
      <xdr:colOff>449036</xdr:colOff>
      <xdr:row>60</xdr:row>
      <xdr:rowOff>13607</xdr:rowOff>
    </xdr:from>
    <xdr:to>
      <xdr:col>21</xdr:col>
      <xdr:colOff>927191</xdr:colOff>
      <xdr:row>70</xdr:row>
      <xdr:rowOff>7620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8FFA0DE-D53B-43B4-8AE9-952F20B105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22</xdr:col>
      <xdr:colOff>0</xdr:colOff>
      <xdr:row>59</xdr:row>
      <xdr:rowOff>76200</xdr:rowOff>
    </xdr:from>
    <xdr:to>
      <xdr:col>26</xdr:col>
      <xdr:colOff>195308</xdr:colOff>
      <xdr:row>69</xdr:row>
      <xdr:rowOff>138883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88510158-29C5-49B2-8726-DCDC49C70A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18</xdr:col>
      <xdr:colOff>361950</xdr:colOff>
      <xdr:row>71</xdr:row>
      <xdr:rowOff>28575</xdr:rowOff>
    </xdr:from>
    <xdr:to>
      <xdr:col>21</xdr:col>
      <xdr:colOff>857250</xdr:colOff>
      <xdr:row>81</xdr:row>
      <xdr:rowOff>36195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926BF971-4A40-1D51-5A1F-9AC78DBF0D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22</xdr:col>
      <xdr:colOff>0</xdr:colOff>
      <xdr:row>71</xdr:row>
      <xdr:rowOff>0</xdr:rowOff>
    </xdr:from>
    <xdr:to>
      <xdr:col>26</xdr:col>
      <xdr:colOff>313055</xdr:colOff>
      <xdr:row>81</xdr:row>
      <xdr:rowOff>152400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E09465E5-FFAC-6016-2734-B6FC9124C6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18</xdr:col>
      <xdr:colOff>0</xdr:colOff>
      <xdr:row>84</xdr:row>
      <xdr:rowOff>0</xdr:rowOff>
    </xdr:from>
    <xdr:to>
      <xdr:col>21</xdr:col>
      <xdr:colOff>209550</xdr:colOff>
      <xdr:row>94</xdr:row>
      <xdr:rowOff>108585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9C17A491-8377-DE39-EE4F-6B78ACF01F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21</xdr:col>
      <xdr:colOff>447675</xdr:colOff>
      <xdr:row>84</xdr:row>
      <xdr:rowOff>19050</xdr:rowOff>
    </xdr:from>
    <xdr:to>
      <xdr:col>25</xdr:col>
      <xdr:colOff>66675</xdr:colOff>
      <xdr:row>95</xdr:row>
      <xdr:rowOff>28575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BFF205AD-645E-9FF3-313F-3D3B15856B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18</xdr:col>
      <xdr:colOff>51955</xdr:colOff>
      <xdr:row>96</xdr:row>
      <xdr:rowOff>1</xdr:rowOff>
    </xdr:from>
    <xdr:to>
      <xdr:col>20</xdr:col>
      <xdr:colOff>796636</xdr:colOff>
      <xdr:row>106</xdr:row>
      <xdr:rowOff>92364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DD21FBCD-096F-C01B-8E51-E5376FFF82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60</xdr:col>
      <xdr:colOff>238125</xdr:colOff>
      <xdr:row>198</xdr:row>
      <xdr:rowOff>23812</xdr:rowOff>
    </xdr:from>
    <xdr:to>
      <xdr:col>67</xdr:col>
      <xdr:colOff>514350</xdr:colOff>
      <xdr:row>212</xdr:row>
      <xdr:rowOff>161926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A72F49C7-A35A-43E7-95C0-D95CAD9783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60</xdr:col>
      <xdr:colOff>0</xdr:colOff>
      <xdr:row>216</xdr:row>
      <xdr:rowOff>0</xdr:rowOff>
    </xdr:from>
    <xdr:to>
      <xdr:col>66</xdr:col>
      <xdr:colOff>309618</xdr:colOff>
      <xdr:row>224</xdr:row>
      <xdr:rowOff>136264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BFF205AD-645E-9FF3-313F-3D3B15856B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66</xdr:col>
      <xdr:colOff>0</xdr:colOff>
      <xdr:row>216</xdr:row>
      <xdr:rowOff>0</xdr:rowOff>
    </xdr:from>
    <xdr:to>
      <xdr:col>70</xdr:col>
      <xdr:colOff>390600</xdr:colOff>
      <xdr:row>225</xdr:row>
      <xdr:rowOff>50501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E8F1EFA1-67E7-4D46-9FDA-642A7AD131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23</xdr:col>
      <xdr:colOff>371475</xdr:colOff>
      <xdr:row>4</xdr:row>
      <xdr:rowOff>67973</xdr:rowOff>
    </xdr:from>
    <xdr:to>
      <xdr:col>30</xdr:col>
      <xdr:colOff>175780</xdr:colOff>
      <xdr:row>21</xdr:row>
      <xdr:rowOff>58448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7B3ADBD8-6183-DAA6-8A9A-43422D2C96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14</xdr:col>
      <xdr:colOff>0</xdr:colOff>
      <xdr:row>303</xdr:row>
      <xdr:rowOff>0</xdr:rowOff>
    </xdr:from>
    <xdr:to>
      <xdr:col>19</xdr:col>
      <xdr:colOff>1116416</xdr:colOff>
      <xdr:row>334</xdr:row>
      <xdr:rowOff>11094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AE0AA5C3-76DD-1566-6DC5-C086B30DD1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117</xdr:col>
      <xdr:colOff>0</xdr:colOff>
      <xdr:row>79</xdr:row>
      <xdr:rowOff>95250</xdr:rowOff>
    </xdr:from>
    <xdr:to>
      <xdr:col>134</xdr:col>
      <xdr:colOff>95250</xdr:colOff>
      <xdr:row>114</xdr:row>
      <xdr:rowOff>95250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A00C2E96-260C-1F5F-0D92-52AECD27B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38</xdr:col>
      <xdr:colOff>57150</xdr:colOff>
      <xdr:row>261</xdr:row>
      <xdr:rowOff>138112</xdr:rowOff>
    </xdr:from>
    <xdr:to>
      <xdr:col>45</xdr:col>
      <xdr:colOff>161925</xdr:colOff>
      <xdr:row>278</xdr:row>
      <xdr:rowOff>128587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B81A6245-9E55-D3A2-F7ED-61276935EF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10</xdr:col>
      <xdr:colOff>809625</xdr:colOff>
      <xdr:row>206</xdr:row>
      <xdr:rowOff>109537</xdr:rowOff>
    </xdr:from>
    <xdr:to>
      <xdr:col>15</xdr:col>
      <xdr:colOff>342900</xdr:colOff>
      <xdr:row>223</xdr:row>
      <xdr:rowOff>71437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3723E3FB-AE0B-318E-FA17-0CE2A767BB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20</xdr:col>
      <xdr:colOff>568036</xdr:colOff>
      <xdr:row>199</xdr:row>
      <xdr:rowOff>135081</xdr:rowOff>
    </xdr:from>
    <xdr:to>
      <xdr:col>27</xdr:col>
      <xdr:colOff>70162</xdr:colOff>
      <xdr:row>231</xdr:row>
      <xdr:rowOff>88439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B81A6245-9E55-D3A2-F7ED-61276935EF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40</xdr:col>
      <xdr:colOff>633974</xdr:colOff>
      <xdr:row>109</xdr:row>
      <xdr:rowOff>83764</xdr:rowOff>
    </xdr:from>
    <xdr:to>
      <xdr:col>46</xdr:col>
      <xdr:colOff>525836</xdr:colOff>
      <xdr:row>139</xdr:row>
      <xdr:rowOff>112618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880AEEAE-B4AB-4618-9FFA-29AE4788C7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46</xdr:col>
      <xdr:colOff>552450</xdr:colOff>
      <xdr:row>259</xdr:row>
      <xdr:rowOff>71437</xdr:rowOff>
    </xdr:from>
    <xdr:to>
      <xdr:col>52</xdr:col>
      <xdr:colOff>609600</xdr:colOff>
      <xdr:row>276</xdr:row>
      <xdr:rowOff>61912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854A1E4-28B8-590C-DA78-27CDCF03AE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11</xdr:col>
      <xdr:colOff>571500</xdr:colOff>
      <xdr:row>291</xdr:row>
      <xdr:rowOff>61912</xdr:rowOff>
    </xdr:from>
    <xdr:to>
      <xdr:col>16</xdr:col>
      <xdr:colOff>361950</xdr:colOff>
      <xdr:row>308</xdr:row>
      <xdr:rowOff>52387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073DBB73-9225-3414-FE09-7FA7A5F891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66</xdr:col>
      <xdr:colOff>676275</xdr:colOff>
      <xdr:row>57</xdr:row>
      <xdr:rowOff>142875</xdr:rowOff>
    </xdr:from>
    <xdr:to>
      <xdr:col>74</xdr:col>
      <xdr:colOff>481965</xdr:colOff>
      <xdr:row>88</xdr:row>
      <xdr:rowOff>101791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E09465E5-FFAC-6016-2734-B6FC9124C6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46</xdr:col>
      <xdr:colOff>0</xdr:colOff>
      <xdr:row>284</xdr:row>
      <xdr:rowOff>0</xdr:rowOff>
    </xdr:from>
    <xdr:to>
      <xdr:col>55</xdr:col>
      <xdr:colOff>116291</xdr:colOff>
      <xdr:row>314</xdr:row>
      <xdr:rowOff>69580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5BEEC6-370B-55D5-8CB6-DA039B6B9D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57</xdr:col>
      <xdr:colOff>140805</xdr:colOff>
      <xdr:row>35</xdr:row>
      <xdr:rowOff>16566</xdr:rowOff>
    </xdr:from>
    <xdr:to>
      <xdr:col>69</xdr:col>
      <xdr:colOff>636437</xdr:colOff>
      <xdr:row>65</xdr:row>
      <xdr:rowOff>162226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CAB09215-8BA3-D4E2-C180-F07A13D29B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58</xdr:col>
      <xdr:colOff>0</xdr:colOff>
      <xdr:row>251</xdr:row>
      <xdr:rowOff>0</xdr:rowOff>
    </xdr:from>
    <xdr:to>
      <xdr:col>65</xdr:col>
      <xdr:colOff>243840</xdr:colOff>
      <xdr:row>281</xdr:row>
      <xdr:rowOff>156334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073DBB73-9225-3414-FE09-7FA7A5F891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18</xdr:col>
      <xdr:colOff>0</xdr:colOff>
      <xdr:row>272</xdr:row>
      <xdr:rowOff>0</xdr:rowOff>
    </xdr:from>
    <xdr:to>
      <xdr:col>27</xdr:col>
      <xdr:colOff>108639</xdr:colOff>
      <xdr:row>324</xdr:row>
      <xdr:rowOff>56999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A94962EA-821D-48EF-9F88-8A1B7E77DB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59</xdr:col>
      <xdr:colOff>422412</xdr:colOff>
      <xdr:row>113</xdr:row>
      <xdr:rowOff>49696</xdr:rowOff>
    </xdr:from>
    <xdr:to>
      <xdr:col>64</xdr:col>
      <xdr:colOff>34565</xdr:colOff>
      <xdr:row>134</xdr:row>
      <xdr:rowOff>97320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615EE757-5048-7D5E-6F91-845A28E9B9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59</xdr:col>
      <xdr:colOff>728869</xdr:colOff>
      <xdr:row>135</xdr:row>
      <xdr:rowOff>124240</xdr:rowOff>
    </xdr:from>
    <xdr:to>
      <xdr:col>64</xdr:col>
      <xdr:colOff>278157</xdr:colOff>
      <xdr:row>145</xdr:row>
      <xdr:rowOff>76063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9A3BD8BE-92B7-5B21-11D1-2C57E45C7B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56</xdr:col>
      <xdr:colOff>185531</xdr:colOff>
      <xdr:row>152</xdr:row>
      <xdr:rowOff>127345</xdr:rowOff>
    </xdr:from>
    <xdr:to>
      <xdr:col>62</xdr:col>
      <xdr:colOff>104776</xdr:colOff>
      <xdr:row>169</xdr:row>
      <xdr:rowOff>117820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E76A0BB3-AB5A-B89A-1E3B-40FBB8768D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55</xdr:col>
      <xdr:colOff>1244047</xdr:colOff>
      <xdr:row>185</xdr:row>
      <xdr:rowOff>72680</xdr:rowOff>
    </xdr:from>
    <xdr:to>
      <xdr:col>61</xdr:col>
      <xdr:colOff>260488</xdr:colOff>
      <xdr:row>202</xdr:row>
      <xdr:rowOff>63155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267221FA-C34F-B6A5-4D41-BD0F237A65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57</xdr:col>
      <xdr:colOff>372718</xdr:colOff>
      <xdr:row>204</xdr:row>
      <xdr:rowOff>82827</xdr:rowOff>
    </xdr:from>
    <xdr:to>
      <xdr:col>63</xdr:col>
      <xdr:colOff>356980</xdr:colOff>
      <xdr:row>221</xdr:row>
      <xdr:rowOff>44727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40234AD1-C216-454A-9E3A-68D823AF1B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16</xdr:col>
      <xdr:colOff>91108</xdr:colOff>
      <xdr:row>64</xdr:row>
      <xdr:rowOff>82826</xdr:rowOff>
    </xdr:from>
    <xdr:to>
      <xdr:col>22</xdr:col>
      <xdr:colOff>660455</xdr:colOff>
      <xdr:row>95</xdr:row>
      <xdr:rowOff>112666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75FADC35-8547-45C6-9740-11225E79E4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65</xdr:col>
      <xdr:colOff>542924</xdr:colOff>
      <xdr:row>94</xdr:row>
      <xdr:rowOff>157162</xdr:rowOff>
    </xdr:from>
    <xdr:to>
      <xdr:col>72</xdr:col>
      <xdr:colOff>600074</xdr:colOff>
      <xdr:row>121</xdr:row>
      <xdr:rowOff>147637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58C2DC7A-8067-F718-1CBF-2958969262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56</xdr:col>
      <xdr:colOff>102388</xdr:colOff>
      <xdr:row>11</xdr:row>
      <xdr:rowOff>62107</xdr:rowOff>
    </xdr:from>
    <xdr:to>
      <xdr:col>62</xdr:col>
      <xdr:colOff>16029</xdr:colOff>
      <xdr:row>28</xdr:row>
      <xdr:rowOff>52582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79F28CE5-0E67-EFCA-FAD1-EC278807CD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55</xdr:col>
      <xdr:colOff>400050</xdr:colOff>
      <xdr:row>139</xdr:row>
      <xdr:rowOff>15407</xdr:rowOff>
    </xdr:from>
    <xdr:to>
      <xdr:col>56</xdr:col>
      <xdr:colOff>511548</xdr:colOff>
      <xdr:row>156</xdr:row>
      <xdr:rowOff>5882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97A5A91F-EB04-55F0-8DAC-6244DAD713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26</xdr:col>
      <xdr:colOff>549087</xdr:colOff>
      <xdr:row>31</xdr:row>
      <xdr:rowOff>33618</xdr:rowOff>
    </xdr:from>
    <xdr:to>
      <xdr:col>37</xdr:col>
      <xdr:colOff>291913</xdr:colOff>
      <xdr:row>51</xdr:row>
      <xdr:rowOff>140355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0ACF6489-E421-4B33-87EA-4788D87778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28</xdr:col>
      <xdr:colOff>504266</xdr:colOff>
      <xdr:row>32</xdr:row>
      <xdr:rowOff>33618</xdr:rowOff>
    </xdr:from>
    <xdr:to>
      <xdr:col>34</xdr:col>
      <xdr:colOff>257736</xdr:colOff>
      <xdr:row>50</xdr:row>
      <xdr:rowOff>134471</xdr:rowOff>
    </xdr:to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2B3B3472-D551-4397-BECD-3455694813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30</xdr:col>
      <xdr:colOff>0</xdr:colOff>
      <xdr:row>53</xdr:row>
      <xdr:rowOff>0</xdr:rowOff>
    </xdr:from>
    <xdr:to>
      <xdr:col>38</xdr:col>
      <xdr:colOff>602454</xdr:colOff>
      <xdr:row>86</xdr:row>
      <xdr:rowOff>59900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89A37E5D-D50F-FAD4-374A-33757A099D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55</xdr:col>
      <xdr:colOff>0</xdr:colOff>
      <xdr:row>40</xdr:row>
      <xdr:rowOff>63155</xdr:rowOff>
    </xdr:from>
    <xdr:to>
      <xdr:col>60</xdr:col>
      <xdr:colOff>526036</xdr:colOff>
      <xdr:row>104</xdr:row>
      <xdr:rowOff>117978</xdr:rowOff>
    </xdr:to>
    <xdr:graphicFrame macro="">
      <xdr:nvGraphicFramePr>
        <xdr:cNvPr id="61851136" name="Chart 61851135">
          <a:extLst>
            <a:ext uri="{FF2B5EF4-FFF2-40B4-BE49-F238E27FC236}">
              <a16:creationId xmlns:a16="http://schemas.microsoft.com/office/drawing/2014/main" id="{FBFD2CB1-CBB9-5231-3087-8453EBB9CE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33</xdr:col>
      <xdr:colOff>392242</xdr:colOff>
      <xdr:row>178</xdr:row>
      <xdr:rowOff>91996</xdr:rowOff>
    </xdr:from>
    <xdr:to>
      <xdr:col>46</xdr:col>
      <xdr:colOff>305661</xdr:colOff>
      <xdr:row>239</xdr:row>
      <xdr:rowOff>57660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58C2DC7A-8067-F718-1CBF-2958969262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55</xdr:col>
      <xdr:colOff>390525</xdr:colOff>
      <xdr:row>33</xdr:row>
      <xdr:rowOff>142875</xdr:rowOff>
    </xdr:from>
    <xdr:to>
      <xdr:col>60</xdr:col>
      <xdr:colOff>695326</xdr:colOff>
      <xdr:row>55</xdr:row>
      <xdr:rowOff>53009</xdr:rowOff>
    </xdr:to>
    <xdr:graphicFrame macro="">
      <xdr:nvGraphicFramePr>
        <xdr:cNvPr id="61851137" name="Chart 61851136">
          <a:extLst>
            <a:ext uri="{FF2B5EF4-FFF2-40B4-BE49-F238E27FC236}">
              <a16:creationId xmlns:a16="http://schemas.microsoft.com/office/drawing/2014/main" id="{CB924B22-7C5C-4CA0-92CB-55E6AE051A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>
    <xdr:from>
      <xdr:col>57</xdr:col>
      <xdr:colOff>77443</xdr:colOff>
      <xdr:row>20</xdr:row>
      <xdr:rowOff>48040</xdr:rowOff>
    </xdr:from>
    <xdr:to>
      <xdr:col>63</xdr:col>
      <xdr:colOff>415375</xdr:colOff>
      <xdr:row>41</xdr:row>
      <xdr:rowOff>123825</xdr:rowOff>
    </xdr:to>
    <xdr:graphicFrame macro="">
      <xdr:nvGraphicFramePr>
        <xdr:cNvPr id="61851138" name="Chart 61851137">
          <a:extLst>
            <a:ext uri="{FF2B5EF4-FFF2-40B4-BE49-F238E27FC236}">
              <a16:creationId xmlns:a16="http://schemas.microsoft.com/office/drawing/2014/main" id="{C1E9A6C7-9AAE-4C55-A6C1-A9091AB7C9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>
    <xdr:from>
      <xdr:col>58</xdr:col>
      <xdr:colOff>118026</xdr:colOff>
      <xdr:row>22</xdr:row>
      <xdr:rowOff>157783</xdr:rowOff>
    </xdr:from>
    <xdr:to>
      <xdr:col>64</xdr:col>
      <xdr:colOff>457200</xdr:colOff>
      <xdr:row>44</xdr:row>
      <xdr:rowOff>64190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9C6D052F-8DCA-4022-8EC7-52324D3936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>
    <xdr:from>
      <xdr:col>56</xdr:col>
      <xdr:colOff>630721</xdr:colOff>
      <xdr:row>16</xdr:row>
      <xdr:rowOff>33130</xdr:rowOff>
    </xdr:from>
    <xdr:to>
      <xdr:col>63</xdr:col>
      <xdr:colOff>220319</xdr:colOff>
      <xdr:row>37</xdr:row>
      <xdr:rowOff>105190</xdr:rowOff>
    </xdr:to>
    <xdr:graphicFrame macro="">
      <xdr:nvGraphicFramePr>
        <xdr:cNvPr id="61851139" name="Chart 61851138">
          <a:extLst>
            <a:ext uri="{FF2B5EF4-FFF2-40B4-BE49-F238E27FC236}">
              <a16:creationId xmlns:a16="http://schemas.microsoft.com/office/drawing/2014/main" id="{EED478A0-1246-4FD1-A849-F2EDF0981C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>
    <xdr:from>
      <xdr:col>55</xdr:col>
      <xdr:colOff>347870</xdr:colOff>
      <xdr:row>175</xdr:row>
      <xdr:rowOff>31267</xdr:rowOff>
    </xdr:from>
    <xdr:to>
      <xdr:col>57</xdr:col>
      <xdr:colOff>667579</xdr:colOff>
      <xdr:row>192</xdr:row>
      <xdr:rowOff>21742</xdr:rowOff>
    </xdr:to>
    <xdr:graphicFrame macro="">
      <xdr:nvGraphicFramePr>
        <xdr:cNvPr id="61851142" name="Chart 61851141">
          <a:extLst>
            <a:ext uri="{FF2B5EF4-FFF2-40B4-BE49-F238E27FC236}">
              <a16:creationId xmlns:a16="http://schemas.microsoft.com/office/drawing/2014/main" id="{5EFB0E42-4B62-4D62-F5E3-64AF6942B0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>
    <xdr:from>
      <xdr:col>5</xdr:col>
      <xdr:colOff>171450</xdr:colOff>
      <xdr:row>261</xdr:row>
      <xdr:rowOff>19050</xdr:rowOff>
    </xdr:from>
    <xdr:to>
      <xdr:col>46</xdr:col>
      <xdr:colOff>205105</xdr:colOff>
      <xdr:row>273</xdr:row>
      <xdr:rowOff>89535</xdr:rowOff>
    </xdr:to>
    <xdr:graphicFrame macro="">
      <xdr:nvGraphicFramePr>
        <xdr:cNvPr id="61851143" name="Chart 61851142">
          <a:extLst>
            <a:ext uri="{FF2B5EF4-FFF2-40B4-BE49-F238E27FC236}">
              <a16:creationId xmlns:a16="http://schemas.microsoft.com/office/drawing/2014/main" id="{E09465E5-FFAC-6016-2734-B6FC9124C6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>
    <xdr:from>
      <xdr:col>18</xdr:col>
      <xdr:colOff>19050</xdr:colOff>
      <xdr:row>15</xdr:row>
      <xdr:rowOff>0</xdr:rowOff>
    </xdr:from>
    <xdr:to>
      <xdr:col>21</xdr:col>
      <xdr:colOff>556260</xdr:colOff>
      <xdr:row>28</xdr:row>
      <xdr:rowOff>93345</xdr:rowOff>
    </xdr:to>
    <xdr:graphicFrame macro="">
      <xdr:nvGraphicFramePr>
        <xdr:cNvPr id="61851144" name="Chart 61851143">
          <a:extLst>
            <a:ext uri="{FF2B5EF4-FFF2-40B4-BE49-F238E27FC236}">
              <a16:creationId xmlns:a16="http://schemas.microsoft.com/office/drawing/2014/main" id="{EED478A0-1246-4FD1-A849-F2EDF0981C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>
    <xdr:from>
      <xdr:col>17</xdr:col>
      <xdr:colOff>295275</xdr:colOff>
      <xdr:row>10</xdr:row>
      <xdr:rowOff>119062</xdr:rowOff>
    </xdr:from>
    <xdr:to>
      <xdr:col>23</xdr:col>
      <xdr:colOff>104775</xdr:colOff>
      <xdr:row>27</xdr:row>
      <xdr:rowOff>109537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CEA9CB41-9FC7-CC22-DFE1-58C3CA399C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>
    <xdr:from>
      <xdr:col>15</xdr:col>
      <xdr:colOff>236055</xdr:colOff>
      <xdr:row>23</xdr:row>
      <xdr:rowOff>160682</xdr:rowOff>
    </xdr:from>
    <xdr:to>
      <xdr:col>22</xdr:col>
      <xdr:colOff>902806</xdr:colOff>
      <xdr:row>43</xdr:row>
      <xdr:rowOff>82826</xdr:rowOff>
    </xdr:to>
    <xdr:graphicFrame macro="">
      <xdr:nvGraphicFramePr>
        <xdr:cNvPr id="61851147" name="Chart 61851146">
          <a:extLst>
            <a:ext uri="{FF2B5EF4-FFF2-40B4-BE49-F238E27FC236}">
              <a16:creationId xmlns:a16="http://schemas.microsoft.com/office/drawing/2014/main" id="{A0D764A2-E0FA-7978-B87A-7A65E29469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>
    <xdr:from>
      <xdr:col>15</xdr:col>
      <xdr:colOff>542510</xdr:colOff>
      <xdr:row>163</xdr:row>
      <xdr:rowOff>28162</xdr:rowOff>
    </xdr:from>
    <xdr:to>
      <xdr:col>21</xdr:col>
      <xdr:colOff>492814</xdr:colOff>
      <xdr:row>179</xdr:row>
      <xdr:rowOff>120927</xdr:rowOff>
    </xdr:to>
    <xdr:graphicFrame macro="">
      <xdr:nvGraphicFramePr>
        <xdr:cNvPr id="61851148" name="Chart 61851147">
          <a:extLst>
            <a:ext uri="{FF2B5EF4-FFF2-40B4-BE49-F238E27FC236}">
              <a16:creationId xmlns:a16="http://schemas.microsoft.com/office/drawing/2014/main" id="{AE30CD35-9010-7D98-E757-CED177669B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>
    <xdr:from>
      <xdr:col>16</xdr:col>
      <xdr:colOff>182217</xdr:colOff>
      <xdr:row>6</xdr:row>
      <xdr:rowOff>157375</xdr:rowOff>
    </xdr:from>
    <xdr:to>
      <xdr:col>21</xdr:col>
      <xdr:colOff>720587</xdr:colOff>
      <xdr:row>23</xdr:row>
      <xdr:rowOff>84488</xdr:rowOff>
    </xdr:to>
    <xdr:graphicFrame macro="">
      <xdr:nvGraphicFramePr>
        <xdr:cNvPr id="61851149" name="Chart 61851148">
          <a:extLst>
            <a:ext uri="{FF2B5EF4-FFF2-40B4-BE49-F238E27FC236}">
              <a16:creationId xmlns:a16="http://schemas.microsoft.com/office/drawing/2014/main" id="{0F6EE85F-A64D-3DD5-FD00-22EA4E817F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>
    <xdr:from>
      <xdr:col>18</xdr:col>
      <xdr:colOff>495300</xdr:colOff>
      <xdr:row>24</xdr:row>
      <xdr:rowOff>95250</xdr:rowOff>
    </xdr:from>
    <xdr:to>
      <xdr:col>21</xdr:col>
      <xdr:colOff>942726</xdr:colOff>
      <xdr:row>39</xdr:row>
      <xdr:rowOff>141578</xdr:rowOff>
    </xdr:to>
    <xdr:graphicFrame macro="">
      <xdr:nvGraphicFramePr>
        <xdr:cNvPr id="61851151" name="Chart 61851150">
          <a:extLst>
            <a:ext uri="{FF2B5EF4-FFF2-40B4-BE49-F238E27FC236}">
              <a16:creationId xmlns:a16="http://schemas.microsoft.com/office/drawing/2014/main" id="{91FE9093-D547-7490-B474-16EC15CA19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>
    <xdr:from>
      <xdr:col>18</xdr:col>
      <xdr:colOff>19050</xdr:colOff>
      <xdr:row>26</xdr:row>
      <xdr:rowOff>47625</xdr:rowOff>
    </xdr:from>
    <xdr:to>
      <xdr:col>21</xdr:col>
      <xdr:colOff>567856</xdr:colOff>
      <xdr:row>41</xdr:row>
      <xdr:rowOff>35450</xdr:rowOff>
    </xdr:to>
    <xdr:graphicFrame macro="">
      <xdr:nvGraphicFramePr>
        <xdr:cNvPr id="61851152" name="Chart 61851151">
          <a:extLst>
            <a:ext uri="{FF2B5EF4-FFF2-40B4-BE49-F238E27FC236}">
              <a16:creationId xmlns:a16="http://schemas.microsoft.com/office/drawing/2014/main" id="{3723E3FB-AE0B-318E-FA17-0CE2A767BB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>
    <xdr:from>
      <xdr:col>52</xdr:col>
      <xdr:colOff>737151</xdr:colOff>
      <xdr:row>47</xdr:row>
      <xdr:rowOff>99392</xdr:rowOff>
    </xdr:from>
    <xdr:to>
      <xdr:col>56</xdr:col>
      <xdr:colOff>172443</xdr:colOff>
      <xdr:row>58</xdr:row>
      <xdr:rowOff>105383</xdr:rowOff>
    </xdr:to>
    <xdr:graphicFrame macro="">
      <xdr:nvGraphicFramePr>
        <xdr:cNvPr id="61851153" name="Chart 61851152">
          <a:extLst>
            <a:ext uri="{FF2B5EF4-FFF2-40B4-BE49-F238E27FC236}">
              <a16:creationId xmlns:a16="http://schemas.microsoft.com/office/drawing/2014/main" id="{4157CDD7-7086-5CE1-5CCE-541D8F9959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>
    <xdr:from>
      <xdr:col>54</xdr:col>
      <xdr:colOff>256761</xdr:colOff>
      <xdr:row>60</xdr:row>
      <xdr:rowOff>57978</xdr:rowOff>
    </xdr:from>
    <xdr:to>
      <xdr:col>57</xdr:col>
      <xdr:colOff>537210</xdr:colOff>
      <xdr:row>71</xdr:row>
      <xdr:rowOff>125564</xdr:rowOff>
    </xdr:to>
    <xdr:graphicFrame macro="">
      <xdr:nvGraphicFramePr>
        <xdr:cNvPr id="61851154" name="Chart 61851153">
          <a:extLst>
            <a:ext uri="{FF2B5EF4-FFF2-40B4-BE49-F238E27FC236}">
              <a16:creationId xmlns:a16="http://schemas.microsoft.com/office/drawing/2014/main" id="{E09465E5-FFAC-6016-2734-B6FC9124C6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>
    <xdr:from>
      <xdr:col>3</xdr:col>
      <xdr:colOff>0</xdr:colOff>
      <xdr:row>74</xdr:row>
      <xdr:rowOff>0</xdr:rowOff>
    </xdr:from>
    <xdr:to>
      <xdr:col>6</xdr:col>
      <xdr:colOff>843666</xdr:colOff>
      <xdr:row>88</xdr:row>
      <xdr:rowOff>34180</xdr:rowOff>
    </xdr:to>
    <xdr:graphicFrame macro="">
      <xdr:nvGraphicFramePr>
        <xdr:cNvPr id="61851155" name="Chart 61851154">
          <a:extLst>
            <a:ext uri="{FF2B5EF4-FFF2-40B4-BE49-F238E27FC236}">
              <a16:creationId xmlns:a16="http://schemas.microsoft.com/office/drawing/2014/main" id="{D1C33391-F85E-43BC-8269-7F9CABC3B3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>
    <xdr:from>
      <xdr:col>7</xdr:col>
      <xdr:colOff>0</xdr:colOff>
      <xdr:row>81</xdr:row>
      <xdr:rowOff>0</xdr:rowOff>
    </xdr:from>
    <xdr:to>
      <xdr:col>10</xdr:col>
      <xdr:colOff>768792</xdr:colOff>
      <xdr:row>95</xdr:row>
      <xdr:rowOff>81805</xdr:rowOff>
    </xdr:to>
    <xdr:graphicFrame macro="">
      <xdr:nvGraphicFramePr>
        <xdr:cNvPr id="61851157" name="Chart 61851156">
          <a:extLst>
            <a:ext uri="{FF2B5EF4-FFF2-40B4-BE49-F238E27FC236}">
              <a16:creationId xmlns:a16="http://schemas.microsoft.com/office/drawing/2014/main" id="{0F6EE85F-A64D-3DD5-FD00-22EA4E817F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  <xdr:twoCellAnchor>
    <xdr:from>
      <xdr:col>17</xdr:col>
      <xdr:colOff>295275</xdr:colOff>
      <xdr:row>27</xdr:row>
      <xdr:rowOff>76200</xdr:rowOff>
    </xdr:from>
    <xdr:to>
      <xdr:col>21</xdr:col>
      <xdr:colOff>241935</xdr:colOff>
      <xdr:row>41</xdr:row>
      <xdr:rowOff>15875</xdr:rowOff>
    </xdr:to>
    <xdr:graphicFrame macro="">
      <xdr:nvGraphicFramePr>
        <xdr:cNvPr id="61851141" name="Chart 61851140">
          <a:extLst>
            <a:ext uri="{FF2B5EF4-FFF2-40B4-BE49-F238E27FC236}">
              <a16:creationId xmlns:a16="http://schemas.microsoft.com/office/drawing/2014/main" id="{D1C33391-F85E-43BC-8269-7F9CABC3B3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xdr:graphicFrame>
    <xdr:clientData/>
  </xdr:twoCellAnchor>
  <xdr:twoCellAnchor>
    <xdr:from>
      <xdr:col>16</xdr:col>
      <xdr:colOff>457200</xdr:colOff>
      <xdr:row>25</xdr:row>
      <xdr:rowOff>47625</xdr:rowOff>
    </xdr:from>
    <xdr:to>
      <xdr:col>20</xdr:col>
      <xdr:colOff>579120</xdr:colOff>
      <xdr:row>38</xdr:row>
      <xdr:rowOff>105410</xdr:rowOff>
    </xdr:to>
    <xdr:graphicFrame macro="">
      <xdr:nvGraphicFramePr>
        <xdr:cNvPr id="61851145" name="Chart 61851144">
          <a:extLst>
            <a:ext uri="{FF2B5EF4-FFF2-40B4-BE49-F238E27FC236}">
              <a16:creationId xmlns:a16="http://schemas.microsoft.com/office/drawing/2014/main" id="{DF170064-EB3D-4C15-98CB-662557DE40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xdr:graphicFrame>
    <xdr:clientData/>
  </xdr:twoCellAnchor>
  <xdr:twoCellAnchor>
    <xdr:from>
      <xdr:col>6</xdr:col>
      <xdr:colOff>0</xdr:colOff>
      <xdr:row>99</xdr:row>
      <xdr:rowOff>0</xdr:rowOff>
    </xdr:from>
    <xdr:to>
      <xdr:col>9</xdr:col>
      <xdr:colOff>760095</xdr:colOff>
      <xdr:row>110</xdr:row>
      <xdr:rowOff>94615</xdr:rowOff>
    </xdr:to>
    <xdr:graphicFrame macro="">
      <xdr:nvGraphicFramePr>
        <xdr:cNvPr id="61851158" name="Chart 61851157">
          <a:extLst>
            <a:ext uri="{FF2B5EF4-FFF2-40B4-BE49-F238E27FC236}">
              <a16:creationId xmlns:a16="http://schemas.microsoft.com/office/drawing/2014/main" id="{4157CDD7-7086-5CE1-5CCE-541D8F9959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xdr:graphicFrame>
    <xdr:clientData/>
  </xdr:twoCellAnchor>
  <xdr:twoCellAnchor>
    <xdr:from>
      <xdr:col>3</xdr:col>
      <xdr:colOff>57978</xdr:colOff>
      <xdr:row>117</xdr:row>
      <xdr:rowOff>41411</xdr:rowOff>
    </xdr:from>
    <xdr:to>
      <xdr:col>7</xdr:col>
      <xdr:colOff>56818</xdr:colOff>
      <xdr:row>129</xdr:row>
      <xdr:rowOff>165652</xdr:rowOff>
    </xdr:to>
    <xdr:graphicFrame macro="">
      <xdr:nvGraphicFramePr>
        <xdr:cNvPr id="61851146" name="Chart 61851145">
          <a:extLst>
            <a:ext uri="{FF2B5EF4-FFF2-40B4-BE49-F238E27FC236}">
              <a16:creationId xmlns:a16="http://schemas.microsoft.com/office/drawing/2014/main" id="{8CF50B2A-8F07-4F73-904C-6AC701AA35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0.84828</cdr:x>
      <cdr:y>0.15172</cdr:y>
    </cdr:from>
    <cdr:to>
      <cdr:x>1</cdr:x>
      <cdr:y>0.90238</cdr:y>
    </cdr:to>
    <cdr:grpSp>
      <cdr:nvGrpSpPr>
        <cdr:cNvPr id="7" name="Group 6">
          <a:extLst xmlns:a="http://schemas.openxmlformats.org/drawingml/2006/main">
            <a:ext uri="{FF2B5EF4-FFF2-40B4-BE49-F238E27FC236}">
              <a16:creationId xmlns:a16="http://schemas.microsoft.com/office/drawing/2014/main" id="{E551B649-F8C6-7AF2-76E9-A1EE98C6527B}"/>
            </a:ext>
          </a:extLst>
        </cdr:cNvPr>
        <cdr:cNvGrpSpPr/>
      </cdr:nvGrpSpPr>
      <cdr:grpSpPr>
        <a:xfrm xmlns:a="http://schemas.openxmlformats.org/drawingml/2006/main">
          <a:off x="4747730" y="783643"/>
          <a:ext cx="849160" cy="3877202"/>
          <a:chOff x="3114572" y="416037"/>
          <a:chExt cx="557060" cy="1151283"/>
        </a:xfrm>
      </cdr:grpSpPr>
      <cdr:sp macro="" textlink="">
        <cdr:nvSpPr>
          <cdr:cNvPr id="2" name="TextBox 4">
            <a:extLst xmlns:a="http://schemas.openxmlformats.org/drawingml/2006/main">
              <a:ext uri="{FF2B5EF4-FFF2-40B4-BE49-F238E27FC236}">
                <a16:creationId xmlns:a16="http://schemas.microsoft.com/office/drawing/2014/main" id="{93E244C8-0665-35D2-53E1-6B86532CB332}"/>
              </a:ext>
            </a:extLst>
          </cdr:cNvPr>
          <cdr:cNvSpPr txBox="1"/>
        </cdr:nvSpPr>
        <cdr:spPr>
          <a:xfrm xmlns:a="http://schemas.openxmlformats.org/drawingml/2006/main">
            <a:off x="3114572" y="667842"/>
            <a:ext cx="548211" cy="216398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200">
                <a:solidFill>
                  <a:schemeClr val="accent6">
                    <a:lumMod val="7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rPr>
              <a:t>+1SD</a:t>
            </a:r>
          </a:p>
        </cdr:txBody>
      </cdr:sp>
      <cdr:sp macro="" textlink="">
        <cdr:nvSpPr>
          <cdr:cNvPr id="3" name="TextBox 4">
            <a:extLst xmlns:a="http://schemas.openxmlformats.org/drawingml/2006/main">
              <a:ext uri="{FF2B5EF4-FFF2-40B4-BE49-F238E27FC236}">
                <a16:creationId xmlns:a16="http://schemas.microsoft.com/office/drawing/2014/main" id="{EF9069C3-C2FB-C922-AF39-1CB49308A9E5}"/>
              </a:ext>
            </a:extLst>
          </cdr:cNvPr>
          <cdr:cNvSpPr txBox="1"/>
        </cdr:nvSpPr>
        <cdr:spPr>
          <a:xfrm xmlns:a="http://schemas.openxmlformats.org/drawingml/2006/main">
            <a:off x="3119822" y="416037"/>
            <a:ext cx="551810" cy="216397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200" dirty="0">
                <a:solidFill>
                  <a:schemeClr val="bg1">
                    <a:lumMod val="50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rPr>
              <a:t>+2SD</a:t>
            </a:r>
          </a:p>
        </cdr:txBody>
      </cdr:sp>
      <cdr:sp macro="" textlink="">
        <cdr:nvSpPr>
          <cdr:cNvPr id="5" name="TextBox 4">
            <a:extLst xmlns:a="http://schemas.openxmlformats.org/drawingml/2006/main">
              <a:ext uri="{FF2B5EF4-FFF2-40B4-BE49-F238E27FC236}">
                <a16:creationId xmlns:a16="http://schemas.microsoft.com/office/drawing/2014/main" id="{EF9069C3-C2FB-C922-AF39-1CB49308A9E5}"/>
              </a:ext>
            </a:extLst>
          </cdr:cNvPr>
          <cdr:cNvSpPr txBox="1"/>
        </cdr:nvSpPr>
        <cdr:spPr>
          <a:xfrm xmlns:a="http://schemas.openxmlformats.org/drawingml/2006/main">
            <a:off x="3131131" y="1112486"/>
            <a:ext cx="540501" cy="216421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200">
                <a:solidFill>
                  <a:schemeClr val="accent6">
                    <a:lumMod val="7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rPr>
              <a:t>-1SD</a:t>
            </a:r>
          </a:p>
        </cdr:txBody>
      </cdr:sp>
      <cdr:sp macro="" textlink="">
        <cdr:nvSpPr>
          <cdr:cNvPr id="6" name="TextBox 1">
            <a:extLst xmlns:a="http://schemas.openxmlformats.org/drawingml/2006/main">
              <a:ext uri="{FF2B5EF4-FFF2-40B4-BE49-F238E27FC236}">
                <a16:creationId xmlns:a16="http://schemas.microsoft.com/office/drawing/2014/main" id="{EA06DC62-D192-54F1-C6F9-098DBE80883B}"/>
              </a:ext>
            </a:extLst>
          </cdr:cNvPr>
          <cdr:cNvSpPr txBox="1"/>
        </cdr:nvSpPr>
        <cdr:spPr>
          <a:xfrm xmlns:a="http://schemas.openxmlformats.org/drawingml/2006/main">
            <a:off x="3119822" y="1350923"/>
            <a:ext cx="551810" cy="216397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200" dirty="0">
                <a:solidFill>
                  <a:schemeClr val="bg1">
                    <a:lumMod val="50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rPr>
              <a:t>-2SD</a:t>
            </a:r>
          </a:p>
        </cdr:txBody>
      </cdr:sp>
      <cdr:sp macro="" textlink="">
        <cdr:nvSpPr>
          <cdr:cNvPr id="4" name="TextBox 4"/>
          <cdr:cNvSpPr txBox="1"/>
        </cdr:nvSpPr>
        <cdr:spPr>
          <a:xfrm xmlns:a="http://schemas.openxmlformats.org/drawingml/2006/main">
            <a:off x="3146332" y="891461"/>
            <a:ext cx="489942" cy="216421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200" b="1">
                <a:solidFill>
                  <a:schemeClr val="bg1">
                    <a:lumMod val="50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rPr>
              <a:t>AVG</a:t>
            </a:r>
          </a:p>
        </cdr:txBody>
      </cdr:sp>
    </cdr:grpSp>
  </cdr:relSizeAnchor>
  <cdr:relSizeAnchor xmlns:cdr="http://schemas.openxmlformats.org/drawingml/2006/chartDrawing">
    <cdr:from>
      <cdr:x>0.18194</cdr:x>
      <cdr:y>0.04807</cdr:y>
    </cdr:from>
    <cdr:to>
      <cdr:x>0.61429</cdr:x>
      <cdr:y>0.12704</cdr:y>
    </cdr:to>
    <cdr:sp macro="" textlink="">
      <cdr:nvSpPr>
        <cdr:cNvPr id="8" name="Double Bracket 7">
          <a:extLst xmlns:a="http://schemas.openxmlformats.org/drawingml/2006/main">
            <a:ext uri="{FF2B5EF4-FFF2-40B4-BE49-F238E27FC236}">
              <a16:creationId xmlns:a16="http://schemas.microsoft.com/office/drawing/2014/main" id="{4C56BFF3-06AD-6CD2-A779-CD6AB9F9801C}"/>
            </a:ext>
          </a:extLst>
        </cdr:cNvPr>
        <cdr:cNvSpPr/>
      </cdr:nvSpPr>
      <cdr:spPr>
        <a:xfrm xmlns:a="http://schemas.openxmlformats.org/drawingml/2006/main">
          <a:off x="1014810" y="242707"/>
          <a:ext cx="2411579" cy="398760"/>
        </a:xfrm>
        <a:prstGeom xmlns:a="http://schemas.openxmlformats.org/drawingml/2006/main" prst="bracketPair">
          <a:avLst/>
        </a:prstGeom>
        <a:ln xmlns:a="http://schemas.openxmlformats.org/drawingml/2006/main" w="19050" cap="flat" cmpd="sng" algn="ctr">
          <a:noFill/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defPPr>
            <a:defRPr lang="ko-KR"/>
          </a:defPPr>
          <a:lvl1pPr marL="0" indent="0" algn="ctr" rtl="0" fontAlgn="base" latinLnBrk="1">
            <a:spcBef>
              <a:spcPct val="0"/>
            </a:spcBef>
            <a:spcAft>
              <a:spcPct val="0"/>
            </a:spcAft>
            <a:defRPr kumimoji="1" sz="900" b="1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 algn="ctr" rtl="0" fontAlgn="base" latinLnBrk="1">
            <a:spcBef>
              <a:spcPct val="0"/>
            </a:spcBef>
            <a:spcAft>
              <a:spcPct val="0"/>
            </a:spcAft>
            <a:defRPr kumimoji="1" sz="900" b="1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 algn="ctr" rtl="0" fontAlgn="base" latinLnBrk="1">
            <a:spcBef>
              <a:spcPct val="0"/>
            </a:spcBef>
            <a:spcAft>
              <a:spcPct val="0"/>
            </a:spcAft>
            <a:defRPr kumimoji="1" sz="900" b="1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 algn="ctr" rtl="0" fontAlgn="base" latinLnBrk="1">
            <a:spcBef>
              <a:spcPct val="0"/>
            </a:spcBef>
            <a:spcAft>
              <a:spcPct val="0"/>
            </a:spcAft>
            <a:defRPr kumimoji="1" sz="900" b="1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 algn="ctr" rtl="0" fontAlgn="base" latinLnBrk="1">
            <a:spcBef>
              <a:spcPct val="0"/>
            </a:spcBef>
            <a:spcAft>
              <a:spcPct val="0"/>
            </a:spcAft>
            <a:defRPr kumimoji="1" sz="900" b="1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1" hangingPunct="1">
            <a:defRPr kumimoji="1" sz="900" b="1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1" hangingPunct="1">
            <a:defRPr kumimoji="1" sz="900" b="1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1" hangingPunct="1">
            <a:defRPr kumimoji="1" sz="900" b="1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1" hangingPunct="1">
            <a:defRPr kumimoji="1" sz="900" b="1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spcBef>
              <a:spcPts val="0"/>
            </a:spcBef>
            <a:spcAft>
              <a:spcPts val="600"/>
            </a:spcAft>
            <a:buClrTx/>
            <a:buSzTx/>
            <a:buFontTx/>
            <a:buNone/>
            <a:tabLst/>
            <a:defRPr/>
          </a:pPr>
          <a:r>
            <a:rPr kumimoji="0" lang="en-US" sz="1200" b="0" kern="0" dirty="0">
              <a:solidFill>
                <a:schemeClr val="tx2">
                  <a:lumMod val="7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Jun 2024 - Feb 2025 </a:t>
          </a:r>
        </a:p>
        <a:p xmlns:a="http://schemas.openxmlformats.org/drawingml/2006/main">
          <a:pPr marL="0" marR="0" lvl="0" indent="0" defTabSz="914400" eaLnBrk="1" fontAlgn="auto" latinLnBrk="0" hangingPunct="1">
            <a:spcBef>
              <a:spcPts val="0"/>
            </a:spcBef>
            <a:spcAft>
              <a:spcPts val="600"/>
            </a:spcAft>
            <a:buClrTx/>
            <a:buSzTx/>
            <a:buFontTx/>
            <a:buNone/>
            <a:tabLst/>
            <a:defRPr/>
          </a:pPr>
          <a:r>
            <a:rPr kumimoji="0" lang="en-US" sz="1200" b="0" kern="0" dirty="0">
              <a:solidFill>
                <a:schemeClr val="tx2">
                  <a:lumMod val="7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semiconductor &amp; AI rally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514350</xdr:colOff>
      <xdr:row>35</xdr:row>
      <xdr:rowOff>95250</xdr:rowOff>
    </xdr:from>
    <xdr:to>
      <xdr:col>10</xdr:col>
      <xdr:colOff>523875</xdr:colOff>
      <xdr:row>40</xdr:row>
      <xdr:rowOff>28575</xdr:rowOff>
    </xdr:to>
    <xdr:sp macro="" textlink="">
      <xdr:nvSpPr>
        <xdr:cNvPr id="62653092" name="Line 1">
          <a:extLst>
            <a:ext uri="{FF2B5EF4-FFF2-40B4-BE49-F238E27FC236}">
              <a16:creationId xmlns:a16="http://schemas.microsoft.com/office/drawing/2014/main" id="{00000000-0008-0000-0B00-0000A402BC03}"/>
            </a:ext>
          </a:extLst>
        </xdr:cNvPr>
        <xdr:cNvSpPr>
          <a:spLocks noChangeShapeType="1"/>
        </xdr:cNvSpPr>
      </xdr:nvSpPr>
      <xdr:spPr bwMode="auto">
        <a:xfrm flipH="1">
          <a:off x="10506075" y="5695950"/>
          <a:ext cx="9525" cy="714375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1</xdr:col>
      <xdr:colOff>495300</xdr:colOff>
      <xdr:row>40</xdr:row>
      <xdr:rowOff>38100</xdr:rowOff>
    </xdr:from>
    <xdr:to>
      <xdr:col>10</xdr:col>
      <xdr:colOff>523875</xdr:colOff>
      <xdr:row>40</xdr:row>
      <xdr:rowOff>38100</xdr:rowOff>
    </xdr:to>
    <xdr:sp macro="" textlink="">
      <xdr:nvSpPr>
        <xdr:cNvPr id="62653093" name="Line 2">
          <a:extLst>
            <a:ext uri="{FF2B5EF4-FFF2-40B4-BE49-F238E27FC236}">
              <a16:creationId xmlns:a16="http://schemas.microsoft.com/office/drawing/2014/main" id="{00000000-0008-0000-0B00-0000A502BC03}"/>
            </a:ext>
          </a:extLst>
        </xdr:cNvPr>
        <xdr:cNvSpPr>
          <a:spLocks noChangeShapeType="1"/>
        </xdr:cNvSpPr>
      </xdr:nvSpPr>
      <xdr:spPr bwMode="auto">
        <a:xfrm flipH="1">
          <a:off x="704850" y="6419850"/>
          <a:ext cx="981075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495300</xdr:colOff>
      <xdr:row>40</xdr:row>
      <xdr:rowOff>47625</xdr:rowOff>
    </xdr:from>
    <xdr:to>
      <xdr:col>1</xdr:col>
      <xdr:colOff>495300</xdr:colOff>
      <xdr:row>44</xdr:row>
      <xdr:rowOff>19050</xdr:rowOff>
    </xdr:to>
    <xdr:sp macro="" textlink="">
      <xdr:nvSpPr>
        <xdr:cNvPr id="62653094" name="Line 3">
          <a:extLst>
            <a:ext uri="{FF2B5EF4-FFF2-40B4-BE49-F238E27FC236}">
              <a16:creationId xmlns:a16="http://schemas.microsoft.com/office/drawing/2014/main" id="{00000000-0008-0000-0B00-0000A602BC03}"/>
            </a:ext>
          </a:extLst>
        </xdr:cNvPr>
        <xdr:cNvSpPr>
          <a:spLocks noChangeShapeType="1"/>
        </xdr:cNvSpPr>
      </xdr:nvSpPr>
      <xdr:spPr bwMode="auto">
        <a:xfrm>
          <a:off x="704850" y="6429375"/>
          <a:ext cx="0" cy="695325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495300</xdr:colOff>
      <xdr:row>44</xdr:row>
      <xdr:rowOff>19050</xdr:rowOff>
    </xdr:from>
    <xdr:to>
      <xdr:col>1</xdr:col>
      <xdr:colOff>828675</xdr:colOff>
      <xdr:row>44</xdr:row>
      <xdr:rowOff>19050</xdr:rowOff>
    </xdr:to>
    <xdr:sp macro="" textlink="">
      <xdr:nvSpPr>
        <xdr:cNvPr id="62653095" name="Line 4">
          <a:extLst>
            <a:ext uri="{FF2B5EF4-FFF2-40B4-BE49-F238E27FC236}">
              <a16:creationId xmlns:a16="http://schemas.microsoft.com/office/drawing/2014/main" id="{00000000-0008-0000-0B00-0000A702BC03}"/>
            </a:ext>
          </a:extLst>
        </xdr:cNvPr>
        <xdr:cNvSpPr>
          <a:spLocks noChangeShapeType="1"/>
        </xdr:cNvSpPr>
      </xdr:nvSpPr>
      <xdr:spPr bwMode="auto">
        <a:xfrm>
          <a:off x="704850" y="7124700"/>
          <a:ext cx="33337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495300</xdr:colOff>
      <xdr:row>82</xdr:row>
      <xdr:rowOff>85725</xdr:rowOff>
    </xdr:from>
    <xdr:to>
      <xdr:col>1</xdr:col>
      <xdr:colOff>523875</xdr:colOff>
      <xdr:row>82</xdr:row>
      <xdr:rowOff>85725</xdr:rowOff>
    </xdr:to>
    <xdr:sp macro="" textlink="">
      <xdr:nvSpPr>
        <xdr:cNvPr id="62653096" name="Line 7">
          <a:extLst>
            <a:ext uri="{FF2B5EF4-FFF2-40B4-BE49-F238E27FC236}">
              <a16:creationId xmlns:a16="http://schemas.microsoft.com/office/drawing/2014/main" id="{00000000-0008-0000-0B00-0000A802BC03}"/>
            </a:ext>
          </a:extLst>
        </xdr:cNvPr>
        <xdr:cNvSpPr>
          <a:spLocks noChangeShapeType="1"/>
        </xdr:cNvSpPr>
      </xdr:nvSpPr>
      <xdr:spPr bwMode="auto">
        <a:xfrm>
          <a:off x="704850" y="12868275"/>
          <a:ext cx="2857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600075</xdr:colOff>
      <xdr:row>66</xdr:row>
      <xdr:rowOff>57150</xdr:rowOff>
    </xdr:from>
    <xdr:to>
      <xdr:col>11</xdr:col>
      <xdr:colOff>600075</xdr:colOff>
      <xdr:row>71</xdr:row>
      <xdr:rowOff>0</xdr:rowOff>
    </xdr:to>
    <xdr:sp macro="" textlink="">
      <xdr:nvSpPr>
        <xdr:cNvPr id="62653097" name="Line 8">
          <a:extLst>
            <a:ext uri="{FF2B5EF4-FFF2-40B4-BE49-F238E27FC236}">
              <a16:creationId xmlns:a16="http://schemas.microsoft.com/office/drawing/2014/main" id="{00000000-0008-0000-0B00-0000A902BC03}"/>
            </a:ext>
          </a:extLst>
        </xdr:cNvPr>
        <xdr:cNvSpPr>
          <a:spLocks noChangeShapeType="1"/>
        </xdr:cNvSpPr>
      </xdr:nvSpPr>
      <xdr:spPr bwMode="auto">
        <a:xfrm>
          <a:off x="11649075" y="80867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495300</xdr:colOff>
      <xdr:row>71</xdr:row>
      <xdr:rowOff>9525</xdr:rowOff>
    </xdr:from>
    <xdr:to>
      <xdr:col>11</xdr:col>
      <xdr:colOff>600075</xdr:colOff>
      <xdr:row>71</xdr:row>
      <xdr:rowOff>9525</xdr:rowOff>
    </xdr:to>
    <xdr:sp macro="" textlink="">
      <xdr:nvSpPr>
        <xdr:cNvPr id="62653098" name="Line 9">
          <a:extLst>
            <a:ext uri="{FF2B5EF4-FFF2-40B4-BE49-F238E27FC236}">
              <a16:creationId xmlns:a16="http://schemas.microsoft.com/office/drawing/2014/main" id="{00000000-0008-0000-0B00-0000AA02BC03}"/>
            </a:ext>
          </a:extLst>
        </xdr:cNvPr>
        <xdr:cNvSpPr>
          <a:spLocks noChangeShapeType="1"/>
        </xdr:cNvSpPr>
      </xdr:nvSpPr>
      <xdr:spPr bwMode="auto">
        <a:xfrm flipH="1">
          <a:off x="704850" y="8086725"/>
          <a:ext cx="109442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495300</xdr:colOff>
      <xdr:row>71</xdr:row>
      <xdr:rowOff>9525</xdr:rowOff>
    </xdr:from>
    <xdr:to>
      <xdr:col>1</xdr:col>
      <xdr:colOff>495300</xdr:colOff>
      <xdr:row>75</xdr:row>
      <xdr:rowOff>19050</xdr:rowOff>
    </xdr:to>
    <xdr:sp macro="" textlink="">
      <xdr:nvSpPr>
        <xdr:cNvPr id="62653099" name="Line 10">
          <a:extLst>
            <a:ext uri="{FF2B5EF4-FFF2-40B4-BE49-F238E27FC236}">
              <a16:creationId xmlns:a16="http://schemas.microsoft.com/office/drawing/2014/main" id="{00000000-0008-0000-0B00-0000AB02BC03}"/>
            </a:ext>
          </a:extLst>
        </xdr:cNvPr>
        <xdr:cNvSpPr>
          <a:spLocks noChangeShapeType="1"/>
        </xdr:cNvSpPr>
      </xdr:nvSpPr>
      <xdr:spPr bwMode="auto">
        <a:xfrm>
          <a:off x="704850" y="80867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495300</xdr:colOff>
      <xdr:row>75</xdr:row>
      <xdr:rowOff>19050</xdr:rowOff>
    </xdr:from>
    <xdr:to>
      <xdr:col>1</xdr:col>
      <xdr:colOff>828675</xdr:colOff>
      <xdr:row>75</xdr:row>
      <xdr:rowOff>19050</xdr:rowOff>
    </xdr:to>
    <xdr:sp macro="" textlink="">
      <xdr:nvSpPr>
        <xdr:cNvPr id="62653100" name="Line 11">
          <a:extLst>
            <a:ext uri="{FF2B5EF4-FFF2-40B4-BE49-F238E27FC236}">
              <a16:creationId xmlns:a16="http://schemas.microsoft.com/office/drawing/2014/main" id="{00000000-0008-0000-0B00-0000AC02BC03}"/>
            </a:ext>
          </a:extLst>
        </xdr:cNvPr>
        <xdr:cNvSpPr>
          <a:spLocks noChangeShapeType="1"/>
        </xdr:cNvSpPr>
      </xdr:nvSpPr>
      <xdr:spPr bwMode="auto">
        <a:xfrm>
          <a:off x="704850" y="8086725"/>
          <a:ext cx="33337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542925</xdr:colOff>
      <xdr:row>80</xdr:row>
      <xdr:rowOff>0</xdr:rowOff>
    </xdr:from>
    <xdr:to>
      <xdr:col>12</xdr:col>
      <xdr:colOff>352425</xdr:colOff>
      <xdr:row>80</xdr:row>
      <xdr:rowOff>0</xdr:rowOff>
    </xdr:to>
    <xdr:sp macro="" textlink="">
      <xdr:nvSpPr>
        <xdr:cNvPr id="62653101" name="Line 12">
          <a:extLst>
            <a:ext uri="{FF2B5EF4-FFF2-40B4-BE49-F238E27FC236}">
              <a16:creationId xmlns:a16="http://schemas.microsoft.com/office/drawing/2014/main" id="{00000000-0008-0000-0B00-0000AD02BC03}"/>
            </a:ext>
          </a:extLst>
        </xdr:cNvPr>
        <xdr:cNvSpPr>
          <a:spLocks noChangeShapeType="1"/>
        </xdr:cNvSpPr>
      </xdr:nvSpPr>
      <xdr:spPr bwMode="auto">
        <a:xfrm>
          <a:off x="12334875" y="824865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390525</xdr:colOff>
      <xdr:row>80</xdr:row>
      <xdr:rowOff>0</xdr:rowOff>
    </xdr:from>
    <xdr:to>
      <xdr:col>1</xdr:col>
      <xdr:colOff>390525</xdr:colOff>
      <xdr:row>80</xdr:row>
      <xdr:rowOff>0</xdr:rowOff>
    </xdr:to>
    <xdr:sp macro="" textlink="">
      <xdr:nvSpPr>
        <xdr:cNvPr id="62653102" name="Line 14">
          <a:extLst>
            <a:ext uri="{FF2B5EF4-FFF2-40B4-BE49-F238E27FC236}">
              <a16:creationId xmlns:a16="http://schemas.microsoft.com/office/drawing/2014/main" id="{00000000-0008-0000-0B00-0000AE02BC03}"/>
            </a:ext>
          </a:extLst>
        </xdr:cNvPr>
        <xdr:cNvSpPr>
          <a:spLocks noChangeShapeType="1"/>
        </xdr:cNvSpPr>
      </xdr:nvSpPr>
      <xdr:spPr bwMode="auto">
        <a:xfrm>
          <a:off x="600075" y="824865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542925</xdr:colOff>
      <xdr:row>80</xdr:row>
      <xdr:rowOff>0</xdr:rowOff>
    </xdr:from>
    <xdr:to>
      <xdr:col>12</xdr:col>
      <xdr:colOff>352425</xdr:colOff>
      <xdr:row>80</xdr:row>
      <xdr:rowOff>0</xdr:rowOff>
    </xdr:to>
    <xdr:sp macro="" textlink="">
      <xdr:nvSpPr>
        <xdr:cNvPr id="62653103" name="Line 29">
          <a:extLst>
            <a:ext uri="{FF2B5EF4-FFF2-40B4-BE49-F238E27FC236}">
              <a16:creationId xmlns:a16="http://schemas.microsoft.com/office/drawing/2014/main" id="{00000000-0008-0000-0B00-0000AF02BC03}"/>
            </a:ext>
          </a:extLst>
        </xdr:cNvPr>
        <xdr:cNvSpPr>
          <a:spLocks noChangeShapeType="1"/>
        </xdr:cNvSpPr>
      </xdr:nvSpPr>
      <xdr:spPr bwMode="auto">
        <a:xfrm>
          <a:off x="12334875" y="824865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542925</xdr:colOff>
      <xdr:row>80</xdr:row>
      <xdr:rowOff>0</xdr:rowOff>
    </xdr:from>
    <xdr:to>
      <xdr:col>12</xdr:col>
      <xdr:colOff>352425</xdr:colOff>
      <xdr:row>80</xdr:row>
      <xdr:rowOff>0</xdr:rowOff>
    </xdr:to>
    <xdr:sp macro="" textlink="">
      <xdr:nvSpPr>
        <xdr:cNvPr id="62653104" name="Line 33">
          <a:extLst>
            <a:ext uri="{FF2B5EF4-FFF2-40B4-BE49-F238E27FC236}">
              <a16:creationId xmlns:a16="http://schemas.microsoft.com/office/drawing/2014/main" id="{00000000-0008-0000-0B00-0000B002BC03}"/>
            </a:ext>
          </a:extLst>
        </xdr:cNvPr>
        <xdr:cNvSpPr>
          <a:spLocks noChangeShapeType="1"/>
        </xdr:cNvSpPr>
      </xdr:nvSpPr>
      <xdr:spPr bwMode="auto">
        <a:xfrm>
          <a:off x="12334875" y="824865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514350</xdr:colOff>
      <xdr:row>35</xdr:row>
      <xdr:rowOff>95250</xdr:rowOff>
    </xdr:from>
    <xdr:to>
      <xdr:col>22</xdr:col>
      <xdr:colOff>514350</xdr:colOff>
      <xdr:row>40</xdr:row>
      <xdr:rowOff>9525</xdr:rowOff>
    </xdr:to>
    <xdr:sp macro="" textlink="">
      <xdr:nvSpPr>
        <xdr:cNvPr id="62653105" name="Line 1">
          <a:extLst>
            <a:ext uri="{FF2B5EF4-FFF2-40B4-BE49-F238E27FC236}">
              <a16:creationId xmlns:a16="http://schemas.microsoft.com/office/drawing/2014/main" id="{00000000-0008-0000-0B00-0000B102BC03}"/>
            </a:ext>
          </a:extLst>
        </xdr:cNvPr>
        <xdr:cNvSpPr>
          <a:spLocks noChangeShapeType="1"/>
        </xdr:cNvSpPr>
      </xdr:nvSpPr>
      <xdr:spPr bwMode="auto">
        <a:xfrm flipH="1">
          <a:off x="12601575" y="5695950"/>
          <a:ext cx="0" cy="695325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495300</xdr:colOff>
      <xdr:row>40</xdr:row>
      <xdr:rowOff>38100</xdr:rowOff>
    </xdr:from>
    <xdr:to>
      <xdr:col>22</xdr:col>
      <xdr:colOff>514350</xdr:colOff>
      <xdr:row>40</xdr:row>
      <xdr:rowOff>38100</xdr:rowOff>
    </xdr:to>
    <xdr:sp macro="" textlink="">
      <xdr:nvSpPr>
        <xdr:cNvPr id="62653106" name="Line 2">
          <a:extLst>
            <a:ext uri="{FF2B5EF4-FFF2-40B4-BE49-F238E27FC236}">
              <a16:creationId xmlns:a16="http://schemas.microsoft.com/office/drawing/2014/main" id="{00000000-0008-0000-0B00-0000B202BC03}"/>
            </a:ext>
          </a:extLst>
        </xdr:cNvPr>
        <xdr:cNvSpPr>
          <a:spLocks noChangeShapeType="1"/>
        </xdr:cNvSpPr>
      </xdr:nvSpPr>
      <xdr:spPr bwMode="auto">
        <a:xfrm flipH="1">
          <a:off x="12601575" y="641985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495300</xdr:colOff>
      <xdr:row>40</xdr:row>
      <xdr:rowOff>47625</xdr:rowOff>
    </xdr:from>
    <xdr:to>
      <xdr:col>13</xdr:col>
      <xdr:colOff>495300</xdr:colOff>
      <xdr:row>44</xdr:row>
      <xdr:rowOff>19050</xdr:rowOff>
    </xdr:to>
    <xdr:sp macro="" textlink="">
      <xdr:nvSpPr>
        <xdr:cNvPr id="62653107" name="Line 3">
          <a:extLst>
            <a:ext uri="{FF2B5EF4-FFF2-40B4-BE49-F238E27FC236}">
              <a16:creationId xmlns:a16="http://schemas.microsoft.com/office/drawing/2014/main" id="{00000000-0008-0000-0B00-0000B302BC03}"/>
            </a:ext>
          </a:extLst>
        </xdr:cNvPr>
        <xdr:cNvSpPr>
          <a:spLocks noChangeShapeType="1"/>
        </xdr:cNvSpPr>
      </xdr:nvSpPr>
      <xdr:spPr bwMode="auto">
        <a:xfrm>
          <a:off x="12601575" y="6429375"/>
          <a:ext cx="0" cy="695325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495300</xdr:colOff>
      <xdr:row>44</xdr:row>
      <xdr:rowOff>19050</xdr:rowOff>
    </xdr:from>
    <xdr:to>
      <xdr:col>13</xdr:col>
      <xdr:colOff>419100</xdr:colOff>
      <xdr:row>44</xdr:row>
      <xdr:rowOff>19050</xdr:rowOff>
    </xdr:to>
    <xdr:sp macro="" textlink="">
      <xdr:nvSpPr>
        <xdr:cNvPr id="62653108" name="Line 4">
          <a:extLst>
            <a:ext uri="{FF2B5EF4-FFF2-40B4-BE49-F238E27FC236}">
              <a16:creationId xmlns:a16="http://schemas.microsoft.com/office/drawing/2014/main" id="{00000000-0008-0000-0B00-0000B402BC03}"/>
            </a:ext>
          </a:extLst>
        </xdr:cNvPr>
        <xdr:cNvSpPr>
          <a:spLocks noChangeShapeType="1"/>
        </xdr:cNvSpPr>
      </xdr:nvSpPr>
      <xdr:spPr bwMode="auto">
        <a:xfrm>
          <a:off x="12601575" y="7124700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26</xdr:col>
      <xdr:colOff>38099</xdr:colOff>
      <xdr:row>2</xdr:row>
      <xdr:rowOff>11658</xdr:rowOff>
    </xdr:from>
    <xdr:to>
      <xdr:col>27</xdr:col>
      <xdr:colOff>276224</xdr:colOff>
      <xdr:row>16</xdr:row>
      <xdr:rowOff>128769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39674" y="392658"/>
          <a:ext cx="2933700" cy="2669811"/>
        </a:xfrm>
        <a:prstGeom prst="rect">
          <a:avLst/>
        </a:prstGeom>
        <a:ln>
          <a:solidFill>
            <a:schemeClr val="tx1"/>
          </a:solidFill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95</xdr:col>
      <xdr:colOff>928382</xdr:colOff>
      <xdr:row>100</xdr:row>
      <xdr:rowOff>97838</xdr:rowOff>
    </xdr:from>
    <xdr:to>
      <xdr:col>103</xdr:col>
      <xdr:colOff>745580</xdr:colOff>
      <xdr:row>120</xdr:row>
      <xdr:rowOff>98324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52873F-41EF-132B-DC42-CA209BAF02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161925</xdr:colOff>
      <xdr:row>347</xdr:row>
      <xdr:rowOff>123825</xdr:rowOff>
    </xdr:from>
    <xdr:to>
      <xdr:col>19</xdr:col>
      <xdr:colOff>846502</xdr:colOff>
      <xdr:row>371</xdr:row>
      <xdr:rowOff>57151</xdr:rowOff>
    </xdr:to>
    <xdr:pic>
      <xdr:nvPicPr>
        <xdr:cNvPr id="4" name="Picture 3" descr="Năm 2024, FPT đặt mục tiêu lãi 10.875 tỷ đồng, phát hành hơn 190 triệu cổ phiếu tăng vốn - Ảnh 1">
          <a:extLst>
            <a:ext uri="{FF2B5EF4-FFF2-40B4-BE49-F238E27FC236}">
              <a16:creationId xmlns:a16="http://schemas.microsoft.com/office/drawing/2014/main" id="{615F4DA5-F97E-1D67-E4CE-AB024ECC1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30556200"/>
          <a:ext cx="8579954" cy="381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104</xdr:col>
      <xdr:colOff>518978</xdr:colOff>
      <xdr:row>82</xdr:row>
      <xdr:rowOff>12181</xdr:rowOff>
    </xdr:from>
    <xdr:to>
      <xdr:col>110</xdr:col>
      <xdr:colOff>590999</xdr:colOff>
      <xdr:row>95</xdr:row>
      <xdr:rowOff>36183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4BDB0D2-3D97-7B4C-E3F6-CBA77FDE89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0</xdr:colOff>
      <xdr:row>16</xdr:row>
      <xdr:rowOff>0</xdr:rowOff>
    </xdr:from>
    <xdr:to>
      <xdr:col>42</xdr:col>
      <xdr:colOff>129592</xdr:colOff>
      <xdr:row>28</xdr:row>
      <xdr:rowOff>109364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4BDB0D2-3D97-7B4C-E3F6-CBA77FDE89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575163</xdr:colOff>
      <xdr:row>32</xdr:row>
      <xdr:rowOff>115765</xdr:rowOff>
    </xdr:from>
    <xdr:to>
      <xdr:col>33</xdr:col>
      <xdr:colOff>167786</xdr:colOff>
      <xdr:row>49</xdr:row>
      <xdr:rowOff>138478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F6D2D89-1787-B363-CB56-70B2C814BE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714375</xdr:colOff>
      <xdr:row>337</xdr:row>
      <xdr:rowOff>6</xdr:rowOff>
    </xdr:from>
    <xdr:to>
      <xdr:col>20</xdr:col>
      <xdr:colOff>142875</xdr:colOff>
      <xdr:row>353</xdr:row>
      <xdr:rowOff>152406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65479B8-8262-5232-9BF0-1B5F0ECC73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104</xdr:col>
      <xdr:colOff>159123</xdr:colOff>
      <xdr:row>102</xdr:row>
      <xdr:rowOff>52669</xdr:rowOff>
    </xdr:from>
    <xdr:to>
      <xdr:col>109</xdr:col>
      <xdr:colOff>99732</xdr:colOff>
      <xdr:row>129</xdr:row>
      <xdr:rowOff>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DFAB861-B1F4-9F51-B87C-E965B212FE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95</xdr:col>
      <xdr:colOff>590080</xdr:colOff>
      <xdr:row>79</xdr:row>
      <xdr:rowOff>141702</xdr:rowOff>
    </xdr:from>
    <xdr:to>
      <xdr:col>104</xdr:col>
      <xdr:colOff>318295</xdr:colOff>
      <xdr:row>97</xdr:row>
      <xdr:rowOff>85673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184ACA3-B300-D702-2714-6138579AE1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27</xdr:col>
      <xdr:colOff>0</xdr:colOff>
      <xdr:row>57</xdr:row>
      <xdr:rowOff>0</xdr:rowOff>
    </xdr:from>
    <xdr:to>
      <xdr:col>33</xdr:col>
      <xdr:colOff>17145</xdr:colOff>
      <xdr:row>69</xdr:row>
      <xdr:rowOff>59055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184ACA3-B300-D702-2714-6138579AE1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21</xdr:col>
      <xdr:colOff>283028</xdr:colOff>
      <xdr:row>14</xdr:row>
      <xdr:rowOff>116725</xdr:rowOff>
    </xdr:from>
    <xdr:to>
      <xdr:col>25</xdr:col>
      <xdr:colOff>734845</xdr:colOff>
      <xdr:row>29</xdr:row>
      <xdr:rowOff>10175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CC08B3-9840-1BD1-F146-0C6E09C940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</xdr:col>
      <xdr:colOff>0</xdr:colOff>
      <xdr:row>137</xdr:row>
      <xdr:rowOff>0</xdr:rowOff>
    </xdr:from>
    <xdr:to>
      <xdr:col>27</xdr:col>
      <xdr:colOff>526098</xdr:colOff>
      <xdr:row>147</xdr:row>
      <xdr:rowOff>15875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BCC08B3-9840-1BD1-F146-0C6E09C940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0</xdr:colOff>
      <xdr:row>149</xdr:row>
      <xdr:rowOff>0</xdr:rowOff>
    </xdr:from>
    <xdr:to>
      <xdr:col>27</xdr:col>
      <xdr:colOff>526098</xdr:colOff>
      <xdr:row>159</xdr:row>
      <xdr:rowOff>15875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A778DE0-6C41-4293-8DBF-BEA8C17990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24</xdr:col>
      <xdr:colOff>800100</xdr:colOff>
      <xdr:row>50</xdr:row>
      <xdr:rowOff>76200</xdr:rowOff>
    </xdr:from>
    <xdr:to>
      <xdr:col>31</xdr:col>
      <xdr:colOff>436907</xdr:colOff>
      <xdr:row>67</xdr:row>
      <xdr:rowOff>47211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DD5D2EC-0A94-444D-B9E4-ECDE8C1A40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22</xdr:col>
      <xdr:colOff>0</xdr:colOff>
      <xdr:row>70</xdr:row>
      <xdr:rowOff>0</xdr:rowOff>
    </xdr:from>
    <xdr:to>
      <xdr:col>25</xdr:col>
      <xdr:colOff>339436</xdr:colOff>
      <xdr:row>80</xdr:row>
      <xdr:rowOff>68233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26BF971-4A40-1D51-5A1F-9AC78DBF0D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10</xdr:col>
      <xdr:colOff>0</xdr:colOff>
      <xdr:row>160</xdr:row>
      <xdr:rowOff>0</xdr:rowOff>
    </xdr:from>
    <xdr:to>
      <xdr:col>16</xdr:col>
      <xdr:colOff>0</xdr:colOff>
      <xdr:row>189</xdr:row>
      <xdr:rowOff>40732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A5ED154-5A3D-2ADE-E9C6-DDAC5F9376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27</xdr:col>
      <xdr:colOff>304800</xdr:colOff>
      <xdr:row>5</xdr:row>
      <xdr:rowOff>133350</xdr:rowOff>
    </xdr:from>
    <xdr:to>
      <xdr:col>37</xdr:col>
      <xdr:colOff>496933</xdr:colOff>
      <xdr:row>34</xdr:row>
      <xdr:rowOff>26488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BEC9ED4-4A65-4DE7-A3AB-75553ABB7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25</xdr:col>
      <xdr:colOff>1038225</xdr:colOff>
      <xdr:row>97</xdr:row>
      <xdr:rowOff>161925</xdr:rowOff>
    </xdr:from>
    <xdr:to>
      <xdr:col>36</xdr:col>
      <xdr:colOff>14316</xdr:colOff>
      <xdr:row>128</xdr:row>
      <xdr:rowOff>156334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BEC9ED4-4A65-4DE7-A3AB-75553ABB7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26</xdr:col>
      <xdr:colOff>0</xdr:colOff>
      <xdr:row>72</xdr:row>
      <xdr:rowOff>0</xdr:rowOff>
    </xdr:from>
    <xdr:to>
      <xdr:col>32</xdr:col>
      <xdr:colOff>19050</xdr:colOff>
      <xdr:row>81</xdr:row>
      <xdr:rowOff>143692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26BF971-4A40-1D51-5A1F-9AC78DBF0D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95</xdr:col>
      <xdr:colOff>579368</xdr:colOff>
      <xdr:row>30</xdr:row>
      <xdr:rowOff>57564</xdr:rowOff>
    </xdr:from>
    <xdr:to>
      <xdr:col>101</xdr:col>
      <xdr:colOff>655568</xdr:colOff>
      <xdr:row>40</xdr:row>
      <xdr:rowOff>65184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926BF971-4A40-1D51-5A1F-9AC78DBF0D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95</xdr:col>
      <xdr:colOff>894522</xdr:colOff>
      <xdr:row>46</xdr:row>
      <xdr:rowOff>19050</xdr:rowOff>
    </xdr:from>
    <xdr:to>
      <xdr:col>98</xdr:col>
      <xdr:colOff>8890</xdr:colOff>
      <xdr:row>57</xdr:row>
      <xdr:rowOff>38100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615EE757-5048-7D5E-6F91-845A28E9B9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95</xdr:col>
      <xdr:colOff>0</xdr:colOff>
      <xdr:row>13</xdr:row>
      <xdr:rowOff>0</xdr:rowOff>
    </xdr:from>
    <xdr:to>
      <xdr:col>101</xdr:col>
      <xdr:colOff>169912</xdr:colOff>
      <xdr:row>42</xdr:row>
      <xdr:rowOff>46923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C78B2B54-4C1B-AA42-5CBB-16F20A63D4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39</xdr:col>
      <xdr:colOff>47929</xdr:colOff>
      <xdr:row>17</xdr:row>
      <xdr:rowOff>10850</xdr:rowOff>
    </xdr:from>
    <xdr:to>
      <xdr:col>49</xdr:col>
      <xdr:colOff>145024</xdr:colOff>
      <xdr:row>46</xdr:row>
      <xdr:rowOff>94498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38FA96BC-98E0-4754-6DD8-472657BEE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31</xdr:col>
      <xdr:colOff>103501</xdr:colOff>
      <xdr:row>0</xdr:row>
      <xdr:rowOff>152910</xdr:rowOff>
    </xdr:from>
    <xdr:to>
      <xdr:col>41</xdr:col>
      <xdr:colOff>495005</xdr:colOff>
      <xdr:row>30</xdr:row>
      <xdr:rowOff>35282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7E27C95-27AD-E83A-444C-46CC21F70F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41</xdr:col>
      <xdr:colOff>92776</xdr:colOff>
      <xdr:row>7</xdr:row>
      <xdr:rowOff>53191</xdr:rowOff>
    </xdr:from>
    <xdr:to>
      <xdr:col>54</xdr:col>
      <xdr:colOff>709826</xdr:colOff>
      <xdr:row>58</xdr:row>
      <xdr:rowOff>139223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2F6D2D89-1787-B363-CB56-70B2C814BE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27</xdr:col>
      <xdr:colOff>304800</xdr:colOff>
      <xdr:row>63</xdr:row>
      <xdr:rowOff>142875</xdr:rowOff>
    </xdr:from>
    <xdr:to>
      <xdr:col>42</xdr:col>
      <xdr:colOff>208961</xdr:colOff>
      <xdr:row>118</xdr:row>
      <xdr:rowOff>146621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2F6D2D89-1787-B363-CB56-70B2C814BE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44</xdr:col>
      <xdr:colOff>101435</xdr:colOff>
      <xdr:row>55</xdr:row>
      <xdr:rowOff>122463</xdr:rowOff>
    </xdr:from>
    <xdr:to>
      <xdr:col>56</xdr:col>
      <xdr:colOff>593302</xdr:colOff>
      <xdr:row>110</xdr:row>
      <xdr:rowOff>41208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2F6D2D89-1787-B363-CB56-70B2C814BE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83</xdr:col>
      <xdr:colOff>95250</xdr:colOff>
      <xdr:row>0</xdr:row>
      <xdr:rowOff>108857</xdr:rowOff>
    </xdr:from>
    <xdr:to>
      <xdr:col>87</xdr:col>
      <xdr:colOff>274320</xdr:colOff>
      <xdr:row>12</xdr:row>
      <xdr:rowOff>105410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FDD5D2EC-0A94-444D-B9E4-ECDE8C1A40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22</xdr:col>
      <xdr:colOff>314325</xdr:colOff>
      <xdr:row>25</xdr:row>
      <xdr:rowOff>133350</xdr:rowOff>
    </xdr:from>
    <xdr:to>
      <xdr:col>25</xdr:col>
      <xdr:colOff>748846</xdr:colOff>
      <xdr:row>37</xdr:row>
      <xdr:rowOff>6531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94BDB0D2-3D97-7B4C-E3F6-CBA77FDE89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95</xdr:col>
      <xdr:colOff>874230</xdr:colOff>
      <xdr:row>15</xdr:row>
      <xdr:rowOff>128381</xdr:rowOff>
    </xdr:from>
    <xdr:to>
      <xdr:col>96</xdr:col>
      <xdr:colOff>670891</xdr:colOff>
      <xdr:row>38</xdr:row>
      <xdr:rowOff>109331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B68E9262-A206-46E4-94DE-6204E43BB2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95</xdr:col>
      <xdr:colOff>700898</xdr:colOff>
      <xdr:row>43</xdr:row>
      <xdr:rowOff>123713</xdr:rowOff>
    </xdr:from>
    <xdr:to>
      <xdr:col>96</xdr:col>
      <xdr:colOff>331305</xdr:colOff>
      <xdr:row>68</xdr:row>
      <xdr:rowOff>49922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A23DD09A-5572-4803-B342-B1EC7D1A1C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27</xdr:col>
      <xdr:colOff>568576</xdr:colOff>
      <xdr:row>80</xdr:row>
      <xdr:rowOff>34592</xdr:rowOff>
    </xdr:from>
    <xdr:to>
      <xdr:col>36</xdr:col>
      <xdr:colOff>180059</xdr:colOff>
      <xdr:row>124</xdr:row>
      <xdr:rowOff>79126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82EE4B33-6A9F-41EB-8615-D628D5EB60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24</xdr:col>
      <xdr:colOff>455543</xdr:colOff>
      <xdr:row>80</xdr:row>
      <xdr:rowOff>149086</xdr:rowOff>
    </xdr:from>
    <xdr:to>
      <xdr:col>30</xdr:col>
      <xdr:colOff>449429</xdr:colOff>
      <xdr:row>125</xdr:row>
      <xdr:rowOff>32421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B05C0370-D6EE-467A-9693-74B029DF35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590550</xdr:colOff>
      <xdr:row>3</xdr:row>
      <xdr:rowOff>23578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736557-F3E7-4FFF-B5C5-999AC5455CCB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2219325" cy="542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285750</xdr:colOff>
      <xdr:row>7</xdr:row>
      <xdr:rowOff>1571625</xdr:rowOff>
    </xdr:from>
    <xdr:to>
      <xdr:col>16</xdr:col>
      <xdr:colOff>294791</xdr:colOff>
      <xdr:row>16</xdr:row>
      <xdr:rowOff>144821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27A611-CE1C-4714-BA91-FA450A743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67975" y="2828925"/>
          <a:ext cx="3218967" cy="2280102"/>
        </a:xfrm>
        <a:prstGeom prst="rect">
          <a:avLst/>
        </a:prstGeom>
      </xdr:spPr>
    </xdr:pic>
    <xdr:clientData/>
  </xdr:twoCellAnchor>
  <xdr:twoCellAnchor>
    <xdr:from>
      <xdr:col>12</xdr:col>
      <xdr:colOff>266700</xdr:colOff>
      <xdr:row>18</xdr:row>
      <xdr:rowOff>47625</xdr:rowOff>
    </xdr:from>
    <xdr:to>
      <xdr:col>16</xdr:col>
      <xdr:colOff>274955</xdr:colOff>
      <xdr:row>30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64E203-4BB4-43EC-9243-583D1E0383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369797</xdr:colOff>
      <xdr:row>956</xdr:row>
      <xdr:rowOff>0</xdr:rowOff>
    </xdr:from>
    <xdr:to>
      <xdr:col>19</xdr:col>
      <xdr:colOff>571501</xdr:colOff>
      <xdr:row>966</xdr:row>
      <xdr:rowOff>182218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5FADC35-8547-45C6-9740-11225E79E4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268942</xdr:colOff>
      <xdr:row>969</xdr:row>
      <xdr:rowOff>44824</xdr:rowOff>
    </xdr:from>
    <xdr:to>
      <xdr:col>19</xdr:col>
      <xdr:colOff>410920</xdr:colOff>
      <xdr:row>981</xdr:row>
      <xdr:rowOff>173729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1538BAD-7806-4FED-B49F-5E505DC8BC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33617</xdr:colOff>
      <xdr:row>1462</xdr:row>
      <xdr:rowOff>56029</xdr:rowOff>
    </xdr:from>
    <xdr:to>
      <xdr:col>15</xdr:col>
      <xdr:colOff>361950</xdr:colOff>
      <xdr:row>1475</xdr:row>
      <xdr:rowOff>58951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0EE4C0C-8581-49EA-BF91-D44468FDED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0</xdr:colOff>
      <xdr:row>961</xdr:row>
      <xdr:rowOff>0</xdr:rowOff>
    </xdr:from>
    <xdr:to>
      <xdr:col>27</xdr:col>
      <xdr:colOff>568810</xdr:colOff>
      <xdr:row>986</xdr:row>
      <xdr:rowOff>83820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2BDBAA62-ECDA-FC9B-FF00-EA8765DEF0BA}"/>
            </a:ext>
          </a:extLst>
        </xdr:cNvPr>
        <xdr:cNvGrpSpPr/>
      </xdr:nvGrpSpPr>
      <xdr:grpSpPr>
        <a:xfrm>
          <a:off x="16916400" y="176164875"/>
          <a:ext cx="5598010" cy="4846320"/>
          <a:chOff x="446868" y="1143610"/>
          <a:chExt cx="5577840" cy="4846320"/>
        </a:xfrm>
      </xdr:grpSpPr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F2EAF1CA-B19D-7624-6E0E-4CF0AF5FB991}"/>
              </a:ext>
            </a:extLst>
          </xdr:cNvPr>
          <xdr:cNvGraphicFramePr>
            <a:graphicFrameLocks/>
          </xdr:cNvGraphicFramePr>
        </xdr:nvGraphicFramePr>
        <xdr:xfrm>
          <a:off x="446868" y="1143610"/>
          <a:ext cx="5577840" cy="48463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">
        <xdr:nvSpPr>
          <xdr:cNvPr id="10" name="Double Bracket 9">
            <a:extLst>
              <a:ext uri="{FF2B5EF4-FFF2-40B4-BE49-F238E27FC236}">
                <a16:creationId xmlns:a16="http://schemas.microsoft.com/office/drawing/2014/main" id="{4C56BFF3-06AD-6CD2-A779-CD6AB9F9801C}"/>
              </a:ext>
            </a:extLst>
          </xdr:cNvPr>
          <xdr:cNvSpPr/>
        </xdr:nvSpPr>
        <xdr:spPr>
          <a:xfrm>
            <a:off x="2136250" y="1556792"/>
            <a:ext cx="2411578" cy="398761"/>
          </a:xfrm>
          <a:prstGeom prst="bracketPair">
            <a:avLst/>
          </a:prstGeom>
          <a:ln w="19050" cap="flat" cmpd="sng" algn="ctr">
            <a:noFill/>
            <a:prstDash val="dash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ctr"/>
          <a:lstStyle>
            <a:defPPr>
              <a:defRPr lang="ko-KR"/>
            </a:defPPr>
            <a:lvl1pPr algn="ctr" rtl="0" fontAlgn="base" latinLnBrk="1">
              <a:spcBef>
                <a:spcPct val="0"/>
              </a:spcBef>
              <a:spcAft>
                <a:spcPct val="0"/>
              </a:spcAft>
              <a:defRPr kumimoji="1" sz="900" b="1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ctr" rtl="0" fontAlgn="base" latinLnBrk="1">
              <a:spcBef>
                <a:spcPct val="0"/>
              </a:spcBef>
              <a:spcAft>
                <a:spcPct val="0"/>
              </a:spcAft>
              <a:defRPr kumimoji="1" sz="900" b="1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ctr" rtl="0" fontAlgn="base" latinLnBrk="1">
              <a:spcBef>
                <a:spcPct val="0"/>
              </a:spcBef>
              <a:spcAft>
                <a:spcPct val="0"/>
              </a:spcAft>
              <a:defRPr kumimoji="1" sz="900" b="1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ctr" rtl="0" fontAlgn="base" latinLnBrk="1">
              <a:spcBef>
                <a:spcPct val="0"/>
              </a:spcBef>
              <a:spcAft>
                <a:spcPct val="0"/>
              </a:spcAft>
              <a:defRPr kumimoji="1" sz="900" b="1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ctr" rtl="0" fontAlgn="base" latinLnBrk="1">
              <a:spcBef>
                <a:spcPct val="0"/>
              </a:spcBef>
              <a:spcAft>
                <a:spcPct val="0"/>
              </a:spcAft>
              <a:defRPr kumimoji="1" sz="900" b="1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kumimoji="1" sz="900" b="1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kumimoji="1" sz="900" b="1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kumimoji="1" sz="900" b="1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kumimoji="1" sz="900" b="1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spcBef>
                <a:spcPts val="0"/>
              </a:spcBef>
              <a:spcAft>
                <a:spcPts val="60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200" b="0" kern="0">
                <a:solidFill>
                  <a:schemeClr val="tx2">
                    <a:lumMod val="75000"/>
                  </a:schemeClr>
                </a:solidFill>
                <a:ea typeface="Noto Sans" panose="020B0502040504020204" pitchFamily="34" charset="0"/>
                <a:cs typeface="Noto Sans" panose="020B0502040504020204" pitchFamily="34" charset="0"/>
              </a:rPr>
              <a:t>Jun 2024 - Feb 2025 </a:t>
            </a:r>
          </a:p>
          <a:p>
            <a:pPr marL="0" marR="0" lvl="0" indent="0" defTabSz="914400" eaLnBrk="1" fontAlgn="auto" latinLnBrk="0" hangingPunct="1">
              <a:spcBef>
                <a:spcPts val="0"/>
              </a:spcBef>
              <a:spcAft>
                <a:spcPts val="60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200" b="0" kern="0">
                <a:solidFill>
                  <a:schemeClr val="tx2">
                    <a:lumMod val="75000"/>
                  </a:schemeClr>
                </a:solidFill>
                <a:ea typeface="Noto Sans" panose="020B0502040504020204" pitchFamily="34" charset="0"/>
                <a:cs typeface="Noto Sans" panose="020B0502040504020204" pitchFamily="34" charset="0"/>
              </a:rPr>
              <a:t>semiconductor &amp; AI rally</a:t>
            </a:r>
          </a:p>
        </xdr:txBody>
      </xdr:sp>
    </xdr:grpSp>
    <xdr:clientData/>
  </xdr:twoCellAnchor>
  <xdr:twoCellAnchor>
    <xdr:from>
      <xdr:col>15</xdr:col>
      <xdr:colOff>0</xdr:colOff>
      <xdr:row>984</xdr:row>
      <xdr:rowOff>0</xdr:rowOff>
    </xdr:from>
    <xdr:to>
      <xdr:col>21</xdr:col>
      <xdr:colOff>271054</xdr:colOff>
      <xdr:row>1010</xdr:row>
      <xdr:rowOff>96515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5FADC35-8547-45C6-9740-11225E79E4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0.80007</cdr:x>
      <cdr:y>4.28496E-7</cdr:y>
    </cdr:from>
    <cdr:to>
      <cdr:x>0.95179</cdr:x>
      <cdr:y>0.76827</cdr:y>
    </cdr:to>
    <cdr:grpSp>
      <cdr:nvGrpSpPr>
        <cdr:cNvPr id="7" name="Group 6">
          <a:extLst xmlns:a="http://schemas.openxmlformats.org/drawingml/2006/main">
            <a:ext uri="{FF2B5EF4-FFF2-40B4-BE49-F238E27FC236}">
              <a16:creationId xmlns:a16="http://schemas.microsoft.com/office/drawing/2014/main" id="{E551B649-F8C6-7AF2-76E9-A1EE98C6527B}"/>
            </a:ext>
          </a:extLst>
        </cdr:cNvPr>
        <cdr:cNvGrpSpPr/>
      </cdr:nvGrpSpPr>
      <cdr:grpSpPr>
        <a:xfrm xmlns:a="http://schemas.openxmlformats.org/drawingml/2006/main">
          <a:off x="2721921" y="1"/>
          <a:ext cx="516168" cy="1603546"/>
          <a:chOff x="3114572" y="416037"/>
          <a:chExt cx="557060" cy="1151283"/>
        </a:xfrm>
      </cdr:grpSpPr>
      <cdr:sp macro="" textlink="">
        <cdr:nvSpPr>
          <cdr:cNvPr id="2" name="TextBox 4">
            <a:extLst xmlns:a="http://schemas.openxmlformats.org/drawingml/2006/main">
              <a:ext uri="{FF2B5EF4-FFF2-40B4-BE49-F238E27FC236}">
                <a16:creationId xmlns:a16="http://schemas.microsoft.com/office/drawing/2014/main" id="{93E244C8-0665-35D2-53E1-6B86532CB332}"/>
              </a:ext>
            </a:extLst>
          </cdr:cNvPr>
          <cdr:cNvSpPr txBox="1"/>
        </cdr:nvSpPr>
        <cdr:spPr>
          <a:xfrm xmlns:a="http://schemas.openxmlformats.org/drawingml/2006/main">
            <a:off x="3114572" y="667842"/>
            <a:ext cx="548211" cy="216398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>
                <a:solidFill>
                  <a:schemeClr val="accent6">
                    <a:lumMod val="75000"/>
                  </a:schemeClr>
                </a:solidFill>
              </a:rPr>
              <a:t>+1SD</a:t>
            </a:r>
          </a:p>
        </cdr:txBody>
      </cdr:sp>
      <cdr:sp macro="" textlink="">
        <cdr:nvSpPr>
          <cdr:cNvPr id="3" name="TextBox 4">
            <a:extLst xmlns:a="http://schemas.openxmlformats.org/drawingml/2006/main">
              <a:ext uri="{FF2B5EF4-FFF2-40B4-BE49-F238E27FC236}">
                <a16:creationId xmlns:a16="http://schemas.microsoft.com/office/drawing/2014/main" id="{EF9069C3-C2FB-C922-AF39-1CB49308A9E5}"/>
              </a:ext>
            </a:extLst>
          </cdr:cNvPr>
          <cdr:cNvSpPr txBox="1"/>
        </cdr:nvSpPr>
        <cdr:spPr>
          <a:xfrm xmlns:a="http://schemas.openxmlformats.org/drawingml/2006/main">
            <a:off x="3119822" y="416037"/>
            <a:ext cx="551810" cy="216397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>
                <a:solidFill>
                  <a:schemeClr val="bg1">
                    <a:lumMod val="50000"/>
                  </a:schemeClr>
                </a:solidFill>
              </a:rPr>
              <a:t>+2SD</a:t>
            </a:r>
          </a:p>
        </cdr:txBody>
      </cdr:sp>
      <cdr:sp macro="" textlink="">
        <cdr:nvSpPr>
          <cdr:cNvPr id="5" name="TextBox 4">
            <a:extLst xmlns:a="http://schemas.openxmlformats.org/drawingml/2006/main">
              <a:ext uri="{FF2B5EF4-FFF2-40B4-BE49-F238E27FC236}">
                <a16:creationId xmlns:a16="http://schemas.microsoft.com/office/drawing/2014/main" id="{EF9069C3-C2FB-C922-AF39-1CB49308A9E5}"/>
              </a:ext>
            </a:extLst>
          </cdr:cNvPr>
          <cdr:cNvSpPr txBox="1"/>
        </cdr:nvSpPr>
        <cdr:spPr>
          <a:xfrm xmlns:a="http://schemas.openxmlformats.org/drawingml/2006/main">
            <a:off x="3131131" y="1112486"/>
            <a:ext cx="540501" cy="216421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>
                <a:solidFill>
                  <a:schemeClr val="accent6">
                    <a:lumMod val="75000"/>
                  </a:schemeClr>
                </a:solidFill>
              </a:rPr>
              <a:t>-1SD</a:t>
            </a:r>
          </a:p>
        </cdr:txBody>
      </cdr:sp>
      <cdr:sp macro="" textlink="">
        <cdr:nvSpPr>
          <cdr:cNvPr id="6" name="TextBox 1">
            <a:extLst xmlns:a="http://schemas.openxmlformats.org/drawingml/2006/main">
              <a:ext uri="{FF2B5EF4-FFF2-40B4-BE49-F238E27FC236}">
                <a16:creationId xmlns:a16="http://schemas.microsoft.com/office/drawing/2014/main" id="{EA06DC62-D192-54F1-C6F9-098DBE80883B}"/>
              </a:ext>
            </a:extLst>
          </cdr:cNvPr>
          <cdr:cNvSpPr txBox="1"/>
        </cdr:nvSpPr>
        <cdr:spPr>
          <a:xfrm xmlns:a="http://schemas.openxmlformats.org/drawingml/2006/main">
            <a:off x="3119822" y="1350923"/>
            <a:ext cx="551810" cy="216397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>
                <a:solidFill>
                  <a:schemeClr val="bg1">
                    <a:lumMod val="50000"/>
                  </a:schemeClr>
                </a:solidFill>
              </a:rPr>
              <a:t>-2SD</a:t>
            </a:r>
          </a:p>
        </cdr:txBody>
      </cdr:sp>
      <cdr:sp macro="" textlink="">
        <cdr:nvSpPr>
          <cdr:cNvPr id="4" name="TextBox 4"/>
          <cdr:cNvSpPr txBox="1"/>
        </cdr:nvSpPr>
        <cdr:spPr>
          <a:xfrm xmlns:a="http://schemas.openxmlformats.org/drawingml/2006/main">
            <a:off x="3146332" y="891461"/>
            <a:ext cx="489942" cy="216421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 b="1">
                <a:solidFill>
                  <a:schemeClr val="bg1">
                    <a:lumMod val="50000"/>
                  </a:schemeClr>
                </a:solidFill>
              </a:rPr>
              <a:t>AVG</a:t>
            </a:r>
          </a:p>
        </cdr:txBody>
      </cdr:sp>
    </cdr:grp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0.84828</cdr:x>
      <cdr:y>0.16203</cdr:y>
    </cdr:from>
    <cdr:to>
      <cdr:x>1</cdr:x>
      <cdr:y>0.81729</cdr:y>
    </cdr:to>
    <cdr:grpSp>
      <cdr:nvGrpSpPr>
        <cdr:cNvPr id="7" name="Group 6">
          <a:extLst xmlns:a="http://schemas.openxmlformats.org/drawingml/2006/main">
            <a:ext uri="{FF2B5EF4-FFF2-40B4-BE49-F238E27FC236}">
              <a16:creationId xmlns:a16="http://schemas.microsoft.com/office/drawing/2014/main" id="{E551B649-F8C6-7AF2-76E9-A1EE98C6527B}"/>
            </a:ext>
          </a:extLst>
        </cdr:cNvPr>
        <cdr:cNvGrpSpPr/>
      </cdr:nvGrpSpPr>
      <cdr:grpSpPr>
        <a:xfrm xmlns:a="http://schemas.openxmlformats.org/drawingml/2006/main">
          <a:off x="2835272" y="391287"/>
          <a:ext cx="507106" cy="1582391"/>
          <a:chOff x="3114572" y="416037"/>
          <a:chExt cx="557060" cy="1151283"/>
        </a:xfrm>
      </cdr:grpSpPr>
      <cdr:sp macro="" textlink="">
        <cdr:nvSpPr>
          <cdr:cNvPr id="2" name="TextBox 4">
            <a:extLst xmlns:a="http://schemas.openxmlformats.org/drawingml/2006/main">
              <a:ext uri="{FF2B5EF4-FFF2-40B4-BE49-F238E27FC236}">
                <a16:creationId xmlns:a16="http://schemas.microsoft.com/office/drawing/2014/main" id="{93E244C8-0665-35D2-53E1-6B86532CB332}"/>
              </a:ext>
            </a:extLst>
          </cdr:cNvPr>
          <cdr:cNvSpPr txBox="1"/>
        </cdr:nvSpPr>
        <cdr:spPr>
          <a:xfrm xmlns:a="http://schemas.openxmlformats.org/drawingml/2006/main">
            <a:off x="3114572" y="667842"/>
            <a:ext cx="548211" cy="216398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>
                <a:solidFill>
                  <a:schemeClr val="accent6">
                    <a:lumMod val="75000"/>
                  </a:schemeClr>
                </a:solidFill>
              </a:rPr>
              <a:t>+1SD</a:t>
            </a:r>
          </a:p>
        </cdr:txBody>
      </cdr:sp>
      <cdr:sp macro="" textlink="">
        <cdr:nvSpPr>
          <cdr:cNvPr id="3" name="TextBox 4">
            <a:extLst xmlns:a="http://schemas.openxmlformats.org/drawingml/2006/main">
              <a:ext uri="{FF2B5EF4-FFF2-40B4-BE49-F238E27FC236}">
                <a16:creationId xmlns:a16="http://schemas.microsoft.com/office/drawing/2014/main" id="{EF9069C3-C2FB-C922-AF39-1CB49308A9E5}"/>
              </a:ext>
            </a:extLst>
          </cdr:cNvPr>
          <cdr:cNvSpPr txBox="1"/>
        </cdr:nvSpPr>
        <cdr:spPr>
          <a:xfrm xmlns:a="http://schemas.openxmlformats.org/drawingml/2006/main">
            <a:off x="3119822" y="416037"/>
            <a:ext cx="551810" cy="216397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>
                <a:solidFill>
                  <a:schemeClr val="bg1">
                    <a:lumMod val="50000"/>
                  </a:schemeClr>
                </a:solidFill>
              </a:rPr>
              <a:t>+2SD</a:t>
            </a:r>
          </a:p>
        </cdr:txBody>
      </cdr:sp>
      <cdr:sp macro="" textlink="">
        <cdr:nvSpPr>
          <cdr:cNvPr id="5" name="TextBox 4">
            <a:extLst xmlns:a="http://schemas.openxmlformats.org/drawingml/2006/main">
              <a:ext uri="{FF2B5EF4-FFF2-40B4-BE49-F238E27FC236}">
                <a16:creationId xmlns:a16="http://schemas.microsoft.com/office/drawing/2014/main" id="{EF9069C3-C2FB-C922-AF39-1CB49308A9E5}"/>
              </a:ext>
            </a:extLst>
          </cdr:cNvPr>
          <cdr:cNvSpPr txBox="1"/>
        </cdr:nvSpPr>
        <cdr:spPr>
          <a:xfrm xmlns:a="http://schemas.openxmlformats.org/drawingml/2006/main">
            <a:off x="3131131" y="1112486"/>
            <a:ext cx="540501" cy="216421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>
                <a:solidFill>
                  <a:schemeClr val="accent6">
                    <a:lumMod val="75000"/>
                  </a:schemeClr>
                </a:solidFill>
              </a:rPr>
              <a:t>-1SD</a:t>
            </a:r>
          </a:p>
        </cdr:txBody>
      </cdr:sp>
      <cdr:sp macro="" textlink="">
        <cdr:nvSpPr>
          <cdr:cNvPr id="6" name="TextBox 1">
            <a:extLst xmlns:a="http://schemas.openxmlformats.org/drawingml/2006/main">
              <a:ext uri="{FF2B5EF4-FFF2-40B4-BE49-F238E27FC236}">
                <a16:creationId xmlns:a16="http://schemas.microsoft.com/office/drawing/2014/main" id="{EA06DC62-D192-54F1-C6F9-098DBE80883B}"/>
              </a:ext>
            </a:extLst>
          </cdr:cNvPr>
          <cdr:cNvSpPr txBox="1"/>
        </cdr:nvSpPr>
        <cdr:spPr>
          <a:xfrm xmlns:a="http://schemas.openxmlformats.org/drawingml/2006/main">
            <a:off x="3119822" y="1350923"/>
            <a:ext cx="551810" cy="216397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>
                <a:solidFill>
                  <a:schemeClr val="bg1">
                    <a:lumMod val="50000"/>
                  </a:schemeClr>
                </a:solidFill>
              </a:rPr>
              <a:t>-2SD</a:t>
            </a:r>
          </a:p>
        </cdr:txBody>
      </cdr:sp>
      <cdr:sp macro="" textlink="">
        <cdr:nvSpPr>
          <cdr:cNvPr id="4" name="TextBox 4"/>
          <cdr:cNvSpPr txBox="1"/>
        </cdr:nvSpPr>
        <cdr:spPr>
          <a:xfrm xmlns:a="http://schemas.openxmlformats.org/drawingml/2006/main">
            <a:off x="3146332" y="891461"/>
            <a:ext cx="489942" cy="216421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 b="1">
                <a:solidFill>
                  <a:schemeClr val="bg1">
                    <a:lumMod val="50000"/>
                  </a:schemeClr>
                </a:solidFill>
              </a:rPr>
              <a:t>AVG</a:t>
            </a:r>
          </a:p>
        </cdr:txBody>
      </cdr:sp>
    </cdr:grp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0.80925</cdr:x>
      <cdr:y>0.0374</cdr:y>
    </cdr:from>
    <cdr:to>
      <cdr:x>0.96097</cdr:x>
      <cdr:y>0.77205</cdr:y>
    </cdr:to>
    <cdr:grpSp>
      <cdr:nvGrpSpPr>
        <cdr:cNvPr id="7" name="Group 6">
          <a:extLst xmlns:a="http://schemas.openxmlformats.org/drawingml/2006/main">
            <a:ext uri="{FF2B5EF4-FFF2-40B4-BE49-F238E27FC236}">
              <a16:creationId xmlns:a16="http://schemas.microsoft.com/office/drawing/2014/main" id="{E551B649-F8C6-7AF2-76E9-A1EE98C6527B}"/>
            </a:ext>
          </a:extLst>
        </cdr:cNvPr>
        <cdr:cNvGrpSpPr/>
      </cdr:nvGrpSpPr>
      <cdr:grpSpPr>
        <a:xfrm xmlns:a="http://schemas.openxmlformats.org/drawingml/2006/main">
          <a:off x="3326923" y="86115"/>
          <a:ext cx="623739" cy="1691553"/>
          <a:chOff x="3114572" y="416037"/>
          <a:chExt cx="557060" cy="1151283"/>
        </a:xfrm>
      </cdr:grpSpPr>
      <cdr:sp macro="" textlink="">
        <cdr:nvSpPr>
          <cdr:cNvPr id="2" name="TextBox 4">
            <a:extLst xmlns:a="http://schemas.openxmlformats.org/drawingml/2006/main">
              <a:ext uri="{FF2B5EF4-FFF2-40B4-BE49-F238E27FC236}">
                <a16:creationId xmlns:a16="http://schemas.microsoft.com/office/drawing/2014/main" id="{93E244C8-0665-35D2-53E1-6B86532CB332}"/>
              </a:ext>
            </a:extLst>
          </cdr:cNvPr>
          <cdr:cNvSpPr txBox="1"/>
        </cdr:nvSpPr>
        <cdr:spPr>
          <a:xfrm xmlns:a="http://schemas.openxmlformats.org/drawingml/2006/main">
            <a:off x="3114572" y="667842"/>
            <a:ext cx="548211" cy="216398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>
                <a:solidFill>
                  <a:schemeClr val="accent6">
                    <a:lumMod val="75000"/>
                  </a:schemeClr>
                </a:solidFill>
              </a:rPr>
              <a:t>+1SD</a:t>
            </a:r>
          </a:p>
        </cdr:txBody>
      </cdr:sp>
      <cdr:sp macro="" textlink="">
        <cdr:nvSpPr>
          <cdr:cNvPr id="3" name="TextBox 4">
            <a:extLst xmlns:a="http://schemas.openxmlformats.org/drawingml/2006/main">
              <a:ext uri="{FF2B5EF4-FFF2-40B4-BE49-F238E27FC236}">
                <a16:creationId xmlns:a16="http://schemas.microsoft.com/office/drawing/2014/main" id="{EF9069C3-C2FB-C922-AF39-1CB49308A9E5}"/>
              </a:ext>
            </a:extLst>
          </cdr:cNvPr>
          <cdr:cNvSpPr txBox="1"/>
        </cdr:nvSpPr>
        <cdr:spPr>
          <a:xfrm xmlns:a="http://schemas.openxmlformats.org/drawingml/2006/main">
            <a:off x="3119822" y="416037"/>
            <a:ext cx="551810" cy="216397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>
                <a:solidFill>
                  <a:schemeClr val="bg1">
                    <a:lumMod val="50000"/>
                  </a:schemeClr>
                </a:solidFill>
              </a:rPr>
              <a:t>+2SD</a:t>
            </a:r>
          </a:p>
        </cdr:txBody>
      </cdr:sp>
      <cdr:sp macro="" textlink="">
        <cdr:nvSpPr>
          <cdr:cNvPr id="5" name="TextBox 4">
            <a:extLst xmlns:a="http://schemas.openxmlformats.org/drawingml/2006/main">
              <a:ext uri="{FF2B5EF4-FFF2-40B4-BE49-F238E27FC236}">
                <a16:creationId xmlns:a16="http://schemas.microsoft.com/office/drawing/2014/main" id="{EF9069C3-C2FB-C922-AF39-1CB49308A9E5}"/>
              </a:ext>
            </a:extLst>
          </cdr:cNvPr>
          <cdr:cNvSpPr txBox="1"/>
        </cdr:nvSpPr>
        <cdr:spPr>
          <a:xfrm xmlns:a="http://schemas.openxmlformats.org/drawingml/2006/main">
            <a:off x="3131131" y="1112486"/>
            <a:ext cx="540501" cy="216421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>
                <a:solidFill>
                  <a:schemeClr val="accent6">
                    <a:lumMod val="75000"/>
                  </a:schemeClr>
                </a:solidFill>
              </a:rPr>
              <a:t>-1SD</a:t>
            </a:r>
          </a:p>
        </cdr:txBody>
      </cdr:sp>
      <cdr:sp macro="" textlink="">
        <cdr:nvSpPr>
          <cdr:cNvPr id="6" name="TextBox 1">
            <a:extLst xmlns:a="http://schemas.openxmlformats.org/drawingml/2006/main">
              <a:ext uri="{FF2B5EF4-FFF2-40B4-BE49-F238E27FC236}">
                <a16:creationId xmlns:a16="http://schemas.microsoft.com/office/drawing/2014/main" id="{EA06DC62-D192-54F1-C6F9-098DBE80883B}"/>
              </a:ext>
            </a:extLst>
          </cdr:cNvPr>
          <cdr:cNvSpPr txBox="1"/>
        </cdr:nvSpPr>
        <cdr:spPr>
          <a:xfrm xmlns:a="http://schemas.openxmlformats.org/drawingml/2006/main">
            <a:off x="3119822" y="1350923"/>
            <a:ext cx="551810" cy="216397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>
                <a:solidFill>
                  <a:schemeClr val="bg1">
                    <a:lumMod val="50000"/>
                  </a:schemeClr>
                </a:solidFill>
              </a:rPr>
              <a:t>-2SD</a:t>
            </a:r>
          </a:p>
        </cdr:txBody>
      </cdr:sp>
      <cdr:sp macro="" textlink="">
        <cdr:nvSpPr>
          <cdr:cNvPr id="4" name="TextBox 4"/>
          <cdr:cNvSpPr txBox="1"/>
        </cdr:nvSpPr>
        <cdr:spPr>
          <a:xfrm xmlns:a="http://schemas.openxmlformats.org/drawingml/2006/main">
            <a:off x="3146332" y="891461"/>
            <a:ext cx="489942" cy="216421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 b="1">
                <a:solidFill>
                  <a:schemeClr val="bg1">
                    <a:lumMod val="50000"/>
                  </a:schemeClr>
                </a:solidFill>
              </a:rPr>
              <a:t>AVG</a:t>
            </a:r>
          </a:p>
        </cdr:txBody>
      </cdr:sp>
    </cdr:grp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0.71149</cdr:x>
      <cdr:y>0.10373</cdr:y>
    </cdr:from>
    <cdr:to>
      <cdr:x>0.91216</cdr:x>
      <cdr:y>0.29689</cdr:y>
    </cdr:to>
    <cdr:sp macro="" textlink="">
      <cdr:nvSpPr>
        <cdr:cNvPr id="2" name="Oval 1">
          <a:extLst xmlns:a="http://schemas.openxmlformats.org/drawingml/2006/main">
            <a:ext uri="{FF2B5EF4-FFF2-40B4-BE49-F238E27FC236}">
              <a16:creationId xmlns:a16="http://schemas.microsoft.com/office/drawing/2014/main" id="{8B66FD18-EC04-CD70-D489-A90AB3D55345}"/>
            </a:ext>
          </a:extLst>
        </cdr:cNvPr>
        <cdr:cNvSpPr/>
      </cdr:nvSpPr>
      <cdr:spPr>
        <a:xfrm xmlns:a="http://schemas.openxmlformats.org/drawingml/2006/main">
          <a:off x="3968602" y="502710"/>
          <a:ext cx="1119286" cy="936104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 w="19050" cap="flat" cmpd="sng" algn="ctr">
          <a:solidFill>
            <a:schemeClr val="tx2">
              <a:lumMod val="75000"/>
            </a:schemeClr>
          </a:solidFill>
          <a:prstDash val="lg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accent6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 dirty="0"/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0.84828</cdr:x>
      <cdr:y>0.15172</cdr:y>
    </cdr:from>
    <cdr:to>
      <cdr:x>1</cdr:x>
      <cdr:y>0.90238</cdr:y>
    </cdr:to>
    <cdr:grpSp>
      <cdr:nvGrpSpPr>
        <cdr:cNvPr id="7" name="Group 6">
          <a:extLst xmlns:a="http://schemas.openxmlformats.org/drawingml/2006/main">
            <a:ext uri="{FF2B5EF4-FFF2-40B4-BE49-F238E27FC236}">
              <a16:creationId xmlns:a16="http://schemas.microsoft.com/office/drawing/2014/main" id="{E551B649-F8C6-7AF2-76E9-A1EE98C6527B}"/>
            </a:ext>
          </a:extLst>
        </cdr:cNvPr>
        <cdr:cNvGrpSpPr/>
      </cdr:nvGrpSpPr>
      <cdr:grpSpPr>
        <a:xfrm xmlns:a="http://schemas.openxmlformats.org/drawingml/2006/main">
          <a:off x="4731570" y="766112"/>
          <a:ext cx="846270" cy="3790469"/>
          <a:chOff x="3114572" y="416037"/>
          <a:chExt cx="557060" cy="1151283"/>
        </a:xfrm>
      </cdr:grpSpPr>
      <cdr:sp macro="" textlink="">
        <cdr:nvSpPr>
          <cdr:cNvPr id="2" name="TextBox 4">
            <a:extLst xmlns:a="http://schemas.openxmlformats.org/drawingml/2006/main">
              <a:ext uri="{FF2B5EF4-FFF2-40B4-BE49-F238E27FC236}">
                <a16:creationId xmlns:a16="http://schemas.microsoft.com/office/drawing/2014/main" id="{93E244C8-0665-35D2-53E1-6B86532CB332}"/>
              </a:ext>
            </a:extLst>
          </cdr:cNvPr>
          <cdr:cNvSpPr txBox="1"/>
        </cdr:nvSpPr>
        <cdr:spPr>
          <a:xfrm xmlns:a="http://schemas.openxmlformats.org/drawingml/2006/main">
            <a:off x="3114572" y="667842"/>
            <a:ext cx="548211" cy="216398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200">
                <a:solidFill>
                  <a:schemeClr val="accent6">
                    <a:lumMod val="7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rPr>
              <a:t>+1SD</a:t>
            </a:r>
          </a:p>
        </cdr:txBody>
      </cdr:sp>
      <cdr:sp macro="" textlink="">
        <cdr:nvSpPr>
          <cdr:cNvPr id="3" name="TextBox 4">
            <a:extLst xmlns:a="http://schemas.openxmlformats.org/drawingml/2006/main">
              <a:ext uri="{FF2B5EF4-FFF2-40B4-BE49-F238E27FC236}">
                <a16:creationId xmlns:a16="http://schemas.microsoft.com/office/drawing/2014/main" id="{EF9069C3-C2FB-C922-AF39-1CB49308A9E5}"/>
              </a:ext>
            </a:extLst>
          </cdr:cNvPr>
          <cdr:cNvSpPr txBox="1"/>
        </cdr:nvSpPr>
        <cdr:spPr>
          <a:xfrm xmlns:a="http://schemas.openxmlformats.org/drawingml/2006/main">
            <a:off x="3119822" y="416037"/>
            <a:ext cx="551810" cy="216397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200" dirty="0">
                <a:solidFill>
                  <a:schemeClr val="bg1">
                    <a:lumMod val="50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rPr>
              <a:t>+2SD</a:t>
            </a:r>
          </a:p>
        </cdr:txBody>
      </cdr:sp>
      <cdr:sp macro="" textlink="">
        <cdr:nvSpPr>
          <cdr:cNvPr id="5" name="TextBox 4">
            <a:extLst xmlns:a="http://schemas.openxmlformats.org/drawingml/2006/main">
              <a:ext uri="{FF2B5EF4-FFF2-40B4-BE49-F238E27FC236}">
                <a16:creationId xmlns:a16="http://schemas.microsoft.com/office/drawing/2014/main" id="{EF9069C3-C2FB-C922-AF39-1CB49308A9E5}"/>
              </a:ext>
            </a:extLst>
          </cdr:cNvPr>
          <cdr:cNvSpPr txBox="1"/>
        </cdr:nvSpPr>
        <cdr:spPr>
          <a:xfrm xmlns:a="http://schemas.openxmlformats.org/drawingml/2006/main">
            <a:off x="3131131" y="1112486"/>
            <a:ext cx="540501" cy="216421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200">
                <a:solidFill>
                  <a:schemeClr val="accent6">
                    <a:lumMod val="75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rPr>
              <a:t>-1SD</a:t>
            </a:r>
          </a:p>
        </cdr:txBody>
      </cdr:sp>
      <cdr:sp macro="" textlink="">
        <cdr:nvSpPr>
          <cdr:cNvPr id="6" name="TextBox 1">
            <a:extLst xmlns:a="http://schemas.openxmlformats.org/drawingml/2006/main">
              <a:ext uri="{FF2B5EF4-FFF2-40B4-BE49-F238E27FC236}">
                <a16:creationId xmlns:a16="http://schemas.microsoft.com/office/drawing/2014/main" id="{EA06DC62-D192-54F1-C6F9-098DBE80883B}"/>
              </a:ext>
            </a:extLst>
          </cdr:cNvPr>
          <cdr:cNvSpPr txBox="1"/>
        </cdr:nvSpPr>
        <cdr:spPr>
          <a:xfrm xmlns:a="http://schemas.openxmlformats.org/drawingml/2006/main">
            <a:off x="3119822" y="1350923"/>
            <a:ext cx="551810" cy="216397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200" dirty="0">
                <a:solidFill>
                  <a:schemeClr val="bg1">
                    <a:lumMod val="50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rPr>
              <a:t>-2SD</a:t>
            </a:r>
          </a:p>
        </cdr:txBody>
      </cdr:sp>
      <cdr:sp macro="" textlink="">
        <cdr:nvSpPr>
          <cdr:cNvPr id="4" name="TextBox 4"/>
          <cdr:cNvSpPr txBox="1"/>
        </cdr:nvSpPr>
        <cdr:spPr>
          <a:xfrm xmlns:a="http://schemas.openxmlformats.org/drawingml/2006/main">
            <a:off x="3146332" y="891461"/>
            <a:ext cx="489942" cy="216421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200" b="1">
                <a:solidFill>
                  <a:schemeClr val="bg1">
                    <a:lumMod val="50000"/>
                  </a:schemeClr>
                </a:solidFill>
                <a:latin typeface="Noto Sans" panose="020B0502040504020204" pitchFamily="34" charset="0"/>
                <a:ea typeface="Noto Sans" panose="020B0502040504020204" pitchFamily="34" charset="0"/>
                <a:cs typeface="Noto Sans" panose="020B0502040504020204" pitchFamily="34" charset="0"/>
              </a:rPr>
              <a:t>AVG</a:t>
            </a:r>
          </a:p>
        </cdr:txBody>
      </cdr:sp>
    </cdr:grpSp>
  </cdr:relSizeAnchor>
  <cdr:relSizeAnchor xmlns:cdr="http://schemas.openxmlformats.org/drawingml/2006/chartDrawing">
    <cdr:from>
      <cdr:x>0.18194</cdr:x>
      <cdr:y>0.04807</cdr:y>
    </cdr:from>
    <cdr:to>
      <cdr:x>0.61429</cdr:x>
      <cdr:y>0.12704</cdr:y>
    </cdr:to>
    <cdr:sp macro="" textlink="">
      <cdr:nvSpPr>
        <cdr:cNvPr id="8" name="Double Bracket 7">
          <a:extLst xmlns:a="http://schemas.openxmlformats.org/drawingml/2006/main">
            <a:ext uri="{FF2B5EF4-FFF2-40B4-BE49-F238E27FC236}">
              <a16:creationId xmlns:a16="http://schemas.microsoft.com/office/drawing/2014/main" id="{4C56BFF3-06AD-6CD2-A779-CD6AB9F9801C}"/>
            </a:ext>
          </a:extLst>
        </cdr:cNvPr>
        <cdr:cNvSpPr/>
      </cdr:nvSpPr>
      <cdr:spPr>
        <a:xfrm xmlns:a="http://schemas.openxmlformats.org/drawingml/2006/main">
          <a:off x="1014810" y="242707"/>
          <a:ext cx="2411579" cy="398760"/>
        </a:xfrm>
        <a:prstGeom xmlns:a="http://schemas.openxmlformats.org/drawingml/2006/main" prst="bracketPair">
          <a:avLst/>
        </a:prstGeom>
        <a:ln xmlns:a="http://schemas.openxmlformats.org/drawingml/2006/main" w="19050" cap="flat" cmpd="sng" algn="ctr">
          <a:noFill/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defPPr>
            <a:defRPr lang="ko-KR"/>
          </a:defPPr>
          <a:lvl1pPr marL="0" indent="0" algn="ctr" rtl="0" fontAlgn="base" latinLnBrk="1">
            <a:spcBef>
              <a:spcPct val="0"/>
            </a:spcBef>
            <a:spcAft>
              <a:spcPct val="0"/>
            </a:spcAft>
            <a:defRPr kumimoji="1" sz="900" b="1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 algn="ctr" rtl="0" fontAlgn="base" latinLnBrk="1">
            <a:spcBef>
              <a:spcPct val="0"/>
            </a:spcBef>
            <a:spcAft>
              <a:spcPct val="0"/>
            </a:spcAft>
            <a:defRPr kumimoji="1" sz="900" b="1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 algn="ctr" rtl="0" fontAlgn="base" latinLnBrk="1">
            <a:spcBef>
              <a:spcPct val="0"/>
            </a:spcBef>
            <a:spcAft>
              <a:spcPct val="0"/>
            </a:spcAft>
            <a:defRPr kumimoji="1" sz="900" b="1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 algn="ctr" rtl="0" fontAlgn="base" latinLnBrk="1">
            <a:spcBef>
              <a:spcPct val="0"/>
            </a:spcBef>
            <a:spcAft>
              <a:spcPct val="0"/>
            </a:spcAft>
            <a:defRPr kumimoji="1" sz="900" b="1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 algn="ctr" rtl="0" fontAlgn="base" latinLnBrk="1">
            <a:spcBef>
              <a:spcPct val="0"/>
            </a:spcBef>
            <a:spcAft>
              <a:spcPct val="0"/>
            </a:spcAft>
            <a:defRPr kumimoji="1" sz="900" b="1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1" hangingPunct="1">
            <a:defRPr kumimoji="1" sz="900" b="1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1" hangingPunct="1">
            <a:defRPr kumimoji="1" sz="900" b="1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1" hangingPunct="1">
            <a:defRPr kumimoji="1" sz="900" b="1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1" hangingPunct="1">
            <a:defRPr kumimoji="1" sz="900" b="1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spcBef>
              <a:spcPts val="0"/>
            </a:spcBef>
            <a:spcAft>
              <a:spcPts val="600"/>
            </a:spcAft>
            <a:buClrTx/>
            <a:buSzTx/>
            <a:buFontTx/>
            <a:buNone/>
            <a:tabLst/>
            <a:defRPr/>
          </a:pPr>
          <a:r>
            <a:rPr kumimoji="0" lang="en-US" sz="1200" b="0" kern="0" dirty="0">
              <a:solidFill>
                <a:schemeClr val="tx2">
                  <a:lumMod val="7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Jun 2024 - Feb 2025 </a:t>
          </a:r>
        </a:p>
        <a:p xmlns:a="http://schemas.openxmlformats.org/drawingml/2006/main">
          <a:pPr marL="0" marR="0" lvl="0" indent="0" defTabSz="914400" eaLnBrk="1" fontAlgn="auto" latinLnBrk="0" hangingPunct="1">
            <a:spcBef>
              <a:spcPts val="0"/>
            </a:spcBef>
            <a:spcAft>
              <a:spcPts val="600"/>
            </a:spcAft>
            <a:buClrTx/>
            <a:buSzTx/>
            <a:buFontTx/>
            <a:buNone/>
            <a:tabLst/>
            <a:defRPr/>
          </a:pPr>
          <a:r>
            <a:rPr kumimoji="0" lang="en-US" sz="1200" b="0" kern="0" dirty="0">
              <a:solidFill>
                <a:schemeClr val="tx2">
                  <a:lumMod val="75000"/>
                </a:schemeClr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semiconductor &amp; AI rally</a:t>
          </a: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352425</xdr:colOff>
      <xdr:row>82</xdr:row>
      <xdr:rowOff>160269</xdr:rowOff>
    </xdr:from>
    <xdr:to>
      <xdr:col>23</xdr:col>
      <xdr:colOff>400050</xdr:colOff>
      <xdr:row>99</xdr:row>
      <xdr:rowOff>51766</xdr:rowOff>
    </xdr:to>
    <xdr:graphicFrame macro="">
      <xdr:nvGraphicFramePr>
        <xdr:cNvPr id="62381305" name="Chart 1">
          <a:extLst>
            <a:ext uri="{FF2B5EF4-FFF2-40B4-BE49-F238E27FC236}">
              <a16:creationId xmlns:a16="http://schemas.microsoft.com/office/drawing/2014/main" id="{00000000-0008-0000-0100-0000F9DCB7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205822</xdr:colOff>
      <xdr:row>55</xdr:row>
      <xdr:rowOff>17393</xdr:rowOff>
    </xdr:from>
    <xdr:to>
      <xdr:col>30</xdr:col>
      <xdr:colOff>236882</xdr:colOff>
      <xdr:row>78</xdr:row>
      <xdr:rowOff>163995</xdr:rowOff>
    </xdr:to>
    <xdr:graphicFrame macro="">
      <xdr:nvGraphicFramePr>
        <xdr:cNvPr id="62381306" name="Chart 2">
          <a:extLst>
            <a:ext uri="{FF2B5EF4-FFF2-40B4-BE49-F238E27FC236}">
              <a16:creationId xmlns:a16="http://schemas.microsoft.com/office/drawing/2014/main" id="{00000000-0008-0000-0100-0000FADCB7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552450</xdr:colOff>
      <xdr:row>105</xdr:row>
      <xdr:rowOff>33131</xdr:rowOff>
    </xdr:from>
    <xdr:to>
      <xdr:col>16</xdr:col>
      <xdr:colOff>247650</xdr:colOff>
      <xdr:row>123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566737</xdr:colOff>
      <xdr:row>124</xdr:row>
      <xdr:rowOff>76200</xdr:rowOff>
    </xdr:from>
    <xdr:to>
      <xdr:col>16</xdr:col>
      <xdr:colOff>261937</xdr:colOff>
      <xdr:row>142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104774</xdr:colOff>
      <xdr:row>133</xdr:row>
      <xdr:rowOff>54511</xdr:rowOff>
    </xdr:from>
    <xdr:to>
      <xdr:col>16</xdr:col>
      <xdr:colOff>190499</xdr:colOff>
      <xdr:row>134</xdr:row>
      <xdr:rowOff>108802</xdr:rowOff>
    </xdr:to>
    <xdr:pic>
      <xdr:nvPicPr>
        <xdr:cNvPr id="11" name="Picture 10" descr="Tổ chức giáo dục FPT Education : Trường Cao đẳng Quốc tế BTEC FPT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8924" y="13656211"/>
          <a:ext cx="695325" cy="2162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361950</xdr:colOff>
      <xdr:row>128</xdr:row>
      <xdr:rowOff>96704</xdr:rowOff>
    </xdr:from>
    <xdr:to>
      <xdr:col>14</xdr:col>
      <xdr:colOff>175935</xdr:colOff>
      <xdr:row>131</xdr:row>
      <xdr:rowOff>66871</xdr:rowOff>
    </xdr:to>
    <xdr:pic>
      <xdr:nvPicPr>
        <xdr:cNvPr id="12" name="Picture 11" descr="FPT Telecom - YouTube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6900" y="12888779"/>
          <a:ext cx="423585" cy="455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361948</xdr:colOff>
      <xdr:row>124</xdr:row>
      <xdr:rowOff>155818</xdr:rowOff>
    </xdr:from>
    <xdr:to>
      <xdr:col>10</xdr:col>
      <xdr:colOff>476249</xdr:colOff>
      <xdr:row>128</xdr:row>
      <xdr:rowOff>27584</xdr:rowOff>
    </xdr:to>
    <xdr:pic>
      <xdr:nvPicPr>
        <xdr:cNvPr id="13" name="Picture 12" descr="Migration Partner Solutions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498" y="12300193"/>
          <a:ext cx="723901" cy="5194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542926</xdr:colOff>
      <xdr:row>143</xdr:row>
      <xdr:rowOff>27214</xdr:rowOff>
    </xdr:from>
    <xdr:to>
      <xdr:col>16</xdr:col>
      <xdr:colOff>564698</xdr:colOff>
      <xdr:row>160</xdr:row>
      <xdr:rowOff>17689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149678</xdr:colOff>
      <xdr:row>105</xdr:row>
      <xdr:rowOff>15728</xdr:rowOff>
    </xdr:from>
    <xdr:to>
      <xdr:col>24</xdr:col>
      <xdr:colOff>49666</xdr:colOff>
      <xdr:row>124</xdr:row>
      <xdr:rowOff>117703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68035</xdr:colOff>
      <xdr:row>125</xdr:row>
      <xdr:rowOff>122464</xdr:rowOff>
    </xdr:from>
    <xdr:to>
      <xdr:col>24</xdr:col>
      <xdr:colOff>353785</xdr:colOff>
      <xdr:row>142</xdr:row>
      <xdr:rowOff>89807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</xdr:col>
      <xdr:colOff>191365</xdr:colOff>
      <xdr:row>105</xdr:row>
      <xdr:rowOff>8283</xdr:rowOff>
    </xdr:from>
    <xdr:to>
      <xdr:col>32</xdr:col>
      <xdr:colOff>156883</xdr:colOff>
      <xdr:row>124</xdr:row>
      <xdr:rowOff>92218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32</xdr:col>
      <xdr:colOff>336177</xdr:colOff>
      <xdr:row>105</xdr:row>
      <xdr:rowOff>24847</xdr:rowOff>
    </xdr:from>
    <xdr:to>
      <xdr:col>40</xdr:col>
      <xdr:colOff>67235</xdr:colOff>
      <xdr:row>124</xdr:row>
      <xdr:rowOff>78441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270013</xdr:colOff>
      <xdr:row>198</xdr:row>
      <xdr:rowOff>21535</xdr:rowOff>
    </xdr:from>
    <xdr:to>
      <xdr:col>17</xdr:col>
      <xdr:colOff>160682</xdr:colOff>
      <xdr:row>218</xdr:row>
      <xdr:rowOff>12010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742950</xdr:colOff>
      <xdr:row>84</xdr:row>
      <xdr:rowOff>38100</xdr:rowOff>
    </xdr:from>
    <xdr:to>
      <xdr:col>15</xdr:col>
      <xdr:colOff>196298</xdr:colOff>
      <xdr:row>101</xdr:row>
      <xdr:rowOff>33544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</xdr:col>
      <xdr:colOff>581025</xdr:colOff>
      <xdr:row>351</xdr:row>
      <xdr:rowOff>9525</xdr:rowOff>
    </xdr:from>
    <xdr:to>
      <xdr:col>12</xdr:col>
      <xdr:colOff>514350</xdr:colOff>
      <xdr:row>366</xdr:row>
      <xdr:rowOff>123825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28</xdr:col>
      <xdr:colOff>95251</xdr:colOff>
      <xdr:row>43</xdr:row>
      <xdr:rowOff>76200</xdr:rowOff>
    </xdr:from>
    <xdr:to>
      <xdr:col>32</xdr:col>
      <xdr:colOff>369095</xdr:colOff>
      <xdr:row>57</xdr:row>
      <xdr:rowOff>76200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5C9F103-3AF4-ECA1-DD44-331476B194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32</xdr:col>
      <xdr:colOff>535781</xdr:colOff>
      <xdr:row>43</xdr:row>
      <xdr:rowOff>77391</xdr:rowOff>
    </xdr:from>
    <xdr:to>
      <xdr:col>38</xdr:col>
      <xdr:colOff>354210</xdr:colOff>
      <xdr:row>57</xdr:row>
      <xdr:rowOff>79772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400F77F-9430-0C89-08DE-2D81B01897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1504950</xdr:colOff>
      <xdr:row>390</xdr:row>
      <xdr:rowOff>0</xdr:rowOff>
    </xdr:from>
    <xdr:to>
      <xdr:col>3</xdr:col>
      <xdr:colOff>168137</xdr:colOff>
      <xdr:row>403</xdr:row>
      <xdr:rowOff>16693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id="{F32809AD-FA38-4B32-9F51-92D306A873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14</xdr:col>
      <xdr:colOff>538369</xdr:colOff>
      <xdr:row>373</xdr:row>
      <xdr:rowOff>66261</xdr:rowOff>
    </xdr:from>
    <xdr:to>
      <xdr:col>19</xdr:col>
      <xdr:colOff>512694</xdr:colOff>
      <xdr:row>390</xdr:row>
      <xdr:rowOff>113886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83C7245-5395-2CFA-6328-EDB6DA629F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</xdr:col>
      <xdr:colOff>293077</xdr:colOff>
      <xdr:row>403</xdr:row>
      <xdr:rowOff>85726</xdr:rowOff>
    </xdr:from>
    <xdr:to>
      <xdr:col>12</xdr:col>
      <xdr:colOff>381000</xdr:colOff>
      <xdr:row>424</xdr:row>
      <xdr:rowOff>9525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4BDB0D2-3D97-7B4C-E3F6-CBA77FDE89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8</xdr:col>
      <xdr:colOff>371475</xdr:colOff>
      <xdr:row>434</xdr:row>
      <xdr:rowOff>95250</xdr:rowOff>
    </xdr:from>
    <xdr:to>
      <xdr:col>16</xdr:col>
      <xdr:colOff>47625</xdr:colOff>
      <xdr:row>451</xdr:row>
      <xdr:rowOff>85725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A54B94A7-367F-8863-927B-35DD288EFF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</xdr:col>
      <xdr:colOff>709612</xdr:colOff>
      <xdr:row>440</xdr:row>
      <xdr:rowOff>142875</xdr:rowOff>
    </xdr:from>
    <xdr:to>
      <xdr:col>6</xdr:col>
      <xdr:colOff>481012</xdr:colOff>
      <xdr:row>457</xdr:row>
      <xdr:rowOff>133350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F80A705-D854-D04E-7916-1ADE0131DA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30</xdr:col>
      <xdr:colOff>271029</xdr:colOff>
      <xdr:row>55</xdr:row>
      <xdr:rowOff>66675</xdr:rowOff>
    </xdr:from>
    <xdr:to>
      <xdr:col>40</xdr:col>
      <xdr:colOff>60877</xdr:colOff>
      <xdr:row>79</xdr:row>
      <xdr:rowOff>47625</xdr:rowOff>
    </xdr:to>
    <xdr:graphicFrame macro="">
      <xdr:nvGraphicFramePr>
        <xdr:cNvPr id="23" name="Chart 2">
          <a:extLst>
            <a:ext uri="{FF2B5EF4-FFF2-40B4-BE49-F238E27FC236}">
              <a16:creationId xmlns:a16="http://schemas.microsoft.com/office/drawing/2014/main" id="{A7113F6A-5C65-4E28-A014-5DC1E3266B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24</xdr:col>
      <xdr:colOff>327163</xdr:colOff>
      <xdr:row>523</xdr:row>
      <xdr:rowOff>69574</xdr:rowOff>
    </xdr:from>
    <xdr:to>
      <xdr:col>31</xdr:col>
      <xdr:colOff>12424</xdr:colOff>
      <xdr:row>539</xdr:row>
      <xdr:rowOff>162339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A0C0525-EF80-E6AD-A30B-96DA3ABA51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24</xdr:col>
      <xdr:colOff>372718</xdr:colOff>
      <xdr:row>540</xdr:row>
      <xdr:rowOff>132521</xdr:rowOff>
    </xdr:from>
    <xdr:to>
      <xdr:col>32</xdr:col>
      <xdr:colOff>259914</xdr:colOff>
      <xdr:row>556</xdr:row>
      <xdr:rowOff>10974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BFC68D54-EBA3-45D9-B1F7-DAA8C8FA75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5</xdr:col>
      <xdr:colOff>70401</xdr:colOff>
      <xdr:row>540</xdr:row>
      <xdr:rowOff>160682</xdr:rowOff>
    </xdr:from>
    <xdr:to>
      <xdr:col>13</xdr:col>
      <xdr:colOff>132522</xdr:colOff>
      <xdr:row>557</xdr:row>
      <xdr:rowOff>62947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ACB2B889-50F9-FC70-2DD9-C10FA63F7A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3</xdr:col>
      <xdr:colOff>542510</xdr:colOff>
      <xdr:row>557</xdr:row>
      <xdr:rowOff>94421</xdr:rowOff>
    </xdr:from>
    <xdr:to>
      <xdr:col>8</xdr:col>
      <xdr:colOff>571500</xdr:colOff>
      <xdr:row>568</xdr:row>
      <xdr:rowOff>115957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4A4F551-624E-493D-7384-418336132A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4</xdr:col>
      <xdr:colOff>795337</xdr:colOff>
      <xdr:row>1576</xdr:row>
      <xdr:rowOff>85725</xdr:rowOff>
    </xdr:from>
    <xdr:to>
      <xdr:col>8</xdr:col>
      <xdr:colOff>14287</xdr:colOff>
      <xdr:row>1592</xdr:row>
      <xdr:rowOff>76200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FBEF3668-17DC-5D86-E4ED-E871DB0B4F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12</xdr:col>
      <xdr:colOff>224118</xdr:colOff>
      <xdr:row>51</xdr:row>
      <xdr:rowOff>56029</xdr:rowOff>
    </xdr:from>
    <xdr:to>
      <xdr:col>17</xdr:col>
      <xdr:colOff>649269</xdr:colOff>
      <xdr:row>63</xdr:row>
      <xdr:rowOff>100853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E09465E5-FFAC-6016-2734-B6FC9124C6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5</xdr:col>
      <xdr:colOff>91108</xdr:colOff>
      <xdr:row>30</xdr:row>
      <xdr:rowOff>74544</xdr:rowOff>
    </xdr:from>
    <xdr:to>
      <xdr:col>6</xdr:col>
      <xdr:colOff>1632004</xdr:colOff>
      <xdr:row>38</xdr:row>
      <xdr:rowOff>2403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C519E8F1-8A32-4B01-AB48-9FB65491D2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5</xdr:col>
      <xdr:colOff>455544</xdr:colOff>
      <xdr:row>38</xdr:row>
      <xdr:rowOff>132522</xdr:rowOff>
    </xdr:from>
    <xdr:to>
      <xdr:col>7</xdr:col>
      <xdr:colOff>226833</xdr:colOff>
      <xdr:row>45</xdr:row>
      <xdr:rowOff>157369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F018F904-EB1D-FADF-1C18-915B93BB0D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3</xdr:col>
      <xdr:colOff>1296866</xdr:colOff>
      <xdr:row>10</xdr:row>
      <xdr:rowOff>87924</xdr:rowOff>
    </xdr:from>
    <xdr:to>
      <xdr:col>6</xdr:col>
      <xdr:colOff>284578</xdr:colOff>
      <xdr:row>21</xdr:row>
      <xdr:rowOff>92808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71571108-EBA4-0007-4AB3-07216D649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</xdr:col>
      <xdr:colOff>1110028</xdr:colOff>
      <xdr:row>10</xdr:row>
      <xdr:rowOff>119429</xdr:rowOff>
    </xdr:from>
    <xdr:to>
      <xdr:col>3</xdr:col>
      <xdr:colOff>534865</xdr:colOff>
      <xdr:row>27</xdr:row>
      <xdr:rowOff>122360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5BEEC6-370B-55D5-8CB6-DA039B6B9D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8</xdr:col>
      <xdr:colOff>0</xdr:colOff>
      <xdr:row>490</xdr:row>
      <xdr:rowOff>0</xdr:rowOff>
    </xdr:from>
    <xdr:to>
      <xdr:col>14</xdr:col>
      <xdr:colOff>0</xdr:colOff>
      <xdr:row>504</xdr:row>
      <xdr:rowOff>73269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BAFD9997-66C6-4233-9D6C-459E1BA0A7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3</xdr:col>
      <xdr:colOff>0</xdr:colOff>
      <xdr:row>1621</xdr:row>
      <xdr:rowOff>0</xdr:rowOff>
    </xdr:from>
    <xdr:to>
      <xdr:col>6</xdr:col>
      <xdr:colOff>345798</xdr:colOff>
      <xdr:row>1636</xdr:row>
      <xdr:rowOff>57149</xdr:rowOff>
    </xdr:to>
    <xdr:graphicFrame macro="">
      <xdr:nvGraphicFramePr>
        <xdr:cNvPr id="35" name="Chart 1">
          <a:extLst>
            <a:ext uri="{FF2B5EF4-FFF2-40B4-BE49-F238E27FC236}">
              <a16:creationId xmlns:a16="http://schemas.microsoft.com/office/drawing/2014/main" id="{A94962EA-821D-48EF-9F88-8A1B7E77DB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3</xdr:col>
      <xdr:colOff>0</xdr:colOff>
      <xdr:row>1640</xdr:row>
      <xdr:rowOff>0</xdr:rowOff>
    </xdr:from>
    <xdr:to>
      <xdr:col>5</xdr:col>
      <xdr:colOff>1275522</xdr:colOff>
      <xdr:row>1655</xdr:row>
      <xdr:rowOff>149087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E09465E5-FFAC-6016-2734-B6FC9124C6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8</xdr:col>
      <xdr:colOff>753717</xdr:colOff>
      <xdr:row>166</xdr:row>
      <xdr:rowOff>41413</xdr:rowOff>
    </xdr:from>
    <xdr:to>
      <xdr:col>14</xdr:col>
      <xdr:colOff>354661</xdr:colOff>
      <xdr:row>178</xdr:row>
      <xdr:rowOff>134481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C5C9F103-3AF4-ECA1-DD44-331476B194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5</xdr:col>
      <xdr:colOff>0</xdr:colOff>
      <xdr:row>615</xdr:row>
      <xdr:rowOff>0</xdr:rowOff>
    </xdr:from>
    <xdr:to>
      <xdr:col>6</xdr:col>
      <xdr:colOff>1443990</xdr:colOff>
      <xdr:row>626</xdr:row>
      <xdr:rowOff>72390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90EE4C0C-8581-49EA-BF91-D44468FDED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10</xdr:col>
      <xdr:colOff>0</xdr:colOff>
      <xdr:row>11</xdr:row>
      <xdr:rowOff>0</xdr:rowOff>
    </xdr:from>
    <xdr:to>
      <xdr:col>18</xdr:col>
      <xdr:colOff>493461</xdr:colOff>
      <xdr:row>40</xdr:row>
      <xdr:rowOff>82769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9C17A491-8377-DE39-EE4F-6B78ACF01F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24</xdr:col>
      <xdr:colOff>0</xdr:colOff>
      <xdr:row>43</xdr:row>
      <xdr:rowOff>0</xdr:rowOff>
    </xdr:from>
    <xdr:to>
      <xdr:col>28</xdr:col>
      <xdr:colOff>1000013</xdr:colOff>
      <xdr:row>53</xdr:row>
      <xdr:rowOff>93009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C5C9F103-3AF4-ECA1-DD44-331476B194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27</xdr:col>
      <xdr:colOff>0</xdr:colOff>
      <xdr:row>42</xdr:row>
      <xdr:rowOff>156883</xdr:rowOff>
    </xdr:from>
    <xdr:to>
      <xdr:col>28</xdr:col>
      <xdr:colOff>764988</xdr:colOff>
      <xdr:row>51</xdr:row>
      <xdr:rowOff>131857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1400F77F-9430-0C89-08DE-2D81B01897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9</xdr:col>
      <xdr:colOff>38732</xdr:colOff>
      <xdr:row>1657</xdr:row>
      <xdr:rowOff>58369</xdr:rowOff>
    </xdr:from>
    <xdr:to>
      <xdr:col>16</xdr:col>
      <xdr:colOff>482582</xdr:colOff>
      <xdr:row>1674</xdr:row>
      <xdr:rowOff>143339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921CBEE5-D921-B66E-3E42-A559839305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50</xdr:col>
      <xdr:colOff>0</xdr:colOff>
      <xdr:row>520</xdr:row>
      <xdr:rowOff>0</xdr:rowOff>
    </xdr:from>
    <xdr:to>
      <xdr:col>58</xdr:col>
      <xdr:colOff>385043</xdr:colOff>
      <xdr:row>551</xdr:row>
      <xdr:rowOff>83820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1506E2A1-3BEA-0140-ADD8-3800A82C97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48</xdr:col>
      <xdr:colOff>0</xdr:colOff>
      <xdr:row>1498</xdr:row>
      <xdr:rowOff>0</xdr:rowOff>
    </xdr:from>
    <xdr:to>
      <xdr:col>56</xdr:col>
      <xdr:colOff>529590</xdr:colOff>
      <xdr:row>1522</xdr:row>
      <xdr:rowOff>161847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0854A1E4-28B8-590C-DA78-27CDCF03AE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6</xdr:col>
      <xdr:colOff>0</xdr:colOff>
      <xdr:row>1640</xdr:row>
      <xdr:rowOff>0</xdr:rowOff>
    </xdr:from>
    <xdr:to>
      <xdr:col>13</xdr:col>
      <xdr:colOff>67006</xdr:colOff>
      <xdr:row>1671</xdr:row>
      <xdr:rowOff>96753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0854A1E4-28B8-590C-DA78-27CDCF03AE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4</xdr:col>
      <xdr:colOff>0</xdr:colOff>
      <xdr:row>1678</xdr:row>
      <xdr:rowOff>0</xdr:rowOff>
    </xdr:from>
    <xdr:to>
      <xdr:col>12</xdr:col>
      <xdr:colOff>86868</xdr:colOff>
      <xdr:row>1734</xdr:row>
      <xdr:rowOff>75158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BEC9ED4-4A65-4DE7-A3AB-75553ABB7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20</xdr:col>
      <xdr:colOff>0</xdr:colOff>
      <xdr:row>1648</xdr:row>
      <xdr:rowOff>0</xdr:rowOff>
    </xdr:from>
    <xdr:to>
      <xdr:col>30</xdr:col>
      <xdr:colOff>375956</xdr:colOff>
      <xdr:row>1700</xdr:row>
      <xdr:rowOff>131426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7EA04974-4BD1-A813-D529-0C6014A009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27</xdr:col>
      <xdr:colOff>142874</xdr:colOff>
      <xdr:row>1715</xdr:row>
      <xdr:rowOff>9524</xdr:rowOff>
    </xdr:from>
    <xdr:to>
      <xdr:col>32</xdr:col>
      <xdr:colOff>142874</xdr:colOff>
      <xdr:row>1722</xdr:row>
      <xdr:rowOff>303438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D639510A-9D88-A388-763F-B0FA17FD50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</cdr:x>
      <cdr:y>0</cdr:y>
    </cdr:to>
    <cdr:grpSp>
      <cdr:nvGrpSpPr>
        <cdr:cNvPr id="6" name="Group 5">
          <a:extLst xmlns:a="http://schemas.openxmlformats.org/drawingml/2006/main">
            <a:ext uri="{FF2B5EF4-FFF2-40B4-BE49-F238E27FC236}">
              <a16:creationId xmlns:a16="http://schemas.microsoft.com/office/drawing/2014/main" id="{0EE5533C-71D9-6CBB-8422-74AAAD0753E2}"/>
            </a:ext>
          </a:extLst>
        </cdr:cNvPr>
        <cdr:cNvGrpSpPr/>
      </cdr:nvGrpSpPr>
      <cdr:grpSpPr>
        <a:xfrm xmlns:a="http://schemas.openxmlformats.org/drawingml/2006/main">
          <a:off x="0" y="0"/>
          <a:ext cx="0" cy="0"/>
          <a:chOff x="0" y="0"/>
          <a:chExt cx="0" cy="0"/>
        </a:xfrm>
      </cdr:grpSpPr>
    </cdr:grp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0.80925</cdr:x>
      <cdr:y>0.0374</cdr:y>
    </cdr:from>
    <cdr:to>
      <cdr:x>0.96097</cdr:x>
      <cdr:y>0.77205</cdr:y>
    </cdr:to>
    <cdr:grpSp>
      <cdr:nvGrpSpPr>
        <cdr:cNvPr id="7" name="Group 6">
          <a:extLst xmlns:a="http://schemas.openxmlformats.org/drawingml/2006/main">
            <a:ext uri="{FF2B5EF4-FFF2-40B4-BE49-F238E27FC236}">
              <a16:creationId xmlns:a16="http://schemas.microsoft.com/office/drawing/2014/main" id="{E551B649-F8C6-7AF2-76E9-A1EE98C6527B}"/>
            </a:ext>
          </a:extLst>
        </cdr:cNvPr>
        <cdr:cNvGrpSpPr/>
      </cdr:nvGrpSpPr>
      <cdr:grpSpPr>
        <a:xfrm xmlns:a="http://schemas.openxmlformats.org/drawingml/2006/main">
          <a:off x="2612067" y="66830"/>
          <a:ext cx="489716" cy="1312738"/>
          <a:chOff x="3114572" y="416037"/>
          <a:chExt cx="557060" cy="1151283"/>
        </a:xfrm>
      </cdr:grpSpPr>
      <cdr:sp macro="" textlink="">
        <cdr:nvSpPr>
          <cdr:cNvPr id="2" name="TextBox 4">
            <a:extLst xmlns:a="http://schemas.openxmlformats.org/drawingml/2006/main">
              <a:ext uri="{FF2B5EF4-FFF2-40B4-BE49-F238E27FC236}">
                <a16:creationId xmlns:a16="http://schemas.microsoft.com/office/drawing/2014/main" id="{93E244C8-0665-35D2-53E1-6B86532CB332}"/>
              </a:ext>
            </a:extLst>
          </cdr:cNvPr>
          <cdr:cNvSpPr txBox="1"/>
        </cdr:nvSpPr>
        <cdr:spPr>
          <a:xfrm xmlns:a="http://schemas.openxmlformats.org/drawingml/2006/main">
            <a:off x="3114572" y="667842"/>
            <a:ext cx="548211" cy="216398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>
                <a:solidFill>
                  <a:schemeClr val="accent6">
                    <a:lumMod val="75000"/>
                  </a:schemeClr>
                </a:solidFill>
              </a:rPr>
              <a:t>+1SD</a:t>
            </a:r>
          </a:p>
        </cdr:txBody>
      </cdr:sp>
      <cdr:sp macro="" textlink="">
        <cdr:nvSpPr>
          <cdr:cNvPr id="3" name="TextBox 4">
            <a:extLst xmlns:a="http://schemas.openxmlformats.org/drawingml/2006/main">
              <a:ext uri="{FF2B5EF4-FFF2-40B4-BE49-F238E27FC236}">
                <a16:creationId xmlns:a16="http://schemas.microsoft.com/office/drawing/2014/main" id="{EF9069C3-C2FB-C922-AF39-1CB49308A9E5}"/>
              </a:ext>
            </a:extLst>
          </cdr:cNvPr>
          <cdr:cNvSpPr txBox="1"/>
        </cdr:nvSpPr>
        <cdr:spPr>
          <a:xfrm xmlns:a="http://schemas.openxmlformats.org/drawingml/2006/main">
            <a:off x="3119822" y="416037"/>
            <a:ext cx="551810" cy="216397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>
                <a:solidFill>
                  <a:schemeClr val="bg1">
                    <a:lumMod val="50000"/>
                  </a:schemeClr>
                </a:solidFill>
              </a:rPr>
              <a:t>+2SD</a:t>
            </a:r>
          </a:p>
        </cdr:txBody>
      </cdr:sp>
      <cdr:sp macro="" textlink="">
        <cdr:nvSpPr>
          <cdr:cNvPr id="5" name="TextBox 4">
            <a:extLst xmlns:a="http://schemas.openxmlformats.org/drawingml/2006/main">
              <a:ext uri="{FF2B5EF4-FFF2-40B4-BE49-F238E27FC236}">
                <a16:creationId xmlns:a16="http://schemas.microsoft.com/office/drawing/2014/main" id="{EF9069C3-C2FB-C922-AF39-1CB49308A9E5}"/>
              </a:ext>
            </a:extLst>
          </cdr:cNvPr>
          <cdr:cNvSpPr txBox="1"/>
        </cdr:nvSpPr>
        <cdr:spPr>
          <a:xfrm xmlns:a="http://schemas.openxmlformats.org/drawingml/2006/main">
            <a:off x="3131131" y="1112486"/>
            <a:ext cx="540501" cy="216421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>
                <a:solidFill>
                  <a:schemeClr val="accent6">
                    <a:lumMod val="75000"/>
                  </a:schemeClr>
                </a:solidFill>
              </a:rPr>
              <a:t>-1SD</a:t>
            </a:r>
          </a:p>
        </cdr:txBody>
      </cdr:sp>
      <cdr:sp macro="" textlink="">
        <cdr:nvSpPr>
          <cdr:cNvPr id="6" name="TextBox 1">
            <a:extLst xmlns:a="http://schemas.openxmlformats.org/drawingml/2006/main">
              <a:ext uri="{FF2B5EF4-FFF2-40B4-BE49-F238E27FC236}">
                <a16:creationId xmlns:a16="http://schemas.microsoft.com/office/drawing/2014/main" id="{EA06DC62-D192-54F1-C6F9-098DBE80883B}"/>
              </a:ext>
            </a:extLst>
          </cdr:cNvPr>
          <cdr:cNvSpPr txBox="1"/>
        </cdr:nvSpPr>
        <cdr:spPr>
          <a:xfrm xmlns:a="http://schemas.openxmlformats.org/drawingml/2006/main">
            <a:off x="3119822" y="1350923"/>
            <a:ext cx="551810" cy="216397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>
                <a:solidFill>
                  <a:schemeClr val="bg1">
                    <a:lumMod val="50000"/>
                  </a:schemeClr>
                </a:solidFill>
              </a:rPr>
              <a:t>-2SD</a:t>
            </a:r>
          </a:p>
        </cdr:txBody>
      </cdr:sp>
      <cdr:sp macro="" textlink="">
        <cdr:nvSpPr>
          <cdr:cNvPr id="4" name="TextBox 4"/>
          <cdr:cNvSpPr txBox="1"/>
        </cdr:nvSpPr>
        <cdr:spPr>
          <a:xfrm xmlns:a="http://schemas.openxmlformats.org/drawingml/2006/main">
            <a:off x="3146332" y="891461"/>
            <a:ext cx="489942" cy="216421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lt1"/>
          </a:solidFill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 b="1">
                <a:solidFill>
                  <a:schemeClr val="bg1">
                    <a:lumMod val="50000"/>
                  </a:schemeClr>
                </a:solidFill>
              </a:rPr>
              <a:t>AVG</a:t>
            </a:r>
          </a:p>
        </cdr:txBody>
      </cdr:sp>
    </cdr:grp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0.71149</cdr:x>
      <cdr:y>0.10373</cdr:y>
    </cdr:from>
    <cdr:to>
      <cdr:x>0.91216</cdr:x>
      <cdr:y>0.29689</cdr:y>
    </cdr:to>
    <cdr:sp macro="" textlink="">
      <cdr:nvSpPr>
        <cdr:cNvPr id="2" name="Oval 1">
          <a:extLst xmlns:a="http://schemas.openxmlformats.org/drawingml/2006/main">
            <a:ext uri="{FF2B5EF4-FFF2-40B4-BE49-F238E27FC236}">
              <a16:creationId xmlns:a16="http://schemas.microsoft.com/office/drawing/2014/main" id="{8B66FD18-EC04-CD70-D489-A90AB3D55345}"/>
            </a:ext>
          </a:extLst>
        </cdr:cNvPr>
        <cdr:cNvSpPr/>
      </cdr:nvSpPr>
      <cdr:spPr>
        <a:xfrm xmlns:a="http://schemas.openxmlformats.org/drawingml/2006/main">
          <a:off x="3968602" y="502710"/>
          <a:ext cx="1119286" cy="936104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 w="19050" cap="flat" cmpd="sng" algn="ctr">
          <a:solidFill>
            <a:schemeClr val="tx2">
              <a:lumMod val="75000"/>
            </a:schemeClr>
          </a:solidFill>
          <a:prstDash val="lg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accent6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175846</xdr:colOff>
      <xdr:row>28</xdr:row>
      <xdr:rowOff>263769</xdr:rowOff>
    </xdr:from>
    <xdr:to>
      <xdr:col>18</xdr:col>
      <xdr:colOff>578827</xdr:colOff>
      <xdr:row>40</xdr:row>
      <xdr:rowOff>43961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13F2E8-E99C-B7E3-436F-C73762029B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190500</xdr:colOff>
      <xdr:row>41</xdr:row>
      <xdr:rowOff>14655</xdr:rowOff>
    </xdr:from>
    <xdr:to>
      <xdr:col>19</xdr:col>
      <xdr:colOff>7328</xdr:colOff>
      <xdr:row>52</xdr:row>
      <xdr:rowOff>153867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88AB66-F4A0-4F11-B0D6-1EF5930A6A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144944</xdr:colOff>
      <xdr:row>192</xdr:row>
      <xdr:rowOff>152399</xdr:rowOff>
    </xdr:from>
    <xdr:to>
      <xdr:col>5</xdr:col>
      <xdr:colOff>207065</xdr:colOff>
      <xdr:row>207</xdr:row>
      <xdr:rowOff>74544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21141CC-E651-4C22-AEED-0DB6752799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389283</xdr:colOff>
      <xdr:row>192</xdr:row>
      <xdr:rowOff>149088</xdr:rowOff>
    </xdr:from>
    <xdr:to>
      <xdr:col>11</xdr:col>
      <xdr:colOff>513522</xdr:colOff>
      <xdr:row>207</xdr:row>
      <xdr:rowOff>149088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3559408-A68B-4A69-886A-64D77461ED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534228</xdr:colOff>
      <xdr:row>209</xdr:row>
      <xdr:rowOff>152399</xdr:rowOff>
    </xdr:from>
    <xdr:to>
      <xdr:col>18</xdr:col>
      <xdr:colOff>236053</xdr:colOff>
      <xdr:row>227</xdr:row>
      <xdr:rowOff>79512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B27E03C-08A7-B02A-8195-1B27BCD107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0</xdr:colOff>
      <xdr:row>193</xdr:row>
      <xdr:rowOff>0</xdr:rowOff>
    </xdr:from>
    <xdr:to>
      <xdr:col>19</xdr:col>
      <xdr:colOff>454384</xdr:colOff>
      <xdr:row>202</xdr:row>
      <xdr:rowOff>152373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09465E5-FFAC-6016-2734-B6FC9124C6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0</xdr:colOff>
      <xdr:row>176</xdr:row>
      <xdr:rowOff>0</xdr:rowOff>
    </xdr:from>
    <xdr:to>
      <xdr:col>20</xdr:col>
      <xdr:colOff>298174</xdr:colOff>
      <xdr:row>190</xdr:row>
      <xdr:rowOff>91109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29D6B00-6B6D-42E4-8049-E1865F69E8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480393</xdr:colOff>
      <xdr:row>3</xdr:row>
      <xdr:rowOff>84689</xdr:rowOff>
    </xdr:from>
    <xdr:to>
      <xdr:col>25</xdr:col>
      <xdr:colOff>232742</xdr:colOff>
      <xdr:row>21</xdr:row>
      <xdr:rowOff>159854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rket%20RS_Global%20tech%20firm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ket RS_Global tech firms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Q 34" id="{D210A61D-FB61-436F-903A-7DF54AD8F83F}" userId="S::mas34@miraeasset.com.vn::d7b6e9e6-43b9-41e3-b7c6-b895574e8ef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테스트합니다">
    <a:dk1>
      <a:srgbClr val="000000"/>
    </a:dk1>
    <a:lt1>
      <a:sysClr val="window" lastClr="FFFFFF"/>
    </a:lt1>
    <a:dk2>
      <a:srgbClr val="F58220"/>
    </a:dk2>
    <a:lt2>
      <a:srgbClr val="C00000"/>
    </a:lt2>
    <a:accent1>
      <a:srgbClr val="0D2D4F"/>
    </a:accent1>
    <a:accent2>
      <a:srgbClr val="0086B8"/>
    </a:accent2>
    <a:accent3>
      <a:srgbClr val="8DC8E8"/>
    </a:accent3>
    <a:accent4>
      <a:srgbClr val="5C4936"/>
    </a:accent4>
    <a:accent5>
      <a:srgbClr val="B09478"/>
    </a:accent5>
    <a:accent6>
      <a:srgbClr val="FAB072"/>
    </a:accent6>
    <a:hlink>
      <a:srgbClr val="FFFFFF"/>
    </a:hlink>
    <a:folHlink>
      <a:srgbClr val="FFFFFF"/>
    </a:folHlink>
  </a:clrScheme>
  <a:fontScheme name="MAS">
    <a:majorFont>
      <a:latin typeface="Noto Sans"/>
      <a:ea typeface=""/>
      <a:cs typeface=""/>
    </a:majorFont>
    <a:minorFont>
      <a:latin typeface="Noto Sans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tint val="100000"/>
              <a:shade val="100000"/>
              <a:satMod val="130000"/>
            </a:schemeClr>
          </a:gs>
          <a:gs pos="100000">
            <a:schemeClr val="phClr">
              <a:tint val="50000"/>
              <a:shade val="100000"/>
              <a:satMod val="350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테스트합니다">
    <a:dk1>
      <a:srgbClr val="000000"/>
    </a:dk1>
    <a:lt1>
      <a:sysClr val="window" lastClr="FFFFFF"/>
    </a:lt1>
    <a:dk2>
      <a:srgbClr val="F58220"/>
    </a:dk2>
    <a:lt2>
      <a:srgbClr val="C00000"/>
    </a:lt2>
    <a:accent1>
      <a:srgbClr val="0D2D4F"/>
    </a:accent1>
    <a:accent2>
      <a:srgbClr val="0086B8"/>
    </a:accent2>
    <a:accent3>
      <a:srgbClr val="8DC8E8"/>
    </a:accent3>
    <a:accent4>
      <a:srgbClr val="5C4936"/>
    </a:accent4>
    <a:accent5>
      <a:srgbClr val="B09478"/>
    </a:accent5>
    <a:accent6>
      <a:srgbClr val="FAB072"/>
    </a:accent6>
    <a:hlink>
      <a:srgbClr val="FFFFFF"/>
    </a:hlink>
    <a:folHlink>
      <a:srgbClr val="FFFFFF"/>
    </a:folHlink>
  </a:clrScheme>
  <a:fontScheme name="MAS">
    <a:majorFont>
      <a:latin typeface="Noto Sans"/>
      <a:ea typeface=""/>
      <a:cs typeface=""/>
    </a:majorFont>
    <a:minorFont>
      <a:latin typeface="Noto Sans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tint val="100000"/>
              <a:shade val="100000"/>
              <a:satMod val="130000"/>
            </a:schemeClr>
          </a:gs>
          <a:gs pos="100000">
            <a:schemeClr val="phClr">
              <a:tint val="50000"/>
              <a:shade val="100000"/>
              <a:satMod val="350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明朝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1" dT="2023-07-11T03:53:40.82" personId="{D210A61D-FB61-436F-903A-7DF54AD8F83F}" id="{817A4BDE-691C-4379-9CFE-0CAE5EEDA24A}">
    <text>FPT's 2023 for Total IT: 31,150bn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chungta.vn/nguoi-fpt/fpt-dat-muc-tieu-50-000-nhan-su-den-nam-2024-1120762.html" TargetMode="External"/><Relationship Id="rId1" Type="http://schemas.openxmlformats.org/officeDocument/2006/relationships/hyperlink" Target="https://www.globaldata.com/media/technology/telecom-service-revenue-in-vietnam-to-increase-at-4-4-cagr-during-2022-2027-forecasts-globaldata/" TargetMode="External"/><Relationship Id="rId5" Type="http://schemas.openxmlformats.org/officeDocument/2006/relationships/comments" Target="../comments6.xml"/><Relationship Id="rId4" Type="http://schemas.openxmlformats.org/officeDocument/2006/relationships/vmlDrawing" Target="../drawings/vmlDrawing7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1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D63C1-439A-4343-84C3-48EB43D52B59}">
  <sheetPr>
    <tabColor rgb="FF44546A"/>
  </sheetPr>
  <dimension ref="B1:D22"/>
  <sheetViews>
    <sheetView showGridLines="0" workbookViewId="0"/>
  </sheetViews>
  <sheetFormatPr defaultRowHeight="12.75"/>
  <cols>
    <col min="1" max="1" width="2.7109375" customWidth="1"/>
    <col min="2" max="2" width="12" customWidth="1"/>
    <col min="3" max="3" width="17" customWidth="1"/>
    <col min="4" max="4" width="80" customWidth="1"/>
  </cols>
  <sheetData>
    <row r="1" spans="2:4">
      <c r="B1" t="s">
        <v>2092</v>
      </c>
    </row>
    <row r="2" spans="2:4">
      <c r="B2" t="s">
        <v>2093</v>
      </c>
    </row>
    <row r="3" spans="2:4">
      <c r="B3" t="s">
        <v>2094</v>
      </c>
    </row>
    <row r="5" spans="2:4">
      <c r="B5" t="s">
        <v>2095</v>
      </c>
      <c r="C5" t="s">
        <v>2096</v>
      </c>
    </row>
    <row r="6" spans="2:4">
      <c r="B6" t="s">
        <v>2097</v>
      </c>
      <c r="C6" t="s">
        <v>2098</v>
      </c>
    </row>
    <row r="8" spans="2:4">
      <c r="B8" t="s">
        <v>2099</v>
      </c>
      <c r="C8" t="s">
        <v>2100</v>
      </c>
      <c r="D8" t="s">
        <v>2101</v>
      </c>
    </row>
    <row r="9" spans="2:4">
      <c r="B9" t="s">
        <v>2102</v>
      </c>
      <c r="C9" t="s">
        <v>2103</v>
      </c>
      <c r="D9" t="s">
        <v>2104</v>
      </c>
    </row>
    <row r="10" spans="2:4">
      <c r="B10" t="s">
        <v>2105</v>
      </c>
      <c r="C10" t="s">
        <v>625</v>
      </c>
      <c r="D10" t="s">
        <v>2106</v>
      </c>
    </row>
    <row r="11" spans="2:4">
      <c r="B11" t="s">
        <v>2107</v>
      </c>
      <c r="C11" t="s">
        <v>1143</v>
      </c>
      <c r="D11" t="s">
        <v>2108</v>
      </c>
    </row>
    <row r="12" spans="2:4">
      <c r="B12" t="s">
        <v>2109</v>
      </c>
      <c r="C12" t="s">
        <v>618</v>
      </c>
      <c r="D12" t="s">
        <v>2110</v>
      </c>
    </row>
    <row r="13" spans="2:4">
      <c r="B13" t="s">
        <v>2107</v>
      </c>
      <c r="C13" t="s">
        <v>2111</v>
      </c>
      <c r="D13" t="s">
        <v>2112</v>
      </c>
    </row>
    <row r="14" spans="2:4">
      <c r="B14" t="s">
        <v>2107</v>
      </c>
      <c r="C14" t="s">
        <v>2113</v>
      </c>
      <c r="D14" t="s">
        <v>2114</v>
      </c>
    </row>
    <row r="15" spans="2:4">
      <c r="B15" t="s">
        <v>2107</v>
      </c>
      <c r="C15" t="s">
        <v>2115</v>
      </c>
      <c r="D15" t="s">
        <v>2116</v>
      </c>
    </row>
    <row r="16" spans="2:4">
      <c r="B16" t="s">
        <v>2102</v>
      </c>
      <c r="C16" t="s">
        <v>1061</v>
      </c>
      <c r="D16" t="s">
        <v>2117</v>
      </c>
    </row>
    <row r="17" spans="2:4">
      <c r="B17" t="s">
        <v>2118</v>
      </c>
      <c r="C17" t="s">
        <v>2118</v>
      </c>
      <c r="D17" t="s">
        <v>2119</v>
      </c>
    </row>
    <row r="18" spans="2:4">
      <c r="B18" t="s">
        <v>2109</v>
      </c>
      <c r="C18" t="s">
        <v>2120</v>
      </c>
      <c r="D18" t="s">
        <v>2121</v>
      </c>
    </row>
    <row r="19" spans="2:4">
      <c r="B19" t="s">
        <v>2109</v>
      </c>
      <c r="C19" t="s">
        <v>2122</v>
      </c>
      <c r="D19" t="s">
        <v>2123</v>
      </c>
    </row>
    <row r="20" spans="2:4">
      <c r="B20" t="s">
        <v>2118</v>
      </c>
      <c r="C20" t="s">
        <v>2124</v>
      </c>
      <c r="D20" t="s">
        <v>2125</v>
      </c>
    </row>
    <row r="21" spans="2:4">
      <c r="B21" t="s">
        <v>2109</v>
      </c>
      <c r="C21" t="s">
        <v>2126</v>
      </c>
      <c r="D21" t="s">
        <v>2127</v>
      </c>
    </row>
    <row r="22" spans="2:4">
      <c r="B22" t="s">
        <v>2118</v>
      </c>
      <c r="C22" t="s">
        <v>2128</v>
      </c>
      <c r="D22" t="s">
        <v>2129</v>
      </c>
    </row>
  </sheetData>
  <hyperlinks>
    <hyperlink ref="C9" location="'Scenarios'!A1" display="Scenarios" xr:uid="{00000000-0004-0000-0000-000000000000}"/>
    <hyperlink ref="C10" location="'YoY'!A1" display="YoY" xr:uid="{00000000-0004-0000-0000-000001000000}"/>
    <hyperlink ref="C11" location="'Revenue'!A1" display="Revenue" xr:uid="{00000000-0004-0000-0000-000002000000}"/>
    <hyperlink ref="C12" location="'Valuation'!A1" display="Valuation" xr:uid="{00000000-0004-0000-0000-000003000000}"/>
    <hyperlink ref="C13" location="'PL'!A1" display="PL" xr:uid="{00000000-0004-0000-0000-000004000000}"/>
    <hyperlink ref="C14" location="'BS'!A1" display="BS" xr:uid="{00000000-0004-0000-0000-000005000000}"/>
    <hyperlink ref="C15" location="'CF'!A1" display="CF" xr:uid="{00000000-0004-0000-0000-000006000000}"/>
    <hyperlink ref="C16" location="'Assumptions'!A1" display="Assumptions" xr:uid="{00000000-0004-0000-0000-000007000000}"/>
    <hyperlink ref="C17" location="'Data'!A1" display="Data" xr:uid="{00000000-0004-0000-0000-000008000000}"/>
    <hyperlink ref="C18" location="'Report'!A1" display="Report" xr:uid="{00000000-0004-0000-0000-000009000000}"/>
    <hyperlink ref="C19" location="'Ratios'!A1" display="Ratios" xr:uid="{00000000-0004-0000-0000-00000A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ABD7-B627-4B17-9772-CB33CE82321D}">
  <sheetPr>
    <tabColor rgb="FFED7D31"/>
  </sheetPr>
  <dimension ref="B1:N55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G53" sqref="G53"/>
    </sheetView>
  </sheetViews>
  <sheetFormatPr defaultRowHeight="12.75"/>
  <cols>
    <col min="1" max="1" width="2.42578125" customWidth="1"/>
    <col min="2" max="2" width="34" customWidth="1"/>
    <col min="3" max="16" width="9.42578125" customWidth="1"/>
  </cols>
  <sheetData>
    <row r="1" spans="2:13" ht="18.75">
      <c r="B1" s="3590" t="s">
        <v>2130</v>
      </c>
    </row>
    <row r="2" spans="2:13" ht="15">
      <c r="B2" s="3591" t="s">
        <v>2131</v>
      </c>
    </row>
    <row r="3" spans="2:13">
      <c r="B3" t="s">
        <v>2132</v>
      </c>
    </row>
    <row r="5" spans="2:13" ht="15">
      <c r="B5" s="3591" t="s">
        <v>2133</v>
      </c>
    </row>
    <row r="6" spans="2:13" ht="15">
      <c r="B6" s="3591" t="s">
        <v>2134</v>
      </c>
      <c r="C6" s="3591" t="s">
        <v>346</v>
      </c>
      <c r="D6" s="3591" t="s">
        <v>347</v>
      </c>
      <c r="E6" s="3591" t="s">
        <v>348</v>
      </c>
      <c r="F6" s="3591" t="s">
        <v>327</v>
      </c>
      <c r="G6" s="3591" t="s">
        <v>704</v>
      </c>
      <c r="H6" s="3591" t="s">
        <v>1628</v>
      </c>
      <c r="I6" s="3591" t="s">
        <v>2135</v>
      </c>
      <c r="J6" s="3591" t="s">
        <v>2079</v>
      </c>
      <c r="K6" s="3591" t="s">
        <v>263</v>
      </c>
      <c r="L6" s="3591" t="s">
        <v>812</v>
      </c>
      <c r="M6" s="3591" t="s">
        <v>948</v>
      </c>
    </row>
    <row r="7" spans="2:13" ht="15">
      <c r="B7" s="3591" t="s">
        <v>813</v>
      </c>
      <c r="C7" s="3593">
        <f>IF(Revenue!B10=0,"",Revenue!B10)</f>
        <v>23213.536857725001</v>
      </c>
      <c r="D7" s="3593">
        <f>IF(Revenue!C10=0,"",Revenue!C10)</f>
        <v>27716.960152274998</v>
      </c>
      <c r="E7" s="3593">
        <f>IF(Revenue!D10=0,"",Revenue!D10)</f>
        <v>29830.400526824</v>
      </c>
      <c r="F7" s="3593">
        <f>IF(Revenue!E10=0,"",Revenue!E10)</f>
        <v>35657.262545027006</v>
      </c>
      <c r="G7" s="3593">
        <f>IF(Revenue!F10=0,"",Revenue!F10)</f>
        <v>44009.527680910993</v>
      </c>
      <c r="H7" s="3593">
        <f>IF(Revenue!G10=0,"",Revenue!G10)</f>
        <v>52618</v>
      </c>
      <c r="I7" s="3593">
        <f>IF(Revenue!H10=0,"",Revenue!H10)</f>
        <v>62850</v>
      </c>
      <c r="J7" s="3593">
        <f>IF(Revenue!I10=0,"",Revenue!I10)</f>
        <v>70114</v>
      </c>
      <c r="K7" s="3593">
        <f ca="1">IF(Revenue!J10=0,"",Revenue!J10)</f>
        <v>78944.911680421705</v>
      </c>
      <c r="L7" s="3593">
        <f ca="1">IF(Revenue!K10=0,"",Revenue!K10)</f>
        <v>90305.361800000013</v>
      </c>
      <c r="M7" s="3593">
        <f ca="1">IF(Revenue!L10=0,"",Revenue!L10)</f>
        <v>103820.32245200002</v>
      </c>
    </row>
    <row r="8" spans="2:13" ht="15">
      <c r="B8" t="s">
        <v>2136</v>
      </c>
      <c r="D8" s="3594">
        <f>IF(OR(Revenue!C10=0,Revenue!B10=0),"",Revenue!C10/Revenue!B10-1)</f>
        <v>0.19399987697485854</v>
      </c>
      <c r="E8" s="3594">
        <f>IF(OR(Revenue!D10=0,Revenue!C10=0),"",Revenue!D10/Revenue!C10-1)</f>
        <v>7.6250799616477183E-2</v>
      </c>
      <c r="F8" s="3594">
        <f>IF(OR(Revenue!E10=0,Revenue!D10=0),"",Revenue!E10/Revenue!D10-1)</f>
        <v>0.19533301314420481</v>
      </c>
      <c r="G8" s="3594">
        <f>IF(OR(Revenue!F10=0,Revenue!E10=0),"",Revenue!F10/Revenue!E10-1)</f>
        <v>0.23423741868397707</v>
      </c>
      <c r="H8" s="3594">
        <f>IF(OR(Revenue!G10=0,Revenue!F10=0),"",Revenue!G10/Revenue!F10-1)</f>
        <v>0.19560474226181945</v>
      </c>
      <c r="I8" s="3594">
        <f>IF(OR(Revenue!H10=0,Revenue!G10=0),"",Revenue!H10/Revenue!G10-1)</f>
        <v>0.19445817020791356</v>
      </c>
      <c r="J8" s="3594">
        <f>IF(OR(Revenue!I10=0,Revenue!H10=0),"",Revenue!I10/Revenue!H10-1)</f>
        <v>0.11557677008750988</v>
      </c>
      <c r="K8" s="3594">
        <f ca="1">IF(OR(Revenue!J10=0,Revenue!I10=0),"",Revenue!J10/Revenue!I10-1)</f>
        <v>0.12595076133756034</v>
      </c>
      <c r="L8" s="3594">
        <f ca="1">IF(OR(Revenue!K10=0,Revenue!J10=0),"",Revenue!K10/Revenue!J10-1)</f>
        <v>0.14390351294034942</v>
      </c>
      <c r="M8" s="3594">
        <f ca="1">IF(OR(Revenue!L10=0,Revenue!K10=0),"",Revenue!L10/Revenue!K10-1)</f>
        <v>0.14965845197466465</v>
      </c>
    </row>
    <row r="9" spans="2:13" ht="15">
      <c r="B9" s="3591" t="s">
        <v>2137</v>
      </c>
      <c r="C9" s="3593">
        <f>IF(Revenue!B11=0,"",Revenue!B11)</f>
        <v>13401.574000000001</v>
      </c>
      <c r="D9" s="3593">
        <f>IF(Revenue!C11=0,"",Revenue!C11)</f>
        <v>15783.421</v>
      </c>
      <c r="E9" s="3593">
        <f>IF(Revenue!D11=0,"",Revenue!D11)</f>
        <v>16804.932000000001</v>
      </c>
      <c r="F9" s="3593">
        <f>IF(Revenue!E11=0,"",Revenue!E11)</f>
        <v>20872.243999999999</v>
      </c>
      <c r="G9" s="3593">
        <f>IF(Revenue!F11=0,"",Revenue!F11)</f>
        <v>25762.901999999998</v>
      </c>
      <c r="H9" s="3593">
        <f>IF(Revenue!G11=0,"",Revenue!G11)</f>
        <v>31449</v>
      </c>
      <c r="I9" s="3593">
        <f>IF(Revenue!H11=0,"",Revenue!H11)</f>
        <v>39110</v>
      </c>
      <c r="J9" s="3593">
        <f>IF(Revenue!I11=0,"",Revenue!I11)</f>
        <v>44475</v>
      </c>
      <c r="K9" s="3593">
        <f ca="1">IF(Revenue!J11=0,"",Revenue!J11)</f>
        <v>50756.006680421699</v>
      </c>
      <c r="L9" s="3593">
        <f ca="1">IF(Revenue!K11=0,"",Revenue!K11)</f>
        <v>58733.788200000003</v>
      </c>
      <c r="M9" s="3593">
        <f ca="1">IF(Revenue!L11=0,"",Revenue!L11)</f>
        <v>68460.16002000001</v>
      </c>
    </row>
    <row r="10" spans="2:13" ht="15">
      <c r="B10" t="s">
        <v>2136</v>
      </c>
      <c r="D10" s="3594">
        <f>IF(OR(Revenue!C11=0,Revenue!B11=0),"",Revenue!C11/Revenue!B11-1)</f>
        <v>0.17772889960537475</v>
      </c>
      <c r="E10" s="3594">
        <f>IF(OR(Revenue!D11=0,Revenue!C11=0),"",Revenue!D11/Revenue!C11-1)</f>
        <v>6.4720506409858825E-2</v>
      </c>
      <c r="F10" s="3594">
        <f>IF(OR(Revenue!E11=0,Revenue!D11=0),"",Revenue!E11/Revenue!D11-1)</f>
        <v>0.24203085141909519</v>
      </c>
      <c r="G10" s="3594">
        <f>IF(OR(Revenue!F11=0,Revenue!E11=0),"",Revenue!F11/Revenue!E11-1)</f>
        <v>0.23431395301818059</v>
      </c>
      <c r="H10" s="3594">
        <f>IF(OR(Revenue!G11=0,Revenue!F11=0),"",Revenue!G11/Revenue!F11-1)</f>
        <v>0.22070875400605106</v>
      </c>
      <c r="I10" s="3594">
        <f>IF(OR(Revenue!H11=0,Revenue!G11=0),"",Revenue!H11/Revenue!G11-1)</f>
        <v>0.24360075042131712</v>
      </c>
      <c r="J10" s="3594">
        <f>IF(OR(Revenue!I11=0,Revenue!H11=0),"",Revenue!I11/Revenue!H11-1)</f>
        <v>0.13717719253387872</v>
      </c>
      <c r="K10" s="3594">
        <f ca="1">IF(OR(Revenue!J11=0,Revenue!I11=0),"",Revenue!J11/Revenue!I11-1)</f>
        <v>0.14122555773854306</v>
      </c>
      <c r="L10" s="3594">
        <f ca="1">IF(OR(Revenue!K11=0,Revenue!J11=0),"",Revenue!K11/Revenue!J11-1)</f>
        <v>0.15717906197406983</v>
      </c>
      <c r="M10" s="3594">
        <f ca="1">IF(OR(Revenue!L11=0,Revenue!K11=0),"",Revenue!L11/Revenue!K11-1)</f>
        <v>0.16560096186678464</v>
      </c>
    </row>
    <row r="11" spans="2:13">
      <c r="B11" t="s">
        <v>2138</v>
      </c>
      <c r="C11" s="1349">
        <f>IF(Revenue!B12=0,"",Revenue!B12)</f>
        <v>8443.4719999999998</v>
      </c>
      <c r="D11" s="1349">
        <f>IF(Revenue!C12=0,"",Revenue!C12)</f>
        <v>10848.063</v>
      </c>
      <c r="E11" s="1349">
        <f>IF(Revenue!D12=0,"",Revenue!D12)</f>
        <v>12000.26</v>
      </c>
      <c r="F11" s="1349">
        <f>IF(Revenue!E12=0,"",Revenue!E12)</f>
        <v>14540.800999999999</v>
      </c>
      <c r="G11" s="1349">
        <f>IF(Revenue!F12=0,"",Revenue!F12)</f>
        <v>18915.493999999999</v>
      </c>
      <c r="H11" s="1349">
        <f>IF(Revenue!G12=0,"",Revenue!G12)</f>
        <v>24288</v>
      </c>
      <c r="I11" s="1349">
        <f>IF(Revenue!H12=0,"",Revenue!H12)</f>
        <v>30953</v>
      </c>
      <c r="J11" s="1349">
        <f>IF(Revenue!I12=0,"",Revenue!I12)</f>
        <v>35382</v>
      </c>
      <c r="K11" s="1349">
        <f ca="1">IF(Revenue!J12=0,"",Revenue!J12)</f>
        <v>40571.846680421695</v>
      </c>
      <c r="L11" s="1349">
        <f ca="1">IF(Revenue!K12=0,"",Revenue!K12)</f>
        <v>47327.529000000002</v>
      </c>
      <c r="M11" s="1349">
        <f ca="1">IF(Revenue!L12=0,"",Revenue!L12)</f>
        <v>55685.149716000007</v>
      </c>
    </row>
    <row r="12" spans="2:13">
      <c r="B12" t="s">
        <v>2136</v>
      </c>
      <c r="D12" s="3592">
        <f>IF(OR(Revenue!C12=0,Revenue!B12=0),"",Revenue!C12/Revenue!B12-1)</f>
        <v>0.2847869928389648</v>
      </c>
      <c r="E12" s="3592">
        <f>IF(OR(Revenue!D12=0,Revenue!C12=0),"",Revenue!D12/Revenue!C12-1)</f>
        <v>0.10621223346508968</v>
      </c>
      <c r="F12" s="3592">
        <f>IF(OR(Revenue!E12=0,Revenue!D12=0),"",Revenue!E12/Revenue!D12-1)</f>
        <v>0.21170716301146797</v>
      </c>
      <c r="G12" s="3592">
        <f>IF(OR(Revenue!F12=0,Revenue!E12=0),"",Revenue!F12/Revenue!E12-1)</f>
        <v>0.30085639711319878</v>
      </c>
      <c r="H12" s="3592">
        <f>IF(OR(Revenue!G12=0,Revenue!F12=0),"",Revenue!G12/Revenue!F12-1)</f>
        <v>0.28402673490843022</v>
      </c>
      <c r="I12" s="3592">
        <f>IF(OR(Revenue!H12=0,Revenue!G12=0),"",Revenue!H12/Revenue!G12-1)</f>
        <v>0.2744153491436101</v>
      </c>
      <c r="J12" s="3592">
        <f>IF(OR(Revenue!I12=0,Revenue!H12=0),"",Revenue!I12/Revenue!H12-1)</f>
        <v>0.14308790747261968</v>
      </c>
      <c r="K12" s="3592">
        <f ca="1">IF(OR(Revenue!J12=0,Revenue!I12=0),"",Revenue!J12/Revenue!I12-1)</f>
        <v>0.14668042169526019</v>
      </c>
      <c r="L12" s="3592">
        <f ca="1">IF(OR(Revenue!K12=0,Revenue!J12=0),"",Revenue!K12/Revenue!J12-1)</f>
        <v>0.16651158062367233</v>
      </c>
      <c r="M12" s="3592">
        <f ca="1">IF(OR(Revenue!L12=0,Revenue!K12=0),"",Revenue!L12/Revenue!K12-1)</f>
        <v>0.17659110654181842</v>
      </c>
    </row>
    <row r="13" spans="2:13">
      <c r="B13" t="s">
        <v>2139</v>
      </c>
      <c r="C13" s="1349">
        <f>IF(Revenue!B13=0,"",Revenue!B13)</f>
        <v>4958.1019999999999</v>
      </c>
      <c r="D13" s="1349">
        <f>IF(Revenue!C13=0,"",Revenue!C13)</f>
        <v>4935.3580000000002</v>
      </c>
      <c r="E13" s="1349">
        <f>IF(Revenue!D13=0,"",Revenue!D13)</f>
        <v>4804.6719999999996</v>
      </c>
      <c r="F13" s="1349">
        <f>IF(Revenue!E13=0,"",Revenue!E13)</f>
        <v>6331.4430000000002</v>
      </c>
      <c r="G13" s="1349">
        <f>IF(Revenue!F13=0,"",Revenue!F13)</f>
        <v>6847.4080000000004</v>
      </c>
      <c r="H13" s="1349">
        <f>IF(Revenue!G13=0,"",Revenue!G13)</f>
        <v>7161</v>
      </c>
      <c r="I13" s="1349">
        <f>IF(Revenue!H13=0,"",Revenue!H13)</f>
        <v>8157</v>
      </c>
      <c r="J13" s="1349">
        <f>IF(Revenue!I13=0,"",Revenue!I13)</f>
        <v>9093</v>
      </c>
      <c r="K13" s="1349">
        <f ca="1">IF(Revenue!J13=0,"",Revenue!J13)</f>
        <v>10184.160000000002</v>
      </c>
      <c r="L13" s="1349">
        <f ca="1">IF(Revenue!K13=0,"",Revenue!K13)</f>
        <v>11406.259200000002</v>
      </c>
      <c r="M13" s="1349">
        <f ca="1">IF(Revenue!L13=0,"",Revenue!L13)</f>
        <v>12775.010304000003</v>
      </c>
    </row>
    <row r="14" spans="2:13">
      <c r="B14" t="s">
        <v>2136</v>
      </c>
      <c r="D14" s="3592">
        <f>IF(OR(Revenue!C13=0,Revenue!B13=0),"",Revenue!C13/Revenue!B13-1)</f>
        <v>-4.5872392298503817E-3</v>
      </c>
      <c r="E14" s="3592">
        <f>IF(OR(Revenue!D13=0,Revenue!C13=0),"",Revenue!D13/Revenue!C13-1)</f>
        <v>-2.6479538059853147E-2</v>
      </c>
      <c r="F14" s="3592">
        <f>IF(OR(Revenue!E13=0,Revenue!D13=0),"",Revenue!E13/Revenue!D13-1)</f>
        <v>0.31776799748245055</v>
      </c>
      <c r="G14" s="3592">
        <f>IF(OR(Revenue!F13=0,Revenue!E13=0),"",Revenue!F13/Revenue!E13-1)</f>
        <v>8.1492481255852844E-2</v>
      </c>
      <c r="H14" s="3592">
        <f>IF(OR(Revenue!G13=0,Revenue!F13=0),"",Revenue!G13/Revenue!F13-1)</f>
        <v>4.5797183401368846E-2</v>
      </c>
      <c r="I14" s="3592">
        <f>IF(OR(Revenue!H13=0,Revenue!G13=0),"",Revenue!H13/Revenue!G13-1)</f>
        <v>0.13908671973188103</v>
      </c>
      <c r="J14" s="3592">
        <f>IF(OR(Revenue!I13=0,Revenue!H13=0),"",Revenue!I13/Revenue!H13-1)</f>
        <v>0.11474806914306734</v>
      </c>
      <c r="K14" s="3592">
        <f ca="1">IF(OR(Revenue!J13=0,Revenue!I13=0),"",Revenue!J13/Revenue!I13-1)</f>
        <v>0.12000000000000011</v>
      </c>
      <c r="L14" s="3592">
        <f ca="1">IF(OR(Revenue!K13=0,Revenue!J13=0),"",Revenue!K13/Revenue!J13-1)</f>
        <v>0.12000000000000011</v>
      </c>
      <c r="M14" s="3592">
        <f ca="1">IF(OR(Revenue!L13=0,Revenue!K13=0),"",Revenue!L13/Revenue!K13-1)</f>
        <v>0.12000000000000011</v>
      </c>
    </row>
    <row r="15" spans="2:13">
      <c r="B15" t="s">
        <v>895</v>
      </c>
      <c r="C15" s="1349">
        <f>IF(Revenue!B14=0,"",Revenue!B14)</f>
        <v>8831.0030000000006</v>
      </c>
      <c r="D15" s="1349">
        <f>IF(Revenue!C14=0,"",Revenue!C14)</f>
        <v>10398.427</v>
      </c>
      <c r="E15" s="1349">
        <f>IF(Revenue!D14=0,"",Revenue!D14)</f>
        <v>11466.154</v>
      </c>
      <c r="F15" s="1349">
        <f>IF(Revenue!E14=0,"",Revenue!E14)</f>
        <v>12686.415999999999</v>
      </c>
      <c r="G15" s="1349">
        <f>IF(Revenue!F14=0,"",Revenue!F14)</f>
        <v>14729.648999999999</v>
      </c>
      <c r="H15" s="1349">
        <f>IF(Revenue!G14=0,"",Revenue!G14)</f>
        <v>15806</v>
      </c>
      <c r="I15" s="1349">
        <f>IF(Revenue!H14=0,"",Revenue!H14)</f>
        <v>17610</v>
      </c>
      <c r="J15" s="1349">
        <f>IF(Revenue!I14=0,"",Revenue!I14)</f>
        <v>19507</v>
      </c>
      <c r="K15" s="1349">
        <f>IF(Revenue!J14=0,"",Revenue!J14)</f>
        <v>21750.305</v>
      </c>
      <c r="L15" s="1349">
        <f>IF(Revenue!K14=0,"",Revenue!K14)</f>
        <v>24360.341600000003</v>
      </c>
      <c r="M15" s="1349">
        <f>IF(Revenue!L14=0,"",Revenue!L14)</f>
        <v>27283.582592000006</v>
      </c>
    </row>
    <row r="16" spans="2:13">
      <c r="B16" t="s">
        <v>2136</v>
      </c>
      <c r="D16" s="3592">
        <f>IF(OR(Revenue!C14=0,Revenue!B14=0),"",Revenue!C14/Revenue!B14-1)</f>
        <v>0.17749105056356562</v>
      </c>
      <c r="E16" s="3592">
        <f>IF(OR(Revenue!D14=0,Revenue!C14=0),"",Revenue!D14/Revenue!C14-1)</f>
        <v>0.1026815882825356</v>
      </c>
      <c r="F16" s="3592">
        <f>IF(OR(Revenue!E14=0,Revenue!D14=0),"",Revenue!E14/Revenue!D14-1)</f>
        <v>0.10642295577052252</v>
      </c>
      <c r="G16" s="3592">
        <f>IF(OR(Revenue!F14=0,Revenue!E14=0),"",Revenue!F14/Revenue!E14-1)</f>
        <v>0.16105675550919973</v>
      </c>
      <c r="H16" s="3592">
        <f>IF(OR(Revenue!G14=0,Revenue!F14=0),"",Revenue!G14/Revenue!F14-1)</f>
        <v>7.3073771140099941E-2</v>
      </c>
      <c r="I16" s="3592">
        <f>IF(OR(Revenue!H14=0,Revenue!G14=0),"",Revenue!H14/Revenue!G14-1)</f>
        <v>0.11413387321270396</v>
      </c>
      <c r="J16" s="3592">
        <f>IF(OR(Revenue!I14=0,Revenue!H14=0),"",Revenue!I14/Revenue!H14-1)</f>
        <v>0.10772288472458835</v>
      </c>
      <c r="K16" s="3592">
        <f>IF(OR(Revenue!J14=0,Revenue!I14=0),"",Revenue!J14/Revenue!I14-1)</f>
        <v>0.11499999999999999</v>
      </c>
      <c r="L16" s="3592">
        <f>IF(OR(Revenue!K14=0,Revenue!J14=0),"",Revenue!K14/Revenue!J14-1)</f>
        <v>0.12000000000000011</v>
      </c>
      <c r="M16" s="3592">
        <f>IF(OR(Revenue!L14=0,Revenue!K14=0),"",Revenue!L14/Revenue!K14-1)</f>
        <v>0.12000000000000011</v>
      </c>
    </row>
    <row r="17" spans="2:14">
      <c r="B17" t="s">
        <v>2140</v>
      </c>
      <c r="C17" s="1349">
        <f>IF(Revenue!B17=0,"",Revenue!B17)</f>
        <v>980.95985772499989</v>
      </c>
      <c r="D17" s="1349">
        <f>IF(Revenue!C17=0,"",Revenue!C17)</f>
        <v>1535.112152274995</v>
      </c>
      <c r="E17" s="1349">
        <f>IF(Revenue!D17=0,"",Revenue!D17)</f>
        <v>1559.3145268239982</v>
      </c>
      <c r="F17" s="1349">
        <f>IF(Revenue!E17=0,"",Revenue!E17)</f>
        <v>2098.6025450270099</v>
      </c>
      <c r="G17" s="1349">
        <f>IF(Revenue!F17=0,"",Revenue!F17)</f>
        <v>3516.9766809110006</v>
      </c>
      <c r="H17" s="1349">
        <f>IF(Revenue!G17=0,"",Revenue!G17)</f>
        <v>5363</v>
      </c>
      <c r="I17" s="1349">
        <f>IF(Revenue!H17=0,"",Revenue!H17)</f>
        <v>6129</v>
      </c>
      <c r="J17" s="1349">
        <f>IF(Revenue!I17=0,"",Revenue!I17)</f>
        <v>6132</v>
      </c>
      <c r="K17" s="1349">
        <f ca="1">IF(Revenue!J17=0,"",Revenue!J17)</f>
        <v>6438.6</v>
      </c>
      <c r="L17" s="1349">
        <f ca="1">IF(Revenue!K17=0,"",Revenue!K17)</f>
        <v>7211.2320000000009</v>
      </c>
      <c r="M17" s="1349">
        <f ca="1">IF(Revenue!L17=0,"",Revenue!L17)</f>
        <v>8076.5798400000022</v>
      </c>
    </row>
    <row r="18" spans="2:14">
      <c r="B18" t="s">
        <v>2136</v>
      </c>
      <c r="D18" s="3592">
        <f>IF(OR(Revenue!C17=0,Revenue!B17=0),"",Revenue!C17/Revenue!B17-1)</f>
        <v>0.56490822757534787</v>
      </c>
      <c r="E18" s="3592">
        <f>IF(OR(Revenue!D17=0,Revenue!C17=0),"",Revenue!D17/Revenue!C17-1)</f>
        <v>1.5765867342744988E-2</v>
      </c>
      <c r="F18" s="3592">
        <f>IF(OR(Revenue!E17=0,Revenue!D17=0),"",Revenue!E17/Revenue!D17-1)</f>
        <v>0.34584941583365492</v>
      </c>
      <c r="G18" s="3592">
        <f>IF(OR(Revenue!F17=0,Revenue!E17=0),"",Revenue!F17/Revenue!E17-1)</f>
        <v>0.67586601343120711</v>
      </c>
      <c r="H18" s="3592">
        <f>IF(OR(Revenue!G17=0,Revenue!F17=0),"",Revenue!G17/Revenue!F17-1)</f>
        <v>0.52488926898736921</v>
      </c>
      <c r="I18" s="3592">
        <f>IF(OR(Revenue!H17=0,Revenue!G17=0),"",Revenue!H17/Revenue!G17-1)</f>
        <v>0.14283050531418984</v>
      </c>
      <c r="J18" s="3592">
        <f>IF(OR(Revenue!I17=0,Revenue!H17=0),"",Revenue!I17/Revenue!H17-1)</f>
        <v>4.8947626040130032E-4</v>
      </c>
      <c r="K18" s="3592">
        <f ca="1">IF(OR(Revenue!J17=0,Revenue!I17=0),"",Revenue!J17/Revenue!I17-1)</f>
        <v>5.0000000000000044E-2</v>
      </c>
      <c r="L18" s="3592">
        <f ca="1">IF(OR(Revenue!K17=0,Revenue!J17=0),"",Revenue!K17/Revenue!J17-1)</f>
        <v>0.12000000000000011</v>
      </c>
      <c r="M18" s="3592">
        <f ca="1">IF(OR(Revenue!L17=0,Revenue!K17=0),"",Revenue!L17/Revenue!K17-1)</f>
        <v>0.12000000000000011</v>
      </c>
    </row>
    <row r="19" spans="2:14">
      <c r="B19" t="s">
        <v>148</v>
      </c>
      <c r="C19" s="1349">
        <f>IF(Revenue!B7=0,"",Revenue!B7)</f>
        <v>8722.8789854890019</v>
      </c>
      <c r="D19" s="1349">
        <f>IF(Revenue!C7=0,"",Revenue!C7)</f>
        <v>10712.049623121999</v>
      </c>
      <c r="E19" s="1349">
        <f>IF(Revenue!D7=0,"",Revenue!D7)</f>
        <v>11813.657474726999</v>
      </c>
      <c r="F19" s="1349">
        <f>IF(Revenue!E7=0,"",Revenue!E7)</f>
        <v>13631.964236778</v>
      </c>
      <c r="G19" s="1349">
        <f>IF(Revenue!F7=0,"",Revenue!F7)</f>
        <v>17167.278641198001</v>
      </c>
      <c r="H19" s="1349">
        <f>IF(Revenue!G7=0,"",Revenue!G7)</f>
        <v>20319.553444681998</v>
      </c>
      <c r="I19" s="1349">
        <f>IF(Revenue!H7=0,"",Revenue!H7)</f>
        <v>23698.340000000004</v>
      </c>
      <c r="J19" s="1349">
        <f>IF(Revenue!I7=0,"",Revenue!I7)</f>
        <v>25990.270000000004</v>
      </c>
      <c r="K19" s="1349">
        <f ca="1">IF(Revenue!J7=0,"",Revenue!J7)</f>
        <v>19823.724727791734</v>
      </c>
      <c r="L19" s="1349">
        <f ca="1">IF(Revenue!K7=0,"",Revenue!K7)</f>
        <v>22276.608141814293</v>
      </c>
      <c r="M19" s="1349">
        <f ca="1">IF(Revenue!L7=0,"",Revenue!L7)</f>
        <v>25577.749681426394</v>
      </c>
    </row>
    <row r="20" spans="2:14">
      <c r="B20" t="s">
        <v>2136</v>
      </c>
      <c r="D20" s="3592">
        <f>IF(OR(Revenue!C7=0,Revenue!B7=0),"",Revenue!C7/Revenue!B7-1)</f>
        <v>0.22804060917755398</v>
      </c>
      <c r="E20" s="3592">
        <f>IF(OR(Revenue!D7=0,Revenue!C7=0),"",Revenue!D7/Revenue!C7-1)</f>
        <v>0.10283819533725613</v>
      </c>
      <c r="F20" s="3592">
        <f>IF(OR(Revenue!E7=0,Revenue!D7=0),"",Revenue!E7/Revenue!D7-1)</f>
        <v>0.1539156494033207</v>
      </c>
      <c r="G20" s="3592">
        <f>IF(OR(Revenue!F7=0,Revenue!E7=0),"",Revenue!F7/Revenue!E7-1)</f>
        <v>0.25934005863087539</v>
      </c>
      <c r="H20" s="3592">
        <f>IF(OR(Revenue!G7=0,Revenue!F7=0),"",Revenue!G7/Revenue!F7-1)</f>
        <v>0.18362111254600211</v>
      </c>
      <c r="I20" s="3592">
        <f>IF(OR(Revenue!H7=0,Revenue!G7=0),"",Revenue!H7/Revenue!G7-1)</f>
        <v>0.16628252016051537</v>
      </c>
      <c r="J20" s="3592">
        <f>IF(OR(Revenue!I7=0,Revenue!H7=0),"",Revenue!I7/Revenue!H7-1)</f>
        <v>9.6712681141379431E-2</v>
      </c>
      <c r="K20" s="3592">
        <f ca="1">IF(OR(Revenue!J7=0,Revenue!I7=0),"",Revenue!J7/Revenue!I7-1)</f>
        <v>-0.23726360950495196</v>
      </c>
      <c r="L20" s="3592">
        <f ca="1">IF(OR(Revenue!K7=0,Revenue!J7=0),"",Revenue!K7/Revenue!J7-1)</f>
        <v>0.12373473944499214</v>
      </c>
      <c r="M20" s="3592">
        <f ca="1">IF(OR(Revenue!L7=0,Revenue!K7=0),"",Revenue!L7/Revenue!K7-1)</f>
        <v>0.14818869724676342</v>
      </c>
    </row>
    <row r="21" spans="2:14" ht="15">
      <c r="B21" s="3591" t="s">
        <v>2141</v>
      </c>
      <c r="C21" s="3593">
        <f>IF(Revenue!B115=0,"",Revenue!B115)</f>
        <v>3857.6025552060019</v>
      </c>
      <c r="D21" s="3593">
        <f>IF(Revenue!C115=0,"",Revenue!C115)</f>
        <v>4664.5305117059988</v>
      </c>
      <c r="E21" s="3593">
        <f>IF(Revenue!D115=0,"",Revenue!D115)</f>
        <v>5263.4566299669987</v>
      </c>
      <c r="F21" s="3593">
        <f>IF(Revenue!E115=0,"",Revenue!E115)</f>
        <v>6337.2064409580007</v>
      </c>
      <c r="G21" s="3593">
        <f>IF(Revenue!F115=0,"",Revenue!F115)</f>
        <v>7662.2829598800017</v>
      </c>
      <c r="H21" s="3593">
        <f>IF(Revenue!G115=0,"",Revenue!G115)</f>
        <v>9203.0060985699965</v>
      </c>
      <c r="I21" s="3593">
        <f>IF(Revenue!H115=0,"",Revenue!H115)</f>
        <v>11069.660000000005</v>
      </c>
      <c r="J21" s="3593">
        <f>IF(Revenue!I115=0,"",Revenue!I115)</f>
        <v>13133.720000000005</v>
      </c>
      <c r="K21" s="3593" t="str">
        <f>IF(Revenue!J115=0,"",Revenue!J115)</f>
        <v/>
      </c>
      <c r="L21" s="3593">
        <f ca="1">IF(Revenue!K115=0,"",Revenue!K115)</f>
        <v>15016.416682613406</v>
      </c>
      <c r="M21" s="3593">
        <f ca="1">IF(Revenue!L115=0,"",Revenue!L115)</f>
        <v>17014.72800224385</v>
      </c>
    </row>
    <row r="22" spans="2:14" ht="15">
      <c r="B22" t="s">
        <v>2136</v>
      </c>
      <c r="D22" s="3594">
        <f>IF(OR(Revenue!C115=0,Revenue!B115=0),"",Revenue!C115/Revenue!B115-1)</f>
        <v>0.20917861416568506</v>
      </c>
      <c r="E22" s="3594">
        <f>IF(OR(Revenue!D115=0,Revenue!C115=0),"",Revenue!D115/Revenue!C115-1)</f>
        <v>0.12840008587315466</v>
      </c>
      <c r="F22" s="3594">
        <f>IF(OR(Revenue!E115=0,Revenue!D115=0),"",Revenue!E115/Revenue!D115-1)</f>
        <v>0.20400088506053371</v>
      </c>
      <c r="G22" s="3594">
        <f>IF(OR(Revenue!F115=0,Revenue!E115=0),"",Revenue!F115/Revenue!E115-1)</f>
        <v>0.20909473776298326</v>
      </c>
      <c r="H22" s="3594">
        <f>IF(OR(Revenue!G115=0,Revenue!F115=0),"",Revenue!G115/Revenue!F115-1)</f>
        <v>0.20107886210379844</v>
      </c>
      <c r="I22" s="3594">
        <f>IF(OR(Revenue!H115=0,Revenue!G115=0),"",Revenue!H115/Revenue!G115-1)</f>
        <v>0.20283088823770945</v>
      </c>
      <c r="J22" s="3594">
        <f>IF(OR(Revenue!I115=0,Revenue!H115=0),"",Revenue!I115/Revenue!H115-1)</f>
        <v>0.1864610114493126</v>
      </c>
      <c r="K22" s="3594" t="str">
        <f>IF(OR(Revenue!J115=0,Revenue!I115=0),"",Revenue!J115/Revenue!I115-1)</f>
        <v/>
      </c>
      <c r="L22" s="3594" t="str">
        <f ca="1">IF(OR(Revenue!K115=0,Revenue!J115=0),"",Revenue!K115/Revenue!J115-1)</f>
        <v/>
      </c>
      <c r="M22" s="3594">
        <f ca="1">IF(OR(Revenue!L115=0,Revenue!K115=0),"",Revenue!L115/Revenue!K115-1)</f>
        <v>0.13307511118442572</v>
      </c>
    </row>
    <row r="23" spans="2:14">
      <c r="B23" t="s">
        <v>2142</v>
      </c>
      <c r="C23" s="1983">
        <f>IF(Revenue!B10=0,"",Revenue!B7/Revenue!B10)</f>
        <v>0.37576690872016782</v>
      </c>
      <c r="D23" s="1983">
        <f>IF(Revenue!C10=0,"",Revenue!C7/Revenue!C10)</f>
        <v>0.38647995899516985</v>
      </c>
      <c r="E23" s="1983">
        <f>IF(Revenue!D10=0,"",Revenue!D7/Revenue!D10)</f>
        <v>0.39602745072443657</v>
      </c>
      <c r="F23" s="1983">
        <f>IF(Revenue!E10=0,"",Revenue!E7/Revenue!E10)</f>
        <v>0.38230540607439878</v>
      </c>
      <c r="G23" s="1983">
        <f>IF(Revenue!F10=0,"",Revenue!F7/Revenue!F10)</f>
        <v>0.39008095623448963</v>
      </c>
      <c r="H23" s="1983">
        <f>IF(Revenue!G10=0,"",Revenue!G7/Revenue!G10)</f>
        <v>0.38617114760504007</v>
      </c>
      <c r="I23" s="1983">
        <f>IF(Revenue!H10=0,"",Revenue!H7/Revenue!H10)</f>
        <v>0.37706189339697699</v>
      </c>
      <c r="J23" s="1983">
        <f>IF(Revenue!I10=0,"",Revenue!I7/Revenue!I10)</f>
        <v>0.37068588299055827</v>
      </c>
      <c r="K23" s="1983">
        <f ca="1">IF(Revenue!J10=0,"",Revenue!J7/Revenue!J10)</f>
        <v>0.25110832738708361</v>
      </c>
      <c r="L23" s="1983">
        <f ca="1">IF(Revenue!K10=0,"",Revenue!K7/Revenue!K10)</f>
        <v>0.24668090241585511</v>
      </c>
      <c r="M23" s="1983">
        <f ca="1">IF(Revenue!L10=0,"",Revenue!L7/Revenue!L10)</f>
        <v>0.24636553882070569</v>
      </c>
    </row>
    <row r="24" spans="2:14">
      <c r="B24" t="s">
        <v>2143</v>
      </c>
      <c r="C24" s="1983">
        <f>IF(Revenue!B10=0,"",Revenue!B115/Revenue!B10)</f>
        <v>0.16617900920696058</v>
      </c>
      <c r="D24" s="1983">
        <f>IF(Revenue!C10=0,"",Revenue!C115/Revenue!C10)</f>
        <v>0.16829156177587301</v>
      </c>
      <c r="E24" s="1983">
        <f>IF(Revenue!D10=0,"",Revenue!D115/Revenue!D10)</f>
        <v>0.17644605962410762</v>
      </c>
      <c r="F24" s="1983">
        <f>IF(Revenue!E10=0,"",Revenue!E115/Revenue!E10)</f>
        <v>0.17772554561516188</v>
      </c>
      <c r="G24" s="1983">
        <f>IF(Revenue!F10=0,"",Revenue!F115/Revenue!F10)</f>
        <v>0.17410509413859251</v>
      </c>
      <c r="H24" s="1983">
        <f>IF(Revenue!G10=0,"",Revenue!G115/Revenue!G10)</f>
        <v>0.17490224065091786</v>
      </c>
      <c r="I24" s="1983">
        <f>IF(Revenue!H10=0,"",Revenue!H115/Revenue!H10)</f>
        <v>0.17612824184566436</v>
      </c>
      <c r="J24" s="1983">
        <f>IF(Revenue!I10=0,"",Revenue!I115/Revenue!I10)</f>
        <v>0.18731950822945495</v>
      </c>
      <c r="K24" s="1983">
        <f ca="1">IF(Revenue!J10=0,"",Revenue!J115/Revenue!J10)</f>
        <v>0</v>
      </c>
      <c r="L24" s="1983">
        <f ca="1">IF(Revenue!K10=0,"",Revenue!K115/Revenue!K10)</f>
        <v>0.16628488478757641</v>
      </c>
      <c r="M24" s="1983">
        <f ca="1">IF(Revenue!L10=0,"",Revenue!L115/Revenue!L10)</f>
        <v>0.16388629509516683</v>
      </c>
    </row>
    <row r="26" spans="2:14" ht="15">
      <c r="B26" s="3591" t="s">
        <v>2144</v>
      </c>
    </row>
    <row r="27" spans="2:14" ht="15">
      <c r="B27" s="3591" t="s">
        <v>2134</v>
      </c>
      <c r="C27" s="3591" t="s">
        <v>1015</v>
      </c>
      <c r="D27" s="3591" t="s">
        <v>1036</v>
      </c>
      <c r="E27" s="3591" t="s">
        <v>1242</v>
      </c>
      <c r="F27" s="3591" t="s">
        <v>1354</v>
      </c>
      <c r="G27" s="3591" t="s">
        <v>1498</v>
      </c>
      <c r="H27" s="3591" t="s">
        <v>1704</v>
      </c>
      <c r="I27" s="3591" t="s">
        <v>1789</v>
      </c>
      <c r="J27" s="3591" t="s">
        <v>1792</v>
      </c>
      <c r="K27" s="3591" t="s">
        <v>1793</v>
      </c>
      <c r="L27" s="3591" t="s">
        <v>1794</v>
      </c>
      <c r="M27" s="3591" t="s">
        <v>1795</v>
      </c>
      <c r="N27" s="3591" t="s">
        <v>2078</v>
      </c>
    </row>
    <row r="28" spans="2:14" ht="15">
      <c r="B28" s="3591" t="s">
        <v>813</v>
      </c>
      <c r="C28" s="3593">
        <f>IF(Revenue!AQ10=0,"",Revenue!AQ10)</f>
        <v>11687.891</v>
      </c>
      <c r="D28" s="3593">
        <f>IF(Revenue!AR10=0,"",Revenue!AR10)</f>
        <v>12478.109</v>
      </c>
      <c r="E28" s="3593">
        <f>IF(Revenue!AS10=0,"",Revenue!AS10)</f>
        <v>13761</v>
      </c>
      <c r="F28" s="3593">
        <f>IF(Revenue!AT10=0,"",Revenue!AT10)</f>
        <v>14691</v>
      </c>
      <c r="G28" s="3593">
        <f>IF(Revenue!AU10=0,"",Revenue!AU10)</f>
        <v>14092</v>
      </c>
      <c r="H28" s="3593">
        <f>IF(Revenue!AV10=0,"",Revenue!AV10)</f>
        <v>15246</v>
      </c>
      <c r="I28" s="3593">
        <f>IF(Revenue!AW10=0,"",Revenue!AW10)</f>
        <v>15903</v>
      </c>
      <c r="J28" s="3593">
        <f>IF(Revenue!AX10=0,"",Revenue!AX10)</f>
        <v>17608</v>
      </c>
      <c r="K28" s="3593">
        <f>IF(Revenue!AY10=0,"",Revenue!AY10)</f>
        <v>16058</v>
      </c>
      <c r="L28" s="3593">
        <f>IF(Revenue!AZ10=0,"",Revenue!AZ10)</f>
        <v>16625</v>
      </c>
      <c r="M28" s="3593">
        <f>IF(Revenue!BA10=0,"",Revenue!BA10)</f>
        <v>17204</v>
      </c>
      <c r="N28" s="3593">
        <f>IF(Revenue!BB10=0,"",Revenue!BB10)</f>
        <v>16058</v>
      </c>
    </row>
    <row r="29" spans="2:14" ht="15">
      <c r="B29" t="s">
        <v>2136</v>
      </c>
      <c r="C29" s="3594">
        <f>IF(OR(Revenue!AQ10=0,Revenue!AM10=0),"",Revenue!AQ10/Revenue!AM10-1)</f>
        <v>0.20119075893764871</v>
      </c>
      <c r="D29" s="3594">
        <f>IF(OR(Revenue!AR10=0,Revenue!AN10=0),"",Revenue!AR10/Revenue!AN10-1)</f>
        <v>0.23593846387405315</v>
      </c>
      <c r="E29" s="3594">
        <f>IF(OR(Revenue!AS10=0,Revenue!AO10=0),"",Revenue!AS10/Revenue!AO10-1)</f>
        <v>0.23432992325534485</v>
      </c>
      <c r="F29" s="3594">
        <f>IF(OR(Revenue!AT10=0,Revenue!AP10=0),"",Revenue!AT10/Revenue!AP10-1)</f>
        <v>0.126400847098737</v>
      </c>
      <c r="G29" s="3594">
        <f>IF(OR(Revenue!AU10=0,Revenue!AQ10=0),"",Revenue!AU10/Revenue!AQ10-1)</f>
        <v>0.20569228443352183</v>
      </c>
      <c r="H29" s="3594">
        <f>IF(OR(Revenue!AV10=0,Revenue!AR10=0),"",Revenue!AV10/Revenue!AR10-1)</f>
        <v>0.22181974848913399</v>
      </c>
      <c r="I29" s="3594">
        <f>IF(OR(Revenue!AW10=0,Revenue!AS10=0),"",Revenue!AW10/Revenue!AS10-1)</f>
        <v>0.15565729234793979</v>
      </c>
      <c r="J29" s="3594">
        <f>IF(OR(Revenue!AX10=0,Revenue!AT10=0),"",Revenue!AX10/Revenue!AT10-1)</f>
        <v>0.19855693962289833</v>
      </c>
      <c r="K29" s="3594">
        <f>IF(OR(Revenue!AY10=0,Revenue!AU10=0),"",Revenue!AY10/Revenue!AU10-1)</f>
        <v>0.13951177973318196</v>
      </c>
      <c r="L29" s="3594">
        <f>IF(OR(Revenue!AZ10=0,Revenue!AV10=0),"",Revenue!AZ10/Revenue!AV10-1)</f>
        <v>9.044995408631773E-2</v>
      </c>
      <c r="M29" s="3594">
        <f>IF(OR(Revenue!BA10=0,Revenue!AW10=0),"",Revenue!BA10/Revenue!AW10-1)</f>
        <v>8.1808463811859466E-2</v>
      </c>
      <c r="N29" s="3594">
        <f>IF(OR(Revenue!BB10=0,Revenue!AX10=0),"",Revenue!BB10/Revenue!AX10-1)</f>
        <v>-8.8028169014084501E-2</v>
      </c>
    </row>
    <row r="30" spans="2:14" ht="15">
      <c r="B30" s="3591" t="s">
        <v>2137</v>
      </c>
      <c r="C30" s="3593">
        <f>IF(Revenue!AQ11=0,"",Revenue!AQ11)</f>
        <v>6844.7910000000002</v>
      </c>
      <c r="D30" s="3593">
        <f>IF(Revenue!AR11=0,"",Revenue!AR11)</f>
        <v>7357.2089999999998</v>
      </c>
      <c r="E30" s="3593">
        <f>IF(Revenue!AS11=0,"",Revenue!AS11)</f>
        <v>8315</v>
      </c>
      <c r="F30" s="3593">
        <f>IF(Revenue!AT11=0,"",Revenue!AT11)</f>
        <v>8932</v>
      </c>
      <c r="G30" s="3593">
        <f>IF(Revenue!AU11=0,"",Revenue!AU11)</f>
        <v>8471</v>
      </c>
      <c r="H30" s="3593">
        <f>IF(Revenue!AV11=0,"",Revenue!AV11)</f>
        <v>9606</v>
      </c>
      <c r="I30" s="3593">
        <f>IF(Revenue!AW11=0,"",Revenue!AW11)</f>
        <v>9887</v>
      </c>
      <c r="J30" s="3593">
        <f>IF(Revenue!AX11=0,"",Revenue!AX11)</f>
        <v>11146</v>
      </c>
      <c r="K30" s="3593">
        <f>IF(Revenue!AY11=0,"",Revenue!AY11)</f>
        <v>9769</v>
      </c>
      <c r="L30" s="3593">
        <f>IF(Revenue!AZ11=0,"",Revenue!AZ11)</f>
        <v>10359</v>
      </c>
      <c r="M30" s="3593">
        <f>IF(Revenue!BA11=0,"",Revenue!BA11)</f>
        <v>10821</v>
      </c>
      <c r="N30" s="3593">
        <f>IF(Revenue!BB11=0,"",Revenue!BB11)</f>
        <v>13526</v>
      </c>
    </row>
    <row r="31" spans="2:14" ht="15">
      <c r="B31" t="s">
        <v>2136</v>
      </c>
      <c r="C31" s="3594">
        <f>IF(OR(Revenue!AQ11=0,Revenue!AM11=0),"",Revenue!AQ11/Revenue!AM11-1)</f>
        <v>0.21337619249538031</v>
      </c>
      <c r="D31" s="3594">
        <f>IF(OR(Revenue!AR11=0,Revenue!AN11=0),"",Revenue!AR11/Revenue!AN11-1)</f>
        <v>0.28771297330902557</v>
      </c>
      <c r="E31" s="3594">
        <f>IF(OR(Revenue!AS11=0,Revenue!AO11=0),"",Revenue!AS11/Revenue!AO11-1)</f>
        <v>0.26675788135925016</v>
      </c>
      <c r="F31" s="3594">
        <f>IF(OR(Revenue!AT11=0,Revenue!AP11=0),"",Revenue!AT11/Revenue!AP11-1)</f>
        <v>0.1375202364493473</v>
      </c>
      <c r="G31" s="3594">
        <f>IF(OR(Revenue!AU11=0,Revenue!AQ11=0),"",Revenue!AU11/Revenue!AQ11-1)</f>
        <v>0.2375834411890736</v>
      </c>
      <c r="H31" s="3594">
        <f>IF(OR(Revenue!AV11=0,Revenue!AR11=0),"",Revenue!AV11/Revenue!AR11-1)</f>
        <v>0.30565816466543216</v>
      </c>
      <c r="I31" s="3594">
        <f>IF(OR(Revenue!AW11=0,Revenue!AS11=0),"",Revenue!AW11/Revenue!AS11-1)</f>
        <v>0.18905592303066743</v>
      </c>
      <c r="J31" s="3594">
        <f>IF(OR(Revenue!AX11=0,Revenue!AT11=0),"",Revenue!AX11/Revenue!AT11-1)</f>
        <v>0.24787281683833418</v>
      </c>
      <c r="K31" s="3594">
        <f>IF(OR(Revenue!AY11=0,Revenue!AU11=0),"",Revenue!AY11/Revenue!AU11-1)</f>
        <v>0.15322866249557321</v>
      </c>
      <c r="L31" s="3594">
        <f>IF(OR(Revenue!AZ11=0,Revenue!AV11=0),"",Revenue!AZ11/Revenue!AV11-1)</f>
        <v>7.8388507183010603E-2</v>
      </c>
      <c r="M31" s="3594">
        <f>IF(OR(Revenue!BA11=0,Revenue!AW11=0),"",Revenue!BA11/Revenue!AW11-1)</f>
        <v>9.4467482552847093E-2</v>
      </c>
      <c r="N31" s="3594">
        <f>IF(OR(Revenue!BB11=0,Revenue!AX11=0),"",Revenue!BB11/Revenue!AX11-1)</f>
        <v>0.21352951731562886</v>
      </c>
    </row>
    <row r="32" spans="2:14">
      <c r="B32" t="s">
        <v>2138</v>
      </c>
      <c r="C32" s="1349">
        <f>IF(Revenue!AQ12=0,"",Revenue!AQ12)</f>
        <v>5437.7910000000002</v>
      </c>
      <c r="D32" s="1349">
        <f>IF(Revenue!AR12=0,"",Revenue!AR12)</f>
        <v>5789.2089999999998</v>
      </c>
      <c r="E32" s="1349">
        <f>IF(Revenue!AS12=0,"",Revenue!AS12)</f>
        <v>6399.0000000000009</v>
      </c>
      <c r="F32" s="1349">
        <f>IF(Revenue!AT12=0,"",Revenue!AT12)</f>
        <v>6662.0000000000009</v>
      </c>
      <c r="G32" s="1349">
        <f>IF(Revenue!AU12=0,"",Revenue!AU12)</f>
        <v>6999</v>
      </c>
      <c r="H32" s="1349">
        <f>IF(Revenue!AV12=0,"",Revenue!AV12)</f>
        <v>7574</v>
      </c>
      <c r="I32" s="1349">
        <f>IF(Revenue!AW12=0,"",Revenue!AW12)</f>
        <v>8095</v>
      </c>
      <c r="J32" s="1349">
        <f>IF(Revenue!AX12=0,"",Revenue!AX12)</f>
        <v>8285</v>
      </c>
      <c r="K32" s="1349">
        <f>IF(Revenue!AY12=0,"",Revenue!AY12)</f>
        <v>8186</v>
      </c>
      <c r="L32" s="1349">
        <f>IF(Revenue!AZ12=0,"",Revenue!AZ12)</f>
        <v>8483</v>
      </c>
      <c r="M32" s="1349">
        <f>IF(Revenue!BA12=0,"",Revenue!BA12)</f>
        <v>8905</v>
      </c>
      <c r="N32" s="1349">
        <f>IF(Revenue!BB12=0,"",Revenue!BB12)</f>
        <v>9808</v>
      </c>
    </row>
    <row r="33" spans="2:14">
      <c r="B33" t="s">
        <v>2136</v>
      </c>
      <c r="C33" s="3592">
        <f>IF(OR(Revenue!AQ12=0,Revenue!AM12=0),"",Revenue!AQ12/Revenue!AM12-1)</f>
        <v>0.32262359453680478</v>
      </c>
      <c r="D33" s="3592">
        <f>IF(OR(Revenue!AR12=0,Revenue!AN12=0),"",Revenue!AR12/Revenue!AN12-1)</f>
        <v>0.28343346516742352</v>
      </c>
      <c r="E33" s="3592">
        <f>IF(OR(Revenue!AS12=0,Revenue!AO12=0),"",Revenue!AS12/Revenue!AO12-1)</f>
        <v>0.31746826206809398</v>
      </c>
      <c r="F33" s="3592">
        <f>IF(OR(Revenue!AT12=0,Revenue!AP12=0),"",Revenue!AT12/Revenue!AP12-1)</f>
        <v>0.22370220429875465</v>
      </c>
      <c r="G33" s="3592">
        <f>IF(OR(Revenue!AU12=0,Revenue!AQ12=0),"",Revenue!AU12/Revenue!AQ12-1)</f>
        <v>0.28710353156272461</v>
      </c>
      <c r="H33" s="3592">
        <f>IF(OR(Revenue!AV12=0,Revenue!AR12=0),"",Revenue!AV12/Revenue!AR12-1)</f>
        <v>0.30829617655883568</v>
      </c>
      <c r="I33" s="3592">
        <f>IF(OR(Revenue!AW12=0,Revenue!AS12=0),"",Revenue!AW12/Revenue!AS12-1)</f>
        <v>0.26504141272073745</v>
      </c>
      <c r="J33" s="3592">
        <f>IF(OR(Revenue!AX12=0,Revenue!AT12=0),"",Revenue!AX12/Revenue!AT12-1)</f>
        <v>0.24362053437406161</v>
      </c>
      <c r="K33" s="3592">
        <f>IF(OR(Revenue!AY12=0,Revenue!AU12=0),"",Revenue!AY12/Revenue!AU12-1)</f>
        <v>0.16959565652236042</v>
      </c>
      <c r="L33" s="3592">
        <f>IF(OR(Revenue!AZ12=0,Revenue!AV12=0),"",Revenue!AZ12/Revenue!AV12-1)</f>
        <v>0.12001584367573281</v>
      </c>
      <c r="M33" s="3592">
        <f>IF(OR(Revenue!BA12=0,Revenue!AW12=0),"",Revenue!BA12/Revenue!AW12-1)</f>
        <v>0.10006176652254473</v>
      </c>
      <c r="N33" s="3592">
        <f>IF(OR(Revenue!BB12=0,Revenue!AX12=0),"",Revenue!BB12/Revenue!AX12-1)</f>
        <v>0.1838261919130959</v>
      </c>
    </row>
    <row r="34" spans="2:14">
      <c r="B34" t="s">
        <v>2139</v>
      </c>
      <c r="C34" s="1349">
        <f>IF(Revenue!AQ13=0,"",Revenue!AQ13)</f>
        <v>1407</v>
      </c>
      <c r="D34" s="1349">
        <f>IF(Revenue!AR13=0,"",Revenue!AR13)</f>
        <v>1568</v>
      </c>
      <c r="E34" s="1349">
        <f>IF(Revenue!AS13=0,"",Revenue!AS13)</f>
        <v>1916</v>
      </c>
      <c r="F34" s="1349">
        <f>IF(Revenue!AT13=0,"",Revenue!AT13)</f>
        <v>2270</v>
      </c>
      <c r="G34" s="1349">
        <f>IF(Revenue!AU13=0,"",Revenue!AU13)</f>
        <v>1472</v>
      </c>
      <c r="H34" s="1349">
        <f>IF(Revenue!AV13=0,"",Revenue!AV13)</f>
        <v>2032</v>
      </c>
      <c r="I34" s="1349">
        <f>IF(Revenue!AW13=0,"",Revenue!AW13)</f>
        <v>1792</v>
      </c>
      <c r="J34" s="1349">
        <f>IF(Revenue!AX13=0,"",Revenue!AX13)</f>
        <v>2861</v>
      </c>
      <c r="K34" s="1349">
        <f>IF(Revenue!AY13=0,"",Revenue!AY13)</f>
        <v>1583</v>
      </c>
      <c r="L34" s="1349">
        <f>IF(Revenue!AZ13=0,"",Revenue!AZ13)</f>
        <v>1876</v>
      </c>
      <c r="M34" s="1349">
        <f>IF(Revenue!BA13=0,"",Revenue!BA13)</f>
        <v>1917</v>
      </c>
      <c r="N34" s="1349">
        <f>IF(Revenue!BB13=0,"",Revenue!BB13)</f>
        <v>3717</v>
      </c>
    </row>
    <row r="35" spans="2:14">
      <c r="B35" t="s">
        <v>2136</v>
      </c>
      <c r="C35" s="3592">
        <f>IF(OR(Revenue!AQ13=0,Revenue!AM13=0),"",Revenue!AQ13/Revenue!AM13-1)</f>
        <v>-8.0238863339968325E-2</v>
      </c>
      <c r="D35" s="3592">
        <f>IF(OR(Revenue!AR13=0,Revenue!AN13=0),"",Revenue!AR13/Revenue!AN13-1)</f>
        <v>0.30376361967352694</v>
      </c>
      <c r="E35" s="3592">
        <f>IF(OR(Revenue!AS13=0,Revenue!AO13=0),"",Revenue!AS13/Revenue!AO13-1)</f>
        <v>0.12246464177794647</v>
      </c>
      <c r="F35" s="3592">
        <f>IF(OR(Revenue!AT13=0,Revenue!AP13=0),"",Revenue!AT13/Revenue!AP13-1)</f>
        <v>-5.7321888861157744E-2</v>
      </c>
      <c r="G35" s="3592">
        <f>IF(OR(Revenue!AU13=0,Revenue!AQ13=0),"",Revenue!AU13/Revenue!AQ13-1)</f>
        <v>4.6197583511016438E-2</v>
      </c>
      <c r="H35" s="3592">
        <f>IF(OR(Revenue!AV13=0,Revenue!AR13=0),"",Revenue!AV13/Revenue!AR13-1)</f>
        <v>0.29591836734693877</v>
      </c>
      <c r="I35" s="3592">
        <f>IF(OR(Revenue!AW13=0,Revenue!AS13=0),"",Revenue!AW13/Revenue!AS13-1)</f>
        <v>-6.4718162839248472E-2</v>
      </c>
      <c r="J35" s="3592">
        <f>IF(OR(Revenue!AX13=0,Revenue!AT13=0),"",Revenue!AX13/Revenue!AT13-1)</f>
        <v>0.26035242290748895</v>
      </c>
      <c r="K35" s="3592">
        <f>IF(OR(Revenue!AY13=0,Revenue!AU13=0),"",Revenue!AY13/Revenue!AU13-1)</f>
        <v>7.5407608695652106E-2</v>
      </c>
      <c r="L35" s="3592">
        <f>IF(OR(Revenue!AZ13=0,Revenue!AV13=0),"",Revenue!AZ13/Revenue!AV13-1)</f>
        <v>-7.6771653543307061E-2</v>
      </c>
      <c r="M35" s="3592">
        <f>IF(OR(Revenue!BA13=0,Revenue!AW13=0),"",Revenue!BA13/Revenue!AW13-1)</f>
        <v>6.9754464285714191E-2</v>
      </c>
      <c r="N35" s="3592">
        <f>IF(OR(Revenue!BB13=0,Revenue!AX13=0),"",Revenue!BB13/Revenue!AX13-1)</f>
        <v>0.29919608528486541</v>
      </c>
    </row>
    <row r="36" spans="2:14">
      <c r="B36" t="s">
        <v>895</v>
      </c>
      <c r="C36" s="1349">
        <f>IF(Revenue!AQ14=0,"",Revenue!AQ14)</f>
        <v>3790.2240000000002</v>
      </c>
      <c r="D36" s="1349">
        <f>IF(Revenue!AR14=0,"",Revenue!AR14)</f>
        <v>3891.7759999999998</v>
      </c>
      <c r="E36" s="1349">
        <f>IF(Revenue!AS14=0,"",Revenue!AS14)</f>
        <v>4008</v>
      </c>
      <c r="F36" s="1349">
        <f>IF(Revenue!AT14=0,"",Revenue!AT14)</f>
        <v>4116</v>
      </c>
      <c r="G36" s="1349">
        <f>IF(Revenue!AU14=0,"",Revenue!AU14)</f>
        <v>4012</v>
      </c>
      <c r="H36" s="1349">
        <f>IF(Revenue!AV14=0,"",Revenue!AV14)</f>
        <v>4232</v>
      </c>
      <c r="I36" s="1349">
        <f>IF(Revenue!AW14=0,"",Revenue!AW14)</f>
        <v>4556</v>
      </c>
      <c r="J36" s="1349">
        <f>IF(Revenue!AX14=0,"",Revenue!AX14)</f>
        <v>4810</v>
      </c>
      <c r="K36" s="1349">
        <f>IF(Revenue!AY14=0,"",Revenue!AY14)</f>
        <v>4582</v>
      </c>
      <c r="L36" s="1349">
        <f>IF(Revenue!AZ14=0,"",Revenue!AZ14)</f>
        <v>4775</v>
      </c>
      <c r="M36" s="1349">
        <f>IF(Revenue!BA14=0,"",Revenue!BA14)</f>
        <v>4930</v>
      </c>
      <c r="N36" s="1349">
        <f>IF(Revenue!BB14=0,"",Revenue!BB14)</f>
        <v>5220</v>
      </c>
    </row>
    <row r="37" spans="2:14">
      <c r="B37" t="s">
        <v>2136</v>
      </c>
      <c r="C37" s="3592">
        <f>IF(OR(Revenue!AQ14=0,Revenue!AM14=0),"",Revenue!AQ14/Revenue!AM14-1)</f>
        <v>9.1928932591633927E-2</v>
      </c>
      <c r="D37" s="3592">
        <f>IF(OR(Revenue!AR14=0,Revenue!AN14=0),"",Revenue!AR14/Revenue!AN14-1)</f>
        <v>7.9388429687885731E-2</v>
      </c>
      <c r="E37" s="3592">
        <f>IF(OR(Revenue!AS14=0,Revenue!AO14=0),"",Revenue!AS14/Revenue!AO14-1)</f>
        <v>7.4359740030675914E-2</v>
      </c>
      <c r="F37" s="3592">
        <f>IF(OR(Revenue!AT14=0,Revenue!AP14=0),"",Revenue!AT14/Revenue!AP14-1)</f>
        <v>4.9360211503700846E-2</v>
      </c>
      <c r="G37" s="3592">
        <f>IF(OR(Revenue!AU14=0,Revenue!AQ14=0),"",Revenue!AU14/Revenue!AQ14-1)</f>
        <v>5.8512636720151612E-2</v>
      </c>
      <c r="H37" s="3592">
        <f>IF(OR(Revenue!AV14=0,Revenue!AR14=0),"",Revenue!AV14/Revenue!AR14-1)</f>
        <v>8.7421269877814289E-2</v>
      </c>
      <c r="I37" s="3592">
        <f>IF(OR(Revenue!AW14=0,Revenue!AS14=0),"",Revenue!AW14/Revenue!AS14-1)</f>
        <v>0.13672654690618757</v>
      </c>
      <c r="J37" s="3592">
        <f>IF(OR(Revenue!AX14=0,Revenue!AT14=0),"",Revenue!AX14/Revenue!AT14-1)</f>
        <v>0.16861030126336241</v>
      </c>
      <c r="K37" s="3592">
        <f>IF(OR(Revenue!AY14=0,Revenue!AU14=0),"",Revenue!AY14/Revenue!AU14-1)</f>
        <v>0.14207377866400805</v>
      </c>
      <c r="L37" s="3592">
        <f>IF(OR(Revenue!AZ14=0,Revenue!AV14=0),"",Revenue!AZ14/Revenue!AV14-1)</f>
        <v>0.12830812854442342</v>
      </c>
      <c r="M37" s="3592">
        <f>IF(OR(Revenue!BA14=0,Revenue!AW14=0),"",Revenue!BA14/Revenue!AW14-1)</f>
        <v>8.2089552238805874E-2</v>
      </c>
      <c r="N37" s="3592">
        <f>IF(OR(Revenue!BB14=0,Revenue!AX14=0),"",Revenue!BB14/Revenue!AX14-1)</f>
        <v>8.5239085239085188E-2</v>
      </c>
    </row>
    <row r="38" spans="2:14">
      <c r="B38" t="s">
        <v>2140</v>
      </c>
      <c r="C38" s="1349">
        <f>IF(Revenue!AQ17=0,"",Revenue!AQ17)</f>
        <v>1052.876</v>
      </c>
      <c r="D38" s="1349">
        <f>IF(Revenue!AR17=0,"",Revenue!AR17)</f>
        <v>1228.124</v>
      </c>
      <c r="E38" s="1349">
        <f>IF(Revenue!AS17=0,"",Revenue!AS17)</f>
        <v>1439.0000000000002</v>
      </c>
      <c r="F38" s="1349">
        <f>IF(Revenue!AT17=0,"",Revenue!AT17)</f>
        <v>1643.0000000000002</v>
      </c>
      <c r="G38" s="1349">
        <f>IF(Revenue!AU17=0,"",Revenue!AU17)</f>
        <v>1609</v>
      </c>
      <c r="H38" s="1349">
        <f>IF(Revenue!AV17=0,"",Revenue!AV17)</f>
        <v>1408</v>
      </c>
      <c r="I38" s="1349">
        <f>IF(Revenue!AW17=0,"",Revenue!AW17)</f>
        <v>1460</v>
      </c>
      <c r="J38" s="1349">
        <f>IF(Revenue!AX17=0,"",Revenue!AX17)</f>
        <v>1652</v>
      </c>
      <c r="K38" s="1349">
        <f>IF(Revenue!AY17=0,"",Revenue!AY17)</f>
        <v>1707</v>
      </c>
      <c r="L38" s="1349">
        <f>IF(Revenue!AZ17=0,"",Revenue!AZ17)</f>
        <v>1491</v>
      </c>
      <c r="M38" s="1349">
        <f>IF(Revenue!BA17=0,"",Revenue!BA17)</f>
        <v>1453</v>
      </c>
      <c r="N38" s="1349">
        <f>IF(Revenue!BB17=0,"",Revenue!BB17)</f>
        <v>1481</v>
      </c>
    </row>
    <row r="39" spans="2:14">
      <c r="B39" t="s">
        <v>2136</v>
      </c>
      <c r="C39" s="3592">
        <f>IF(OR(Revenue!AQ17=0,Revenue!AM17=0),"",Revenue!AQ17/Revenue!AM17-1)</f>
        <v>0.70364192633191491</v>
      </c>
      <c r="D39" s="3592">
        <f>IF(OR(Revenue!AR17=0,Revenue!AN17=0),"",Revenue!AR17/Revenue!AN17-1)</f>
        <v>0.58033257788855042</v>
      </c>
      <c r="E39" s="3592">
        <f>IF(OR(Revenue!AS17=0,Revenue!AO17=0),"",Revenue!AS17/Revenue!AO17-1)</f>
        <v>0.68508270337334509</v>
      </c>
      <c r="F39" s="3592">
        <f>IF(OR(Revenue!AT17=0,Revenue!AP17=0),"",Revenue!AT17/Revenue!AP17-1)</f>
        <v>0.29587594976477405</v>
      </c>
      <c r="G39" s="3592">
        <f>IF(OR(Revenue!AU17=0,Revenue!AQ17=0),"",Revenue!AU17/Revenue!AQ17-1)</f>
        <v>0.52819515308545362</v>
      </c>
      <c r="H39" s="3592">
        <f>IF(OR(Revenue!AV17=0,Revenue!AR17=0),"",Revenue!AV17/Revenue!AR17-1)</f>
        <v>0.1464640378333133</v>
      </c>
      <c r="I39" s="3592">
        <f>IF(OR(Revenue!AW17=0,Revenue!AS17=0),"",Revenue!AW17/Revenue!AS17-1)</f>
        <v>1.4593467685892758E-2</v>
      </c>
      <c r="J39" s="3592">
        <f>IF(OR(Revenue!AX17=0,Revenue!AT17=0),"",Revenue!AX17/Revenue!AT17-1)</f>
        <v>5.4777845404745396E-3</v>
      </c>
      <c r="K39" s="3592">
        <f>IF(OR(Revenue!AY17=0,Revenue!AU17=0),"",Revenue!AY17/Revenue!AU17-1)</f>
        <v>6.0907395898073258E-2</v>
      </c>
      <c r="L39" s="3592">
        <f>IF(OR(Revenue!AZ17=0,Revenue!AV17=0),"",Revenue!AZ17/Revenue!AV17-1)</f>
        <v>5.8948863636363535E-2</v>
      </c>
      <c r="M39" s="3592">
        <f>IF(OR(Revenue!BA17=0,Revenue!AW17=0),"",Revenue!BA17/Revenue!AW17-1)</f>
        <v>-4.794520547945158E-3</v>
      </c>
      <c r="N39" s="3592">
        <f>IF(OR(Revenue!BB17=0,Revenue!AX17=0),"",Revenue!BB17/Revenue!AX17-1)</f>
        <v>-0.10351089588377727</v>
      </c>
    </row>
    <row r="40" spans="2:14">
      <c r="B40" t="s">
        <v>148</v>
      </c>
      <c r="C40" s="1349">
        <f>IF(Revenue!AQ7=0,"",Revenue!AQ7)</f>
        <v>4567.8790006939998</v>
      </c>
      <c r="D40" s="1349">
        <f>IF(Revenue!AR7=0,"",Revenue!AR7)</f>
        <v>4633.8243070369999</v>
      </c>
      <c r="E40" s="1349">
        <f>IF(Revenue!AS7=0,"",Revenue!AS7)</f>
        <v>5496.3689670160002</v>
      </c>
      <c r="F40" s="1349">
        <f>IF(Revenue!AT7=0,"",Revenue!AT7)</f>
        <v>5631.8635601610004</v>
      </c>
      <c r="G40" s="1349">
        <f>IF(Revenue!AU7=0,"",Revenue!AU7)</f>
        <v>5510.4656800869998</v>
      </c>
      <c r="H40" s="1349">
        <f>IF(Revenue!AV7=0,"",Revenue!AV7)</f>
        <v>5651.3573228980003</v>
      </c>
      <c r="I40" s="1349">
        <f>IF(Revenue!AW7=0,"",Revenue!AW7)</f>
        <v>6158.9556644060003</v>
      </c>
      <c r="J40" s="1349">
        <f>IF(Revenue!AX7=0,"",Revenue!AX7)</f>
        <v>6377.57</v>
      </c>
      <c r="K40" s="1349">
        <f>IF(Revenue!AY7=0,"",Revenue!AY7)</f>
        <v>6301.3479042660001</v>
      </c>
      <c r="L40" s="1349">
        <f>IF(Revenue!AZ7=0,"",Revenue!AZ7)</f>
        <v>6021.0400429749998</v>
      </c>
      <c r="M40" s="1349">
        <f>IF(Revenue!BA7=0,"",Revenue!BA7)</f>
        <v>6518.8664790100001</v>
      </c>
      <c r="N40" s="1349">
        <f>IF(Revenue!BB7=0,"",Revenue!BB7)</f>
        <v>7047.2750861619998</v>
      </c>
    </row>
    <row r="41" spans="2:14">
      <c r="B41" t="s">
        <v>2136</v>
      </c>
      <c r="C41" s="3592">
        <f>IF(OR(Revenue!AQ7=0,Revenue!AM7=0),"",Revenue!AQ7/Revenue!AM7-1)</f>
        <v>0.15545351937335883</v>
      </c>
      <c r="D41" s="3592">
        <f>IF(OR(Revenue!AR7=0,Revenue!AN7=0),"",Revenue!AR7/Revenue!AN7-1)</f>
        <v>0.20588085366565245</v>
      </c>
      <c r="E41" s="3592">
        <f>IF(OR(Revenue!AS7=0,Revenue!AO7=0),"",Revenue!AS7/Revenue!AO7-1)</f>
        <v>0.26078380685553104</v>
      </c>
      <c r="F41" s="3592">
        <f>IF(OR(Revenue!AT7=0,Revenue!AP7=0),"",Revenue!AT7/Revenue!AP7-1)</f>
        <v>7.452191816029119E-2</v>
      </c>
      <c r="G41" s="3592">
        <f>IF(OR(Revenue!AU7=0,Revenue!AQ7=0),"",Revenue!AU7/Revenue!AQ7-1)</f>
        <v>0.20635106123647162</v>
      </c>
      <c r="H41" s="3592">
        <f>IF(OR(Revenue!AV7=0,Revenue!AR7=0),"",Revenue!AV7/Revenue!AR7-1)</f>
        <v>0.21958817349111803</v>
      </c>
      <c r="I41" s="3592">
        <f>IF(OR(Revenue!AW7=0,Revenue!AS7=0),"",Revenue!AW7/Revenue!AS7-1)</f>
        <v>0.12054989418763884</v>
      </c>
      <c r="J41" s="3592">
        <f>IF(OR(Revenue!AX7=0,Revenue!AT7=0),"",Revenue!AX7/Revenue!AT7-1)</f>
        <v>0.13240847045976412</v>
      </c>
      <c r="K41" s="3592">
        <f>IF(OR(Revenue!AY7=0,Revenue!AU7=0),"",Revenue!AY7/Revenue!AU7-1)</f>
        <v>0.14352366389595472</v>
      </c>
      <c r="L41" s="3592">
        <f>IF(OR(Revenue!AZ7=0,Revenue!AV7=0),"",Revenue!AZ7/Revenue!AV7-1)</f>
        <v>6.541485504360689E-2</v>
      </c>
      <c r="M41" s="3592">
        <f>IF(OR(Revenue!BA7=0,Revenue!AW7=0),"",Revenue!BA7/Revenue!AW7-1)</f>
        <v>5.8436987407460395E-2</v>
      </c>
      <c r="N41" s="3592">
        <f>IF(OR(Revenue!BB7=0,Revenue!AX7=0),"",Revenue!BB7/Revenue!AX7-1)</f>
        <v>0.1050094450020933</v>
      </c>
    </row>
    <row r="42" spans="2:14" ht="15">
      <c r="B42" s="3591" t="s">
        <v>2141</v>
      </c>
      <c r="C42" s="3593">
        <f>IF(Revenue!AQ115=0,"",Revenue!AQ115)</f>
        <v>2120.643</v>
      </c>
      <c r="D42" s="3593">
        <f>IF(Revenue!AR115=0,"",Revenue!AR115)</f>
        <v>2218.357</v>
      </c>
      <c r="E42" s="3593">
        <f>IF(Revenue!AS115=0,"",Revenue!AS115)</f>
        <v>2429</v>
      </c>
      <c r="F42" s="3593">
        <f>IF(Revenue!AT115=0,"",Revenue!AT115)</f>
        <v>2435</v>
      </c>
      <c r="G42" s="3593">
        <f>IF(Revenue!AU115=0,"",Revenue!AU115)</f>
        <v>2534</v>
      </c>
      <c r="H42" s="3593">
        <f>IF(Revenue!AV115=0,"",Revenue!AV115)</f>
        <v>2663</v>
      </c>
      <c r="I42" s="3593">
        <f>IF(Revenue!AW115=0,"",Revenue!AW115)</f>
        <v>2914</v>
      </c>
      <c r="J42" s="3593">
        <f>IF(Revenue!AX115=0,"",Revenue!AX115)</f>
        <v>2960</v>
      </c>
      <c r="K42" s="3593">
        <f>IF(Revenue!AY115=0,"",Revenue!AY115)</f>
        <v>3025</v>
      </c>
      <c r="L42" s="3593">
        <f>IF(Revenue!AZ115=0,"",Revenue!AZ115)</f>
        <v>3141</v>
      </c>
      <c r="M42" s="3593">
        <f>IF(Revenue!BA115=0,"",Revenue!BA115)</f>
        <v>3374</v>
      </c>
      <c r="N42" s="3593">
        <f>IF(Revenue!BB115=0,"",Revenue!BB115)</f>
        <v>3499</v>
      </c>
    </row>
    <row r="43" spans="2:14" ht="15">
      <c r="B43" t="s">
        <v>2136</v>
      </c>
      <c r="C43" s="3594">
        <f>IF(OR(Revenue!AQ115=0,Revenue!AM115=0),"",Revenue!AQ115/Revenue!AM115-1)</f>
        <v>0.19201009908613398</v>
      </c>
      <c r="D43" s="3594">
        <f>IF(OR(Revenue!AR115=0,Revenue!AN115=0),"",Revenue!AR115/Revenue!AN115-1)</f>
        <v>0.19404872102469506</v>
      </c>
      <c r="E43" s="3594">
        <f>IF(OR(Revenue!AS115=0,Revenue!AO115=0),"",Revenue!AS115/Revenue!AO115-1)</f>
        <v>0.19771709701808637</v>
      </c>
      <c r="F43" s="3594">
        <f>IF(OR(Revenue!AT115=0,Revenue!AP115=0),"",Revenue!AT115/Revenue!AP115-1)</f>
        <v>0.22421566092845358</v>
      </c>
      <c r="G43" s="3594">
        <f>IF(OR(Revenue!AU115=0,Revenue!AQ115=0),"",Revenue!AU115/Revenue!AQ115-1)</f>
        <v>0.19492059719622779</v>
      </c>
      <c r="H43" s="3594">
        <f>IF(OR(Revenue!AV115=0,Revenue!AR115=0),"",Revenue!AV115/Revenue!AR115-1)</f>
        <v>0.20043798180365013</v>
      </c>
      <c r="I43" s="3594">
        <f>IF(OR(Revenue!AW115=0,Revenue!AS115=0),"",Revenue!AW115/Revenue!AS115-1)</f>
        <v>0.19967064635652543</v>
      </c>
      <c r="J43" s="3594">
        <f>IF(OR(Revenue!AX115=0,Revenue!AT115=0),"",Revenue!AX115/Revenue!AT115-1)</f>
        <v>0.21560574948665301</v>
      </c>
      <c r="K43" s="3594">
        <f>IF(OR(Revenue!AY115=0,Revenue!AU115=0),"",Revenue!AY115/Revenue!AU115-1)</f>
        <v>0.19376479873717445</v>
      </c>
      <c r="L43" s="3594">
        <f>IF(OR(Revenue!AZ115=0,Revenue!AV115=0),"",Revenue!AZ115/Revenue!AV115-1)</f>
        <v>0.17949680811115276</v>
      </c>
      <c r="M43" s="3594">
        <f>IF(OR(Revenue!BA115=0,Revenue!AW115=0),"",Revenue!BA115/Revenue!AW115-1)</f>
        <v>0.15785861358956765</v>
      </c>
      <c r="N43" s="3594">
        <f>IF(OR(Revenue!BB115=0,Revenue!AX115=0),"",Revenue!BB115/Revenue!AX115-1)</f>
        <v>0.18209459459459465</v>
      </c>
    </row>
    <row r="45" spans="2:14" ht="15">
      <c r="B45" s="3591" t="s">
        <v>2145</v>
      </c>
    </row>
    <row r="46" spans="2:14" ht="15">
      <c r="B46" s="3591" t="s">
        <v>2134</v>
      </c>
      <c r="C46" s="3591" t="s">
        <v>2090</v>
      </c>
      <c r="D46" s="3591" t="s">
        <v>2146</v>
      </c>
      <c r="E46" s="3591" t="s">
        <v>2147</v>
      </c>
      <c r="F46" s="3591" t="s">
        <v>2148</v>
      </c>
    </row>
    <row r="47" spans="2:14" ht="15">
      <c r="B47" s="3591" t="s">
        <v>813</v>
      </c>
      <c r="C47" s="3593">
        <f>Revenue!BC3</f>
        <v>12480</v>
      </c>
      <c r="D47" s="3593">
        <f>Revenue!BQ10</f>
        <v>13789</v>
      </c>
      <c r="E47" s="3593">
        <f>Revenue!BP10</f>
        <v>26269</v>
      </c>
      <c r="F47" s="3594">
        <v>0.126</v>
      </c>
    </row>
    <row r="48" spans="2:14" ht="15">
      <c r="B48" s="3591" t="s">
        <v>2137</v>
      </c>
      <c r="C48" s="3593">
        <f>Revenue!BC11</f>
        <v>10842</v>
      </c>
      <c r="D48" s="3593">
        <f>Revenue!BQ11</f>
        <v>12296</v>
      </c>
      <c r="E48" s="3593">
        <f>Revenue!BP11</f>
        <v>23138</v>
      </c>
      <c r="F48" s="3594">
        <v>0.15</v>
      </c>
    </row>
    <row r="49" spans="2:6">
      <c r="B49" t="s">
        <v>2138</v>
      </c>
      <c r="C49" s="1349" t="s">
        <v>2077</v>
      </c>
      <c r="D49" s="1349" t="s">
        <v>2077</v>
      </c>
      <c r="E49" s="1349">
        <f>Revenue!BP12</f>
        <v>18902</v>
      </c>
      <c r="F49" s="3592">
        <v>0.13400000000000001</v>
      </c>
    </row>
    <row r="50" spans="2:6">
      <c r="B50" t="s">
        <v>2139</v>
      </c>
      <c r="C50" s="1349" t="s">
        <v>2077</v>
      </c>
      <c r="D50" s="1349" t="s">
        <v>2077</v>
      </c>
      <c r="E50" s="1349">
        <f>Revenue!BP13</f>
        <v>4236</v>
      </c>
      <c r="F50" s="3592">
        <v>0.22500000000000001</v>
      </c>
    </row>
    <row r="51" spans="2:6">
      <c r="B51" t="s">
        <v>2140</v>
      </c>
      <c r="C51" s="1349">
        <f>Revenue!BC17</f>
        <v>1638</v>
      </c>
      <c r="D51" s="1349">
        <f>Revenue!BQ17</f>
        <v>1493</v>
      </c>
      <c r="E51" s="1349">
        <f>Revenue!BP17</f>
        <v>3131</v>
      </c>
      <c r="F51" s="3592">
        <v>-2.1000000000000001E-2</v>
      </c>
    </row>
    <row r="52" spans="2:6" ht="15">
      <c r="B52" s="3591" t="s">
        <v>2141</v>
      </c>
      <c r="C52" s="3593">
        <f>Revenue!BC115</f>
        <v>2804</v>
      </c>
      <c r="D52" s="3593">
        <f>Revenue!BQ115</f>
        <v>2910</v>
      </c>
      <c r="E52" s="3593">
        <f>Revenue!BP115</f>
        <v>5714</v>
      </c>
      <c r="F52" s="3594">
        <v>0.18099999999999999</v>
      </c>
    </row>
    <row r="53" spans="2:6">
      <c r="B53" t="s">
        <v>2149</v>
      </c>
      <c r="C53" s="1349">
        <f>Revenue!BC116</f>
        <v>1566</v>
      </c>
      <c r="D53" s="1349">
        <f>Revenue!BQ116</f>
        <v>1748</v>
      </c>
      <c r="E53" s="1349">
        <f>Revenue!BP116</f>
        <v>3314</v>
      </c>
      <c r="F53" s="3592">
        <v>0.16900000000000001</v>
      </c>
    </row>
    <row r="54" spans="2:6">
      <c r="B54" t="s">
        <v>2150</v>
      </c>
      <c r="C54" s="1349" t="s">
        <v>2077</v>
      </c>
      <c r="D54" s="1349" t="s">
        <v>2077</v>
      </c>
      <c r="E54" s="1349">
        <f>Revenue!BP118</f>
        <v>308</v>
      </c>
      <c r="F54" s="3592">
        <v>1.0049999999999999</v>
      </c>
    </row>
    <row r="55" spans="2:6">
      <c r="B55" t="s">
        <v>2151</v>
      </c>
      <c r="C55" s="1349">
        <f>Revenue!BC122</f>
        <v>1238</v>
      </c>
      <c r="D55" s="1349">
        <f>Revenue!BQ122</f>
        <v>1162</v>
      </c>
      <c r="E55" s="1349">
        <f>Revenue!BP122</f>
        <v>2400</v>
      </c>
      <c r="F55" s="3592">
        <v>0.19800000000000001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ACBCF-730E-4FBE-968D-D7345F33A039}">
  <sheetPr>
    <tabColor rgb="FFFFC000"/>
  </sheetPr>
  <dimension ref="A1:S111"/>
  <sheetViews>
    <sheetView showGridLines="0" zoomScale="175" zoomScaleNormal="175" workbookViewId="0">
      <pane xSplit="1" ySplit="1" topLeftCell="B4" activePane="bottomRight" state="frozen"/>
      <selection activeCell="J46" sqref="J46"/>
      <selection pane="topRight"/>
      <selection pane="bottomLeft"/>
      <selection pane="bottomRight" activeCell="I11" sqref="I11"/>
    </sheetView>
  </sheetViews>
  <sheetFormatPr defaultRowHeight="12.75"/>
  <cols>
    <col min="1" max="1" width="2.140625" style="2879" customWidth="1"/>
    <col min="2" max="2" width="1" style="2879" customWidth="1"/>
    <col min="3" max="3" width="28.85546875" style="2879" customWidth="1"/>
    <col min="4" max="4" width="10.42578125" style="2879" customWidth="1"/>
    <col min="5" max="5" width="9.140625" style="2879"/>
    <col min="6" max="6" width="9.42578125" style="2879" customWidth="1"/>
    <col min="7" max="7" width="9.140625" style="2879" hidden="1" customWidth="1"/>
    <col min="8" max="10" width="9.140625" style="2879" bestFit="1" customWidth="1"/>
    <col min="11" max="13" width="9.140625" style="2879"/>
    <col min="14" max="14" width="11.28515625" style="2879" bestFit="1" customWidth="1"/>
    <col min="15" max="16384" width="9.140625" style="2879"/>
  </cols>
  <sheetData>
    <row r="1" spans="1:19" ht="27">
      <c r="A1" s="2876"/>
      <c r="B1" s="2877" t="s">
        <v>1670</v>
      </c>
      <c r="C1" s="2878"/>
      <c r="D1" s="2878"/>
      <c r="E1" s="2878"/>
      <c r="F1" s="2878"/>
      <c r="G1" s="2878"/>
      <c r="H1" s="2878"/>
      <c r="I1" s="2878"/>
      <c r="J1" s="2878"/>
    </row>
    <row r="2" spans="1:19" ht="21">
      <c r="A2" s="2876"/>
      <c r="B2" s="2880" t="s">
        <v>1842</v>
      </c>
      <c r="C2" s="2878"/>
      <c r="D2" s="2878"/>
      <c r="E2" s="2878"/>
      <c r="F2" s="2878"/>
      <c r="G2" s="2878"/>
      <c r="H2" s="2878"/>
      <c r="I2" s="2878"/>
      <c r="J2" s="2878"/>
    </row>
    <row r="3" spans="1:19" ht="13.5" thickBot="1">
      <c r="A3" s="2876"/>
      <c r="B3" s="2881"/>
      <c r="C3" s="2881"/>
      <c r="D3" s="2881"/>
      <c r="E3" s="2881"/>
      <c r="F3" s="2881"/>
      <c r="G3" s="2881"/>
      <c r="H3" s="2881"/>
      <c r="I3" s="2881"/>
      <c r="J3" s="2881"/>
    </row>
    <row r="4" spans="1:19">
      <c r="A4" s="2876"/>
      <c r="B4" s="2876"/>
      <c r="C4" s="2876"/>
      <c r="D4" s="2876"/>
      <c r="E4" s="2876"/>
      <c r="F4" s="2876"/>
      <c r="G4" s="2876"/>
      <c r="H4" s="2876"/>
      <c r="I4" s="2876"/>
      <c r="J4" s="2876"/>
    </row>
    <row r="5" spans="1:19">
      <c r="A5" s="2876"/>
      <c r="B5" s="2882" t="s">
        <v>1834</v>
      </c>
      <c r="C5" s="2876"/>
      <c r="D5" s="2876"/>
      <c r="E5" s="2883">
        <v>1</v>
      </c>
      <c r="F5" s="2876"/>
      <c r="G5" s="2876"/>
      <c r="H5" s="2876"/>
      <c r="I5" s="2876"/>
      <c r="J5" s="2876"/>
    </row>
    <row r="6" spans="1:19" s="2886" customFormat="1">
      <c r="A6" s="2882"/>
      <c r="B6" s="2882"/>
      <c r="C6" s="2882"/>
      <c r="D6" s="2884"/>
      <c r="E6" s="2882"/>
      <c r="F6" s="2882"/>
      <c r="G6" s="2885">
        <v>2025</v>
      </c>
      <c r="H6" s="3422" t="s">
        <v>263</v>
      </c>
      <c r="I6" s="3422" t="s">
        <v>812</v>
      </c>
      <c r="J6" s="3422" t="s">
        <v>948</v>
      </c>
      <c r="M6" s="2915" t="s">
        <v>1862</v>
      </c>
      <c r="N6" s="2915" t="s">
        <v>1863</v>
      </c>
      <c r="O6" s="2915" t="s">
        <v>1864</v>
      </c>
      <c r="P6" s="2915" t="s">
        <v>1865</v>
      </c>
      <c r="Q6" s="2915" t="s">
        <v>1866</v>
      </c>
      <c r="R6" s="2915" t="s">
        <v>1867</v>
      </c>
    </row>
    <row r="7" spans="1:19" s="2889" customFormat="1" ht="15">
      <c r="A7" s="2882">
        <v>1</v>
      </c>
      <c r="B7" s="2888" t="s">
        <v>1841</v>
      </c>
      <c r="C7" s="2887"/>
      <c r="D7" s="2887"/>
      <c r="E7" s="2887"/>
      <c r="F7" s="2887"/>
      <c r="G7" s="2887"/>
      <c r="H7" s="2887"/>
      <c r="I7" s="2887"/>
      <c r="J7" s="2887"/>
      <c r="M7" s="2879"/>
      <c r="N7" s="2879"/>
      <c r="O7" s="2879"/>
      <c r="P7" s="2879"/>
      <c r="Q7" s="2879"/>
      <c r="R7" s="2879"/>
    </row>
    <row r="8" spans="1:19" ht="3" customHeight="1"/>
    <row r="9" spans="1:19" s="2886" customFormat="1">
      <c r="A9" s="2882"/>
      <c r="B9" s="2882" t="s">
        <v>1838</v>
      </c>
      <c r="C9" s="2882"/>
      <c r="D9" s="2882"/>
      <c r="E9" s="2882"/>
      <c r="F9" s="2882"/>
      <c r="G9" s="2890">
        <f ca="1">OFFSET(G10,$E$5,0)</f>
        <v>-3.2307046166746289E-5</v>
      </c>
      <c r="H9" s="2890">
        <f t="shared" ref="H9:J9" ca="1" si="0">OFFSET(H10,$E$5,0)</f>
        <v>0.14668042169526019</v>
      </c>
      <c r="I9" s="2890">
        <f t="shared" ca="1" si="0"/>
        <v>0.16651158062367233</v>
      </c>
      <c r="J9" s="2890">
        <f t="shared" ca="1" si="0"/>
        <v>0.17659110654181842</v>
      </c>
    </row>
    <row r="10" spans="1:19" ht="3" customHeight="1">
      <c r="A10" s="2876"/>
      <c r="B10" s="2876"/>
      <c r="C10" s="2876"/>
      <c r="D10" s="2876"/>
      <c r="E10" s="2876"/>
      <c r="F10" s="2876"/>
      <c r="G10" s="2876"/>
      <c r="H10" s="2876"/>
      <c r="I10" s="2876"/>
      <c r="J10" s="2876"/>
    </row>
    <row r="11" spans="1:19">
      <c r="A11" s="2876"/>
      <c r="B11" s="2876"/>
      <c r="C11" s="2876" t="s">
        <v>1953</v>
      </c>
      <c r="D11" s="2876"/>
      <c r="E11" s="2876"/>
      <c r="F11" s="2876"/>
      <c r="G11" s="2891">
        <f>Revenue!N169</f>
        <v>-3.2307046166746289E-5</v>
      </c>
      <c r="H11" s="2891">
        <f>Revenue!J169</f>
        <v>0.14668042169526019</v>
      </c>
      <c r="I11" s="2891">
        <f ca="1">Revenue!K169</f>
        <v>0.16651158062367233</v>
      </c>
      <c r="J11" s="2891">
        <f ca="1">Revenue!L169</f>
        <v>0.17659110654181842</v>
      </c>
      <c r="L11" s="2901"/>
      <c r="M11" s="2916" t="s">
        <v>1868</v>
      </c>
      <c r="N11" s="2916" t="s">
        <v>1869</v>
      </c>
      <c r="O11" s="2916" t="s">
        <v>1870</v>
      </c>
      <c r="P11" s="2916" t="s">
        <v>1871</v>
      </c>
      <c r="Q11" s="2916" t="s">
        <v>1872</v>
      </c>
      <c r="R11" s="2916" t="s">
        <v>1873</v>
      </c>
      <c r="S11" s="2886"/>
    </row>
    <row r="12" spans="1:19">
      <c r="A12" s="2876"/>
      <c r="B12" s="2876"/>
      <c r="C12" s="2876" t="s">
        <v>1954</v>
      </c>
      <c r="D12" s="2876"/>
      <c r="E12" s="2876"/>
      <c r="F12" s="2876"/>
      <c r="G12" s="2891">
        <v>0.18</v>
      </c>
      <c r="H12" s="2891">
        <v>0.22</v>
      </c>
      <c r="I12" s="2891">
        <v>0.20100000000000001</v>
      </c>
      <c r="J12" s="2891">
        <v>0.19600000000000001</v>
      </c>
      <c r="M12" s="2916" t="s">
        <v>1874</v>
      </c>
      <c r="N12" s="2916" t="s">
        <v>1875</v>
      </c>
      <c r="O12" s="2916" t="s">
        <v>1876</v>
      </c>
      <c r="P12" s="2916" t="s">
        <v>1877</v>
      </c>
      <c r="Q12" s="2916" t="s">
        <v>1878</v>
      </c>
      <c r="R12" s="2916" t="s">
        <v>1879</v>
      </c>
    </row>
    <row r="13" spans="1:19">
      <c r="A13" s="2876"/>
      <c r="B13" s="2876"/>
      <c r="C13" s="2876" t="s">
        <v>1952</v>
      </c>
      <c r="D13" s="2876"/>
      <c r="E13" s="2876"/>
      <c r="F13" s="2876"/>
      <c r="G13" s="2891">
        <v>0.23</v>
      </c>
      <c r="H13" s="2891">
        <v>0.24</v>
      </c>
      <c r="I13" s="2891">
        <v>0.24199999999999999</v>
      </c>
      <c r="J13" s="2891">
        <v>0.23799999999999999</v>
      </c>
      <c r="M13" s="2916" t="s">
        <v>1880</v>
      </c>
      <c r="N13" s="2916" t="s">
        <v>1881</v>
      </c>
      <c r="O13" s="2916" t="s">
        <v>1882</v>
      </c>
      <c r="P13" s="2916" t="s">
        <v>1883</v>
      </c>
      <c r="Q13" s="2916" t="s">
        <v>1882</v>
      </c>
      <c r="R13" s="2916" t="s">
        <v>1884</v>
      </c>
    </row>
    <row r="14" spans="1:19" ht="3" customHeight="1"/>
    <row r="15" spans="1:19" s="2886" customFormat="1">
      <c r="A15" s="2882"/>
      <c r="B15" s="2882" t="s">
        <v>1836</v>
      </c>
      <c r="C15" s="2882"/>
      <c r="D15" s="2882"/>
      <c r="E15" s="2892"/>
      <c r="F15" s="2882"/>
      <c r="G15" s="2902">
        <f ca="1">OFFSET(G16,$E$5,0)</f>
        <v>0.09</v>
      </c>
      <c r="H15" s="2902">
        <f t="shared" ref="H15:J15" ca="1" si="1">OFFSET(H16,$E$5,0)</f>
        <v>0.12</v>
      </c>
      <c r="I15" s="2902">
        <f t="shared" ca="1" si="1"/>
        <v>0.12</v>
      </c>
      <c r="J15" s="2902">
        <f t="shared" ca="1" si="1"/>
        <v>0.12</v>
      </c>
    </row>
    <row r="16" spans="1:19" ht="3" customHeight="1">
      <c r="A16" s="2876"/>
      <c r="B16" s="2876"/>
      <c r="C16" s="2876"/>
      <c r="D16" s="2876"/>
      <c r="E16" s="2893"/>
      <c r="F16" s="2876"/>
      <c r="G16" s="2876"/>
      <c r="H16" s="2876"/>
      <c r="I16" s="2876"/>
      <c r="J16" s="2876"/>
    </row>
    <row r="17" spans="1:15">
      <c r="A17" s="2876"/>
      <c r="B17" s="2876"/>
      <c r="C17" s="2876" t="str">
        <f>$C$11</f>
        <v>Base case</v>
      </c>
      <c r="D17" s="2876"/>
      <c r="E17" s="2893"/>
      <c r="F17" s="2876"/>
      <c r="G17" s="2899">
        <v>0.09</v>
      </c>
      <c r="H17" s="2899">
        <v>0.126858</v>
      </c>
      <c r="I17" s="2899">
        <v>0.12</v>
      </c>
      <c r="J17" s="2899">
        <v>0.12</v>
      </c>
    </row>
    <row r="18" spans="1:15">
      <c r="A18" s="2876"/>
      <c r="B18" s="2876"/>
      <c r="C18" s="2876" t="str">
        <f>$C$12</f>
        <v>Worst case</v>
      </c>
      <c r="D18" s="2876"/>
      <c r="E18" s="2893"/>
      <c r="F18" s="2876"/>
      <c r="G18" s="2900">
        <v>0.05</v>
      </c>
      <c r="H18" s="2900">
        <v>0.11</v>
      </c>
      <c r="I18" s="2900">
        <v>0.1</v>
      </c>
      <c r="J18" s="2900">
        <v>0.1</v>
      </c>
    </row>
    <row r="19" spans="1:15">
      <c r="A19" s="2876"/>
      <c r="B19" s="2876"/>
      <c r="C19" s="2876" t="str">
        <f>$C$13</f>
        <v>Best case</v>
      </c>
      <c r="D19" s="2876"/>
      <c r="E19" s="2893"/>
      <c r="F19" s="2876"/>
      <c r="G19" s="2900">
        <v>0.12</v>
      </c>
      <c r="H19" s="2900">
        <v>0.15</v>
      </c>
      <c r="I19" s="2900">
        <v>0.14000000000000001</v>
      </c>
      <c r="J19" s="2900">
        <v>0.13</v>
      </c>
    </row>
    <row r="20" spans="1:15">
      <c r="A20" s="2876"/>
      <c r="B20" s="2876"/>
      <c r="C20" s="2876"/>
      <c r="D20" s="2876"/>
      <c r="E20" s="2893"/>
      <c r="F20" s="2876"/>
      <c r="G20" s="2894"/>
      <c r="H20" s="2894"/>
      <c r="I20" s="2894"/>
      <c r="J20" s="2894"/>
    </row>
    <row r="21" spans="1:15" s="2889" customFormat="1" ht="15">
      <c r="A21" s="2882">
        <v>2</v>
      </c>
      <c r="B21" s="2888" t="s">
        <v>1840</v>
      </c>
      <c r="C21" s="2887"/>
      <c r="D21" s="2887"/>
      <c r="E21" s="2887"/>
      <c r="F21" s="2887"/>
      <c r="G21" s="2876"/>
      <c r="H21" s="2887"/>
      <c r="I21" s="2887"/>
      <c r="J21" s="2887"/>
    </row>
    <row r="22" spans="1:15">
      <c r="A22" s="2876"/>
      <c r="B22" s="2882" t="s">
        <v>1839</v>
      </c>
      <c r="C22" s="2882"/>
      <c r="D22" s="2882"/>
      <c r="E22" s="2892"/>
      <c r="F22" s="2882"/>
      <c r="G22" s="2902">
        <f ca="1">OFFSET(G23,$E$5,0)</f>
        <v>0.12</v>
      </c>
      <c r="H22" s="2902">
        <f t="shared" ref="H22:J22" ca="1" si="2">OFFSET(H23,$E$5,0)</f>
        <v>0.115</v>
      </c>
      <c r="I22" s="2902">
        <f t="shared" ca="1" si="2"/>
        <v>0.12</v>
      </c>
      <c r="J22" s="2902">
        <f t="shared" ca="1" si="2"/>
        <v>0.12</v>
      </c>
    </row>
    <row r="23" spans="1:15" ht="7.5" customHeight="1">
      <c r="A23" s="2876"/>
      <c r="B23" s="2876"/>
      <c r="C23" s="2876"/>
      <c r="D23" s="2876"/>
      <c r="E23" s="2893"/>
      <c r="F23" s="2876"/>
      <c r="G23" s="2876"/>
      <c r="H23" s="2876"/>
      <c r="I23" s="2876"/>
      <c r="J23" s="2876"/>
    </row>
    <row r="24" spans="1:15">
      <c r="A24" s="2876"/>
      <c r="B24" s="2876"/>
      <c r="C24" s="2876" t="str">
        <f>$C$11</f>
        <v>Base case</v>
      </c>
      <c r="D24" s="2876"/>
      <c r="E24" s="2893"/>
      <c r="F24" s="2876"/>
      <c r="G24" s="2899">
        <v>0.12</v>
      </c>
      <c r="H24" s="2899">
        <v>0.115</v>
      </c>
      <c r="I24" s="2899">
        <v>0.12</v>
      </c>
      <c r="J24" s="2899">
        <v>0.12</v>
      </c>
      <c r="L24" s="2901"/>
      <c r="M24" s="2901"/>
      <c r="N24" s="2901"/>
      <c r="O24" s="2901"/>
    </row>
    <row r="25" spans="1:15">
      <c r="A25" s="2876"/>
      <c r="B25" s="2876"/>
      <c r="C25" s="2876" t="str">
        <f>$C$12</f>
        <v>Worst case</v>
      </c>
      <c r="D25" s="2876"/>
      <c r="E25" s="2893"/>
      <c r="F25" s="2876"/>
      <c r="G25" s="2900">
        <v>0.12</v>
      </c>
      <c r="H25" s="2899">
        <v>0.115</v>
      </c>
      <c r="I25" s="2899">
        <v>0.113</v>
      </c>
      <c r="J25" s="2899">
        <v>0.11</v>
      </c>
    </row>
    <row r="26" spans="1:15">
      <c r="A26" s="2876"/>
      <c r="B26" s="2876"/>
      <c r="C26" s="2876" t="str">
        <f>$C$13</f>
        <v>Best case</v>
      </c>
      <c r="D26" s="2876"/>
      <c r="E26" s="2893"/>
      <c r="F26" s="2876"/>
      <c r="G26" s="2900">
        <v>0.15</v>
      </c>
      <c r="H26" s="2899">
        <v>0.13</v>
      </c>
      <c r="I26" s="2899">
        <v>0.13500000000000001</v>
      </c>
      <c r="J26" s="2899">
        <v>0.13500000000000001</v>
      </c>
    </row>
    <row r="27" spans="1:15">
      <c r="A27" s="2876"/>
      <c r="B27" s="2876"/>
      <c r="C27" s="2876"/>
      <c r="D27" s="2876"/>
      <c r="E27" s="2893"/>
      <c r="F27" s="2876"/>
      <c r="G27" s="2900"/>
      <c r="H27" s="2900"/>
      <c r="I27" s="2900"/>
      <c r="J27" s="2900"/>
    </row>
    <row r="28" spans="1:15">
      <c r="A28" s="2882">
        <v>3</v>
      </c>
      <c r="B28" s="2882" t="s">
        <v>1837</v>
      </c>
      <c r="C28" s="2882"/>
      <c r="D28" s="2882"/>
      <c r="E28" s="2892"/>
      <c r="F28" s="2882"/>
      <c r="G28" s="2897">
        <f ca="1">OFFSET(G29,$E$5,0)</f>
        <v>0.1</v>
      </c>
      <c r="H28" s="2897">
        <f ca="1">OFFSET(H29,$E$5,0)</f>
        <v>0.05</v>
      </c>
      <c r="I28" s="2897">
        <f ca="1">OFFSET(I29,$E$5,0)</f>
        <v>0.12</v>
      </c>
      <c r="J28" s="2897">
        <f ca="1">OFFSET(J29,$E$5,0)</f>
        <v>0.12</v>
      </c>
    </row>
    <row r="29" spans="1:15" ht="6.75" customHeight="1">
      <c r="A29" s="2876"/>
      <c r="B29" s="2876"/>
      <c r="C29" s="2876"/>
      <c r="D29" s="2876"/>
      <c r="E29" s="2893"/>
      <c r="F29" s="2876"/>
      <c r="G29" s="2876"/>
      <c r="H29" s="2876"/>
      <c r="I29" s="2876"/>
      <c r="J29" s="2876"/>
    </row>
    <row r="30" spans="1:15" ht="13.5">
      <c r="A30" s="2876"/>
      <c r="B30" s="2876"/>
      <c r="C30" s="2876" t="str">
        <f>$C$11</f>
        <v>Base case</v>
      </c>
      <c r="D30" s="2876"/>
      <c r="E30" s="2893"/>
      <c r="F30" s="2876"/>
      <c r="G30" s="2900">
        <v>0.1</v>
      </c>
      <c r="H30" s="2899">
        <v>0.05</v>
      </c>
      <c r="I30" s="2899">
        <v>0.12</v>
      </c>
      <c r="J30" s="2899">
        <v>0.12</v>
      </c>
      <c r="L30" s="2901"/>
      <c r="M30" s="2901"/>
      <c r="N30" s="1900"/>
      <c r="O30" s="2901"/>
    </row>
    <row r="31" spans="1:15">
      <c r="A31" s="2876"/>
      <c r="B31" s="2876"/>
      <c r="C31" s="2876" t="s">
        <v>2152</v>
      </c>
      <c r="D31" s="2876"/>
      <c r="E31" s="2893"/>
      <c r="F31" s="2876"/>
      <c r="G31" s="2900">
        <v>0.13</v>
      </c>
      <c r="H31" s="2899">
        <v>0.127</v>
      </c>
      <c r="I31" s="2899">
        <v>0.124</v>
      </c>
      <c r="J31" s="2899">
        <v>0.12</v>
      </c>
    </row>
    <row r="32" spans="1:15">
      <c r="A32" s="2876"/>
      <c r="B32" s="2876"/>
      <c r="C32" s="2876" t="s">
        <v>2153</v>
      </c>
      <c r="D32" s="2876"/>
      <c r="E32" s="2893"/>
      <c r="F32" s="2876"/>
      <c r="G32" s="2900">
        <v>0.16</v>
      </c>
      <c r="H32" s="2899">
        <v>0.15</v>
      </c>
      <c r="I32" s="2899">
        <v>0.14000000000000001</v>
      </c>
      <c r="J32" s="2899">
        <v>0.13</v>
      </c>
    </row>
    <row r="33" spans="1:10">
      <c r="A33" s="2876"/>
      <c r="B33" s="2876"/>
      <c r="C33" s="2876"/>
      <c r="D33" s="2876"/>
      <c r="E33" s="2893"/>
      <c r="F33" s="2876"/>
      <c r="G33" s="2894"/>
      <c r="H33" s="2894"/>
      <c r="I33" s="2894"/>
      <c r="J33" s="2894"/>
    </row>
    <row r="34" spans="1:10" s="2889" customFormat="1" ht="15">
      <c r="A34" s="2882"/>
      <c r="B34" s="2888"/>
      <c r="C34" s="2887"/>
      <c r="D34" s="2887"/>
      <c r="E34" s="2887"/>
      <c r="F34" s="2887"/>
      <c r="G34" s="2887"/>
      <c r="H34" s="2887"/>
      <c r="I34" s="2887"/>
      <c r="J34" s="2887"/>
    </row>
    <row r="35" spans="1:10" ht="3" customHeight="1"/>
    <row r="36" spans="1:10">
      <c r="A36" s="2876"/>
      <c r="B36" s="2882"/>
      <c r="C36" s="2882"/>
      <c r="D36" s="2876"/>
      <c r="E36" s="2892"/>
      <c r="F36" s="2876"/>
      <c r="G36" s="2895"/>
      <c r="H36" s="2895"/>
      <c r="I36" s="2895"/>
      <c r="J36" s="2895"/>
    </row>
    <row r="37" spans="1:10" ht="3" customHeight="1">
      <c r="A37" s="2876"/>
      <c r="B37" s="2876"/>
      <c r="C37" s="2876"/>
      <c r="D37" s="2876"/>
      <c r="E37" s="2876"/>
      <c r="F37" s="2876"/>
      <c r="G37" s="2876"/>
      <c r="H37" s="2876"/>
      <c r="I37" s="2876"/>
      <c r="J37" s="2876"/>
    </row>
    <row r="38" spans="1:10">
      <c r="A38" s="2876"/>
      <c r="B38" s="2876"/>
      <c r="C38" s="2876"/>
      <c r="D38" s="2876"/>
      <c r="E38" s="2876"/>
      <c r="F38" s="2876"/>
      <c r="G38" s="2891"/>
      <c r="H38" s="2891"/>
      <c r="I38" s="2891"/>
      <c r="J38" s="2891"/>
    </row>
    <row r="39" spans="1:10">
      <c r="A39" s="2876"/>
      <c r="B39" s="2876"/>
      <c r="C39" s="2876"/>
      <c r="D39" s="2876"/>
      <c r="E39" s="2876"/>
      <c r="F39" s="2876"/>
      <c r="G39" s="2891"/>
      <c r="H39" s="2891"/>
      <c r="I39" s="2891"/>
      <c r="J39" s="2891"/>
    </row>
    <row r="40" spans="1:10">
      <c r="A40" s="2876"/>
      <c r="B40" s="2876"/>
      <c r="C40" s="2876"/>
      <c r="D40" s="2876"/>
      <c r="E40" s="2876"/>
      <c r="F40" s="2876"/>
      <c r="G40" s="2891"/>
      <c r="H40" s="2891"/>
      <c r="I40" s="2891"/>
      <c r="J40" s="2891"/>
    </row>
    <row r="41" spans="1:10">
      <c r="A41" s="2876"/>
      <c r="B41" s="2876"/>
      <c r="C41" s="2876"/>
      <c r="D41" s="2876"/>
      <c r="E41" s="2876"/>
      <c r="F41" s="2876"/>
      <c r="G41" s="2891"/>
      <c r="H41" s="2891"/>
      <c r="I41" s="2891"/>
      <c r="J41" s="2891"/>
    </row>
    <row r="42" spans="1:10" s="2886" customFormat="1" ht="15">
      <c r="A42" s="2882">
        <v>5</v>
      </c>
      <c r="B42" s="2888" t="s">
        <v>1843</v>
      </c>
      <c r="C42" s="2882"/>
      <c r="D42" s="2882"/>
      <c r="E42" s="2882"/>
      <c r="F42" s="2882"/>
      <c r="G42" s="2896"/>
      <c r="H42" s="2896"/>
      <c r="I42" s="2896"/>
      <c r="J42" s="2896"/>
    </row>
    <row r="43" spans="1:10">
      <c r="A43" s="2876"/>
      <c r="B43" s="2876" t="s">
        <v>1835</v>
      </c>
      <c r="C43" s="2876"/>
      <c r="D43" s="2876"/>
      <c r="E43" s="2876"/>
      <c r="F43" s="2876"/>
      <c r="G43" s="2895">
        <f ca="1">OFFSET(G44,$E$5,0)</f>
        <v>0.01</v>
      </c>
      <c r="H43" s="2895">
        <f t="shared" ref="H43:J43" ca="1" si="3">OFFSET(H44,$E$5,0)</f>
        <v>0.05</v>
      </c>
      <c r="I43" s="2895">
        <f t="shared" ca="1" si="3"/>
        <v>4.7E-2</v>
      </c>
      <c r="J43" s="2895">
        <f t="shared" ca="1" si="3"/>
        <v>4.7E-2</v>
      </c>
    </row>
    <row r="44" spans="1:10" ht="3" customHeight="1">
      <c r="A44" s="2876"/>
      <c r="B44" s="2876"/>
    </row>
    <row r="45" spans="1:10">
      <c r="A45" s="2876"/>
      <c r="B45" s="2876"/>
      <c r="C45" s="2876" t="str">
        <f>$C$11</f>
        <v>Base case</v>
      </c>
      <c r="D45" s="2876"/>
      <c r="E45" s="2876"/>
      <c r="F45" s="2876"/>
      <c r="G45" s="2891">
        <v>0.01</v>
      </c>
      <c r="H45" s="2891">
        <v>0.045525</v>
      </c>
      <c r="I45" s="2891">
        <v>0.047578</v>
      </c>
      <c r="J45" s="2891">
        <v>0.052837</v>
      </c>
    </row>
    <row r="46" spans="1:10">
      <c r="C46" s="2876" t="str">
        <f>$C$12</f>
        <v>Worst case</v>
      </c>
      <c r="D46" s="2876"/>
      <c r="E46" s="2876"/>
      <c r="F46" s="2876"/>
      <c r="G46" s="2891">
        <v>2E-3</v>
      </c>
      <c r="H46" s="2891">
        <v>2E-3</v>
      </c>
      <c r="I46" s="2891">
        <v>2E-3</v>
      </c>
      <c r="J46" s="2891">
        <v>2E-3</v>
      </c>
    </row>
    <row r="47" spans="1:10">
      <c r="C47" s="2876" t="str">
        <f>$C$13</f>
        <v>Best case</v>
      </c>
      <c r="G47" s="2891">
        <v>0.01</v>
      </c>
      <c r="H47" s="2891">
        <v>0.01</v>
      </c>
      <c r="I47" s="2891">
        <v>0.01</v>
      </c>
      <c r="J47" s="2891">
        <v>0.01</v>
      </c>
    </row>
    <row r="48" spans="1:10" ht="13.5" thickBot="1">
      <c r="A48" s="2876"/>
      <c r="B48" s="2881"/>
      <c r="C48" s="2881"/>
      <c r="D48" s="2881"/>
      <c r="E48" s="2881"/>
      <c r="F48" s="2881"/>
      <c r="G48" s="2881"/>
      <c r="H48" s="2881"/>
      <c r="I48" s="2881"/>
      <c r="J48" s="2881"/>
    </row>
    <row r="52" spans="3:8">
      <c r="C52" s="3595" t="s">
        <v>1844</v>
      </c>
      <c r="D52" s="3595"/>
      <c r="E52" s="3595"/>
      <c r="F52" s="3595"/>
      <c r="G52" s="3595"/>
      <c r="H52" s="3595"/>
    </row>
    <row r="53" spans="3:8" ht="15">
      <c r="C53" s="2903" t="s">
        <v>1861</v>
      </c>
      <c r="D53" s="2904"/>
      <c r="E53" s="2905" t="s">
        <v>262</v>
      </c>
      <c r="F53" s="2905" t="s">
        <v>263</v>
      </c>
      <c r="G53" s="2905" t="s">
        <v>812</v>
      </c>
      <c r="H53" s="2905" t="s">
        <v>948</v>
      </c>
    </row>
    <row r="54" spans="3:8">
      <c r="C54" s="2906" t="s">
        <v>1845</v>
      </c>
      <c r="D54" s="2907" t="s">
        <v>462</v>
      </c>
      <c r="E54" s="2908">
        <f ca="1">Revenue!N12</f>
        <v>30952</v>
      </c>
      <c r="F54" s="2908">
        <f ca="1">Revenue!J12</f>
        <v>40571.846680421695</v>
      </c>
      <c r="G54" s="2908">
        <f ca="1">Revenue!K12</f>
        <v>47327.529000000002</v>
      </c>
      <c r="H54" s="2908">
        <f ca="1">Revenue!L12</f>
        <v>55685.149716000007</v>
      </c>
    </row>
    <row r="55" spans="3:8">
      <c r="C55" s="2906" t="s">
        <v>1846</v>
      </c>
      <c r="D55" s="2907" t="s">
        <v>462</v>
      </c>
      <c r="E55" s="2908">
        <f ca="1">Revenue!N13</f>
        <v>8891.130000000001</v>
      </c>
      <c r="F55" s="2908">
        <f ca="1">Revenue!J13</f>
        <v>10184.160000000002</v>
      </c>
      <c r="G55" s="2908">
        <f ca="1">Revenue!K13</f>
        <v>11406.259200000002</v>
      </c>
      <c r="H55" s="2908">
        <f ca="1">Revenue!L13</f>
        <v>12775.010304000003</v>
      </c>
    </row>
    <row r="56" spans="3:8">
      <c r="C56" s="2906" t="s">
        <v>1847</v>
      </c>
      <c r="D56" s="2907" t="s">
        <v>462</v>
      </c>
      <c r="E56" s="2908">
        <f>Revenue!N14</f>
        <v>19723.2</v>
      </c>
      <c r="F56" s="2908">
        <f>Revenue!J14</f>
        <v>21750.305</v>
      </c>
      <c r="G56" s="2908">
        <f>Revenue!K14</f>
        <v>24360.341600000003</v>
      </c>
      <c r="H56" s="2908">
        <f>Revenue!L14</f>
        <v>27283.582592000006</v>
      </c>
    </row>
    <row r="57" spans="3:8">
      <c r="C57" s="2906" t="s">
        <v>1848</v>
      </c>
      <c r="D57" s="2907" t="s">
        <v>462</v>
      </c>
      <c r="E57" s="2908">
        <f ca="1">Revenue!N17</f>
        <v>6741.9000000000005</v>
      </c>
      <c r="F57" s="2908">
        <f ca="1">Revenue!J17</f>
        <v>6438.6</v>
      </c>
      <c r="G57" s="2908">
        <f ca="1">Revenue!K17</f>
        <v>7211.2320000000009</v>
      </c>
      <c r="H57" s="2908">
        <f ca="1">Revenue!L17</f>
        <v>8076.5798400000022</v>
      </c>
    </row>
    <row r="58" spans="3:8">
      <c r="C58" s="2909" t="s">
        <v>1849</v>
      </c>
      <c r="D58" s="2907" t="s">
        <v>462</v>
      </c>
      <c r="E58" s="2908">
        <f ca="1">Revenue!N10</f>
        <v>66308.23</v>
      </c>
      <c r="F58" s="2908">
        <f ca="1">Revenue!J10</f>
        <v>78944.911680421705</v>
      </c>
      <c r="G58" s="2908">
        <f ca="1">Revenue!K10</f>
        <v>90305.361800000013</v>
      </c>
      <c r="H58" s="2908">
        <f ca="1">Revenue!L10</f>
        <v>103820.32245200002</v>
      </c>
    </row>
    <row r="59" spans="3:8" ht="15">
      <c r="C59" s="2898"/>
      <c r="D59" s="2898"/>
      <c r="E59" s="2914">
        <f ca="1">E58/PL!O9-1</f>
        <v>5.5043860032945702E-2</v>
      </c>
      <c r="F59" s="2914">
        <f t="shared" ref="F59:G59" ca="1" si="4">F58/E58-1</f>
        <v>0.19057486047239847</v>
      </c>
      <c r="G59" s="2914">
        <f t="shared" ca="1" si="4"/>
        <v>0.14390351294034942</v>
      </c>
      <c r="H59" s="2914">
        <f ca="1">H58/G58-1</f>
        <v>0.14965845197466465</v>
      </c>
    </row>
    <row r="61" spans="3:8">
      <c r="C61" s="2903" t="s">
        <v>1860</v>
      </c>
      <c r="D61" s="2910"/>
      <c r="E61" s="2905" t="s">
        <v>262</v>
      </c>
      <c r="F61" s="2905" t="s">
        <v>263</v>
      </c>
      <c r="G61" s="2905" t="s">
        <v>812</v>
      </c>
      <c r="H61" s="2905" t="s">
        <v>948</v>
      </c>
    </row>
    <row r="62" spans="3:8">
      <c r="C62" s="2906" t="s">
        <v>1583</v>
      </c>
      <c r="D62" s="2907" t="s">
        <v>462</v>
      </c>
      <c r="E62" s="2908">
        <f ca="1">Revenue!N3</f>
        <v>66308.23</v>
      </c>
      <c r="F62" s="2908">
        <f ca="1">Revenue!J3</f>
        <v>78944.911680421705</v>
      </c>
      <c r="G62" s="2908">
        <f ca="1">Revenue!K3</f>
        <v>90305.361800000013</v>
      </c>
      <c r="H62" s="2908">
        <f ca="1">Revenue!L3</f>
        <v>103820.32245200002</v>
      </c>
    </row>
    <row r="63" spans="3:8">
      <c r="C63" s="2906" t="s">
        <v>1850</v>
      </c>
      <c r="D63" s="2907" t="s">
        <v>462</v>
      </c>
      <c r="E63" s="2908">
        <f ca="1">PL!W13</f>
        <v>24854.645049999999</v>
      </c>
      <c r="F63" s="2908">
        <f ca="1">PL!Q13</f>
        <v>19823.724727791734</v>
      </c>
      <c r="G63" s="2908">
        <f ca="1">PL!R13</f>
        <v>22276.608141814293</v>
      </c>
      <c r="H63" s="2908">
        <f ca="1">PL!S13</f>
        <v>25577.749681426394</v>
      </c>
    </row>
    <row r="64" spans="3:8">
      <c r="C64" s="2906" t="s">
        <v>1851</v>
      </c>
      <c r="D64" s="2907" t="s">
        <v>462</v>
      </c>
      <c r="E64" s="2908">
        <f ca="1">PL!W24</f>
        <v>10266.834449999998</v>
      </c>
      <c r="F64" s="2908">
        <f ca="1">PL!Q24</f>
        <v>9757.4739520375151</v>
      </c>
      <c r="G64" s="2908">
        <f ca="1">PL!R24</f>
        <v>10802.174627014292</v>
      </c>
      <c r="H64" s="2908">
        <f ca="1">PL!S24</f>
        <v>12260.356945786389</v>
      </c>
    </row>
    <row r="65" spans="3:11">
      <c r="C65" s="2906" t="s">
        <v>1852</v>
      </c>
      <c r="D65" s="2907" t="s">
        <v>1853</v>
      </c>
      <c r="E65" s="2911">
        <f ca="1">PL!W26</f>
        <v>0.15483499484151514</v>
      </c>
      <c r="F65" s="2911">
        <f ca="1">PL!Q26</f>
        <v>0.17060129474371571</v>
      </c>
      <c r="G65" s="2911">
        <f ca="1">PL!R26</f>
        <v>0.16380576720202886</v>
      </c>
      <c r="H65" s="2911">
        <f ca="1">PL!S26</f>
        <v>0.16018917147781406</v>
      </c>
    </row>
    <row r="66" spans="3:11">
      <c r="C66" s="2906" t="s">
        <v>1854</v>
      </c>
      <c r="D66" s="2907" t="s">
        <v>462</v>
      </c>
      <c r="E66" s="2908">
        <f ca="1">PL!W47</f>
        <v>11045.934270099999</v>
      </c>
      <c r="F66" s="2908">
        <f ca="1">PL!Q47</f>
        <v>13271.82233705516</v>
      </c>
      <c r="G66" s="2908">
        <f ca="1">PL!R47</f>
        <v>15016.416682613406</v>
      </c>
      <c r="H66" s="2908">
        <f ca="1">PL!S47</f>
        <v>17014.72800224385</v>
      </c>
    </row>
    <row r="67" spans="3:11">
      <c r="C67" s="2906" t="s">
        <v>1855</v>
      </c>
      <c r="D67" s="2907" t="s">
        <v>462</v>
      </c>
      <c r="E67" s="2908">
        <f ca="1">PL!W53</f>
        <v>9389.0441295849996</v>
      </c>
      <c r="F67" s="2908">
        <f ca="1">PL!Q53</f>
        <v>11281.048986496886</v>
      </c>
      <c r="G67" s="2908">
        <f ca="1">PL!R53</f>
        <v>12763.954180221395</v>
      </c>
      <c r="H67" s="2908">
        <f ca="1">PL!S53</f>
        <v>14462.518801907272</v>
      </c>
    </row>
    <row r="68" spans="3:11">
      <c r="C68" s="2906" t="s">
        <v>0</v>
      </c>
      <c r="D68" s="2907" t="s">
        <v>1856</v>
      </c>
      <c r="E68" s="2908">
        <f ca="1">PL!W94</f>
        <v>4593.3401882526814</v>
      </c>
      <c r="F68" s="2908">
        <f ca="1">PL!Q94</f>
        <v>6139.6016415160148</v>
      </c>
      <c r="G68" s="2908">
        <f ca="1">PL!R94</f>
        <v>6936.1467464204525</v>
      </c>
      <c r="H68" s="2908">
        <f ca="1">PL!S94</f>
        <v>7859.1752458918472</v>
      </c>
    </row>
    <row r="69" spans="3:11">
      <c r="C69" s="2906" t="s">
        <v>1145</v>
      </c>
      <c r="D69" s="2907" t="s">
        <v>1853</v>
      </c>
      <c r="E69" s="2912">
        <f>Ratios!P37</f>
        <v>0.28557863769636249</v>
      </c>
      <c r="F69" s="2912">
        <f ca="1">Ratios!Q37</f>
        <v>0.27981030290407821</v>
      </c>
      <c r="G69" s="2912">
        <f ca="1">Ratios!R37</f>
        <v>0.26795793120746736</v>
      </c>
      <c r="H69" s="2912">
        <f ca="1">Ratios!S37</f>
        <v>0.25652070150006279</v>
      </c>
    </row>
    <row r="70" spans="3:11">
      <c r="C70" s="2906" t="s">
        <v>12</v>
      </c>
      <c r="D70" s="2907" t="s">
        <v>1857</v>
      </c>
      <c r="E70" s="2913">
        <f ca="1">Report!G87</f>
        <v>19.199789570990738</v>
      </c>
      <c r="F70" s="2913">
        <f ca="1">Report!H87</f>
        <v>16.351273229376979</v>
      </c>
      <c r="G70" s="2913">
        <f ca="1">Report!I87</f>
        <v>14.473497696940788</v>
      </c>
      <c r="H70" s="2913">
        <f ca="1">Report!J87</f>
        <v>12.773643648223249</v>
      </c>
    </row>
    <row r="71" spans="3:11">
      <c r="C71" s="2906" t="s">
        <v>1333</v>
      </c>
      <c r="D71" s="2907" t="s">
        <v>1857</v>
      </c>
      <c r="E71" s="2913">
        <f ca="1">Report!G88</f>
        <v>4.9802129094556378</v>
      </c>
      <c r="F71" s="2913">
        <f ca="1">Report!H88</f>
        <v>4.2312012297609529</v>
      </c>
      <c r="G71" s="2913">
        <f ca="1">Report!I88</f>
        <v>3.5797144698178913</v>
      </c>
      <c r="H71" s="2913">
        <f ca="1">Report!J88</f>
        <v>3.0209878624489424</v>
      </c>
    </row>
    <row r="72" spans="3:11">
      <c r="C72" s="2906" t="s">
        <v>1858</v>
      </c>
      <c r="D72" s="2907" t="s">
        <v>462</v>
      </c>
      <c r="E72" s="2908">
        <f>BS!X38</f>
        <v>0</v>
      </c>
      <c r="F72" s="2908">
        <f ca="1">BS!Q38</f>
        <v>92111.938812499138</v>
      </c>
      <c r="G72" s="2908">
        <f ca="1">BS!R38</f>
        <v>102999.4327440937</v>
      </c>
      <c r="H72" s="2908">
        <f ca="1">BS!S38</f>
        <v>115400.63201181812</v>
      </c>
    </row>
    <row r="73" spans="3:11">
      <c r="C73" s="2906" t="s">
        <v>1859</v>
      </c>
      <c r="D73" s="2907" t="s">
        <v>462</v>
      </c>
      <c r="E73" s="2908">
        <f>BS!X76</f>
        <v>0</v>
      </c>
      <c r="F73" s="2908">
        <f ca="1">BS!Q76</f>
        <v>42945.223022742815</v>
      </c>
      <c r="G73" s="2908">
        <f ca="1">BS!R76</f>
        <v>50760.998397571035</v>
      </c>
      <c r="H73" s="2908">
        <f ca="1">BS!S76</f>
        <v>60149.159394134724</v>
      </c>
    </row>
    <row r="75" spans="3:11" ht="13.5" thickBot="1"/>
    <row r="76" spans="3:11" ht="40.5" customHeight="1" thickBot="1">
      <c r="C76" s="2920"/>
      <c r="D76" s="2929" t="s">
        <v>1885</v>
      </c>
      <c r="E76" s="2931"/>
      <c r="F76" s="2931"/>
      <c r="G76" s="2928" t="s">
        <v>2014</v>
      </c>
      <c r="H76" s="2921"/>
      <c r="I76" s="2929" t="s">
        <v>2015</v>
      </c>
      <c r="J76" s="2930"/>
      <c r="K76" s="2921" t="s">
        <v>2016</v>
      </c>
    </row>
    <row r="77" spans="3:11" ht="13.5" thickBot="1">
      <c r="C77" s="2922"/>
      <c r="D77" s="2923">
        <v>2024</v>
      </c>
      <c r="E77" s="2928">
        <v>2023</v>
      </c>
      <c r="F77" s="2923" t="s">
        <v>1886</v>
      </c>
      <c r="G77" s="2923" t="s">
        <v>262</v>
      </c>
      <c r="H77" s="2923" t="s">
        <v>263</v>
      </c>
      <c r="I77" s="2923" t="s">
        <v>262</v>
      </c>
      <c r="J77" s="2923" t="s">
        <v>263</v>
      </c>
      <c r="K77" s="2923" t="s">
        <v>262</v>
      </c>
    </row>
    <row r="78" spans="3:11" ht="13.5" thickBot="1">
      <c r="C78" s="2924" t="s">
        <v>1583</v>
      </c>
      <c r="D78" s="2927">
        <v>62849</v>
      </c>
      <c r="E78" s="2925">
        <v>52618</v>
      </c>
      <c r="F78" s="2926">
        <v>0.19400000000000001</v>
      </c>
      <c r="G78" s="2925">
        <f ca="1">E62</f>
        <v>66308.23</v>
      </c>
      <c r="H78" s="2925">
        <f ca="1">F62</f>
        <v>78944.911680421705</v>
      </c>
      <c r="I78" s="2925">
        <v>75355</v>
      </c>
      <c r="J78" s="2925">
        <v>90525</v>
      </c>
      <c r="K78" s="2925">
        <v>75400</v>
      </c>
    </row>
    <row r="79" spans="3:11" ht="13.5" thickBot="1">
      <c r="C79" s="2924" t="s">
        <v>1855</v>
      </c>
      <c r="D79" s="2927">
        <v>7857</v>
      </c>
      <c r="E79" s="2925">
        <v>6465</v>
      </c>
      <c r="F79" s="2926">
        <v>0.218</v>
      </c>
      <c r="G79" s="2925">
        <f ca="1">E67</f>
        <v>9389.0441295849996</v>
      </c>
      <c r="H79" s="2925">
        <f ca="1">F67</f>
        <v>11281.048986496886</v>
      </c>
      <c r="I79" s="2925">
        <v>9689</v>
      </c>
      <c r="J79" s="2925">
        <v>11948</v>
      </c>
      <c r="K79" s="2925">
        <v>10585</v>
      </c>
    </row>
    <row r="81" spans="3:10" ht="13.5">
      <c r="I81" s="2879">
        <v>32683</v>
      </c>
      <c r="J81" s="2">
        <f>I81/K78</f>
        <v>0.43346153846153845</v>
      </c>
    </row>
    <row r="82" spans="3:10" ht="13.5">
      <c r="I82" s="2879">
        <v>6152</v>
      </c>
      <c r="J82" s="2">
        <f>I82/K79</f>
        <v>0.58119981105337737</v>
      </c>
    </row>
    <row r="86" spans="3:10" ht="13.5">
      <c r="C86" s="1447" t="s">
        <v>1949</v>
      </c>
    </row>
    <row r="87" spans="3:10">
      <c r="D87" s="2885" t="s">
        <v>229</v>
      </c>
      <c r="E87" s="2988"/>
      <c r="F87" s="2885" t="s">
        <v>1950</v>
      </c>
      <c r="G87" s="2988"/>
      <c r="H87" s="2885" t="s">
        <v>1951</v>
      </c>
      <c r="I87" s="2988"/>
    </row>
    <row r="88" spans="3:10">
      <c r="C88" s="2879" t="s">
        <v>1952</v>
      </c>
    </row>
    <row r="89" spans="3:10">
      <c r="C89" s="2879" t="s">
        <v>1953</v>
      </c>
      <c r="D89" s="2989">
        <f ca="1">Valuation!K36</f>
        <v>165556.5904661878</v>
      </c>
      <c r="F89" s="2989">
        <f ca="1">Valuation!E45</f>
        <v>181709.88046618781</v>
      </c>
      <c r="H89" s="2989">
        <f ca="1">Valuation!I45</f>
        <v>106668.10735696819</v>
      </c>
    </row>
    <row r="90" spans="3:10">
      <c r="C90" s="2879" t="s">
        <v>1954</v>
      </c>
    </row>
    <row r="95" spans="3:10" ht="13.5">
      <c r="C95" s="1447" t="s">
        <v>1955</v>
      </c>
    </row>
    <row r="96" spans="3:10">
      <c r="D96" s="2885"/>
      <c r="E96" s="2988"/>
      <c r="F96" s="2885"/>
      <c r="G96" s="2988"/>
      <c r="H96" s="2885"/>
      <c r="I96" s="2988"/>
    </row>
    <row r="97" spans="3:12">
      <c r="C97" s="2879" t="s">
        <v>1956</v>
      </c>
      <c r="F97" s="2990">
        <f>Valuation!C7</f>
        <v>2.5000000000000001E-2</v>
      </c>
    </row>
    <row r="98" spans="3:12">
      <c r="C98" s="2879" t="s">
        <v>5</v>
      </c>
      <c r="F98" s="2990">
        <f ca="1">Valuation!C27</f>
        <v>9.9249688134254693E-2</v>
      </c>
    </row>
    <row r="99" spans="3:12">
      <c r="C99" s="2879" t="s">
        <v>1957</v>
      </c>
      <c r="F99" s="2989">
        <f>Valuation!J16</f>
        <v>-16153.29</v>
      </c>
    </row>
    <row r="100" spans="3:12">
      <c r="C100" s="2879" t="s">
        <v>1958</v>
      </c>
      <c r="F100" s="2989">
        <f>Valuation!J19</f>
        <v>1703507121</v>
      </c>
    </row>
    <row r="101" spans="3:12">
      <c r="C101" s="2879" t="s">
        <v>1959</v>
      </c>
      <c r="F101" s="2989">
        <v>111600</v>
      </c>
    </row>
    <row r="103" spans="3:12">
      <c r="E103" s="2992"/>
      <c r="F103" s="2992"/>
      <c r="G103" s="2992"/>
      <c r="H103" s="2992"/>
      <c r="I103" s="2992"/>
      <c r="J103" s="2992"/>
      <c r="K103" s="2992"/>
      <c r="L103" s="2992"/>
    </row>
    <row r="104" spans="3:12">
      <c r="D104" s="2993"/>
      <c r="E104" s="2989"/>
      <c r="F104" s="2991"/>
      <c r="G104" s="2991"/>
      <c r="H104" s="2991"/>
      <c r="I104" s="2990"/>
      <c r="J104" s="2991"/>
      <c r="K104" s="2991"/>
      <c r="L104" s="2991"/>
    </row>
    <row r="105" spans="3:12">
      <c r="D105" s="2993"/>
      <c r="E105" s="2914"/>
    </row>
    <row r="106" spans="3:12">
      <c r="D106" s="2993"/>
      <c r="E106" s="2914"/>
    </row>
    <row r="107" spans="3:12">
      <c r="D107" s="2993"/>
      <c r="E107" s="2914"/>
    </row>
    <row r="108" spans="3:12">
      <c r="D108" s="2993"/>
      <c r="E108" s="2991"/>
    </row>
    <row r="109" spans="3:12">
      <c r="D109" s="2993"/>
      <c r="E109" s="2914"/>
    </row>
    <row r="110" spans="3:12">
      <c r="D110" s="2993"/>
      <c r="E110" s="2914"/>
    </row>
    <row r="111" spans="3:12">
      <c r="D111" s="2993"/>
      <c r="E111" s="2914"/>
    </row>
  </sheetData>
  <mergeCells count="1">
    <mergeCell ref="C52:H52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2193665" r:id="rId3" name="Drop Down 1">
              <controlPr locked="0" defaultSize="0" autoLine="0" autoPict="0">
                <anchor moveWithCells="1">
                  <from>
                    <xdr:col>3</xdr:col>
                    <xdr:colOff>523875</xdr:colOff>
                    <xdr:row>3</xdr:row>
                    <xdr:rowOff>152400</xdr:rowOff>
                  </from>
                  <to>
                    <xdr:col>5</xdr:col>
                    <xdr:colOff>142875</xdr:colOff>
                    <xdr:row>5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7B225-7F25-421A-85E0-F801822AFB9B}">
  <sheetPr>
    <tabColor rgb="FF70AD47"/>
  </sheetPr>
  <dimension ref="A1:CQ543"/>
  <sheetViews>
    <sheetView showGridLines="0" zoomScale="115" zoomScaleNormal="115" workbookViewId="0">
      <pane ySplit="1" topLeftCell="A46" activePane="bottomLeft" state="frozen"/>
      <selection pane="bottomLeft" activeCell="K59" sqref="K59"/>
    </sheetView>
  </sheetViews>
  <sheetFormatPr defaultColWidth="8.85546875" defaultRowHeight="12.75"/>
  <cols>
    <col min="1" max="1" width="35.28515625" style="6" customWidth="1"/>
    <col min="2" max="4" width="12.7109375" style="6" customWidth="1"/>
    <col min="5" max="5" width="12.85546875" style="6" customWidth="1"/>
    <col min="6" max="15" width="12.7109375" style="6" customWidth="1"/>
    <col min="16" max="18" width="8.85546875" customWidth="1"/>
    <col min="19" max="19" width="12.7109375" style="6" customWidth="1"/>
    <col min="20" max="20" width="17.28515625" style="735" customWidth="1"/>
    <col min="21" max="21" width="12.85546875" style="6" customWidth="1"/>
    <col min="22" max="22" width="14.85546875" style="6" customWidth="1"/>
    <col min="23" max="23" width="15.42578125" style="6" customWidth="1"/>
    <col min="24" max="24" width="12.85546875" style="6" customWidth="1"/>
    <col min="25" max="26" width="10.28515625" style="6" customWidth="1"/>
    <col min="27" max="27" width="11.42578125" style="6" customWidth="1"/>
    <col min="28" max="34" width="8.85546875" style="6" customWidth="1"/>
    <col min="35" max="35" width="10" style="6" customWidth="1"/>
    <col min="36" max="37" width="8.85546875" style="6" customWidth="1"/>
    <col min="38" max="39" width="9.140625" style="6" customWidth="1"/>
    <col min="40" max="40" width="9.42578125" style="727" customWidth="1"/>
    <col min="41" max="41" width="9.7109375" style="6" customWidth="1"/>
    <col min="42" max="43" width="9.28515625" style="6" customWidth="1"/>
    <col min="44" max="44" width="9.42578125" style="6" customWidth="1"/>
    <col min="45" max="45" width="10" style="6" customWidth="1"/>
    <col min="46" max="46" width="11.28515625" style="223" customWidth="1"/>
    <col min="47" max="49" width="11.28515625" style="6" customWidth="1"/>
    <col min="50" max="52" width="11.28515625" style="223" customWidth="1"/>
    <col min="53" max="55" width="11.28515625" style="6" customWidth="1"/>
    <col min="56" max="56" width="24.140625" style="263" customWidth="1"/>
    <col min="57" max="60" width="11.28515625" style="263" customWidth="1"/>
    <col min="61" max="61" width="14" style="263" customWidth="1"/>
    <col min="62" max="62" width="10.5703125" style="263" customWidth="1"/>
    <col min="63" max="63" width="10.28515625" style="263" customWidth="1"/>
    <col min="64" max="64" width="11.28515625" style="263" customWidth="1"/>
    <col min="65" max="69" width="11.28515625" style="6" customWidth="1"/>
    <col min="70" max="70" width="10.140625" style="6" customWidth="1"/>
    <col min="71" max="72" width="11.28515625" style="6" customWidth="1"/>
    <col min="73" max="73" width="10.28515625" style="6" customWidth="1"/>
    <col min="74" max="75" width="9.7109375" style="6" customWidth="1"/>
    <col min="76" max="76" width="10.28515625" style="6" customWidth="1"/>
    <col min="77" max="78" width="9.7109375" style="6" customWidth="1"/>
    <col min="79" max="84" width="8.85546875" style="6" customWidth="1"/>
    <col min="85" max="86" width="10.28515625" style="6" customWidth="1"/>
    <col min="87" max="93" width="8.85546875" style="6" customWidth="1"/>
    <col min="94" max="94" width="19.42578125" style="6" customWidth="1"/>
    <col min="95" max="95" width="16.28515625" style="6" customWidth="1"/>
    <col min="96" max="16384" width="8.85546875" style="6"/>
  </cols>
  <sheetData>
    <row r="1" spans="1:95">
      <c r="A1" s="1138" t="s">
        <v>332</v>
      </c>
      <c r="B1" s="1138">
        <v>2018</v>
      </c>
      <c r="C1" s="1138">
        <f>B1+1</f>
        <v>2019</v>
      </c>
      <c r="D1" s="1138">
        <v>2020</v>
      </c>
      <c r="E1" s="1138">
        <v>2021</v>
      </c>
      <c r="F1" s="975">
        <v>2022</v>
      </c>
      <c r="G1" s="975">
        <v>2023</v>
      </c>
      <c r="H1" s="975">
        <v>2024</v>
      </c>
      <c r="I1" s="975">
        <v>2025</v>
      </c>
      <c r="J1" s="972" t="s">
        <v>263</v>
      </c>
      <c r="K1" s="972" t="s">
        <v>812</v>
      </c>
      <c r="L1" s="972" t="s">
        <v>948</v>
      </c>
      <c r="M1" s="972"/>
      <c r="N1" s="972" t="s">
        <v>262</v>
      </c>
      <c r="O1" s="972">
        <v>2024</v>
      </c>
      <c r="S1" s="399"/>
      <c r="T1" s="811"/>
      <c r="U1" s="1"/>
      <c r="V1" s="1138" t="s">
        <v>1050</v>
      </c>
      <c r="W1" s="1138"/>
      <c r="X1" s="1138"/>
      <c r="Y1" s="1138"/>
      <c r="Z1" s="1138" t="s">
        <v>1349</v>
      </c>
      <c r="AA1" s="730" t="s">
        <v>316</v>
      </c>
      <c r="AB1" s="731" t="s">
        <v>317</v>
      </c>
      <c r="AC1" s="731" t="s">
        <v>318</v>
      </c>
      <c r="AD1" s="732" t="s">
        <v>1353</v>
      </c>
      <c r="AE1" s="730" t="s">
        <v>319</v>
      </c>
      <c r="AF1" s="731" t="s">
        <v>320</v>
      </c>
      <c r="AG1" s="731" t="s">
        <v>321</v>
      </c>
      <c r="AH1" s="732" t="s">
        <v>1215</v>
      </c>
      <c r="AI1" s="730" t="s">
        <v>1020</v>
      </c>
      <c r="AJ1" s="731" t="s">
        <v>1209</v>
      </c>
      <c r="AK1" s="730" t="s">
        <v>1210</v>
      </c>
      <c r="AL1" s="731" t="s">
        <v>1211</v>
      </c>
      <c r="AM1" s="730" t="s">
        <v>1014</v>
      </c>
      <c r="AN1" s="731" t="s">
        <v>1017</v>
      </c>
      <c r="AO1" s="730" t="s">
        <v>1018</v>
      </c>
      <c r="AP1" s="731" t="s">
        <v>1019</v>
      </c>
      <c r="AQ1" s="730" t="s">
        <v>1015</v>
      </c>
      <c r="AR1" s="731" t="s">
        <v>1036</v>
      </c>
      <c r="AS1" s="730" t="s">
        <v>1242</v>
      </c>
      <c r="AT1" s="3139" t="s">
        <v>1354</v>
      </c>
      <c r="AU1" s="731" t="s">
        <v>1498</v>
      </c>
      <c r="AV1" s="731" t="s">
        <v>1704</v>
      </c>
      <c r="AW1" s="975" t="s">
        <v>1789</v>
      </c>
      <c r="AX1" s="3324" t="s">
        <v>1792</v>
      </c>
      <c r="AY1" s="975" t="s">
        <v>1793</v>
      </c>
      <c r="AZ1" s="1470" t="s">
        <v>1794</v>
      </c>
      <c r="BA1" s="1470" t="s">
        <v>1795</v>
      </c>
      <c r="BB1" s="1470" t="s">
        <v>2078</v>
      </c>
      <c r="BC1" s="1470" t="s">
        <v>2090</v>
      </c>
      <c r="BD1" s="1470" t="s">
        <v>1708</v>
      </c>
      <c r="BE1" s="1470" t="s">
        <v>1676</v>
      </c>
      <c r="BF1" s="1470" t="s">
        <v>2063</v>
      </c>
      <c r="BG1" s="1470" t="s">
        <v>1716</v>
      </c>
      <c r="BH1" s="1470" t="s">
        <v>1790</v>
      </c>
      <c r="BI1" s="1470" t="s">
        <v>2008</v>
      </c>
      <c r="BJ1" s="1470" t="s">
        <v>2033</v>
      </c>
      <c r="BK1" s="1470" t="s">
        <v>2036</v>
      </c>
      <c r="BL1" s="1470" t="s">
        <v>2059</v>
      </c>
      <c r="BM1" s="975"/>
      <c r="BN1" s="975"/>
      <c r="BO1" s="975"/>
      <c r="BP1" s="1470" t="s">
        <v>2147</v>
      </c>
      <c r="BQ1" s="1470" t="s">
        <v>2146</v>
      </c>
      <c r="BR1" s="975"/>
      <c r="BS1" s="975"/>
      <c r="BT1" s="975"/>
      <c r="BU1" s="35"/>
      <c r="BV1" s="326"/>
      <c r="BW1" s="326"/>
      <c r="BX1" s="35"/>
      <c r="BY1" s="326"/>
      <c r="BZ1" s="326"/>
      <c r="CA1" s="1447"/>
      <c r="CC1" s="1115" t="s">
        <v>863</v>
      </c>
      <c r="CD1" s="1115" t="s">
        <v>864</v>
      </c>
      <c r="CE1" s="1115" t="s">
        <v>865</v>
      </c>
      <c r="CF1" s="1115" t="s">
        <v>866</v>
      </c>
      <c r="CG1" s="1115" t="s">
        <v>867</v>
      </c>
      <c r="CH1" s="1115" t="s">
        <v>1243</v>
      </c>
      <c r="CI1" s="2138" t="s">
        <v>1195</v>
      </c>
      <c r="CJ1" s="1115" t="s">
        <v>868</v>
      </c>
      <c r="CK1" s="1115" t="s">
        <v>869</v>
      </c>
      <c r="CL1" s="1115" t="s">
        <v>870</v>
      </c>
      <c r="CM1" s="1115" t="s">
        <v>871</v>
      </c>
      <c r="CN1" s="1115" t="s">
        <v>872</v>
      </c>
      <c r="CP1" s="1115" t="s">
        <v>1217</v>
      </c>
      <c r="CQ1" s="1115" t="s">
        <v>1216</v>
      </c>
    </row>
    <row r="2" spans="1:95">
      <c r="A2" s="734" t="s">
        <v>2089</v>
      </c>
      <c r="B2" s="739">
        <f t="shared" ref="B2" si="0">B3-B14</f>
        <v>14382.533857725</v>
      </c>
      <c r="C2" s="739">
        <f t="shared" ref="C2:D2" si="1">C3-C14</f>
        <v>17318.533152274998</v>
      </c>
      <c r="D2" s="739">
        <f t="shared" si="1"/>
        <v>18364.246526823998</v>
      </c>
      <c r="E2" s="739">
        <f t="shared" ref="E2" si="2">E3-E14</f>
        <v>22970.846545027001</v>
      </c>
      <c r="F2" s="739">
        <f t="shared" ref="F2:G2" si="3">F3-F14</f>
        <v>29279.878680911002</v>
      </c>
      <c r="G2" s="739">
        <f t="shared" si="3"/>
        <v>36811.900827384998</v>
      </c>
      <c r="H2" s="739">
        <f t="shared" ref="H2" si="4">H3-H14</f>
        <v>45238.79</v>
      </c>
      <c r="I2" s="739">
        <v>50605.83</v>
      </c>
      <c r="J2" s="739">
        <f ca="1">J3-J14</f>
        <v>57194.606680421704</v>
      </c>
      <c r="K2" s="739">
        <f t="shared" ref="K2:L2" ca="1" si="5">K3-K14</f>
        <v>65945.020200000014</v>
      </c>
      <c r="L2" s="739">
        <f t="shared" ca="1" si="5"/>
        <v>76536.739860000016</v>
      </c>
      <c r="M2" s="739"/>
      <c r="N2" s="739">
        <f>N9</f>
        <v>0</v>
      </c>
      <c r="O2" s="739">
        <f>O9</f>
        <v>0</v>
      </c>
      <c r="S2" s="739"/>
      <c r="T2" s="1754"/>
      <c r="U2" s="1"/>
      <c r="V2" s="1"/>
      <c r="W2" s="1"/>
      <c r="X2" s="399"/>
      <c r="Y2" s="399"/>
      <c r="Z2" s="399"/>
      <c r="AA2" s="743"/>
      <c r="AB2" s="696"/>
      <c r="AC2" s="696"/>
      <c r="AD2" s="745"/>
      <c r="AE2" s="743">
        <f>PL!BO8</f>
        <v>2.174481429618015E-3</v>
      </c>
      <c r="AF2" s="696">
        <f>PL!BP8</f>
        <v>2.466820160792776E-3</v>
      </c>
      <c r="AG2" s="696">
        <f>PL!BQ8</f>
        <v>3.3729490987694437E-3</v>
      </c>
      <c r="AH2" s="696">
        <f>PL!BR8</f>
        <v>3.9105489220709775E-3</v>
      </c>
      <c r="AI2" s="743">
        <f>PL!BS8</f>
        <v>2.5437596792828652E-3</v>
      </c>
      <c r="AJ2" s="696">
        <f>PL!BT8</f>
        <v>-1.8784804560136698E-3</v>
      </c>
      <c r="AK2" s="696">
        <f>PL!BU8</f>
        <v>-4.388410832610626E-3</v>
      </c>
      <c r="AL2" s="696">
        <f>PL!BV8</f>
        <v>1.0001896246056416E-3</v>
      </c>
      <c r="AM2" s="743">
        <f>PL!BW8</f>
        <v>1.6220750016805935E-4</v>
      </c>
      <c r="AN2" s="696">
        <f>PL!BX8</f>
        <v>6.413656083413152E-5</v>
      </c>
      <c r="AO2" s="696">
        <f>PL!BY8</f>
        <v>1.9780855290626158E-5</v>
      </c>
      <c r="AP2" s="745">
        <f>PL!BZ8</f>
        <v>8.4548627659374541E-4</v>
      </c>
      <c r="AQ2" s="745">
        <f>PL!CA8</f>
        <v>1.4057795536397762E-4</v>
      </c>
      <c r="AR2" s="745">
        <f>PL!CB8</f>
        <v>1.2084424616555502E-5</v>
      </c>
      <c r="AS2" s="745">
        <f>PL!CC8</f>
        <v>6.3152269063144704E-6</v>
      </c>
      <c r="AT2" s="745">
        <f>PL!CD8</f>
        <v>3.6703541264585784E-4</v>
      </c>
      <c r="AU2" s="2055">
        <f>PL!CE8</f>
        <v>2.6181507889422819E-5</v>
      </c>
      <c r="AV2" s="2055">
        <f>PL!CF8</f>
        <v>4.3675534852190651E-5</v>
      </c>
      <c r="AW2" s="2055">
        <f>PL!CG8</f>
        <v>4.3559744751766796E-3</v>
      </c>
      <c r="AX2" s="745">
        <f>PL!CH8</f>
        <v>2.4502763855109065E-3</v>
      </c>
      <c r="AY2" s="696">
        <f>PL!CI8</f>
        <v>4.2573651740771711E-4</v>
      </c>
      <c r="AZ2" s="1468">
        <f>PL!CJ8</f>
        <v>2.0183721324217338E-3</v>
      </c>
      <c r="BA2" s="1468">
        <f>PL!CK8</f>
        <v>1.2183035444328675E-3</v>
      </c>
      <c r="BB2" s="1468">
        <f>PL!CL8</f>
        <v>1.6494397331462212E-3</v>
      </c>
      <c r="BC2" s="3291"/>
      <c r="BD2" s="1468"/>
      <c r="BE2" s="1468"/>
      <c r="BF2" s="1468"/>
      <c r="BG2" s="1468"/>
      <c r="BH2" s="1468"/>
      <c r="BI2" s="1468"/>
      <c r="BJ2" s="1468"/>
      <c r="BK2" s="1468"/>
      <c r="BL2" s="1468"/>
      <c r="BM2" s="696"/>
      <c r="BN2" s="696"/>
      <c r="BO2" s="696"/>
      <c r="BP2" s="696"/>
      <c r="BQ2" s="696"/>
      <c r="BR2" s="696"/>
      <c r="BS2" s="696"/>
      <c r="BT2" s="696"/>
      <c r="BU2" s="399"/>
      <c r="BV2" s="399"/>
      <c r="BW2" s="399"/>
      <c r="BX2" s="399"/>
      <c r="BZ2" s="1615"/>
      <c r="CD2" s="250">
        <f>AE2+AF2</f>
        <v>4.641301590410791E-3</v>
      </c>
      <c r="CP2" s="9">
        <v>27060</v>
      </c>
      <c r="CQ2" s="9">
        <v>32827</v>
      </c>
    </row>
    <row r="3" spans="1:95">
      <c r="A3" s="734" t="s">
        <v>813</v>
      </c>
      <c r="B3" s="737">
        <f>PL!I9</f>
        <v>23213.536857725001</v>
      </c>
      <c r="C3" s="737">
        <f>PL!J9</f>
        <v>27716.960152274998</v>
      </c>
      <c r="D3" s="737">
        <f>PL!K9</f>
        <v>29830.400526824</v>
      </c>
      <c r="E3" s="737">
        <f>PL!L9</f>
        <v>35657.262545026999</v>
      </c>
      <c r="F3" s="738">
        <f>PL!M9</f>
        <v>44009.527680911</v>
      </c>
      <c r="G3" s="738">
        <f>PL!N9</f>
        <v>52617.900827384998</v>
      </c>
      <c r="H3" s="738">
        <f>PL!O9</f>
        <v>62848.79</v>
      </c>
      <c r="I3" s="738">
        <f>PL!P9</f>
        <v>70207.69</v>
      </c>
      <c r="J3" s="739">
        <f ca="1">J10</f>
        <v>78944.911680421705</v>
      </c>
      <c r="K3" s="739">
        <f ca="1">K10</f>
        <v>90305.361800000013</v>
      </c>
      <c r="L3" s="739">
        <f ca="1">L10</f>
        <v>103820.32245200002</v>
      </c>
      <c r="M3" s="739"/>
      <c r="N3" s="739">
        <f ca="1">N10</f>
        <v>66308.23</v>
      </c>
      <c r="O3" s="739">
        <f>O10</f>
        <v>55744.610000000008</v>
      </c>
      <c r="S3" s="739"/>
      <c r="T3" s="1754"/>
      <c r="U3" s="1"/>
      <c r="V3" s="1"/>
      <c r="W3" s="1"/>
      <c r="X3" s="399"/>
      <c r="Y3" s="399"/>
      <c r="Z3" s="399"/>
      <c r="AA3" s="743"/>
      <c r="AB3" s="696"/>
      <c r="AC3" s="696"/>
      <c r="AD3" s="745"/>
      <c r="AE3" s="743">
        <f>PL!BO9</f>
        <v>6630.5649114379994</v>
      </c>
      <c r="AF3" s="696">
        <f>PL!BP9</f>
        <v>6980.0024983370004</v>
      </c>
      <c r="AG3" s="696">
        <f>PL!BQ9</f>
        <v>7553.1285040719995</v>
      </c>
      <c r="AH3" s="696">
        <f>PL!BR9</f>
        <v>8666.7046129769988</v>
      </c>
      <c r="AI3" s="743">
        <f>PL!BS9</f>
        <v>7586.3276699539992</v>
      </c>
      <c r="AJ3" s="696">
        <f>PL!BT9</f>
        <v>8641.7072848210009</v>
      </c>
      <c r="AK3" s="696">
        <f>PL!BU9</f>
        <v>8725.1719569720008</v>
      </c>
      <c r="AL3" s="696">
        <f>PL!BV9</f>
        <v>10704.055633280001</v>
      </c>
      <c r="AM3" s="743">
        <f>PL!BW9</f>
        <v>9730.2538443909998</v>
      </c>
      <c r="AN3" s="696">
        <f>PL!BX9</f>
        <v>10096.060090959001</v>
      </c>
      <c r="AO3" s="696">
        <f>PL!BY9</f>
        <v>11148.559020352999</v>
      </c>
      <c r="AP3" s="745">
        <f>PL!BZ9</f>
        <v>13042.426271109</v>
      </c>
      <c r="AQ3" s="745">
        <f>PL!CA9</f>
        <v>11681.378883303001</v>
      </c>
      <c r="AR3" s="745">
        <f>PL!CB9</f>
        <v>12484.364264902</v>
      </c>
      <c r="AS3" s="745">
        <f>PL!CC9</f>
        <v>13761.744975857</v>
      </c>
      <c r="AT3" s="745">
        <f>PL!CD9</f>
        <v>14690.412703323</v>
      </c>
      <c r="AU3" s="2055">
        <f>PL!CE9</f>
        <v>14092.928413699001</v>
      </c>
      <c r="AV3" s="2055">
        <f>PL!CF9</f>
        <v>15245.226416020001</v>
      </c>
      <c r="AW3" s="2055">
        <f>PL!CG9</f>
        <v>15902.821715757</v>
      </c>
      <c r="AX3" s="745">
        <f>PL!CH9</f>
        <v>17607.82</v>
      </c>
      <c r="AY3" s="696">
        <f>PL!CI9</f>
        <v>16058.140942460001</v>
      </c>
      <c r="AZ3" s="1468">
        <f>PL!CJ9</f>
        <v>16624.713040066999</v>
      </c>
      <c r="BA3" s="1468">
        <f>PL!CK9</f>
        <v>17204.521225302</v>
      </c>
      <c r="BB3" s="1468">
        <f>PL!CL9</f>
        <v>20225.449892880999</v>
      </c>
      <c r="BC3" s="1468">
        <v>12480</v>
      </c>
      <c r="BD3" s="1468">
        <f>BC3*4</f>
        <v>49920</v>
      </c>
      <c r="BE3" s="1468"/>
      <c r="BF3" s="1468"/>
      <c r="BG3" s="1468"/>
      <c r="BH3" s="1468"/>
      <c r="BI3" s="1468"/>
      <c r="BJ3" s="1468"/>
      <c r="BK3" s="1468"/>
      <c r="BL3" s="1468"/>
      <c r="BM3" s="696"/>
      <c r="BN3" s="696"/>
      <c r="BO3" s="696"/>
      <c r="BP3" s="1468">
        <v>26269</v>
      </c>
      <c r="BQ3" s="1468">
        <f>BP3-BC3</f>
        <v>13789</v>
      </c>
      <c r="BR3" s="696"/>
      <c r="BS3" s="696"/>
      <c r="BT3" s="696"/>
      <c r="BU3" s="399"/>
      <c r="BV3" s="399"/>
      <c r="BW3" s="399"/>
      <c r="BX3" s="399"/>
      <c r="BZ3" s="1615"/>
      <c r="CD3" s="250">
        <f>AE3+AF3</f>
        <v>13610.567409775</v>
      </c>
      <c r="CP3" s="9">
        <v>27060</v>
      </c>
      <c r="CQ3" s="9">
        <v>32827</v>
      </c>
    </row>
    <row r="4" spans="1:95" s="826" customFormat="1">
      <c r="A4" s="819" t="s">
        <v>793</v>
      </c>
      <c r="B4" s="820">
        <f>PL!I10</f>
        <v>-0.45582998602426605</v>
      </c>
      <c r="C4" s="820">
        <f t="shared" ref="C4:I4" si="6">C3/B3-1</f>
        <v>0.19399987697485854</v>
      </c>
      <c r="D4" s="820">
        <f t="shared" si="6"/>
        <v>7.6250799616477183E-2</v>
      </c>
      <c r="E4" s="820">
        <f t="shared" si="6"/>
        <v>0.19533301314420459</v>
      </c>
      <c r="F4" s="830">
        <f t="shared" si="6"/>
        <v>0.23423741868397752</v>
      </c>
      <c r="G4" s="830">
        <f t="shared" si="6"/>
        <v>0.19560248882670583</v>
      </c>
      <c r="H4" s="830">
        <f t="shared" si="6"/>
        <v>0.19443742550995746</v>
      </c>
      <c r="I4" s="830">
        <f t="shared" si="6"/>
        <v>0.11708896861817064</v>
      </c>
      <c r="J4" s="830">
        <f ca="1">J3/I3-1</f>
        <v>0.12444821472436574</v>
      </c>
      <c r="K4" s="830">
        <f t="shared" ref="K4:L4" ca="1" si="7">K3/J3-1</f>
        <v>0.14390351294034942</v>
      </c>
      <c r="L4" s="830">
        <f t="shared" ca="1" si="7"/>
        <v>0.14965845197466465</v>
      </c>
      <c r="M4" s="830"/>
      <c r="N4" s="830">
        <f ca="1">N3/H3-1</f>
        <v>5.5043860032945702E-2</v>
      </c>
      <c r="O4" s="820">
        <f>O3/G3-1</f>
        <v>5.9422917361760641E-2</v>
      </c>
      <c r="S4" s="820"/>
      <c r="T4" s="1755"/>
      <c r="U4" s="821"/>
      <c r="V4" s="821"/>
      <c r="W4" s="821"/>
      <c r="X4" s="822"/>
      <c r="Y4" s="822"/>
      <c r="Z4" s="822"/>
      <c r="AA4" s="823"/>
      <c r="AB4" s="824"/>
      <c r="AC4" s="824"/>
      <c r="AD4" s="825"/>
      <c r="AE4" s="1114" t="e">
        <f t="shared" ref="AE4:AY4" si="8">AE3/AA3-1</f>
        <v>#DIV/0!</v>
      </c>
      <c r="AF4" s="1114" t="e">
        <f t="shared" si="8"/>
        <v>#DIV/0!</v>
      </c>
      <c r="AG4" s="1114" t="e">
        <f t="shared" si="8"/>
        <v>#DIV/0!</v>
      </c>
      <c r="AH4" s="1114" t="e">
        <f t="shared" si="8"/>
        <v>#DIV/0!</v>
      </c>
      <c r="AI4" s="1114">
        <f t="shared" si="8"/>
        <v>0.14414499688665594</v>
      </c>
      <c r="AJ4" s="1114">
        <f t="shared" si="8"/>
        <v>0.23806650311083777</v>
      </c>
      <c r="AK4" s="1114">
        <f t="shared" si="8"/>
        <v>0.15517324407603228</v>
      </c>
      <c r="AL4" s="1114">
        <f t="shared" si="8"/>
        <v>0.23507793461108561</v>
      </c>
      <c r="AM4" s="1114">
        <f t="shared" si="8"/>
        <v>0.28260395117496961</v>
      </c>
      <c r="AN4" s="1114">
        <f t="shared" si="8"/>
        <v>0.16829461565917003</v>
      </c>
      <c r="AO4" s="1114">
        <f t="shared" si="8"/>
        <v>0.27774662497563152</v>
      </c>
      <c r="AP4" s="1114">
        <f t="shared" si="8"/>
        <v>0.21845651012488809</v>
      </c>
      <c r="AQ4" s="1114">
        <f t="shared" si="8"/>
        <v>0.20052149410641795</v>
      </c>
      <c r="AR4" s="1114">
        <f t="shared" si="8"/>
        <v>0.23655803872262204</v>
      </c>
      <c r="AS4" s="1114">
        <f t="shared" si="8"/>
        <v>0.23439674586942805</v>
      </c>
      <c r="AT4" s="1114">
        <f t="shared" si="8"/>
        <v>0.12635581738840629</v>
      </c>
      <c r="AU4" s="3140">
        <f t="shared" si="8"/>
        <v>0.20644390996023532</v>
      </c>
      <c r="AV4" s="3140">
        <f t="shared" si="8"/>
        <v>0.2211455940035143</v>
      </c>
      <c r="AW4" s="3140">
        <f t="shared" si="8"/>
        <v>0.15558177714063226</v>
      </c>
      <c r="AX4" s="1114">
        <f t="shared" si="8"/>
        <v>0.19859260291694025</v>
      </c>
      <c r="AY4" s="8">
        <f t="shared" si="8"/>
        <v>0.13944671193041169</v>
      </c>
      <c r="AZ4" s="1751">
        <f>AZ3/AV3-1</f>
        <v>9.0486463526537442E-2</v>
      </c>
      <c r="BA4" s="1751">
        <f>BA3/AW3-1</f>
        <v>8.1853367459640003E-2</v>
      </c>
      <c r="BB4" s="1751">
        <f>BB3/AX3-1</f>
        <v>0.14866291754919114</v>
      </c>
      <c r="BC4" s="3284"/>
      <c r="BD4" s="3284"/>
      <c r="BE4" s="3284"/>
      <c r="BF4" s="3284"/>
      <c r="BG4" s="3284"/>
      <c r="BH4" s="3284"/>
      <c r="BI4" s="3284"/>
      <c r="BJ4" s="3284"/>
      <c r="BK4" s="3284"/>
      <c r="BL4" s="3284"/>
      <c r="BM4" s="824"/>
      <c r="BN4" s="824"/>
      <c r="BO4" s="824"/>
      <c r="BP4" s="824"/>
      <c r="BQ4" s="824"/>
      <c r="BR4" s="824"/>
      <c r="BS4" s="824"/>
      <c r="BT4" s="824"/>
      <c r="BU4" s="822"/>
      <c r="BV4" s="822"/>
      <c r="BW4" s="822"/>
      <c r="BX4" s="822"/>
      <c r="CQ4" s="2">
        <f>CQ3/CP3-1</f>
        <v>0.21311899482631191</v>
      </c>
    </row>
    <row r="5" spans="1:95">
      <c r="A5" s="734" t="s">
        <v>742</v>
      </c>
      <c r="B5" s="737">
        <f>PL!I11</f>
        <v>14490.657872235999</v>
      </c>
      <c r="C5" s="737">
        <f>PL!J11</f>
        <v>17004.910529153</v>
      </c>
      <c r="D5" s="737">
        <f>PL!K11</f>
        <v>18016.743052097001</v>
      </c>
      <c r="E5" s="737">
        <f>PL!L11</f>
        <v>22025.298308248999</v>
      </c>
      <c r="F5" s="738">
        <f>PL!M11</f>
        <v>26842.249039712999</v>
      </c>
      <c r="G5" s="738">
        <f>PL!N11</f>
        <v>32298.347382702999</v>
      </c>
      <c r="H5" s="738">
        <f>PL!O11</f>
        <v>39150.449999999997</v>
      </c>
      <c r="I5" s="738">
        <f>PL!P11</f>
        <v>44217.42</v>
      </c>
      <c r="J5" s="739">
        <f ca="1">J57</f>
        <v>37370.88195262997</v>
      </c>
      <c r="K5" s="739">
        <f ca="1">K57</f>
        <v>43668.412058185721</v>
      </c>
      <c r="L5" s="739">
        <f ca="1">L57</f>
        <v>50958.990178573622</v>
      </c>
      <c r="M5" s="739">
        <f ca="1">J2*66%</f>
        <v>37748.440409078328</v>
      </c>
      <c r="N5" s="739">
        <f ca="1">N57</f>
        <v>41453.584949999997</v>
      </c>
      <c r="O5" s="739">
        <f>O57</f>
        <v>36150.136095566661</v>
      </c>
      <c r="S5" s="739"/>
      <c r="T5" s="2318"/>
      <c r="U5" s="817"/>
      <c r="V5" s="1"/>
      <c r="W5" s="1"/>
      <c r="X5" s="399"/>
      <c r="Y5" s="399"/>
      <c r="Z5" s="399"/>
      <c r="AA5" s="743"/>
      <c r="AB5" s="696"/>
      <c r="AC5" s="696"/>
      <c r="AD5" s="745"/>
      <c r="AE5" s="743">
        <f>PL!BO11</f>
        <v>4006.1865329120001</v>
      </c>
      <c r="AF5" s="696">
        <f>PL!BP11</f>
        <v>4258.2478243859996</v>
      </c>
      <c r="AG5" s="696">
        <f>PL!BQ11</f>
        <v>4554.3503122940001</v>
      </c>
      <c r="AH5" s="696">
        <f>PL!BR11</f>
        <v>5195.7836627340002</v>
      </c>
      <c r="AI5" s="743">
        <f>PL!BS11</f>
        <v>4691.800715286</v>
      </c>
      <c r="AJ5" s="696">
        <f>PL!BT11</f>
        <v>5201.5261419159997</v>
      </c>
      <c r="AK5" s="696">
        <f>PL!BU11</f>
        <v>5474.2432229469996</v>
      </c>
      <c r="AL5" s="696">
        <f>PL!BV11</f>
        <v>6609.6874579409996</v>
      </c>
      <c r="AM5" s="743">
        <f>PL!BW11</f>
        <v>5776.9325518380001</v>
      </c>
      <c r="AN5" s="696">
        <f>PL!BX11</f>
        <v>6253.3717416489999</v>
      </c>
      <c r="AO5" s="696">
        <f>PL!BY11</f>
        <v>6789.0733280960003</v>
      </c>
      <c r="AP5" s="745">
        <f>PL!BZ11</f>
        <v>7801.1524869470004</v>
      </c>
      <c r="AQ5" s="745">
        <f>PL!CA11</f>
        <v>7113.4998826090005</v>
      </c>
      <c r="AR5" s="745">
        <f>PL!CB11</f>
        <v>7850.5399578650004</v>
      </c>
      <c r="AS5" s="745">
        <f>PL!CC11</f>
        <v>8265.3760088409999</v>
      </c>
      <c r="AT5" s="745">
        <f>PL!CD11</f>
        <v>9058.5491431619994</v>
      </c>
      <c r="AU5" s="2055">
        <f>PL!CE11</f>
        <v>8582.4627336119993</v>
      </c>
      <c r="AV5" s="2055">
        <f>PL!CF11</f>
        <v>9593.8690931220008</v>
      </c>
      <c r="AW5" s="2055">
        <f>PL!CG11</f>
        <v>9743.8660513510004</v>
      </c>
      <c r="AX5" s="745">
        <f>PL!CH11</f>
        <v>11230.25</v>
      </c>
      <c r="AY5" s="696">
        <f>PL!CI11</f>
        <v>9756.7930381940005</v>
      </c>
      <c r="AZ5" s="1468">
        <f>PL!CJ11</f>
        <v>10603.672997092001</v>
      </c>
      <c r="BA5" s="1468">
        <f>PL!CK11</f>
        <v>10685.654746292001</v>
      </c>
      <c r="BB5" s="1468">
        <f>PL!CL11</f>
        <v>13178.174806719</v>
      </c>
      <c r="BC5" s="1468"/>
      <c r="BD5" s="1468"/>
      <c r="BE5" s="1468"/>
      <c r="BF5" s="1468"/>
      <c r="BG5" s="1468"/>
      <c r="BH5" s="1468"/>
      <c r="BI5" s="1468"/>
      <c r="BJ5" s="1468"/>
      <c r="BK5" s="1468"/>
      <c r="BL5" s="1468"/>
      <c r="BM5" s="696"/>
      <c r="BN5" s="696"/>
      <c r="BO5" s="696"/>
      <c r="BP5" s="696"/>
      <c r="BQ5" s="696"/>
      <c r="BR5" s="696"/>
      <c r="BS5" s="696"/>
      <c r="BT5" s="696"/>
      <c r="BU5" s="399"/>
      <c r="BV5" s="399"/>
      <c r="BW5" s="399"/>
      <c r="BX5" s="399"/>
      <c r="CD5" s="250">
        <f>AE5+AF5</f>
        <v>8264.4343572979997</v>
      </c>
      <c r="CF5" s="250">
        <f>SUM(AM5:AN5)</f>
        <v>12030.304293486999</v>
      </c>
    </row>
    <row r="6" spans="1:95" s="826" customFormat="1">
      <c r="A6" s="819" t="s">
        <v>795</v>
      </c>
      <c r="B6" s="820">
        <f t="shared" ref="B6:O6" si="9">B5/B3</f>
        <v>0.62423309127983218</v>
      </c>
      <c r="C6" s="820">
        <f t="shared" si="9"/>
        <v>0.61352004100483015</v>
      </c>
      <c r="D6" s="820">
        <f t="shared" si="9"/>
        <v>0.60397254927556343</v>
      </c>
      <c r="E6" s="820">
        <f t="shared" si="9"/>
        <v>0.61769459392560111</v>
      </c>
      <c r="F6" s="830">
        <f t="shared" si="9"/>
        <v>0.60991904376551043</v>
      </c>
      <c r="G6" s="830">
        <f t="shared" ref="G6:H6" si="10">G5/G3</f>
        <v>0.61382812455135649</v>
      </c>
      <c r="H6" s="830">
        <f t="shared" si="10"/>
        <v>0.62293084719689906</v>
      </c>
      <c r="I6" s="830">
        <f t="shared" ref="I6" si="11">I5/I3</f>
        <v>0.62980878590365241</v>
      </c>
      <c r="J6" s="820">
        <f ca="1">J5/J2</f>
        <v>0.6533987052562843</v>
      </c>
      <c r="K6" s="820">
        <f ca="1">K5/K3</f>
        <v>0.48356389020287072</v>
      </c>
      <c r="L6" s="820">
        <f ca="1">L5/L3</f>
        <v>0.49083829615472296</v>
      </c>
      <c r="M6" s="820"/>
      <c r="N6" s="820">
        <f ca="1">N5/N3</f>
        <v>0.62516500515848483</v>
      </c>
      <c r="O6" s="820">
        <f t="shared" si="9"/>
        <v>0.64849563205423189</v>
      </c>
      <c r="R6" s="268"/>
      <c r="S6" s="3420">
        <v>7913</v>
      </c>
      <c r="T6" s="2443">
        <f>S6/S8-1</f>
        <v>0.22777346780449959</v>
      </c>
      <c r="U6" s="821"/>
      <c r="V6" s="821"/>
      <c r="W6" s="821"/>
      <c r="X6" s="822"/>
      <c r="Y6" s="822"/>
      <c r="Z6" s="822"/>
      <c r="AA6" s="823"/>
      <c r="AB6" s="824"/>
      <c r="AC6" s="824"/>
      <c r="AD6" s="825"/>
      <c r="AE6" s="1114" t="e">
        <f t="shared" ref="AE6" si="12">AE5/AA5-1</f>
        <v>#DIV/0!</v>
      </c>
      <c r="AF6" s="1114" t="e">
        <f t="shared" ref="AF6" si="13">AF5/AB5-1</f>
        <v>#DIV/0!</v>
      </c>
      <c r="AG6" s="1114" t="e">
        <f t="shared" ref="AG6:AH6" si="14">AG5/AC5-1</f>
        <v>#DIV/0!</v>
      </c>
      <c r="AH6" s="1114" t="e">
        <f t="shared" si="14"/>
        <v>#DIV/0!</v>
      </c>
      <c r="AI6" s="1114">
        <f t="shared" ref="AI6" si="15">AI5/AE5-1</f>
        <v>0.17113885655135563</v>
      </c>
      <c r="AJ6" s="1114">
        <f t="shared" ref="AJ6" si="16">AJ5/AF5-1</f>
        <v>0.22151794738860975</v>
      </c>
      <c r="AK6" s="1114">
        <f t="shared" ref="AK6" si="17">AK5/AG5-1</f>
        <v>0.20198114935731737</v>
      </c>
      <c r="AL6" s="1114">
        <f t="shared" ref="AL6" si="18">AL5/AH5-1</f>
        <v>0.27212522440994191</v>
      </c>
      <c r="AM6" s="1114">
        <f t="shared" ref="AM6:AN6" si="19">AM5/AI5-1</f>
        <v>0.23128259327311462</v>
      </c>
      <c r="AN6" s="1114">
        <f t="shared" si="19"/>
        <v>0.2022186510333579</v>
      </c>
      <c r="AO6" s="1114">
        <f t="shared" ref="AO6" si="20">AO5/AK5-1</f>
        <v>0.24018481671356495</v>
      </c>
      <c r="AP6" s="1114">
        <f t="shared" ref="AP6" si="21">AP5/AL5-1</f>
        <v>0.18026041875467991</v>
      </c>
      <c r="AQ6" s="1114">
        <f t="shared" ref="AQ6" si="22">AQ5/AM5-1</f>
        <v>0.23136280695293143</v>
      </c>
      <c r="AR6" s="1114">
        <f t="shared" ref="AR6" si="23">AR5/AN5-1</f>
        <v>0.25540912682009065</v>
      </c>
      <c r="AS6" s="1114">
        <f t="shared" ref="AS6:AT6" si="24">AS5/AO5-1</f>
        <v>0.21745275229764371</v>
      </c>
      <c r="AT6" s="1114">
        <f t="shared" si="24"/>
        <v>0.16118088427561084</v>
      </c>
      <c r="AU6" s="3140">
        <f t="shared" ref="AU6" si="25">AU5/AQ5-1</f>
        <v>0.20650353205098115</v>
      </c>
      <c r="AV6" s="3140">
        <f t="shared" ref="AV6" si="26">AV5/AR5-1</f>
        <v>0.22206487001068753</v>
      </c>
      <c r="AW6" s="3140">
        <f t="shared" ref="AW6" si="27">AW5/AS5-1</f>
        <v>0.17887752970083204</v>
      </c>
      <c r="AX6" s="1114">
        <f t="shared" ref="AX6" si="28">AX5/AT5-1</f>
        <v>0.23974047306210688</v>
      </c>
      <c r="AY6" s="8">
        <f t="shared" ref="AY6" si="29">AY5/AU5-1</f>
        <v>0.13682905956385949</v>
      </c>
      <c r="AZ6" s="1751">
        <f>AZ5/AV5-1</f>
        <v>0.10525512639045131</v>
      </c>
      <c r="BA6" s="1751">
        <f>BA5/AW5-1</f>
        <v>9.665451987719198E-2</v>
      </c>
      <c r="BB6" s="1751">
        <f>BB5/AX5-1</f>
        <v>0.17345337875105193</v>
      </c>
      <c r="BC6" s="3284"/>
      <c r="BD6" s="3284"/>
      <c r="BE6" s="3284"/>
      <c r="BF6" s="3284"/>
      <c r="BG6" s="3284"/>
      <c r="BH6" s="3284"/>
      <c r="BI6" s="3284"/>
      <c r="BJ6" s="3284"/>
      <c r="BK6" s="3284"/>
      <c r="BL6" s="3284"/>
      <c r="BM6" s="824"/>
      <c r="BN6" s="824"/>
      <c r="BO6" s="824"/>
      <c r="BP6" s="824"/>
      <c r="BQ6" s="824"/>
      <c r="BR6" s="824"/>
      <c r="BS6" s="824"/>
      <c r="BT6" s="824"/>
      <c r="BU6" s="822"/>
      <c r="BV6" s="822"/>
      <c r="BW6" s="822"/>
      <c r="BX6" s="822"/>
    </row>
    <row r="7" spans="1:95">
      <c r="A7" s="734" t="s">
        <v>862</v>
      </c>
      <c r="B7" s="737">
        <f t="shared" ref="B7:O7" si="30">B3-B5</f>
        <v>8722.8789854890019</v>
      </c>
      <c r="C7" s="737">
        <f t="shared" si="30"/>
        <v>10712.049623121999</v>
      </c>
      <c r="D7" s="737">
        <f t="shared" si="30"/>
        <v>11813.657474726999</v>
      </c>
      <c r="E7" s="737">
        <f t="shared" si="30"/>
        <v>13631.964236778</v>
      </c>
      <c r="F7" s="738">
        <f t="shared" si="30"/>
        <v>17167.278641198001</v>
      </c>
      <c r="G7" s="738">
        <f t="shared" ref="G7:H7" si="31">G3-G5</f>
        <v>20319.553444681998</v>
      </c>
      <c r="H7" s="738">
        <f t="shared" si="31"/>
        <v>23698.340000000004</v>
      </c>
      <c r="I7" s="738">
        <f t="shared" ref="I7" si="32">I3-I5</f>
        <v>25990.270000000004</v>
      </c>
      <c r="J7" s="737">
        <f ca="1">J2-J5</f>
        <v>19823.724727791734</v>
      </c>
      <c r="K7" s="737">
        <f t="shared" ref="K7:L7" ca="1" si="33">K2-K5</f>
        <v>22276.608141814293</v>
      </c>
      <c r="L7" s="737">
        <f t="shared" ca="1" si="33"/>
        <v>25577.749681426394</v>
      </c>
      <c r="M7" s="737"/>
      <c r="N7" s="737">
        <f ca="1">N3-N5</f>
        <v>24854.645049999999</v>
      </c>
      <c r="O7" s="737">
        <f t="shared" si="30"/>
        <v>19594.473904433347</v>
      </c>
      <c r="S7" s="3420">
        <v>1038</v>
      </c>
      <c r="T7" s="2443">
        <f>S7/S9-1</f>
        <v>0.24759615384615374</v>
      </c>
      <c r="U7" s="1"/>
      <c r="V7" s="1"/>
      <c r="W7" s="1"/>
      <c r="X7" s="399"/>
      <c r="Y7" s="399"/>
      <c r="Z7" s="399"/>
      <c r="AA7" s="743"/>
      <c r="AB7" s="696"/>
      <c r="AC7" s="696"/>
      <c r="AD7" s="745"/>
      <c r="AE7" s="743">
        <f>PL!BO13</f>
        <v>2624.3783785259998</v>
      </c>
      <c r="AF7" s="696">
        <f>PL!BP13</f>
        <v>2721.7546739509999</v>
      </c>
      <c r="AG7" s="696">
        <f>PL!BQ13</f>
        <v>2998.7781917779998</v>
      </c>
      <c r="AH7" s="696">
        <f>PL!BR13</f>
        <v>3470.9209502429999</v>
      </c>
      <c r="AI7" s="743">
        <f>PL!BS13</f>
        <v>2894.5269546680001</v>
      </c>
      <c r="AJ7" s="696">
        <f>PL!BT13</f>
        <v>3440.1811429049999</v>
      </c>
      <c r="AK7" s="696">
        <f>PL!BU13</f>
        <v>3250.9287340249998</v>
      </c>
      <c r="AL7" s="696">
        <f>PL!BV13</f>
        <v>4094.3681753390001</v>
      </c>
      <c r="AM7" s="743">
        <f>PL!BW13</f>
        <v>3953.3212925530001</v>
      </c>
      <c r="AN7" s="696">
        <f>PL!BX13</f>
        <v>3842.6883493099999</v>
      </c>
      <c r="AO7" s="696">
        <f>PL!BY13</f>
        <v>4359.4856922569998</v>
      </c>
      <c r="AP7" s="745">
        <f>PL!BZ13</f>
        <v>5241.2737841620001</v>
      </c>
      <c r="AQ7" s="745">
        <f>PL!CA13</f>
        <v>4567.8790006939998</v>
      </c>
      <c r="AR7" s="745">
        <f>PL!CB13</f>
        <v>4633.8243070369999</v>
      </c>
      <c r="AS7" s="745">
        <f>PL!CC13</f>
        <v>5496.3689670160002</v>
      </c>
      <c r="AT7" s="745">
        <f>PL!CD13</f>
        <v>5631.8635601610004</v>
      </c>
      <c r="AU7" s="2055">
        <f>PL!CE13</f>
        <v>5510.4656800869998</v>
      </c>
      <c r="AV7" s="2055">
        <f>PL!CF13</f>
        <v>5651.3573228980003</v>
      </c>
      <c r="AW7" s="2055">
        <f>PL!CG13</f>
        <v>6158.9556644060003</v>
      </c>
      <c r="AX7" s="745">
        <f>PL!CH13</f>
        <v>6377.57</v>
      </c>
      <c r="AY7" s="696">
        <f>PL!CI13</f>
        <v>6301.3479042660001</v>
      </c>
      <c r="AZ7" s="1468">
        <f>PL!CJ13</f>
        <v>6021.0400429749998</v>
      </c>
      <c r="BA7" s="1468">
        <f>PL!CK13</f>
        <v>6518.8664790100001</v>
      </c>
      <c r="BB7" s="1468">
        <f>PL!CL13</f>
        <v>7047.2750861619998</v>
      </c>
      <c r="BC7" s="1468"/>
      <c r="BD7" s="1468"/>
      <c r="BE7" s="1468"/>
      <c r="BF7" s="1468"/>
      <c r="BG7" s="1468"/>
      <c r="BH7" s="1468"/>
      <c r="BI7" s="1468"/>
      <c r="BJ7" s="1468"/>
      <c r="BK7" s="1468"/>
      <c r="BL7" s="1468"/>
      <c r="BM7" s="696"/>
      <c r="BN7" s="696"/>
      <c r="BO7" s="696"/>
      <c r="BP7" s="696"/>
      <c r="BQ7" s="696"/>
      <c r="BR7" s="696"/>
      <c r="BS7" s="696"/>
      <c r="BT7" s="696"/>
      <c r="BU7" s="399"/>
      <c r="BV7" s="399"/>
      <c r="BW7" s="399"/>
      <c r="BX7" s="399"/>
      <c r="CD7" s="250">
        <f>AE7+AF7</f>
        <v>5346.1330524770001</v>
      </c>
    </row>
    <row r="8" spans="1:95" s="826" customFormat="1">
      <c r="A8" s="819" t="s">
        <v>794</v>
      </c>
      <c r="B8" s="820">
        <f t="shared" ref="B8:O8" si="34">B7/B3</f>
        <v>0.37576690872016782</v>
      </c>
      <c r="C8" s="820">
        <f t="shared" si="34"/>
        <v>0.38647995899516985</v>
      </c>
      <c r="D8" s="820">
        <f t="shared" si="34"/>
        <v>0.39602745072443657</v>
      </c>
      <c r="E8" s="820">
        <f t="shared" si="34"/>
        <v>0.38230540607439883</v>
      </c>
      <c r="F8" s="830">
        <f t="shared" si="34"/>
        <v>0.39008095623448957</v>
      </c>
      <c r="G8" s="830">
        <f t="shared" ref="G8:H8" si="35">G7/G3</f>
        <v>0.38617187544864356</v>
      </c>
      <c r="H8" s="830">
        <f t="shared" si="35"/>
        <v>0.37706915280310094</v>
      </c>
      <c r="I8" s="830">
        <f>I7/I2</f>
        <v>0.51358252596588183</v>
      </c>
      <c r="J8" s="830">
        <f t="shared" ref="J8:L8" ca="1" si="36">J7/J2</f>
        <v>0.3466012947437157</v>
      </c>
      <c r="K8" s="830">
        <f t="shared" ca="1" si="36"/>
        <v>0.33780576720202882</v>
      </c>
      <c r="L8" s="830">
        <f t="shared" ca="1" si="36"/>
        <v>0.33418917147781407</v>
      </c>
      <c r="M8" s="820"/>
      <c r="N8" s="820">
        <f ca="1">N7/N3</f>
        <v>0.37483499484151517</v>
      </c>
      <c r="O8" s="820">
        <f t="shared" si="34"/>
        <v>0.35150436794576811</v>
      </c>
      <c r="Q8" s="9">
        <v>56404</v>
      </c>
      <c r="R8" s="3237">
        <v>62849</v>
      </c>
      <c r="S8" s="3420">
        <f>R8-Q8</f>
        <v>6445</v>
      </c>
      <c r="T8" s="1756"/>
      <c r="U8" s="821"/>
      <c r="V8" s="821"/>
      <c r="W8" s="821"/>
      <c r="X8" s="822"/>
      <c r="Y8" s="822"/>
      <c r="Z8" s="822"/>
      <c r="AA8" s="823"/>
      <c r="AB8" s="824"/>
      <c r="AC8" s="824"/>
      <c r="AD8" s="825"/>
      <c r="AE8" s="974">
        <f>PL!BO14</f>
        <v>0.39580011862923448</v>
      </c>
      <c r="AF8" s="834">
        <f>PL!BP14</f>
        <v>0.38993606013743742</v>
      </c>
      <c r="AG8" s="834">
        <f>PL!BQ14</f>
        <v>0.39702464881423843</v>
      </c>
      <c r="AH8" s="834">
        <f>PL!BR14</f>
        <v>0.40048912536442666</v>
      </c>
      <c r="AI8" s="974">
        <f>PL!BS14</f>
        <v>0.38154520613865756</v>
      </c>
      <c r="AJ8" s="834">
        <f>PL!BT14</f>
        <v>0.3980904501298736</v>
      </c>
      <c r="AK8" s="834">
        <f>PL!BU14</f>
        <v>0.37259193859523748</v>
      </c>
      <c r="AL8" s="834">
        <f>PL!BV14</f>
        <v>0.38250624955733525</v>
      </c>
      <c r="AM8" s="974">
        <f>PL!BW14</f>
        <v>0.40629169143741201</v>
      </c>
      <c r="AN8" s="834">
        <f>PL!BX14</f>
        <v>0.38061266619749207</v>
      </c>
      <c r="AO8" s="834">
        <f>PL!BY14</f>
        <v>0.39103579972068575</v>
      </c>
      <c r="AP8" s="981">
        <f>PL!BZ14</f>
        <v>0.40186340142648425</v>
      </c>
      <c r="AQ8" s="981">
        <f>PL!CA14</f>
        <v>0.39103936669866807</v>
      </c>
      <c r="AR8" s="981">
        <f>PL!CB14</f>
        <v>0.37117022610949701</v>
      </c>
      <c r="AS8" s="981">
        <f>PL!CC14</f>
        <v>0.39939476982450905</v>
      </c>
      <c r="AT8" s="981">
        <f>PL!CD14</f>
        <v>0.383370002865002</v>
      </c>
      <c r="AU8" s="3141">
        <f>PL!CE14</f>
        <v>0.39100927204955949</v>
      </c>
      <c r="AV8" s="3141">
        <f>PL!CF14</f>
        <v>0.37069684428953031</v>
      </c>
      <c r="AW8" s="3141">
        <f>PL!CG14</f>
        <v>0.38728697173933097</v>
      </c>
      <c r="AX8" s="981">
        <f>PL!CH14</f>
        <v>0.36220099932870736</v>
      </c>
      <c r="AY8" s="834">
        <f>PL!CI14</f>
        <v>0.39240830721595815</v>
      </c>
      <c r="AZ8" s="1495">
        <f>PL!CJ14</f>
        <v>0.36217407352919545</v>
      </c>
      <c r="BA8" s="1495">
        <f>PL!CK14</f>
        <v>0.37890426554985818</v>
      </c>
      <c r="BB8" s="1495">
        <f>PL!CL14</f>
        <v>0.34843601123762968</v>
      </c>
      <c r="BC8" s="1495"/>
      <c r="BD8" s="1495"/>
      <c r="BE8" s="1495"/>
      <c r="BF8" s="1495"/>
      <c r="BG8" s="1495"/>
      <c r="BH8" s="1495"/>
      <c r="BI8" s="1495"/>
      <c r="BJ8" s="1495"/>
      <c r="BK8" s="1495"/>
      <c r="BL8" s="1495"/>
      <c r="BM8" s="834"/>
      <c r="BN8" s="834"/>
      <c r="BO8" s="834"/>
      <c r="BP8" s="834"/>
      <c r="BQ8" s="834"/>
      <c r="BR8" s="834"/>
      <c r="BS8" s="834"/>
      <c r="BT8" s="834"/>
      <c r="BU8" s="822"/>
      <c r="BV8" s="822"/>
      <c r="BW8" s="822"/>
      <c r="BX8" s="822"/>
    </row>
    <row r="9" spans="1:95">
      <c r="A9" s="734"/>
      <c r="B9" s="737"/>
      <c r="C9" s="737"/>
      <c r="D9" s="737"/>
      <c r="E9" s="737"/>
      <c r="F9" s="696"/>
      <c r="G9" s="696"/>
      <c r="H9" s="696"/>
      <c r="I9" s="696"/>
      <c r="J9" s="739"/>
      <c r="K9" s="739"/>
      <c r="L9" s="739"/>
      <c r="M9" s="739"/>
      <c r="N9" s="739"/>
      <c r="O9" s="739"/>
      <c r="Q9" s="9">
        <v>10239</v>
      </c>
      <c r="R9" s="3237">
        <v>11071</v>
      </c>
      <c r="S9" s="3421">
        <f>R9-Q9</f>
        <v>832</v>
      </c>
      <c r="T9" s="1848" t="s">
        <v>1117</v>
      </c>
      <c r="U9" s="1760" t="s">
        <v>1641</v>
      </c>
      <c r="V9" s="1760" t="s">
        <v>1043</v>
      </c>
      <c r="Y9" s="399"/>
      <c r="Z9" s="399"/>
      <c r="AA9" s="743"/>
      <c r="AB9" s="696"/>
      <c r="AC9" s="696"/>
      <c r="AD9" s="745"/>
      <c r="AE9" s="743"/>
      <c r="AF9" s="696"/>
      <c r="AG9" s="696"/>
      <c r="AH9" s="745"/>
      <c r="AI9" s="743"/>
      <c r="AJ9" s="696"/>
      <c r="AK9" s="696"/>
      <c r="AL9" s="696"/>
      <c r="AM9" s="743"/>
      <c r="AN9" s="696"/>
      <c r="AO9" s="696"/>
      <c r="AP9" s="745"/>
      <c r="AQ9" s="696"/>
      <c r="AR9" s="696"/>
      <c r="AS9" s="696"/>
      <c r="AT9" s="745"/>
      <c r="AU9" s="2055"/>
      <c r="AV9" s="2055"/>
      <c r="AW9" s="2055"/>
      <c r="AX9" s="745"/>
      <c r="AY9" s="696"/>
      <c r="AZ9" s="1468"/>
      <c r="BA9" s="1468"/>
      <c r="BB9" s="1468"/>
      <c r="BC9" s="1468"/>
      <c r="BD9" s="1468"/>
      <c r="BE9" s="1468"/>
      <c r="BF9" s="1468"/>
      <c r="BG9" s="1468"/>
      <c r="BH9" s="1468"/>
      <c r="BI9" s="1468"/>
      <c r="BJ9" s="1468"/>
      <c r="BK9" s="1468"/>
      <c r="BL9" s="1468"/>
      <c r="BM9" s="696"/>
      <c r="BN9" s="696"/>
      <c r="BO9" s="696"/>
      <c r="BP9" s="696"/>
      <c r="BQ9" s="696"/>
      <c r="BR9" s="696"/>
      <c r="BS9" s="696"/>
      <c r="BT9" s="696"/>
      <c r="BU9" s="399"/>
      <c r="BV9" s="399"/>
      <c r="BW9" s="399"/>
      <c r="BX9" s="399"/>
      <c r="CD9" s="250"/>
    </row>
    <row r="10" spans="1:95" s="1" customFormat="1">
      <c r="A10" s="1404" t="s">
        <v>163</v>
      </c>
      <c r="B10" s="1405">
        <f t="shared" ref="B10:G10" si="37">SUM(B12:B13,B15:B17)</f>
        <v>23213.536857725001</v>
      </c>
      <c r="C10" s="1405">
        <f t="shared" si="37"/>
        <v>27716.960152274998</v>
      </c>
      <c r="D10" s="1405">
        <f t="shared" si="37"/>
        <v>29830.400526824</v>
      </c>
      <c r="E10" s="1405">
        <f t="shared" si="37"/>
        <v>35657.262545027006</v>
      </c>
      <c r="F10" s="1405">
        <f t="shared" si="37"/>
        <v>44009.527680910993</v>
      </c>
      <c r="G10" s="1112">
        <f t="shared" si="37"/>
        <v>52618</v>
      </c>
      <c r="H10" s="1112">
        <f t="shared" ref="H10" si="38">SUM(H12:H13,H15:H17)</f>
        <v>62850</v>
      </c>
      <c r="I10" s="1112">
        <f>SUM(I12:I13,I15:I17)</f>
        <v>70114</v>
      </c>
      <c r="J10" s="1406">
        <f ca="1">SUM(J11,J14,J17)</f>
        <v>78944.911680421705</v>
      </c>
      <c r="K10" s="1406">
        <f ca="1">SUM(K11,K14,K17)</f>
        <v>90305.361800000013</v>
      </c>
      <c r="L10" s="1406">
        <f ca="1">SUM(L11,L14,L17)</f>
        <v>103820.32245200002</v>
      </c>
      <c r="M10" s="1406"/>
      <c r="N10" s="1406">
        <f ca="1">SUM(N11,N14,N17)</f>
        <v>66308.23</v>
      </c>
      <c r="O10" s="1406">
        <f>SUM(O11,O14,O17)</f>
        <v>55744.610000000008</v>
      </c>
      <c r="S10" s="3419" t="s">
        <v>2077</v>
      </c>
      <c r="T10" s="2046" t="s">
        <v>163</v>
      </c>
      <c r="U10" s="2047">
        <f>U11+U12+U13</f>
        <v>61850</v>
      </c>
      <c r="V10" s="2049"/>
      <c r="Y10" s="399"/>
      <c r="Z10" s="399"/>
      <c r="AA10" s="780">
        <f t="shared" ref="AA10:AD10" si="39">AA3</f>
        <v>0</v>
      </c>
      <c r="AB10" s="780">
        <f t="shared" si="39"/>
        <v>0</v>
      </c>
      <c r="AC10" s="780">
        <f t="shared" si="39"/>
        <v>0</v>
      </c>
      <c r="AD10" s="780">
        <f t="shared" si="39"/>
        <v>0</v>
      </c>
      <c r="AE10" s="780">
        <f>AE3</f>
        <v>6630.5649114379994</v>
      </c>
      <c r="AF10" s="698">
        <f>AF3</f>
        <v>6980.0024983370004</v>
      </c>
      <c r="AG10" s="698">
        <f>AG3</f>
        <v>7553.1285040719995</v>
      </c>
      <c r="AH10" s="698">
        <f>AH3</f>
        <v>8666.7046129769988</v>
      </c>
      <c r="AI10" s="780">
        <f t="shared" ref="AI10:AP10" si="40">AI3</f>
        <v>7586.3276699539992</v>
      </c>
      <c r="AJ10" s="698">
        <f t="shared" si="40"/>
        <v>8641.7072848210009</v>
      </c>
      <c r="AK10" s="698">
        <f t="shared" si="40"/>
        <v>8725.1719569720008</v>
      </c>
      <c r="AL10" s="698">
        <f t="shared" si="40"/>
        <v>10704.055633280001</v>
      </c>
      <c r="AM10" s="780">
        <f t="shared" si="40"/>
        <v>9730.2538443909998</v>
      </c>
      <c r="AN10" s="698">
        <f t="shared" si="40"/>
        <v>10096.060090959001</v>
      </c>
      <c r="AO10" s="698">
        <f t="shared" si="40"/>
        <v>11148.559020352999</v>
      </c>
      <c r="AP10" s="1101">
        <f t="shared" si="40"/>
        <v>13042.426271109</v>
      </c>
      <c r="AQ10" s="698">
        <f>SUM(AQ12:AQ13,AQ15:AQ17)</f>
        <v>11687.891</v>
      </c>
      <c r="AR10" s="1908">
        <f>24166-AQ10</f>
        <v>12478.109</v>
      </c>
      <c r="AS10" s="248">
        <f>37927-AR10-AQ10</f>
        <v>13761</v>
      </c>
      <c r="AT10" s="1811">
        <f>52618-AS10-AR10-AQ10</f>
        <v>14691</v>
      </c>
      <c r="AU10" s="3142">
        <f>AU11+AU14+AU17</f>
        <v>14092</v>
      </c>
      <c r="AV10" s="3142">
        <f>AV11+AV14+AV17</f>
        <v>15246</v>
      </c>
      <c r="AW10" s="3142">
        <f>45241-AV10-AU10</f>
        <v>15903</v>
      </c>
      <c r="AX10" s="1811">
        <f>62849-AW10-AV10-AU10</f>
        <v>17608</v>
      </c>
      <c r="AY10" s="248">
        <v>16058</v>
      </c>
      <c r="AZ10" s="1913">
        <f>32683-AY10</f>
        <v>16625</v>
      </c>
      <c r="BA10" s="1913">
        <f>49887-AZ10-AY10</f>
        <v>17204</v>
      </c>
      <c r="BB10" s="1913">
        <f>49887-BA10-AZ10</f>
        <v>16058</v>
      </c>
      <c r="BC10" s="1913"/>
      <c r="BD10" s="1913">
        <f>AQ10+AR10</f>
        <v>24166</v>
      </c>
      <c r="BE10" s="1913">
        <f>AU10+AV10</f>
        <v>29338</v>
      </c>
      <c r="BF10" s="1913"/>
      <c r="BG10" s="1913"/>
      <c r="BH10" s="1913"/>
      <c r="BI10" s="1913">
        <f>AY10+AZ10</f>
        <v>32683</v>
      </c>
      <c r="BJ10" s="1913"/>
      <c r="BK10" s="1913"/>
      <c r="BL10" s="1468">
        <f t="shared" ref="BL10:BL16" si="41">BA10+AZ10+AY10</f>
        <v>49887</v>
      </c>
      <c r="BM10" s="248"/>
      <c r="BN10" s="8">
        <f t="shared" ref="BN10:BN17" ca="1" si="42">BI10/N10</f>
        <v>0.492895075015575</v>
      </c>
      <c r="BO10" s="1449"/>
      <c r="BP10" s="1913">
        <v>26269</v>
      </c>
      <c r="BQ10" s="1913">
        <f>BP10-BC3</f>
        <v>13789</v>
      </c>
      <c r="BR10" s="1449"/>
      <c r="BS10" s="2448"/>
      <c r="BT10" s="698"/>
      <c r="BU10" s="1132"/>
      <c r="BV10" s="399"/>
      <c r="BW10" s="1909"/>
      <c r="BX10" s="1402"/>
      <c r="BZ10" s="1615"/>
      <c r="CA10" s="725"/>
      <c r="CD10" s="250">
        <f t="shared" ref="CD10:CD17" si="43">AE10+AF10</f>
        <v>13610.567409775</v>
      </c>
      <c r="CE10" s="1883">
        <f>AI10+AJ10</f>
        <v>16228.034954775001</v>
      </c>
      <c r="CF10" s="1883">
        <f>AM10+AN10</f>
        <v>19826.313935350001</v>
      </c>
      <c r="CG10" s="1883">
        <f>AQ10+AR10</f>
        <v>24166</v>
      </c>
      <c r="CH10" s="1883"/>
    </row>
    <row r="11" spans="1:95">
      <c r="A11" s="1407" t="s">
        <v>1027</v>
      </c>
      <c r="B11" s="738">
        <f>SUM(B12:B13)</f>
        <v>13401.574000000001</v>
      </c>
      <c r="C11" s="738">
        <f>SUM(C12:C13)</f>
        <v>15783.421</v>
      </c>
      <c r="D11" s="738">
        <f>SUM(D12:D13)</f>
        <v>16804.932000000001</v>
      </c>
      <c r="E11" s="738">
        <f>SUM(E12:E13)</f>
        <v>20872.243999999999</v>
      </c>
      <c r="F11" s="738">
        <f>SUM(F12:F13)</f>
        <v>25762.901999999998</v>
      </c>
      <c r="G11" s="738">
        <f>31449</f>
        <v>31449</v>
      </c>
      <c r="H11" s="738">
        <v>39110</v>
      </c>
      <c r="I11" s="738">
        <v>44475</v>
      </c>
      <c r="J11" s="1163">
        <f ca="1">SUM(J12,J13)</f>
        <v>50756.006680421699</v>
      </c>
      <c r="K11" s="1163">
        <f ca="1">SUM(K12,K13)</f>
        <v>58733.788200000003</v>
      </c>
      <c r="L11" s="1163">
        <f ca="1">SUM(L12,L13)</f>
        <v>68460.16002000001</v>
      </c>
      <c r="M11" s="1163">
        <f ca="1">J11+J17</f>
        <v>57194.606680421697</v>
      </c>
      <c r="N11" s="1163">
        <f ca="1">SUM(N12,N13)</f>
        <v>39843.130000000005</v>
      </c>
      <c r="O11" s="1163">
        <f>SUM(O12,O13)</f>
        <v>31950.27</v>
      </c>
      <c r="S11" s="1408"/>
      <c r="T11" s="734" t="s">
        <v>1027</v>
      </c>
      <c r="U11" s="696">
        <v>38150</v>
      </c>
      <c r="V11" s="2048"/>
      <c r="Y11" s="7"/>
      <c r="Z11" s="7"/>
      <c r="AA11" s="743"/>
      <c r="AB11" s="696"/>
      <c r="AC11" s="696"/>
      <c r="AD11" s="745"/>
      <c r="AE11" s="743">
        <f>SUM(AE12:AE13)</f>
        <v>3594.085</v>
      </c>
      <c r="AF11" s="696">
        <f t="shared" ref="AF11:AQ11" si="44">SUM(AF12:AF13)</f>
        <v>3933.248</v>
      </c>
      <c r="AG11" s="696">
        <f t="shared" si="44"/>
        <v>4183.6299999999992</v>
      </c>
      <c r="AH11" s="696">
        <f t="shared" si="44"/>
        <v>5093.9690000000001</v>
      </c>
      <c r="AI11" s="743">
        <f t="shared" si="44"/>
        <v>4177.3510000000006</v>
      </c>
      <c r="AJ11" s="696">
        <f t="shared" si="44"/>
        <v>4969.3169999999991</v>
      </c>
      <c r="AK11" s="696">
        <f t="shared" si="44"/>
        <v>5237.5520000000006</v>
      </c>
      <c r="AL11" s="696">
        <f t="shared" si="44"/>
        <v>6488.0239999999994</v>
      </c>
      <c r="AM11" s="743">
        <f t="shared" si="44"/>
        <v>5641.1120000000001</v>
      </c>
      <c r="AN11" s="696">
        <f t="shared" si="44"/>
        <v>5713.3919999999998</v>
      </c>
      <c r="AO11" s="696">
        <f t="shared" si="44"/>
        <v>6564.0010000000002</v>
      </c>
      <c r="AP11" s="696">
        <f t="shared" si="44"/>
        <v>7852.1680000000006</v>
      </c>
      <c r="AQ11" s="743">
        <f t="shared" si="44"/>
        <v>6844.7910000000002</v>
      </c>
      <c r="AR11" s="696">
        <f>14202-AQ11</f>
        <v>7357.2089999999998</v>
      </c>
      <c r="AS11" s="250">
        <f>22517-AR11-AQ11</f>
        <v>8315</v>
      </c>
      <c r="AT11" s="2437">
        <f>31449-AS11-AR11-AQ11</f>
        <v>8932</v>
      </c>
      <c r="AU11" s="3143">
        <f>AU13+AU12</f>
        <v>8471</v>
      </c>
      <c r="AV11" s="3143">
        <f>AV13+AV12</f>
        <v>9606</v>
      </c>
      <c r="AW11" s="3143">
        <f>27964-AV11-AU11</f>
        <v>9887</v>
      </c>
      <c r="AX11" s="2437">
        <f>39110-AW11-AV11-AU11</f>
        <v>11146</v>
      </c>
      <c r="AY11" s="250">
        <v>9769</v>
      </c>
      <c r="AZ11" s="1615">
        <f>20128-AY11</f>
        <v>10359</v>
      </c>
      <c r="BA11" s="1615">
        <f>30949-AZ11-AY11</f>
        <v>10821</v>
      </c>
      <c r="BB11" s="1615">
        <f>44475-BA11-AZ11-AY11</f>
        <v>13526</v>
      </c>
      <c r="BC11" s="1615">
        <v>10842</v>
      </c>
      <c r="BD11" s="1913">
        <f t="shared" ref="BD11:BD17" si="45">AQ11+AR11</f>
        <v>14202</v>
      </c>
      <c r="BE11" s="1913">
        <f t="shared" ref="BE11:BE17" si="46">AU11+AV11</f>
        <v>18077</v>
      </c>
      <c r="BF11" s="1913"/>
      <c r="BG11" s="1913"/>
      <c r="BH11" s="1913"/>
      <c r="BI11" s="1913">
        <f t="shared" ref="BI11:BI17" si="47">AY11+AZ11</f>
        <v>20128</v>
      </c>
      <c r="BJ11" s="1913"/>
      <c r="BK11" s="1615"/>
      <c r="BL11" s="1468">
        <f t="shared" si="41"/>
        <v>30949</v>
      </c>
      <c r="BM11" s="250"/>
      <c r="BN11" s="8">
        <f t="shared" ca="1" si="42"/>
        <v>0.50518119434893793</v>
      </c>
      <c r="BO11" s="250"/>
      <c r="BP11" s="1615">
        <v>23138</v>
      </c>
      <c r="BQ11" s="1615">
        <f>BP11-BC11</f>
        <v>12296</v>
      </c>
      <c r="BR11" s="696"/>
      <c r="BS11" s="696"/>
      <c r="BT11" s="696"/>
      <c r="BU11" s="739"/>
      <c r="BV11" s="1133"/>
      <c r="BW11" s="1133"/>
      <c r="BX11" s="739"/>
      <c r="BZ11" s="1615"/>
      <c r="CA11" s="725"/>
      <c r="CD11" s="250">
        <f t="shared" si="43"/>
        <v>7527.3330000000005</v>
      </c>
      <c r="CE11" s="1883">
        <f t="shared" ref="CE11:CE17" si="48">AI11+AJ11</f>
        <v>9146.6679999999997</v>
      </c>
      <c r="CF11" s="1883">
        <f t="shared" ref="CF11:CF17" si="49">AM11+AN11</f>
        <v>11354.504000000001</v>
      </c>
      <c r="CG11" s="1883">
        <f t="shared" ref="CG11:CG17" si="50">AQ11+AR11</f>
        <v>14202</v>
      </c>
      <c r="CH11" s="1883"/>
      <c r="CI11" s="2">
        <f>CG11/CF11-1</f>
        <v>0.25078118780001302</v>
      </c>
    </row>
    <row r="12" spans="1:95">
      <c r="A12" s="1409" t="s">
        <v>854</v>
      </c>
      <c r="B12" s="738">
        <v>8443.4719999999998</v>
      </c>
      <c r="C12" s="738">
        <v>10848.063</v>
      </c>
      <c r="D12" s="738">
        <v>12000.26</v>
      </c>
      <c r="E12" s="738">
        <v>14540.800999999999</v>
      </c>
      <c r="F12" s="696">
        <v>18915.493999999999</v>
      </c>
      <c r="G12" s="696">
        <v>24288</v>
      </c>
      <c r="H12" s="696">
        <v>30953</v>
      </c>
      <c r="I12" s="696">
        <v>35382</v>
      </c>
      <c r="J12" s="696">
        <f ca="1">I12*(1+Scenarios!H9)</f>
        <v>40571.846680421695</v>
      </c>
      <c r="K12" s="696">
        <f ca="1">J12*(1+Scenarios!I9)</f>
        <v>47327.529000000002</v>
      </c>
      <c r="L12" s="696">
        <f ca="1">K12*(1+Scenarios!J9)</f>
        <v>55685.149716000007</v>
      </c>
      <c r="M12" s="696"/>
      <c r="N12" s="696">
        <f ca="1">H12*(1+Scenarios!G9)</f>
        <v>30952</v>
      </c>
      <c r="O12" s="696">
        <f>SUM(O159:O162)</f>
        <v>24288</v>
      </c>
      <c r="S12" s="1410"/>
      <c r="T12" s="735" t="s">
        <v>1028</v>
      </c>
      <c r="U12" s="696">
        <v>17600</v>
      </c>
      <c r="V12" s="2048"/>
      <c r="Y12" s="1134"/>
      <c r="Z12" s="399"/>
      <c r="AA12" s="743"/>
      <c r="AB12" s="696"/>
      <c r="AC12" s="696"/>
      <c r="AD12" s="745"/>
      <c r="AE12" s="743">
        <v>2890.8</v>
      </c>
      <c r="AF12" s="696">
        <f>5810.278-AE12</f>
        <v>2919.4780000000001</v>
      </c>
      <c r="AG12" s="696">
        <f>8778.695-SUM(AE12:AF12)</f>
        <v>2968.4169999999995</v>
      </c>
      <c r="AH12" s="745">
        <f>12000.26-SUM(AE12:AG12)</f>
        <v>3221.5650000000005</v>
      </c>
      <c r="AI12" s="743">
        <v>3169.3980000000001</v>
      </c>
      <c r="AJ12" s="696">
        <v>3513.5419999999995</v>
      </c>
      <c r="AK12" s="696">
        <v>3731.6330000000007</v>
      </c>
      <c r="AL12" s="696">
        <v>4126.2279999999992</v>
      </c>
      <c r="AM12" s="743">
        <v>4111.3670000000002</v>
      </c>
      <c r="AN12" s="696">
        <v>4510.7199999999993</v>
      </c>
      <c r="AO12" s="696">
        <v>4857.0429999999997</v>
      </c>
      <c r="AP12" s="745">
        <v>5444.1350000000002</v>
      </c>
      <c r="AQ12" s="696">
        <v>5437.7910000000002</v>
      </c>
      <c r="AR12" s="696">
        <f>11227-AQ12</f>
        <v>5789.2089999999998</v>
      </c>
      <c r="AS12" s="250">
        <f>17626-AR12-AQ12</f>
        <v>6399.0000000000009</v>
      </c>
      <c r="AT12" s="2437">
        <f>24288-AS12-AR12-AQ12</f>
        <v>6662.0000000000009</v>
      </c>
      <c r="AU12" s="2055">
        <v>6999</v>
      </c>
      <c r="AV12" s="2055">
        <f>14573-AU12</f>
        <v>7574</v>
      </c>
      <c r="AW12" s="2055">
        <f>22668-AV12-AU12</f>
        <v>8095</v>
      </c>
      <c r="AX12" s="745">
        <f>30953-AW12-AV12-AU12</f>
        <v>8285</v>
      </c>
      <c r="AY12" s="696">
        <v>8186</v>
      </c>
      <c r="AZ12" s="1615">
        <f>16669-AY12</f>
        <v>8483</v>
      </c>
      <c r="BA12" s="1615">
        <f>25574-AZ12-AY12</f>
        <v>8905</v>
      </c>
      <c r="BB12" s="1615">
        <f>35382-BA12-AZ12-AY12</f>
        <v>9808</v>
      </c>
      <c r="BC12" s="1468"/>
      <c r="BD12" s="1913">
        <f t="shared" si="45"/>
        <v>11227</v>
      </c>
      <c r="BE12" s="1913">
        <f t="shared" si="46"/>
        <v>14573</v>
      </c>
      <c r="BF12" s="1913"/>
      <c r="BG12" s="1913"/>
      <c r="BH12" s="1913"/>
      <c r="BI12" s="1913">
        <f t="shared" si="47"/>
        <v>16669</v>
      </c>
      <c r="BJ12" s="1913"/>
      <c r="BK12" s="1468"/>
      <c r="BL12" s="1468">
        <f t="shared" si="41"/>
        <v>25574</v>
      </c>
      <c r="BM12" s="696"/>
      <c r="BN12" s="8">
        <f t="shared" ca="1" si="42"/>
        <v>0.53854355130524678</v>
      </c>
      <c r="BO12" s="696"/>
      <c r="BP12" s="1468">
        <v>18902</v>
      </c>
      <c r="BQ12" s="696"/>
      <c r="BR12" s="696"/>
      <c r="BS12" s="696"/>
      <c r="BT12" s="696"/>
      <c r="BU12" s="739"/>
      <c r="BV12" s="399"/>
      <c r="BW12" s="399"/>
      <c r="BX12" s="1197"/>
      <c r="BY12" s="826"/>
      <c r="BZ12" s="1615"/>
      <c r="CA12" s="831"/>
      <c r="CD12" s="250">
        <f t="shared" si="43"/>
        <v>5810.2780000000002</v>
      </c>
      <c r="CE12" s="1883">
        <f t="shared" si="48"/>
        <v>6682.94</v>
      </c>
      <c r="CF12" s="1883">
        <f t="shared" si="49"/>
        <v>8622.0869999999995</v>
      </c>
      <c r="CG12" s="1883">
        <f t="shared" si="50"/>
        <v>11227</v>
      </c>
      <c r="CH12" s="1883"/>
      <c r="CI12" s="2">
        <f t="shared" ref="CI12:CI17" si="51">CG12/CF12-1</f>
        <v>0.30212093661314254</v>
      </c>
    </row>
    <row r="13" spans="1:95">
      <c r="A13" s="1409" t="s">
        <v>855</v>
      </c>
      <c r="B13" s="738">
        <v>4958.1019999999999</v>
      </c>
      <c r="C13" s="738">
        <v>4935.3580000000002</v>
      </c>
      <c r="D13" s="738">
        <v>4804.6719999999996</v>
      </c>
      <c r="E13" s="738">
        <v>6331.4430000000002</v>
      </c>
      <c r="F13" s="696">
        <v>6847.4080000000004</v>
      </c>
      <c r="G13" s="696">
        <f>G11-G12</f>
        <v>7161</v>
      </c>
      <c r="H13" s="696">
        <v>8157</v>
      </c>
      <c r="I13" s="696">
        <v>9093</v>
      </c>
      <c r="J13" s="696">
        <f ca="1">I13*(1+Scenarios!H15)</f>
        <v>10184.160000000002</v>
      </c>
      <c r="K13" s="696">
        <f ca="1">J13*(1+Scenarios!I15)</f>
        <v>11406.259200000002</v>
      </c>
      <c r="L13" s="696">
        <f ca="1">K13*(1+Scenarios!J15)</f>
        <v>12775.010304000003</v>
      </c>
      <c r="M13" s="696"/>
      <c r="N13" s="696">
        <f ca="1">H13*(1+Scenarios!G15)</f>
        <v>8891.130000000001</v>
      </c>
      <c r="O13" s="696">
        <f>G13*(1+O22)</f>
        <v>7662.27</v>
      </c>
      <c r="S13" s="1410"/>
      <c r="T13" s="735" t="s">
        <v>882</v>
      </c>
      <c r="U13" s="696">
        <v>6100</v>
      </c>
      <c r="V13" s="2048"/>
      <c r="Y13" s="399"/>
      <c r="Z13" s="399"/>
      <c r="AA13" s="743"/>
      <c r="AB13" s="696"/>
      <c r="AC13" s="696"/>
      <c r="AD13" s="745"/>
      <c r="AE13" s="743">
        <v>703.28499999999997</v>
      </c>
      <c r="AF13" s="696">
        <f>1717.055-AE13</f>
        <v>1013.7700000000001</v>
      </c>
      <c r="AG13" s="696">
        <f>2932.268-SUM(AE13:AF13)</f>
        <v>1215.213</v>
      </c>
      <c r="AH13" s="745">
        <f>4804.672-SUM(AE13:AG13)</f>
        <v>1872.4039999999995</v>
      </c>
      <c r="AI13" s="743">
        <v>1007.953</v>
      </c>
      <c r="AJ13" s="696">
        <v>1455.7750000000001</v>
      </c>
      <c r="AK13" s="696">
        <v>1505.9189999999999</v>
      </c>
      <c r="AL13" s="696">
        <v>2361.7960000000003</v>
      </c>
      <c r="AM13" s="743">
        <v>1529.7449999999999</v>
      </c>
      <c r="AN13" s="696">
        <v>1202.672</v>
      </c>
      <c r="AO13" s="696">
        <v>1706.9580000000001</v>
      </c>
      <c r="AP13" s="745">
        <v>2408.0330000000004</v>
      </c>
      <c r="AQ13" s="696">
        <v>1407</v>
      </c>
      <c r="AR13" s="696">
        <f>2975-AQ13</f>
        <v>1568</v>
      </c>
      <c r="AS13" s="250">
        <f>4891-AR13-AQ13</f>
        <v>1916</v>
      </c>
      <c r="AT13" s="2437">
        <f>7161-AS13-AR13-AQ13</f>
        <v>2270</v>
      </c>
      <c r="AU13" s="2055">
        <v>1472</v>
      </c>
      <c r="AV13" s="2055">
        <f>3504-AU13</f>
        <v>2032</v>
      </c>
      <c r="AW13" s="2055">
        <f>5296-AV13-AU13</f>
        <v>1792</v>
      </c>
      <c r="AX13" s="745">
        <f>8157-AW13-AV13-AU13</f>
        <v>2861</v>
      </c>
      <c r="AY13" s="696">
        <v>1583</v>
      </c>
      <c r="AZ13" s="1468">
        <f>3459-AY13</f>
        <v>1876</v>
      </c>
      <c r="BA13" s="1468">
        <f>5376-AZ13-AY13</f>
        <v>1917</v>
      </c>
      <c r="BB13" s="1468">
        <f>9093-BA13-AZ13-AY13</f>
        <v>3717</v>
      </c>
      <c r="BC13" s="1468"/>
      <c r="BD13" s="1913">
        <f t="shared" si="45"/>
        <v>2975</v>
      </c>
      <c r="BE13" s="1913">
        <f t="shared" si="46"/>
        <v>3504</v>
      </c>
      <c r="BF13" s="1913"/>
      <c r="BG13" s="1913"/>
      <c r="BH13" s="1913"/>
      <c r="BI13" s="1913">
        <f t="shared" si="47"/>
        <v>3459</v>
      </c>
      <c r="BJ13" s="1913"/>
      <c r="BK13" s="1468"/>
      <c r="BL13" s="1468">
        <f t="shared" si="41"/>
        <v>5376</v>
      </c>
      <c r="BM13" s="696"/>
      <c r="BN13" s="8">
        <f t="shared" ca="1" si="42"/>
        <v>0.38903941343788695</v>
      </c>
      <c r="BO13" s="696"/>
      <c r="BP13" s="1468">
        <v>4236</v>
      </c>
      <c r="BQ13" s="696"/>
      <c r="BR13" s="696"/>
      <c r="BS13" s="696"/>
      <c r="BT13" s="696"/>
      <c r="BU13" s="739"/>
      <c r="BV13" s="399"/>
      <c r="BW13" s="399"/>
      <c r="BX13" s="1197"/>
      <c r="BY13" s="826"/>
      <c r="BZ13" s="1615"/>
      <c r="CA13" s="831"/>
      <c r="CD13" s="250">
        <f t="shared" si="43"/>
        <v>1717.0550000000001</v>
      </c>
      <c r="CE13" s="1883">
        <f t="shared" si="48"/>
        <v>2463.7280000000001</v>
      </c>
      <c r="CF13" s="1883">
        <f t="shared" si="49"/>
        <v>2732.4169999999999</v>
      </c>
      <c r="CG13" s="1883">
        <f t="shared" si="50"/>
        <v>2975</v>
      </c>
      <c r="CH13" s="1883"/>
      <c r="CI13" s="2">
        <f t="shared" si="51"/>
        <v>8.8779640882046928E-2</v>
      </c>
    </row>
    <row r="14" spans="1:95">
      <c r="A14" s="1411" t="s">
        <v>1028</v>
      </c>
      <c r="B14" s="738">
        <f t="shared" ref="B14:O14" si="52">SUM(B15:B16)</f>
        <v>8831.0030000000006</v>
      </c>
      <c r="C14" s="738">
        <f t="shared" si="52"/>
        <v>10398.427</v>
      </c>
      <c r="D14" s="738">
        <f t="shared" si="52"/>
        <v>11466.154</v>
      </c>
      <c r="E14" s="738">
        <f t="shared" si="52"/>
        <v>12686.415999999999</v>
      </c>
      <c r="F14" s="738">
        <f t="shared" si="52"/>
        <v>14729.648999999999</v>
      </c>
      <c r="G14" s="738">
        <f>G15+G16</f>
        <v>15806</v>
      </c>
      <c r="H14" s="738">
        <v>17610</v>
      </c>
      <c r="I14" s="225">
        <v>19507</v>
      </c>
      <c r="J14" s="696">
        <f>I14*(1+Scenarios!H24)</f>
        <v>21750.305</v>
      </c>
      <c r="K14" s="696">
        <f>J14*(1+Scenarios!I24)</f>
        <v>24360.341600000003</v>
      </c>
      <c r="L14" s="696">
        <f>K14*(1+Scenarios!J24)</f>
        <v>27283.582592000006</v>
      </c>
      <c r="M14" s="696"/>
      <c r="N14" s="696">
        <f>H14*(1+Scenarios!G24)</f>
        <v>19723.2</v>
      </c>
      <c r="O14" s="696">
        <f t="shared" si="52"/>
        <v>17680.520000000004</v>
      </c>
      <c r="S14" s="1410"/>
      <c r="T14" s="2046" t="s">
        <v>203</v>
      </c>
      <c r="U14" s="698">
        <v>10875</v>
      </c>
      <c r="V14" s="2048"/>
      <c r="Y14" s="399"/>
      <c r="Z14" s="399"/>
      <c r="AA14" s="743"/>
      <c r="AB14" s="696"/>
      <c r="AC14" s="696"/>
      <c r="AD14" s="745"/>
      <c r="AE14" s="743">
        <f>SUM(AE15:AE16)</f>
        <v>2668.02</v>
      </c>
      <c r="AF14" s="696">
        <f t="shared" ref="AF14:AQ14" si="53">SUM(AF15:AF16)</f>
        <v>2770.6790000000001</v>
      </c>
      <c r="AG14" s="696">
        <f t="shared" si="53"/>
        <v>2872.3719999999998</v>
      </c>
      <c r="AH14" s="696">
        <f t="shared" si="53"/>
        <v>3155.0830000000001</v>
      </c>
      <c r="AI14" s="743">
        <f t="shared" si="53"/>
        <v>2925.12</v>
      </c>
      <c r="AJ14" s="696">
        <f t="shared" si="53"/>
        <v>3201.0140000000001</v>
      </c>
      <c r="AK14" s="696">
        <f t="shared" si="53"/>
        <v>3105.6980000000003</v>
      </c>
      <c r="AL14" s="696">
        <f t="shared" si="53"/>
        <v>3454.5839999999998</v>
      </c>
      <c r="AM14" s="743">
        <f t="shared" si="53"/>
        <v>3471.127</v>
      </c>
      <c r="AN14" s="696">
        <f t="shared" si="53"/>
        <v>3605.538</v>
      </c>
      <c r="AO14" s="696">
        <f t="shared" si="53"/>
        <v>3730.594000000001</v>
      </c>
      <c r="AP14" s="745">
        <f t="shared" si="53"/>
        <v>3922.3899999999985</v>
      </c>
      <c r="AQ14" s="696">
        <f t="shared" si="53"/>
        <v>3790.2240000000002</v>
      </c>
      <c r="AR14" s="696">
        <f>7682-AQ14</f>
        <v>3891.7759999999998</v>
      </c>
      <c r="AS14" s="250">
        <f>11690-AR14-AQ14</f>
        <v>4008</v>
      </c>
      <c r="AT14" s="2437">
        <f>15806-AS14-AR14-AQ14</f>
        <v>4116</v>
      </c>
      <c r="AU14" s="2055">
        <f>AU15+AU16</f>
        <v>4012</v>
      </c>
      <c r="AV14" s="2055">
        <f>AV15+AV16</f>
        <v>4232</v>
      </c>
      <c r="AW14" s="2055">
        <f>12800-AV14-AU14</f>
        <v>4556</v>
      </c>
      <c r="AX14" s="745">
        <f>17610-AW14-AV14-AU14</f>
        <v>4810</v>
      </c>
      <c r="AY14" s="696">
        <v>4582</v>
      </c>
      <c r="AZ14" s="1468">
        <f>9357-AY14</f>
        <v>4775</v>
      </c>
      <c r="BA14" s="1468">
        <f>14287-AZ14-AY14</f>
        <v>4930</v>
      </c>
      <c r="BB14" s="1468">
        <f>19507-AY14-AZ14-BA14</f>
        <v>5220</v>
      </c>
      <c r="BC14" s="1468"/>
      <c r="BD14" s="1913">
        <f t="shared" si="45"/>
        <v>7682</v>
      </c>
      <c r="BE14" s="1913">
        <f t="shared" si="46"/>
        <v>8244</v>
      </c>
      <c r="BF14" s="1913"/>
      <c r="BG14" s="1913"/>
      <c r="BH14" s="1913"/>
      <c r="BI14" s="1913">
        <f t="shared" si="47"/>
        <v>9357</v>
      </c>
      <c r="BJ14" s="1913"/>
      <c r="BK14" s="1468"/>
      <c r="BL14" s="1468">
        <f t="shared" si="41"/>
        <v>14287</v>
      </c>
      <c r="BM14" s="696"/>
      <c r="BN14" s="8">
        <f t="shared" si="42"/>
        <v>0.47441591628133362</v>
      </c>
      <c r="BO14" s="250"/>
      <c r="BP14" s="250"/>
      <c r="BQ14" s="250"/>
      <c r="BR14" s="696"/>
      <c r="BS14" s="696"/>
      <c r="BT14" s="696"/>
      <c r="BU14" s="739"/>
      <c r="BV14" s="1133"/>
      <c r="BW14" s="1133"/>
      <c r="BX14" s="1403"/>
      <c r="BZ14" s="1615"/>
      <c r="CA14" s="725"/>
      <c r="CD14" s="250">
        <f t="shared" si="43"/>
        <v>5438.6990000000005</v>
      </c>
      <c r="CE14" s="1883">
        <f t="shared" si="48"/>
        <v>6126.134</v>
      </c>
      <c r="CF14" s="1883">
        <f t="shared" si="49"/>
        <v>7076.665</v>
      </c>
      <c r="CG14" s="1883">
        <f t="shared" si="50"/>
        <v>7682</v>
      </c>
      <c r="CH14" s="1883"/>
      <c r="CI14" s="2">
        <f t="shared" si="51"/>
        <v>8.5539586796888001E-2</v>
      </c>
    </row>
    <row r="15" spans="1:95">
      <c r="A15" s="2860" t="s">
        <v>857</v>
      </c>
      <c r="B15" s="738">
        <v>8293.1620000000003</v>
      </c>
      <c r="C15" s="738">
        <v>9789.5110000000004</v>
      </c>
      <c r="D15" s="738">
        <v>10867.003000000001</v>
      </c>
      <c r="E15" s="738">
        <v>12078.678</v>
      </c>
      <c r="F15" s="696">
        <v>13954.22</v>
      </c>
      <c r="G15" s="696">
        <v>15186</v>
      </c>
      <c r="H15" s="696">
        <v>16906</v>
      </c>
      <c r="I15" s="738">
        <v>18702</v>
      </c>
      <c r="J15" s="696">
        <f>SUM(J199,J201)</f>
        <v>20909.325000000001</v>
      </c>
      <c r="K15" s="696">
        <f>SUM(K199,K201)</f>
        <v>23355.703125</v>
      </c>
      <c r="L15" s="696">
        <f>SUM(L199,L201)</f>
        <v>26051.256405000007</v>
      </c>
      <c r="M15" s="696"/>
      <c r="N15" s="696">
        <f>SUM(N199,N201)</f>
        <v>19184.839999999997</v>
      </c>
      <c r="O15" s="696">
        <f>SUM(O199,O201)</f>
        <v>16998.520000000004</v>
      </c>
      <c r="S15" s="1410"/>
      <c r="T15" s="734" t="s">
        <v>1027</v>
      </c>
      <c r="U15" s="696">
        <v>5195</v>
      </c>
      <c r="V15" s="2048"/>
      <c r="Y15" s="727"/>
      <c r="Z15" s="727"/>
      <c r="AA15" s="743"/>
      <c r="AB15" s="696"/>
      <c r="AC15" s="696"/>
      <c r="AD15" s="745"/>
      <c r="AE15" s="743">
        <v>2565.1550000000002</v>
      </c>
      <c r="AF15" s="696">
        <f>5217.39-AE15</f>
        <v>2652.2350000000001</v>
      </c>
      <c r="AG15" s="696">
        <f>7947.542-SUM(AE15:AF15)</f>
        <v>2730.152</v>
      </c>
      <c r="AH15" s="745">
        <f>10867.003-SUM(AE15:AG15)</f>
        <v>2919.4610000000002</v>
      </c>
      <c r="AI15" s="743">
        <v>2803.634</v>
      </c>
      <c r="AJ15" s="696">
        <v>3043.6480000000001</v>
      </c>
      <c r="AK15" s="696">
        <v>2974.8980000000001</v>
      </c>
      <c r="AL15" s="696">
        <v>3256.4979999999996</v>
      </c>
      <c r="AM15" s="743">
        <v>3320.123</v>
      </c>
      <c r="AN15" s="696">
        <v>3406.44</v>
      </c>
      <c r="AO15" s="696">
        <v>3516.7800000000007</v>
      </c>
      <c r="AP15" s="745">
        <v>3710.8769999999986</v>
      </c>
      <c r="AQ15" s="696">
        <v>3694.9960000000001</v>
      </c>
      <c r="AR15" s="696">
        <f>7423-AQ15</f>
        <v>3728.0039999999999</v>
      </c>
      <c r="AS15" s="250">
        <f>11278-AR15-AQ15</f>
        <v>3855</v>
      </c>
      <c r="AT15" s="2437">
        <f>15186-AS15-AR15-AQ15</f>
        <v>3908</v>
      </c>
      <c r="AU15" s="2055">
        <v>3885</v>
      </c>
      <c r="AV15" s="2055">
        <f>7966-AU15</f>
        <v>4081</v>
      </c>
      <c r="AW15" s="2055">
        <f>12320-AV15-AU15</f>
        <v>4354</v>
      </c>
      <c r="AX15" s="745">
        <f>16906-AW15-AV15-AU15</f>
        <v>4586</v>
      </c>
      <c r="AY15" s="696">
        <v>4465</v>
      </c>
      <c r="AZ15" s="1468">
        <f>9030-AY15</f>
        <v>4565</v>
      </c>
      <c r="BA15" s="1468">
        <f>13738-AZ15-AY15</f>
        <v>4708</v>
      </c>
      <c r="BB15" s="1468">
        <f>18702-AY15-AZ15-BA15</f>
        <v>4964</v>
      </c>
      <c r="BC15" s="1468"/>
      <c r="BD15" s="1913">
        <f t="shared" si="45"/>
        <v>7423</v>
      </c>
      <c r="BE15" s="1913">
        <f t="shared" si="46"/>
        <v>7966</v>
      </c>
      <c r="BF15" s="1913"/>
      <c r="BG15" s="1913"/>
      <c r="BH15" s="1913"/>
      <c r="BI15" s="1913">
        <f t="shared" si="47"/>
        <v>9030</v>
      </c>
      <c r="BJ15" s="1913"/>
      <c r="BK15" s="1468"/>
      <c r="BL15" s="1468">
        <f t="shared" si="41"/>
        <v>13738</v>
      </c>
      <c r="BM15" s="696"/>
      <c r="BN15" s="8">
        <f t="shared" si="42"/>
        <v>0.47068414435564754</v>
      </c>
      <c r="BO15" s="696"/>
      <c r="BP15" s="696"/>
      <c r="BQ15" s="696"/>
      <c r="BR15" s="696"/>
      <c r="BS15" s="696"/>
      <c r="BT15" s="696"/>
      <c r="BU15" s="739"/>
      <c r="BV15" s="1133"/>
      <c r="BW15" s="1133"/>
      <c r="BX15" s="739"/>
      <c r="BZ15" s="1615"/>
      <c r="CA15" s="725"/>
      <c r="CD15" s="250">
        <f t="shared" si="43"/>
        <v>5217.3900000000003</v>
      </c>
      <c r="CE15" s="1883">
        <f t="shared" si="48"/>
        <v>5847.2820000000002</v>
      </c>
      <c r="CF15" s="1883">
        <f t="shared" si="49"/>
        <v>6726.5630000000001</v>
      </c>
      <c r="CG15" s="1883">
        <f t="shared" si="50"/>
        <v>7423</v>
      </c>
      <c r="CH15" s="1883"/>
      <c r="CI15" s="2">
        <f t="shared" si="51"/>
        <v>0.10353534189748914</v>
      </c>
    </row>
    <row r="16" spans="1:95">
      <c r="A16" s="1409" t="s">
        <v>856</v>
      </c>
      <c r="B16" s="738">
        <v>537.84100000000001</v>
      </c>
      <c r="C16" s="738">
        <v>608.91600000000005</v>
      </c>
      <c r="D16" s="738">
        <v>599.15099999999995</v>
      </c>
      <c r="E16" s="738">
        <v>607.73800000000006</v>
      </c>
      <c r="F16" s="696">
        <v>775.42899999999997</v>
      </c>
      <c r="G16" s="696">
        <v>620</v>
      </c>
      <c r="H16" s="696">
        <v>705</v>
      </c>
      <c r="I16" s="696">
        <v>805</v>
      </c>
      <c r="J16" s="1163">
        <f>I16*(1+J25)</f>
        <v>917.7</v>
      </c>
      <c r="K16" s="1163">
        <f t="shared" ref="K16:L16" si="54">J16*(1+K25)</f>
        <v>1046.1780000000001</v>
      </c>
      <c r="L16" s="1163">
        <f t="shared" si="54"/>
        <v>1192.6429200000002</v>
      </c>
      <c r="M16" s="1163"/>
      <c r="N16" s="1163">
        <f>H16*(1+N25)</f>
        <v>803.7</v>
      </c>
      <c r="O16" s="1163">
        <f>G16*(1+O25)</f>
        <v>682</v>
      </c>
      <c r="S16" s="1408"/>
      <c r="T16" s="735" t="s">
        <v>1028</v>
      </c>
      <c r="U16" s="696">
        <v>3508</v>
      </c>
      <c r="V16" s="2048"/>
      <c r="Y16" s="269"/>
      <c r="Z16" s="269"/>
      <c r="AA16" s="743"/>
      <c r="AB16" s="696"/>
      <c r="AC16" s="696"/>
      <c r="AD16" s="745"/>
      <c r="AE16" s="743">
        <v>102.86499999999999</v>
      </c>
      <c r="AF16" s="696">
        <f>221.309-AE16</f>
        <v>118.444</v>
      </c>
      <c r="AG16" s="696">
        <f>363.529-SUM(AE16:AF16)</f>
        <v>142.22</v>
      </c>
      <c r="AH16" s="745">
        <f>599.151-SUM(AE16:AG16)</f>
        <v>235.62199999999996</v>
      </c>
      <c r="AI16" s="743">
        <v>121.486</v>
      </c>
      <c r="AJ16" s="696">
        <v>157.36599999999999</v>
      </c>
      <c r="AK16" s="696">
        <v>130.80000000000001</v>
      </c>
      <c r="AL16" s="745">
        <v>198.08600000000007</v>
      </c>
      <c r="AM16" s="696">
        <v>151.00399999999999</v>
      </c>
      <c r="AN16" s="696">
        <v>199.09799999999998</v>
      </c>
      <c r="AO16" s="696">
        <v>213.81400000000008</v>
      </c>
      <c r="AP16" s="745">
        <v>211.51299999999992</v>
      </c>
      <c r="AQ16" s="696">
        <v>95.227999999999994</v>
      </c>
      <c r="AR16" s="696">
        <f>259-AQ16</f>
        <v>163.77199999999999</v>
      </c>
      <c r="AS16" s="250">
        <f>413-AR16-AQ16</f>
        <v>154</v>
      </c>
      <c r="AT16" s="2437">
        <f>620-AS16-AR16-AQ16</f>
        <v>207</v>
      </c>
      <c r="AU16" s="2055">
        <v>127</v>
      </c>
      <c r="AV16" s="2055">
        <f>278-AU16</f>
        <v>151</v>
      </c>
      <c r="AW16" s="2055">
        <f>480-AV16-AU16</f>
        <v>202</v>
      </c>
      <c r="AX16" s="745">
        <f>705-AW16-AV16-AU16</f>
        <v>225</v>
      </c>
      <c r="AY16" s="696">
        <v>117</v>
      </c>
      <c r="AZ16" s="1468">
        <f>327-AY16</f>
        <v>210</v>
      </c>
      <c r="BA16" s="1468">
        <f>549-AZ16-AY16</f>
        <v>222</v>
      </c>
      <c r="BB16" s="1468">
        <f>805-AY16-AZ16-BA16</f>
        <v>256</v>
      </c>
      <c r="BC16" s="1468"/>
      <c r="BD16" s="1913">
        <f t="shared" si="45"/>
        <v>259</v>
      </c>
      <c r="BE16" s="1913">
        <f t="shared" si="46"/>
        <v>278</v>
      </c>
      <c r="BF16" s="1913"/>
      <c r="BG16" s="1913"/>
      <c r="BH16" s="1913"/>
      <c r="BI16" s="1913">
        <f t="shared" si="47"/>
        <v>327</v>
      </c>
      <c r="BJ16" s="1913"/>
      <c r="BK16" s="1468"/>
      <c r="BL16" s="1468">
        <f t="shared" si="41"/>
        <v>549</v>
      </c>
      <c r="BM16" s="696"/>
      <c r="BN16" s="8">
        <f t="shared" si="42"/>
        <v>0.40686823441582676</v>
      </c>
      <c r="BO16" s="696"/>
      <c r="BP16" s="696"/>
      <c r="BQ16" s="696"/>
      <c r="BR16" s="696"/>
      <c r="BS16" s="696"/>
      <c r="BT16" s="696"/>
      <c r="BU16" s="739"/>
      <c r="BV16" s="1133"/>
      <c r="BW16" s="1133"/>
      <c r="BX16" s="739"/>
      <c r="BZ16" s="1615"/>
      <c r="CA16" s="725"/>
      <c r="CD16" s="250">
        <f t="shared" si="43"/>
        <v>221.309</v>
      </c>
      <c r="CE16" s="1883">
        <f t="shared" si="48"/>
        <v>278.85199999999998</v>
      </c>
      <c r="CF16" s="1883">
        <f t="shared" si="49"/>
        <v>350.10199999999998</v>
      </c>
      <c r="CG16" s="1883">
        <f t="shared" si="50"/>
        <v>259</v>
      </c>
      <c r="CH16" s="1883"/>
      <c r="CI16" s="2">
        <f t="shared" si="51"/>
        <v>-0.26021559431251462</v>
      </c>
    </row>
    <row r="17" spans="1:87">
      <c r="A17" s="2300" t="s">
        <v>1345</v>
      </c>
      <c r="B17" s="738">
        <f>1375.177-394.217142275</f>
        <v>980.95985772499989</v>
      </c>
      <c r="C17" s="738">
        <f>1792.058-256.945847725005</f>
        <v>1535.112152274995</v>
      </c>
      <c r="D17" s="738">
        <f>2187.175-627.860473176002</f>
        <v>1559.3145268239982</v>
      </c>
      <c r="E17" s="738">
        <f>3237.52-1138.91745497299</f>
        <v>2098.6025450270099</v>
      </c>
      <c r="F17" s="696">
        <f>5066.948-1549.971319089</f>
        <v>3516.9766809110006</v>
      </c>
      <c r="G17" s="696">
        <v>5363</v>
      </c>
      <c r="H17" s="696">
        <v>6129</v>
      </c>
      <c r="I17" s="696">
        <v>6132</v>
      </c>
      <c r="J17" s="1163">
        <f ca="1">I17*(1+Scenarios!H28)</f>
        <v>6438.6</v>
      </c>
      <c r="K17" s="1163">
        <f ca="1">J17*(1+Scenarios!I28)</f>
        <v>7211.2320000000009</v>
      </c>
      <c r="L17" s="1163">
        <f ca="1">K17*(1+Scenarios!J28)</f>
        <v>8076.5798400000022</v>
      </c>
      <c r="M17" s="1163"/>
      <c r="N17" s="1163">
        <f ca="1">H17*(1+Scenarios!G28)</f>
        <v>6741.9000000000005</v>
      </c>
      <c r="O17" s="1163">
        <f>G17*(1+O26)</f>
        <v>6113.8200000000006</v>
      </c>
      <c r="S17" s="1408"/>
      <c r="T17" s="735" t="s">
        <v>882</v>
      </c>
      <c r="U17" s="696">
        <v>2172</v>
      </c>
      <c r="V17" s="2048"/>
      <c r="Y17" s="269"/>
      <c r="Z17" s="269"/>
      <c r="AA17" s="743"/>
      <c r="AB17" s="696"/>
      <c r="AC17" s="696"/>
      <c r="AD17" s="745"/>
      <c r="AE17" s="743">
        <f>447.489-79.029</f>
        <v>368.46</v>
      </c>
      <c r="AF17" s="696">
        <f>644.537-AE17</f>
        <v>276.07700000000006</v>
      </c>
      <c r="AG17" s="696">
        <f>1141.663-SUM(AE17:AF17)</f>
        <v>497.12599999999998</v>
      </c>
      <c r="AH17" s="745">
        <f>1559.314-SUM(AE17:AG17)</f>
        <v>417.65100000000007</v>
      </c>
      <c r="AI17" s="743">
        <f>700.646-216.789330046001</f>
        <v>483.85666995399896</v>
      </c>
      <c r="AJ17" s="696">
        <f>690.291-218.914715178998</f>
        <v>471.37628482100206</v>
      </c>
      <c r="AK17" s="696">
        <f>800.72-418.798043028</f>
        <v>381.92195697200003</v>
      </c>
      <c r="AL17" s="745">
        <f>1045.863-284.415366719997</f>
        <v>761.44763328000306</v>
      </c>
      <c r="AM17" s="696">
        <f>1039.158-421.143155609001</f>
        <v>618.01484439099886</v>
      </c>
      <c r="AN17" s="696">
        <f>1047.914-270.783909041</f>
        <v>777.13009095899997</v>
      </c>
      <c r="AO17" s="696">
        <f>1256.65-402.685979647002</f>
        <v>853.96402035299809</v>
      </c>
      <c r="AP17" s="745">
        <f>1723.226-455.357728890998</f>
        <v>1267.8682711090021</v>
      </c>
      <c r="AQ17" s="696">
        <f>1492.142-439.266</f>
        <v>1052.876</v>
      </c>
      <c r="AR17" s="1468">
        <f>2281-AQ17</f>
        <v>1228.124</v>
      </c>
      <c r="AS17" s="250">
        <f>3720-AR17-AQ17</f>
        <v>1439.0000000000002</v>
      </c>
      <c r="AT17" s="2437">
        <f>5363-AS17-AR17-AQ17</f>
        <v>1643.0000000000002</v>
      </c>
      <c r="AU17" s="2055">
        <v>1609</v>
      </c>
      <c r="AV17" s="2055">
        <f>3017-AU17</f>
        <v>1408</v>
      </c>
      <c r="AW17" s="2055">
        <f>4477-AV17-AU17</f>
        <v>1460</v>
      </c>
      <c r="AX17" s="745">
        <f>6129-AW17-AV17-AU17</f>
        <v>1652</v>
      </c>
      <c r="AY17" s="696">
        <v>1707</v>
      </c>
      <c r="AZ17" s="1468">
        <f>3198-AY17</f>
        <v>1491</v>
      </c>
      <c r="BA17" s="1468">
        <f>4651-AZ17-AY17</f>
        <v>1453</v>
      </c>
      <c r="BB17" s="1468">
        <f>6132-AY17-AZ17-BA17</f>
        <v>1481</v>
      </c>
      <c r="BC17" s="1468">
        <v>1638</v>
      </c>
      <c r="BD17" s="1913">
        <f t="shared" si="45"/>
        <v>2281</v>
      </c>
      <c r="BE17" s="1913">
        <f t="shared" si="46"/>
        <v>3017</v>
      </c>
      <c r="BF17" s="1913"/>
      <c r="BG17" s="1913"/>
      <c r="BH17" s="1913"/>
      <c r="BI17" s="1913">
        <f t="shared" si="47"/>
        <v>3198</v>
      </c>
      <c r="BJ17" s="1913"/>
      <c r="BK17" s="1468"/>
      <c r="BL17" s="1468">
        <f>BA17+AZ17+AY17</f>
        <v>4651</v>
      </c>
      <c r="BM17" s="696"/>
      <c r="BN17" s="8">
        <f t="shared" ca="1" si="42"/>
        <v>0.47434699417078269</v>
      </c>
      <c r="BO17" s="696"/>
      <c r="BP17" s="1468">
        <v>3131</v>
      </c>
      <c r="BQ17" s="1468">
        <f>BP17-BC17</f>
        <v>1493</v>
      </c>
      <c r="BR17" s="696"/>
      <c r="BS17" s="696"/>
      <c r="BT17" s="696"/>
      <c r="BU17" s="739"/>
      <c r="BV17" s="1133"/>
      <c r="BW17" s="1133"/>
      <c r="BX17" s="1403"/>
      <c r="BZ17" s="1615"/>
      <c r="CA17" s="725"/>
      <c r="CD17" s="250">
        <f t="shared" si="43"/>
        <v>644.53700000000003</v>
      </c>
      <c r="CE17" s="1883">
        <f t="shared" si="48"/>
        <v>955.23295477500096</v>
      </c>
      <c r="CF17" s="1883">
        <f t="shared" si="49"/>
        <v>1395.1449353499988</v>
      </c>
      <c r="CG17" s="1883">
        <f t="shared" si="50"/>
        <v>2281</v>
      </c>
      <c r="CH17" s="1883"/>
      <c r="CI17" s="2">
        <f t="shared" si="51"/>
        <v>0.63495558217954429</v>
      </c>
    </row>
    <row r="18" spans="1:87">
      <c r="A18" s="1411"/>
      <c r="B18" s="738"/>
      <c r="C18" s="738"/>
      <c r="D18" s="738"/>
      <c r="E18" s="738"/>
      <c r="F18" s="696"/>
      <c r="G18" s="696"/>
      <c r="H18" s="696"/>
      <c r="I18" s="696"/>
      <c r="J18" s="696"/>
      <c r="K18" s="696"/>
      <c r="L18" s="696"/>
      <c r="M18" s="696"/>
      <c r="N18" s="696"/>
      <c r="O18" s="696"/>
      <c r="S18" s="1410"/>
      <c r="T18" s="811"/>
      <c r="U18" s="727"/>
      <c r="V18" s="727"/>
      <c r="W18" s="727"/>
      <c r="X18" s="727"/>
      <c r="Y18" s="727"/>
      <c r="Z18" s="727"/>
      <c r="AA18" s="743"/>
      <c r="AB18" s="696"/>
      <c r="AC18" s="696"/>
      <c r="AD18" s="745"/>
      <c r="AE18" s="743"/>
      <c r="AF18" s="696"/>
      <c r="AG18" s="696"/>
      <c r="AH18" s="745"/>
      <c r="AI18" s="696"/>
      <c r="AJ18" s="696"/>
      <c r="AK18" s="696"/>
      <c r="AL18" s="745"/>
      <c r="AM18" s="696"/>
      <c r="AN18" s="696"/>
      <c r="AO18" s="696"/>
      <c r="AP18" s="745"/>
      <c r="AQ18" s="696"/>
      <c r="AR18" s="696"/>
      <c r="AS18" s="696"/>
      <c r="AT18" s="745"/>
      <c r="AU18" s="2055"/>
      <c r="AV18" s="2055"/>
      <c r="AW18" s="2055"/>
      <c r="AX18" s="745"/>
      <c r="AY18" s="696"/>
      <c r="AZ18" s="1468"/>
      <c r="BA18" s="1468"/>
      <c r="BB18" s="1468"/>
      <c r="BC18" s="1468"/>
      <c r="BD18" s="1468"/>
      <c r="BE18" s="1468"/>
      <c r="BF18" s="1468"/>
      <c r="BG18" s="1468"/>
      <c r="BH18" s="1468"/>
      <c r="BI18" s="1468"/>
      <c r="BJ18" s="1468"/>
      <c r="BK18" s="1468"/>
      <c r="BL18" s="1468"/>
      <c r="BM18" s="696"/>
      <c r="BN18" s="696"/>
      <c r="BO18" s="696"/>
      <c r="BP18" s="696"/>
      <c r="BQ18" s="696"/>
      <c r="BR18" s="696"/>
      <c r="BS18" s="696"/>
      <c r="BT18" s="696"/>
      <c r="BU18" s="739"/>
      <c r="BV18" s="1133"/>
      <c r="BW18" s="1133"/>
      <c r="BX18" s="739"/>
      <c r="CE18" s="1883"/>
      <c r="CF18" s="1883"/>
      <c r="CG18" s="1883"/>
      <c r="CH18" s="1883"/>
    </row>
    <row r="19" spans="1:87" s="263" customFormat="1">
      <c r="A19" s="3190" t="s">
        <v>2013</v>
      </c>
      <c r="B19" s="3191" t="s">
        <v>2026</v>
      </c>
      <c r="C19" s="3192">
        <f t="shared" ref="C19:I19" si="55">C10/B10-1</f>
        <v>0.19399987697485854</v>
      </c>
      <c r="D19" s="3192">
        <f t="shared" si="55"/>
        <v>7.6250799616477183E-2</v>
      </c>
      <c r="E19" s="3192">
        <f t="shared" si="55"/>
        <v>0.19533301314420481</v>
      </c>
      <c r="F19" s="3192">
        <f t="shared" si="55"/>
        <v>0.23423741868397707</v>
      </c>
      <c r="G19" s="3192">
        <f t="shared" si="55"/>
        <v>0.19560474226181945</v>
      </c>
      <c r="H19" s="3192">
        <f t="shared" si="55"/>
        <v>0.19445817020791356</v>
      </c>
      <c r="I19" s="3192">
        <f t="shared" si="55"/>
        <v>0.11557677008750988</v>
      </c>
      <c r="J19" s="3192">
        <f t="shared" ref="J19:J24" ca="1" si="56">J10/I10-1</f>
        <v>0.12595076133756034</v>
      </c>
      <c r="K19" s="3192">
        <f t="shared" ref="K19:L22" ca="1" si="57">K10/J10-1</f>
        <v>0.14390351294034942</v>
      </c>
      <c r="L19" s="3192">
        <f t="shared" ca="1" si="57"/>
        <v>0.14965845197466465</v>
      </c>
      <c r="M19" s="3192"/>
      <c r="N19" s="3192">
        <f t="shared" ref="N19:N24" ca="1" si="58">N10/H10-1</f>
        <v>5.502354813046928E-2</v>
      </c>
      <c r="O19" s="3192">
        <f>O10/G10-1</f>
        <v>5.9420920597514248E-2</v>
      </c>
      <c r="P19" s="3193"/>
      <c r="Q19" s="3193"/>
      <c r="R19" s="3193"/>
      <c r="S19" s="3194"/>
      <c r="T19" s="2138"/>
      <c r="U19" s="3195"/>
      <c r="V19" s="3196"/>
      <c r="W19" s="3195"/>
      <c r="X19" s="3195"/>
      <c r="Y19" s="3195"/>
      <c r="Z19" s="3195"/>
      <c r="AA19" s="3197"/>
      <c r="AB19" s="3103"/>
      <c r="AC19" s="3103"/>
      <c r="AD19" s="3198"/>
      <c r="AE19" s="3197"/>
      <c r="AF19" s="3104"/>
      <c r="AG19" s="3104"/>
      <c r="AH19" s="3199"/>
      <c r="AI19" s="3104">
        <f>AI10/AE10-1</f>
        <v>0.14414499688665594</v>
      </c>
      <c r="AJ19" s="3104">
        <f t="shared" ref="AJ19:AR19" si="59">AJ10/AF10-1</f>
        <v>0.23806650311083777</v>
      </c>
      <c r="AK19" s="3104">
        <f t="shared" ref="AK19:AN26" si="60">AK10/AG10-1</f>
        <v>0.15517324407603228</v>
      </c>
      <c r="AL19" s="3199">
        <f t="shared" si="60"/>
        <v>0.23507793461108561</v>
      </c>
      <c r="AM19" s="3104">
        <f t="shared" si="60"/>
        <v>0.28260395117496961</v>
      </c>
      <c r="AN19" s="3104">
        <f t="shared" si="60"/>
        <v>0.16829461565917003</v>
      </c>
      <c r="AO19" s="3104">
        <f t="shared" si="59"/>
        <v>0.27774662497563152</v>
      </c>
      <c r="AP19" s="3199">
        <f t="shared" si="59"/>
        <v>0.21845651012488809</v>
      </c>
      <c r="AQ19" s="1151">
        <f t="shared" si="59"/>
        <v>0.20119075893764871</v>
      </c>
      <c r="AR19" s="1151">
        <f t="shared" si="59"/>
        <v>0.23593846387405315</v>
      </c>
      <c r="AS19" s="1151">
        <f>AS10/AO10-1</f>
        <v>0.23432992325534485</v>
      </c>
      <c r="AT19" s="3423">
        <f t="shared" ref="AS19:AX26" si="61">AT10/AP10-1</f>
        <v>0.126400847098737</v>
      </c>
      <c r="AU19" s="3424">
        <f t="shared" si="61"/>
        <v>0.20569228443352183</v>
      </c>
      <c r="AV19" s="3424">
        <f t="shared" si="61"/>
        <v>0.22181974848913399</v>
      </c>
      <c r="AW19" s="3424">
        <f t="shared" si="61"/>
        <v>0.15565729234793979</v>
      </c>
      <c r="AX19" s="3423">
        <f t="shared" si="61"/>
        <v>0.19855693962289833</v>
      </c>
      <c r="AY19" s="1151">
        <f t="shared" ref="AY19:AY26" si="62">AY10/AU10-1</f>
        <v>0.13951177973318196</v>
      </c>
      <c r="AZ19" s="1151">
        <f t="shared" ref="AZ19:BB21" si="63">AZ10/AV10-1</f>
        <v>9.044995408631773E-2</v>
      </c>
      <c r="BA19" s="1151">
        <f t="shared" si="63"/>
        <v>8.1808463811859466E-2</v>
      </c>
      <c r="BB19" s="1151">
        <f t="shared" si="63"/>
        <v>-8.8028169014084501E-2</v>
      </c>
      <c r="BC19" s="1912"/>
      <c r="BD19" s="3286" t="s">
        <v>2013</v>
      </c>
      <c r="BE19" s="1751">
        <f>BE10/BD10-1</f>
        <v>0.21401969709509228</v>
      </c>
      <c r="BF19" s="1751"/>
      <c r="BG19" s="1751"/>
      <c r="BH19" s="1751"/>
      <c r="BI19" s="1751">
        <f t="shared" ref="BI19:BI26" si="64">BI10/BE10-1</f>
        <v>0.11401595200763515</v>
      </c>
      <c r="BJ19" s="1751"/>
      <c r="BK19" s="1912">
        <v>0.105</v>
      </c>
      <c r="BL19" s="1912">
        <v>0.10299999999999999</v>
      </c>
      <c r="BM19" s="3104"/>
      <c r="BN19" s="3104"/>
      <c r="BO19" s="3104"/>
      <c r="BP19" s="3104"/>
      <c r="BQ19" s="3104"/>
      <c r="BR19" s="3105"/>
      <c r="BS19" s="3105"/>
      <c r="BT19" s="3105"/>
      <c r="BU19" s="3200"/>
      <c r="BV19" s="3201"/>
      <c r="BW19" s="3201"/>
      <c r="BX19" s="3200"/>
      <c r="CG19" s="3104"/>
      <c r="CH19" s="3104"/>
    </row>
    <row r="20" spans="1:87">
      <c r="A20" s="1491" t="s">
        <v>1027</v>
      </c>
      <c r="B20" s="1528" t="s">
        <v>2027</v>
      </c>
      <c r="C20" s="725">
        <f t="shared" ref="C20:I20" si="65">C11/B11-1</f>
        <v>0.17772889960537475</v>
      </c>
      <c r="D20" s="725">
        <f t="shared" si="65"/>
        <v>6.4720506409858825E-2</v>
      </c>
      <c r="E20" s="725">
        <f t="shared" si="65"/>
        <v>0.24203085141909519</v>
      </c>
      <c r="F20" s="725">
        <f t="shared" si="65"/>
        <v>0.23431395301818059</v>
      </c>
      <c r="G20" s="725">
        <f t="shared" si="65"/>
        <v>0.22070875400605106</v>
      </c>
      <c r="H20" s="725">
        <f t="shared" si="65"/>
        <v>0.24360075042131712</v>
      </c>
      <c r="I20" s="725">
        <f t="shared" si="65"/>
        <v>0.13717719253387872</v>
      </c>
      <c r="J20" s="1136">
        <f t="shared" ca="1" si="56"/>
        <v>0.14122555773854306</v>
      </c>
      <c r="K20" s="1136">
        <f t="shared" ca="1" si="57"/>
        <v>0.15717906197406983</v>
      </c>
      <c r="L20" s="1136">
        <f t="shared" ca="1" si="57"/>
        <v>0.16560096186678464</v>
      </c>
      <c r="M20" s="1136"/>
      <c r="N20" s="1136">
        <f t="shared" ca="1" si="58"/>
        <v>1.874533367425224E-2</v>
      </c>
      <c r="O20" s="1136">
        <f>O11/G11-1</f>
        <v>1.5939139559286497E-2</v>
      </c>
      <c r="S20" s="1412"/>
      <c r="T20" s="811"/>
      <c r="U20" s="269"/>
      <c r="V20" s="727"/>
      <c r="W20" s="269"/>
      <c r="X20" s="269"/>
      <c r="Y20" s="269"/>
      <c r="Z20" s="269"/>
      <c r="AA20" s="743"/>
      <c r="AB20" s="696"/>
      <c r="AC20" s="696"/>
      <c r="AD20" s="745"/>
      <c r="AE20" s="8" t="e">
        <f>AE11/AA11-1</f>
        <v>#DIV/0!</v>
      </c>
      <c r="AF20" s="8" t="e">
        <f t="shared" ref="AF20" si="66">AF11/AB11-1</f>
        <v>#DIV/0!</v>
      </c>
      <c r="AG20" s="8" t="e">
        <f t="shared" ref="AG20" si="67">AG11/AC11-1</f>
        <v>#DIV/0!</v>
      </c>
      <c r="AH20" s="1114" t="e">
        <f t="shared" ref="AH20" si="68">AH11/AD11-1</f>
        <v>#DIV/0!</v>
      </c>
      <c r="AI20" s="8">
        <f>AI11/AE11-1</f>
        <v>0.16228497656566288</v>
      </c>
      <c r="AJ20" s="8">
        <f t="shared" ref="AJ20:AR20" si="69">AJ11/AF11-1</f>
        <v>0.26341308760596815</v>
      </c>
      <c r="AK20" s="8">
        <f t="shared" si="60"/>
        <v>0.25191568088000182</v>
      </c>
      <c r="AL20" s="1114">
        <f t="shared" si="60"/>
        <v>0.27366774316844089</v>
      </c>
      <c r="AM20" s="8">
        <f t="shared" si="60"/>
        <v>0.35040411973999763</v>
      </c>
      <c r="AN20" s="8">
        <f t="shared" si="60"/>
        <v>0.1497338567855504</v>
      </c>
      <c r="AO20" s="8">
        <f t="shared" si="69"/>
        <v>0.25325743782591559</v>
      </c>
      <c r="AP20" s="1114">
        <f t="shared" si="69"/>
        <v>0.21025569572492353</v>
      </c>
      <c r="AQ20" s="8">
        <f t="shared" si="69"/>
        <v>0.21337619249538031</v>
      </c>
      <c r="AR20" s="8">
        <f t="shared" si="69"/>
        <v>0.28771297330902557</v>
      </c>
      <c r="AS20" s="8">
        <f t="shared" si="61"/>
        <v>0.26675788135925016</v>
      </c>
      <c r="AT20" s="1114">
        <f t="shared" si="61"/>
        <v>0.1375202364493473</v>
      </c>
      <c r="AU20" s="3140">
        <f t="shared" si="61"/>
        <v>0.2375834411890736</v>
      </c>
      <c r="AV20" s="3140">
        <f t="shared" si="61"/>
        <v>0.30565816466543216</v>
      </c>
      <c r="AW20" s="3140">
        <f t="shared" si="61"/>
        <v>0.18905592303066743</v>
      </c>
      <c r="AX20" s="1114">
        <f t="shared" si="61"/>
        <v>0.24787281683833418</v>
      </c>
      <c r="AY20" s="8">
        <f t="shared" si="62"/>
        <v>0.15322866249557321</v>
      </c>
      <c r="AZ20" s="1751">
        <f t="shared" si="63"/>
        <v>7.8388507183010603E-2</v>
      </c>
      <c r="BA20" s="1751">
        <f t="shared" si="63"/>
        <v>9.4467482552847093E-2</v>
      </c>
      <c r="BB20" s="1751">
        <f t="shared" si="63"/>
        <v>0.21352951731562886</v>
      </c>
      <c r="BC20" s="1751"/>
      <c r="BD20" s="3287" t="s">
        <v>1027</v>
      </c>
      <c r="BE20" s="1751">
        <f t="shared" ref="BE20:BE26" si="70">BE11/BD11-1</f>
        <v>0.27284889452189831</v>
      </c>
      <c r="BF20" s="1751"/>
      <c r="BG20" s="1751"/>
      <c r="BH20" s="1751"/>
      <c r="BI20" s="1751">
        <f t="shared" si="64"/>
        <v>0.1134590916634397</v>
      </c>
      <c r="BJ20" s="1751"/>
      <c r="BK20" s="1751">
        <v>0.106</v>
      </c>
      <c r="BL20" s="1751">
        <v>0.107</v>
      </c>
      <c r="BM20" s="8"/>
      <c r="BN20" s="8"/>
      <c r="BO20" s="8"/>
      <c r="BP20" s="8"/>
      <c r="BQ20" s="8"/>
      <c r="BR20" s="8"/>
      <c r="BS20" s="696"/>
      <c r="BT20" s="696"/>
      <c r="BU20" s="739"/>
      <c r="BV20" s="1133"/>
      <c r="BW20" s="1133"/>
      <c r="BX20" s="739"/>
    </row>
    <row r="21" spans="1:87">
      <c r="A21" s="1492" t="s">
        <v>854</v>
      </c>
      <c r="B21" s="1528" t="s">
        <v>2028</v>
      </c>
      <c r="C21" s="725">
        <f t="shared" ref="C21:I21" si="71">C12/B12-1</f>
        <v>0.2847869928389648</v>
      </c>
      <c r="D21" s="725">
        <f t="shared" si="71"/>
        <v>0.10621223346508968</v>
      </c>
      <c r="E21" s="725">
        <f t="shared" si="71"/>
        <v>0.21170716301146797</v>
      </c>
      <c r="F21" s="725">
        <f t="shared" si="71"/>
        <v>0.30085639711319878</v>
      </c>
      <c r="G21" s="725">
        <f t="shared" si="71"/>
        <v>0.28402673490843022</v>
      </c>
      <c r="H21" s="725">
        <f t="shared" si="71"/>
        <v>0.2744153491436101</v>
      </c>
      <c r="I21" s="725">
        <f t="shared" si="71"/>
        <v>0.14308790747261968</v>
      </c>
      <c r="J21" s="2388">
        <f t="shared" ca="1" si="56"/>
        <v>0.14668042169526019</v>
      </c>
      <c r="K21" s="2388">
        <f t="shared" ca="1" si="57"/>
        <v>0.16651158062367233</v>
      </c>
      <c r="L21" s="2388">
        <f t="shared" ca="1" si="57"/>
        <v>0.17659110654181842</v>
      </c>
      <c r="M21" s="2388"/>
      <c r="N21" s="2388">
        <f t="shared" ca="1" si="58"/>
        <v>-3.2307046166746289E-5</v>
      </c>
      <c r="O21" s="2388">
        <f>O12/G12-1</f>
        <v>0</v>
      </c>
      <c r="S21" s="1412"/>
      <c r="T21" s="811"/>
      <c r="U21" s="727"/>
      <c r="W21" s="727"/>
      <c r="X21" s="727"/>
      <c r="Y21" s="727"/>
      <c r="Z21" s="727"/>
      <c r="AA21" s="743"/>
      <c r="AB21" s="696"/>
      <c r="AC21" s="696"/>
      <c r="AD21" s="745"/>
      <c r="AE21" s="743"/>
      <c r="AF21" s="8"/>
      <c r="AG21" s="8"/>
      <c r="AH21" s="1114"/>
      <c r="AI21" s="8">
        <f t="shared" ref="AI21:AI26" si="72">AI12/AE12-1</f>
        <v>9.6374014113740136E-2</v>
      </c>
      <c r="AJ21" s="8">
        <f t="shared" ref="AJ21:AR23" si="73">AJ12/AF12-1</f>
        <v>0.20348295140432615</v>
      </c>
      <c r="AK21" s="8">
        <f t="shared" si="60"/>
        <v>0.25711212407151729</v>
      </c>
      <c r="AL21" s="1114">
        <f t="shared" si="60"/>
        <v>0.28081475928624711</v>
      </c>
      <c r="AM21" s="8">
        <f t="shared" si="60"/>
        <v>0.2972075454076768</v>
      </c>
      <c r="AN21" s="8">
        <f t="shared" si="60"/>
        <v>0.28380989895666531</v>
      </c>
      <c r="AO21" s="8">
        <f t="shared" si="73"/>
        <v>0.30158646362061825</v>
      </c>
      <c r="AP21" s="1114">
        <f t="shared" si="73"/>
        <v>0.31939752238606323</v>
      </c>
      <c r="AQ21" s="8">
        <f t="shared" si="73"/>
        <v>0.32262359453680478</v>
      </c>
      <c r="AR21" s="8">
        <f t="shared" si="73"/>
        <v>0.28343346516742352</v>
      </c>
      <c r="AS21" s="8">
        <f t="shared" si="61"/>
        <v>0.31746826206809398</v>
      </c>
      <c r="AT21" s="1114">
        <f t="shared" si="61"/>
        <v>0.22370220429875465</v>
      </c>
      <c r="AU21" s="3140">
        <f t="shared" si="61"/>
        <v>0.28710353156272461</v>
      </c>
      <c r="AV21" s="3140">
        <f t="shared" si="61"/>
        <v>0.30829617655883568</v>
      </c>
      <c r="AW21" s="3140">
        <f t="shared" si="61"/>
        <v>0.26504141272073745</v>
      </c>
      <c r="AX21" s="1114">
        <f t="shared" si="61"/>
        <v>0.24362053437406161</v>
      </c>
      <c r="AY21" s="8">
        <f t="shared" si="62"/>
        <v>0.16959565652236042</v>
      </c>
      <c r="AZ21" s="1751">
        <f t="shared" si="63"/>
        <v>0.12001584367573281</v>
      </c>
      <c r="BA21" s="1751">
        <f t="shared" si="63"/>
        <v>0.10006176652254473</v>
      </c>
      <c r="BB21" s="1751">
        <f t="shared" si="63"/>
        <v>0.1838261919130959</v>
      </c>
      <c r="BC21" s="1751"/>
      <c r="BD21" s="3288" t="s">
        <v>854</v>
      </c>
      <c r="BE21" s="1751">
        <f t="shared" si="70"/>
        <v>0.29803153113031078</v>
      </c>
      <c r="BF21" s="1751"/>
      <c r="BG21" s="1751"/>
      <c r="BH21" s="1751"/>
      <c r="BI21" s="1751">
        <f t="shared" si="64"/>
        <v>0.14382762643244362</v>
      </c>
      <c r="BJ21" s="1751"/>
      <c r="BK21" s="1751">
        <v>0.126</v>
      </c>
      <c r="BL21" s="1751">
        <v>0.128</v>
      </c>
      <c r="BM21" s="8"/>
      <c r="BN21" s="696">
        <f>27123-22437</f>
        <v>4686</v>
      </c>
      <c r="BO21" s="8"/>
      <c r="BP21" s="8"/>
      <c r="BQ21" s="8"/>
      <c r="BR21" s="2448"/>
      <c r="BS21" s="696"/>
      <c r="BT21" s="696"/>
      <c r="BU21" s="739"/>
      <c r="BV21" s="1133"/>
      <c r="BW21" s="1133"/>
      <c r="BX21" s="739"/>
    </row>
    <row r="22" spans="1:87">
      <c r="A22" s="1492" t="s">
        <v>855</v>
      </c>
      <c r="B22" s="1528" t="s">
        <v>2029</v>
      </c>
      <c r="C22" s="725">
        <f t="shared" ref="C22:I26" si="74">C13/B13-1</f>
        <v>-4.5872392298503817E-3</v>
      </c>
      <c r="D22" s="725">
        <f t="shared" si="74"/>
        <v>-2.6479538059853147E-2</v>
      </c>
      <c r="E22" s="725">
        <f t="shared" si="74"/>
        <v>0.31776799748245055</v>
      </c>
      <c r="F22" s="725">
        <f t="shared" si="74"/>
        <v>8.1492481255852844E-2</v>
      </c>
      <c r="G22" s="725">
        <f t="shared" si="74"/>
        <v>4.5797183401368846E-2</v>
      </c>
      <c r="H22" s="725">
        <f t="shared" si="74"/>
        <v>0.13908671973188103</v>
      </c>
      <c r="I22" s="725">
        <f t="shared" si="74"/>
        <v>0.11474806914306734</v>
      </c>
      <c r="J22" s="725">
        <f t="shared" ca="1" si="56"/>
        <v>0.12000000000000011</v>
      </c>
      <c r="K22" s="725">
        <f t="shared" ca="1" si="57"/>
        <v>0.12000000000000011</v>
      </c>
      <c r="L22" s="725">
        <f t="shared" ca="1" si="57"/>
        <v>0.12000000000000011</v>
      </c>
      <c r="M22" s="2388"/>
      <c r="N22" s="725">
        <f t="shared" ca="1" si="58"/>
        <v>9.000000000000008E-2</v>
      </c>
      <c r="O22" s="2388">
        <v>7.0000000000000007E-2</v>
      </c>
      <c r="S22" s="1412"/>
      <c r="T22" s="2353">
        <f>O12+O13</f>
        <v>31950.27</v>
      </c>
      <c r="U22" s="725"/>
      <c r="V22" s="2"/>
      <c r="W22" s="2"/>
      <c r="X22" s="399"/>
      <c r="Y22" s="399"/>
      <c r="Z22" s="399"/>
      <c r="AA22" s="743"/>
      <c r="AB22" s="696"/>
      <c r="AC22" s="696"/>
      <c r="AD22" s="745"/>
      <c r="AE22" s="743"/>
      <c r="AF22" s="8"/>
      <c r="AG22" s="8"/>
      <c r="AH22" s="1114"/>
      <c r="AI22" s="8">
        <f t="shared" si="72"/>
        <v>0.43320702133558942</v>
      </c>
      <c r="AJ22" s="8">
        <f t="shared" si="73"/>
        <v>0.43600126261380789</v>
      </c>
      <c r="AK22" s="8">
        <f t="shared" si="60"/>
        <v>0.23922225980136802</v>
      </c>
      <c r="AL22" s="1114">
        <f t="shared" si="60"/>
        <v>0.2613709434502387</v>
      </c>
      <c r="AM22" s="8">
        <f t="shared" si="60"/>
        <v>0.51767493127159692</v>
      </c>
      <c r="AN22" s="8">
        <f t="shared" si="60"/>
        <v>-0.17386134533152453</v>
      </c>
      <c r="AO22" s="8">
        <f t="shared" si="73"/>
        <v>0.13349921210901794</v>
      </c>
      <c r="AP22" s="1114">
        <f t="shared" si="73"/>
        <v>1.9577050685156472E-2</v>
      </c>
      <c r="AQ22" s="8">
        <f t="shared" si="73"/>
        <v>-8.0238863339968325E-2</v>
      </c>
      <c r="AR22" s="8">
        <f t="shared" si="73"/>
        <v>0.30376361967352694</v>
      </c>
      <c r="AS22" s="8">
        <f t="shared" si="61"/>
        <v>0.12246464177794647</v>
      </c>
      <c r="AT22" s="1114">
        <f t="shared" si="61"/>
        <v>-5.7321888861157744E-2</v>
      </c>
      <c r="AU22" s="3140">
        <f t="shared" si="61"/>
        <v>4.6197583511016438E-2</v>
      </c>
      <c r="AV22" s="3140">
        <f t="shared" si="61"/>
        <v>0.29591836734693877</v>
      </c>
      <c r="AW22" s="3140">
        <f t="shared" si="61"/>
        <v>-6.4718162839248472E-2</v>
      </c>
      <c r="AX22" s="1114">
        <f t="shared" si="61"/>
        <v>0.26035242290748895</v>
      </c>
      <c r="AY22" s="8">
        <f t="shared" si="62"/>
        <v>7.5407608695652106E-2</v>
      </c>
      <c r="AZ22" s="1751">
        <f t="shared" ref="AZ22:BB26" si="75">AZ13/AV13-1</f>
        <v>-7.6771653543307061E-2</v>
      </c>
      <c r="BA22" s="1751">
        <f t="shared" si="75"/>
        <v>6.9754464285714191E-2</v>
      </c>
      <c r="BB22" s="1751">
        <f t="shared" si="75"/>
        <v>0.29919608528486541</v>
      </c>
      <c r="BC22" s="1751"/>
      <c r="BD22" s="3288" t="s">
        <v>855</v>
      </c>
      <c r="BE22" s="1751">
        <f t="shared" si="70"/>
        <v>0.17781512605042016</v>
      </c>
      <c r="BF22" s="1751"/>
      <c r="BG22" s="1751"/>
      <c r="BH22" s="1751"/>
      <c r="BI22" s="1751">
        <f t="shared" si="64"/>
        <v>-1.2842465753424626E-2</v>
      </c>
      <c r="BJ22" s="1751"/>
      <c r="BK22" s="1751">
        <v>0.02</v>
      </c>
      <c r="BL22" s="1751">
        <v>1.4999999999999999E-2</v>
      </c>
      <c r="BM22" s="8"/>
      <c r="BN22" s="696">
        <f>24525-19934</f>
        <v>4591</v>
      </c>
      <c r="BO22" s="8">
        <f>BN22/BN21-1</f>
        <v>-2.0273154075970967E-2</v>
      </c>
      <c r="BP22" s="8"/>
      <c r="BQ22" s="8"/>
      <c r="BR22" s="8"/>
      <c r="BS22" s="8"/>
      <c r="BT22" s="8"/>
      <c r="BU22" s="739"/>
      <c r="BV22" s="1133"/>
      <c r="BW22" s="1133"/>
      <c r="BX22" s="739"/>
    </row>
    <row r="23" spans="1:87">
      <c r="A23" s="1409" t="s">
        <v>1028</v>
      </c>
      <c r="B23" s="1528" t="s">
        <v>1632</v>
      </c>
      <c r="C23" s="725">
        <f t="shared" si="74"/>
        <v>0.17749105056356562</v>
      </c>
      <c r="D23" s="725">
        <f t="shared" si="74"/>
        <v>0.1026815882825356</v>
      </c>
      <c r="E23" s="725">
        <f t="shared" si="74"/>
        <v>0.10642295577052252</v>
      </c>
      <c r="F23" s="725">
        <f t="shared" si="74"/>
        <v>0.16105675550919973</v>
      </c>
      <c r="G23" s="725">
        <f t="shared" si="74"/>
        <v>7.3073771140099941E-2</v>
      </c>
      <c r="H23" s="725">
        <f t="shared" si="74"/>
        <v>0.11413387321270396</v>
      </c>
      <c r="I23" s="725">
        <f t="shared" si="74"/>
        <v>0.10772288472458835</v>
      </c>
      <c r="J23" s="2389">
        <f t="shared" si="56"/>
        <v>0.11499999999999999</v>
      </c>
      <c r="K23" s="2389">
        <f t="shared" ref="K23:L24" si="76">K14/J14-1</f>
        <v>0.12000000000000011</v>
      </c>
      <c r="L23" s="2389">
        <f t="shared" si="76"/>
        <v>0.12000000000000011</v>
      </c>
      <c r="M23" s="2389"/>
      <c r="N23" s="2389">
        <f t="shared" si="58"/>
        <v>0.12000000000000011</v>
      </c>
      <c r="O23" s="2389">
        <f>O14/G14-1</f>
        <v>0.11859547007465543</v>
      </c>
      <c r="S23" s="1413"/>
      <c r="T23" s="2"/>
      <c r="U23" s="2"/>
      <c r="V23" s="2" t="e">
        <f>#REF!/F14-1</f>
        <v>#REF!</v>
      </c>
      <c r="W23" s="2" t="e">
        <f>O14/#REF!-1</f>
        <v>#REF!</v>
      </c>
      <c r="X23" s="399"/>
      <c r="Y23" s="399"/>
      <c r="Z23" s="399"/>
      <c r="AA23" s="743"/>
      <c r="AB23" s="696"/>
      <c r="AC23" s="696"/>
      <c r="AD23" s="745"/>
      <c r="AE23" s="743"/>
      <c r="AF23" s="8"/>
      <c r="AG23" s="8"/>
      <c r="AH23" s="1114"/>
      <c r="AI23" s="8">
        <f t="shared" si="72"/>
        <v>9.636359547529616E-2</v>
      </c>
      <c r="AJ23" s="8">
        <f t="shared" si="73"/>
        <v>0.15531752324971615</v>
      </c>
      <c r="AK23" s="8">
        <f t="shared" si="60"/>
        <v>8.1231121874186352E-2</v>
      </c>
      <c r="AL23" s="1114">
        <f t="shared" si="60"/>
        <v>9.4926504310663073E-2</v>
      </c>
      <c r="AM23" s="8">
        <f t="shared" si="60"/>
        <v>0.18666140192539116</v>
      </c>
      <c r="AN23" s="8">
        <f t="shared" si="60"/>
        <v>0.12637370533212278</v>
      </c>
      <c r="AO23" s="8">
        <f t="shared" si="73"/>
        <v>0.20120951876196602</v>
      </c>
      <c r="AP23" s="1114">
        <f t="shared" si="73"/>
        <v>0.13541601535814407</v>
      </c>
      <c r="AQ23" s="8">
        <f t="shared" si="73"/>
        <v>9.1928932591633927E-2</v>
      </c>
      <c r="AR23" s="8">
        <f t="shared" si="73"/>
        <v>7.9388429687885731E-2</v>
      </c>
      <c r="AS23" s="8">
        <f t="shared" si="61"/>
        <v>7.4359740030675914E-2</v>
      </c>
      <c r="AT23" s="1114">
        <f t="shared" si="61"/>
        <v>4.9360211503700846E-2</v>
      </c>
      <c r="AU23" s="3140">
        <f t="shared" si="61"/>
        <v>5.8512636720151612E-2</v>
      </c>
      <c r="AV23" s="3140">
        <f t="shared" si="61"/>
        <v>8.7421269877814289E-2</v>
      </c>
      <c r="AW23" s="3140">
        <f t="shared" si="61"/>
        <v>0.13672654690618757</v>
      </c>
      <c r="AX23" s="1114">
        <f t="shared" si="61"/>
        <v>0.16861030126336241</v>
      </c>
      <c r="AY23" s="8">
        <f t="shared" si="62"/>
        <v>0.14207377866400805</v>
      </c>
      <c r="AZ23" s="1751">
        <f t="shared" si="75"/>
        <v>0.12830812854442342</v>
      </c>
      <c r="BA23" s="1751">
        <f t="shared" si="75"/>
        <v>8.2089552238805874E-2</v>
      </c>
      <c r="BB23" s="1751">
        <f t="shared" si="75"/>
        <v>8.5239085239085188E-2</v>
      </c>
      <c r="BC23" s="1751"/>
      <c r="BD23" s="3289" t="s">
        <v>1028</v>
      </c>
      <c r="BE23" s="1751">
        <f t="shared" si="70"/>
        <v>7.3158031762561748E-2</v>
      </c>
      <c r="BF23" s="1751"/>
      <c r="BG23" s="1751"/>
      <c r="BH23" s="1751"/>
      <c r="BI23" s="1751">
        <f t="shared" si="64"/>
        <v>0.13500727802037837</v>
      </c>
      <c r="BJ23" s="1751"/>
      <c r="BK23" s="1751">
        <v>0.123</v>
      </c>
      <c r="BL23" s="1751">
        <v>0.11600000000000001</v>
      </c>
      <c r="BM23" s="8"/>
      <c r="BN23" s="8"/>
      <c r="BO23" s="8"/>
      <c r="BP23" s="8"/>
      <c r="BQ23" s="8"/>
      <c r="BR23" s="696"/>
      <c r="BS23" s="696"/>
      <c r="BT23" s="696"/>
      <c r="BU23" s="739"/>
      <c r="BV23" s="1133"/>
      <c r="BW23" s="1133"/>
      <c r="BX23" s="739"/>
    </row>
    <row r="24" spans="1:87">
      <c r="A24" s="1492" t="s">
        <v>895</v>
      </c>
      <c r="B24" s="1528" t="s">
        <v>1632</v>
      </c>
      <c r="C24" s="725">
        <f t="shared" si="74"/>
        <v>0.18043166165088786</v>
      </c>
      <c r="D24" s="725">
        <f t="shared" si="74"/>
        <v>0.11006596754424192</v>
      </c>
      <c r="E24" s="725">
        <f t="shared" si="74"/>
        <v>0.11150038331635681</v>
      </c>
      <c r="F24" s="725">
        <f t="shared" si="74"/>
        <v>0.15527709241027865</v>
      </c>
      <c r="G24" s="725">
        <f t="shared" si="74"/>
        <v>8.8272938222272668E-2</v>
      </c>
      <c r="H24" s="725">
        <f t="shared" si="74"/>
        <v>0.11326221519820878</v>
      </c>
      <c r="I24" s="725">
        <f t="shared" si="74"/>
        <v>0.10623447296817701</v>
      </c>
      <c r="J24" s="2389">
        <f t="shared" si="56"/>
        <v>0.11802614693615654</v>
      </c>
      <c r="K24" s="2389">
        <f t="shared" si="76"/>
        <v>0.11699938305038549</v>
      </c>
      <c r="L24" s="2389">
        <f t="shared" si="76"/>
        <v>0.11541306487641911</v>
      </c>
      <c r="M24" s="2389"/>
      <c r="N24" s="2389">
        <f t="shared" si="58"/>
        <v>0.13479474742694886</v>
      </c>
      <c r="O24" s="2389">
        <f>O15/G15-1</f>
        <v>0.11935466877387091</v>
      </c>
      <c r="S24" s="1413"/>
      <c r="T24" s="811"/>
      <c r="U24" s="1"/>
      <c r="V24" s="1"/>
      <c r="W24" s="1"/>
      <c r="X24" s="399"/>
      <c r="Y24" s="399"/>
      <c r="Z24" s="399"/>
      <c r="AA24" s="743"/>
      <c r="AB24" s="696"/>
      <c r="AC24" s="696"/>
      <c r="AD24" s="745"/>
      <c r="AE24" s="743"/>
      <c r="AF24" s="8"/>
      <c r="AG24" s="8"/>
      <c r="AH24" s="1114"/>
      <c r="AI24" s="8">
        <f t="shared" si="72"/>
        <v>9.2968651017189874E-2</v>
      </c>
      <c r="AJ24" s="8">
        <f t="shared" ref="AJ24:AR26" si="77">AJ15/AF15-1</f>
        <v>0.14757855167434264</v>
      </c>
      <c r="AK24" s="8">
        <f t="shared" si="60"/>
        <v>8.9645558196027153E-2</v>
      </c>
      <c r="AL24" s="1114">
        <f t="shared" si="60"/>
        <v>0.11544494000776151</v>
      </c>
      <c r="AM24" s="8">
        <f t="shared" si="60"/>
        <v>0.18422126425917229</v>
      </c>
      <c r="AN24" s="8">
        <f t="shared" si="60"/>
        <v>0.11919643795866008</v>
      </c>
      <c r="AO24" s="8">
        <f t="shared" si="77"/>
        <v>0.18215145527678622</v>
      </c>
      <c r="AP24" s="1114">
        <f t="shared" si="77"/>
        <v>0.13952994904341987</v>
      </c>
      <c r="AQ24" s="8">
        <f t="shared" si="77"/>
        <v>0.11290937112872035</v>
      </c>
      <c r="AR24" s="8">
        <f t="shared" si="77"/>
        <v>9.439884454151537E-2</v>
      </c>
      <c r="AS24" s="8">
        <f t="shared" si="61"/>
        <v>9.6173203896746218E-2</v>
      </c>
      <c r="AT24" s="1114">
        <f t="shared" si="61"/>
        <v>5.3120327081711771E-2</v>
      </c>
      <c r="AU24" s="3140">
        <f t="shared" si="61"/>
        <v>5.1421977182113388E-2</v>
      </c>
      <c r="AV24" s="3140">
        <f t="shared" si="61"/>
        <v>9.4687666644134527E-2</v>
      </c>
      <c r="AW24" s="3140">
        <f t="shared" si="61"/>
        <v>0.12944228274967573</v>
      </c>
      <c r="AX24" s="1114">
        <f t="shared" si="61"/>
        <v>0.17349027635619252</v>
      </c>
      <c r="AY24" s="8">
        <f t="shared" si="62"/>
        <v>0.14929214929214929</v>
      </c>
      <c r="AZ24" s="1751">
        <f t="shared" si="75"/>
        <v>0.11859838274932621</v>
      </c>
      <c r="BA24" s="1751">
        <f t="shared" si="75"/>
        <v>8.1304547542489614E-2</v>
      </c>
      <c r="BB24" s="1751">
        <f t="shared" si="75"/>
        <v>8.2424771042302725E-2</v>
      </c>
      <c r="BC24" s="1751"/>
      <c r="BD24" s="3288" t="s">
        <v>895</v>
      </c>
      <c r="BE24" s="1751">
        <f t="shared" si="70"/>
        <v>7.3151017108985528E-2</v>
      </c>
      <c r="BF24" s="1751"/>
      <c r="BG24" s="1751"/>
      <c r="BH24" s="1751"/>
      <c r="BI24" s="1751">
        <f t="shared" si="64"/>
        <v>0.13356766256590502</v>
      </c>
      <c r="BJ24" s="1751"/>
      <c r="BK24" s="1751"/>
      <c r="BL24" s="1751">
        <v>0.115</v>
      </c>
      <c r="BM24" s="8"/>
      <c r="BN24" s="8"/>
      <c r="BO24" s="8"/>
      <c r="BP24" s="8"/>
      <c r="BQ24" s="8"/>
      <c r="BR24" s="696"/>
      <c r="BS24" s="696"/>
      <c r="BT24" s="696"/>
      <c r="BU24" s="739"/>
      <c r="BV24" s="1133"/>
      <c r="BW24" s="1133"/>
      <c r="BX24" s="739"/>
    </row>
    <row r="25" spans="1:87">
      <c r="A25" s="1492" t="s">
        <v>856</v>
      </c>
      <c r="B25" s="1528" t="s">
        <v>2030</v>
      </c>
      <c r="C25" s="725">
        <f t="shared" si="74"/>
        <v>0.13214872053264815</v>
      </c>
      <c r="D25" s="725">
        <f t="shared" si="74"/>
        <v>-1.6036694716512812E-2</v>
      </c>
      <c r="E25" s="725">
        <f t="shared" si="74"/>
        <v>1.433194637078139E-2</v>
      </c>
      <c r="F25" s="725">
        <f t="shared" si="74"/>
        <v>0.2759264683136482</v>
      </c>
      <c r="G25" s="725">
        <f t="shared" si="74"/>
        <v>-0.20044259371264161</v>
      </c>
      <c r="H25" s="725">
        <f t="shared" si="74"/>
        <v>0.13709677419354849</v>
      </c>
      <c r="I25" s="725">
        <f t="shared" si="74"/>
        <v>0.14184397163120566</v>
      </c>
      <c r="J25" s="2622">
        <v>0.14000000000000001</v>
      </c>
      <c r="K25" s="2622">
        <v>0.14000000000000001</v>
      </c>
      <c r="L25" s="2622">
        <v>0.14000000000000001</v>
      </c>
      <c r="M25" s="2622"/>
      <c r="N25" s="2622">
        <v>0.14000000000000001</v>
      </c>
      <c r="O25" s="2388">
        <f>Assumptions!AG20</f>
        <v>0.1</v>
      </c>
      <c r="S25" s="1412"/>
      <c r="T25" s="811"/>
      <c r="U25" s="1"/>
      <c r="V25" s="1"/>
      <c r="W25" s="1"/>
      <c r="X25" s="399"/>
      <c r="Y25" s="399"/>
      <c r="Z25" s="399"/>
      <c r="AA25" s="743"/>
      <c r="AB25" s="696"/>
      <c r="AC25" s="696"/>
      <c r="AD25" s="745"/>
      <c r="AE25" s="743"/>
      <c r="AF25" s="8"/>
      <c r="AG25" s="8"/>
      <c r="AH25" s="1114"/>
      <c r="AI25" s="8">
        <f t="shared" si="72"/>
        <v>0.1810236718028484</v>
      </c>
      <c r="AJ25" s="8">
        <f t="shared" si="77"/>
        <v>0.32861098915943376</v>
      </c>
      <c r="AK25" s="8">
        <f t="shared" si="60"/>
        <v>-8.0298129658275874E-2</v>
      </c>
      <c r="AL25" s="1114">
        <f t="shared" si="60"/>
        <v>-0.15930600707913478</v>
      </c>
      <c r="AM25" s="8">
        <f t="shared" si="60"/>
        <v>0.24297449911923996</v>
      </c>
      <c r="AN25" s="8">
        <f t="shared" si="60"/>
        <v>0.26519070193053129</v>
      </c>
      <c r="AO25" s="8">
        <f t="shared" si="77"/>
        <v>0.63466360856269155</v>
      </c>
      <c r="AP25" s="1114">
        <f t="shared" si="77"/>
        <v>6.7783689912461531E-2</v>
      </c>
      <c r="AQ25" s="8">
        <f t="shared" si="77"/>
        <v>-0.36936769886890408</v>
      </c>
      <c r="AR25" s="8">
        <f t="shared" si="77"/>
        <v>-0.17743021024821948</v>
      </c>
      <c r="AS25" s="8">
        <f t="shared" si="61"/>
        <v>-0.27974781819712491</v>
      </c>
      <c r="AT25" s="1114">
        <f t="shared" si="61"/>
        <v>-2.1336749986998083E-2</v>
      </c>
      <c r="AU25" s="3140">
        <f t="shared" si="61"/>
        <v>0.33364136598479455</v>
      </c>
      <c r="AV25" s="3140">
        <f t="shared" si="61"/>
        <v>-7.7986468993478719E-2</v>
      </c>
      <c r="AW25" s="3140">
        <f t="shared" si="61"/>
        <v>0.31168831168831179</v>
      </c>
      <c r="AX25" s="1114">
        <f t="shared" si="61"/>
        <v>8.6956521739130377E-2</v>
      </c>
      <c r="AY25" s="8">
        <f t="shared" si="62"/>
        <v>-7.8740157480314932E-2</v>
      </c>
      <c r="AZ25" s="1751">
        <f t="shared" si="75"/>
        <v>0.39072847682119205</v>
      </c>
      <c r="BA25" s="1751">
        <f t="shared" si="75"/>
        <v>9.9009900990099098E-2</v>
      </c>
      <c r="BB25" s="1751">
        <f t="shared" si="75"/>
        <v>0.13777777777777778</v>
      </c>
      <c r="BC25" s="1751"/>
      <c r="BD25" s="3288" t="s">
        <v>856</v>
      </c>
      <c r="BE25" s="1751">
        <f t="shared" si="70"/>
        <v>7.3359073359073435E-2</v>
      </c>
      <c r="BF25" s="1751"/>
      <c r="BG25" s="1751"/>
      <c r="BH25" s="1751"/>
      <c r="BI25" s="1751">
        <f t="shared" si="64"/>
        <v>0.17625899280575541</v>
      </c>
      <c r="BJ25" s="1751"/>
      <c r="BK25" s="1751"/>
      <c r="BL25" s="1751">
        <v>0.14399999999999999</v>
      </c>
      <c r="BM25" s="8"/>
      <c r="BN25" s="8"/>
      <c r="BO25" s="8"/>
      <c r="BP25" s="8"/>
      <c r="BQ25" s="8"/>
      <c r="BR25" s="696"/>
      <c r="BS25" s="696"/>
      <c r="BT25" s="696"/>
      <c r="BU25" s="739"/>
      <c r="BV25" s="1133"/>
      <c r="BW25" s="1133"/>
      <c r="BX25" s="739"/>
    </row>
    <row r="26" spans="1:87">
      <c r="A26" s="2860" t="s">
        <v>2085</v>
      </c>
      <c r="B26" s="1528" t="s">
        <v>1985</v>
      </c>
      <c r="C26" s="725">
        <f t="shared" si="74"/>
        <v>0.56490822757534787</v>
      </c>
      <c r="D26" s="725">
        <f t="shared" si="74"/>
        <v>1.5765867342744988E-2</v>
      </c>
      <c r="E26" s="725">
        <f t="shared" si="74"/>
        <v>0.34584941583365492</v>
      </c>
      <c r="F26" s="725">
        <f t="shared" si="74"/>
        <v>0.67586601343120711</v>
      </c>
      <c r="G26" s="725">
        <f t="shared" si="74"/>
        <v>0.52488926898736921</v>
      </c>
      <c r="H26" s="725">
        <f t="shared" si="74"/>
        <v>0.14283050531418984</v>
      </c>
      <c r="I26" s="725">
        <f t="shared" si="74"/>
        <v>4.8947626040130032E-4</v>
      </c>
      <c r="J26" s="725">
        <f ca="1">J17/I17-1</f>
        <v>5.0000000000000044E-2</v>
      </c>
      <c r="K26" s="725">
        <f t="shared" ref="K26" ca="1" si="78">K17/J17-1</f>
        <v>0.12000000000000011</v>
      </c>
      <c r="L26" s="725">
        <f t="shared" ref="L26" ca="1" si="79">L17/K17-1</f>
        <v>0.12000000000000011</v>
      </c>
      <c r="M26" s="2388"/>
      <c r="N26" s="725">
        <f ca="1">N17/H17-1</f>
        <v>0.10000000000000009</v>
      </c>
      <c r="O26" s="2388">
        <v>0.14000000000000001</v>
      </c>
      <c r="S26" s="1412"/>
      <c r="T26" s="811"/>
      <c r="U26" s="1"/>
      <c r="V26" s="1"/>
      <c r="W26" s="1"/>
      <c r="X26" s="399"/>
      <c r="Y26" s="399"/>
      <c r="Z26" s="399"/>
      <c r="AA26" s="743"/>
      <c r="AB26" s="696"/>
      <c r="AC26" s="696"/>
      <c r="AD26" s="745"/>
      <c r="AE26" s="743"/>
      <c r="AF26" s="8"/>
      <c r="AG26" s="8"/>
      <c r="AH26" s="1114"/>
      <c r="AI26" s="8">
        <f t="shared" si="72"/>
        <v>0.31318642445312639</v>
      </c>
      <c r="AJ26" s="8">
        <f t="shared" si="77"/>
        <v>0.70740874763563055</v>
      </c>
      <c r="AK26" s="8">
        <f t="shared" si="60"/>
        <v>-0.23174012831354618</v>
      </c>
      <c r="AL26" s="1114">
        <f t="shared" si="60"/>
        <v>0.82316726951450603</v>
      </c>
      <c r="AM26" s="8">
        <f t="shared" si="60"/>
        <v>0.27726842010828245</v>
      </c>
      <c r="AN26" s="8">
        <f t="shared" si="60"/>
        <v>0.64864062105734321</v>
      </c>
      <c r="AO26" s="8">
        <f t="shared" si="77"/>
        <v>1.2359647167800962</v>
      </c>
      <c r="AP26" s="1114">
        <f t="shared" si="77"/>
        <v>0.66507612039917618</v>
      </c>
      <c r="AQ26" s="8">
        <f t="shared" si="77"/>
        <v>0.70364192633191491</v>
      </c>
      <c r="AR26" s="8">
        <f t="shared" si="77"/>
        <v>0.58033257788855042</v>
      </c>
      <c r="AS26" s="8">
        <f t="shared" si="61"/>
        <v>0.68508270337334509</v>
      </c>
      <c r="AT26" s="1114">
        <f t="shared" si="61"/>
        <v>0.29587594976477405</v>
      </c>
      <c r="AU26" s="3140">
        <f t="shared" si="61"/>
        <v>0.52819515308545362</v>
      </c>
      <c r="AV26" s="3140">
        <f t="shared" si="61"/>
        <v>0.1464640378333133</v>
      </c>
      <c r="AW26" s="3140">
        <f t="shared" si="61"/>
        <v>1.4593467685892758E-2</v>
      </c>
      <c r="AX26" s="1114">
        <f t="shared" si="61"/>
        <v>5.4777845404745396E-3</v>
      </c>
      <c r="AY26" s="8">
        <f t="shared" si="62"/>
        <v>6.0907395898073258E-2</v>
      </c>
      <c r="AZ26" s="1751">
        <f t="shared" si="75"/>
        <v>5.8948863636363535E-2</v>
      </c>
      <c r="BA26" s="1751">
        <f t="shared" si="75"/>
        <v>-4.794520547945158E-3</v>
      </c>
      <c r="BB26" s="1751">
        <f t="shared" si="75"/>
        <v>-0.10351089588377727</v>
      </c>
      <c r="BC26" s="1751"/>
      <c r="BD26" s="3289" t="s">
        <v>882</v>
      </c>
      <c r="BE26" s="1751">
        <f t="shared" si="70"/>
        <v>0.32266549758877683</v>
      </c>
      <c r="BF26" s="1751"/>
      <c r="BG26" s="1751"/>
      <c r="BH26" s="1751"/>
      <c r="BI26" s="1751">
        <f t="shared" si="64"/>
        <v>5.9993370898243192E-2</v>
      </c>
      <c r="BJ26" s="1751"/>
      <c r="BK26" s="1751">
        <v>4.3999999999999997E-2</v>
      </c>
      <c r="BL26" s="1751">
        <v>3.9E-2</v>
      </c>
      <c r="BM26" s="8"/>
      <c r="BN26" s="8"/>
      <c r="BO26" s="8"/>
      <c r="BP26" s="8"/>
      <c r="BQ26" s="8"/>
      <c r="BR26" s="696"/>
      <c r="BS26" s="696"/>
      <c r="BT26" s="696"/>
      <c r="BU26" s="739"/>
      <c r="BV26" s="1133"/>
      <c r="BW26" s="1133"/>
      <c r="BX26" s="739"/>
    </row>
    <row r="27" spans="1:87">
      <c r="A27" s="1411"/>
      <c r="B27" s="738"/>
      <c r="C27" s="725"/>
      <c r="D27" s="725"/>
      <c r="E27" s="725"/>
      <c r="F27" s="725"/>
      <c r="G27" s="725"/>
      <c r="H27" s="725"/>
      <c r="I27" s="725"/>
      <c r="J27" s="8"/>
      <c r="K27" s="8"/>
      <c r="L27" s="8"/>
      <c r="M27" s="8"/>
      <c r="N27" s="8"/>
      <c r="O27" s="8"/>
      <c r="S27" s="1412"/>
      <c r="T27" s="811"/>
      <c r="U27" s="1"/>
      <c r="V27" s="1"/>
      <c r="W27" s="1"/>
      <c r="X27" s="399"/>
      <c r="Y27" s="399"/>
      <c r="Z27" s="399"/>
      <c r="AA27" s="743"/>
      <c r="AB27" s="696"/>
      <c r="AC27" s="696"/>
      <c r="AD27" s="745"/>
      <c r="AE27" s="743"/>
      <c r="AF27" s="8"/>
      <c r="AG27" s="8"/>
      <c r="AH27" s="1114"/>
      <c r="AI27" s="1110"/>
      <c r="AJ27" s="8"/>
      <c r="AK27" s="8"/>
      <c r="AL27" s="1114"/>
      <c r="AM27" s="8"/>
      <c r="AN27" s="8"/>
      <c r="AO27" s="8"/>
      <c r="AP27" s="1114"/>
      <c r="AQ27" s="696"/>
      <c r="AR27" s="696"/>
      <c r="AS27" s="696"/>
      <c r="AT27" s="745"/>
      <c r="AU27" s="2055"/>
      <c r="AV27" s="2055"/>
      <c r="AW27" s="2055"/>
      <c r="AX27" s="745"/>
      <c r="AY27" s="696"/>
      <c r="AZ27" s="1468"/>
      <c r="BA27" s="1468"/>
      <c r="BB27" s="1468"/>
      <c r="BC27" s="1468"/>
      <c r="BD27" s="1468"/>
      <c r="BE27" s="1468"/>
      <c r="BF27" s="1468"/>
      <c r="BG27" s="1468"/>
      <c r="BH27" s="1468"/>
      <c r="BI27" s="1468"/>
      <c r="BJ27" s="1468"/>
      <c r="BK27" s="1468"/>
      <c r="BL27" s="1468"/>
      <c r="BM27" s="696"/>
      <c r="BN27" s="696"/>
      <c r="BO27" s="696"/>
      <c r="BP27" s="696"/>
      <c r="BQ27" s="696"/>
      <c r="BR27" s="696"/>
      <c r="BS27" s="696"/>
      <c r="BT27" s="696"/>
      <c r="BU27" s="739"/>
      <c r="BV27" s="1133"/>
      <c r="BW27" s="1133"/>
      <c r="BX27" s="739"/>
    </row>
    <row r="28" spans="1:87">
      <c r="A28" s="1490" t="s">
        <v>902</v>
      </c>
      <c r="B28" s="1152"/>
      <c r="C28" s="1153"/>
      <c r="D28" s="1153"/>
      <c r="E28" s="1153"/>
      <c r="F28" s="1153"/>
      <c r="G28" s="1153"/>
      <c r="H28" s="1153"/>
      <c r="I28" s="1153"/>
      <c r="J28" s="1150"/>
      <c r="K28" s="1150"/>
      <c r="L28" s="1150"/>
      <c r="M28" s="1150"/>
      <c r="N28" s="1150"/>
      <c r="O28" s="1150"/>
      <c r="S28" s="1412"/>
      <c r="T28" s="811"/>
      <c r="U28" s="1"/>
      <c r="V28" s="1"/>
      <c r="W28" s="1"/>
      <c r="X28" s="399"/>
      <c r="Y28" s="399"/>
      <c r="Z28" s="399"/>
      <c r="AA28" s="743"/>
      <c r="AB28" s="696"/>
      <c r="AC28" s="696"/>
      <c r="AD28" s="745"/>
      <c r="AE28" s="743"/>
      <c r="AF28" s="8"/>
      <c r="AG28" s="8"/>
      <c r="AH28" s="1114"/>
      <c r="AI28" s="1110"/>
      <c r="AJ28" s="8"/>
      <c r="AK28" s="8"/>
      <c r="AL28" s="1114"/>
      <c r="AM28" s="8"/>
      <c r="AN28" s="8"/>
      <c r="AO28" s="8"/>
      <c r="AP28" s="1114"/>
      <c r="AQ28" s="696"/>
      <c r="AR28" s="696"/>
      <c r="AS28" s="696"/>
      <c r="AT28" s="745"/>
      <c r="AU28" s="2055"/>
      <c r="AV28" s="2055"/>
      <c r="AW28" s="2055"/>
      <c r="AX28" s="745"/>
      <c r="AY28" s="696"/>
      <c r="AZ28" s="1468"/>
      <c r="BA28" s="1468"/>
      <c r="BB28" s="1468"/>
      <c r="BC28" s="1468"/>
      <c r="BD28" s="1468"/>
      <c r="BE28" s="1468"/>
      <c r="BF28" s="1468"/>
      <c r="BG28" s="1468"/>
      <c r="BH28" s="1468"/>
      <c r="BI28" s="1468"/>
      <c r="BJ28" s="1468"/>
      <c r="BK28" s="1468"/>
      <c r="BL28" s="1468"/>
      <c r="BM28" s="696"/>
      <c r="BN28" s="696"/>
      <c r="BO28" s="696"/>
      <c r="BP28" s="696"/>
      <c r="BQ28" s="696"/>
      <c r="BR28" s="696"/>
      <c r="BS28" s="696"/>
      <c r="BT28" s="696"/>
      <c r="BU28" s="739"/>
      <c r="BV28" s="1133"/>
      <c r="BW28" s="1133"/>
      <c r="BX28" s="739"/>
    </row>
    <row r="29" spans="1:87">
      <c r="A29" s="1491" t="s">
        <v>1027</v>
      </c>
      <c r="B29" s="725">
        <f t="shared" ref="B29:F35" si="80">B11/B$3</f>
        <v>0.57731719565776662</v>
      </c>
      <c r="C29" s="725">
        <f t="shared" si="80"/>
        <v>0.56944992933160832</v>
      </c>
      <c r="D29" s="725">
        <f t="shared" si="80"/>
        <v>0.56334919086616764</v>
      </c>
      <c r="E29" s="725">
        <f t="shared" si="80"/>
        <v>0.58535744222213104</v>
      </c>
      <c r="F29" s="725">
        <f t="shared" si="80"/>
        <v>0.58539373989179577</v>
      </c>
      <c r="G29" s="725">
        <f t="shared" ref="G29:O29" si="81">G11/G$3</f>
        <v>0.59768632928116283</v>
      </c>
      <c r="H29" s="725">
        <f t="shared" ref="H29" si="82">H11/H$3</f>
        <v>0.62228723894286586</v>
      </c>
      <c r="I29" s="725">
        <f t="shared" ref="I29" si="83">I11/I$3</f>
        <v>0.63347761477410802</v>
      </c>
      <c r="J29" s="725">
        <f t="shared" ref="J29:K35" ca="1" si="84">J11/J$3</f>
        <v>0.64292942508933304</v>
      </c>
      <c r="K29" s="725">
        <f t="shared" ca="1" si="84"/>
        <v>0.65039092950071098</v>
      </c>
      <c r="L29" s="725">
        <f t="shared" ref="L29" ca="1" si="85">L11/L$3</f>
        <v>0.65941001148066825</v>
      </c>
      <c r="M29" s="725"/>
      <c r="N29" s="725">
        <f t="shared" ref="N29:N35" ca="1" si="86">N11/N$3</f>
        <v>0.60087759845195698</v>
      </c>
      <c r="O29" s="725">
        <f t="shared" si="81"/>
        <v>0.57315442694818375</v>
      </c>
      <c r="S29" s="1412"/>
      <c r="T29" s="811"/>
      <c r="U29" s="1"/>
      <c r="V29" s="1"/>
      <c r="W29" s="1"/>
      <c r="X29" s="399"/>
      <c r="Y29" s="399"/>
      <c r="Z29" s="399"/>
      <c r="AA29" s="743"/>
      <c r="AB29" s="696"/>
      <c r="AC29" s="696"/>
      <c r="AD29" s="745"/>
      <c r="AE29" s="743"/>
      <c r="AF29" s="8"/>
      <c r="AG29" s="8"/>
      <c r="AH29" s="8"/>
      <c r="AI29" s="8">
        <f t="shared" ref="AI29:AL29" si="87">AI11/AI$10</f>
        <v>0.55064204734322142</v>
      </c>
      <c r="AJ29" s="8">
        <f t="shared" si="87"/>
        <v>0.57503880150262809</v>
      </c>
      <c r="AK29" s="8">
        <f t="shared" si="87"/>
        <v>0.60028066218395193</v>
      </c>
      <c r="AL29" s="8">
        <f t="shared" si="87"/>
        <v>0.60612764192182178</v>
      </c>
      <c r="AM29" s="8">
        <f t="shared" ref="AM29:AR29" si="88">AM11/AM$10</f>
        <v>0.57974972597984342</v>
      </c>
      <c r="AN29" s="8">
        <f t="shared" si="88"/>
        <v>0.56590312939166532</v>
      </c>
      <c r="AO29" s="8">
        <f t="shared" si="88"/>
        <v>0.58877573218356272</v>
      </c>
      <c r="AP29" s="1114">
        <f t="shared" si="88"/>
        <v>0.60204810338040959</v>
      </c>
      <c r="AQ29" s="8">
        <f t="shared" si="88"/>
        <v>0.58563097482685289</v>
      </c>
      <c r="AR29" s="8">
        <f t="shared" si="88"/>
        <v>0.58960929095907078</v>
      </c>
      <c r="AS29" s="8">
        <f t="shared" ref="AS29:AU35" si="89">AS11/AS$10</f>
        <v>0.60424387762517262</v>
      </c>
      <c r="AT29" s="1114">
        <f t="shared" si="89"/>
        <v>0.60799128718262885</v>
      </c>
      <c r="AU29" s="3140">
        <f t="shared" si="89"/>
        <v>0.60112120351972753</v>
      </c>
      <c r="AV29" s="1114">
        <f t="shared" ref="AV29:AW29" si="90">AV11/AV$10</f>
        <v>0.63006690279417554</v>
      </c>
      <c r="AW29" s="3140">
        <f t="shared" si="90"/>
        <v>0.62170659623970315</v>
      </c>
      <c r="AX29" s="1114">
        <f t="shared" ref="AX29:AY29" si="91">AX11/AX$10</f>
        <v>0.63300772376192638</v>
      </c>
      <c r="AY29" s="8">
        <f t="shared" si="91"/>
        <v>0.60835720513139868</v>
      </c>
      <c r="AZ29" s="1751">
        <f>AZ11/AZ$10</f>
        <v>0.62309774436090226</v>
      </c>
      <c r="BA29" s="1751">
        <f>BA11/BA$10</f>
        <v>0.62898163217856318</v>
      </c>
      <c r="BB29" s="1751">
        <f>BB11/BB$10</f>
        <v>0.84232158425706816</v>
      </c>
      <c r="BC29" s="1751"/>
      <c r="BD29" s="1751">
        <f>BD11/BD$10</f>
        <v>0.58768517752213856</v>
      </c>
      <c r="BE29" s="1751">
        <f>BE11/BE$10</f>
        <v>0.61616333765082831</v>
      </c>
      <c r="BF29" s="1751"/>
      <c r="BG29" s="1751"/>
      <c r="BH29" s="1751"/>
      <c r="BI29" s="1751">
        <f>BI11/BI$10</f>
        <v>0.61585533763730382</v>
      </c>
      <c r="BJ29" s="1751"/>
      <c r="BK29" s="1751"/>
      <c r="BL29" s="1751"/>
      <c r="BM29" s="8"/>
      <c r="BN29" s="696"/>
      <c r="BO29" s="696"/>
      <c r="BP29" s="696"/>
      <c r="BQ29" s="696"/>
      <c r="BR29" s="696"/>
      <c r="BS29" s="696"/>
      <c r="BT29" s="696"/>
      <c r="BU29" s="739"/>
      <c r="BV29" s="1133"/>
      <c r="BW29" s="1133"/>
      <c r="BX29" s="8"/>
    </row>
    <row r="30" spans="1:87">
      <c r="A30" s="1492" t="s">
        <v>854</v>
      </c>
      <c r="B30" s="725">
        <f t="shared" si="80"/>
        <v>0.36373052722425542</v>
      </c>
      <c r="C30" s="725">
        <f t="shared" si="80"/>
        <v>0.39138718461193139</v>
      </c>
      <c r="D30" s="725">
        <f t="shared" si="80"/>
        <v>0.40228289892417513</v>
      </c>
      <c r="E30" s="725">
        <f t="shared" si="80"/>
        <v>0.40779353102718641</v>
      </c>
      <c r="F30" s="725">
        <f t="shared" si="80"/>
        <v>0.42980452181050188</v>
      </c>
      <c r="G30" s="725">
        <f t="shared" ref="G30:O30" si="92">G12/G$3</f>
        <v>0.46159196049416146</v>
      </c>
      <c r="H30" s="725">
        <f t="shared" ref="H30" si="93">H12/H$3</f>
        <v>0.49249953738170615</v>
      </c>
      <c r="I30" s="725">
        <f t="shared" ref="I30" si="94">I12/I$3</f>
        <v>0.50396188793563779</v>
      </c>
      <c r="J30" s="725">
        <f t="shared" ca="1" si="84"/>
        <v>0.51392605067013442</v>
      </c>
      <c r="K30" s="725">
        <f t="shared" ca="1" si="84"/>
        <v>0.52408326655970494</v>
      </c>
      <c r="L30" s="725">
        <f t="shared" ref="L30" ca="1" si="95">L12/L$3</f>
        <v>0.53636078564238054</v>
      </c>
      <c r="M30" s="725"/>
      <c r="N30" s="725">
        <f t="shared" ca="1" si="86"/>
        <v>0.46678971825970927</v>
      </c>
      <c r="O30" s="725">
        <f t="shared" si="92"/>
        <v>0.43570131713182669</v>
      </c>
      <c r="S30" s="1412"/>
      <c r="T30" s="811"/>
      <c r="U30" s="1"/>
      <c r="V30" s="1"/>
      <c r="W30" s="1"/>
      <c r="X30" s="399"/>
      <c r="Y30" s="399"/>
      <c r="Z30" s="399"/>
      <c r="AA30" s="743"/>
      <c r="AB30" s="696"/>
      <c r="AC30" s="696"/>
      <c r="AD30" s="745"/>
      <c r="AE30" s="743"/>
      <c r="AF30" s="8"/>
      <c r="AG30" s="8"/>
      <c r="AH30" s="8"/>
      <c r="AI30" s="8">
        <f t="shared" ref="AI30:AL30" si="96">AI12/AI$10</f>
        <v>0.41777763074386404</v>
      </c>
      <c r="AJ30" s="8">
        <f t="shared" si="96"/>
        <v>0.40657961259246433</v>
      </c>
      <c r="AK30" s="8">
        <f t="shared" si="96"/>
        <v>0.42768589758488074</v>
      </c>
      <c r="AL30" s="8">
        <f t="shared" si="96"/>
        <v>0.38548267510597906</v>
      </c>
      <c r="AM30" s="8">
        <f t="shared" ref="AM30:AP35" si="97">AM12/AM$10</f>
        <v>0.42253440308445761</v>
      </c>
      <c r="AN30" s="8">
        <f t="shared" si="97"/>
        <v>0.44678022509387982</v>
      </c>
      <c r="AO30" s="8">
        <f t="shared" si="97"/>
        <v>0.43566554127155799</v>
      </c>
      <c r="AP30" s="1114">
        <f t="shared" si="97"/>
        <v>0.41741734910624761</v>
      </c>
      <c r="AQ30" s="8">
        <f t="shared" ref="AQ30:AR35" si="98">AQ12/AQ$10</f>
        <v>0.46524997538050283</v>
      </c>
      <c r="AR30" s="8">
        <f t="shared" si="98"/>
        <v>0.46394922499875579</v>
      </c>
      <c r="AS30" s="8">
        <f t="shared" si="89"/>
        <v>0.46500981033355143</v>
      </c>
      <c r="AT30" s="1114">
        <f t="shared" si="89"/>
        <v>0.45347491661561506</v>
      </c>
      <c r="AU30" s="1114">
        <f t="shared" si="89"/>
        <v>0.49666477434005107</v>
      </c>
      <c r="AV30" s="1114">
        <f t="shared" ref="AV30:AW30" si="99">AV12/AV$10</f>
        <v>0.4967860422405877</v>
      </c>
      <c r="AW30" s="1114">
        <f t="shared" si="99"/>
        <v>0.50902345469408283</v>
      </c>
      <c r="AX30" s="1114">
        <f t="shared" ref="AX30:AZ30" si="100">AX12/AX$10</f>
        <v>0.47052476147205813</v>
      </c>
      <c r="AY30" s="8">
        <f t="shared" si="100"/>
        <v>0.50977705816415497</v>
      </c>
      <c r="AZ30" s="1751">
        <f t="shared" si="100"/>
        <v>0.51025563909774441</v>
      </c>
      <c r="BA30" s="1751">
        <f t="shared" ref="BA30:BB30" si="101">BA12/BA$10</f>
        <v>0.51761218321320623</v>
      </c>
      <c r="BB30" s="1751">
        <f t="shared" si="101"/>
        <v>0.61078590110848174</v>
      </c>
      <c r="BC30" s="1751"/>
      <c r="BD30" s="1751">
        <f t="shared" ref="BD30" si="102">BD12/BD$10</f>
        <v>0.46457833319539849</v>
      </c>
      <c r="BE30" s="1751">
        <f t="shared" ref="BE30:BI30" si="103">BE12/BE$10</f>
        <v>0.49672779330561045</v>
      </c>
      <c r="BF30" s="1751"/>
      <c r="BG30" s="1751"/>
      <c r="BH30" s="1751"/>
      <c r="BI30" s="1751">
        <f t="shared" si="103"/>
        <v>0.51002049995410459</v>
      </c>
      <c r="BJ30" s="1751"/>
      <c r="BK30" s="1751"/>
      <c r="BL30" s="1751"/>
      <c r="BM30" s="8"/>
      <c r="BN30" s="696"/>
      <c r="BO30" s="696"/>
      <c r="BP30" s="696"/>
      <c r="BQ30" s="696"/>
      <c r="BR30" s="696"/>
      <c r="BS30" s="696"/>
      <c r="BT30" s="696"/>
      <c r="BU30" s="739"/>
      <c r="BV30" s="1133"/>
      <c r="BW30" s="1133"/>
      <c r="BX30" s="8"/>
    </row>
    <row r="31" spans="1:87">
      <c r="A31" s="1492" t="s">
        <v>855</v>
      </c>
      <c r="B31" s="725">
        <f t="shared" si="80"/>
        <v>0.21358666843351115</v>
      </c>
      <c r="C31" s="725">
        <f t="shared" si="80"/>
        <v>0.1780627447196769</v>
      </c>
      <c r="D31" s="725">
        <f t="shared" si="80"/>
        <v>0.16106629194199246</v>
      </c>
      <c r="E31" s="725">
        <f t="shared" si="80"/>
        <v>0.17756391119494466</v>
      </c>
      <c r="F31" s="725">
        <f t="shared" si="80"/>
        <v>0.15558921808129386</v>
      </c>
      <c r="G31" s="725">
        <f t="shared" ref="G31:O31" si="104">G13/G$3</f>
        <v>0.1360943687870014</v>
      </c>
      <c r="H31" s="725">
        <f t="shared" ref="H31" si="105">H13/H$3</f>
        <v>0.12978770156115974</v>
      </c>
      <c r="I31" s="725">
        <f t="shared" ref="I31" si="106">I13/I$3</f>
        <v>0.12951572683847026</v>
      </c>
      <c r="J31" s="725">
        <f t="shared" ca="1" si="84"/>
        <v>0.12900337441919854</v>
      </c>
      <c r="K31" s="725">
        <f t="shared" ca="1" si="84"/>
        <v>0.12630766294100601</v>
      </c>
      <c r="L31" s="725">
        <f t="shared" ref="L31" ca="1" si="107">L13/L$3</f>
        <v>0.12304922583828772</v>
      </c>
      <c r="M31" s="725"/>
      <c r="N31" s="725">
        <f t="shared" ca="1" si="86"/>
        <v>0.13408788019224765</v>
      </c>
      <c r="O31" s="725">
        <f t="shared" si="104"/>
        <v>0.13745310981635711</v>
      </c>
      <c r="S31" s="1412"/>
      <c r="T31" s="811"/>
      <c r="U31" s="1"/>
      <c r="V31" s="1"/>
      <c r="W31" s="1"/>
      <c r="X31" s="399"/>
      <c r="Y31" s="399"/>
      <c r="Z31" s="399"/>
      <c r="AA31" s="743"/>
      <c r="AB31" s="696"/>
      <c r="AC31" s="696"/>
      <c r="AD31" s="745"/>
      <c r="AE31" s="743"/>
      <c r="AF31" s="8"/>
      <c r="AG31" s="8"/>
      <c r="AH31" s="8"/>
      <c r="AI31" s="8">
        <f t="shared" ref="AI31:AL31" si="108">AI13/AI$10</f>
        <v>0.13286441659935733</v>
      </c>
      <c r="AJ31" s="8">
        <f t="shared" si="108"/>
        <v>0.16845918891016384</v>
      </c>
      <c r="AK31" s="8">
        <f t="shared" si="108"/>
        <v>0.17259476459907119</v>
      </c>
      <c r="AL31" s="8">
        <f t="shared" si="108"/>
        <v>0.22064496681584275</v>
      </c>
      <c r="AM31" s="8">
        <f t="shared" si="97"/>
        <v>0.15721532289538578</v>
      </c>
      <c r="AN31" s="8">
        <f t="shared" si="97"/>
        <v>0.11912290429778544</v>
      </c>
      <c r="AO31" s="8">
        <f t="shared" si="97"/>
        <v>0.15311019091200473</v>
      </c>
      <c r="AP31" s="1114">
        <f t="shared" si="97"/>
        <v>0.18463075427416198</v>
      </c>
      <c r="AQ31" s="8">
        <f t="shared" si="98"/>
        <v>0.12038099944635007</v>
      </c>
      <c r="AR31" s="8">
        <f t="shared" si="98"/>
        <v>0.12566006596031498</v>
      </c>
      <c r="AS31" s="8">
        <f t="shared" si="89"/>
        <v>0.13923406729162124</v>
      </c>
      <c r="AT31" s="1114">
        <f t="shared" si="89"/>
        <v>0.15451637056701381</v>
      </c>
      <c r="AU31" s="1114">
        <f t="shared" si="89"/>
        <v>0.10445642917967642</v>
      </c>
      <c r="AV31" s="1114">
        <f t="shared" ref="AV31:AW31" si="109">AV13/AV$10</f>
        <v>0.13328086055358782</v>
      </c>
      <c r="AW31" s="1114">
        <f t="shared" si="109"/>
        <v>0.11268314154562033</v>
      </c>
      <c r="AX31" s="1114">
        <f t="shared" ref="AX31:AZ31" si="110">AX13/AX$10</f>
        <v>0.16248296228986825</v>
      </c>
      <c r="AY31" s="8">
        <f t="shared" si="110"/>
        <v>9.8580146967243737E-2</v>
      </c>
      <c r="AZ31" s="1751">
        <f t="shared" si="110"/>
        <v>0.1128421052631579</v>
      </c>
      <c r="BA31" s="1751">
        <f t="shared" ref="BA31:BB31" si="111">BA13/BA$10</f>
        <v>0.1114275749825622</v>
      </c>
      <c r="BB31" s="1751">
        <f t="shared" si="111"/>
        <v>0.23147340889276374</v>
      </c>
      <c r="BC31" s="1751"/>
      <c r="BD31" s="1751">
        <f t="shared" ref="BD31" si="112">BD13/BD$10</f>
        <v>0.12310684432674004</v>
      </c>
      <c r="BE31" s="1751">
        <f t="shared" ref="BE31:BI31" si="113">BE13/BE$10</f>
        <v>0.1194355443452178</v>
      </c>
      <c r="BF31" s="1751"/>
      <c r="BG31" s="1751"/>
      <c r="BH31" s="1751"/>
      <c r="BI31" s="1751">
        <f t="shared" si="113"/>
        <v>0.10583483768319922</v>
      </c>
      <c r="BJ31" s="1751"/>
      <c r="BK31" s="1751"/>
      <c r="BL31" s="1751"/>
      <c r="BM31" s="8"/>
      <c r="BN31" s="696"/>
      <c r="BO31" s="696"/>
      <c r="BP31" s="696"/>
      <c r="BQ31" s="696"/>
      <c r="BR31" s="696"/>
      <c r="BS31" s="696"/>
      <c r="BT31" s="696"/>
      <c r="BU31" s="739"/>
      <c r="BV31" s="1133"/>
      <c r="BW31" s="1133"/>
      <c r="BX31" s="8"/>
    </row>
    <row r="32" spans="1:87">
      <c r="A32" s="1409" t="s">
        <v>1028</v>
      </c>
      <c r="B32" s="725">
        <f t="shared" si="80"/>
        <v>0.38042470882937512</v>
      </c>
      <c r="C32" s="725">
        <f t="shared" si="80"/>
        <v>0.37516477069894333</v>
      </c>
      <c r="D32" s="725">
        <f t="shared" si="80"/>
        <v>0.38437814435945777</v>
      </c>
      <c r="E32" s="725">
        <f t="shared" si="80"/>
        <v>0.35578771600820297</v>
      </c>
      <c r="F32" s="725">
        <f t="shared" si="80"/>
        <v>0.33469227633608395</v>
      </c>
      <c r="G32" s="725">
        <f t="shared" ref="G32:O32" si="114">G14/G$3</f>
        <v>0.30039206717600114</v>
      </c>
      <c r="H32" s="725">
        <f t="shared" ref="H32" si="115">H14/H$3</f>
        <v>0.28019632517984833</v>
      </c>
      <c r="I32" s="725">
        <f t="shared" ref="I32" si="116">I14/I$3</f>
        <v>0.27784705635522261</v>
      </c>
      <c r="J32" s="725">
        <f t="shared" ca="1" si="84"/>
        <v>0.27551243692624289</v>
      </c>
      <c r="K32" s="725">
        <f t="shared" ca="1" si="84"/>
        <v>0.26975520738127423</v>
      </c>
      <c r="L32" s="725">
        <f t="shared" ref="L32" ca="1" si="117">L14/L$3</f>
        <v>0.26279616502457132</v>
      </c>
      <c r="M32" s="725"/>
      <c r="N32" s="725">
        <f t="shared" ca="1" si="86"/>
        <v>0.29744723995799621</v>
      </c>
      <c r="O32" s="725">
        <f t="shared" si="114"/>
        <v>0.31717003670848182</v>
      </c>
      <c r="S32" s="1412"/>
      <c r="T32" s="811"/>
      <c r="U32" s="1"/>
      <c r="V32" s="1"/>
      <c r="W32" s="1"/>
      <c r="X32" s="399"/>
      <c r="Y32" s="399"/>
      <c r="Z32" s="399"/>
      <c r="AA32" s="743"/>
      <c r="AB32" s="696"/>
      <c r="AC32" s="696"/>
      <c r="AD32" s="745"/>
      <c r="AE32" s="743"/>
      <c r="AF32" s="8"/>
      <c r="AG32" s="8"/>
      <c r="AH32" s="8"/>
      <c r="AI32" s="8">
        <f t="shared" ref="AI32:AL32" si="118">AI14/AI$10</f>
        <v>0.38557786155020335</v>
      </c>
      <c r="AJ32" s="8">
        <f t="shared" si="118"/>
        <v>0.37041453667639518</v>
      </c>
      <c r="AK32" s="8">
        <f t="shared" si="118"/>
        <v>0.3559469103091244</v>
      </c>
      <c r="AL32" s="8">
        <f t="shared" si="118"/>
        <v>0.32273599076403769</v>
      </c>
      <c r="AM32" s="8">
        <f t="shared" si="97"/>
        <v>0.35673550305174512</v>
      </c>
      <c r="AN32" s="8">
        <f t="shared" si="97"/>
        <v>0.35712327061412313</v>
      </c>
      <c r="AO32" s="8">
        <f t="shared" si="97"/>
        <v>0.33462566715477443</v>
      </c>
      <c r="AP32" s="1114">
        <f t="shared" si="97"/>
        <v>0.30074082218035625</v>
      </c>
      <c r="AQ32" s="8">
        <f t="shared" si="98"/>
        <v>0.32428639178787688</v>
      </c>
      <c r="AR32" s="8">
        <f t="shared" si="98"/>
        <v>0.31188828371350175</v>
      </c>
      <c r="AS32" s="8">
        <f t="shared" si="89"/>
        <v>0.29125790276869412</v>
      </c>
      <c r="AT32" s="1114">
        <f t="shared" si="89"/>
        <v>0.28017153359199509</v>
      </c>
      <c r="AU32" s="1114">
        <f t="shared" si="89"/>
        <v>0.28470053931308542</v>
      </c>
      <c r="AV32" s="1114">
        <f t="shared" ref="AV32:AW32" si="119">AV14/AV$10</f>
        <v>0.27758100485373211</v>
      </c>
      <c r="AW32" s="1114">
        <f t="shared" si="119"/>
        <v>0.28648682638495881</v>
      </c>
      <c r="AX32" s="1114">
        <f t="shared" ref="AX32:AZ32" si="120">AX14/AX$10</f>
        <v>0.27317128577919125</v>
      </c>
      <c r="AY32" s="8">
        <f t="shared" si="120"/>
        <v>0.28534064017934985</v>
      </c>
      <c r="AZ32" s="1751">
        <f t="shared" si="120"/>
        <v>0.28721804511278193</v>
      </c>
      <c r="BA32" s="1751">
        <f t="shared" ref="BA32:BB32" si="121">BA14/BA$10</f>
        <v>0.2865612648221344</v>
      </c>
      <c r="BB32" s="1751">
        <f t="shared" si="121"/>
        <v>0.32507161539419605</v>
      </c>
      <c r="BC32" s="1751"/>
      <c r="BD32" s="1751">
        <f t="shared" ref="BD32" si="122">BD14/BD$10</f>
        <v>0.3178846313001738</v>
      </c>
      <c r="BE32" s="1751">
        <f t="shared" ref="BE32:BI32" si="123">BE14/BE$10</f>
        <v>0.28100074988070078</v>
      </c>
      <c r="BF32" s="1751"/>
      <c r="BG32" s="1751"/>
      <c r="BH32" s="1751"/>
      <c r="BI32" s="1751">
        <f t="shared" si="123"/>
        <v>0.28629562769635591</v>
      </c>
      <c r="BJ32" s="1751"/>
      <c r="BK32" s="1751"/>
      <c r="BL32" s="1751"/>
      <c r="BM32" s="8"/>
      <c r="BN32" s="696"/>
      <c r="BO32" s="696"/>
      <c r="BP32" s="696"/>
      <c r="BQ32" s="696"/>
      <c r="BR32" s="696"/>
      <c r="BS32" s="696"/>
      <c r="BT32" s="696"/>
      <c r="BU32" s="739"/>
      <c r="BV32" s="1133"/>
      <c r="BW32" s="1133"/>
      <c r="BX32" s="8"/>
    </row>
    <row r="33" spans="1:76">
      <c r="A33" s="1492" t="s">
        <v>895</v>
      </c>
      <c r="B33" s="725">
        <f t="shared" si="80"/>
        <v>0.357255426039923</v>
      </c>
      <c r="C33" s="725">
        <f t="shared" si="80"/>
        <v>0.35319569484594004</v>
      </c>
      <c r="D33" s="725">
        <f t="shared" si="80"/>
        <v>0.36429289610872667</v>
      </c>
      <c r="E33" s="725">
        <f t="shared" si="80"/>
        <v>0.33874383892334364</v>
      </c>
      <c r="F33" s="725">
        <f t="shared" si="80"/>
        <v>0.31707270528269271</v>
      </c>
      <c r="G33" s="725">
        <f t="shared" ref="G33:O33" si="124">G15/G$3</f>
        <v>0.28860900494336034</v>
      </c>
      <c r="H33" s="725">
        <f t="shared" ref="H33" si="125">H15/H$3</f>
        <v>0.26899483665477092</v>
      </c>
      <c r="I33" s="725">
        <f t="shared" ref="I33" si="126">I15/I$3</f>
        <v>0.26638107591917637</v>
      </c>
      <c r="J33" s="725">
        <f t="shared" ca="1" si="84"/>
        <v>0.26485969209318277</v>
      </c>
      <c r="K33" s="725">
        <f t="shared" ca="1" si="84"/>
        <v>0.25863030344450705</v>
      </c>
      <c r="L33" s="725">
        <f t="shared" ref="L33" ca="1" si="127">L15/L$3</f>
        <v>0.25092636768725574</v>
      </c>
      <c r="M33" s="725"/>
      <c r="N33" s="725">
        <f t="shared" ca="1" si="86"/>
        <v>0.289328187466322</v>
      </c>
      <c r="O33" s="725">
        <f t="shared" si="124"/>
        <v>0.30493567001365696</v>
      </c>
      <c r="S33" s="1412"/>
      <c r="T33" s="811"/>
      <c r="U33" s="1"/>
      <c r="V33" s="1"/>
      <c r="W33" s="1"/>
      <c r="X33" s="399"/>
      <c r="Y33" s="399"/>
      <c r="Z33" s="399"/>
      <c r="AA33" s="743"/>
      <c r="AB33" s="696"/>
      <c r="AC33" s="696"/>
      <c r="AD33" s="745"/>
      <c r="AE33" s="743"/>
      <c r="AF33" s="8"/>
      <c r="AG33" s="8"/>
      <c r="AH33" s="8"/>
      <c r="AI33" s="8">
        <f t="shared" ref="AI33:AL33" si="128">AI15/AI$10</f>
        <v>0.36956405285576072</v>
      </c>
      <c r="AJ33" s="8">
        <f t="shared" si="128"/>
        <v>0.35220447762054052</v>
      </c>
      <c r="AK33" s="8">
        <f t="shared" si="128"/>
        <v>0.34095580175045787</v>
      </c>
      <c r="AL33" s="8">
        <f t="shared" si="128"/>
        <v>0.30423029471887414</v>
      </c>
      <c r="AM33" s="8">
        <f t="shared" si="97"/>
        <v>0.34121648346449701</v>
      </c>
      <c r="AN33" s="8">
        <f t="shared" si="97"/>
        <v>0.33740290462914929</v>
      </c>
      <c r="AO33" s="8">
        <f t="shared" si="97"/>
        <v>0.31544704509163085</v>
      </c>
      <c r="AP33" s="1114">
        <f t="shared" si="97"/>
        <v>0.28452351754674415</v>
      </c>
      <c r="AQ33" s="8">
        <f t="shared" si="98"/>
        <v>0.31613881409400552</v>
      </c>
      <c r="AR33" s="8">
        <f t="shared" si="98"/>
        <v>0.29876353860989674</v>
      </c>
      <c r="AS33" s="8">
        <f t="shared" si="89"/>
        <v>0.28013952474384129</v>
      </c>
      <c r="AT33" s="1114">
        <f t="shared" si="89"/>
        <v>0.26601320536382822</v>
      </c>
      <c r="AU33" s="1114">
        <f t="shared" si="89"/>
        <v>0.275688333806415</v>
      </c>
      <c r="AV33" s="1114">
        <f t="shared" ref="AV33:AW33" si="129">AV15/AV$10</f>
        <v>0.26767676767676768</v>
      </c>
      <c r="AW33" s="1114">
        <f t="shared" si="129"/>
        <v>0.27378482047412439</v>
      </c>
      <c r="AX33" s="1114">
        <f t="shared" ref="AX33:AZ33" si="130">AX15/AX$10</f>
        <v>0.26044979554747844</v>
      </c>
      <c r="AY33" s="8">
        <f t="shared" si="130"/>
        <v>0.27805455224810066</v>
      </c>
      <c r="AZ33" s="1751">
        <f t="shared" si="130"/>
        <v>0.27458646616541355</v>
      </c>
      <c r="BA33" s="1751">
        <f t="shared" ref="BA33:BB33" si="131">BA15/BA$10</f>
        <v>0.27365728900255754</v>
      </c>
      <c r="BB33" s="1751">
        <f t="shared" si="131"/>
        <v>0.30912940590359944</v>
      </c>
      <c r="BC33" s="1751"/>
      <c r="BD33" s="1751">
        <f t="shared" ref="BD33" si="132">BD15/BD$10</f>
        <v>0.30716709426466937</v>
      </c>
      <c r="BE33" s="1751">
        <f t="shared" ref="BE33:BI33" si="133">BE15/BE$10</f>
        <v>0.27152498466153113</v>
      </c>
      <c r="BF33" s="1751"/>
      <c r="BG33" s="1751"/>
      <c r="BH33" s="1751"/>
      <c r="BI33" s="1751">
        <f t="shared" si="133"/>
        <v>0.27629042621546368</v>
      </c>
      <c r="BJ33" s="1751"/>
      <c r="BK33" s="1751"/>
      <c r="BL33" s="1751"/>
      <c r="BM33" s="8"/>
      <c r="BN33" s="696"/>
      <c r="BO33" s="696"/>
      <c r="BP33" s="696"/>
      <c r="BQ33" s="696"/>
      <c r="BR33" s="696"/>
      <c r="BS33" s="696"/>
      <c r="BT33" s="696"/>
      <c r="BU33" s="739"/>
      <c r="BV33" s="1133"/>
      <c r="BW33" s="1133"/>
      <c r="BX33" s="8"/>
    </row>
    <row r="34" spans="1:76">
      <c r="A34" s="1492" t="s">
        <v>856</v>
      </c>
      <c r="B34" s="725">
        <f t="shared" si="80"/>
        <v>2.3169282789452107E-2</v>
      </c>
      <c r="C34" s="725">
        <f t="shared" si="80"/>
        <v>2.1969075853003325E-2</v>
      </c>
      <c r="D34" s="725">
        <f t="shared" si="80"/>
        <v>2.0085248250731103E-2</v>
      </c>
      <c r="E34" s="725">
        <f t="shared" si="80"/>
        <v>1.7043877084859372E-2</v>
      </c>
      <c r="F34" s="725">
        <f t="shared" si="80"/>
        <v>1.761957105339124E-2</v>
      </c>
      <c r="G34" s="725">
        <f t="shared" ref="G34:O34" si="134">G16/G$3</f>
        <v>1.1783062232640813E-2</v>
      </c>
      <c r="H34" s="725">
        <f t="shared" ref="H34" si="135">H16/H$3</f>
        <v>1.1217399730368715E-2</v>
      </c>
      <c r="I34" s="725">
        <f t="shared" ref="I34" si="136">I16/I$3</f>
        <v>1.146598043604625E-2</v>
      </c>
      <c r="J34" s="725">
        <f t="shared" ca="1" si="84"/>
        <v>1.1624561741419862E-2</v>
      </c>
      <c r="K34" s="725">
        <f t="shared" ca="1" si="84"/>
        <v>1.1584893511826891E-2</v>
      </c>
      <c r="L34" s="725">
        <f t="shared" ref="L34" ca="1" si="137">L16/L$3</f>
        <v>1.1487567095078165E-2</v>
      </c>
      <c r="M34" s="725"/>
      <c r="N34" s="725">
        <f t="shared" ca="1" si="86"/>
        <v>1.2120667374170599E-2</v>
      </c>
      <c r="O34" s="725">
        <f t="shared" si="134"/>
        <v>1.2234366694824843E-2</v>
      </c>
      <c r="S34" s="1412"/>
      <c r="T34" s="811"/>
      <c r="U34" s="1"/>
      <c r="V34" s="1"/>
      <c r="W34" s="1"/>
      <c r="X34" s="399"/>
      <c r="Y34" s="399"/>
      <c r="Z34" s="399"/>
      <c r="AA34" s="743"/>
      <c r="AB34" s="696"/>
      <c r="AC34" s="696"/>
      <c r="AD34" s="745"/>
      <c r="AE34" s="743"/>
      <c r="AF34" s="8"/>
      <c r="AG34" s="8"/>
      <c r="AH34" s="8"/>
      <c r="AI34" s="8">
        <f t="shared" ref="AI34:AL34" si="138">AI16/AI$10</f>
        <v>1.6013808694442622E-2</v>
      </c>
      <c r="AJ34" s="8">
        <f t="shared" si="138"/>
        <v>1.8210059055854676E-2</v>
      </c>
      <c r="AK34" s="8">
        <f t="shared" si="138"/>
        <v>1.4991108558666514E-2</v>
      </c>
      <c r="AL34" s="8">
        <f t="shared" si="138"/>
        <v>1.8505696045163528E-2</v>
      </c>
      <c r="AM34" s="8">
        <f t="shared" si="97"/>
        <v>1.5519019587248094E-2</v>
      </c>
      <c r="AN34" s="8">
        <f t="shared" si="97"/>
        <v>1.972036598497386E-2</v>
      </c>
      <c r="AO34" s="8">
        <f t="shared" si="97"/>
        <v>1.9178622063143552E-2</v>
      </c>
      <c r="AP34" s="1114">
        <f t="shared" si="97"/>
        <v>1.6217304633612081E-2</v>
      </c>
      <c r="AQ34" s="8">
        <f t="shared" si="98"/>
        <v>8.1475776938713749E-3</v>
      </c>
      <c r="AR34" s="8">
        <f t="shared" si="98"/>
        <v>1.312474510360504E-2</v>
      </c>
      <c r="AS34" s="8">
        <f t="shared" si="89"/>
        <v>1.1191047162270184E-2</v>
      </c>
      <c r="AT34" s="1114">
        <f t="shared" si="89"/>
        <v>1.4090259342454564E-2</v>
      </c>
      <c r="AU34" s="1114">
        <f t="shared" si="89"/>
        <v>9.0122055066704509E-3</v>
      </c>
      <c r="AV34" s="1114">
        <f t="shared" ref="AV34:AW34" si="139">AV16/AV$10</f>
        <v>9.9042371769644498E-3</v>
      </c>
      <c r="AW34" s="1114">
        <f t="shared" si="139"/>
        <v>1.2702005910834435E-2</v>
      </c>
      <c r="AX34" s="1114">
        <f t="shared" ref="AX34:AZ34" si="140">AX16/AX$10</f>
        <v>1.2778282598818719E-2</v>
      </c>
      <c r="AY34" s="8">
        <f t="shared" si="140"/>
        <v>7.286087931249222E-3</v>
      </c>
      <c r="AZ34" s="1751">
        <f t="shared" si="140"/>
        <v>1.2631578947368421E-2</v>
      </c>
      <c r="BA34" s="1751">
        <f t="shared" ref="BA34:BB34" si="141">BA16/BA$10</f>
        <v>1.2903975819576842E-2</v>
      </c>
      <c r="BB34" s="1751">
        <f t="shared" si="141"/>
        <v>1.5942209490596587E-2</v>
      </c>
      <c r="BC34" s="1751"/>
      <c r="BD34" s="1751">
        <f t="shared" ref="BD34" si="142">BD16/BD$10</f>
        <v>1.0717537035504428E-2</v>
      </c>
      <c r="BE34" s="1751">
        <f t="shared" ref="BE34:BI34" si="143">BE16/BE$10</f>
        <v>9.4757652191696778E-3</v>
      </c>
      <c r="BF34" s="1751"/>
      <c r="BG34" s="1751"/>
      <c r="BH34" s="1751"/>
      <c r="BI34" s="1751">
        <f t="shared" si="143"/>
        <v>1.0005201480892206E-2</v>
      </c>
      <c r="BJ34" s="1751"/>
      <c r="BK34" s="1751"/>
      <c r="BL34" s="1751"/>
      <c r="BM34" s="8"/>
      <c r="BN34" s="696"/>
      <c r="BO34" s="696"/>
      <c r="BP34" s="696"/>
      <c r="BQ34" s="696"/>
      <c r="BR34" s="696"/>
      <c r="BS34" s="696"/>
      <c r="BT34" s="696"/>
      <c r="BU34" s="739"/>
      <c r="BV34" s="1133"/>
      <c r="BW34" s="1133"/>
      <c r="BX34" s="8"/>
    </row>
    <row r="35" spans="1:76">
      <c r="A35" s="1493" t="s">
        <v>882</v>
      </c>
      <c r="B35" s="1415">
        <f t="shared" si="80"/>
        <v>4.2258095512858314E-2</v>
      </c>
      <c r="C35" s="1415">
        <f t="shared" si="80"/>
        <v>5.5385299969448257E-2</v>
      </c>
      <c r="D35" s="1415">
        <f t="shared" si="80"/>
        <v>5.2272664774374596E-2</v>
      </c>
      <c r="E35" s="1415">
        <f t="shared" si="80"/>
        <v>5.8854841769666225E-2</v>
      </c>
      <c r="F35" s="1415">
        <f t="shared" si="80"/>
        <v>7.9913983772120292E-2</v>
      </c>
      <c r="G35" s="1415">
        <f t="shared" ref="G35:O35" si="144">G17/G$3</f>
        <v>0.10192348831234305</v>
      </c>
      <c r="H35" s="1415">
        <f t="shared" ref="H35" si="145">H17/H$3</f>
        <v>9.7519777230396953E-2</v>
      </c>
      <c r="I35" s="1415">
        <f t="shared" ref="I35" si="146">I17/I$3</f>
        <v>8.7340859669361004E-2</v>
      </c>
      <c r="J35" s="1415">
        <f t="shared" ca="1" si="84"/>
        <v>8.1558137984424017E-2</v>
      </c>
      <c r="K35" s="1415">
        <f t="shared" ca="1" si="84"/>
        <v>7.9853863118014776E-2</v>
      </c>
      <c r="L35" s="1415">
        <f t="shared" ref="L35" ca="1" si="147">L17/L$3</f>
        <v>7.7793823494760425E-2</v>
      </c>
      <c r="M35" s="1415"/>
      <c r="N35" s="1415">
        <f t="shared" ca="1" si="86"/>
        <v>0.10167516159004698</v>
      </c>
      <c r="O35" s="1415">
        <f t="shared" si="144"/>
        <v>0.10967553634333435</v>
      </c>
      <c r="S35" s="1416"/>
      <c r="T35" s="811"/>
      <c r="U35" s="1"/>
      <c r="V35" s="1"/>
      <c r="W35" s="1"/>
      <c r="X35" s="399"/>
      <c r="Y35" s="399"/>
      <c r="Z35" s="399"/>
      <c r="AA35" s="743"/>
      <c r="AB35" s="696"/>
      <c r="AC35" s="696"/>
      <c r="AD35" s="745"/>
      <c r="AE35" s="743"/>
      <c r="AF35" s="8"/>
      <c r="AG35" s="8"/>
      <c r="AH35" s="8"/>
      <c r="AI35" s="8">
        <f t="shared" ref="AI35:AL35" si="148">AI17/AI$10</f>
        <v>6.3780091106575273E-2</v>
      </c>
      <c r="AJ35" s="8">
        <f t="shared" si="148"/>
        <v>5.454666182097672E-2</v>
      </c>
      <c r="AK35" s="8">
        <f t="shared" si="148"/>
        <v>4.3772427506923645E-2</v>
      </c>
      <c r="AL35" s="8">
        <f t="shared" si="148"/>
        <v>7.1136367314140705E-2</v>
      </c>
      <c r="AM35" s="8">
        <f t="shared" si="97"/>
        <v>6.3514770968411391E-2</v>
      </c>
      <c r="AN35" s="8">
        <f t="shared" si="97"/>
        <v>7.6973599994211425E-2</v>
      </c>
      <c r="AO35" s="8">
        <f t="shared" si="97"/>
        <v>7.6598600661662811E-2</v>
      </c>
      <c r="AP35" s="1114">
        <f t="shared" si="97"/>
        <v>9.721107443923431E-2</v>
      </c>
      <c r="AQ35" s="8">
        <f t="shared" si="98"/>
        <v>9.0082633385270283E-2</v>
      </c>
      <c r="AR35" s="8">
        <f t="shared" si="98"/>
        <v>9.8422284979238439E-2</v>
      </c>
      <c r="AS35" s="8">
        <f t="shared" si="89"/>
        <v>0.10457088874355062</v>
      </c>
      <c r="AT35" s="1114">
        <f t="shared" si="89"/>
        <v>0.1118371792253761</v>
      </c>
      <c r="AU35" s="1114">
        <f t="shared" si="89"/>
        <v>0.11417825716718706</v>
      </c>
      <c r="AV35" s="1114">
        <f t="shared" ref="AV35:AW35" si="149">AV17/AV$10</f>
        <v>9.2352092352092352E-2</v>
      </c>
      <c r="AW35" s="1114">
        <f t="shared" si="149"/>
        <v>9.1806577375337983E-2</v>
      </c>
      <c r="AX35" s="1114">
        <f t="shared" ref="AX35:AZ35" si="150">AX17/AX$10</f>
        <v>9.3820990458882328E-2</v>
      </c>
      <c r="AY35" s="8">
        <f t="shared" si="150"/>
        <v>0.10630215468925146</v>
      </c>
      <c r="AZ35" s="1751">
        <f t="shared" si="150"/>
        <v>8.9684210526315783E-2</v>
      </c>
      <c r="BA35" s="1751">
        <f t="shared" ref="BA35:BB35" si="151">BA17/BA$10</f>
        <v>8.4457102999302494E-2</v>
      </c>
      <c r="BB35" s="1751">
        <f t="shared" si="151"/>
        <v>9.2228172873334166E-2</v>
      </c>
      <c r="BC35" s="1751"/>
      <c r="BD35" s="1751">
        <f t="shared" ref="BD35" si="152">BD17/BD$10</f>
        <v>9.4388810725813121E-2</v>
      </c>
      <c r="BE35" s="1751">
        <f t="shared" ref="BE35:BI35" si="153">BE17/BE$10</f>
        <v>0.10283591246847093</v>
      </c>
      <c r="BF35" s="1751"/>
      <c r="BG35" s="1751"/>
      <c r="BH35" s="1751"/>
      <c r="BI35" s="1751">
        <f t="shared" si="153"/>
        <v>9.7849034666340304E-2</v>
      </c>
      <c r="BJ35" s="1751"/>
      <c r="BK35" s="1751"/>
      <c r="BL35" s="1751"/>
      <c r="BM35" s="8"/>
      <c r="BN35" s="696"/>
      <c r="BO35" s="696"/>
      <c r="BP35" s="696"/>
      <c r="BQ35" s="696"/>
      <c r="BR35" s="696"/>
      <c r="BS35" s="696"/>
      <c r="BT35" s="696"/>
      <c r="BU35" s="739"/>
      <c r="BV35" s="1133"/>
      <c r="BW35" s="1133"/>
      <c r="BX35" s="8"/>
    </row>
    <row r="36" spans="1:76">
      <c r="A36" s="735"/>
      <c r="B36" s="738"/>
      <c r="C36" s="738"/>
      <c r="D36" s="738"/>
      <c r="E36" s="738"/>
      <c r="F36" s="696"/>
      <c r="G36" s="696"/>
      <c r="H36" s="696"/>
      <c r="I36" s="696"/>
      <c r="J36" s="696"/>
      <c r="K36" s="696"/>
      <c r="L36" s="696"/>
      <c r="M36" s="696"/>
      <c r="N36" s="696"/>
      <c r="O36" s="696"/>
      <c r="S36" s="696"/>
      <c r="T36" s="811"/>
      <c r="U36" s="1"/>
      <c r="V36" s="1"/>
      <c r="W36" s="1"/>
      <c r="X36" s="399"/>
      <c r="Y36" s="399"/>
      <c r="Z36" s="399"/>
      <c r="AA36" s="743"/>
      <c r="AB36" s="696"/>
      <c r="AC36" s="696"/>
      <c r="AD36" s="745"/>
      <c r="AE36" s="743"/>
      <c r="AF36" s="696"/>
      <c r="AG36" s="696"/>
      <c r="AH36" s="745"/>
      <c r="AI36" s="696"/>
      <c r="AJ36" s="8"/>
      <c r="AK36" s="696"/>
      <c r="AL36" s="745"/>
      <c r="AM36" s="696"/>
      <c r="AN36" s="696"/>
      <c r="AO36" s="696"/>
      <c r="AP36" s="745"/>
      <c r="AQ36" s="696"/>
      <c r="AR36" s="696"/>
      <c r="AS36" s="696"/>
      <c r="AT36" s="745"/>
      <c r="AU36" s="696"/>
      <c r="AV36" s="696"/>
      <c r="AW36" s="696"/>
      <c r="AX36" s="696"/>
      <c r="AY36" s="696"/>
      <c r="AZ36" s="1468"/>
      <c r="BA36" s="1468"/>
      <c r="BB36" s="1468"/>
      <c r="BC36" s="1468"/>
      <c r="BD36" s="1468"/>
      <c r="BE36" s="1468"/>
      <c r="BF36" s="1468"/>
      <c r="BG36" s="1468"/>
      <c r="BH36" s="1468"/>
      <c r="BI36" s="1751"/>
      <c r="BJ36" s="1751"/>
      <c r="BK36" s="1468"/>
      <c r="BL36" s="1468"/>
      <c r="BM36" s="696"/>
      <c r="BN36" s="696"/>
      <c r="BO36" s="696"/>
      <c r="BP36" s="696"/>
      <c r="BQ36" s="696"/>
      <c r="BR36" s="696"/>
      <c r="BS36" s="696"/>
      <c r="BT36" s="696"/>
      <c r="BU36" s="399"/>
      <c r="BV36" s="399"/>
      <c r="BW36" s="399"/>
      <c r="BX36" s="1127"/>
    </row>
    <row r="37" spans="1:76" s="1" customFormat="1">
      <c r="A37" s="1108" t="s">
        <v>873</v>
      </c>
      <c r="B37" s="1112">
        <f t="shared" ref="B37:G37" si="154">SUM(B38:B39,B53:B55)</f>
        <v>20176.807407326</v>
      </c>
      <c r="C37" s="1112">
        <f t="shared" si="154"/>
        <v>23714.657031873001</v>
      </c>
      <c r="D37" s="1112">
        <f t="shared" si="154"/>
        <v>25248.394783390999</v>
      </c>
      <c r="E37" s="1112">
        <f t="shared" si="154"/>
        <v>30325.982301307999</v>
      </c>
      <c r="F37" s="1112">
        <f t="shared" si="154"/>
        <v>37206.167266135999</v>
      </c>
      <c r="G37" s="1112">
        <f t="shared" si="154"/>
        <v>44119.808170894998</v>
      </c>
      <c r="H37" s="1112">
        <f t="shared" ref="H37" si="155">SUM(H38:H39,H53:H55)</f>
        <v>52322.78</v>
      </c>
      <c r="I37" s="1112">
        <f t="shared" ref="I37" si="156">SUM(I38:I39,I53:I55)</f>
        <v>62507.503040104246</v>
      </c>
      <c r="J37" s="1109"/>
      <c r="K37" s="1109"/>
      <c r="L37" s="1109"/>
      <c r="M37" s="1109"/>
      <c r="N37" s="1109"/>
      <c r="O37" s="1109"/>
      <c r="S37" s="698"/>
      <c r="T37" s="811"/>
      <c r="X37" s="399"/>
      <c r="Y37" s="399"/>
      <c r="Z37" s="399"/>
      <c r="AA37" s="780"/>
      <c r="AB37" s="698"/>
      <c r="AC37" s="698"/>
      <c r="AD37" s="1101"/>
      <c r="AE37" s="780"/>
      <c r="AF37" s="698"/>
      <c r="AG37" s="698"/>
      <c r="AH37" s="1101"/>
      <c r="AI37" s="780"/>
      <c r="AJ37" s="698"/>
      <c r="AK37" s="698"/>
      <c r="AL37" s="1101"/>
      <c r="AM37" s="698"/>
      <c r="AN37" s="698"/>
      <c r="AO37" s="698"/>
      <c r="AP37" s="1101"/>
      <c r="AQ37" s="698"/>
      <c r="AR37" s="698"/>
      <c r="AS37" s="698"/>
      <c r="AT37" s="1101"/>
      <c r="AU37" s="698"/>
      <c r="AV37" s="698"/>
      <c r="AW37" s="698"/>
      <c r="AX37" s="698"/>
      <c r="AY37" s="698"/>
      <c r="AZ37" s="1908"/>
      <c r="BA37" s="1908"/>
      <c r="BB37" s="1908"/>
      <c r="BC37" s="1908"/>
      <c r="BD37" s="1908"/>
      <c r="BE37" s="1908"/>
      <c r="BF37" s="1908"/>
      <c r="BG37" s="1908"/>
      <c r="BH37" s="1908"/>
      <c r="BI37" s="1908"/>
      <c r="BJ37" s="1908"/>
      <c r="BK37" s="1908"/>
      <c r="BL37" s="1908"/>
      <c r="BM37" s="698"/>
      <c r="BN37" s="698"/>
      <c r="BO37" s="698"/>
      <c r="BP37" s="698"/>
      <c r="BQ37" s="698"/>
      <c r="BR37" s="698"/>
      <c r="BS37" s="698"/>
      <c r="BT37" s="698"/>
      <c r="BU37" s="399"/>
      <c r="BV37" s="399"/>
      <c r="BW37" s="399"/>
      <c r="BX37" s="399"/>
    </row>
    <row r="38" spans="1:76">
      <c r="A38" s="1116" t="s">
        <v>741</v>
      </c>
      <c r="B38" s="1117">
        <v>3565.645393709</v>
      </c>
      <c r="C38" s="1117">
        <v>4163.1201868420003</v>
      </c>
      <c r="D38" s="1117">
        <v>3526.4899234459999</v>
      </c>
      <c r="E38" s="1117">
        <v>5172.548536235</v>
      </c>
      <c r="F38" s="1117">
        <v>5295.4224340600003</v>
      </c>
      <c r="G38" s="1117">
        <f>Data!AX300</f>
        <v>5506.3274660400002</v>
      </c>
      <c r="H38" s="1117">
        <f>Data!AY300</f>
        <v>6642.59</v>
      </c>
      <c r="I38" s="1117">
        <f>Data!AZ300</f>
        <v>8013.3268826150606</v>
      </c>
      <c r="J38" s="696"/>
      <c r="K38" s="696"/>
      <c r="L38" s="696"/>
      <c r="M38" s="696"/>
      <c r="N38" s="696"/>
      <c r="O38" s="696"/>
      <c r="S38" s="696"/>
      <c r="T38" s="811"/>
      <c r="U38" s="1096"/>
      <c r="V38" s="1096"/>
      <c r="W38" s="1096"/>
      <c r="X38" s="1096"/>
      <c r="Y38" s="1096"/>
      <c r="Z38" s="1096"/>
      <c r="AA38" s="743"/>
      <c r="AB38" s="696"/>
      <c r="AC38" s="696"/>
      <c r="AD38" s="745"/>
      <c r="AE38" s="743"/>
      <c r="AF38" s="696"/>
      <c r="AG38" s="696"/>
      <c r="AH38" s="745"/>
      <c r="AI38" s="743"/>
      <c r="AJ38" s="696"/>
      <c r="AK38" s="696"/>
      <c r="AL38" s="696"/>
      <c r="AM38" s="743"/>
      <c r="AN38" s="696"/>
      <c r="AO38" s="696"/>
      <c r="AP38" s="745"/>
      <c r="AQ38" s="696"/>
      <c r="AR38" s="696"/>
      <c r="AS38" s="696"/>
      <c r="AT38" s="745"/>
      <c r="AU38" s="696"/>
      <c r="AV38" s="696"/>
      <c r="AW38" s="696"/>
      <c r="AX38" s="696"/>
      <c r="AY38" s="696"/>
      <c r="AZ38" s="1468"/>
      <c r="BA38" s="1468"/>
      <c r="BB38" s="1468"/>
      <c r="BC38" s="1468"/>
      <c r="BD38" s="1468"/>
      <c r="BE38" s="1468"/>
      <c r="BF38" s="1468"/>
      <c r="BG38" s="1468"/>
      <c r="BH38" s="1468"/>
      <c r="BI38" s="1468"/>
      <c r="BJ38" s="1468"/>
      <c r="BK38" s="1468"/>
      <c r="BL38" s="1468"/>
      <c r="BM38" s="696"/>
      <c r="BN38" s="696"/>
      <c r="BO38" s="696"/>
      <c r="BP38" s="696"/>
      <c r="BQ38" s="696"/>
      <c r="BR38" s="696"/>
      <c r="BS38" s="696"/>
      <c r="BT38" s="696"/>
      <c r="BU38" s="399"/>
      <c r="BV38" s="399"/>
      <c r="BW38" s="399"/>
      <c r="BX38" s="399"/>
    </row>
    <row r="39" spans="1:76">
      <c r="A39" s="1116" t="s">
        <v>874</v>
      </c>
      <c r="B39" s="1117">
        <v>7707.908345504</v>
      </c>
      <c r="C39" s="1117">
        <v>10267.171008109</v>
      </c>
      <c r="D39" s="1117">
        <v>12390.313936118</v>
      </c>
      <c r="E39" s="1117">
        <v>15080.424059516999</v>
      </c>
      <c r="F39" s="1117">
        <v>18798.002717634001</v>
      </c>
      <c r="G39" s="1117">
        <f>Data!AX301</f>
        <v>22824.861818180001</v>
      </c>
      <c r="H39" s="1117">
        <f>Data!AY301</f>
        <v>26455.119999999999</v>
      </c>
      <c r="I39" s="1117">
        <f>Data!AZ301</f>
        <v>30662.765005523532</v>
      </c>
      <c r="J39" s="696">
        <f>J40*J45</f>
        <v>30690.000000000004</v>
      </c>
      <c r="K39" s="696">
        <f>K40*K45</f>
        <v>37510.000000000007</v>
      </c>
      <c r="L39" s="696">
        <f>L40*L45</f>
        <v>44561.880000000012</v>
      </c>
      <c r="M39" s="696"/>
      <c r="N39" s="696">
        <f>N40*N45</f>
        <v>33542</v>
      </c>
      <c r="O39" s="696">
        <f>O40*O45</f>
        <v>25781.165294402064</v>
      </c>
      <c r="S39" s="696"/>
      <c r="T39" s="811" t="s">
        <v>1097</v>
      </c>
      <c r="U39" s="1096"/>
      <c r="V39" s="1096"/>
      <c r="W39" s="1096"/>
      <c r="X39" s="1096"/>
      <c r="Y39" s="1096"/>
      <c r="Z39" s="1096"/>
      <c r="AA39" s="743"/>
      <c r="AB39" s="696"/>
      <c r="AC39" s="696"/>
      <c r="AD39" s="745"/>
      <c r="AE39" s="743"/>
      <c r="AF39" s="696"/>
      <c r="AG39" s="696"/>
      <c r="AH39" s="745"/>
      <c r="AI39" s="743"/>
      <c r="AJ39" s="696"/>
      <c r="AK39" s="696"/>
      <c r="AL39" s="696"/>
      <c r="AM39" s="743"/>
      <c r="AN39" s="696"/>
      <c r="AO39" s="696"/>
      <c r="AP39" s="745"/>
      <c r="AQ39" s="696"/>
      <c r="AR39" s="696"/>
      <c r="AS39" s="696"/>
      <c r="AT39" s="745"/>
      <c r="AU39" s="696"/>
      <c r="AV39" s="696"/>
      <c r="AW39" s="696"/>
      <c r="AX39" s="696"/>
      <c r="AY39" s="696"/>
      <c r="AZ39" s="1468"/>
      <c r="BA39" s="1468"/>
      <c r="BB39" s="1468"/>
      <c r="BC39" s="1468"/>
      <c r="BD39" s="1468"/>
      <c r="BE39" s="1468"/>
      <c r="BF39" s="1468"/>
      <c r="BG39" s="1468"/>
      <c r="BH39" s="1468"/>
      <c r="BI39" s="1468"/>
      <c r="BJ39" s="1468"/>
      <c r="BK39" s="1468"/>
      <c r="BL39" s="1468"/>
      <c r="BM39" s="696"/>
      <c r="BN39" s="696"/>
      <c r="BO39" s="696"/>
      <c r="BP39" s="696"/>
      <c r="BQ39" s="696"/>
      <c r="BR39" s="696"/>
      <c r="BS39" s="696"/>
      <c r="BT39" s="696"/>
      <c r="BU39" s="399"/>
      <c r="BV39" s="399"/>
      <c r="BW39" s="399"/>
      <c r="BX39" s="399"/>
    </row>
    <row r="40" spans="1:76" s="827" customFormat="1">
      <c r="A40" s="1128" t="s">
        <v>879</v>
      </c>
      <c r="B40" s="1129">
        <f>16940+9531+1372</f>
        <v>27843</v>
      </c>
      <c r="C40" s="1129">
        <f>17628+9361+1792</f>
        <v>28781</v>
      </c>
      <c r="D40" s="1129">
        <f>18728+9803+2120</f>
        <v>30651</v>
      </c>
      <c r="E40" s="1129">
        <f>24068+10346+2766</f>
        <v>37180</v>
      </c>
      <c r="F40" s="1129">
        <f>28533+9478+4397</f>
        <v>42408</v>
      </c>
      <c r="G40" s="1129">
        <v>48162</v>
      </c>
      <c r="H40" s="1129"/>
      <c r="I40" s="1498">
        <v>54100</v>
      </c>
      <c r="J40" s="1498">
        <v>45000</v>
      </c>
      <c r="K40" s="1498">
        <v>50000</v>
      </c>
      <c r="L40" s="1498">
        <v>55000</v>
      </c>
      <c r="M40" s="1498"/>
      <c r="N40" s="1498">
        <v>54100</v>
      </c>
      <c r="O40" s="1498">
        <f>Assumptions!AG30</f>
        <v>50000</v>
      </c>
      <c r="S40" s="824"/>
      <c r="T40" s="1499"/>
      <c r="U40" s="1121"/>
      <c r="V40" s="1121"/>
      <c r="W40" s="1121"/>
      <c r="X40" s="1121"/>
      <c r="Y40" s="1121"/>
      <c r="Z40" s="1121"/>
      <c r="AA40" s="1122"/>
      <c r="AB40" s="833"/>
      <c r="AC40" s="833"/>
      <c r="AD40" s="1123"/>
      <c r="AE40" s="1122"/>
      <c r="AF40" s="833"/>
      <c r="AG40" s="833"/>
      <c r="AH40" s="1123"/>
      <c r="AI40" s="1122"/>
      <c r="AJ40" s="833"/>
      <c r="AK40" s="833"/>
      <c r="AL40" s="833"/>
      <c r="AM40" s="1122"/>
      <c r="AN40" s="833"/>
      <c r="AO40" s="833"/>
      <c r="AP40" s="1123"/>
      <c r="AQ40" s="833"/>
      <c r="AR40" s="833"/>
      <c r="AS40" s="833"/>
      <c r="AT40" s="1123"/>
      <c r="AU40" s="833"/>
      <c r="AV40" s="833"/>
      <c r="AW40" s="833"/>
      <c r="AX40" s="833"/>
      <c r="AY40" s="833"/>
      <c r="AZ40" s="3290"/>
      <c r="BA40" s="3290"/>
      <c r="BB40" s="3290"/>
      <c r="BC40" s="3290"/>
      <c r="BD40" s="3290"/>
      <c r="BE40" s="3290"/>
      <c r="BF40" s="3290"/>
      <c r="BG40" s="3290"/>
      <c r="BH40" s="3290"/>
      <c r="BI40" s="3290"/>
      <c r="BJ40" s="3290"/>
      <c r="BK40" s="3290"/>
      <c r="BL40" s="3290"/>
      <c r="BM40" s="833"/>
      <c r="BN40" s="833"/>
      <c r="BO40" s="833"/>
      <c r="BP40" s="833"/>
      <c r="BQ40" s="833"/>
      <c r="BR40" s="833"/>
      <c r="BS40" s="833"/>
      <c r="BT40" s="833"/>
      <c r="BU40" s="1120"/>
      <c r="BV40" s="1120"/>
      <c r="BW40" s="1120"/>
      <c r="BX40" s="1120"/>
    </row>
    <row r="41" spans="1:76" s="827" customFormat="1">
      <c r="A41" s="1111" t="s">
        <v>793</v>
      </c>
      <c r="B41" s="1119"/>
      <c r="C41" s="1130">
        <f t="shared" ref="C41:G41" si="157">C40/B40-1</f>
        <v>3.3688898466400996E-2</v>
      </c>
      <c r="D41" s="1130">
        <f t="shared" si="157"/>
        <v>6.4973419964559964E-2</v>
      </c>
      <c r="E41" s="1130">
        <f t="shared" si="157"/>
        <v>0.21301099474731666</v>
      </c>
      <c r="F41" s="2345">
        <f t="shared" si="157"/>
        <v>0.14061323292092531</v>
      </c>
      <c r="G41" s="2345">
        <f t="shared" si="157"/>
        <v>0.13568194680249013</v>
      </c>
      <c r="H41" s="2345"/>
      <c r="I41" s="1694">
        <f>I40/C40-1</f>
        <v>0.87971231020464891</v>
      </c>
      <c r="J41" s="1694">
        <f>J40/N40-1</f>
        <v>-0.16820702402957488</v>
      </c>
      <c r="K41" s="1694">
        <f>K40/J40-1</f>
        <v>0.11111111111111116</v>
      </c>
      <c r="L41" s="1694">
        <f>L40/K40-1</f>
        <v>0.10000000000000009</v>
      </c>
      <c r="M41" s="1694"/>
      <c r="N41" s="1694" t="e">
        <f>N40/H40-1</f>
        <v>#DIV/0!</v>
      </c>
      <c r="O41" s="1694">
        <f>O40/G40-1</f>
        <v>3.8162866990573585E-2</v>
      </c>
      <c r="S41" s="830"/>
      <c r="T41" s="1757"/>
      <c r="U41" s="1121"/>
      <c r="V41" s="1121"/>
      <c r="W41" s="1121"/>
      <c r="X41" s="1121"/>
      <c r="Y41" s="1121"/>
      <c r="Z41" s="1121"/>
      <c r="AA41" s="1122"/>
      <c r="AB41" s="833"/>
      <c r="AC41" s="833"/>
      <c r="AD41" s="1123"/>
      <c r="AE41" s="1122"/>
      <c r="AF41" s="833"/>
      <c r="AG41" s="833"/>
      <c r="AH41" s="1123"/>
      <c r="AI41" s="1122"/>
      <c r="AJ41" s="833"/>
      <c r="AK41" s="833"/>
      <c r="AL41" s="833"/>
      <c r="AM41" s="1122"/>
      <c r="AN41" s="833"/>
      <c r="AO41" s="833"/>
      <c r="AP41" s="1123"/>
      <c r="AQ41" s="833"/>
      <c r="AR41" s="833"/>
      <c r="AS41" s="833"/>
      <c r="AT41" s="1123"/>
      <c r="AU41" s="833"/>
      <c r="AV41" s="833"/>
      <c r="AW41" s="833"/>
      <c r="AX41" s="833"/>
      <c r="AY41" s="833"/>
      <c r="AZ41" s="3290"/>
      <c r="BA41" s="3290"/>
      <c r="BB41" s="3290"/>
      <c r="BC41" s="3290"/>
      <c r="BD41" s="3290"/>
      <c r="BE41" s="3290"/>
      <c r="BF41" s="3290"/>
      <c r="BG41" s="3290"/>
      <c r="BH41" s="3290"/>
      <c r="BI41" s="3290"/>
      <c r="BJ41" s="3290"/>
      <c r="BK41" s="3290"/>
      <c r="BL41" s="3290"/>
      <c r="BM41" s="833"/>
      <c r="BN41" s="833"/>
      <c r="BO41" s="833"/>
      <c r="BP41" s="833"/>
      <c r="BQ41" s="833"/>
      <c r="BR41" s="833"/>
      <c r="BS41" s="833"/>
      <c r="BT41" s="833"/>
      <c r="BU41" s="1120"/>
      <c r="BV41" s="1120"/>
      <c r="BW41" s="1120"/>
      <c r="BX41" s="1120"/>
    </row>
    <row r="42" spans="1:76" s="827" customFormat="1">
      <c r="A42" s="1944" t="s">
        <v>1149</v>
      </c>
      <c r="B42" s="1945">
        <v>16940</v>
      </c>
      <c r="C42" s="1945">
        <v>17628</v>
      </c>
      <c r="D42" s="1945">
        <v>18728</v>
      </c>
      <c r="E42" s="1945">
        <v>24068</v>
      </c>
      <c r="F42" s="2346">
        <v>28533</v>
      </c>
      <c r="G42" s="2346"/>
      <c r="H42" s="2346"/>
      <c r="I42" s="1694"/>
      <c r="J42" s="1694"/>
      <c r="K42" s="1694"/>
      <c r="L42" s="1694"/>
      <c r="M42" s="1694"/>
      <c r="N42" s="1694"/>
      <c r="O42" s="1694"/>
      <c r="S42" s="830"/>
      <c r="T42" s="1757"/>
      <c r="U42" s="1121"/>
      <c r="V42" s="1121"/>
      <c r="W42" s="1121"/>
      <c r="X42" s="1121"/>
      <c r="Y42" s="1121"/>
      <c r="Z42" s="1121"/>
      <c r="AA42" s="1122"/>
      <c r="AB42" s="833"/>
      <c r="AC42" s="833"/>
      <c r="AD42" s="1123"/>
      <c r="AE42" s="1122"/>
      <c r="AF42" s="833"/>
      <c r="AG42" s="833"/>
      <c r="AH42" s="1123"/>
      <c r="AI42" s="1122"/>
      <c r="AJ42" s="833"/>
      <c r="AK42" s="833"/>
      <c r="AL42" s="833"/>
      <c r="AM42" s="1122"/>
      <c r="AN42" s="833"/>
      <c r="AO42" s="833"/>
      <c r="AP42" s="1123"/>
      <c r="AQ42" s="833"/>
      <c r="AR42" s="833"/>
      <c r="AS42" s="833"/>
      <c r="AT42" s="1123"/>
      <c r="AU42" s="833"/>
      <c r="AV42" s="833"/>
      <c r="AW42" s="833"/>
      <c r="AX42" s="833"/>
      <c r="AY42" s="833"/>
      <c r="AZ42" s="3290"/>
      <c r="BA42" s="3290"/>
      <c r="BB42" s="3290"/>
      <c r="BC42" s="3290"/>
      <c r="BD42" s="3290"/>
      <c r="BE42" s="3290"/>
      <c r="BF42" s="3290"/>
      <c r="BG42" s="3290"/>
      <c r="BH42" s="3290"/>
      <c r="BI42" s="3290"/>
      <c r="BJ42" s="3290"/>
      <c r="BK42" s="3290"/>
      <c r="BL42" s="3290"/>
      <c r="BM42" s="833"/>
      <c r="BN42" s="833"/>
      <c r="BO42" s="833"/>
      <c r="BP42" s="833"/>
      <c r="BQ42" s="833"/>
      <c r="BR42" s="833"/>
      <c r="BS42" s="833"/>
      <c r="BT42" s="833"/>
      <c r="BU42" s="1120"/>
      <c r="BV42" s="1120"/>
      <c r="BW42" s="1120"/>
      <c r="BX42" s="1120"/>
    </row>
    <row r="43" spans="1:76" s="827" customFormat="1">
      <c r="A43" s="1944" t="s">
        <v>1150</v>
      </c>
      <c r="B43" s="1945">
        <v>9531</v>
      </c>
      <c r="C43" s="1945">
        <v>9355</v>
      </c>
      <c r="D43" s="1945">
        <v>9803</v>
      </c>
      <c r="E43" s="1945">
        <v>10346</v>
      </c>
      <c r="F43" s="2346">
        <v>9478</v>
      </c>
      <c r="G43" s="2346"/>
      <c r="H43" s="2346"/>
      <c r="I43" s="1694"/>
      <c r="J43" s="1694"/>
      <c r="K43" s="1694"/>
      <c r="L43" s="1694"/>
      <c r="M43" s="1694"/>
      <c r="N43" s="1694"/>
      <c r="O43" s="1694"/>
      <c r="S43" s="830"/>
      <c r="T43" s="1757"/>
      <c r="U43" s="1121"/>
      <c r="V43" s="1121"/>
      <c r="W43" s="1121"/>
      <c r="X43" s="1121"/>
      <c r="Y43" s="1121"/>
      <c r="Z43" s="1121"/>
      <c r="AA43" s="1122"/>
      <c r="AB43" s="833"/>
      <c r="AC43" s="833"/>
      <c r="AD43" s="1123"/>
      <c r="AE43" s="1122"/>
      <c r="AF43" s="833"/>
      <c r="AG43" s="833"/>
      <c r="AH43" s="1123"/>
      <c r="AI43" s="1122"/>
      <c r="AJ43" s="833"/>
      <c r="AK43" s="833"/>
      <c r="AL43" s="833"/>
      <c r="AM43" s="1122"/>
      <c r="AN43" s="833"/>
      <c r="AO43" s="833"/>
      <c r="AP43" s="1123"/>
      <c r="AQ43" s="833"/>
      <c r="AR43" s="833"/>
      <c r="AS43" s="833"/>
      <c r="AT43" s="1123"/>
      <c r="AU43" s="833"/>
      <c r="AV43" s="833"/>
      <c r="AW43" s="833"/>
      <c r="AX43" s="833"/>
      <c r="AY43" s="833"/>
      <c r="AZ43" s="3290"/>
      <c r="BA43" s="3290"/>
      <c r="BB43" s="3290"/>
      <c r="BC43" s="3290"/>
      <c r="BD43" s="3290"/>
      <c r="BE43" s="3290"/>
      <c r="BF43" s="3290"/>
      <c r="BG43" s="3290"/>
      <c r="BH43" s="3290"/>
      <c r="BI43" s="3290"/>
      <c r="BJ43" s="3290"/>
      <c r="BK43" s="3290"/>
      <c r="BL43" s="3290"/>
      <c r="BM43" s="833"/>
      <c r="BN43" s="833"/>
      <c r="BO43" s="833"/>
      <c r="BP43" s="833"/>
      <c r="BQ43" s="833"/>
      <c r="BR43" s="833"/>
      <c r="BS43" s="833"/>
      <c r="BT43" s="833"/>
      <c r="BU43" s="1120"/>
      <c r="BV43" s="1120"/>
      <c r="BW43" s="1120"/>
      <c r="BX43" s="1120"/>
    </row>
    <row r="44" spans="1:76" s="827" customFormat="1">
      <c r="A44" s="1944" t="s">
        <v>1151</v>
      </c>
      <c r="B44" s="1945">
        <v>1372</v>
      </c>
      <c r="C44" s="1945">
        <v>1972</v>
      </c>
      <c r="D44" s="1945">
        <v>2120</v>
      </c>
      <c r="E44" s="1945">
        <v>2766</v>
      </c>
      <c r="F44" s="2346">
        <v>4397</v>
      </c>
      <c r="G44" s="2346"/>
      <c r="H44" s="2346"/>
      <c r="I44" s="1694"/>
      <c r="J44" s="1694"/>
      <c r="K44" s="1694"/>
      <c r="L44" s="1694"/>
      <c r="M44" s="1694"/>
      <c r="N44" s="1694"/>
      <c r="O44" s="1694"/>
      <c r="S44" s="830"/>
      <c r="T44" s="1757"/>
      <c r="U44" s="1121"/>
      <c r="V44" s="1121"/>
      <c r="W44" s="1121"/>
      <c r="X44" s="1121"/>
      <c r="Y44" s="1121"/>
      <c r="Z44" s="1121"/>
      <c r="AA44" s="1122"/>
      <c r="AB44" s="833"/>
      <c r="AC44" s="833"/>
      <c r="AD44" s="1123"/>
      <c r="AE44" s="1122"/>
      <c r="AF44" s="833"/>
      <c r="AG44" s="833"/>
      <c r="AH44" s="1123"/>
      <c r="AI44" s="1122"/>
      <c r="AJ44" s="833"/>
      <c r="AK44" s="833"/>
      <c r="AL44" s="833"/>
      <c r="AM44" s="1122"/>
      <c r="AN44" s="833"/>
      <c r="AO44" s="833"/>
      <c r="AP44" s="1123"/>
      <c r="AQ44" s="833"/>
      <c r="AR44" s="833"/>
      <c r="AS44" s="833"/>
      <c r="AT44" s="1123"/>
      <c r="AU44" s="833"/>
      <c r="AV44" s="833"/>
      <c r="AW44" s="833"/>
      <c r="AX44" s="833"/>
      <c r="AY44" s="833"/>
      <c r="AZ44" s="3290"/>
      <c r="BA44" s="3290"/>
      <c r="BB44" s="3290"/>
      <c r="BC44" s="3290"/>
      <c r="BD44" s="3290"/>
      <c r="BE44" s="3290"/>
      <c r="BF44" s="3290"/>
      <c r="BG44" s="3290"/>
      <c r="BH44" s="3290"/>
      <c r="BI44" s="3290"/>
      <c r="BJ44" s="3290"/>
      <c r="BK44" s="3290"/>
      <c r="BL44" s="3290"/>
      <c r="BM44" s="833"/>
      <c r="BN44" s="833"/>
      <c r="BO44" s="833"/>
      <c r="BP44" s="833"/>
      <c r="BQ44" s="833"/>
      <c r="BR44" s="833"/>
      <c r="BS44" s="833"/>
      <c r="BT44" s="833"/>
      <c r="BU44" s="1120"/>
      <c r="BV44" s="1120"/>
      <c r="BW44" s="1120"/>
      <c r="BX44" s="1120"/>
    </row>
    <row r="45" spans="1:76" s="827" customFormat="1">
      <c r="A45" s="1128" t="s">
        <v>881</v>
      </c>
      <c r="B45" s="1131">
        <f t="shared" ref="B45:G45" si="158">B39/B40</f>
        <v>0.27683469257996624</v>
      </c>
      <c r="C45" s="1131">
        <f t="shared" si="158"/>
        <v>0.35673433890792539</v>
      </c>
      <c r="D45" s="1131">
        <f t="shared" si="158"/>
        <v>0.40423848931904344</v>
      </c>
      <c r="E45" s="1131">
        <f t="shared" si="158"/>
        <v>0.40560581117582034</v>
      </c>
      <c r="F45" s="1131">
        <f t="shared" si="158"/>
        <v>0.44326548570161295</v>
      </c>
      <c r="G45" s="1131">
        <f t="shared" si="158"/>
        <v>0.47391847967650846</v>
      </c>
      <c r="H45" s="1131"/>
      <c r="I45" s="1534">
        <v>0.62</v>
      </c>
      <c r="J45" s="1534">
        <f>I45*(1+J46)</f>
        <v>0.68200000000000005</v>
      </c>
      <c r="K45" s="1534">
        <f>J45*(1+K46)</f>
        <v>0.75020000000000009</v>
      </c>
      <c r="L45" s="1534">
        <f>K45*(1+L46)</f>
        <v>0.81021600000000016</v>
      </c>
      <c r="M45" s="1534"/>
      <c r="N45" s="1534">
        <v>0.62</v>
      </c>
      <c r="O45" s="1534">
        <f>G45*(1+O46)</f>
        <v>0.51562330588804128</v>
      </c>
      <c r="S45" s="1192"/>
      <c r="T45" s="1757"/>
      <c r="U45" s="1121"/>
      <c r="V45" s="1121"/>
      <c r="W45" s="1121"/>
      <c r="X45" s="1121"/>
      <c r="Y45" s="1121"/>
      <c r="Z45" s="1121"/>
      <c r="AA45" s="1122"/>
      <c r="AB45" s="833"/>
      <c r="AC45" s="833"/>
      <c r="AD45" s="1123"/>
      <c r="AE45" s="1122"/>
      <c r="AF45" s="833"/>
      <c r="AG45" s="833"/>
      <c r="AH45" s="1123"/>
      <c r="AI45" s="1122"/>
      <c r="AJ45" s="833"/>
      <c r="AK45" s="833"/>
      <c r="AL45" s="833"/>
      <c r="AM45" s="1122"/>
      <c r="AN45" s="833"/>
      <c r="AO45" s="833"/>
      <c r="AP45" s="1123"/>
      <c r="AQ45" s="833"/>
      <c r="AR45" s="833"/>
      <c r="AS45" s="833"/>
      <c r="AT45" s="1123"/>
      <c r="AU45" s="833"/>
      <c r="AV45" s="833"/>
      <c r="AW45" s="833"/>
      <c r="AX45" s="833"/>
      <c r="AY45" s="833"/>
      <c r="AZ45" s="3290"/>
      <c r="BA45" s="3290"/>
      <c r="BB45" s="3290"/>
      <c r="BC45" s="3290"/>
      <c r="BD45" s="3290"/>
      <c r="BE45" s="3290"/>
      <c r="BF45" s="3290"/>
      <c r="BG45" s="3290"/>
      <c r="BH45" s="3290"/>
      <c r="BI45" s="3290"/>
      <c r="BJ45" s="3290"/>
      <c r="BK45" s="3290"/>
      <c r="BL45" s="3290"/>
      <c r="BM45" s="833"/>
      <c r="BN45" s="833"/>
      <c r="BO45" s="833"/>
      <c r="BP45" s="833"/>
      <c r="BQ45" s="833"/>
      <c r="BR45" s="833"/>
      <c r="BS45" s="833"/>
      <c r="BT45" s="833"/>
      <c r="BU45" s="1120"/>
      <c r="BV45" s="1120"/>
      <c r="BW45" s="1120"/>
      <c r="BX45" s="1120"/>
    </row>
    <row r="46" spans="1:76" s="827" customFormat="1">
      <c r="A46" s="1111" t="s">
        <v>793</v>
      </c>
      <c r="B46" s="1119"/>
      <c r="C46" s="1130">
        <f t="shared" ref="C46:G46" si="159">C45/B45-1</f>
        <v>0.28861861778714526</v>
      </c>
      <c r="D46" s="1130">
        <f t="shared" si="159"/>
        <v>0.1331639408657519</v>
      </c>
      <c r="E46" s="1130">
        <f t="shared" si="159"/>
        <v>3.3824633054615472E-3</v>
      </c>
      <c r="F46" s="2345">
        <f t="shared" si="159"/>
        <v>9.2847965902214558E-2</v>
      </c>
      <c r="G46" s="2345">
        <f t="shared" si="159"/>
        <v>6.9152674782195334E-2</v>
      </c>
      <c r="H46" s="2345"/>
      <c r="I46" s="1497">
        <v>8.7999999999999995E-2</v>
      </c>
      <c r="J46" s="1497">
        <v>0.1</v>
      </c>
      <c r="K46" s="1497">
        <v>0.1</v>
      </c>
      <c r="L46" s="1497">
        <v>0.08</v>
      </c>
      <c r="M46" s="1497"/>
      <c r="N46" s="1497">
        <v>8.7999999999999995E-2</v>
      </c>
      <c r="O46" s="1497">
        <v>8.7999999999999995E-2</v>
      </c>
      <c r="S46" s="834"/>
      <c r="T46" s="1499">
        <f>570/12</f>
        <v>47.5</v>
      </c>
      <c r="U46" s="1121"/>
      <c r="V46" s="1121"/>
      <c r="W46" s="1121"/>
      <c r="X46" s="1121"/>
      <c r="Y46" s="1121"/>
      <c r="Z46" s="1121"/>
      <c r="AA46" s="1122"/>
      <c r="AB46" s="833"/>
      <c r="AC46" s="833"/>
      <c r="AD46" s="1123"/>
      <c r="AE46" s="1122"/>
      <c r="AF46" s="833"/>
      <c r="AG46" s="833"/>
      <c r="AH46" s="1123"/>
      <c r="AI46" s="1122"/>
      <c r="AJ46" s="833"/>
      <c r="AK46" s="833"/>
      <c r="AL46" s="833"/>
      <c r="AM46" s="1122"/>
      <c r="AN46" s="833"/>
      <c r="AO46" s="833"/>
      <c r="AP46" s="1123"/>
      <c r="AQ46" s="833"/>
      <c r="AR46" s="833"/>
      <c r="AS46" s="833"/>
      <c r="AT46" s="1123"/>
      <c r="AU46" s="833"/>
      <c r="AV46" s="833"/>
      <c r="AW46" s="833"/>
      <c r="AX46" s="833"/>
      <c r="AY46" s="833"/>
      <c r="AZ46" s="3290"/>
      <c r="BA46" s="3290"/>
      <c r="BB46" s="3290"/>
      <c r="BC46" s="3290"/>
      <c r="BD46" s="3290"/>
      <c r="BE46" s="3290"/>
      <c r="BF46" s="3290"/>
      <c r="BG46" s="3290"/>
      <c r="BH46" s="3290"/>
      <c r="BI46" s="3290"/>
      <c r="BJ46" s="3290"/>
      <c r="BK46" s="3290"/>
      <c r="BL46" s="3290"/>
      <c r="BM46" s="833"/>
      <c r="BN46" s="833"/>
      <c r="BO46" s="833"/>
      <c r="BP46" s="833"/>
      <c r="BQ46" s="833"/>
      <c r="BR46" s="833"/>
      <c r="BS46" s="833"/>
      <c r="BT46" s="833"/>
      <c r="BU46" s="1120"/>
      <c r="BV46" s="1120"/>
      <c r="BW46" s="1120"/>
      <c r="BX46" s="1120"/>
    </row>
    <row r="47" spans="1:76" s="827" customFormat="1">
      <c r="A47" s="1128" t="s">
        <v>1055</v>
      </c>
      <c r="B47" s="1883"/>
      <c r="C47" s="1943"/>
      <c r="D47" s="1943"/>
      <c r="E47" s="369">
        <v>18214</v>
      </c>
      <c r="F47" s="369">
        <v>22089</v>
      </c>
      <c r="G47" s="369">
        <v>25213</v>
      </c>
      <c r="H47" s="369"/>
      <c r="I47" s="369"/>
      <c r="J47" s="1495"/>
      <c r="K47" s="1495"/>
      <c r="L47" s="1495"/>
      <c r="M47" s="1495"/>
      <c r="N47" s="1495"/>
      <c r="O47" s="1495"/>
      <c r="S47" s="834"/>
      <c r="T47" s="811"/>
      <c r="U47" s="1121"/>
      <c r="V47" s="1121"/>
      <c r="W47" s="1121"/>
      <c r="X47" s="1121"/>
      <c r="Y47" s="1121"/>
      <c r="Z47" s="1121"/>
      <c r="AA47" s="1122"/>
      <c r="AB47" s="833"/>
      <c r="AC47" s="833"/>
      <c r="AD47" s="1123"/>
      <c r="AE47" s="1122"/>
      <c r="AF47" s="833"/>
      <c r="AG47" s="833"/>
      <c r="AH47" s="1123"/>
      <c r="AI47" s="1122"/>
      <c r="AJ47" s="833"/>
      <c r="AK47" s="833"/>
      <c r="AL47" s="833"/>
      <c r="AM47" s="1122"/>
      <c r="AN47" s="833"/>
      <c r="AO47" s="833"/>
      <c r="AP47" s="1123"/>
      <c r="AQ47" s="833"/>
      <c r="AR47" s="833"/>
      <c r="AS47" s="833"/>
      <c r="AT47" s="1123"/>
      <c r="AU47" s="833"/>
      <c r="AV47" s="833"/>
      <c r="AW47" s="833"/>
      <c r="AX47" s="833"/>
      <c r="AY47" s="833"/>
      <c r="AZ47" s="3290"/>
      <c r="BA47" s="3290"/>
      <c r="BB47" s="3290"/>
      <c r="BC47" s="3290"/>
      <c r="BD47" s="3290"/>
      <c r="BE47" s="3290"/>
      <c r="BF47" s="3290"/>
      <c r="BG47" s="3290"/>
      <c r="BH47" s="3290"/>
      <c r="BI47" s="3290"/>
      <c r="BJ47" s="3290"/>
      <c r="BK47" s="3290"/>
      <c r="BL47" s="3290"/>
      <c r="BM47" s="833"/>
      <c r="BN47" s="833"/>
      <c r="BO47" s="833"/>
      <c r="BP47" s="833"/>
      <c r="BQ47" s="833"/>
      <c r="BR47" s="833"/>
      <c r="BS47" s="833"/>
      <c r="BT47" s="833"/>
      <c r="BU47" s="1120"/>
      <c r="BV47" s="1120"/>
      <c r="BW47" s="1120"/>
      <c r="BX47" s="1120"/>
    </row>
    <row r="48" spans="1:76" s="827" customFormat="1">
      <c r="A48" s="1111" t="s">
        <v>793</v>
      </c>
      <c r="B48" s="1119"/>
      <c r="C48" s="1130"/>
      <c r="D48" s="1130"/>
      <c r="E48" s="1130"/>
      <c r="F48" s="2345">
        <f>(F47/E47)-1</f>
        <v>0.21274843526957277</v>
      </c>
      <c r="G48" s="2345">
        <f>(G47/F47)-1</f>
        <v>0.14142786002082475</v>
      </c>
      <c r="H48" s="2345">
        <f>(H47/G47)-1</f>
        <v>-1</v>
      </c>
      <c r="I48" s="2345" t="e">
        <f>(I47/H47)-1</f>
        <v>#DIV/0!</v>
      </c>
      <c r="J48" s="1495"/>
      <c r="K48" s="1495"/>
      <c r="L48" s="1495"/>
      <c r="M48" s="1495"/>
      <c r="N48" s="1495"/>
      <c r="O48" s="1495"/>
      <c r="S48" s="834"/>
      <c r="T48" s="811"/>
      <c r="U48" s="1121"/>
      <c r="V48" s="1121"/>
      <c r="W48" s="1121"/>
      <c r="X48" s="1121"/>
      <c r="Y48" s="1121"/>
      <c r="Z48" s="1121"/>
      <c r="AA48" s="1122"/>
      <c r="AB48" s="833"/>
      <c r="AC48" s="833"/>
      <c r="AD48" s="1123"/>
      <c r="AE48" s="1122"/>
      <c r="AF48" s="833"/>
      <c r="AG48" s="833"/>
      <c r="AH48" s="1123"/>
      <c r="AI48" s="1122"/>
      <c r="AJ48" s="833"/>
      <c r="AK48" s="833"/>
      <c r="AL48" s="833"/>
      <c r="AM48" s="1122"/>
      <c r="AN48" s="833"/>
      <c r="AO48" s="833"/>
      <c r="AP48" s="1123"/>
      <c r="AQ48" s="833"/>
      <c r="AR48" s="833"/>
      <c r="AS48" s="833"/>
      <c r="AT48" s="1123"/>
      <c r="AU48" s="833"/>
      <c r="AV48" s="833"/>
      <c r="AW48" s="833"/>
      <c r="AX48" s="833"/>
      <c r="AY48" s="833"/>
      <c r="AZ48" s="3290"/>
      <c r="BA48" s="3290"/>
      <c r="BB48" s="3290"/>
      <c r="BC48" s="3290"/>
      <c r="BD48" s="3290"/>
      <c r="BE48" s="3290"/>
      <c r="BF48" s="3290"/>
      <c r="BG48" s="3290"/>
      <c r="BH48" s="3290"/>
      <c r="BI48" s="3290"/>
      <c r="BJ48" s="3290"/>
      <c r="BK48" s="3290"/>
      <c r="BL48" s="3290"/>
      <c r="BM48" s="833"/>
      <c r="BN48" s="833"/>
      <c r="BO48" s="833"/>
      <c r="BP48" s="833"/>
      <c r="BQ48" s="833"/>
      <c r="BR48" s="833"/>
      <c r="BS48" s="833"/>
      <c r="BT48" s="833"/>
      <c r="BU48" s="1120"/>
      <c r="BV48" s="1120"/>
      <c r="BW48" s="1120"/>
      <c r="BX48" s="1120"/>
    </row>
    <row r="49" spans="1:76" s="827" customFormat="1">
      <c r="A49" s="1739" t="s">
        <v>1152</v>
      </c>
      <c r="B49" s="1946">
        <f t="shared" ref="B49:O49" si="160">(B10/B40)</f>
        <v>0.83372972947329671</v>
      </c>
      <c r="C49" s="1946">
        <f t="shared" si="160"/>
        <v>0.96302978187953847</v>
      </c>
      <c r="D49" s="1946">
        <f t="shared" si="160"/>
        <v>0.97322764434517628</v>
      </c>
      <c r="E49" s="1946">
        <f t="shared" si="160"/>
        <v>0.95904417818792376</v>
      </c>
      <c r="F49" s="1946">
        <f t="shared" si="160"/>
        <v>1.0377647538415156</v>
      </c>
      <c r="G49" s="1946">
        <f t="shared" si="160"/>
        <v>1.0925210747062</v>
      </c>
      <c r="H49" s="1946" t="e">
        <f t="shared" ref="H49" si="161">(H10/H40)</f>
        <v>#DIV/0!</v>
      </c>
      <c r="I49" s="1946">
        <f t="shared" ref="I49" si="162">(I10/I40)</f>
        <v>1.296007393715342</v>
      </c>
      <c r="J49" s="1946">
        <f ca="1">(J10/J40)</f>
        <v>1.7543313706760379</v>
      </c>
      <c r="K49" s="1946">
        <f ca="1">(K10/K40)</f>
        <v>1.8061072360000003</v>
      </c>
      <c r="L49" s="1946">
        <f ca="1">(L10/L40)</f>
        <v>1.8876422264000003</v>
      </c>
      <c r="M49" s="1946"/>
      <c r="N49" s="1946" t="e">
        <f ca="1">(N10/H40)</f>
        <v>#DIV/0!</v>
      </c>
      <c r="O49" s="1946">
        <f t="shared" si="160"/>
        <v>1.1148922000000001</v>
      </c>
      <c r="S49" s="834"/>
      <c r="T49" s="811"/>
      <c r="U49" s="1121"/>
      <c r="V49" s="1121"/>
      <c r="W49" s="1121"/>
      <c r="X49" s="1121"/>
      <c r="Y49" s="1121"/>
      <c r="Z49" s="1121"/>
      <c r="AA49" s="1122"/>
      <c r="AB49" s="833"/>
      <c r="AC49" s="833"/>
      <c r="AD49" s="1123"/>
      <c r="AE49" s="1122"/>
      <c r="AF49" s="833"/>
      <c r="AG49" s="833"/>
      <c r="AH49" s="1123"/>
      <c r="AI49" s="1122"/>
      <c r="AJ49" s="833"/>
      <c r="AK49" s="833"/>
      <c r="AL49" s="833"/>
      <c r="AM49" s="1122"/>
      <c r="AN49" s="833"/>
      <c r="AO49" s="833"/>
      <c r="AP49" s="1123"/>
      <c r="AQ49" s="833"/>
      <c r="AR49" s="833"/>
      <c r="AS49" s="833"/>
      <c r="AT49" s="1123"/>
      <c r="AU49" s="833"/>
      <c r="AV49" s="833"/>
      <c r="AW49" s="833"/>
      <c r="AX49" s="833"/>
      <c r="AY49" s="833"/>
      <c r="AZ49" s="3290"/>
      <c r="BA49" s="3290"/>
      <c r="BB49" s="3290"/>
      <c r="BC49" s="3290"/>
      <c r="BD49" s="3290"/>
      <c r="BE49" s="3290"/>
      <c r="BF49" s="3290"/>
      <c r="BG49" s="3290"/>
      <c r="BH49" s="3290"/>
      <c r="BI49" s="3290"/>
      <c r="BJ49" s="3290"/>
      <c r="BK49" s="3290"/>
      <c r="BL49" s="3290"/>
      <c r="BM49" s="833"/>
      <c r="BN49" s="833"/>
      <c r="BO49" s="833"/>
      <c r="BP49" s="833"/>
      <c r="BQ49" s="833"/>
      <c r="BR49" s="833"/>
      <c r="BS49" s="833"/>
      <c r="BT49" s="833"/>
      <c r="BU49" s="1120"/>
      <c r="BV49" s="1120"/>
      <c r="BW49" s="1120"/>
      <c r="BX49" s="1120"/>
    </row>
    <row r="50" spans="1:76" s="827" customFormat="1">
      <c r="A50" s="1111" t="s">
        <v>793</v>
      </c>
      <c r="B50" s="1119"/>
      <c r="C50" s="1130">
        <f>C49/B49-1</f>
        <v>0.15508629215840264</v>
      </c>
      <c r="D50" s="1130">
        <f>D49/C49-1</f>
        <v>1.0589353161783555E-2</v>
      </c>
      <c r="E50" s="1130">
        <f>E49/D49-1</f>
        <v>-1.4573636743329121E-2</v>
      </c>
      <c r="F50" s="2345">
        <f>F49/E49-1</f>
        <v>8.208232471869148E-2</v>
      </c>
      <c r="G50" s="2345">
        <f t="shared" ref="G50:I50" si="163">G49/F49-1</f>
        <v>5.2763712259441986E-2</v>
      </c>
      <c r="H50" s="2345" t="e">
        <f t="shared" si="163"/>
        <v>#DIV/0!</v>
      </c>
      <c r="I50" s="2345" t="e">
        <f t="shared" si="163"/>
        <v>#DIV/0!</v>
      </c>
      <c r="J50" s="2345">
        <f ca="1">J49/I49-1</f>
        <v>0.35364302640804479</v>
      </c>
      <c r="K50" s="2345">
        <f ca="1">K49/J49-1</f>
        <v>2.9513161646314456E-2</v>
      </c>
      <c r="L50" s="2345">
        <f ca="1">L49/K49-1</f>
        <v>4.5144047249694896E-2</v>
      </c>
      <c r="M50" s="2345"/>
      <c r="N50" s="2345" t="e">
        <f ca="1">N49/H49-1</f>
        <v>#DIV/0!</v>
      </c>
      <c r="O50" s="2345"/>
      <c r="S50" s="834"/>
      <c r="T50" s="811"/>
      <c r="U50" s="1121"/>
      <c r="V50" s="1121"/>
      <c r="W50" s="1121"/>
      <c r="X50" s="1121"/>
      <c r="Y50" s="1121"/>
      <c r="Z50" s="1121"/>
      <c r="AA50" s="1122"/>
      <c r="AB50" s="833"/>
      <c r="AC50" s="833"/>
      <c r="AD50" s="1123"/>
      <c r="AE50" s="1122"/>
      <c r="AF50" s="833"/>
      <c r="AG50" s="833"/>
      <c r="AH50" s="1123"/>
      <c r="AI50" s="1122"/>
      <c r="AJ50" s="833"/>
      <c r="AK50" s="833"/>
      <c r="AL50" s="833"/>
      <c r="AM50" s="1122"/>
      <c r="AN50" s="833"/>
      <c r="AO50" s="833"/>
      <c r="AP50" s="1123"/>
      <c r="AQ50" s="833"/>
      <c r="AR50" s="833"/>
      <c r="AS50" s="833"/>
      <c r="AT50" s="1123"/>
      <c r="AU50" s="833"/>
      <c r="AV50" s="833"/>
      <c r="AW50" s="833"/>
      <c r="AX50" s="833"/>
      <c r="AY50" s="833"/>
      <c r="AZ50" s="3290"/>
      <c r="BA50" s="3290"/>
      <c r="BB50" s="3290"/>
      <c r="BC50" s="3290"/>
      <c r="BD50" s="3290"/>
      <c r="BE50" s="3290"/>
      <c r="BF50" s="3290"/>
      <c r="BG50" s="3290"/>
      <c r="BH50" s="3290"/>
      <c r="BI50" s="3290"/>
      <c r="BJ50" s="3290"/>
      <c r="BK50" s="3290"/>
      <c r="BL50" s="3290"/>
      <c r="BM50" s="833"/>
      <c r="BN50" s="833"/>
      <c r="BO50" s="833"/>
      <c r="BP50" s="833"/>
      <c r="BQ50" s="833"/>
      <c r="BR50" s="833"/>
      <c r="BS50" s="833"/>
      <c r="BT50" s="833"/>
      <c r="BU50" s="1120"/>
      <c r="BV50" s="1120"/>
      <c r="BW50" s="1120"/>
      <c r="BX50" s="1120"/>
    </row>
    <row r="51" spans="1:76" s="827" customFormat="1">
      <c r="A51" s="1128" t="s">
        <v>1056</v>
      </c>
      <c r="B51" s="1119"/>
      <c r="C51" s="1130"/>
      <c r="D51" s="1130"/>
      <c r="E51" s="369">
        <v>16787</v>
      </c>
      <c r="F51" s="369">
        <v>20527</v>
      </c>
      <c r="G51" s="369">
        <v>23434</v>
      </c>
      <c r="H51" s="369">
        <v>23434</v>
      </c>
      <c r="I51" s="369">
        <v>23435</v>
      </c>
      <c r="J51" s="1495"/>
      <c r="K51" s="1495"/>
      <c r="L51" s="1495"/>
      <c r="M51" s="1495"/>
      <c r="N51" s="1495"/>
      <c r="O51" s="1495"/>
      <c r="S51" s="834"/>
      <c r="T51" s="811"/>
      <c r="U51" s="1121"/>
      <c r="V51" s="1121"/>
      <c r="W51" s="1121"/>
      <c r="X51" s="1121"/>
      <c r="Y51" s="1121"/>
      <c r="Z51" s="1121"/>
      <c r="AA51" s="1122"/>
      <c r="AB51" s="833"/>
      <c r="AC51" s="833"/>
      <c r="AD51" s="1123"/>
      <c r="AE51" s="1122"/>
      <c r="AF51" s="833"/>
      <c r="AG51" s="833"/>
      <c r="AH51" s="1123"/>
      <c r="AI51" s="1122"/>
      <c r="AJ51" s="833"/>
      <c r="AK51" s="833"/>
      <c r="AL51" s="833"/>
      <c r="AM51" s="1122"/>
      <c r="AN51" s="833"/>
      <c r="AO51" s="833"/>
      <c r="AP51" s="1123"/>
      <c r="AQ51" s="833"/>
      <c r="AR51" s="833"/>
      <c r="AS51" s="833"/>
      <c r="AT51" s="1123"/>
      <c r="AU51" s="833"/>
      <c r="AV51" s="833"/>
      <c r="AW51" s="833"/>
      <c r="AX51" s="833"/>
      <c r="AY51" s="833"/>
      <c r="AZ51" s="3290"/>
      <c r="BA51" s="3290"/>
      <c r="BB51" s="3290"/>
      <c r="BC51" s="3290"/>
      <c r="BD51" s="3290"/>
      <c r="BE51" s="3290"/>
      <c r="BF51" s="3290"/>
      <c r="BG51" s="3290"/>
      <c r="BH51" s="3290"/>
      <c r="BI51" s="3290"/>
      <c r="BJ51" s="3290"/>
      <c r="BK51" s="3290"/>
      <c r="BL51" s="3290"/>
      <c r="BM51" s="833"/>
      <c r="BN51" s="833"/>
      <c r="BO51" s="833"/>
      <c r="BP51" s="833"/>
      <c r="BQ51" s="833"/>
      <c r="BR51" s="833"/>
      <c r="BS51" s="833"/>
      <c r="BT51" s="833"/>
      <c r="BU51" s="1120"/>
      <c r="BV51" s="1120"/>
      <c r="BW51" s="1120"/>
      <c r="BX51" s="1120"/>
    </row>
    <row r="52" spans="1:76" s="827" customFormat="1">
      <c r="A52" s="1111" t="s">
        <v>793</v>
      </c>
      <c r="B52" s="1119"/>
      <c r="C52" s="1130"/>
      <c r="D52" s="1130"/>
      <c r="E52" s="1130"/>
      <c r="F52" s="2345">
        <f>(F51/E51)-1</f>
        <v>0.22279144576160115</v>
      </c>
      <c r="G52" s="2345">
        <f>(G51/F51)-1</f>
        <v>0.1416183563111999</v>
      </c>
      <c r="H52" s="2345">
        <f>(H51/G51)-1</f>
        <v>0</v>
      </c>
      <c r="I52" s="2345">
        <f>(I51/H51)-1</f>
        <v>4.2673039173823923E-5</v>
      </c>
      <c r="J52" s="1495"/>
      <c r="K52" s="1495"/>
      <c r="L52" s="1495"/>
      <c r="M52" s="1495"/>
      <c r="N52" s="1495"/>
      <c r="O52" s="1495"/>
      <c r="S52" s="834"/>
      <c r="T52" s="811"/>
      <c r="U52" s="1121"/>
      <c r="V52" s="1121"/>
      <c r="W52" s="1121"/>
      <c r="X52" s="1121"/>
      <c r="Y52" s="1121"/>
      <c r="Z52" s="1121"/>
      <c r="AA52" s="1122"/>
      <c r="AB52" s="833"/>
      <c r="AC52" s="833"/>
      <c r="AD52" s="1123"/>
      <c r="AE52" s="1122"/>
      <c r="AF52" s="833"/>
      <c r="AG52" s="833"/>
      <c r="AH52" s="1123"/>
      <c r="AI52" s="1122"/>
      <c r="AJ52" s="833"/>
      <c r="AK52" s="833"/>
      <c r="AL52" s="833"/>
      <c r="AM52" s="1122"/>
      <c r="AN52" s="833"/>
      <c r="AO52" s="833"/>
      <c r="AP52" s="1123"/>
      <c r="AQ52" s="833"/>
      <c r="AR52" s="833"/>
      <c r="AS52" s="833"/>
      <c r="AT52" s="1123"/>
      <c r="AU52" s="833"/>
      <c r="AV52" s="833"/>
      <c r="AW52" s="833"/>
      <c r="AX52" s="833"/>
      <c r="AY52" s="833"/>
      <c r="AZ52" s="3290"/>
      <c r="BA52" s="3290"/>
      <c r="BB52" s="3290"/>
      <c r="BC52" s="3290"/>
      <c r="BD52" s="3290"/>
      <c r="BE52" s="3290"/>
      <c r="BF52" s="3290"/>
      <c r="BG52" s="3290"/>
      <c r="BH52" s="3290"/>
      <c r="BI52" s="3290"/>
      <c r="BJ52" s="3290"/>
      <c r="BK52" s="3290"/>
      <c r="BL52" s="3290"/>
      <c r="BM52" s="833"/>
      <c r="BN52" s="833"/>
      <c r="BO52" s="833"/>
      <c r="BP52" s="833"/>
      <c r="BQ52" s="833"/>
      <c r="BR52" s="833"/>
      <c r="BS52" s="833"/>
      <c r="BT52" s="833"/>
      <c r="BU52" s="1120"/>
      <c r="BV52" s="1120"/>
      <c r="BW52" s="1120"/>
      <c r="BX52" s="1120"/>
    </row>
    <row r="53" spans="1:76">
      <c r="A53" s="1116" t="s">
        <v>875</v>
      </c>
      <c r="B53" s="1117">
        <v>1872.6636285520001</v>
      </c>
      <c r="C53" s="1117">
        <v>2447.429264937</v>
      </c>
      <c r="D53" s="1117">
        <v>1490.607476892</v>
      </c>
      <c r="E53" s="1117">
        <v>1643.9156853320001</v>
      </c>
      <c r="F53" s="1117">
        <v>1833.0644991280001</v>
      </c>
      <c r="G53" s="1117">
        <f>Data!AX302</f>
        <v>2286.514158688</v>
      </c>
      <c r="H53" s="1117">
        <f>Data!AY302</f>
        <v>2531.21</v>
      </c>
      <c r="I53" s="1117">
        <f>Data!AZ302</f>
        <v>2802.0924514092426</v>
      </c>
      <c r="J53" s="2361">
        <f ca="1">BS!Q230</f>
        <v>2697.8567101337107</v>
      </c>
      <c r="K53" s="2361">
        <f ca="1">BS!R230</f>
        <v>2700.7971225783858</v>
      </c>
      <c r="L53" s="2361">
        <f ca="1">BS!S230</f>
        <v>2734.9740347928778</v>
      </c>
      <c r="M53" s="2361"/>
      <c r="N53" s="2361">
        <f>BS!Z230</f>
        <v>0</v>
      </c>
      <c r="O53" s="2361">
        <f>BS!Y230</f>
        <v>2197.6752865011476</v>
      </c>
      <c r="S53" s="696"/>
      <c r="T53" s="811"/>
      <c r="U53" s="1096"/>
      <c r="V53" s="1096"/>
      <c r="W53" s="1096"/>
      <c r="X53" s="1096"/>
      <c r="Y53" s="1096"/>
      <c r="Z53" s="1096"/>
      <c r="AA53" s="743"/>
      <c r="AB53" s="696"/>
      <c r="AC53" s="696"/>
      <c r="AD53" s="745"/>
      <c r="AE53" s="743"/>
      <c r="AF53" s="696"/>
      <c r="AG53" s="696"/>
      <c r="AH53" s="745"/>
      <c r="AI53" s="743"/>
      <c r="AJ53" s="696"/>
      <c r="AK53" s="696"/>
      <c r="AL53" s="696"/>
      <c r="AM53" s="743"/>
      <c r="AN53" s="696"/>
      <c r="AO53" s="696"/>
      <c r="AP53" s="745"/>
      <c r="AQ53" s="696"/>
      <c r="AR53" s="696"/>
      <c r="AS53" s="696"/>
      <c r="AT53" s="745"/>
      <c r="AU53" s="696"/>
      <c r="AV53" s="696"/>
      <c r="AW53" s="696"/>
      <c r="AX53" s="696"/>
      <c r="AY53" s="696"/>
      <c r="AZ53" s="1468"/>
      <c r="BA53" s="1468"/>
      <c r="BB53" s="1468"/>
      <c r="BC53" s="1468"/>
      <c r="BD53" s="1468"/>
      <c r="BE53" s="1468"/>
      <c r="BF53" s="1468"/>
      <c r="BG53" s="1468"/>
      <c r="BH53" s="1468"/>
      <c r="BI53" s="1468"/>
      <c r="BJ53" s="1468"/>
      <c r="BK53" s="1468"/>
      <c r="BL53" s="1468"/>
      <c r="BM53" s="696"/>
      <c r="BN53" s="696"/>
      <c r="BO53" s="696"/>
      <c r="BP53" s="696"/>
      <c r="BQ53" s="696"/>
      <c r="BR53" s="696"/>
      <c r="BS53" s="696"/>
      <c r="BT53" s="696"/>
      <c r="BU53" s="399"/>
      <c r="BV53" s="399"/>
      <c r="BW53" s="399"/>
      <c r="BX53" s="399"/>
    </row>
    <row r="54" spans="1:76">
      <c r="A54" s="1116" t="s">
        <v>876</v>
      </c>
      <c r="B54" s="1117">
        <v>5700.5573339789998</v>
      </c>
      <c r="C54" s="1117">
        <v>5577.6487884429998</v>
      </c>
      <c r="D54" s="1117">
        <v>6459.2495871419997</v>
      </c>
      <c r="E54" s="1117">
        <v>7102.0208637240003</v>
      </c>
      <c r="F54" s="1117">
        <v>9678.3840186969992</v>
      </c>
      <c r="G54" s="1117">
        <f>Data!AX303</f>
        <v>10497.589592111</v>
      </c>
      <c r="H54" s="1117">
        <f>Data!AY303</f>
        <v>13932.61</v>
      </c>
      <c r="I54" s="1117">
        <f>Data!AZ303</f>
        <v>18491.63750485926</v>
      </c>
      <c r="J54" s="696"/>
      <c r="K54" s="696"/>
      <c r="L54" s="696"/>
      <c r="M54" s="696"/>
      <c r="N54" s="696"/>
      <c r="O54" s="696"/>
      <c r="S54" s="696"/>
      <c r="T54" s="811"/>
      <c r="U54" s="1096"/>
      <c r="V54" s="1096"/>
      <c r="W54" s="1096"/>
      <c r="X54" s="1096"/>
      <c r="Y54" s="1096"/>
      <c r="Z54" s="1096"/>
      <c r="AA54" s="743"/>
      <c r="AB54" s="696"/>
      <c r="AC54" s="696"/>
      <c r="AD54" s="745"/>
      <c r="AE54" s="743"/>
      <c r="AF54" s="696"/>
      <c r="AG54" s="696"/>
      <c r="AH54" s="745"/>
      <c r="AI54" s="743"/>
      <c r="AJ54" s="696"/>
      <c r="AK54" s="696"/>
      <c r="AL54" s="696"/>
      <c r="AM54" s="743"/>
      <c r="AN54" s="696"/>
      <c r="AO54" s="696"/>
      <c r="AP54" s="745"/>
      <c r="AQ54" s="696"/>
      <c r="AR54" s="696"/>
      <c r="AS54" s="696"/>
      <c r="AT54" s="745"/>
      <c r="AU54" s="696"/>
      <c r="AV54" s="696"/>
      <c r="AW54" s="696"/>
      <c r="AX54" s="696"/>
      <c r="AY54" s="696"/>
      <c r="AZ54" s="1468"/>
      <c r="BA54" s="1468"/>
      <c r="BB54" s="1468"/>
      <c r="BC54" s="1468"/>
      <c r="BD54" s="1468"/>
      <c r="BE54" s="1468"/>
      <c r="BF54" s="1468"/>
      <c r="BG54" s="1468"/>
      <c r="BH54" s="1468"/>
      <c r="BI54" s="1468"/>
      <c r="BJ54" s="1468"/>
      <c r="BK54" s="1468"/>
      <c r="BL54" s="1468"/>
      <c r="BM54" s="696"/>
      <c r="BN54" s="696"/>
      <c r="BO54" s="696"/>
      <c r="BP54" s="696"/>
      <c r="BQ54" s="696"/>
      <c r="BR54" s="696"/>
      <c r="BS54" s="696"/>
      <c r="BT54" s="696"/>
      <c r="BU54" s="399"/>
      <c r="BV54" s="399"/>
      <c r="BW54" s="399"/>
      <c r="BX54" s="399"/>
    </row>
    <row r="55" spans="1:76">
      <c r="A55" s="1116" t="s">
        <v>877</v>
      </c>
      <c r="B55" s="1117">
        <v>1330.0327055820001</v>
      </c>
      <c r="C55" s="1117">
        <v>1259.2877835419999</v>
      </c>
      <c r="D55" s="1117">
        <v>1381.733859793</v>
      </c>
      <c r="E55" s="1117">
        <v>1327.0731565000001</v>
      </c>
      <c r="F55" s="1117">
        <v>1601.293596617</v>
      </c>
      <c r="G55" s="1117">
        <f>Data!AX304</f>
        <v>3004.5151358759999</v>
      </c>
      <c r="H55" s="1117">
        <f>Data!AY304</f>
        <v>2761.25</v>
      </c>
      <c r="I55" s="1117">
        <f>Data!AZ304</f>
        <v>2537.6811956971524</v>
      </c>
      <c r="J55" s="696"/>
      <c r="K55" s="696"/>
      <c r="L55" s="696"/>
      <c r="M55" s="696"/>
      <c r="N55" s="696"/>
      <c r="O55" s="696"/>
      <c r="S55" s="696"/>
      <c r="T55" s="811"/>
      <c r="U55" s="1096"/>
      <c r="V55" s="1096"/>
      <c r="W55" s="1096"/>
      <c r="X55" s="1096"/>
      <c r="Y55" s="1096"/>
      <c r="Z55" s="1096"/>
      <c r="AA55" s="743"/>
      <c r="AB55" s="696"/>
      <c r="AC55" s="696"/>
      <c r="AD55" s="745"/>
      <c r="AE55" s="743"/>
      <c r="AF55" s="696"/>
      <c r="AG55" s="696"/>
      <c r="AH55" s="745"/>
      <c r="AI55" s="743"/>
      <c r="AJ55" s="696"/>
      <c r="AK55" s="696"/>
      <c r="AL55" s="696"/>
      <c r="AM55" s="743"/>
      <c r="AN55" s="696"/>
      <c r="AO55" s="696"/>
      <c r="AP55" s="745"/>
      <c r="AQ55" s="696"/>
      <c r="AR55" s="696"/>
      <c r="AS55" s="696"/>
      <c r="AT55" s="745"/>
      <c r="AU55" s="696"/>
      <c r="AV55" s="696"/>
      <c r="AW55" s="696"/>
      <c r="AX55" s="696"/>
      <c r="AY55" s="696"/>
      <c r="AZ55" s="1468"/>
      <c r="BA55" s="1468"/>
      <c r="BB55" s="1468"/>
      <c r="BC55" s="1468"/>
      <c r="BD55" s="1468"/>
      <c r="BE55" s="1468"/>
      <c r="BF55" s="1468"/>
      <c r="BG55" s="1468"/>
      <c r="BH55" s="1468"/>
      <c r="BI55" s="1468"/>
      <c r="BJ55" s="1468"/>
      <c r="BK55" s="1468"/>
      <c r="BL55" s="1468"/>
      <c r="BM55" s="696"/>
      <c r="BN55" s="696"/>
      <c r="BO55" s="696"/>
      <c r="BP55" s="696"/>
      <c r="BQ55" s="696"/>
      <c r="BR55" s="696"/>
      <c r="BS55" s="696"/>
      <c r="BT55" s="696"/>
      <c r="BU55" s="399"/>
      <c r="BV55" s="399"/>
      <c r="BW55" s="399"/>
      <c r="BX55" s="399"/>
    </row>
    <row r="56" spans="1:76">
      <c r="A56" s="735"/>
      <c r="B56" s="738"/>
      <c r="C56" s="729"/>
      <c r="D56" s="729"/>
      <c r="E56" s="729"/>
      <c r="F56" s="729"/>
      <c r="G56" s="729"/>
      <c r="H56" s="729"/>
      <c r="I56" s="729"/>
      <c r="J56" s="729"/>
      <c r="K56" s="729"/>
      <c r="L56" s="729"/>
      <c r="M56" s="729"/>
      <c r="N56" s="729"/>
      <c r="O56" s="729"/>
      <c r="S56" s="729"/>
      <c r="T56" s="1848" t="s">
        <v>1117</v>
      </c>
      <c r="U56" s="1581" t="s">
        <v>1040</v>
      </c>
      <c r="V56" s="1760" t="s">
        <v>1091</v>
      </c>
      <c r="W56" s="1760"/>
      <c r="X56" s="1"/>
      <c r="Y56" s="1"/>
      <c r="Z56" s="1"/>
      <c r="AA56" s="743"/>
      <c r="AB56" s="696"/>
      <c r="AC56" s="696"/>
      <c r="AD56" s="745"/>
      <c r="AE56" s="743"/>
      <c r="AF56" s="696"/>
      <c r="AG56" s="696"/>
      <c r="AH56" s="745"/>
      <c r="AI56" s="743"/>
      <c r="AJ56" s="696"/>
      <c r="AK56" s="696"/>
      <c r="AL56" s="696"/>
      <c r="AM56" s="743"/>
      <c r="AN56" s="696"/>
      <c r="AO56" s="696"/>
      <c r="AP56" s="745"/>
      <c r="AQ56" s="696"/>
      <c r="AR56" s="696"/>
      <c r="AS56" s="696"/>
      <c r="AT56" s="745"/>
      <c r="AU56" s="696"/>
      <c r="AV56" s="696"/>
      <c r="AW56" s="696"/>
      <c r="AX56" s="745"/>
      <c r="AY56" s="745"/>
      <c r="AZ56" s="1469"/>
      <c r="BA56" s="1468"/>
      <c r="BB56" s="1468"/>
      <c r="BC56" s="1468"/>
      <c r="BD56" s="1468"/>
      <c r="BE56" s="1468"/>
      <c r="BF56" s="1468"/>
      <c r="BG56" s="1468"/>
      <c r="BH56" s="1468"/>
      <c r="BI56" s="1468"/>
      <c r="BJ56" s="1468"/>
      <c r="BK56" s="1468"/>
      <c r="BL56" s="1468"/>
      <c r="BM56" s="696"/>
      <c r="BN56" s="696"/>
      <c r="BO56" s="696"/>
      <c r="BP56" s="696"/>
      <c r="BQ56" s="696"/>
      <c r="BR56" s="696"/>
      <c r="BS56" s="696"/>
      <c r="BT56" s="696"/>
      <c r="BU56" s="399"/>
      <c r="BV56" s="399"/>
      <c r="BW56" s="399"/>
      <c r="BX56" s="399"/>
    </row>
    <row r="57" spans="1:76" s="1" customFormat="1">
      <c r="A57" s="1108" t="s">
        <v>1100</v>
      </c>
      <c r="B57" s="1109">
        <f t="shared" ref="B57:G57" si="164">B5</f>
        <v>14490.657872235999</v>
      </c>
      <c r="C57" s="1109">
        <f t="shared" si="164"/>
        <v>17004.910529153</v>
      </c>
      <c r="D57" s="1109">
        <f t="shared" si="164"/>
        <v>18016.743052097001</v>
      </c>
      <c r="E57" s="1109">
        <f t="shared" si="164"/>
        <v>22025.298308248999</v>
      </c>
      <c r="F57" s="1109">
        <f t="shared" si="164"/>
        <v>26842.249039712999</v>
      </c>
      <c r="G57" s="1109">
        <f t="shared" si="164"/>
        <v>32298.347382702999</v>
      </c>
      <c r="H57" s="1109">
        <f t="shared" ref="H57:I57" si="165">H5</f>
        <v>39150.449999999997</v>
      </c>
      <c r="I57" s="1109">
        <f t="shared" si="165"/>
        <v>44217.42</v>
      </c>
      <c r="J57" s="1109">
        <f ca="1">SUM(J59:J63)</f>
        <v>37370.88195262997</v>
      </c>
      <c r="K57" s="1109">
        <f ca="1">SUM(K59:K63)</f>
        <v>43668.412058185721</v>
      </c>
      <c r="L57" s="1109">
        <f ca="1">SUM(L59:L63)</f>
        <v>50958.990178573622</v>
      </c>
      <c r="M57" s="1109"/>
      <c r="N57" s="1109">
        <f ca="1">SUM(N59:N63)</f>
        <v>41453.584949999997</v>
      </c>
      <c r="O57" s="1109">
        <f>SUM(O59:O63)</f>
        <v>36150.136095566661</v>
      </c>
      <c r="S57" s="698"/>
      <c r="T57" s="733" t="s">
        <v>1135</v>
      </c>
      <c r="U57" s="1934">
        <v>14964.038957864999</v>
      </c>
      <c r="V57" s="1935" t="e">
        <f>U57/#REF!</f>
        <v>#REF!</v>
      </c>
      <c r="W57" s="1935"/>
      <c r="X57" s="399"/>
      <c r="Y57" s="399"/>
      <c r="Z57" s="399"/>
      <c r="AA57" s="780"/>
      <c r="AB57" s="698"/>
      <c r="AC57" s="698"/>
      <c r="AD57" s="1101"/>
      <c r="AE57" s="780"/>
      <c r="AF57" s="698"/>
      <c r="AG57" s="698"/>
      <c r="AH57" s="1101"/>
      <c r="AI57" s="780">
        <f>PL!BS11</f>
        <v>4691.800715286</v>
      </c>
      <c r="AJ57" s="698">
        <f>PL!BT11</f>
        <v>5201.5261419159997</v>
      </c>
      <c r="AK57" s="698">
        <f>PL!BU11</f>
        <v>5474.2432229469996</v>
      </c>
      <c r="AL57" s="698">
        <f>PL!BV11</f>
        <v>6609.6874579409996</v>
      </c>
      <c r="AM57" s="780">
        <f>PL!BW11</f>
        <v>5776.9325518380001</v>
      </c>
      <c r="AN57" s="698">
        <f>PL!BX11</f>
        <v>6253.3717416489999</v>
      </c>
      <c r="AO57" s="698">
        <f>PL!BY11</f>
        <v>6789.0733280960003</v>
      </c>
      <c r="AP57" s="1101">
        <f>PL!BZ11</f>
        <v>7801.1524869470004</v>
      </c>
      <c r="AQ57" s="698"/>
      <c r="AR57" s="698"/>
      <c r="AS57" s="698"/>
      <c r="AT57" s="1101"/>
      <c r="AU57" s="698"/>
      <c r="AV57" s="698"/>
      <c r="AW57" s="698"/>
      <c r="AX57" s="1101"/>
      <c r="AY57" s="1101"/>
      <c r="AZ57" s="3312"/>
      <c r="BA57" s="1908"/>
      <c r="BB57" s="1908"/>
      <c r="BC57" s="1908"/>
      <c r="BD57" s="1908"/>
      <c r="BE57" s="1908"/>
      <c r="BF57" s="1908"/>
      <c r="BG57" s="1908"/>
      <c r="BH57" s="1908"/>
      <c r="BI57" s="1908"/>
      <c r="BJ57" s="1908"/>
      <c r="BK57" s="1908"/>
      <c r="BL57" s="1908"/>
      <c r="BM57" s="698"/>
      <c r="BN57" s="698"/>
      <c r="BO57" s="698"/>
      <c r="BP57" s="698"/>
      <c r="BQ57" s="698"/>
      <c r="BR57" s="698"/>
      <c r="BS57" s="698"/>
      <c r="BT57" s="698"/>
      <c r="BU57" s="399"/>
      <c r="BV57" s="399"/>
      <c r="BW57" s="399"/>
      <c r="BX57" s="399"/>
    </row>
    <row r="58" spans="1:76">
      <c r="A58" s="819" t="s">
        <v>878</v>
      </c>
      <c r="B58" s="820">
        <f t="shared" ref="B58:H58" si="166">B57/B37</f>
        <v>0.71818388210290318</v>
      </c>
      <c r="C58" s="820">
        <f t="shared" si="166"/>
        <v>0.71706331262973944</v>
      </c>
      <c r="D58" s="820">
        <f t="shared" si="166"/>
        <v>0.71357974265947588</v>
      </c>
      <c r="E58" s="820">
        <f t="shared" si="166"/>
        <v>0.72628474452743508</v>
      </c>
      <c r="F58" s="830">
        <f t="shared" si="166"/>
        <v>0.72144622819411053</v>
      </c>
      <c r="G58" s="830">
        <f t="shared" si="166"/>
        <v>0.73206001389665165</v>
      </c>
      <c r="H58" s="830">
        <f t="shared" si="166"/>
        <v>0.74824865957045861</v>
      </c>
      <c r="I58" s="830">
        <f t="shared" ref="I58" si="167">I57/I37</f>
        <v>0.70739379833538552</v>
      </c>
      <c r="J58" s="1496">
        <v>0.625</v>
      </c>
      <c r="K58" s="1496">
        <v>0.61499999999999999</v>
      </c>
      <c r="L58" s="1496">
        <v>0.61499999999999999</v>
      </c>
      <c r="M58" s="1496"/>
      <c r="N58" s="1496">
        <v>0.71199999999999997</v>
      </c>
      <c r="O58" s="1496">
        <v>0.73499999999999999</v>
      </c>
      <c r="S58" s="830"/>
      <c r="T58" s="1116"/>
      <c r="U58" s="1452"/>
      <c r="V58" s="725"/>
      <c r="W58" s="725"/>
      <c r="X58" s="399"/>
      <c r="Y58" s="399"/>
      <c r="Z58" s="399"/>
      <c r="AA58" s="743"/>
      <c r="AB58" s="696"/>
      <c r="AC58" s="696"/>
      <c r="AD58" s="745"/>
      <c r="AE58" s="743"/>
      <c r="AF58" s="696"/>
      <c r="AG58" s="696"/>
      <c r="AH58" s="745"/>
      <c r="AI58" s="743"/>
      <c r="AJ58" s="696"/>
      <c r="AK58" s="696"/>
      <c r="AL58" s="696"/>
      <c r="AM58" s="743"/>
      <c r="AN58" s="696"/>
      <c r="AO58" s="696"/>
      <c r="AP58" s="745"/>
      <c r="AQ58" s="250"/>
      <c r="AR58" s="696"/>
      <c r="AS58" s="696"/>
      <c r="AT58" s="745"/>
      <c r="AU58" s="696"/>
      <c r="AV58" s="696"/>
      <c r="AW58" s="696"/>
      <c r="AX58" s="745"/>
      <c r="AY58" s="745"/>
      <c r="AZ58" s="1469"/>
      <c r="BA58" s="1468"/>
      <c r="BB58" s="1468"/>
      <c r="BC58" s="1468"/>
      <c r="BD58" s="1468"/>
      <c r="BE58" s="1468"/>
      <c r="BF58" s="1468"/>
      <c r="BG58" s="1468"/>
      <c r="BH58" s="1468"/>
      <c r="BI58" s="1468"/>
      <c r="BJ58" s="1468"/>
      <c r="BK58" s="1468"/>
      <c r="BL58" s="1468"/>
      <c r="BM58" s="696"/>
      <c r="BN58" s="696"/>
      <c r="BO58" s="696"/>
      <c r="BP58" s="696"/>
      <c r="BQ58" s="696"/>
      <c r="BR58" s="696"/>
      <c r="BS58" s="696"/>
      <c r="BT58" s="696"/>
      <c r="BU58" s="399"/>
      <c r="BV58" s="399"/>
      <c r="BW58" s="399"/>
      <c r="BX58" s="399"/>
    </row>
    <row r="59" spans="1:76">
      <c r="A59" s="1116" t="s">
        <v>741</v>
      </c>
      <c r="B59" s="737">
        <f t="shared" ref="B59:G60" si="168">B38*B$58</f>
        <v>2560.7890510562643</v>
      </c>
      <c r="C59" s="737">
        <f t="shared" si="168"/>
        <v>2985.2207520526645</v>
      </c>
      <c r="D59" s="737">
        <f t="shared" si="168"/>
        <v>2516.4317720638314</v>
      </c>
      <c r="E59" s="737">
        <f t="shared" si="168"/>
        <v>3756.7430921951955</v>
      </c>
      <c r="F59" s="738">
        <f t="shared" si="168"/>
        <v>3820.362541747063</v>
      </c>
      <c r="G59" s="738">
        <f t="shared" si="168"/>
        <v>4030.9621613087575</v>
      </c>
      <c r="H59" s="738">
        <f t="shared" ref="H59:I59" si="169">H38*H$58</f>
        <v>4970.3090635761328</v>
      </c>
      <c r="I59" s="738">
        <f t="shared" si="169"/>
        <v>5668.5777407961214</v>
      </c>
      <c r="J59" s="995">
        <f ca="1">J2*J66</f>
        <v>4461.1793210728929</v>
      </c>
      <c r="K59" s="995">
        <f ca="1">K2*K66</f>
        <v>5077.7665554000014</v>
      </c>
      <c r="L59" s="995">
        <f t="shared" ref="L59" ca="1" si="170">L2*L66</f>
        <v>5816.7922293600013</v>
      </c>
      <c r="M59" s="995"/>
      <c r="N59" s="995">
        <f ca="1">N10*N66</f>
        <v>5238.3501699999997</v>
      </c>
      <c r="O59" s="995">
        <f>O10*O66</f>
        <v>4994.2123686028035</v>
      </c>
      <c r="S59" s="696"/>
      <c r="T59" s="1116"/>
      <c r="U59" s="1452"/>
      <c r="V59" s="725"/>
      <c r="W59" s="725"/>
      <c r="X59" s="399"/>
      <c r="Y59" s="399"/>
      <c r="Z59" s="399"/>
      <c r="AA59" s="743"/>
      <c r="AB59" s="696"/>
      <c r="AC59" s="696"/>
      <c r="AD59" s="745"/>
      <c r="AE59" s="743"/>
      <c r="AF59" s="696"/>
      <c r="AG59" s="696"/>
      <c r="AH59" s="745"/>
      <c r="AI59" s="743"/>
      <c r="AJ59" s="696"/>
      <c r="AK59" s="696"/>
      <c r="AL59" s="696"/>
      <c r="AM59" s="743"/>
      <c r="AN59" s="696"/>
      <c r="AO59" s="696"/>
      <c r="AP59" s="745"/>
      <c r="AQ59" s="696"/>
      <c r="AR59" s="696"/>
      <c r="AS59" s="696"/>
      <c r="AT59" s="745"/>
      <c r="AU59" s="696"/>
      <c r="AV59" s="696"/>
      <c r="AW59" s="696"/>
      <c r="AX59" s="745"/>
      <c r="AY59" s="745"/>
      <c r="AZ59" s="1469"/>
      <c r="BA59" s="1468"/>
      <c r="BB59" s="1468"/>
      <c r="BC59" s="1468"/>
      <c r="BD59" s="1468"/>
      <c r="BE59" s="1468"/>
      <c r="BF59" s="1468"/>
      <c r="BG59" s="1468"/>
      <c r="BH59" s="1468"/>
      <c r="BI59" s="1468"/>
      <c r="BJ59" s="1468"/>
      <c r="BK59" s="1468"/>
      <c r="BL59" s="1468"/>
      <c r="BM59" s="696"/>
      <c r="BN59" s="696"/>
      <c r="BO59" s="696"/>
      <c r="BP59" s="696"/>
      <c r="BQ59" s="696"/>
      <c r="BR59" s="696"/>
      <c r="BS59" s="696"/>
      <c r="BT59" s="696"/>
      <c r="BU59" s="399"/>
      <c r="BV59" s="399"/>
      <c r="BW59" s="399"/>
      <c r="BX59" s="399"/>
    </row>
    <row r="60" spans="1:76">
      <c r="A60" s="1116" t="s">
        <v>874</v>
      </c>
      <c r="B60" s="737">
        <f t="shared" si="168"/>
        <v>5535.6955384674284</v>
      </c>
      <c r="C60" s="737">
        <f t="shared" si="168"/>
        <v>7362.2116544106611</v>
      </c>
      <c r="D60" s="737">
        <f t="shared" si="168"/>
        <v>8841.4770300052005</v>
      </c>
      <c r="E60" s="737">
        <f t="shared" si="168"/>
        <v>10952.681935431689</v>
      </c>
      <c r="F60" s="738">
        <f t="shared" si="168"/>
        <v>13561.748158219689</v>
      </c>
      <c r="G60" s="738">
        <f t="shared" si="168"/>
        <v>16709.168659806004</v>
      </c>
      <c r="H60" s="738">
        <f t="shared" ref="H60:I60" si="171">H39*H$58</f>
        <v>19795.008078775631</v>
      </c>
      <c r="I60" s="738">
        <f t="shared" si="171"/>
        <v>21690.649804722631</v>
      </c>
      <c r="J60" s="995">
        <f>J39*J58</f>
        <v>19181.250000000004</v>
      </c>
      <c r="K60" s="995">
        <f t="shared" ref="K60:L60" si="172">K39*K58</f>
        <v>23068.650000000005</v>
      </c>
      <c r="L60" s="995">
        <f t="shared" si="172"/>
        <v>27405.556200000006</v>
      </c>
      <c r="M60" s="995"/>
      <c r="N60" s="995">
        <f>N39*N58</f>
        <v>23881.903999999999</v>
      </c>
      <c r="O60" s="995">
        <f>O39*O58</f>
        <v>18949.156491385518</v>
      </c>
      <c r="S60" s="696"/>
      <c r="T60" s="1116"/>
      <c r="U60" s="1452"/>
      <c r="V60" s="725"/>
      <c r="W60" s="725"/>
      <c r="X60" s="399"/>
      <c r="Y60" s="399"/>
      <c r="Z60" s="399"/>
      <c r="AA60" s="743"/>
      <c r="AB60" s="696"/>
      <c r="AC60" s="696"/>
      <c r="AD60" s="745"/>
      <c r="AE60" s="743"/>
      <c r="AF60" s="696"/>
      <c r="AG60" s="696"/>
      <c r="AH60" s="745"/>
      <c r="AI60" s="743"/>
      <c r="AJ60" s="696"/>
      <c r="AK60" s="696"/>
      <c r="AL60" s="696"/>
      <c r="AM60" s="743"/>
      <c r="AN60" s="696"/>
      <c r="AO60" s="696"/>
      <c r="AP60" s="745"/>
      <c r="AQ60" s="696"/>
      <c r="AR60" s="696"/>
      <c r="AS60" s="696"/>
      <c r="AT60" s="745"/>
      <c r="AU60" s="696"/>
      <c r="AV60" s="696"/>
      <c r="AW60" s="696"/>
      <c r="AX60" s="745"/>
      <c r="AY60" s="745"/>
      <c r="AZ60" s="1469"/>
      <c r="BA60" s="1468"/>
      <c r="BB60" s="1468"/>
      <c r="BC60" s="1468"/>
      <c r="BD60" s="1468"/>
      <c r="BE60" s="1468"/>
      <c r="BF60" s="1468"/>
      <c r="BG60" s="1468"/>
      <c r="BH60" s="1468"/>
      <c r="BI60" s="1468"/>
      <c r="BJ60" s="1468"/>
      <c r="BK60" s="1468"/>
      <c r="BL60" s="1468"/>
      <c r="BM60" s="696"/>
      <c r="BN60" s="696"/>
      <c r="BO60" s="696"/>
      <c r="BP60" s="696"/>
      <c r="BQ60" s="696"/>
      <c r="BR60" s="696"/>
      <c r="BS60" s="696"/>
      <c r="BT60" s="696"/>
      <c r="BU60" s="399"/>
      <c r="BV60" s="399"/>
      <c r="BW60" s="399"/>
      <c r="BX60" s="399"/>
    </row>
    <row r="61" spans="1:76">
      <c r="A61" s="1116" t="s">
        <v>875</v>
      </c>
      <c r="B61" s="737">
        <f t="shared" ref="B61:F63" si="173">B53*B$58</f>
        <v>1344.9168346263846</v>
      </c>
      <c r="C61" s="737">
        <f t="shared" si="173"/>
        <v>1754.9617361426933</v>
      </c>
      <c r="D61" s="737">
        <f t="shared" si="173"/>
        <v>1063.6672997668841</v>
      </c>
      <c r="E61" s="737">
        <f t="shared" si="173"/>
        <v>1193.9508835459951</v>
      </c>
      <c r="F61" s="738">
        <f t="shared" si="173"/>
        <v>1322.457468932422</v>
      </c>
      <c r="G61" s="738">
        <f t="shared" ref="G61:H61" si="174">G53*G$58</f>
        <v>1673.865586784028</v>
      </c>
      <c r="H61" s="738">
        <f t="shared" si="174"/>
        <v>1893.9744895913407</v>
      </c>
      <c r="I61" s="738">
        <f t="shared" ref="I61" si="175">I53*I$58</f>
        <v>1982.1828224892959</v>
      </c>
      <c r="J61" s="995">
        <f ca="1">J53*J58</f>
        <v>1686.1604438335692</v>
      </c>
      <c r="K61" s="995">
        <f t="shared" ref="K61:L61" ca="1" si="176">K53*K58</f>
        <v>1660.9902303857073</v>
      </c>
      <c r="L61" s="995">
        <f t="shared" ca="1" si="176"/>
        <v>1682.0090313976198</v>
      </c>
      <c r="M61" s="995"/>
      <c r="N61" s="995">
        <f>N53*N58</f>
        <v>0</v>
      </c>
      <c r="O61" s="995">
        <f>O53*O58</f>
        <v>1615.2913355783435</v>
      </c>
      <c r="S61" s="696"/>
      <c r="T61" s="1116"/>
      <c r="U61" s="1452"/>
      <c r="V61" s="725"/>
      <c r="W61" s="725"/>
      <c r="X61" s="399"/>
      <c r="Y61" s="399"/>
      <c r="Z61" s="399"/>
      <c r="AA61" s="743"/>
      <c r="AB61" s="696"/>
      <c r="AC61" s="696"/>
      <c r="AD61" s="745"/>
      <c r="AE61" s="743"/>
      <c r="AF61" s="696"/>
      <c r="AG61" s="696"/>
      <c r="AH61" s="745"/>
      <c r="AI61" s="743"/>
      <c r="AJ61" s="696"/>
      <c r="AK61" s="696"/>
      <c r="AL61" s="696"/>
      <c r="AM61" s="743"/>
      <c r="AN61" s="696"/>
      <c r="AO61" s="696"/>
      <c r="AP61" s="745"/>
      <c r="AQ61" s="696"/>
      <c r="AR61" s="696"/>
      <c r="AS61" s="696"/>
      <c r="AT61" s="745"/>
      <c r="AU61" s="696"/>
      <c r="AV61" s="696"/>
      <c r="AW61" s="696"/>
      <c r="AX61" s="745"/>
      <c r="AY61" s="745"/>
      <c r="AZ61" s="1469"/>
      <c r="BA61" s="1468"/>
      <c r="BB61" s="1468"/>
      <c r="BC61" s="1468"/>
      <c r="BD61" s="1468"/>
      <c r="BE61" s="1468"/>
      <c r="BF61" s="1468"/>
      <c r="BG61" s="1468"/>
      <c r="BH61" s="1468"/>
      <c r="BI61" s="1468"/>
      <c r="BJ61" s="1468"/>
      <c r="BK61" s="1468"/>
      <c r="BL61" s="1468"/>
      <c r="BM61" s="696"/>
      <c r="BN61" s="696"/>
      <c r="BO61" s="696"/>
      <c r="BP61" s="696"/>
      <c r="BQ61" s="696"/>
      <c r="BR61" s="696"/>
      <c r="BS61" s="696"/>
      <c r="BT61" s="696"/>
      <c r="BU61" s="399"/>
      <c r="BV61" s="399"/>
      <c r="BW61" s="399"/>
      <c r="BX61" s="399"/>
    </row>
    <row r="62" spans="1:76">
      <c r="A62" s="1116" t="s">
        <v>876</v>
      </c>
      <c r="B62" s="737">
        <f t="shared" si="173"/>
        <v>4094.0483962672142</v>
      </c>
      <c r="C62" s="737">
        <f t="shared" si="173"/>
        <v>3999.52731692619</v>
      </c>
      <c r="D62" s="737">
        <f t="shared" si="173"/>
        <v>4609.189658166114</v>
      </c>
      <c r="E62" s="737">
        <f t="shared" si="173"/>
        <v>5158.0894086382996</v>
      </c>
      <c r="F62" s="738">
        <f t="shared" si="173"/>
        <v>6982.4336453031074</v>
      </c>
      <c r="G62" s="738">
        <f t="shared" ref="G62:H62" si="177">G54*G$58</f>
        <v>7684.865582682125</v>
      </c>
      <c r="H62" s="738">
        <f t="shared" si="177"/>
        <v>10425.056756817969</v>
      </c>
      <c r="I62" s="738">
        <f t="shared" ref="I62" si="178">I54*I$58</f>
        <v>13080.869692003464</v>
      </c>
      <c r="J62" s="1498">
        <f ca="1">J$2*J69</f>
        <v>9437.1101022695821</v>
      </c>
      <c r="K62" s="1498">
        <f t="shared" ref="K62:L62" ca="1" si="179">K$2*K69</f>
        <v>10880.928333000003</v>
      </c>
      <c r="L62" s="1498">
        <f t="shared" ca="1" si="179"/>
        <v>12628.562076900003</v>
      </c>
      <c r="M62" s="1498"/>
      <c r="N62" s="1498">
        <f ca="1">N$10*N69</f>
        <v>10145.159189999998</v>
      </c>
      <c r="O62" s="1498">
        <f t="shared" ref="O62:O63" si="180">O$10*O69</f>
        <v>8361.6915000000008</v>
      </c>
      <c r="S62" s="696"/>
      <c r="T62" s="1116"/>
      <c r="U62" s="1452"/>
      <c r="V62" s="725"/>
      <c r="W62" s="725"/>
      <c r="X62" s="399"/>
      <c r="Y62" s="399"/>
      <c r="Z62" s="399"/>
      <c r="AA62" s="743"/>
      <c r="AB62" s="696"/>
      <c r="AC62" s="696"/>
      <c r="AD62" s="745"/>
      <c r="AE62" s="743"/>
      <c r="AF62" s="696"/>
      <c r="AG62" s="696"/>
      <c r="AH62" s="745"/>
      <c r="AI62" s="743"/>
      <c r="AJ62" s="696"/>
      <c r="AK62" s="696"/>
      <c r="AL62" s="696"/>
      <c r="AM62" s="743"/>
      <c r="AN62" s="696"/>
      <c r="AO62" s="696"/>
      <c r="AP62" s="745"/>
      <c r="AQ62" s="696"/>
      <c r="AR62" s="696"/>
      <c r="AS62" s="696"/>
      <c r="AT62" s="745"/>
      <c r="AU62" s="696"/>
      <c r="AV62" s="696"/>
      <c r="AW62" s="696"/>
      <c r="AX62" s="745"/>
      <c r="AY62" s="745"/>
      <c r="AZ62" s="1469"/>
      <c r="BA62" s="1468"/>
      <c r="BB62" s="1468"/>
      <c r="BC62" s="1468"/>
      <c r="BD62" s="1468"/>
      <c r="BE62" s="1468"/>
      <c r="BF62" s="1468"/>
      <c r="BG62" s="1468"/>
      <c r="BH62" s="1468"/>
      <c r="BI62" s="1468"/>
      <c r="BJ62" s="1468"/>
      <c r="BK62" s="1468"/>
      <c r="BL62" s="1468"/>
      <c r="BM62" s="696"/>
      <c r="BN62" s="696"/>
      <c r="BO62" s="696"/>
      <c r="BP62" s="696"/>
      <c r="BQ62" s="696"/>
      <c r="BR62" s="696"/>
      <c r="BS62" s="696"/>
      <c r="BT62" s="696"/>
      <c r="BU62" s="399"/>
      <c r="BV62" s="399"/>
      <c r="BW62" s="399"/>
      <c r="BX62" s="399"/>
    </row>
    <row r="63" spans="1:76">
      <c r="A63" s="1116" t="s">
        <v>877</v>
      </c>
      <c r="B63" s="737">
        <f t="shared" si="173"/>
        <v>955.20805181870844</v>
      </c>
      <c r="C63" s="737">
        <f t="shared" si="173"/>
        <v>902.98906962078877</v>
      </c>
      <c r="D63" s="737">
        <f t="shared" si="173"/>
        <v>985.97729209497322</v>
      </c>
      <c r="E63" s="737">
        <f t="shared" si="173"/>
        <v>963.83298843781949</v>
      </c>
      <c r="F63" s="738">
        <f t="shared" si="173"/>
        <v>1155.2472255107161</v>
      </c>
      <c r="G63" s="738">
        <f t="shared" ref="G63:H63" si="181">G55*G$58</f>
        <v>2199.4853921220847</v>
      </c>
      <c r="H63" s="738">
        <f t="shared" si="181"/>
        <v>2066.1016112389289</v>
      </c>
      <c r="I63" s="738">
        <f t="shared" ref="I63" si="182">I55*I$58</f>
        <v>1795.1399399884913</v>
      </c>
      <c r="J63" s="995">
        <f t="shared" ref="J63" ca="1" si="183">J$10*J70</f>
        <v>2605.1820854539164</v>
      </c>
      <c r="K63" s="995">
        <f t="shared" ref="K63:L63" ca="1" si="184">K$10*K70</f>
        <v>2980.0769394000004</v>
      </c>
      <c r="L63" s="995">
        <f t="shared" ca="1" si="184"/>
        <v>3426.0706409160007</v>
      </c>
      <c r="M63" s="995"/>
      <c r="N63" s="995">
        <f ca="1">N$10*N70</f>
        <v>2188.1715899999999</v>
      </c>
      <c r="O63" s="995">
        <f t="shared" si="180"/>
        <v>2229.7844000000005</v>
      </c>
      <c r="S63" s="696"/>
      <c r="T63" s="39"/>
      <c r="U63" s="1452"/>
      <c r="V63" s="725"/>
      <c r="W63" s="725"/>
      <c r="X63" s="399"/>
      <c r="Y63" s="399"/>
      <c r="Z63" s="399"/>
      <c r="AA63" s="743"/>
      <c r="AB63" s="696"/>
      <c r="AC63" s="696"/>
      <c r="AD63" s="745"/>
      <c r="AE63" s="743"/>
      <c r="AF63" s="696"/>
      <c r="AG63" s="696"/>
      <c r="AH63" s="745"/>
      <c r="AI63" s="743"/>
      <c r="AJ63" s="696"/>
      <c r="AK63" s="696"/>
      <c r="AL63" s="696"/>
      <c r="AM63" s="743"/>
      <c r="AN63" s="696"/>
      <c r="AO63" s="696"/>
      <c r="AP63" s="745"/>
      <c r="AQ63" s="696"/>
      <c r="AR63" s="696"/>
      <c r="AS63" s="696"/>
      <c r="AT63" s="745"/>
      <c r="AU63" s="696"/>
      <c r="AV63" s="696"/>
      <c r="AW63" s="696"/>
      <c r="AX63" s="745"/>
      <c r="AY63" s="745"/>
      <c r="AZ63" s="1469"/>
      <c r="BA63" s="1468"/>
      <c r="BB63" s="1468"/>
      <c r="BC63" s="1468"/>
      <c r="BD63" s="1468"/>
      <c r="BE63" s="1468"/>
      <c r="BF63" s="1468"/>
      <c r="BG63" s="1468"/>
      <c r="BH63" s="1468"/>
      <c r="BI63" s="1468"/>
      <c r="BJ63" s="1468"/>
      <c r="BK63" s="1468"/>
      <c r="BL63" s="1468"/>
      <c r="BM63" s="696"/>
      <c r="BN63" s="696"/>
      <c r="BO63" s="696"/>
      <c r="BP63" s="696"/>
      <c r="BQ63" s="696"/>
      <c r="BR63" s="696"/>
      <c r="BS63" s="696"/>
      <c r="BT63" s="696"/>
      <c r="BU63" s="399"/>
      <c r="BV63" s="399"/>
      <c r="BW63" s="399"/>
      <c r="BX63" s="399"/>
    </row>
    <row r="64" spans="1:76">
      <c r="A64" s="819"/>
      <c r="B64" s="820"/>
      <c r="C64" s="820"/>
      <c r="D64" s="820"/>
      <c r="E64" s="820"/>
      <c r="F64" s="830"/>
      <c r="G64" s="830"/>
      <c r="H64" s="830"/>
      <c r="I64" s="830"/>
      <c r="J64" s="696"/>
      <c r="K64" s="696"/>
      <c r="L64" s="696"/>
      <c r="M64" s="696"/>
      <c r="N64" s="696"/>
      <c r="O64" s="696"/>
      <c r="S64" s="696"/>
      <c r="U64" s="1452"/>
      <c r="V64" s="725"/>
      <c r="W64" s="725"/>
      <c r="X64" s="399"/>
      <c r="Y64" s="399"/>
      <c r="Z64" s="399"/>
      <c r="AA64" s="743"/>
      <c r="AB64" s="696"/>
      <c r="AC64" s="696"/>
      <c r="AD64" s="745"/>
      <c r="AE64" s="743"/>
      <c r="AF64" s="696"/>
      <c r="AG64" s="696"/>
      <c r="AH64" s="745"/>
      <c r="AI64" s="743"/>
      <c r="AJ64" s="696"/>
      <c r="AK64" s="696"/>
      <c r="AL64" s="696"/>
      <c r="AM64" s="743"/>
      <c r="AN64" s="696"/>
      <c r="AO64" s="696"/>
      <c r="AP64" s="745"/>
      <c r="AQ64" s="696"/>
      <c r="AR64" s="696"/>
      <c r="AS64" s="696"/>
      <c r="AT64" s="745"/>
      <c r="AU64" s="696"/>
      <c r="AV64" s="696"/>
      <c r="AW64" s="696"/>
      <c r="AX64" s="745"/>
      <c r="AY64" s="745"/>
      <c r="AZ64" s="1469"/>
      <c r="BA64" s="1468"/>
      <c r="BB64" s="1468"/>
      <c r="BC64" s="1468"/>
      <c r="BD64" s="1468"/>
      <c r="BE64" s="1468"/>
      <c r="BF64" s="1468"/>
      <c r="BG64" s="1468"/>
      <c r="BH64" s="1468"/>
      <c r="BI64" s="1468"/>
      <c r="BJ64" s="1468"/>
      <c r="BK64" s="1468"/>
      <c r="BL64" s="1468"/>
      <c r="BM64" s="696"/>
      <c r="BN64" s="696"/>
      <c r="BO64" s="696"/>
      <c r="BP64" s="696"/>
      <c r="BQ64" s="696"/>
      <c r="BR64" s="696"/>
      <c r="BS64" s="696"/>
      <c r="BT64" s="696"/>
      <c r="BU64" s="399"/>
      <c r="BV64" s="399"/>
      <c r="BW64" s="399"/>
      <c r="BX64" s="399"/>
    </row>
    <row r="65" spans="1:76">
      <c r="A65" s="1399" t="s">
        <v>880</v>
      </c>
      <c r="B65" s="1124">
        <f t="shared" ref="B65:G65" si="185">B57/B$3</f>
        <v>0.62423309127983218</v>
      </c>
      <c r="C65" s="1124">
        <f t="shared" si="185"/>
        <v>0.61352004100483015</v>
      </c>
      <c r="D65" s="1124">
        <f t="shared" si="185"/>
        <v>0.60397254927556343</v>
      </c>
      <c r="E65" s="1124">
        <f t="shared" si="185"/>
        <v>0.61769459392560111</v>
      </c>
      <c r="F65" s="1135">
        <f t="shared" si="185"/>
        <v>0.60991904376551043</v>
      </c>
      <c r="G65" s="1135">
        <f t="shared" si="185"/>
        <v>0.61382812455135649</v>
      </c>
      <c r="H65" s="1135">
        <f t="shared" ref="H65:I65" si="186">H57/H$3</f>
        <v>0.62293084719689906</v>
      </c>
      <c r="I65" s="1135">
        <f t="shared" si="186"/>
        <v>0.62980878590365241</v>
      </c>
      <c r="J65" s="1151">
        <f ca="1">J57/J10</f>
        <v>0.47337923568667351</v>
      </c>
      <c r="K65" s="1151">
        <f ca="1">K57/K10</f>
        <v>0.48356389020287072</v>
      </c>
      <c r="L65" s="1151">
        <f ca="1">L57/L10</f>
        <v>0.49083829615472296</v>
      </c>
      <c r="M65" s="1151"/>
      <c r="N65" s="1151">
        <f ca="1">N57/N10</f>
        <v>0.62516500515848483</v>
      </c>
      <c r="O65" s="1151">
        <f>O57/O10</f>
        <v>0.64849563205423189</v>
      </c>
      <c r="S65" s="1110"/>
      <c r="T65" s="811"/>
      <c r="U65" s="1"/>
      <c r="V65" s="1"/>
      <c r="W65" s="1"/>
      <c r="X65" s="399"/>
      <c r="Y65" s="399"/>
      <c r="Z65" s="399"/>
      <c r="AA65" s="743"/>
      <c r="AB65" s="696"/>
      <c r="AC65" s="696"/>
      <c r="AD65" s="745"/>
      <c r="AE65" s="743"/>
      <c r="AF65" s="696"/>
      <c r="AG65" s="696"/>
      <c r="AH65" s="745"/>
      <c r="AI65" s="743"/>
      <c r="AJ65" s="696"/>
      <c r="AK65" s="696"/>
      <c r="AL65" s="696"/>
      <c r="AM65" s="743"/>
      <c r="AN65" s="696"/>
      <c r="AO65" s="696"/>
      <c r="AP65" s="745"/>
      <c r="AQ65" s="696"/>
      <c r="AR65" s="696"/>
      <c r="AS65" s="696"/>
      <c r="AT65" s="745"/>
      <c r="AU65" s="696"/>
      <c r="AV65" s="696"/>
      <c r="AW65" s="696"/>
      <c r="AX65" s="745"/>
      <c r="AY65" s="745"/>
      <c r="AZ65" s="1469"/>
      <c r="BA65" s="1468"/>
      <c r="BB65" s="1468"/>
      <c r="BC65" s="1468"/>
      <c r="BD65" s="1468"/>
      <c r="BE65" s="1468"/>
      <c r="BF65" s="1468"/>
      <c r="BG65" s="1468"/>
      <c r="BH65" s="1468"/>
      <c r="BI65" s="1468"/>
      <c r="BJ65" s="1468"/>
      <c r="BK65" s="1468"/>
      <c r="BL65" s="1468"/>
      <c r="BM65" s="696"/>
      <c r="BN65" s="696"/>
      <c r="BO65" s="696"/>
      <c r="BP65" s="696"/>
      <c r="BQ65" s="696"/>
      <c r="BR65" s="696"/>
      <c r="BS65" s="696"/>
      <c r="BT65" s="696"/>
      <c r="BU65" s="399"/>
      <c r="BV65" s="399"/>
      <c r="BW65" s="399"/>
      <c r="BX65" s="399"/>
    </row>
    <row r="66" spans="1:76">
      <c r="A66" s="1379" t="s">
        <v>741</v>
      </c>
      <c r="B66" s="789">
        <f t="shared" ref="B66:F70" si="187">B59/B$3</f>
        <v>0.11031447154094852</v>
      </c>
      <c r="C66" s="789">
        <f t="shared" si="187"/>
        <v>0.10770375739807234</v>
      </c>
      <c r="D66" s="789">
        <f t="shared" si="187"/>
        <v>8.4357961261734102E-2</v>
      </c>
      <c r="E66" s="789">
        <f t="shared" si="187"/>
        <v>0.10535702474219059</v>
      </c>
      <c r="F66" s="725">
        <f t="shared" si="187"/>
        <v>8.6807624236424921E-2</v>
      </c>
      <c r="G66" s="725">
        <f t="shared" ref="G66:H66" si="188">G59/G$3</f>
        <v>7.6608190329228082E-2</v>
      </c>
      <c r="H66" s="725">
        <f t="shared" si="188"/>
        <v>7.9083607871784534E-2</v>
      </c>
      <c r="I66" s="725">
        <f t="shared" ref="I66" si="189">I59/I$3</f>
        <v>8.0740126057360972E-2</v>
      </c>
      <c r="J66" s="1484">
        <v>7.8E-2</v>
      </c>
      <c r="K66" s="1484">
        <v>7.6999999999999999E-2</v>
      </c>
      <c r="L66" s="1484">
        <v>7.5999999999999998E-2</v>
      </c>
      <c r="M66" s="1484"/>
      <c r="N66" s="1484">
        <v>7.9000000000000001E-2</v>
      </c>
      <c r="O66" s="1484">
        <f>AVERAGE(E66:G66)</f>
        <v>8.9590946435947852E-2</v>
      </c>
      <c r="S66" s="8"/>
      <c r="U66" s="1"/>
      <c r="V66" s="1"/>
      <c r="W66" s="1"/>
      <c r="X66" s="399"/>
      <c r="Y66" s="399"/>
      <c r="Z66" s="399"/>
      <c r="AA66" s="743"/>
      <c r="AB66" s="696"/>
      <c r="AC66" s="696"/>
      <c r="AD66" s="745"/>
      <c r="AE66" s="743"/>
      <c r="AF66" s="696"/>
      <c r="AG66" s="696"/>
      <c r="AH66" s="745"/>
      <c r="AI66" s="743"/>
      <c r="AJ66" s="696"/>
      <c r="AK66" s="696"/>
      <c r="AL66" s="696"/>
      <c r="AM66" s="743"/>
      <c r="AN66" s="696"/>
      <c r="AO66" s="696"/>
      <c r="AP66" s="745"/>
      <c r="AQ66" s="696"/>
      <c r="AR66" s="696"/>
      <c r="AS66" s="696"/>
      <c r="AT66" s="745"/>
      <c r="AU66" s="696"/>
      <c r="AV66" s="696"/>
      <c r="AW66" s="696"/>
      <c r="AX66" s="745"/>
      <c r="AY66" s="745"/>
      <c r="AZ66" s="1469"/>
      <c r="BA66" s="1468"/>
      <c r="BB66" s="1468"/>
      <c r="BC66" s="1468"/>
      <c r="BD66" s="1468"/>
      <c r="BE66" s="1468"/>
      <c r="BF66" s="1468"/>
      <c r="BG66" s="1468"/>
      <c r="BH66" s="1468"/>
      <c r="BI66" s="1468"/>
      <c r="BJ66" s="1468"/>
      <c r="BK66" s="1468"/>
      <c r="BL66" s="1468"/>
      <c r="BM66" s="696"/>
      <c r="BN66" s="696"/>
      <c r="BO66" s="696"/>
      <c r="BP66" s="696"/>
      <c r="BQ66" s="696"/>
      <c r="BR66" s="696"/>
      <c r="BS66" s="696"/>
      <c r="BT66" s="696"/>
      <c r="BU66" s="399"/>
      <c r="BV66" s="399"/>
      <c r="BW66" s="399"/>
      <c r="BX66" s="399"/>
    </row>
    <row r="67" spans="1:76">
      <c r="A67" s="1379" t="s">
        <v>874</v>
      </c>
      <c r="B67" s="789">
        <f t="shared" si="187"/>
        <v>0.23846842350631545</v>
      </c>
      <c r="C67" s="789">
        <f t="shared" si="187"/>
        <v>0.26562117973844163</v>
      </c>
      <c r="D67" s="789">
        <f t="shared" si="187"/>
        <v>0.2963914957177593</v>
      </c>
      <c r="E67" s="789">
        <f t="shared" si="187"/>
        <v>0.30716552964773858</v>
      </c>
      <c r="F67" s="725">
        <f t="shared" si="187"/>
        <v>0.30815482175924502</v>
      </c>
      <c r="G67" s="725">
        <f>G60/G$3</f>
        <v>0.31755673253900912</v>
      </c>
      <c r="H67" s="725">
        <f>H60/H$3</f>
        <v>0.31496243728440326</v>
      </c>
      <c r="I67" s="725">
        <f>I60/I$3</f>
        <v>0.30894977180879518</v>
      </c>
      <c r="J67" s="1484">
        <v>0.308</v>
      </c>
      <c r="K67" s="1484">
        <v>0.308</v>
      </c>
      <c r="L67" s="1484">
        <v>0.307</v>
      </c>
      <c r="M67" s="1484"/>
      <c r="N67" s="1484">
        <v>0.311</v>
      </c>
      <c r="O67" s="1484">
        <v>0.318</v>
      </c>
      <c r="S67" s="8"/>
      <c r="T67" s="1758"/>
      <c r="U67" s="1"/>
      <c r="V67" s="1"/>
      <c r="W67" s="1"/>
      <c r="X67" s="399"/>
      <c r="Y67" s="399"/>
      <c r="Z67" s="399"/>
      <c r="AA67" s="743"/>
      <c r="AB67" s="696"/>
      <c r="AC67" s="696"/>
      <c r="AD67" s="745"/>
      <c r="AE67" s="743"/>
      <c r="AF67" s="696"/>
      <c r="AG67" s="696"/>
      <c r="AH67" s="745"/>
      <c r="AI67" s="743"/>
      <c r="AJ67" s="696"/>
      <c r="AK67" s="696"/>
      <c r="AL67" s="696"/>
      <c r="AM67" s="743"/>
      <c r="AN67" s="696"/>
      <c r="AO67" s="696"/>
      <c r="AP67" s="745"/>
      <c r="AQ67" s="696"/>
      <c r="AR67" s="696"/>
      <c r="AS67" s="696"/>
      <c r="AT67" s="745"/>
      <c r="AU67" s="696"/>
      <c r="AV67" s="696"/>
      <c r="AW67" s="696"/>
      <c r="AX67" s="745"/>
      <c r="AY67" s="745"/>
      <c r="AZ67" s="1469"/>
      <c r="BA67" s="1468"/>
      <c r="BB67" s="1468"/>
      <c r="BC67" s="1468"/>
      <c r="BD67" s="1468"/>
      <c r="BE67" s="1468"/>
      <c r="BF67" s="1468"/>
      <c r="BG67" s="1468"/>
      <c r="BH67" s="1468"/>
      <c r="BI67" s="1468"/>
      <c r="BJ67" s="1468"/>
      <c r="BK67" s="1468"/>
      <c r="BL67" s="1468"/>
      <c r="BM67" s="696"/>
      <c r="BN67" s="696"/>
      <c r="BO67" s="696"/>
      <c r="BP67" s="696"/>
      <c r="BQ67" s="696"/>
      <c r="BR67" s="696"/>
      <c r="BS67" s="696"/>
      <c r="BT67" s="696"/>
      <c r="BU67" s="399"/>
      <c r="BV67" s="399"/>
      <c r="BW67" s="399"/>
      <c r="BX67" s="399"/>
    </row>
    <row r="68" spans="1:76">
      <c r="A68" s="1379" t="s">
        <v>875</v>
      </c>
      <c r="B68" s="789">
        <f t="shared" si="187"/>
        <v>5.7936747978963109E-2</v>
      </c>
      <c r="C68" s="789">
        <f t="shared" si="187"/>
        <v>6.3317251477112174E-2</v>
      </c>
      <c r="D68" s="789">
        <f t="shared" si="187"/>
        <v>3.5657157831669624E-2</v>
      </c>
      <c r="E68" s="789">
        <f t="shared" si="187"/>
        <v>3.3484087064684427E-2</v>
      </c>
      <c r="F68" s="725">
        <f t="shared" si="187"/>
        <v>3.0049344735549932E-2</v>
      </c>
      <c r="G68" s="725">
        <f t="shared" ref="G68:H68" si="190">G61/G$3</f>
        <v>3.1811713513148446E-2</v>
      </c>
      <c r="H68" s="725">
        <f t="shared" si="190"/>
        <v>3.0135416920378907E-2</v>
      </c>
      <c r="I68" s="725">
        <f t="shared" ref="I68" si="191">I61/I$3</f>
        <v>2.8233129768110814E-2</v>
      </c>
      <c r="J68" s="1501">
        <v>0.03</v>
      </c>
      <c r="K68" s="1501">
        <v>0.03</v>
      </c>
      <c r="L68" s="1501">
        <v>0.03</v>
      </c>
      <c r="M68" s="1501"/>
      <c r="N68" s="1501">
        <v>0.03</v>
      </c>
      <c r="O68" s="1501">
        <f>Assumptions!AG32</f>
        <v>3.5000000000000003E-2</v>
      </c>
      <c r="S68" s="725"/>
      <c r="T68" s="1758"/>
      <c r="U68" s="1"/>
      <c r="V68" s="1"/>
      <c r="W68" s="1"/>
      <c r="X68" s="399"/>
      <c r="Y68" s="399"/>
      <c r="Z68" s="399"/>
      <c r="AA68" s="743"/>
      <c r="AB68" s="696"/>
      <c r="AC68" s="696"/>
      <c r="AD68" s="745"/>
      <c r="AE68" s="743"/>
      <c r="AF68" s="696"/>
      <c r="AG68" s="696"/>
      <c r="AH68" s="745"/>
      <c r="AI68" s="743"/>
      <c r="AJ68" s="696"/>
      <c r="AK68" s="696"/>
      <c r="AL68" s="696"/>
      <c r="AM68" s="743"/>
      <c r="AN68" s="696"/>
      <c r="AO68" s="696"/>
      <c r="AP68" s="745"/>
      <c r="AQ68" s="696"/>
      <c r="AR68" s="696"/>
      <c r="AS68" s="696"/>
      <c r="AT68" s="745"/>
      <c r="AU68" s="696"/>
      <c r="AV68" s="696"/>
      <c r="AW68" s="696"/>
      <c r="AX68" s="745"/>
      <c r="AY68" s="745"/>
      <c r="AZ68" s="1469"/>
      <c r="BA68" s="1468"/>
      <c r="BB68" s="1468"/>
      <c r="BC68" s="1468"/>
      <c r="BD68" s="1468"/>
      <c r="BE68" s="1468"/>
      <c r="BF68" s="1468"/>
      <c r="BG68" s="1468"/>
      <c r="BH68" s="1468"/>
      <c r="BI68" s="1468"/>
      <c r="BJ68" s="1468"/>
      <c r="BK68" s="1468"/>
      <c r="BL68" s="1468"/>
      <c r="BM68" s="696"/>
      <c r="BN68" s="696"/>
      <c r="BO68" s="696"/>
      <c r="BP68" s="696"/>
      <c r="BQ68" s="696"/>
      <c r="BR68" s="696"/>
      <c r="BS68" s="696"/>
      <c r="BT68" s="696"/>
      <c r="BU68" s="399"/>
      <c r="BV68" s="399"/>
      <c r="BW68" s="399"/>
      <c r="BX68" s="399"/>
    </row>
    <row r="69" spans="1:76">
      <c r="A69" s="1379" t="s">
        <v>876</v>
      </c>
      <c r="B69" s="789">
        <f t="shared" si="187"/>
        <v>0.17636469708857816</v>
      </c>
      <c r="C69" s="789">
        <f t="shared" si="187"/>
        <v>0.14429891643791645</v>
      </c>
      <c r="D69" s="789">
        <f t="shared" si="187"/>
        <v>0.15451316699624776</v>
      </c>
      <c r="E69" s="789">
        <f t="shared" si="187"/>
        <v>0.14465747060994399</v>
      </c>
      <c r="F69" s="725">
        <f t="shared" si="187"/>
        <v>0.15865731838634833</v>
      </c>
      <c r="G69" s="725">
        <f t="shared" ref="G69:H69" si="192">G62/G$3</f>
        <v>0.14605040227455321</v>
      </c>
      <c r="H69" s="725">
        <f t="shared" si="192"/>
        <v>0.16587521823121762</v>
      </c>
      <c r="I69" s="725">
        <f t="shared" ref="I69" si="193">I62/I$3</f>
        <v>0.1863167651863131</v>
      </c>
      <c r="J69" s="1484">
        <v>0.16500000000000001</v>
      </c>
      <c r="K69" s="1484">
        <f t="shared" ref="K69:L69" si="194">J69</f>
        <v>0.16500000000000001</v>
      </c>
      <c r="L69" s="1484">
        <f t="shared" si="194"/>
        <v>0.16500000000000001</v>
      </c>
      <c r="M69" s="1484"/>
      <c r="N69" s="1484">
        <v>0.153</v>
      </c>
      <c r="O69" s="1484">
        <f>Assumptions!AG33</f>
        <v>0.15</v>
      </c>
      <c r="S69" s="8"/>
      <c r="T69" s="1500"/>
      <c r="U69" s="1"/>
      <c r="V69" s="1"/>
      <c r="W69" s="1"/>
      <c r="X69" s="399"/>
      <c r="Y69" s="399"/>
      <c r="Z69" s="399"/>
      <c r="AA69" s="743"/>
      <c r="AB69" s="696"/>
      <c r="AC69" s="696"/>
      <c r="AD69" s="745"/>
      <c r="AE69" s="743"/>
      <c r="AF69" s="696"/>
      <c r="AG69" s="696"/>
      <c r="AH69" s="745"/>
      <c r="AI69" s="743"/>
      <c r="AJ69" s="696"/>
      <c r="AK69" s="696"/>
      <c r="AL69" s="696"/>
      <c r="AM69" s="743"/>
      <c r="AN69" s="696"/>
      <c r="AO69" s="696"/>
      <c r="AP69" s="745"/>
      <c r="AQ69" s="696"/>
      <c r="AR69" s="696"/>
      <c r="AS69" s="696"/>
      <c r="AT69" s="745"/>
      <c r="AU69" s="696"/>
      <c r="AV69" s="696"/>
      <c r="AW69" s="696"/>
      <c r="AX69" s="745"/>
      <c r="AY69" s="745"/>
      <c r="AZ69" s="1469"/>
      <c r="BA69" s="1468"/>
      <c r="BB69" s="1468"/>
      <c r="BC69" s="1468"/>
      <c r="BD69" s="1468"/>
      <c r="BE69" s="1468"/>
      <c r="BF69" s="1468"/>
      <c r="BG69" s="1468"/>
      <c r="BH69" s="1468"/>
      <c r="BI69" s="1468"/>
      <c r="BJ69" s="1468"/>
      <c r="BK69" s="1468"/>
      <c r="BL69" s="1468"/>
      <c r="BM69" s="696"/>
      <c r="BN69" s="696"/>
      <c r="BO69" s="696"/>
      <c r="BP69" s="696"/>
      <c r="BQ69" s="696"/>
      <c r="BR69" s="696"/>
      <c r="BS69" s="696"/>
      <c r="BT69" s="696"/>
      <c r="BU69" s="399"/>
      <c r="BV69" s="399"/>
      <c r="BW69" s="399"/>
      <c r="BX69" s="399"/>
    </row>
    <row r="70" spans="1:76">
      <c r="A70" s="1379" t="s">
        <v>877</v>
      </c>
      <c r="B70" s="789">
        <f t="shared" si="187"/>
        <v>4.1148751165026982E-2</v>
      </c>
      <c r="C70" s="789">
        <f t="shared" si="187"/>
        <v>3.2578935953287494E-2</v>
      </c>
      <c r="D70" s="789">
        <f t="shared" si="187"/>
        <v>3.3052767468152694E-2</v>
      </c>
      <c r="E70" s="789">
        <f t="shared" si="187"/>
        <v>2.7030481861043541E-2</v>
      </c>
      <c r="F70" s="725">
        <f t="shared" si="187"/>
        <v>2.6249934647942182E-2</v>
      </c>
      <c r="G70" s="725">
        <f t="shared" ref="G70:H70" si="195">G63/G$3</f>
        <v>4.1801085895417596E-2</v>
      </c>
      <c r="H70" s="725">
        <f t="shared" si="195"/>
        <v>3.2874166889114792E-2</v>
      </c>
      <c r="I70" s="725">
        <f t="shared" ref="I70" si="196">I63/I$3</f>
        <v>2.5568993083072398E-2</v>
      </c>
      <c r="J70" s="1484">
        <v>3.3000000000000002E-2</v>
      </c>
      <c r="K70" s="1484">
        <f>J70</f>
        <v>3.3000000000000002E-2</v>
      </c>
      <c r="L70" s="1484">
        <f>K70</f>
        <v>3.3000000000000002E-2</v>
      </c>
      <c r="M70" s="1484"/>
      <c r="N70" s="1484">
        <f ca="1">Assumptions!P34</f>
        <v>3.3000000000000002E-2</v>
      </c>
      <c r="O70" s="1484">
        <v>0.04</v>
      </c>
      <c r="S70" s="8"/>
      <c r="T70" s="1500"/>
      <c r="U70" s="1"/>
      <c r="V70" s="1"/>
      <c r="W70" s="1"/>
      <c r="X70" s="399"/>
      <c r="Y70" s="399"/>
      <c r="Z70" s="399"/>
      <c r="AA70" s="743"/>
      <c r="AB70" s="696"/>
      <c r="AC70" s="696"/>
      <c r="AD70" s="745"/>
      <c r="AE70" s="743"/>
      <c r="AF70" s="696"/>
      <c r="AG70" s="696"/>
      <c r="AH70" s="745"/>
      <c r="AI70" s="743"/>
      <c r="AJ70" s="696"/>
      <c r="AK70" s="696"/>
      <c r="AL70" s="696"/>
      <c r="AM70" s="743"/>
      <c r="AN70" s="696"/>
      <c r="AO70" s="696"/>
      <c r="AP70" s="745"/>
      <c r="AQ70" s="696"/>
      <c r="AR70" s="696"/>
      <c r="AS70" s="696"/>
      <c r="AT70" s="745"/>
      <c r="AU70" s="696"/>
      <c r="AV70" s="696"/>
      <c r="AW70" s="696"/>
      <c r="AX70" s="745"/>
      <c r="AY70" s="745"/>
      <c r="AZ70" s="1469"/>
      <c r="BA70" s="1468"/>
      <c r="BB70" s="1468"/>
      <c r="BC70" s="1468"/>
      <c r="BD70" s="1468"/>
      <c r="BE70" s="1468"/>
      <c r="BF70" s="1468"/>
      <c r="BG70" s="1468"/>
      <c r="BH70" s="1468"/>
      <c r="BI70" s="1468"/>
      <c r="BJ70" s="1468"/>
      <c r="BK70" s="1468"/>
      <c r="BL70" s="1468"/>
      <c r="BM70" s="696"/>
      <c r="BN70" s="696"/>
      <c r="BO70" s="696"/>
      <c r="BP70" s="696"/>
      <c r="BQ70" s="696"/>
      <c r="BR70" s="696"/>
      <c r="BS70" s="696"/>
      <c r="BT70" s="696"/>
      <c r="BU70" s="399"/>
      <c r="BV70" s="399"/>
      <c r="BW70" s="399"/>
      <c r="BX70" s="399"/>
    </row>
    <row r="71" spans="1:76">
      <c r="A71" s="1379"/>
      <c r="B71" s="820"/>
      <c r="C71" s="820"/>
      <c r="D71" s="820"/>
      <c r="E71" s="820"/>
      <c r="F71" s="830"/>
      <c r="G71" s="830"/>
      <c r="H71" s="830"/>
      <c r="I71" s="830"/>
      <c r="J71" s="696"/>
      <c r="K71" s="696"/>
      <c r="L71" s="696"/>
      <c r="M71" s="696"/>
      <c r="N71" s="696"/>
      <c r="O71" s="696"/>
      <c r="S71" s="696"/>
      <c r="T71" s="1758"/>
      <c r="U71" s="1"/>
      <c r="V71" s="1"/>
      <c r="W71" s="1"/>
      <c r="X71" s="399"/>
      <c r="Y71" s="399"/>
      <c r="Z71" s="399"/>
      <c r="AA71" s="743"/>
      <c r="AB71" s="696"/>
      <c r="AC71" s="696"/>
      <c r="AD71" s="745"/>
      <c r="AE71" s="743"/>
      <c r="AF71" s="696"/>
      <c r="AG71" s="696"/>
      <c r="AH71" s="745"/>
      <c r="AI71" s="743"/>
      <c r="AJ71" s="696"/>
      <c r="AK71" s="696"/>
      <c r="AL71" s="696"/>
      <c r="AM71" s="743"/>
      <c r="AN71" s="696"/>
      <c r="AO71" s="696"/>
      <c r="AP71" s="745"/>
      <c r="AQ71" s="696"/>
      <c r="AR71" s="696"/>
      <c r="AS71" s="696"/>
      <c r="AT71" s="745"/>
      <c r="AU71" s="696"/>
      <c r="AV71" s="696"/>
      <c r="AW71" s="696"/>
      <c r="AX71" s="745"/>
      <c r="AY71" s="745"/>
      <c r="AZ71" s="1469"/>
      <c r="BA71" s="1468"/>
      <c r="BB71" s="1468"/>
      <c r="BC71" s="1468"/>
      <c r="BD71" s="1468"/>
      <c r="BE71" s="1468"/>
      <c r="BF71" s="1468"/>
      <c r="BG71" s="1468"/>
      <c r="BH71" s="1468"/>
      <c r="BI71" s="1468"/>
      <c r="BJ71" s="1468"/>
      <c r="BK71" s="1468"/>
      <c r="BL71" s="1468"/>
      <c r="BM71" s="696"/>
      <c r="BN71" s="696"/>
      <c r="BO71" s="696"/>
      <c r="BP71" s="696"/>
      <c r="BQ71" s="696"/>
      <c r="BR71" s="696"/>
      <c r="BS71" s="696"/>
      <c r="BT71" s="696"/>
      <c r="BU71" s="399"/>
      <c r="BV71" s="399"/>
      <c r="BW71" s="399"/>
      <c r="BX71" s="399"/>
    </row>
    <row r="72" spans="1:76">
      <c r="A72" s="1399" t="s">
        <v>905</v>
      </c>
      <c r="B72" s="1124"/>
      <c r="C72" s="1124">
        <f t="shared" ref="C72:I72" si="197">C57/B57-1</f>
        <v>0.17350852384240545</v>
      </c>
      <c r="D72" s="1124">
        <f t="shared" si="197"/>
        <v>5.9502372635794165E-2</v>
      </c>
      <c r="E72" s="1124">
        <f t="shared" si="197"/>
        <v>0.22249056028389291</v>
      </c>
      <c r="F72" s="1135">
        <f t="shared" si="197"/>
        <v>0.21870081685386022</v>
      </c>
      <c r="G72" s="1135">
        <f t="shared" si="197"/>
        <v>0.20326532008989728</v>
      </c>
      <c r="H72" s="1135">
        <f t="shared" si="197"/>
        <v>0.21215025450393665</v>
      </c>
      <c r="I72" s="1135">
        <f t="shared" si="197"/>
        <v>0.12942303345172279</v>
      </c>
      <c r="J72" s="1135">
        <f ca="1">J57/I57-1</f>
        <v>-0.15483802644681732</v>
      </c>
      <c r="K72" s="1135">
        <f ca="1">K57/J57-1</f>
        <v>0.16851435600418219</v>
      </c>
      <c r="L72" s="1135">
        <f ca="1">L57/K57-1</f>
        <v>0.16695313103379195</v>
      </c>
      <c r="M72" s="1135"/>
      <c r="N72" s="1135">
        <f ca="1">N57/H57-1</f>
        <v>5.8827802745562208E-2</v>
      </c>
      <c r="O72" s="1135">
        <f>O57/G57-1</f>
        <v>0.11925652626197336</v>
      </c>
      <c r="S72" s="1147"/>
      <c r="T72" s="1758"/>
      <c r="U72" s="1"/>
      <c r="V72" s="1"/>
      <c r="W72" s="1"/>
      <c r="X72" s="399"/>
      <c r="Y72" s="399"/>
      <c r="Z72" s="399"/>
      <c r="AA72" s="743"/>
      <c r="AB72" s="696"/>
      <c r="AC72" s="696"/>
      <c r="AD72" s="745"/>
      <c r="AE72" s="743"/>
      <c r="AF72" s="696"/>
      <c r="AG72" s="696"/>
      <c r="AH72" s="745"/>
      <c r="AI72" s="780">
        <f t="shared" ref="AI72:AP72" si="198">AI57</f>
        <v>4691.800715286</v>
      </c>
      <c r="AJ72" s="698">
        <f t="shared" si="198"/>
        <v>5201.5261419159997</v>
      </c>
      <c r="AK72" s="698">
        <f t="shared" si="198"/>
        <v>5474.2432229469996</v>
      </c>
      <c r="AL72" s="698">
        <f t="shared" si="198"/>
        <v>6609.6874579409996</v>
      </c>
      <c r="AM72" s="780">
        <f t="shared" si="198"/>
        <v>5776.9325518380001</v>
      </c>
      <c r="AN72" s="698">
        <f t="shared" si="198"/>
        <v>6253.3717416489999</v>
      </c>
      <c r="AO72" s="698">
        <f t="shared" si="198"/>
        <v>6789.0733280960003</v>
      </c>
      <c r="AP72" s="1101">
        <f t="shared" si="198"/>
        <v>7801.1524869470004</v>
      </c>
      <c r="AQ72" s="696"/>
      <c r="AR72" s="696"/>
      <c r="AS72" s="696"/>
      <c r="AT72" s="745"/>
      <c r="AU72" s="696"/>
      <c r="AV72" s="696"/>
      <c r="AW72" s="696"/>
      <c r="AX72" s="745"/>
      <c r="AY72" s="745"/>
      <c r="AZ72" s="1469"/>
      <c r="BA72" s="1468"/>
      <c r="BB72" s="1468"/>
      <c r="BC72" s="1468"/>
      <c r="BD72" s="1468"/>
      <c r="BE72" s="1468"/>
      <c r="BF72" s="1468"/>
      <c r="BG72" s="1468"/>
      <c r="BH72" s="1468"/>
      <c r="BI72" s="1468"/>
      <c r="BJ72" s="1468"/>
      <c r="BK72" s="1468"/>
      <c r="BL72" s="1468"/>
      <c r="BM72" s="696"/>
      <c r="BN72" s="696"/>
      <c r="BO72" s="696"/>
      <c r="BP72" s="696"/>
      <c r="BQ72" s="696"/>
      <c r="BR72" s="696"/>
      <c r="BS72" s="696"/>
      <c r="BT72" s="696"/>
      <c r="BU72" s="399"/>
      <c r="BV72" s="399"/>
      <c r="BW72" s="399"/>
      <c r="BX72" s="399"/>
    </row>
    <row r="73" spans="1:76">
      <c r="A73" s="1379" t="s">
        <v>741</v>
      </c>
      <c r="B73" s="696"/>
      <c r="C73" s="8">
        <f t="shared" ref="C73:I73" si="199">C59/B59-1</f>
        <v>0.16574254752508111</v>
      </c>
      <c r="D73" s="8">
        <f t="shared" si="199"/>
        <v>-0.15703662104937788</v>
      </c>
      <c r="E73" s="8">
        <f t="shared" si="199"/>
        <v>0.49288493886489615</v>
      </c>
      <c r="F73" s="8">
        <f t="shared" si="199"/>
        <v>1.6934735218929298E-2</v>
      </c>
      <c r="G73" s="8">
        <f t="shared" si="199"/>
        <v>5.5125558702967092E-2</v>
      </c>
      <c r="H73" s="8">
        <f t="shared" si="199"/>
        <v>0.23303292481475224</v>
      </c>
      <c r="I73" s="8">
        <f t="shared" si="199"/>
        <v>0.14048797937679658</v>
      </c>
      <c r="J73" s="8">
        <f ca="1">J59/I59-1</f>
        <v>-0.21299847597285593</v>
      </c>
      <c r="K73" s="8">
        <f t="shared" ref="K73:L77" ca="1" si="200">K59/J59-1</f>
        <v>0.13821171263270848</v>
      </c>
      <c r="L73" s="8">
        <f t="shared" ca="1" si="200"/>
        <v>0.14554148283443147</v>
      </c>
      <c r="M73" s="8"/>
      <c r="N73" s="8">
        <f ca="1">N59/H59-1</f>
        <v>5.3928458571751658E-2</v>
      </c>
      <c r="O73" s="8">
        <f>O59/G59-1</f>
        <v>0.23896285024449382</v>
      </c>
      <c r="S73" s="8"/>
      <c r="T73" s="1758"/>
      <c r="U73" s="1"/>
      <c r="V73" s="1"/>
      <c r="W73" s="1"/>
      <c r="X73" s="399"/>
      <c r="Y73" s="399"/>
      <c r="Z73" s="399"/>
      <c r="AA73" s="743"/>
      <c r="AB73" s="696"/>
      <c r="AC73" s="696"/>
      <c r="AD73" s="745"/>
      <c r="AE73" s="743"/>
      <c r="AF73" s="696"/>
      <c r="AG73" s="696"/>
      <c r="AH73" s="745"/>
      <c r="AI73" s="743"/>
      <c r="AJ73" s="696"/>
      <c r="AK73" s="696"/>
      <c r="AL73" s="696"/>
      <c r="AM73" s="743"/>
      <c r="AN73" s="696"/>
      <c r="AO73" s="696"/>
      <c r="AP73" s="745"/>
      <c r="AQ73" s="696"/>
      <c r="AR73" s="696"/>
      <c r="AS73" s="696"/>
      <c r="AT73" s="745"/>
      <c r="AU73" s="696"/>
      <c r="AV73" s="696"/>
      <c r="AW73" s="696"/>
      <c r="AX73" s="745"/>
      <c r="AY73" s="745"/>
      <c r="AZ73" s="1469"/>
      <c r="BA73" s="1468"/>
      <c r="BB73" s="1468"/>
      <c r="BC73" s="1468"/>
      <c r="BD73" s="1468"/>
      <c r="BE73" s="1468"/>
      <c r="BF73" s="1468"/>
      <c r="BG73" s="1468"/>
      <c r="BH73" s="1468"/>
      <c r="BI73" s="1468"/>
      <c r="BJ73" s="1468"/>
      <c r="BK73" s="1468"/>
      <c r="BL73" s="1468"/>
      <c r="BM73" s="696"/>
      <c r="BN73" s="696"/>
      <c r="BO73" s="696"/>
      <c r="BP73" s="696"/>
      <c r="BQ73" s="696"/>
      <c r="BR73" s="696"/>
      <c r="BS73" s="696"/>
      <c r="BT73" s="696"/>
      <c r="BU73" s="399"/>
      <c r="BV73" s="399"/>
      <c r="BW73" s="399"/>
      <c r="BX73" s="399"/>
    </row>
    <row r="74" spans="1:76">
      <c r="A74" s="1379" t="s">
        <v>874</v>
      </c>
      <c r="B74" s="696"/>
      <c r="C74" s="8">
        <f t="shared" ref="C74:I74" si="201">C60/B60-1</f>
        <v>0.32995241578060286</v>
      </c>
      <c r="D74" s="8">
        <f t="shared" si="201"/>
        <v>0.20092676562868439</v>
      </c>
      <c r="E74" s="8">
        <f t="shared" si="201"/>
        <v>0.23878418710603677</v>
      </c>
      <c r="F74" s="8">
        <f t="shared" si="201"/>
        <v>0.23821254357325272</v>
      </c>
      <c r="G74" s="8">
        <f t="shared" si="201"/>
        <v>0.23208073655892836</v>
      </c>
      <c r="H74" s="8">
        <f t="shared" si="201"/>
        <v>0.18467941055575254</v>
      </c>
      <c r="I74" s="8">
        <f t="shared" si="201"/>
        <v>9.576362476858602E-2</v>
      </c>
      <c r="J74" s="8">
        <f>J60/I60-1</f>
        <v>-0.11569039320234031</v>
      </c>
      <c r="K74" s="8">
        <f t="shared" si="200"/>
        <v>0.20266666666666677</v>
      </c>
      <c r="L74" s="8">
        <f t="shared" si="200"/>
        <v>0.18799999999999994</v>
      </c>
      <c r="M74" s="8"/>
      <c r="N74" s="8">
        <f>N60/H60-1</f>
        <v>0.20646093727066317</v>
      </c>
      <c r="O74" s="8">
        <f>O60/G60-1</f>
        <v>0.13405740747400663</v>
      </c>
      <c r="S74" s="8"/>
      <c r="T74" s="1758"/>
      <c r="U74" s="1"/>
      <c r="V74" s="1"/>
      <c r="W74" s="1"/>
      <c r="X74" s="399"/>
      <c r="Y74" s="399"/>
      <c r="Z74" s="399"/>
      <c r="AA74" s="743"/>
      <c r="AB74" s="696"/>
      <c r="AC74" s="696"/>
      <c r="AD74" s="745"/>
      <c r="AE74" s="743"/>
      <c r="AF74" s="696"/>
      <c r="AG74" s="696"/>
      <c r="AH74" s="745"/>
      <c r="AI74" s="743"/>
      <c r="AJ74" s="696"/>
      <c r="AK74" s="696"/>
      <c r="AL74" s="696"/>
      <c r="AM74" s="743"/>
      <c r="AN74" s="696"/>
      <c r="AO74" s="696"/>
      <c r="AP74" s="745"/>
      <c r="AQ74" s="696"/>
      <c r="AR74" s="696"/>
      <c r="AS74" s="696"/>
      <c r="AT74" s="745"/>
      <c r="AU74" s="696"/>
      <c r="AV74" s="696"/>
      <c r="AW74" s="696"/>
      <c r="AX74" s="745"/>
      <c r="AY74" s="745"/>
      <c r="AZ74" s="1469"/>
      <c r="BA74" s="1468"/>
      <c r="BB74" s="1468"/>
      <c r="BC74" s="1468"/>
      <c r="BD74" s="1468"/>
      <c r="BE74" s="1468"/>
      <c r="BF74" s="1468"/>
      <c r="BG74" s="1468"/>
      <c r="BH74" s="1468"/>
      <c r="BI74" s="1468"/>
      <c r="BJ74" s="1468"/>
      <c r="BK74" s="1468"/>
      <c r="BL74" s="1468"/>
      <c r="BM74" s="696"/>
      <c r="BN74" s="696"/>
      <c r="BO74" s="696"/>
      <c r="BP74" s="696"/>
      <c r="BQ74" s="696"/>
      <c r="BR74" s="696"/>
      <c r="BS74" s="696"/>
      <c r="BT74" s="696"/>
      <c r="BU74" s="399"/>
      <c r="BV74" s="399"/>
      <c r="BW74" s="399"/>
      <c r="BX74" s="399"/>
    </row>
    <row r="75" spans="1:76">
      <c r="A75" s="1379" t="s">
        <v>875</v>
      </c>
      <c r="B75" s="696"/>
      <c r="C75" s="8">
        <f t="shared" ref="C75:I75" si="202">C61/B61-1</f>
        <v>0.30488494973015823</v>
      </c>
      <c r="D75" s="8">
        <f t="shared" si="202"/>
        <v>-0.39390855204355357</v>
      </c>
      <c r="E75" s="8">
        <f t="shared" si="202"/>
        <v>0.12248527693543299</v>
      </c>
      <c r="F75" s="8">
        <f t="shared" si="202"/>
        <v>0.10763138346593171</v>
      </c>
      <c r="G75" s="8">
        <f t="shared" si="202"/>
        <v>0.26572356851316115</v>
      </c>
      <c r="H75" s="8">
        <f t="shared" si="202"/>
        <v>0.1314973582975707</v>
      </c>
      <c r="I75" s="8">
        <f t="shared" si="202"/>
        <v>4.6573136746413057E-2</v>
      </c>
      <c r="J75" s="8">
        <f ca="1">J61/I61-1</f>
        <v>-0.149341612336228</v>
      </c>
      <c r="K75" s="8">
        <f t="shared" ca="1" si="200"/>
        <v>-1.492753168294958E-2</v>
      </c>
      <c r="L75" s="8">
        <f t="shared" ca="1" si="200"/>
        <v>1.2654379675087979E-2</v>
      </c>
      <c r="M75" s="8"/>
      <c r="N75" s="8">
        <f>N61/H61-1</f>
        <v>-1</v>
      </c>
      <c r="O75" s="8">
        <f>O61/G61-1</f>
        <v>-3.4993401900461074E-2</v>
      </c>
      <c r="S75" s="8"/>
      <c r="T75" s="1758"/>
      <c r="U75" s="1"/>
      <c r="V75" s="1"/>
      <c r="W75" s="1"/>
      <c r="X75" s="399"/>
      <c r="Y75" s="399"/>
      <c r="Z75" s="399"/>
      <c r="AA75" s="743"/>
      <c r="AB75" s="696"/>
      <c r="AC75" s="696"/>
      <c r="AD75" s="745"/>
      <c r="AE75" s="743"/>
      <c r="AF75" s="696"/>
      <c r="AG75" s="696"/>
      <c r="AH75" s="745"/>
      <c r="AI75" s="743"/>
      <c r="AJ75" s="696"/>
      <c r="AK75" s="696"/>
      <c r="AL75" s="696"/>
      <c r="AM75" s="743"/>
      <c r="AN75" s="696"/>
      <c r="AO75" s="696"/>
      <c r="AP75" s="745"/>
      <c r="AQ75" s="696"/>
      <c r="AR75" s="696"/>
      <c r="AS75" s="696"/>
      <c r="AT75" s="745"/>
      <c r="AU75" s="696"/>
      <c r="AV75" s="696"/>
      <c r="AW75" s="696"/>
      <c r="AX75" s="745"/>
      <c r="AY75" s="745"/>
      <c r="AZ75" s="1469"/>
      <c r="BA75" s="1468"/>
      <c r="BB75" s="1468"/>
      <c r="BC75" s="1468"/>
      <c r="BD75" s="1468"/>
      <c r="BE75" s="1468"/>
      <c r="BF75" s="1468"/>
      <c r="BG75" s="1468"/>
      <c r="BH75" s="1468"/>
      <c r="BI75" s="1468"/>
      <c r="BJ75" s="1468"/>
      <c r="BK75" s="1468"/>
      <c r="BL75" s="1468"/>
      <c r="BM75" s="696"/>
      <c r="BN75" s="696"/>
      <c r="BO75" s="696"/>
      <c r="BP75" s="696"/>
      <c r="BQ75" s="696"/>
      <c r="BR75" s="696"/>
      <c r="BS75" s="696"/>
      <c r="BT75" s="696"/>
      <c r="BU75" s="399"/>
      <c r="BV75" s="399"/>
      <c r="BW75" s="399"/>
      <c r="BX75" s="399"/>
    </row>
    <row r="76" spans="1:76">
      <c r="A76" s="1379" t="s">
        <v>876</v>
      </c>
      <c r="B76" s="696"/>
      <c r="C76" s="8">
        <f t="shared" ref="C76:I76" si="203">C62/B62-1</f>
        <v>-2.3087435758503694E-2</v>
      </c>
      <c r="D76" s="8">
        <f t="shared" si="203"/>
        <v>0.15243359850545435</v>
      </c>
      <c r="E76" s="8">
        <f t="shared" si="203"/>
        <v>0.11908812419981429</v>
      </c>
      <c r="F76" s="8">
        <f t="shared" si="203"/>
        <v>0.35368604383040769</v>
      </c>
      <c r="G76" s="8">
        <f t="shared" si="203"/>
        <v>0.10059987291845229</v>
      </c>
      <c r="H76" s="8">
        <f t="shared" si="203"/>
        <v>0.35656982476191579</v>
      </c>
      <c r="I76" s="8">
        <f t="shared" si="203"/>
        <v>0.25475285143638171</v>
      </c>
      <c r="J76" s="8">
        <f ca="1">J62/I62-1</f>
        <v>-0.27855637090868413</v>
      </c>
      <c r="K76" s="8">
        <f t="shared" ca="1" si="200"/>
        <v>0.15299368292663984</v>
      </c>
      <c r="L76" s="8">
        <f t="shared" ca="1" si="200"/>
        <v>0.16061439708225311</v>
      </c>
      <c r="M76" s="8"/>
      <c r="N76" s="8">
        <f ca="1">N62/H62-1</f>
        <v>-2.6848541293064687E-2</v>
      </c>
      <c r="O76" s="8">
        <f>O62/G62-1</f>
        <v>8.8072577202014557E-2</v>
      </c>
      <c r="S76" s="8"/>
      <c r="T76" s="1758"/>
      <c r="U76" s="1"/>
      <c r="V76" s="1"/>
      <c r="W76" s="1"/>
      <c r="X76" s="399"/>
      <c r="Y76" s="399"/>
      <c r="Z76" s="399"/>
      <c r="AA76" s="743"/>
      <c r="AB76" s="696"/>
      <c r="AC76" s="696"/>
      <c r="AD76" s="745"/>
      <c r="AE76" s="743"/>
      <c r="AF76" s="696"/>
      <c r="AG76" s="696"/>
      <c r="AH76" s="745"/>
      <c r="AI76" s="743"/>
      <c r="AJ76" s="696"/>
      <c r="AK76" s="696"/>
      <c r="AL76" s="696"/>
      <c r="AM76" s="743"/>
      <c r="AN76" s="696"/>
      <c r="AO76" s="696"/>
      <c r="AP76" s="745"/>
      <c r="AQ76" s="696"/>
      <c r="AR76" s="696"/>
      <c r="AS76" s="696"/>
      <c r="AT76" s="745"/>
      <c r="AU76" s="696"/>
      <c r="AV76" s="696"/>
      <c r="AW76" s="696"/>
      <c r="AX76" s="745"/>
      <c r="AY76" s="745"/>
      <c r="AZ76" s="1469"/>
      <c r="BA76" s="1468"/>
      <c r="BB76" s="1468"/>
      <c r="BC76" s="1468"/>
      <c r="BD76" s="1468"/>
      <c r="BE76" s="1468"/>
      <c r="BF76" s="1468"/>
      <c r="BG76" s="1468"/>
      <c r="BH76" s="1468"/>
      <c r="BI76" s="1468"/>
      <c r="BJ76" s="1468"/>
      <c r="BK76" s="1468"/>
      <c r="BL76" s="1468"/>
      <c r="BM76" s="696"/>
      <c r="BN76" s="696"/>
      <c r="BO76" s="696"/>
      <c r="BP76" s="696"/>
      <c r="BQ76" s="696"/>
      <c r="BR76" s="696"/>
      <c r="BS76" s="696"/>
      <c r="BT76" s="696"/>
      <c r="BU76" s="399"/>
      <c r="BV76" s="399"/>
      <c r="BW76" s="399"/>
      <c r="BX76" s="399"/>
    </row>
    <row r="77" spans="1:76">
      <c r="A77" s="1379" t="s">
        <v>877</v>
      </c>
      <c r="B77" s="696"/>
      <c r="C77" s="8">
        <f t="shared" ref="C77:I77" si="204">C63/B63-1</f>
        <v>-5.4667652872581129E-2</v>
      </c>
      <c r="D77" s="8">
        <f t="shared" si="204"/>
        <v>9.1903905890063031E-2</v>
      </c>
      <c r="E77" s="8">
        <f t="shared" si="204"/>
        <v>-2.2459243062385559E-2</v>
      </c>
      <c r="F77" s="8">
        <f t="shared" si="204"/>
        <v>0.19859689320567964</v>
      </c>
      <c r="G77" s="8">
        <f t="shared" si="204"/>
        <v>0.90390882882209711</v>
      </c>
      <c r="H77" s="8">
        <f t="shared" si="204"/>
        <v>-6.064317651796991E-2</v>
      </c>
      <c r="I77" s="8">
        <f t="shared" si="204"/>
        <v>-0.13114634332430364</v>
      </c>
      <c r="J77" s="8">
        <f ca="1">J63/I63-1</f>
        <v>0.45124178200314469</v>
      </c>
      <c r="K77" s="8">
        <f t="shared" ca="1" si="200"/>
        <v>0.14390351294034942</v>
      </c>
      <c r="L77" s="8">
        <f t="shared" ca="1" si="200"/>
        <v>0.14965845197466465</v>
      </c>
      <c r="M77" s="8"/>
      <c r="N77" s="8">
        <f ca="1">N63/H63-1</f>
        <v>5.9082272670932356E-2</v>
      </c>
      <c r="O77" s="8">
        <f>O63/G63-1</f>
        <v>1.3775498571819478E-2</v>
      </c>
      <c r="S77" s="8"/>
      <c r="T77" s="1758"/>
      <c r="U77" s="1"/>
      <c r="V77" s="1"/>
      <c r="W77" s="1"/>
      <c r="X77" s="399"/>
      <c r="Y77" s="399"/>
      <c r="Z77" s="399"/>
      <c r="AA77" s="743"/>
      <c r="AB77" s="696"/>
      <c r="AC77" s="696"/>
      <c r="AD77" s="745"/>
      <c r="AE77" s="743"/>
      <c r="AF77" s="696"/>
      <c r="AG77" s="696"/>
      <c r="AH77" s="745"/>
      <c r="AI77" s="743"/>
      <c r="AJ77" s="696"/>
      <c r="AK77" s="696"/>
      <c r="AL77" s="696"/>
      <c r="AM77" s="743"/>
      <c r="AN77" s="696"/>
      <c r="AO77" s="696"/>
      <c r="AP77" s="745"/>
      <c r="AQ77" s="696"/>
      <c r="AR77" s="696"/>
      <c r="AS77" s="696"/>
      <c r="AT77" s="745"/>
      <c r="AU77" s="696"/>
      <c r="AV77" s="696"/>
      <c r="AW77" s="696"/>
      <c r="AX77" s="745"/>
      <c r="AY77" s="745"/>
      <c r="AZ77" s="1469"/>
      <c r="BA77" s="1468"/>
      <c r="BB77" s="1468"/>
      <c r="BC77" s="1468"/>
      <c r="BD77" s="1468"/>
      <c r="BE77" s="1468"/>
      <c r="BF77" s="1468"/>
      <c r="BG77" s="1468"/>
      <c r="BH77" s="1468"/>
      <c r="BI77" s="1468"/>
      <c r="BJ77" s="1468"/>
      <c r="BK77" s="1468"/>
      <c r="BL77" s="1468"/>
      <c r="BM77" s="696"/>
      <c r="BN77" s="696"/>
      <c r="BO77" s="696"/>
      <c r="BP77" s="696"/>
      <c r="BQ77" s="696"/>
      <c r="BR77" s="696"/>
      <c r="BS77" s="696"/>
      <c r="BT77" s="696"/>
      <c r="BU77" s="399"/>
      <c r="BV77" s="399"/>
      <c r="BW77" s="399"/>
      <c r="BX77" s="399"/>
    </row>
    <row r="78" spans="1:76">
      <c r="A78" s="735"/>
      <c r="B78" s="696"/>
      <c r="C78" s="696"/>
      <c r="D78" s="696"/>
      <c r="E78" s="696"/>
      <c r="F78" s="696"/>
      <c r="G78" s="696"/>
      <c r="H78" s="696"/>
      <c r="I78" s="696"/>
      <c r="J78" s="696"/>
      <c r="K78" s="696"/>
      <c r="L78" s="696"/>
      <c r="M78" s="696"/>
      <c r="N78" s="696"/>
      <c r="O78" s="696"/>
      <c r="S78" s="696"/>
      <c r="T78" s="1758"/>
      <c r="U78" s="1"/>
      <c r="V78" s="1"/>
      <c r="W78" s="1"/>
      <c r="X78" s="399"/>
      <c r="Y78" s="399"/>
      <c r="Z78" s="399"/>
      <c r="AA78" s="743"/>
      <c r="AB78" s="696"/>
      <c r="AC78" s="696"/>
      <c r="AD78" s="745"/>
      <c r="AE78" s="743"/>
      <c r="AF78" s="696"/>
      <c r="AG78" s="696"/>
      <c r="AH78" s="745"/>
      <c r="AI78" s="743"/>
      <c r="AJ78" s="696"/>
      <c r="AK78" s="696"/>
      <c r="AL78" s="696"/>
      <c r="AM78" s="743"/>
      <c r="AN78" s="696"/>
      <c r="AO78" s="696"/>
      <c r="AP78" s="745"/>
      <c r="AQ78" s="696"/>
      <c r="AR78" s="696"/>
      <c r="AS78" s="696"/>
      <c r="AT78" s="745"/>
      <c r="AU78" s="696"/>
      <c r="AV78" s="696"/>
      <c r="AW78" s="696"/>
      <c r="AX78" s="745"/>
      <c r="AY78" s="745"/>
      <c r="AZ78" s="1469"/>
      <c r="BA78" s="1468"/>
      <c r="BB78" s="1468"/>
      <c r="BC78" s="1468"/>
      <c r="BD78" s="1468"/>
      <c r="BE78" s="1468"/>
      <c r="BF78" s="1468"/>
      <c r="BG78" s="1468"/>
      <c r="BH78" s="1468"/>
      <c r="BI78" s="1468"/>
      <c r="BJ78" s="1468"/>
      <c r="BK78" s="1468"/>
      <c r="BL78" s="1468"/>
      <c r="BM78" s="696"/>
      <c r="BN78" s="696"/>
      <c r="BO78" s="696"/>
      <c r="BP78" s="696"/>
      <c r="BQ78" s="696"/>
      <c r="BR78" s="696"/>
      <c r="BS78" s="696"/>
      <c r="BT78" s="696"/>
      <c r="BU78" s="399"/>
      <c r="BV78" s="399"/>
      <c r="BW78" s="399"/>
      <c r="BX78" s="399"/>
    </row>
    <row r="79" spans="1:76">
      <c r="A79" s="1108" t="s">
        <v>148</v>
      </c>
      <c r="B79" s="1109">
        <f t="shared" ref="B79:G80" si="205">B7</f>
        <v>8722.8789854890019</v>
      </c>
      <c r="C79" s="1109">
        <f t="shared" si="205"/>
        <v>10712.049623121999</v>
      </c>
      <c r="D79" s="1109">
        <f t="shared" si="205"/>
        <v>11813.657474726999</v>
      </c>
      <c r="E79" s="1109">
        <f t="shared" si="205"/>
        <v>13631.964236778</v>
      </c>
      <c r="F79" s="1109">
        <f t="shared" si="205"/>
        <v>17167.278641198001</v>
      </c>
      <c r="G79" s="1109">
        <f t="shared" si="205"/>
        <v>20319.553444681998</v>
      </c>
      <c r="H79" s="1109">
        <f t="shared" ref="H79:I79" si="206">H7</f>
        <v>23698.340000000004</v>
      </c>
      <c r="I79" s="1109">
        <f t="shared" si="206"/>
        <v>25990.270000000004</v>
      </c>
      <c r="J79" s="1109">
        <f ca="1">J10-J57</f>
        <v>41574.029727791734</v>
      </c>
      <c r="K79" s="1109">
        <f ca="1">K10-K57</f>
        <v>46636.949741814293</v>
      </c>
      <c r="L79" s="1109">
        <f ca="1">L10-L57</f>
        <v>52861.3322734264</v>
      </c>
      <c r="M79" s="1109"/>
      <c r="N79" s="1109">
        <f ca="1">N10-N57</f>
        <v>24854.645049999999</v>
      </c>
      <c r="O79" s="1109">
        <f>O10-O57</f>
        <v>19594.473904433347</v>
      </c>
      <c r="S79" s="698"/>
      <c r="T79" s="1758"/>
      <c r="U79" s="1"/>
      <c r="V79" s="1"/>
      <c r="W79" s="1"/>
      <c r="X79" s="399"/>
      <c r="Y79" s="399"/>
      <c r="Z79" s="399"/>
      <c r="AA79" s="743"/>
      <c r="AB79" s="696"/>
      <c r="AC79" s="696"/>
      <c r="AD79" s="745"/>
      <c r="AE79" s="743"/>
      <c r="AF79" s="696"/>
      <c r="AG79" s="696"/>
      <c r="AH79" s="745"/>
      <c r="AI79" s="743"/>
      <c r="AJ79" s="696"/>
      <c r="AK79" s="696"/>
      <c r="AL79" s="696"/>
      <c r="AM79" s="743"/>
      <c r="AN79" s="696"/>
      <c r="AO79" s="696"/>
      <c r="AP79" s="745"/>
      <c r="AQ79" s="696"/>
      <c r="AR79" s="696"/>
      <c r="AS79" s="696"/>
      <c r="AT79" s="745"/>
      <c r="AU79" s="696"/>
      <c r="AV79" s="696"/>
      <c r="AW79" s="696"/>
      <c r="AX79" s="745"/>
      <c r="AY79" s="745"/>
      <c r="AZ79" s="1469"/>
      <c r="BA79" s="1468"/>
      <c r="BB79" s="1468"/>
      <c r="BC79" s="1468"/>
      <c r="BD79" s="1468"/>
      <c r="BE79" s="1468"/>
      <c r="BF79" s="1468"/>
      <c r="BG79" s="1468"/>
      <c r="BH79" s="1468"/>
      <c r="BI79" s="1468"/>
      <c r="BJ79" s="1468"/>
      <c r="BK79" s="1468"/>
      <c r="BL79" s="1468"/>
      <c r="BM79" s="696"/>
      <c r="BN79" s="696"/>
      <c r="BO79" s="696"/>
      <c r="BP79" s="696"/>
      <c r="BQ79" s="696"/>
      <c r="BR79" s="696"/>
      <c r="BS79" s="696"/>
      <c r="BT79" s="696"/>
      <c r="BU79" s="399"/>
      <c r="BV79" s="399"/>
      <c r="BW79" s="399"/>
      <c r="BX79" s="399"/>
    </row>
    <row r="80" spans="1:76">
      <c r="A80" s="819" t="s">
        <v>860</v>
      </c>
      <c r="B80" s="820">
        <f t="shared" si="205"/>
        <v>0.37576690872016782</v>
      </c>
      <c r="C80" s="820">
        <f t="shared" si="205"/>
        <v>0.38647995899516985</v>
      </c>
      <c r="D80" s="820">
        <f t="shared" si="205"/>
        <v>0.39602745072443657</v>
      </c>
      <c r="E80" s="820">
        <f t="shared" si="205"/>
        <v>0.38230540607439883</v>
      </c>
      <c r="F80" s="830">
        <f t="shared" si="205"/>
        <v>0.39008095623448957</v>
      </c>
      <c r="G80" s="830">
        <f t="shared" si="205"/>
        <v>0.38617187544864356</v>
      </c>
      <c r="H80" s="830">
        <f t="shared" ref="H80:I80" si="207">H8</f>
        <v>0.37706915280310094</v>
      </c>
      <c r="I80" s="830">
        <f t="shared" si="207"/>
        <v>0.51358252596588183</v>
      </c>
      <c r="J80" s="830">
        <f ca="1">J8</f>
        <v>0.3466012947437157</v>
      </c>
      <c r="K80" s="830">
        <f ca="1">K8</f>
        <v>0.33780576720202882</v>
      </c>
      <c r="L80" s="830">
        <f ca="1">L8</f>
        <v>0.33418917147781407</v>
      </c>
      <c r="M80" s="830"/>
      <c r="N80" s="830">
        <f ca="1">N8</f>
        <v>0.37483499484151517</v>
      </c>
      <c r="O80" s="830">
        <f>O8</f>
        <v>0.35150436794576811</v>
      </c>
      <c r="S80" s="830"/>
      <c r="T80" s="811"/>
      <c r="U80" s="1"/>
      <c r="V80" s="1"/>
      <c r="W80" s="1"/>
      <c r="X80" s="399"/>
      <c r="Y80" s="399"/>
      <c r="Z80" s="399"/>
      <c r="AA80" s="743"/>
      <c r="AB80" s="696"/>
      <c r="AC80" s="696"/>
      <c r="AD80" s="745"/>
      <c r="AE80" s="743"/>
      <c r="AF80" s="696"/>
      <c r="AG80" s="696"/>
      <c r="AH80" s="745"/>
      <c r="AI80" s="743"/>
      <c r="AJ80" s="696"/>
      <c r="AK80" s="696"/>
      <c r="AL80" s="696"/>
      <c r="AM80" s="743"/>
      <c r="AN80" s="696"/>
      <c r="AO80" s="696"/>
      <c r="AP80" s="745"/>
      <c r="AQ80" s="696"/>
      <c r="AR80" s="696"/>
      <c r="AS80" s="696"/>
      <c r="AT80" s="745"/>
      <c r="AU80" s="696"/>
      <c r="AV80" s="696"/>
      <c r="AW80" s="696"/>
      <c r="AX80" s="745"/>
      <c r="AY80" s="745"/>
      <c r="AZ80" s="1469"/>
      <c r="BA80" s="1468"/>
      <c r="BB80" s="1468"/>
      <c r="BC80" s="1468"/>
      <c r="BD80" s="1468"/>
      <c r="BE80" s="1468"/>
      <c r="BF80" s="1468"/>
      <c r="BG80" s="1468"/>
      <c r="BH80" s="1468"/>
      <c r="BI80" s="1468"/>
      <c r="BJ80" s="1468"/>
      <c r="BK80" s="1468"/>
      <c r="BL80" s="1468"/>
      <c r="BM80" s="696"/>
      <c r="BN80" s="696"/>
      <c r="BO80" s="696"/>
      <c r="BP80" s="696"/>
      <c r="BQ80" s="696"/>
      <c r="BR80" s="696"/>
      <c r="BS80" s="696"/>
      <c r="BT80" s="696"/>
      <c r="BU80" s="399"/>
      <c r="BV80" s="399"/>
      <c r="BW80" s="399"/>
      <c r="BX80" s="399"/>
    </row>
    <row r="81" spans="1:76">
      <c r="A81" s="735"/>
      <c r="B81" s="696"/>
      <c r="C81" s="696"/>
      <c r="D81" s="696"/>
      <c r="E81" s="696"/>
      <c r="F81" s="696"/>
      <c r="G81" s="696"/>
      <c r="H81" s="696"/>
      <c r="I81" s="696"/>
      <c r="J81" s="696"/>
      <c r="K81" s="696"/>
      <c r="L81" s="696"/>
      <c r="M81" s="696"/>
      <c r="N81" s="696"/>
      <c r="O81" s="696"/>
      <c r="S81" s="696"/>
      <c r="T81" s="1758"/>
      <c r="U81" s="1"/>
      <c r="V81" s="1"/>
      <c r="W81" s="1"/>
      <c r="X81" s="399"/>
      <c r="Y81" s="399"/>
      <c r="Z81" s="399"/>
      <c r="AA81" s="743"/>
      <c r="AB81" s="696"/>
      <c r="AC81" s="696"/>
      <c r="AD81" s="745"/>
      <c r="AE81" s="743"/>
      <c r="AF81" s="696"/>
      <c r="AG81" s="696"/>
      <c r="AH81" s="745"/>
      <c r="AI81" s="743"/>
      <c r="AJ81" s="696"/>
      <c r="AK81" s="696"/>
      <c r="AL81" s="696"/>
      <c r="AM81" s="743"/>
      <c r="AN81" s="696"/>
      <c r="AO81" s="696"/>
      <c r="AP81" s="745"/>
      <c r="AQ81" s="696"/>
      <c r="AR81" s="696"/>
      <c r="AS81" s="696"/>
      <c r="AT81" s="745"/>
      <c r="AU81" s="696"/>
      <c r="AV81" s="696"/>
      <c r="AW81" s="696"/>
      <c r="AX81" s="745"/>
      <c r="AY81" s="745"/>
      <c r="AZ81" s="1469"/>
      <c r="BA81" s="1468"/>
      <c r="BB81" s="1468"/>
      <c r="BC81" s="1468"/>
      <c r="BD81" s="1468"/>
      <c r="BE81" s="1468"/>
      <c r="BF81" s="1468"/>
      <c r="BG81" s="1468"/>
      <c r="BH81" s="1468"/>
      <c r="BI81" s="1468"/>
      <c r="BJ81" s="1468"/>
      <c r="BK81" s="1468"/>
      <c r="BL81" s="1468"/>
      <c r="BM81" s="696"/>
      <c r="BN81" s="696"/>
      <c r="BO81" s="696"/>
      <c r="BP81" s="696"/>
      <c r="BQ81" s="696"/>
      <c r="BR81" s="696"/>
      <c r="BS81" s="696"/>
      <c r="BT81" s="696"/>
      <c r="BU81" s="399"/>
      <c r="BV81" s="399"/>
      <c r="BW81" s="399"/>
      <c r="BX81" s="399"/>
    </row>
    <row r="82" spans="1:76">
      <c r="A82" s="811" t="s">
        <v>858</v>
      </c>
      <c r="B82" s="1449">
        <f t="shared" ref="B82:G82" si="208">B37-B57</f>
        <v>5686.1495350900004</v>
      </c>
      <c r="C82" s="1449">
        <f t="shared" si="208"/>
        <v>6709.7465027200014</v>
      </c>
      <c r="D82" s="1449">
        <f t="shared" si="208"/>
        <v>7231.6517312939977</v>
      </c>
      <c r="E82" s="1449">
        <f t="shared" si="208"/>
        <v>8300.6839930589995</v>
      </c>
      <c r="F82" s="1449">
        <f t="shared" si="208"/>
        <v>10363.918226423</v>
      </c>
      <c r="G82" s="1449">
        <f t="shared" si="208"/>
        <v>11821.460788191998</v>
      </c>
      <c r="H82" s="1449">
        <f t="shared" ref="H82:I82" si="209">H37-H57</f>
        <v>13172.330000000002</v>
      </c>
      <c r="I82" s="1449">
        <f t="shared" si="209"/>
        <v>18290.083040104248</v>
      </c>
      <c r="J82" s="696"/>
      <c r="K82" s="696"/>
      <c r="L82" s="696"/>
      <c r="M82" s="696"/>
      <c r="N82" s="696"/>
      <c r="O82" s="696"/>
      <c r="S82" s="696"/>
      <c r="T82" s="1758"/>
      <c r="U82" s="1"/>
      <c r="V82" s="1"/>
      <c r="W82" s="1"/>
      <c r="X82" s="399"/>
      <c r="Y82" s="399"/>
      <c r="Z82" s="399"/>
      <c r="AA82" s="743"/>
      <c r="AB82" s="696"/>
      <c r="AC82" s="696"/>
      <c r="AD82" s="745"/>
      <c r="AE82" s="743"/>
      <c r="AF82" s="696"/>
      <c r="AG82" s="696"/>
      <c r="AH82" s="745"/>
      <c r="AI82" s="743"/>
      <c r="AJ82" s="696"/>
      <c r="AK82" s="696"/>
      <c r="AL82" s="696"/>
      <c r="AM82" s="743"/>
      <c r="AN82" s="696"/>
      <c r="AO82" s="696"/>
      <c r="AP82" s="745"/>
      <c r="AQ82" s="696"/>
      <c r="AR82" s="696"/>
      <c r="AS82" s="696"/>
      <c r="AT82" s="745"/>
      <c r="AU82" s="696"/>
      <c r="AV82" s="696"/>
      <c r="AW82" s="696"/>
      <c r="AX82" s="745"/>
      <c r="AY82" s="745"/>
      <c r="AZ82" s="1469"/>
      <c r="BA82" s="1468"/>
      <c r="BB82" s="1468"/>
      <c r="BC82" s="1468"/>
      <c r="BD82" s="1468"/>
      <c r="BE82" s="1468"/>
      <c r="BF82" s="1468"/>
      <c r="BG82" s="1468"/>
      <c r="BH82" s="1468"/>
      <c r="BI82" s="1468"/>
      <c r="BJ82" s="1468"/>
      <c r="BK82" s="1468"/>
      <c r="BL82" s="1468"/>
      <c r="BM82" s="696"/>
      <c r="BN82" s="696"/>
      <c r="BO82" s="696"/>
      <c r="BP82" s="696"/>
      <c r="BQ82" s="696"/>
      <c r="BR82" s="696"/>
      <c r="BS82" s="696"/>
      <c r="BT82" s="696"/>
      <c r="BU82" s="399"/>
      <c r="BV82" s="399"/>
      <c r="BW82" s="399"/>
      <c r="BX82" s="399"/>
    </row>
    <row r="83" spans="1:76">
      <c r="A83" s="1443" t="s">
        <v>16</v>
      </c>
      <c r="B83" s="696">
        <f>PL!I17</f>
        <v>2047.8335775400001</v>
      </c>
      <c r="C83" s="696">
        <f>PL!J17</f>
        <v>2345.9576465069999</v>
      </c>
      <c r="D83" s="696">
        <f>PL!K17</f>
        <v>2713.561338553</v>
      </c>
      <c r="E83" s="696">
        <f>PL!L17</f>
        <v>3604.6107849810001</v>
      </c>
      <c r="F83" s="696">
        <f>PL!M17</f>
        <v>4526.4406918149998</v>
      </c>
      <c r="G83" s="696">
        <f>PL!N17</f>
        <v>5242.5519069600005</v>
      </c>
      <c r="H83" s="696">
        <f>PL!O17</f>
        <v>6115.96</v>
      </c>
      <c r="I83" s="696">
        <f>PL!P17</f>
        <v>7580.84</v>
      </c>
      <c r="J83" s="834"/>
      <c r="K83" s="834"/>
      <c r="L83" s="834"/>
      <c r="M83" s="834"/>
      <c r="N83" s="834"/>
      <c r="O83" s="834"/>
      <c r="S83" s="696"/>
      <c r="T83" s="1758"/>
      <c r="U83" s="1"/>
      <c r="V83" s="1"/>
      <c r="W83" s="1"/>
      <c r="X83" s="399"/>
      <c r="Y83" s="399"/>
      <c r="Z83" s="399"/>
      <c r="AA83" s="743"/>
      <c r="AB83" s="696"/>
      <c r="AC83" s="696"/>
      <c r="AD83" s="745"/>
      <c r="AE83" s="743"/>
      <c r="AF83" s="696"/>
      <c r="AG83" s="696"/>
      <c r="AH83" s="745"/>
      <c r="AI83" s="743"/>
      <c r="AJ83" s="696"/>
      <c r="AK83" s="696"/>
      <c r="AL83" s="696"/>
      <c r="AM83" s="743"/>
      <c r="AN83" s="696"/>
      <c r="AO83" s="696"/>
      <c r="AP83" s="745"/>
      <c r="AQ83" s="696"/>
      <c r="AR83" s="696"/>
      <c r="AS83" s="696"/>
      <c r="AT83" s="745"/>
      <c r="AU83" s="696"/>
      <c r="AV83" s="696"/>
      <c r="AW83" s="696"/>
      <c r="AX83" s="745"/>
      <c r="AY83" s="745"/>
      <c r="AZ83" s="1469"/>
      <c r="BA83" s="1468"/>
      <c r="BB83" s="1468"/>
      <c r="BC83" s="1468"/>
      <c r="BD83" s="1468"/>
      <c r="BE83" s="1468"/>
      <c r="BF83" s="1468"/>
      <c r="BG83" s="1468"/>
      <c r="BH83" s="1468"/>
      <c r="BI83" s="1468"/>
      <c r="BJ83" s="1468"/>
      <c r="BK83" s="1468"/>
      <c r="BL83" s="1468"/>
      <c r="BM83" s="696"/>
      <c r="BN83" s="696"/>
      <c r="BO83" s="696"/>
      <c r="BP83" s="696"/>
      <c r="BQ83" s="696"/>
      <c r="BR83" s="696"/>
      <c r="BS83" s="696"/>
      <c r="BT83" s="696"/>
      <c r="BU83" s="399"/>
      <c r="BV83" s="399"/>
      <c r="BW83" s="399"/>
      <c r="BX83" s="399"/>
    </row>
    <row r="84" spans="1:76">
      <c r="A84" s="1443" t="s">
        <v>17</v>
      </c>
      <c r="B84" s="696">
        <f>PL!I20</f>
        <v>3553.288111032</v>
      </c>
      <c r="C84" s="696">
        <f>PL!J20</f>
        <v>4219.2547706519999</v>
      </c>
      <c r="D84" s="696">
        <f>PL!K20</f>
        <v>4495.3664575860003</v>
      </c>
      <c r="E84" s="696">
        <f>PL!L20</f>
        <v>4612.3259355740001</v>
      </c>
      <c r="F84" s="696">
        <f>PL!M20</f>
        <v>5846.2806535139998</v>
      </c>
      <c r="G84" s="696">
        <f>PL!N20</f>
        <v>6625.3736383590003</v>
      </c>
      <c r="H84" s="696">
        <f>PL!O20</f>
        <v>7074.04</v>
      </c>
      <c r="I84" s="696">
        <f>PL!P20</f>
        <v>7330.79</v>
      </c>
      <c r="J84" s="696"/>
      <c r="K84" s="696"/>
      <c r="L84" s="696"/>
      <c r="M84" s="696"/>
      <c r="N84" s="696"/>
      <c r="O84" s="696"/>
      <c r="S84" s="696"/>
      <c r="T84" s="1758"/>
      <c r="U84" s="1"/>
      <c r="V84" s="1"/>
      <c r="W84" s="1"/>
      <c r="X84" s="399"/>
      <c r="Y84" s="399"/>
      <c r="Z84" s="399"/>
      <c r="AA84" s="743"/>
      <c r="AB84" s="696"/>
      <c r="AC84" s="696"/>
      <c r="AD84" s="745"/>
      <c r="AE84" s="743"/>
      <c r="AF84" s="696"/>
      <c r="AG84" s="696"/>
      <c r="AH84" s="745"/>
      <c r="AI84" s="743"/>
      <c r="AJ84" s="696"/>
      <c r="AK84" s="696"/>
      <c r="AL84" s="696"/>
      <c r="AM84" s="743"/>
      <c r="AN84" s="696"/>
      <c r="AO84" s="696"/>
      <c r="AP84" s="745"/>
      <c r="AQ84" s="696"/>
      <c r="AR84" s="696"/>
      <c r="AS84" s="696"/>
      <c r="AT84" s="745"/>
      <c r="AU84" s="696"/>
      <c r="AV84" s="696"/>
      <c r="AW84" s="696"/>
      <c r="AX84" s="745"/>
      <c r="AY84" s="745"/>
      <c r="AZ84" s="1469"/>
      <c r="BA84" s="1468"/>
      <c r="BB84" s="1468"/>
      <c r="BC84" s="1468"/>
      <c r="BD84" s="1468"/>
      <c r="BE84" s="1468"/>
      <c r="BF84" s="1468"/>
      <c r="BG84" s="1468"/>
      <c r="BH84" s="1468"/>
      <c r="BI84" s="1468"/>
      <c r="BJ84" s="1468"/>
      <c r="BK84" s="1468"/>
      <c r="BL84" s="1468"/>
      <c r="BM84" s="696"/>
      <c r="BN84" s="696"/>
      <c r="BO84" s="696"/>
      <c r="BP84" s="696"/>
      <c r="BQ84" s="696"/>
      <c r="BR84" s="696"/>
      <c r="BS84" s="696"/>
      <c r="BT84" s="696"/>
      <c r="BU84" s="399"/>
      <c r="BV84" s="399"/>
      <c r="BW84" s="399"/>
      <c r="BX84" s="399"/>
    </row>
    <row r="85" spans="1:76">
      <c r="A85" s="1111"/>
      <c r="B85" s="834"/>
      <c r="C85" s="834"/>
      <c r="D85" s="834"/>
      <c r="E85" s="834"/>
      <c r="F85" s="2347"/>
      <c r="G85" s="2347"/>
      <c r="H85" s="2347"/>
      <c r="I85" s="2347"/>
      <c r="J85" s="834"/>
      <c r="K85" s="834"/>
      <c r="L85" s="834"/>
      <c r="M85" s="834"/>
      <c r="N85" s="834"/>
      <c r="O85" s="834"/>
      <c r="S85" s="696"/>
      <c r="T85" s="1758"/>
      <c r="U85" s="1"/>
      <c r="V85" s="1"/>
      <c r="W85" s="1"/>
      <c r="X85" s="399"/>
      <c r="Y85" s="399"/>
      <c r="Z85" s="399"/>
      <c r="AA85" s="743"/>
      <c r="AB85" s="696"/>
      <c r="AC85" s="696"/>
      <c r="AD85" s="745"/>
      <c r="AE85" s="743"/>
      <c r="AF85" s="696"/>
      <c r="AG85" s="696"/>
      <c r="AH85" s="745"/>
      <c r="AI85" s="743"/>
      <c r="AJ85" s="696"/>
      <c r="AK85" s="696"/>
      <c r="AL85" s="696"/>
      <c r="AM85" s="743"/>
      <c r="AN85" s="696"/>
      <c r="AO85" s="696"/>
      <c r="AP85" s="745"/>
      <c r="AQ85" s="696"/>
      <c r="AR85" s="696"/>
      <c r="AS85" s="696"/>
      <c r="AT85" s="745"/>
      <c r="AU85" s="696"/>
      <c r="AV85" s="696"/>
      <c r="AW85" s="696"/>
      <c r="AX85" s="745"/>
      <c r="AY85" s="745"/>
      <c r="AZ85" s="1469"/>
      <c r="BA85" s="1468"/>
      <c r="BB85" s="1468"/>
      <c r="BC85" s="1468"/>
      <c r="BD85" s="1468"/>
      <c r="BE85" s="1468"/>
      <c r="BF85" s="1468"/>
      <c r="BG85" s="1468"/>
      <c r="BH85" s="1468"/>
      <c r="BI85" s="1468"/>
      <c r="BJ85" s="1468"/>
      <c r="BK85" s="1468"/>
      <c r="BL85" s="1468"/>
      <c r="BM85" s="696"/>
      <c r="BN85" s="696"/>
      <c r="BO85" s="696"/>
      <c r="BP85" s="696"/>
      <c r="BQ85" s="696"/>
      <c r="BR85" s="696"/>
      <c r="BS85" s="696"/>
      <c r="BT85" s="696"/>
      <c r="BU85" s="399"/>
      <c r="BV85" s="399"/>
      <c r="BW85" s="399"/>
      <c r="BX85" s="399"/>
    </row>
    <row r="86" spans="1:76">
      <c r="S86" s="834"/>
      <c r="T86" s="811"/>
      <c r="U86" s="1"/>
      <c r="V86" s="1"/>
      <c r="W86" s="1"/>
      <c r="X86" s="399"/>
      <c r="Y86" s="399"/>
      <c r="Z86" s="399"/>
      <c r="AA86" s="743"/>
      <c r="AB86" s="696"/>
      <c r="AC86" s="696"/>
      <c r="AD86" s="745"/>
      <c r="AE86" s="743"/>
      <c r="AF86" s="696"/>
      <c r="AG86" s="696"/>
      <c r="AH86" s="745"/>
      <c r="AI86" s="743"/>
      <c r="AJ86" s="696"/>
      <c r="AK86" s="696"/>
      <c r="AL86" s="696"/>
      <c r="AM86" s="743"/>
      <c r="AN86" s="696"/>
      <c r="AO86" s="696"/>
      <c r="AP86" s="745"/>
      <c r="AQ86" s="696"/>
      <c r="AR86" s="696"/>
      <c r="AS86" s="696"/>
      <c r="AT86" s="745"/>
      <c r="AU86" s="696"/>
      <c r="AV86" s="696"/>
      <c r="AW86" s="696"/>
      <c r="AX86" s="745"/>
      <c r="AY86" s="745"/>
      <c r="AZ86" s="1469"/>
      <c r="BA86" s="1468"/>
      <c r="BB86" s="1468"/>
      <c r="BC86" s="1468"/>
      <c r="BD86" s="1468"/>
      <c r="BE86" s="1468"/>
      <c r="BF86" s="1468"/>
      <c r="BG86" s="1468"/>
      <c r="BH86" s="1468"/>
      <c r="BI86" s="1468"/>
      <c r="BJ86" s="1468"/>
      <c r="BK86" s="1468"/>
      <c r="BL86" s="1468"/>
      <c r="BM86" s="696"/>
      <c r="BN86" s="696"/>
      <c r="BO86" s="696"/>
      <c r="BP86" s="696"/>
      <c r="BQ86" s="696"/>
      <c r="BR86" s="696"/>
      <c r="BS86" s="696"/>
      <c r="BT86" s="696"/>
      <c r="BU86" s="399"/>
      <c r="BV86" s="399"/>
      <c r="BW86" s="399"/>
      <c r="BX86" s="399"/>
    </row>
    <row r="87" spans="1:76">
      <c r="A87" s="1111"/>
      <c r="B87" s="834"/>
      <c r="C87" s="834"/>
      <c r="D87" s="834"/>
      <c r="E87" s="834"/>
      <c r="F87" s="834"/>
      <c r="G87" s="834"/>
      <c r="H87" s="834"/>
      <c r="I87" s="834"/>
      <c r="J87" s="834"/>
      <c r="K87" s="834"/>
      <c r="L87" s="834"/>
      <c r="M87" s="834"/>
      <c r="N87" s="834"/>
      <c r="O87" s="834"/>
      <c r="S87" s="834"/>
      <c r="T87" s="811"/>
      <c r="U87" s="1"/>
      <c r="V87" s="1"/>
      <c r="W87" s="1"/>
      <c r="X87" s="399"/>
      <c r="Y87" s="399"/>
      <c r="Z87" s="399"/>
      <c r="AA87" s="743"/>
      <c r="AB87" s="696"/>
      <c r="AC87" s="696"/>
      <c r="AD87" s="745"/>
      <c r="AE87" s="743"/>
      <c r="AF87" s="696"/>
      <c r="AG87" s="696"/>
      <c r="AH87" s="745"/>
      <c r="AI87" s="743"/>
      <c r="AJ87" s="696"/>
      <c r="AK87" s="696"/>
      <c r="AL87" s="696"/>
      <c r="AM87" s="743"/>
      <c r="AN87" s="696"/>
      <c r="AO87" s="696"/>
      <c r="AP87" s="745"/>
      <c r="AQ87" s="696"/>
      <c r="AR87" s="696"/>
      <c r="AS87" s="696"/>
      <c r="AT87" s="745"/>
      <c r="AU87" s="696"/>
      <c r="AV87" s="696"/>
      <c r="AW87" s="696"/>
      <c r="AX87" s="745"/>
      <c r="AY87" s="745"/>
      <c r="AZ87" s="1469"/>
      <c r="BA87" s="1468"/>
      <c r="BB87" s="1468"/>
      <c r="BC87" s="1468"/>
      <c r="BD87" s="1468"/>
      <c r="BE87" s="1468"/>
      <c r="BF87" s="1468"/>
      <c r="BG87" s="1468"/>
      <c r="BH87" s="1468"/>
      <c r="BI87" s="1468"/>
      <c r="BJ87" s="1468"/>
      <c r="BK87" s="1468"/>
      <c r="BL87" s="1468"/>
      <c r="BM87" s="696"/>
      <c r="BN87" s="696"/>
      <c r="BO87" s="696"/>
      <c r="BP87" s="696"/>
      <c r="BQ87" s="696"/>
      <c r="BR87" s="696"/>
      <c r="BS87" s="696"/>
      <c r="BT87" s="696"/>
      <c r="BU87" s="399"/>
      <c r="BV87" s="399"/>
      <c r="BW87" s="399"/>
      <c r="BX87" s="399"/>
    </row>
    <row r="88" spans="1:76">
      <c r="A88" s="1108" t="s">
        <v>906</v>
      </c>
      <c r="B88" s="1194"/>
      <c r="C88" s="1194"/>
      <c r="D88" s="1194"/>
      <c r="E88" s="1194"/>
      <c r="F88" s="1194"/>
      <c r="G88" s="1194"/>
      <c r="H88" s="1194"/>
      <c r="I88" s="1194"/>
      <c r="J88" s="1109"/>
      <c r="K88" s="1109"/>
      <c r="L88" s="1109"/>
      <c r="M88" s="1109"/>
      <c r="N88" s="1109"/>
      <c r="O88" s="1109"/>
      <c r="S88" s="698"/>
      <c r="T88" s="1758"/>
      <c r="U88" s="1"/>
      <c r="V88" s="1"/>
      <c r="W88" s="1"/>
      <c r="X88" s="399"/>
      <c r="Y88" s="399"/>
      <c r="Z88" s="399"/>
      <c r="AA88" s="743"/>
      <c r="AB88" s="696"/>
      <c r="AC88" s="696"/>
      <c r="AD88" s="745"/>
      <c r="AE88" s="743"/>
      <c r="AF88" s="696"/>
      <c r="AG88" s="696"/>
      <c r="AH88" s="745"/>
      <c r="AI88" s="743"/>
      <c r="AJ88" s="696"/>
      <c r="AK88" s="696"/>
      <c r="AL88" s="696"/>
      <c r="AM88" s="743"/>
      <c r="AN88" s="696"/>
      <c r="AO88" s="696"/>
      <c r="AP88" s="745"/>
      <c r="AQ88" s="696"/>
      <c r="AR88" s="696"/>
      <c r="AS88" s="696"/>
      <c r="AT88" s="745"/>
      <c r="AU88" s="696"/>
      <c r="AV88" s="696"/>
      <c r="AW88" s="696"/>
      <c r="AX88" s="745"/>
      <c r="AY88" s="745"/>
      <c r="AZ88" s="1469"/>
      <c r="BA88" s="1468"/>
      <c r="BB88" s="1468"/>
      <c r="BC88" s="1468"/>
      <c r="BD88" s="1468"/>
      <c r="BE88" s="1468"/>
      <c r="BF88" s="1468"/>
      <c r="BG88" s="1468"/>
      <c r="BH88" s="1468"/>
      <c r="BI88" s="1468"/>
      <c r="BJ88" s="1468"/>
      <c r="BK88" s="1468"/>
      <c r="BL88" s="1468"/>
      <c r="BM88" s="696"/>
      <c r="BN88" s="696"/>
      <c r="BO88" s="696"/>
      <c r="BP88" s="696"/>
      <c r="BQ88" s="696"/>
      <c r="BR88" s="696"/>
      <c r="BS88" s="696"/>
      <c r="BT88" s="696"/>
      <c r="BU88" s="399"/>
      <c r="BV88" s="399"/>
      <c r="BW88" s="399"/>
      <c r="BX88" s="399"/>
    </row>
    <row r="89" spans="1:76">
      <c r="A89" s="735" t="s">
        <v>883</v>
      </c>
      <c r="B89" s="1159"/>
      <c r="C89" s="1159"/>
      <c r="D89" s="1159"/>
      <c r="E89" s="1159"/>
      <c r="F89" s="1159"/>
      <c r="G89" s="1159"/>
      <c r="H89" s="1159"/>
      <c r="I89" s="1159"/>
      <c r="J89" s="834"/>
      <c r="K89" s="834"/>
      <c r="L89" s="834"/>
      <c r="M89" s="834"/>
      <c r="N89" s="834"/>
      <c r="O89" s="834"/>
      <c r="S89" s="834"/>
      <c r="T89" s="1758"/>
      <c r="U89" s="1"/>
      <c r="V89" s="1"/>
      <c r="W89" s="1"/>
      <c r="X89" s="399"/>
      <c r="Y89" s="399"/>
      <c r="Z89" s="399"/>
      <c r="AA89" s="743"/>
      <c r="AB89" s="696"/>
      <c r="AC89" s="696"/>
      <c r="AD89" s="745"/>
      <c r="AE89" s="743"/>
      <c r="AF89" s="696"/>
      <c r="AG89" s="696"/>
      <c r="AH89" s="745"/>
      <c r="AI89" s="743"/>
      <c r="AJ89" s="696"/>
      <c r="AK89" s="696"/>
      <c r="AL89" s="696"/>
      <c r="AM89" s="743"/>
      <c r="AN89" s="696"/>
      <c r="AO89" s="696"/>
      <c r="AP89" s="745"/>
      <c r="AQ89" s="696"/>
      <c r="AR89" s="696"/>
      <c r="AS89" s="696"/>
      <c r="AT89" s="745"/>
      <c r="AU89" s="696"/>
      <c r="AV89" s="696"/>
      <c r="AW89" s="696"/>
      <c r="AX89" s="745"/>
      <c r="AY89" s="745"/>
      <c r="AZ89" s="1469"/>
      <c r="BA89" s="1468"/>
      <c r="BB89" s="1468"/>
      <c r="BC89" s="1468"/>
      <c r="BD89" s="1468"/>
      <c r="BE89" s="1468"/>
      <c r="BF89" s="1468"/>
      <c r="BG89" s="1468"/>
      <c r="BH89" s="1468"/>
      <c r="BI89" s="1468"/>
      <c r="BJ89" s="1468"/>
      <c r="BK89" s="1468"/>
      <c r="BL89" s="1468"/>
      <c r="BM89" s="696"/>
      <c r="BN89" s="696"/>
      <c r="BO89" s="696"/>
      <c r="BP89" s="696"/>
      <c r="BQ89" s="696"/>
      <c r="BR89" s="696"/>
      <c r="BS89" s="696"/>
      <c r="BT89" s="696"/>
      <c r="BU89" s="399"/>
      <c r="BV89" s="399"/>
      <c r="BW89" s="399"/>
      <c r="BX89" s="399"/>
    </row>
    <row r="90" spans="1:76">
      <c r="A90" s="39" t="s">
        <v>854</v>
      </c>
      <c r="B90" s="696">
        <v>199</v>
      </c>
      <c r="C90" s="696">
        <v>252</v>
      </c>
      <c r="D90" s="696">
        <v>278</v>
      </c>
      <c r="E90" s="696">
        <v>346</v>
      </c>
      <c r="F90" s="696">
        <v>354.7</v>
      </c>
      <c r="G90" s="696">
        <v>448.13900000000001</v>
      </c>
      <c r="H90" s="696"/>
      <c r="I90" s="696"/>
      <c r="J90" s="696">
        <f t="shared" ref="J90:K91" ca="1" si="210">J12*J99</f>
        <v>0</v>
      </c>
      <c r="K90" s="696">
        <f t="shared" ca="1" si="210"/>
        <v>0</v>
      </c>
      <c r="L90" s="696">
        <f t="shared" ref="L90" ca="1" si="211">L12*L99</f>
        <v>0</v>
      </c>
      <c r="M90" s="696"/>
      <c r="N90" s="696">
        <f ca="1">N12*N99</f>
        <v>0</v>
      </c>
      <c r="O90" s="696">
        <f t="shared" ref="O90:O91" si="212">O12*O99</f>
        <v>448.13900000000001</v>
      </c>
      <c r="S90" s="696"/>
      <c r="T90" s="1758"/>
      <c r="U90" s="1"/>
      <c r="V90" s="1"/>
      <c r="W90" s="1"/>
      <c r="X90" s="399"/>
      <c r="Y90" s="399"/>
      <c r="Z90" s="399"/>
      <c r="AA90" s="743"/>
      <c r="AB90" s="696"/>
      <c r="AC90" s="696"/>
      <c r="AD90" s="745"/>
      <c r="AE90" s="743"/>
      <c r="AF90" s="696"/>
      <c r="AG90" s="696"/>
      <c r="AH90" s="745"/>
      <c r="AI90" s="743"/>
      <c r="AJ90" s="696"/>
      <c r="AK90" s="696"/>
      <c r="AL90" s="696"/>
      <c r="AM90" s="743"/>
      <c r="AN90" s="696"/>
      <c r="AO90" s="696"/>
      <c r="AP90" s="745"/>
      <c r="AQ90" s="696"/>
      <c r="AR90" s="696"/>
      <c r="AS90" s="696"/>
      <c r="AT90" s="745"/>
      <c r="AU90" s="696"/>
      <c r="AV90" s="696"/>
      <c r="AW90" s="696"/>
      <c r="AX90" s="745"/>
      <c r="AY90" s="745"/>
      <c r="AZ90" s="1469"/>
      <c r="BA90" s="1468"/>
      <c r="BB90" s="1468"/>
      <c r="BC90" s="1468"/>
      <c r="BD90" s="1468"/>
      <c r="BE90" s="1468"/>
      <c r="BF90" s="1468"/>
      <c r="BG90" s="1468"/>
      <c r="BH90" s="1468"/>
      <c r="BI90" s="1468"/>
      <c r="BJ90" s="1468"/>
      <c r="BK90" s="1468"/>
      <c r="BL90" s="1468"/>
      <c r="BM90" s="696"/>
      <c r="BN90" s="696"/>
      <c r="BO90" s="696"/>
      <c r="BP90" s="696"/>
      <c r="BQ90" s="696"/>
      <c r="BR90" s="696"/>
      <c r="BS90" s="696"/>
      <c r="BT90" s="696"/>
      <c r="BU90" s="399"/>
      <c r="BV90" s="399"/>
      <c r="BW90" s="399"/>
      <c r="BX90" s="399"/>
    </row>
    <row r="91" spans="1:76">
      <c r="A91" s="39" t="s">
        <v>855</v>
      </c>
      <c r="B91" s="696">
        <v>25</v>
      </c>
      <c r="C91" s="696">
        <v>40</v>
      </c>
      <c r="D91" s="696">
        <v>29</v>
      </c>
      <c r="E91" s="696">
        <v>34</v>
      </c>
      <c r="F91" s="696">
        <v>63.5</v>
      </c>
      <c r="G91" s="696">
        <v>134.62299999999999</v>
      </c>
      <c r="H91" s="696"/>
      <c r="I91" s="696"/>
      <c r="J91" s="696">
        <f t="shared" ca="1" si="210"/>
        <v>0</v>
      </c>
      <c r="K91" s="696">
        <f t="shared" ca="1" si="210"/>
        <v>0</v>
      </c>
      <c r="L91" s="696">
        <f t="shared" ref="L91" ca="1" si="213">L13*L100</f>
        <v>0</v>
      </c>
      <c r="M91" s="696"/>
      <c r="N91" s="696">
        <f ca="1">N13*N100</f>
        <v>0</v>
      </c>
      <c r="O91" s="696">
        <f t="shared" si="212"/>
        <v>144.04661000000002</v>
      </c>
      <c r="S91" s="696"/>
      <c r="T91" s="1758"/>
      <c r="U91" s="1"/>
      <c r="V91" s="1"/>
      <c r="W91" s="1"/>
      <c r="X91" s="399"/>
      <c r="Y91" s="399"/>
      <c r="Z91" s="399"/>
      <c r="AA91" s="743"/>
      <c r="AB91" s="696"/>
      <c r="AC91" s="696"/>
      <c r="AD91" s="745"/>
      <c r="AE91" s="743"/>
      <c r="AF91" s="696"/>
      <c r="AG91" s="696"/>
      <c r="AH91" s="745"/>
      <c r="AI91" s="743"/>
      <c r="AJ91" s="696"/>
      <c r="AK91" s="696"/>
      <c r="AL91" s="696"/>
      <c r="AM91" s="743"/>
      <c r="AN91" s="696"/>
      <c r="AO91" s="696"/>
      <c r="AP91" s="745"/>
      <c r="AQ91" s="696"/>
      <c r="AR91" s="696"/>
      <c r="AS91" s="696"/>
      <c r="AT91" s="745"/>
      <c r="AU91" s="696"/>
      <c r="AV91" s="696"/>
      <c r="AW91" s="696"/>
      <c r="AX91" s="745"/>
      <c r="AY91" s="745"/>
      <c r="AZ91" s="1469"/>
      <c r="BA91" s="1468"/>
      <c r="BB91" s="1468"/>
      <c r="BC91" s="1468"/>
      <c r="BD91" s="1468"/>
      <c r="BE91" s="1468"/>
      <c r="BF91" s="1468"/>
      <c r="BG91" s="1468"/>
      <c r="BH91" s="1468"/>
      <c r="BI91" s="1468"/>
      <c r="BJ91" s="1468"/>
      <c r="BK91" s="1468"/>
      <c r="BL91" s="1468"/>
      <c r="BM91" s="696"/>
      <c r="BN91" s="696"/>
      <c r="BO91" s="696"/>
      <c r="BP91" s="696"/>
      <c r="BQ91" s="696"/>
      <c r="BR91" s="696"/>
      <c r="BS91" s="696"/>
      <c r="BT91" s="696"/>
      <c r="BU91" s="399"/>
      <c r="BV91" s="399"/>
      <c r="BW91" s="399"/>
      <c r="BX91" s="399"/>
    </row>
    <row r="92" spans="1:76">
      <c r="A92" s="735" t="s">
        <v>884</v>
      </c>
      <c r="B92" s="696"/>
      <c r="C92" s="696"/>
      <c r="D92" s="696"/>
      <c r="E92" s="696"/>
      <c r="F92" s="696"/>
      <c r="G92" s="696"/>
      <c r="H92" s="696"/>
      <c r="I92" s="696"/>
      <c r="J92" s="696"/>
      <c r="K92" s="696"/>
      <c r="L92" s="696"/>
      <c r="M92" s="696"/>
      <c r="N92" s="696"/>
      <c r="O92" s="696"/>
      <c r="S92" s="696"/>
      <c r="T92" s="1758"/>
      <c r="U92" s="1"/>
      <c r="V92" s="1"/>
      <c r="W92" s="1"/>
      <c r="X92" s="399"/>
      <c r="Y92" s="399"/>
      <c r="Z92" s="399"/>
      <c r="AA92" s="743"/>
      <c r="AB92" s="696"/>
      <c r="AC92" s="696"/>
      <c r="AD92" s="745"/>
      <c r="AE92" s="743"/>
      <c r="AF92" s="696"/>
      <c r="AG92" s="696"/>
      <c r="AH92" s="745"/>
      <c r="AI92" s="743"/>
      <c r="AJ92" s="696"/>
      <c r="AK92" s="696"/>
      <c r="AL92" s="696"/>
      <c r="AM92" s="743"/>
      <c r="AN92" s="696"/>
      <c r="AO92" s="696"/>
      <c r="AP92" s="745"/>
      <c r="AQ92" s="696"/>
      <c r="AR92" s="696"/>
      <c r="AS92" s="696"/>
      <c r="AT92" s="745"/>
      <c r="AU92" s="696"/>
      <c r="AV92" s="696"/>
      <c r="AW92" s="696"/>
      <c r="AX92" s="745"/>
      <c r="AY92" s="745"/>
      <c r="AZ92" s="1469"/>
      <c r="BA92" s="1468"/>
      <c r="BB92" s="1468"/>
      <c r="BC92" s="1468"/>
      <c r="BD92" s="1468"/>
      <c r="BE92" s="1468"/>
      <c r="BF92" s="1468"/>
      <c r="BG92" s="1468"/>
      <c r="BH92" s="1468"/>
      <c r="BI92" s="1468"/>
      <c r="BJ92" s="1468"/>
      <c r="BK92" s="1468"/>
      <c r="BL92" s="1468"/>
      <c r="BM92" s="696"/>
      <c r="BN92" s="696"/>
      <c r="BO92" s="696"/>
      <c r="BP92" s="696"/>
      <c r="BQ92" s="696"/>
      <c r="BR92" s="696"/>
      <c r="BS92" s="696"/>
      <c r="BT92" s="696"/>
      <c r="BU92" s="399"/>
      <c r="BV92" s="399"/>
      <c r="BW92" s="399"/>
      <c r="BX92" s="399"/>
    </row>
    <row r="93" spans="1:76">
      <c r="A93" s="39" t="s">
        <v>857</v>
      </c>
      <c r="B93" s="696">
        <v>876</v>
      </c>
      <c r="C93" s="696">
        <v>984</v>
      </c>
      <c r="D93" s="696">
        <v>1079</v>
      </c>
      <c r="E93" s="696">
        <v>1128</v>
      </c>
      <c r="F93" s="696">
        <v>1169.2</v>
      </c>
      <c r="G93" s="696">
        <v>1329.413</v>
      </c>
      <c r="H93" s="696"/>
      <c r="I93" s="696"/>
      <c r="J93" s="696">
        <f t="shared" ref="J93:K95" si="214">J15*J102</f>
        <v>0</v>
      </c>
      <c r="K93" s="696">
        <f t="shared" si="214"/>
        <v>0</v>
      </c>
      <c r="L93" s="696">
        <f t="shared" ref="L93" si="215">L15*L102</f>
        <v>0</v>
      </c>
      <c r="M93" s="696"/>
      <c r="N93" s="696">
        <f>N15*N102</f>
        <v>0</v>
      </c>
      <c r="O93" s="696">
        <f t="shared" ref="O93:O95" si="216">O15*O102</f>
        <v>1488.0846482786781</v>
      </c>
      <c r="S93" s="696"/>
      <c r="T93" s="1758"/>
      <c r="U93" s="1"/>
      <c r="V93" s="1"/>
      <c r="W93" s="1"/>
      <c r="X93" s="399"/>
      <c r="Y93" s="399"/>
      <c r="Z93" s="399"/>
      <c r="AA93" s="743"/>
      <c r="AB93" s="696"/>
      <c r="AC93" s="696"/>
      <c r="AD93" s="745"/>
      <c r="AE93" s="743"/>
      <c r="AF93" s="696"/>
      <c r="AG93" s="696"/>
      <c r="AH93" s="745"/>
      <c r="AI93" s="743"/>
      <c r="AJ93" s="696"/>
      <c r="AK93" s="696"/>
      <c r="AL93" s="696"/>
      <c r="AM93" s="743"/>
      <c r="AN93" s="696"/>
      <c r="AO93" s="696"/>
      <c r="AP93" s="745"/>
      <c r="AQ93" s="696"/>
      <c r="AR93" s="696"/>
      <c r="AS93" s="696"/>
      <c r="AT93" s="745"/>
      <c r="AU93" s="696"/>
      <c r="AV93" s="696"/>
      <c r="AW93" s="696"/>
      <c r="AX93" s="745"/>
      <c r="AY93" s="745"/>
      <c r="AZ93" s="1469"/>
      <c r="BA93" s="1468"/>
      <c r="BB93" s="1468"/>
      <c r="BC93" s="1468"/>
      <c r="BD93" s="1468"/>
      <c r="BE93" s="1468"/>
      <c r="BF93" s="1468"/>
      <c r="BG93" s="1468"/>
      <c r="BH93" s="1468"/>
      <c r="BI93" s="1468"/>
      <c r="BJ93" s="1468"/>
      <c r="BK93" s="1468"/>
      <c r="BL93" s="1468"/>
      <c r="BM93" s="696"/>
      <c r="BN93" s="696"/>
      <c r="BO93" s="696"/>
      <c r="BP93" s="696"/>
      <c r="BQ93" s="696"/>
      <c r="BR93" s="696"/>
      <c r="BS93" s="696"/>
      <c r="BT93" s="696"/>
      <c r="BU93" s="399"/>
      <c r="BV93" s="399"/>
      <c r="BW93" s="399"/>
      <c r="BX93" s="399"/>
    </row>
    <row r="94" spans="1:76">
      <c r="A94" s="39" t="s">
        <v>856</v>
      </c>
      <c r="B94" s="696">
        <v>5</v>
      </c>
      <c r="C94" s="696">
        <v>4</v>
      </c>
      <c r="D94" s="696">
        <v>3</v>
      </c>
      <c r="E94" s="696">
        <v>3</v>
      </c>
      <c r="F94" s="696">
        <v>4.5</v>
      </c>
      <c r="G94" s="696">
        <v>3.9020000000000001</v>
      </c>
      <c r="H94" s="696"/>
      <c r="I94" s="696"/>
      <c r="J94" s="696">
        <f t="shared" si="214"/>
        <v>0</v>
      </c>
      <c r="K94" s="696">
        <f t="shared" si="214"/>
        <v>0</v>
      </c>
      <c r="L94" s="696">
        <f t="shared" ref="L94" si="217">L16*L103</f>
        <v>0</v>
      </c>
      <c r="M94" s="696"/>
      <c r="N94" s="696">
        <f>N16*N103</f>
        <v>0</v>
      </c>
      <c r="O94" s="696">
        <f t="shared" si="216"/>
        <v>4.2922000000000002</v>
      </c>
      <c r="S94" s="696"/>
      <c r="T94" s="1758"/>
      <c r="U94" s="1"/>
      <c r="V94" s="1"/>
      <c r="W94" s="1"/>
      <c r="X94" s="399"/>
      <c r="Y94" s="399"/>
      <c r="Z94" s="399"/>
      <c r="AA94" s="743"/>
      <c r="AB94" s="696"/>
      <c r="AC94" s="696"/>
      <c r="AD94" s="745"/>
      <c r="AE94" s="743"/>
      <c r="AF94" s="696"/>
      <c r="AG94" s="696"/>
      <c r="AH94" s="745"/>
      <c r="AI94" s="743"/>
      <c r="AJ94" s="696"/>
      <c r="AK94" s="696"/>
      <c r="AL94" s="696"/>
      <c r="AM94" s="743"/>
      <c r="AN94" s="696"/>
      <c r="AO94" s="696"/>
      <c r="AP94" s="745"/>
      <c r="AQ94" s="696"/>
      <c r="AR94" s="696"/>
      <c r="AS94" s="696"/>
      <c r="AT94" s="745"/>
      <c r="AU94" s="696"/>
      <c r="AV94" s="696"/>
      <c r="AW94" s="696"/>
      <c r="AX94" s="745"/>
      <c r="AY94" s="745"/>
      <c r="AZ94" s="1469"/>
      <c r="BA94" s="1468"/>
      <c r="BB94" s="1468"/>
      <c r="BC94" s="1468"/>
      <c r="BD94" s="1468"/>
      <c r="BE94" s="1468"/>
      <c r="BF94" s="1468"/>
      <c r="BG94" s="1468"/>
      <c r="BH94" s="1468"/>
      <c r="BI94" s="1468"/>
      <c r="BJ94" s="1468"/>
      <c r="BK94" s="1468"/>
      <c r="BL94" s="1468"/>
      <c r="BM94" s="696"/>
      <c r="BN94" s="696"/>
      <c r="BO94" s="696"/>
      <c r="BP94" s="696"/>
      <c r="BQ94" s="696"/>
      <c r="BR94" s="696"/>
      <c r="BS94" s="696"/>
      <c r="BT94" s="696"/>
      <c r="BU94" s="399"/>
      <c r="BV94" s="399"/>
      <c r="BW94" s="399"/>
      <c r="BX94" s="399"/>
    </row>
    <row r="95" spans="1:76">
      <c r="A95" s="735" t="s">
        <v>882</v>
      </c>
      <c r="B95" s="696">
        <v>40</v>
      </c>
      <c r="C95" s="696">
        <v>63</v>
      </c>
      <c r="D95" s="696">
        <v>102</v>
      </c>
      <c r="E95" s="696">
        <f>143.2-9.4</f>
        <v>133.79999999999998</v>
      </c>
      <c r="F95" s="696">
        <f>276.4-35.1</f>
        <v>241.29999999999998</v>
      </c>
      <c r="G95" s="696">
        <v>396.52499999999998</v>
      </c>
      <c r="H95" s="696"/>
      <c r="I95" s="696"/>
      <c r="J95" s="696">
        <f t="shared" ca="1" si="214"/>
        <v>0</v>
      </c>
      <c r="K95" s="696">
        <f t="shared" ca="1" si="214"/>
        <v>0</v>
      </c>
      <c r="L95" s="696">
        <f t="shared" ref="L95" ca="1" si="218">L17*L104</f>
        <v>0</v>
      </c>
      <c r="M95" s="696"/>
      <c r="N95" s="696">
        <f ca="1">N17*N104</f>
        <v>0</v>
      </c>
      <c r="O95" s="696">
        <f t="shared" si="216"/>
        <v>452.0385</v>
      </c>
      <c r="S95" s="696"/>
      <c r="T95" s="1758"/>
      <c r="U95" s="1"/>
      <c r="V95" s="1"/>
      <c r="W95" s="1"/>
      <c r="X95" s="399"/>
      <c r="Y95" s="399"/>
      <c r="Z95" s="399"/>
      <c r="AA95" s="743"/>
      <c r="AB95" s="696"/>
      <c r="AC95" s="696"/>
      <c r="AD95" s="745"/>
      <c r="AE95" s="743"/>
      <c r="AF95" s="696"/>
      <c r="AG95" s="696"/>
      <c r="AH95" s="745"/>
      <c r="AI95" s="743"/>
      <c r="AJ95" s="696"/>
      <c r="AK95" s="696"/>
      <c r="AL95" s="696"/>
      <c r="AM95" s="743"/>
      <c r="AN95" s="696"/>
      <c r="AO95" s="696"/>
      <c r="AP95" s="745"/>
      <c r="AQ95" s="696"/>
      <c r="AR95" s="696"/>
      <c r="AS95" s="696"/>
      <c r="AT95" s="745"/>
      <c r="AU95" s="696"/>
      <c r="AV95" s="696"/>
      <c r="AW95" s="696"/>
      <c r="AX95" s="745"/>
      <c r="AY95" s="745"/>
      <c r="AZ95" s="1469"/>
      <c r="BA95" s="1468"/>
      <c r="BB95" s="1468"/>
      <c r="BC95" s="1468"/>
      <c r="BD95" s="1468"/>
      <c r="BE95" s="1468"/>
      <c r="BF95" s="1468"/>
      <c r="BG95" s="1468"/>
      <c r="BH95" s="1468"/>
      <c r="BI95" s="1468"/>
      <c r="BJ95" s="1468"/>
      <c r="BK95" s="1468"/>
      <c r="BL95" s="1468"/>
      <c r="BM95" s="696"/>
      <c r="BN95" s="696"/>
      <c r="BO95" s="696"/>
      <c r="BP95" s="696"/>
      <c r="BQ95" s="696"/>
      <c r="BR95" s="696"/>
      <c r="BS95" s="696"/>
      <c r="BT95" s="696"/>
      <c r="BU95" s="399"/>
      <c r="BV95" s="399"/>
      <c r="BW95" s="399"/>
      <c r="BX95" s="399"/>
    </row>
    <row r="96" spans="1:76">
      <c r="A96" s="735"/>
      <c r="B96" s="696"/>
      <c r="C96" s="993"/>
      <c r="D96" s="993"/>
      <c r="E96" s="993"/>
      <c r="F96" s="993"/>
      <c r="G96" s="993"/>
      <c r="H96" s="993"/>
      <c r="I96" s="993"/>
      <c r="J96" s="696"/>
      <c r="K96" s="696"/>
      <c r="L96" s="696"/>
      <c r="M96" s="696"/>
      <c r="N96" s="696"/>
      <c r="O96" s="696"/>
      <c r="S96" s="696"/>
      <c r="T96" s="1758"/>
      <c r="U96" s="1"/>
      <c r="V96" s="1"/>
      <c r="W96" s="1"/>
      <c r="X96" s="399"/>
      <c r="Y96" s="399"/>
      <c r="Z96" s="399"/>
      <c r="AA96" s="743"/>
      <c r="AB96" s="696"/>
      <c r="AC96" s="696"/>
      <c r="AD96" s="745"/>
      <c r="AE96" s="743"/>
      <c r="AF96" s="696"/>
      <c r="AG96" s="696"/>
      <c r="AH96" s="745"/>
      <c r="AI96" s="743"/>
      <c r="AJ96" s="696"/>
      <c r="AK96" s="696"/>
      <c r="AL96" s="696"/>
      <c r="AM96" s="743"/>
      <c r="AN96" s="696"/>
      <c r="AO96" s="696"/>
      <c r="AP96" s="745"/>
      <c r="AQ96" s="696"/>
      <c r="AR96" s="696"/>
      <c r="AS96" s="696"/>
      <c r="AT96" s="745"/>
      <c r="AU96" s="696"/>
      <c r="AV96" s="696"/>
      <c r="AW96" s="696"/>
      <c r="AX96" s="745"/>
      <c r="AY96" s="745"/>
      <c r="AZ96" s="1469"/>
      <c r="BA96" s="1468"/>
      <c r="BB96" s="1468"/>
      <c r="BC96" s="1468"/>
      <c r="BD96" s="1468"/>
      <c r="BE96" s="1468"/>
      <c r="BF96" s="1468"/>
      <c r="BG96" s="1468"/>
      <c r="BH96" s="1468"/>
      <c r="BI96" s="1468"/>
      <c r="BJ96" s="1468"/>
      <c r="BK96" s="1468"/>
      <c r="BL96" s="1468"/>
      <c r="BM96" s="696"/>
      <c r="BN96" s="696"/>
      <c r="BO96" s="696"/>
      <c r="BP96" s="696"/>
      <c r="BQ96" s="696"/>
      <c r="BR96" s="696"/>
      <c r="BS96" s="696"/>
      <c r="BT96" s="696"/>
      <c r="BU96" s="399"/>
      <c r="BV96" s="399"/>
      <c r="BW96" s="399"/>
      <c r="BX96" s="399"/>
    </row>
    <row r="97" spans="1:76">
      <c r="A97" s="1399" t="s">
        <v>907</v>
      </c>
      <c r="B97" s="1113"/>
      <c r="C97" s="1193"/>
      <c r="D97" s="1193"/>
      <c r="E97" s="1193"/>
      <c r="F97" s="1193"/>
      <c r="G97" s="1193"/>
      <c r="H97" s="1193"/>
      <c r="I97" s="1193"/>
      <c r="J97" s="1113"/>
      <c r="K97" s="1113"/>
      <c r="L97" s="1113"/>
      <c r="M97" s="1113"/>
      <c r="N97" s="1113"/>
      <c r="O97" s="1113"/>
      <c r="S97" s="696"/>
      <c r="T97" s="1758"/>
      <c r="U97" s="1"/>
      <c r="V97" s="1"/>
      <c r="W97" s="1"/>
      <c r="X97" s="399"/>
      <c r="Y97" s="399"/>
      <c r="Z97" s="399"/>
      <c r="AA97" s="743"/>
      <c r="AB97" s="696"/>
      <c r="AC97" s="696"/>
      <c r="AD97" s="745"/>
      <c r="AE97" s="743"/>
      <c r="AF97" s="696"/>
      <c r="AG97" s="696"/>
      <c r="AH97" s="696"/>
      <c r="AI97" s="743"/>
      <c r="AJ97" s="696"/>
      <c r="AK97" s="696"/>
      <c r="AL97" s="696"/>
      <c r="AM97" s="743"/>
      <c r="AN97" s="696"/>
      <c r="AO97" s="696"/>
      <c r="AP97" s="745"/>
      <c r="AQ97" s="696"/>
      <c r="AR97" s="696"/>
      <c r="AS97" s="696"/>
      <c r="AT97" s="745"/>
      <c r="AU97" s="696"/>
      <c r="AV97" s="696"/>
      <c r="AW97" s="696"/>
      <c r="AX97" s="745"/>
      <c r="AY97" s="745"/>
      <c r="AZ97" s="1469"/>
      <c r="BA97" s="1468"/>
      <c r="BB97" s="1468"/>
      <c r="BC97" s="1468"/>
      <c r="BD97" s="1468"/>
      <c r="BE97" s="1468"/>
      <c r="BF97" s="1468"/>
      <c r="BG97" s="1468"/>
      <c r="BH97" s="1468"/>
      <c r="BI97" s="1468"/>
      <c r="BJ97" s="1468"/>
      <c r="BK97" s="1468"/>
      <c r="BL97" s="1468"/>
      <c r="BM97" s="696"/>
      <c r="BN97" s="696"/>
      <c r="BO97" s="696"/>
      <c r="BP97" s="696"/>
      <c r="BQ97" s="696"/>
      <c r="BR97" s="696"/>
      <c r="BS97" s="696"/>
      <c r="BT97" s="696"/>
      <c r="BU97" s="399"/>
      <c r="BV97" s="399"/>
      <c r="BW97" s="399"/>
      <c r="BX97" s="399"/>
    </row>
    <row r="98" spans="1:76">
      <c r="A98" s="39" t="s">
        <v>883</v>
      </c>
      <c r="B98" s="696"/>
      <c r="C98" s="696"/>
      <c r="D98" s="696"/>
      <c r="E98" s="696"/>
      <c r="F98" s="696"/>
      <c r="G98" s="696"/>
      <c r="H98" s="696"/>
      <c r="I98" s="696"/>
      <c r="J98" s="696"/>
      <c r="K98" s="696"/>
      <c r="L98" s="696"/>
      <c r="M98" s="696"/>
      <c r="N98" s="696"/>
      <c r="O98" s="696"/>
      <c r="S98" s="696"/>
      <c r="T98" s="1758"/>
      <c r="U98" s="1"/>
      <c r="V98" s="1"/>
      <c r="W98" s="1"/>
      <c r="X98" s="399"/>
      <c r="Y98" s="399"/>
      <c r="Z98" s="399"/>
      <c r="AA98" s="743"/>
      <c r="AB98" s="696"/>
      <c r="AC98" s="696"/>
      <c r="AD98" s="745"/>
      <c r="AE98" s="743"/>
      <c r="AF98" s="696"/>
      <c r="AG98" s="696"/>
      <c r="AH98" s="696"/>
      <c r="AI98" s="743"/>
      <c r="AJ98" s="696"/>
      <c r="AK98" s="696"/>
      <c r="AL98" s="696"/>
      <c r="AM98" s="743"/>
      <c r="AN98" s="696"/>
      <c r="AO98" s="696"/>
      <c r="AP98" s="745"/>
      <c r="AQ98" s="696"/>
      <c r="AR98" s="696"/>
      <c r="AS98" s="696"/>
      <c r="AT98" s="745"/>
      <c r="AU98" s="696"/>
      <c r="AV98" s="696"/>
      <c r="AW98" s="696"/>
      <c r="AX98" s="745"/>
      <c r="AY98" s="745"/>
      <c r="AZ98" s="1469"/>
      <c r="BA98" s="1468"/>
      <c r="BB98" s="1468"/>
      <c r="BC98" s="1468"/>
      <c r="BD98" s="1468"/>
      <c r="BE98" s="1468"/>
      <c r="BF98" s="1468"/>
      <c r="BG98" s="1468"/>
      <c r="BH98" s="1468"/>
      <c r="BI98" s="1468"/>
      <c r="BJ98" s="1468"/>
      <c r="BK98" s="1468"/>
      <c r="BL98" s="1468"/>
      <c r="BM98" s="696"/>
      <c r="BN98" s="696"/>
      <c r="BO98" s="696"/>
      <c r="BP98" s="696"/>
      <c r="BQ98" s="696"/>
      <c r="BR98" s="696"/>
      <c r="BS98" s="696"/>
      <c r="BT98" s="696"/>
      <c r="BU98" s="399"/>
      <c r="BV98" s="399"/>
      <c r="BW98" s="399"/>
      <c r="BX98" s="399"/>
    </row>
    <row r="99" spans="1:76">
      <c r="A99" s="1467" t="s">
        <v>854</v>
      </c>
      <c r="B99" s="8">
        <f t="shared" ref="B99:G100" si="219">B90/B12</f>
        <v>2.3568503572937768E-2</v>
      </c>
      <c r="C99" s="8">
        <f t="shared" si="219"/>
        <v>2.3229953587105827E-2</v>
      </c>
      <c r="D99" s="8">
        <f t="shared" si="219"/>
        <v>2.316616473309745E-2</v>
      </c>
      <c r="E99" s="8">
        <f t="shared" si="219"/>
        <v>2.3795112800182053E-2</v>
      </c>
      <c r="F99" s="8">
        <f t="shared" si="219"/>
        <v>1.8751823240778169E-2</v>
      </c>
      <c r="G99" s="8">
        <f t="shared" si="219"/>
        <v>1.8451045783926218E-2</v>
      </c>
      <c r="H99" s="8">
        <f t="shared" ref="H99:I99" si="220">H90/H12</f>
        <v>0</v>
      </c>
      <c r="I99" s="8">
        <f t="shared" si="220"/>
        <v>0</v>
      </c>
      <c r="J99" s="1484">
        <f>I99</f>
        <v>0</v>
      </c>
      <c r="K99" s="1484">
        <f t="shared" ref="K99:L100" si="221">J99</f>
        <v>0</v>
      </c>
      <c r="L99" s="1484">
        <f t="shared" si="221"/>
        <v>0</v>
      </c>
      <c r="M99" s="1484"/>
      <c r="N99" s="1484">
        <f>H99</f>
        <v>0</v>
      </c>
      <c r="O99" s="1484">
        <f>G99</f>
        <v>1.8451045783926218E-2</v>
      </c>
      <c r="S99" s="8"/>
      <c r="T99" s="1758"/>
      <c r="U99" s="1"/>
      <c r="V99" s="1"/>
      <c r="W99" s="1"/>
      <c r="X99" s="399"/>
      <c r="Y99" s="399"/>
      <c r="Z99" s="399"/>
      <c r="AA99" s="743"/>
      <c r="AB99" s="696"/>
      <c r="AC99" s="696"/>
      <c r="AD99" s="745"/>
      <c r="AE99" s="743"/>
      <c r="AF99" s="696"/>
      <c r="AG99" s="696"/>
      <c r="AH99" s="696"/>
      <c r="AI99" s="743"/>
      <c r="AJ99" s="696"/>
      <c r="AK99" s="696"/>
      <c r="AL99" s="696"/>
      <c r="AM99" s="743"/>
      <c r="AN99" s="696"/>
      <c r="AO99" s="696"/>
      <c r="AP99" s="745"/>
      <c r="AQ99" s="696"/>
      <c r="AR99" s="696"/>
      <c r="AS99" s="696"/>
      <c r="AT99" s="745"/>
      <c r="AU99" s="696"/>
      <c r="AV99" s="696"/>
      <c r="AW99" s="696"/>
      <c r="AX99" s="745"/>
      <c r="AY99" s="745"/>
      <c r="AZ99" s="1469"/>
      <c r="BA99" s="1468"/>
      <c r="BB99" s="1468"/>
      <c r="BC99" s="1468"/>
      <c r="BD99" s="1468"/>
      <c r="BE99" s="1468"/>
      <c r="BF99" s="1468"/>
      <c r="BG99" s="1468"/>
      <c r="BH99" s="1468"/>
      <c r="BI99" s="1468"/>
      <c r="BJ99" s="1468"/>
      <c r="BK99" s="1468"/>
      <c r="BL99" s="1468"/>
      <c r="BM99" s="696"/>
      <c r="BN99" s="696"/>
      <c r="BO99" s="696"/>
      <c r="BP99" s="696"/>
      <c r="BQ99" s="696"/>
      <c r="BR99" s="696"/>
      <c r="BS99" s="696"/>
      <c r="BT99" s="696"/>
      <c r="BU99" s="399"/>
      <c r="BV99" s="399"/>
      <c r="BW99" s="399"/>
      <c r="BX99" s="399"/>
    </row>
    <row r="100" spans="1:76">
      <c r="A100" s="1467" t="s">
        <v>855</v>
      </c>
      <c r="B100" s="8">
        <f t="shared" si="219"/>
        <v>5.0422520553227834E-3</v>
      </c>
      <c r="C100" s="8">
        <f t="shared" si="219"/>
        <v>8.1047818618223844E-3</v>
      </c>
      <c r="D100" s="8">
        <f t="shared" si="219"/>
        <v>6.0357918292861619E-3</v>
      </c>
      <c r="E100" s="8">
        <f t="shared" si="219"/>
        <v>5.3700238634383978E-3</v>
      </c>
      <c r="F100" s="8">
        <f t="shared" si="219"/>
        <v>9.2735820620006865E-3</v>
      </c>
      <c r="G100" s="8">
        <f t="shared" si="219"/>
        <v>1.8799469347856444E-2</v>
      </c>
      <c r="H100" s="8">
        <f t="shared" ref="H100:I100" si="222">H91/H13</f>
        <v>0</v>
      </c>
      <c r="I100" s="8">
        <f t="shared" si="222"/>
        <v>0</v>
      </c>
      <c r="J100" s="1484">
        <f>I100</f>
        <v>0</v>
      </c>
      <c r="K100" s="1484">
        <f t="shared" si="221"/>
        <v>0</v>
      </c>
      <c r="L100" s="1484">
        <f t="shared" si="221"/>
        <v>0</v>
      </c>
      <c r="M100" s="1484"/>
      <c r="N100" s="1484">
        <f>H100</f>
        <v>0</v>
      </c>
      <c r="O100" s="1484">
        <f>G100</f>
        <v>1.8799469347856444E-2</v>
      </c>
      <c r="S100" s="8"/>
      <c r="T100" s="1758"/>
      <c r="U100" s="1"/>
      <c r="V100" s="1"/>
      <c r="W100" s="1"/>
      <c r="X100" s="399"/>
      <c r="Y100" s="399"/>
      <c r="Z100" s="399"/>
      <c r="AA100" s="743"/>
      <c r="AB100" s="696"/>
      <c r="AC100" s="696"/>
      <c r="AD100" s="745"/>
      <c r="AE100" s="743"/>
      <c r="AF100" s="696"/>
      <c r="AG100" s="696"/>
      <c r="AH100" s="696"/>
      <c r="AI100" s="743"/>
      <c r="AJ100" s="696"/>
      <c r="AK100" s="696"/>
      <c r="AL100" s="696"/>
      <c r="AM100" s="743"/>
      <c r="AN100" s="696"/>
      <c r="AO100" s="696"/>
      <c r="AP100" s="745"/>
      <c r="AQ100" s="696"/>
      <c r="AR100" s="696"/>
      <c r="AS100" s="696"/>
      <c r="AT100" s="745"/>
      <c r="AU100" s="696"/>
      <c r="AV100" s="696"/>
      <c r="AW100" s="696"/>
      <c r="AX100" s="745"/>
      <c r="AY100" s="745"/>
      <c r="AZ100" s="1469"/>
      <c r="BA100" s="1468"/>
      <c r="BB100" s="1468"/>
      <c r="BC100" s="1468"/>
      <c r="BD100" s="1468"/>
      <c r="BE100" s="1468"/>
      <c r="BF100" s="1468"/>
      <c r="BG100" s="1468"/>
      <c r="BH100" s="1468"/>
      <c r="BI100" s="1468"/>
      <c r="BJ100" s="1468"/>
      <c r="BK100" s="1468"/>
      <c r="BL100" s="1468"/>
      <c r="BM100" s="696"/>
      <c r="BN100" s="696"/>
      <c r="BO100" s="696"/>
      <c r="BP100" s="696"/>
      <c r="BQ100" s="696"/>
      <c r="BR100" s="696"/>
      <c r="BS100" s="696"/>
      <c r="BT100" s="696"/>
      <c r="BU100" s="399"/>
      <c r="BV100" s="399"/>
      <c r="BW100" s="399"/>
      <c r="BX100" s="399"/>
    </row>
    <row r="101" spans="1:76">
      <c r="A101" s="39" t="s">
        <v>884</v>
      </c>
      <c r="B101" s="8"/>
      <c r="C101" s="696"/>
      <c r="D101" s="696"/>
      <c r="E101" s="696"/>
      <c r="F101" s="696"/>
      <c r="G101" s="696"/>
      <c r="H101" s="696"/>
      <c r="I101" s="696"/>
      <c r="J101" s="1484"/>
      <c r="K101" s="1484"/>
      <c r="L101" s="1484"/>
      <c r="M101" s="1484"/>
      <c r="N101" s="1484"/>
      <c r="O101" s="1484"/>
      <c r="S101" s="8"/>
      <c r="T101" s="1758"/>
      <c r="U101" s="1"/>
      <c r="V101" s="1"/>
      <c r="W101" s="1"/>
      <c r="X101" s="399"/>
      <c r="Y101" s="399"/>
      <c r="Z101" s="399"/>
      <c r="AA101" s="743"/>
      <c r="AB101" s="696"/>
      <c r="AC101" s="696"/>
      <c r="AD101" s="745"/>
      <c r="AE101" s="743"/>
      <c r="AF101" s="696"/>
      <c r="AG101" s="696"/>
      <c r="AH101" s="696"/>
      <c r="AI101" s="743"/>
      <c r="AJ101" s="696"/>
      <c r="AK101" s="696"/>
      <c r="AL101" s="696"/>
      <c r="AM101" s="743"/>
      <c r="AN101" s="696"/>
      <c r="AO101" s="696"/>
      <c r="AP101" s="745"/>
      <c r="AQ101" s="696"/>
      <c r="AR101" s="696"/>
      <c r="AS101" s="696"/>
      <c r="AT101" s="745"/>
      <c r="AU101" s="696"/>
      <c r="AV101" s="696"/>
      <c r="AW101" s="696"/>
      <c r="AX101" s="745"/>
      <c r="AY101" s="745"/>
      <c r="AZ101" s="1469"/>
      <c r="BA101" s="1468"/>
      <c r="BB101" s="1468"/>
      <c r="BC101" s="1468"/>
      <c r="BD101" s="1468"/>
      <c r="BE101" s="1468"/>
      <c r="BF101" s="1468"/>
      <c r="BG101" s="1468"/>
      <c r="BH101" s="1468"/>
      <c r="BI101" s="1468"/>
      <c r="BJ101" s="1468"/>
      <c r="BK101" s="1468"/>
      <c r="BL101" s="1468"/>
      <c r="BM101" s="696"/>
      <c r="BN101" s="696"/>
      <c r="BO101" s="696"/>
      <c r="BP101" s="696"/>
      <c r="BQ101" s="696"/>
      <c r="BR101" s="696"/>
      <c r="BS101" s="696"/>
      <c r="BT101" s="696"/>
      <c r="BU101" s="399"/>
      <c r="BV101" s="399"/>
      <c r="BW101" s="399"/>
      <c r="BX101" s="399"/>
    </row>
    <row r="102" spans="1:76">
      <c r="A102" s="1467" t="s">
        <v>857</v>
      </c>
      <c r="B102" s="8">
        <f t="shared" ref="B102:G104" si="223">B93/B15</f>
        <v>0.10562919185709865</v>
      </c>
      <c r="C102" s="8">
        <f t="shared" si="223"/>
        <v>0.10051574588352778</v>
      </c>
      <c r="D102" s="8">
        <f t="shared" si="223"/>
        <v>9.929140536723878E-2</v>
      </c>
      <c r="E102" s="8">
        <f t="shared" si="223"/>
        <v>9.3387703521858934E-2</v>
      </c>
      <c r="F102" s="8">
        <f t="shared" si="223"/>
        <v>8.3788273368199731E-2</v>
      </c>
      <c r="G102" s="8">
        <f t="shared" si="223"/>
        <v>8.7542012379823522E-2</v>
      </c>
      <c r="H102" s="8">
        <f t="shared" ref="H102:I102" si="224">H93/H15</f>
        <v>0</v>
      </c>
      <c r="I102" s="8">
        <f t="shared" si="224"/>
        <v>0</v>
      </c>
      <c r="J102" s="1484">
        <f>I102</f>
        <v>0</v>
      </c>
      <c r="K102" s="1484">
        <f>J102</f>
        <v>0</v>
      </c>
      <c r="L102" s="1484">
        <f>K102</f>
        <v>0</v>
      </c>
      <c r="M102" s="1484"/>
      <c r="N102" s="1484">
        <f>H102</f>
        <v>0</v>
      </c>
      <c r="O102" s="1484">
        <f>G102</f>
        <v>8.7542012379823522E-2</v>
      </c>
      <c r="S102" s="8"/>
      <c r="T102" s="1758"/>
      <c r="U102" s="742"/>
      <c r="V102" s="1"/>
      <c r="W102" s="1"/>
      <c r="X102" s="399"/>
      <c r="Y102" s="399"/>
      <c r="Z102" s="399"/>
      <c r="AA102" s="743"/>
      <c r="AB102" s="696"/>
      <c r="AC102" s="696"/>
      <c r="AD102" s="745"/>
      <c r="AE102" s="743"/>
      <c r="AF102" s="696"/>
      <c r="AG102" s="696"/>
      <c r="AH102" s="696"/>
      <c r="AI102" s="743"/>
      <c r="AJ102" s="696"/>
      <c r="AK102" s="696"/>
      <c r="AL102" s="696"/>
      <c r="AM102" s="743"/>
      <c r="AN102" s="696"/>
      <c r="AO102" s="696"/>
      <c r="AP102" s="745"/>
      <c r="AQ102" s="696"/>
      <c r="AR102" s="696"/>
      <c r="AS102" s="696"/>
      <c r="AT102" s="745"/>
      <c r="AU102" s="696"/>
      <c r="AV102" s="696"/>
      <c r="AW102" s="696"/>
      <c r="AX102" s="745"/>
      <c r="AY102" s="745"/>
      <c r="AZ102" s="1469"/>
      <c r="BA102" s="1468"/>
      <c r="BB102" s="1468"/>
      <c r="BC102" s="1468"/>
      <c r="BD102" s="1468"/>
      <c r="BE102" s="1468"/>
      <c r="BF102" s="1468"/>
      <c r="BG102" s="1468"/>
      <c r="BH102" s="1468"/>
      <c r="BI102" s="1468"/>
      <c r="BJ102" s="1468"/>
      <c r="BK102" s="1468"/>
      <c r="BL102" s="1468"/>
      <c r="BM102" s="696"/>
      <c r="BN102" s="696"/>
      <c r="BO102" s="696"/>
      <c r="BP102" s="696"/>
      <c r="BQ102" s="696"/>
      <c r="BR102" s="696"/>
      <c r="BS102" s="696"/>
      <c r="BT102" s="696"/>
      <c r="BU102" s="399"/>
      <c r="BV102" s="399"/>
      <c r="BW102" s="399"/>
      <c r="BX102" s="399"/>
    </row>
    <row r="103" spans="1:76">
      <c r="A103" s="1467" t="s">
        <v>856</v>
      </c>
      <c r="B103" s="8">
        <f t="shared" si="223"/>
        <v>9.2964277546709901E-3</v>
      </c>
      <c r="C103" s="8">
        <f t="shared" si="223"/>
        <v>6.5690505751203774E-3</v>
      </c>
      <c r="D103" s="8">
        <f t="shared" si="223"/>
        <v>5.0070850253108156E-3</v>
      </c>
      <c r="E103" s="8">
        <f t="shared" si="223"/>
        <v>4.9363376981528219E-3</v>
      </c>
      <c r="F103" s="8">
        <f t="shared" si="223"/>
        <v>5.8032392391824394E-3</v>
      </c>
      <c r="G103" s="8">
        <f t="shared" si="223"/>
        <v>6.2935483870967743E-3</v>
      </c>
      <c r="H103" s="8">
        <f t="shared" ref="H103:I103" si="225">H94/H16</f>
        <v>0</v>
      </c>
      <c r="I103" s="8">
        <f t="shared" si="225"/>
        <v>0</v>
      </c>
      <c r="J103" s="1484">
        <f>I103</f>
        <v>0</v>
      </c>
      <c r="K103" s="1484">
        <f t="shared" ref="K103:L104" si="226">J103</f>
        <v>0</v>
      </c>
      <c r="L103" s="1484">
        <f t="shared" si="226"/>
        <v>0</v>
      </c>
      <c r="M103" s="1484"/>
      <c r="N103" s="1484">
        <f>H103</f>
        <v>0</v>
      </c>
      <c r="O103" s="1484">
        <f>G103</f>
        <v>6.2935483870967743E-3</v>
      </c>
      <c r="S103" s="8"/>
      <c r="T103" s="1758"/>
      <c r="U103" s="1"/>
      <c r="V103" s="1"/>
      <c r="W103" s="1"/>
      <c r="X103" s="399"/>
      <c r="Y103" s="399"/>
      <c r="Z103" s="399"/>
      <c r="AA103" s="743"/>
      <c r="AB103" s="696"/>
      <c r="AC103" s="696"/>
      <c r="AD103" s="745"/>
      <c r="AE103" s="743"/>
      <c r="AF103" s="696"/>
      <c r="AG103" s="696"/>
      <c r="AH103" s="696"/>
      <c r="AI103" s="743"/>
      <c r="AJ103" s="696"/>
      <c r="AK103" s="696"/>
      <c r="AL103" s="696"/>
      <c r="AM103" s="743"/>
      <c r="AN103" s="696"/>
      <c r="AO103" s="696"/>
      <c r="AP103" s="745"/>
      <c r="AQ103" s="696"/>
      <c r="AR103" s="696"/>
      <c r="AS103" s="696"/>
      <c r="AT103" s="745"/>
      <c r="AU103" s="696"/>
      <c r="AV103" s="696"/>
      <c r="AW103" s="696"/>
      <c r="AX103" s="745"/>
      <c r="AY103" s="745"/>
      <c r="AZ103" s="1469"/>
      <c r="BA103" s="1468"/>
      <c r="BB103" s="1468"/>
      <c r="BC103" s="1468"/>
      <c r="BD103" s="1468"/>
      <c r="BE103" s="1468"/>
      <c r="BF103" s="1468"/>
      <c r="BG103" s="1468"/>
      <c r="BH103" s="1468"/>
      <c r="BI103" s="1468"/>
      <c r="BJ103" s="1468"/>
      <c r="BK103" s="1468"/>
      <c r="BL103" s="1468"/>
      <c r="BM103" s="696"/>
      <c r="BN103" s="696"/>
      <c r="BO103" s="696"/>
      <c r="BP103" s="696"/>
      <c r="BQ103" s="696"/>
      <c r="BR103" s="696"/>
      <c r="BS103" s="696"/>
      <c r="BT103" s="696"/>
      <c r="BU103" s="399"/>
      <c r="BV103" s="399"/>
      <c r="BW103" s="399"/>
      <c r="BX103" s="399"/>
    </row>
    <row r="104" spans="1:76">
      <c r="A104" s="39" t="s">
        <v>882</v>
      </c>
      <c r="B104" s="8">
        <f t="shared" si="223"/>
        <v>4.0776388233425054E-2</v>
      </c>
      <c r="C104" s="8">
        <f t="shared" si="223"/>
        <v>4.1039346803838202E-2</v>
      </c>
      <c r="D104" s="8">
        <f t="shared" si="223"/>
        <v>6.5413358399060734E-2</v>
      </c>
      <c r="E104" s="8">
        <f t="shared" si="223"/>
        <v>6.3756712921682807E-2</v>
      </c>
      <c r="F104" s="8">
        <f t="shared" si="223"/>
        <v>6.8610065375098298E-2</v>
      </c>
      <c r="G104" s="8">
        <f t="shared" si="223"/>
        <v>7.3937162036173773E-2</v>
      </c>
      <c r="H104" s="8">
        <f t="shared" ref="H104:I104" si="227">H95/H17</f>
        <v>0</v>
      </c>
      <c r="I104" s="8">
        <f t="shared" si="227"/>
        <v>0</v>
      </c>
      <c r="J104" s="1484">
        <f>I104</f>
        <v>0</v>
      </c>
      <c r="K104" s="1484">
        <f t="shared" si="226"/>
        <v>0</v>
      </c>
      <c r="L104" s="1484">
        <f t="shared" si="226"/>
        <v>0</v>
      </c>
      <c r="M104" s="1484"/>
      <c r="N104" s="1484">
        <f>H104</f>
        <v>0</v>
      </c>
      <c r="O104" s="1484">
        <f>G104</f>
        <v>7.3937162036173773E-2</v>
      </c>
      <c r="S104" s="8"/>
      <c r="T104" s="1758"/>
      <c r="U104" s="1195"/>
      <c r="V104" s="1"/>
      <c r="W104" s="1"/>
      <c r="X104" s="399"/>
      <c r="Y104" s="399"/>
      <c r="Z104" s="399"/>
      <c r="AA104" s="743"/>
      <c r="AB104" s="696"/>
      <c r="AC104" s="696"/>
      <c r="AD104" s="745"/>
      <c r="AE104" s="743"/>
      <c r="AF104" s="696"/>
      <c r="AG104" s="696"/>
      <c r="AH104" s="696"/>
      <c r="AI104" s="743"/>
      <c r="AJ104" s="696"/>
      <c r="AK104" s="696"/>
      <c r="AL104" s="696"/>
      <c r="AM104" s="743"/>
      <c r="AN104" s="696"/>
      <c r="AO104" s="696"/>
      <c r="AP104" s="745"/>
      <c r="AQ104" s="696"/>
      <c r="AR104" s="696"/>
      <c r="AS104" s="696"/>
      <c r="AT104" s="745"/>
      <c r="AU104" s="696"/>
      <c r="AV104" s="696"/>
      <c r="AW104" s="696"/>
      <c r="AX104" s="745"/>
      <c r="AY104" s="745"/>
      <c r="AZ104" s="1469"/>
      <c r="BA104" s="1468"/>
      <c r="BB104" s="1468"/>
      <c r="BC104" s="1468"/>
      <c r="BD104" s="1468"/>
      <c r="BE104" s="1468"/>
      <c r="BF104" s="1468"/>
      <c r="BG104" s="1468"/>
      <c r="BH104" s="1468"/>
      <c r="BI104" s="1468"/>
      <c r="BJ104" s="1468"/>
      <c r="BK104" s="1468"/>
      <c r="BL104" s="1468"/>
      <c r="BM104" s="696"/>
      <c r="BN104" s="696"/>
      <c r="BO104" s="696"/>
      <c r="BP104" s="696"/>
      <c r="BQ104" s="696"/>
      <c r="BR104" s="696"/>
      <c r="BS104" s="696"/>
      <c r="BT104" s="696"/>
      <c r="BU104" s="399"/>
      <c r="BV104" s="399"/>
      <c r="BW104" s="399"/>
      <c r="BX104" s="399"/>
    </row>
    <row r="105" spans="1:76">
      <c r="A105" s="39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S105" s="8"/>
      <c r="T105" s="1758"/>
      <c r="U105" s="725"/>
      <c r="V105" s="1"/>
      <c r="W105" s="1"/>
      <c r="X105" s="399"/>
      <c r="Y105" s="399"/>
      <c r="Z105" s="399"/>
      <c r="AA105" s="743"/>
      <c r="AB105" s="696"/>
      <c r="AC105" s="696"/>
      <c r="AD105" s="745"/>
      <c r="AE105" s="743"/>
      <c r="AF105" s="696"/>
      <c r="AG105" s="696"/>
      <c r="AH105" s="696"/>
      <c r="AI105" s="743"/>
      <c r="AJ105" s="696"/>
      <c r="AK105" s="696"/>
      <c r="AL105" s="696"/>
      <c r="AM105" s="743"/>
      <c r="AN105" s="696"/>
      <c r="AO105" s="696"/>
      <c r="AP105" s="745"/>
      <c r="AQ105" s="696"/>
      <c r="AR105" s="696"/>
      <c r="AS105" s="696"/>
      <c r="AT105" s="745"/>
      <c r="AU105" s="696"/>
      <c r="AV105" s="696"/>
      <c r="AW105" s="696"/>
      <c r="AX105" s="745"/>
      <c r="AY105" s="745"/>
      <c r="AZ105" s="1469"/>
      <c r="BA105" s="1468"/>
      <c r="BB105" s="1468"/>
      <c r="BC105" s="1468"/>
      <c r="BD105" s="1468"/>
      <c r="BE105" s="1468"/>
      <c r="BF105" s="1468"/>
      <c r="BG105" s="1468"/>
      <c r="BH105" s="1468"/>
      <c r="BI105" s="1468"/>
      <c r="BJ105" s="1468"/>
      <c r="BK105" s="1468"/>
      <c r="BL105" s="1468"/>
      <c r="BM105" s="696"/>
      <c r="BN105" s="696"/>
      <c r="BO105" s="696"/>
      <c r="BP105" s="696"/>
      <c r="BQ105" s="696"/>
      <c r="BR105" s="696"/>
      <c r="BS105" s="696"/>
      <c r="BT105" s="696"/>
      <c r="BU105" s="399"/>
      <c r="BV105" s="399"/>
      <c r="BW105" s="399"/>
      <c r="BX105" s="399"/>
    </row>
    <row r="106" spans="1:76">
      <c r="A106" s="1399" t="s">
        <v>908</v>
      </c>
      <c r="B106" s="1150"/>
      <c r="C106" s="1150"/>
      <c r="D106" s="1150"/>
      <c r="E106" s="1150"/>
      <c r="F106" s="1150"/>
      <c r="G106" s="1150"/>
      <c r="H106" s="1150"/>
      <c r="I106" s="1150"/>
      <c r="J106" s="1150"/>
      <c r="K106" s="1150"/>
      <c r="L106" s="1150"/>
      <c r="M106" s="1150"/>
      <c r="N106" s="1150"/>
      <c r="O106" s="1150"/>
      <c r="S106" s="8"/>
      <c r="T106" s="1758"/>
      <c r="U106" s="1"/>
      <c r="V106" s="1"/>
      <c r="W106" s="1"/>
      <c r="X106" s="399"/>
      <c r="Y106" s="399"/>
      <c r="Z106" s="399"/>
      <c r="AA106" s="743"/>
      <c r="AB106" s="696"/>
      <c r="AC106" s="696"/>
      <c r="AD106" s="745"/>
      <c r="AE106" s="743"/>
      <c r="AF106" s="696"/>
      <c r="AG106" s="696"/>
      <c r="AH106" s="696"/>
      <c r="AI106" s="743"/>
      <c r="AJ106" s="696"/>
      <c r="AK106" s="696"/>
      <c r="AL106" s="696"/>
      <c r="AM106" s="743"/>
      <c r="AN106" s="696"/>
      <c r="AO106" s="696"/>
      <c r="AP106" s="745"/>
      <c r="AQ106" s="696"/>
      <c r="AR106" s="696"/>
      <c r="AS106" s="696"/>
      <c r="AT106" s="745"/>
      <c r="AU106" s="696"/>
      <c r="AV106" s="696"/>
      <c r="AW106" s="696"/>
      <c r="AX106" s="745"/>
      <c r="AY106" s="745"/>
      <c r="AZ106" s="1469"/>
      <c r="BA106" s="1468"/>
      <c r="BB106" s="1468"/>
      <c r="BC106" s="1468"/>
      <c r="BD106" s="1468"/>
      <c r="BE106" s="1468"/>
      <c r="BF106" s="1468"/>
      <c r="BG106" s="1468"/>
      <c r="BH106" s="1468"/>
      <c r="BI106" s="1468"/>
      <c r="BJ106" s="1468"/>
      <c r="BK106" s="1468"/>
      <c r="BL106" s="1468"/>
      <c r="BM106" s="696"/>
      <c r="BN106" s="696"/>
      <c r="BO106" s="696"/>
      <c r="BP106" s="696"/>
      <c r="BQ106" s="696"/>
      <c r="BR106" s="696"/>
      <c r="BS106" s="696"/>
      <c r="BT106" s="696"/>
      <c r="BU106" s="399"/>
      <c r="BV106" s="399"/>
      <c r="BW106" s="399"/>
      <c r="BX106" s="399"/>
    </row>
    <row r="107" spans="1:76">
      <c r="A107" s="39" t="s">
        <v>883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S107" s="8"/>
      <c r="T107" s="1758"/>
      <c r="U107" s="1"/>
      <c r="V107" s="1"/>
      <c r="W107" s="1"/>
      <c r="X107" s="399"/>
      <c r="Y107" s="399"/>
      <c r="Z107" s="399"/>
      <c r="AA107" s="743"/>
      <c r="AB107" s="696"/>
      <c r="AC107" s="696"/>
      <c r="AD107" s="745"/>
      <c r="AE107" s="743"/>
      <c r="AF107" s="696"/>
      <c r="AG107" s="696"/>
      <c r="AH107" s="696"/>
      <c r="AI107" s="743"/>
      <c r="AJ107" s="696"/>
      <c r="AK107" s="696"/>
      <c r="AL107" s="696"/>
      <c r="AM107" s="743"/>
      <c r="AN107" s="696"/>
      <c r="AO107" s="696"/>
      <c r="AP107" s="745"/>
      <c r="AQ107" s="696"/>
      <c r="AR107" s="696"/>
      <c r="AS107" s="696"/>
      <c r="AT107" s="745"/>
      <c r="AU107" s="696"/>
      <c r="AV107" s="696"/>
      <c r="AW107" s="696"/>
      <c r="AX107" s="745"/>
      <c r="AY107" s="745"/>
      <c r="AZ107" s="1469"/>
      <c r="BA107" s="1468"/>
      <c r="BB107" s="1468"/>
      <c r="BC107" s="1468"/>
      <c r="BD107" s="1468"/>
      <c r="BE107" s="1468"/>
      <c r="BF107" s="1468"/>
      <c r="BG107" s="1468"/>
      <c r="BH107" s="1468"/>
      <c r="BI107" s="1468"/>
      <c r="BJ107" s="1468"/>
      <c r="BK107" s="1468"/>
      <c r="BL107" s="1468"/>
      <c r="BM107" s="696"/>
      <c r="BN107" s="696"/>
      <c r="BO107" s="696"/>
      <c r="BP107" s="696"/>
      <c r="BQ107" s="696"/>
      <c r="BR107" s="696"/>
      <c r="BS107" s="696"/>
      <c r="BT107" s="696"/>
      <c r="BU107" s="399"/>
      <c r="BV107" s="399"/>
      <c r="BW107" s="399"/>
      <c r="BX107" s="399"/>
    </row>
    <row r="108" spans="1:76">
      <c r="A108" s="1467" t="s">
        <v>854</v>
      </c>
      <c r="B108" s="8"/>
      <c r="C108" s="8">
        <f t="shared" ref="C108:G109" si="228">C90/B90-1</f>
        <v>0.26633165829145722</v>
      </c>
      <c r="D108" s="8">
        <f t="shared" si="228"/>
        <v>0.10317460317460325</v>
      </c>
      <c r="E108" s="8">
        <f t="shared" si="228"/>
        <v>0.24460431654676262</v>
      </c>
      <c r="F108" s="8">
        <f t="shared" si="228"/>
        <v>2.5144508670520205E-2</v>
      </c>
      <c r="G108" s="8">
        <f t="shared" si="228"/>
        <v>0.26343106850859899</v>
      </c>
      <c r="H108" s="8">
        <f t="shared" ref="H108:H109" si="229">H90/G90-1</f>
        <v>-1</v>
      </c>
      <c r="I108" s="8" t="e">
        <f t="shared" ref="I108:I109" si="230">I90/H90-1</f>
        <v>#DIV/0!</v>
      </c>
      <c r="J108" s="8"/>
      <c r="K108" s="8"/>
      <c r="L108" s="8"/>
      <c r="M108" s="8"/>
      <c r="N108" s="8"/>
      <c r="O108" s="8"/>
      <c r="S108" s="8"/>
      <c r="T108" s="1758"/>
      <c r="U108" s="1"/>
      <c r="V108" s="1"/>
      <c r="W108" s="1"/>
      <c r="X108" s="399"/>
      <c r="Y108" s="399"/>
      <c r="Z108" s="399"/>
      <c r="AA108" s="743"/>
      <c r="AB108" s="696"/>
      <c r="AC108" s="696"/>
      <c r="AD108" s="745"/>
      <c r="AE108" s="743"/>
      <c r="AF108" s="696"/>
      <c r="AG108" s="696"/>
      <c r="AH108" s="696"/>
      <c r="AI108" s="743"/>
      <c r="AJ108" s="696"/>
      <c r="AK108" s="696"/>
      <c r="AL108" s="696"/>
      <c r="AM108" s="743"/>
      <c r="AN108" s="696"/>
      <c r="AO108" s="696"/>
      <c r="AP108" s="745"/>
      <c r="AQ108" s="696"/>
      <c r="AR108" s="696"/>
      <c r="AS108" s="696"/>
      <c r="AT108" s="745"/>
      <c r="AU108" s="696"/>
      <c r="AV108" s="696"/>
      <c r="AW108" s="696"/>
      <c r="AX108" s="745"/>
      <c r="AY108" s="745"/>
      <c r="AZ108" s="1469"/>
      <c r="BA108" s="1468"/>
      <c r="BB108" s="1468"/>
      <c r="BC108" s="1468"/>
      <c r="BD108" s="1468"/>
      <c r="BE108" s="1468"/>
      <c r="BF108" s="1468"/>
      <c r="BG108" s="1468"/>
      <c r="BH108" s="1468"/>
      <c r="BI108" s="1468"/>
      <c r="BJ108" s="1468"/>
      <c r="BK108" s="1468"/>
      <c r="BL108" s="1468"/>
      <c r="BM108" s="696"/>
      <c r="BN108" s="696"/>
      <c r="BO108" s="696"/>
      <c r="BP108" s="696"/>
      <c r="BQ108" s="696"/>
      <c r="BR108" s="696"/>
      <c r="BS108" s="696"/>
      <c r="BT108" s="696"/>
      <c r="BU108" s="399"/>
      <c r="BV108" s="399"/>
      <c r="BW108" s="399"/>
      <c r="BX108" s="399"/>
    </row>
    <row r="109" spans="1:76">
      <c r="A109" s="1467" t="s">
        <v>855</v>
      </c>
      <c r="B109" s="8"/>
      <c r="C109" s="8">
        <f t="shared" si="228"/>
        <v>0.60000000000000009</v>
      </c>
      <c r="D109" s="8">
        <f t="shared" si="228"/>
        <v>-0.27500000000000002</v>
      </c>
      <c r="E109" s="8">
        <f t="shared" si="228"/>
        <v>0.17241379310344818</v>
      </c>
      <c r="F109" s="8">
        <f t="shared" si="228"/>
        <v>0.86764705882352944</v>
      </c>
      <c r="G109" s="8">
        <f t="shared" si="228"/>
        <v>1.1200472440944882</v>
      </c>
      <c r="H109" s="8">
        <f t="shared" si="229"/>
        <v>-1</v>
      </c>
      <c r="I109" s="8" t="e">
        <f t="shared" si="230"/>
        <v>#DIV/0!</v>
      </c>
      <c r="J109" s="8"/>
      <c r="K109" s="8"/>
      <c r="L109" s="8"/>
      <c r="M109" s="8"/>
      <c r="N109" s="8"/>
      <c r="O109" s="8"/>
      <c r="S109" s="8"/>
      <c r="T109" s="1758"/>
      <c r="U109" s="1"/>
      <c r="V109" s="1"/>
      <c r="W109" s="1"/>
      <c r="X109" s="399"/>
      <c r="Y109" s="399"/>
      <c r="Z109" s="399"/>
      <c r="AA109" s="743"/>
      <c r="AB109" s="696"/>
      <c r="AC109" s="696"/>
      <c r="AD109" s="745"/>
      <c r="AE109" s="743"/>
      <c r="AF109" s="696"/>
      <c r="AG109" s="696"/>
      <c r="AH109" s="696"/>
      <c r="AI109" s="743"/>
      <c r="AJ109" s="696"/>
      <c r="AK109" s="696"/>
      <c r="AL109" s="696"/>
      <c r="AM109" s="743"/>
      <c r="AN109" s="696"/>
      <c r="AO109" s="696"/>
      <c r="AP109" s="745"/>
      <c r="AQ109" s="696"/>
      <c r="AR109" s="696"/>
      <c r="AS109" s="696"/>
      <c r="AT109" s="745"/>
      <c r="AU109" s="696"/>
      <c r="AV109" s="696"/>
      <c r="AW109" s="696"/>
      <c r="AX109" s="745"/>
      <c r="AY109" s="745"/>
      <c r="AZ109" s="1469"/>
      <c r="BA109" s="1468"/>
      <c r="BB109" s="1468"/>
      <c r="BC109" s="1468"/>
      <c r="BD109" s="1468"/>
      <c r="BE109" s="1468"/>
      <c r="BF109" s="1468"/>
      <c r="BG109" s="1468"/>
      <c r="BH109" s="1468"/>
      <c r="BI109" s="1468"/>
      <c r="BJ109" s="1468"/>
      <c r="BK109" s="1468"/>
      <c r="BL109" s="1468"/>
      <c r="BM109" s="696"/>
      <c r="BN109" s="696"/>
      <c r="BO109" s="696"/>
      <c r="BP109" s="696"/>
      <c r="BQ109" s="696"/>
      <c r="BR109" s="696"/>
      <c r="BS109" s="696"/>
      <c r="BT109" s="696"/>
      <c r="BU109" s="399"/>
      <c r="BV109" s="399"/>
      <c r="BW109" s="399"/>
      <c r="BX109" s="399"/>
    </row>
    <row r="110" spans="1:76">
      <c r="A110" s="39" t="s">
        <v>884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S110" s="8"/>
      <c r="T110" s="1758"/>
      <c r="U110" s="1"/>
      <c r="V110" s="1"/>
      <c r="W110" s="1"/>
      <c r="X110" s="399"/>
      <c r="Y110" s="399"/>
      <c r="Z110" s="399"/>
      <c r="AA110" s="743"/>
      <c r="AB110" s="696"/>
      <c r="AC110" s="696"/>
      <c r="AD110" s="745"/>
      <c r="AE110" s="743"/>
      <c r="AF110" s="696"/>
      <c r="AG110" s="696"/>
      <c r="AH110" s="696"/>
      <c r="AI110" s="743"/>
      <c r="AJ110" s="696"/>
      <c r="AK110" s="696"/>
      <c r="AL110" s="696"/>
      <c r="AM110" s="743"/>
      <c r="AN110" s="696"/>
      <c r="AO110" s="696"/>
      <c r="AP110" s="745"/>
      <c r="AQ110" s="696"/>
      <c r="AR110" s="696"/>
      <c r="AS110" s="696"/>
      <c r="AT110" s="745"/>
      <c r="AU110" s="696"/>
      <c r="AV110" s="696"/>
      <c r="AW110" s="696"/>
      <c r="AX110" s="745"/>
      <c r="AY110" s="745"/>
      <c r="AZ110" s="1469"/>
      <c r="BA110" s="1468"/>
      <c r="BB110" s="1468"/>
      <c r="BC110" s="1468"/>
      <c r="BD110" s="1468"/>
      <c r="BE110" s="1468"/>
      <c r="BF110" s="1468"/>
      <c r="BG110" s="1468"/>
      <c r="BH110" s="1468"/>
      <c r="BI110" s="1468"/>
      <c r="BJ110" s="1468"/>
      <c r="BK110" s="1468"/>
      <c r="BL110" s="1468"/>
      <c r="BM110" s="696"/>
      <c r="BN110" s="696"/>
      <c r="BO110" s="696"/>
      <c r="BP110" s="696"/>
      <c r="BQ110" s="696"/>
      <c r="BR110" s="696"/>
      <c r="BS110" s="696"/>
      <c r="BT110" s="696"/>
      <c r="BU110" s="399"/>
      <c r="BV110" s="399"/>
      <c r="BW110" s="399"/>
      <c r="BX110" s="399"/>
    </row>
    <row r="111" spans="1:76">
      <c r="A111" s="1467" t="s">
        <v>857</v>
      </c>
      <c r="B111" s="8"/>
      <c r="C111" s="8">
        <f t="shared" ref="C111:G113" si="231">C93/B93-1</f>
        <v>0.12328767123287676</v>
      </c>
      <c r="D111" s="8">
        <f t="shared" si="231"/>
        <v>9.6544715447154372E-2</v>
      </c>
      <c r="E111" s="8">
        <f t="shared" si="231"/>
        <v>4.5412418906394914E-2</v>
      </c>
      <c r="F111" s="8">
        <f t="shared" si="231"/>
        <v>3.652482269503543E-2</v>
      </c>
      <c r="G111" s="8">
        <f t="shared" si="231"/>
        <v>0.13702788231269247</v>
      </c>
      <c r="H111" s="8">
        <f t="shared" ref="H111:H113" si="232">H93/G93-1</f>
        <v>-1</v>
      </c>
      <c r="I111" s="8" t="e">
        <f t="shared" ref="I111:I113" si="233">I93/H93-1</f>
        <v>#DIV/0!</v>
      </c>
      <c r="J111" s="8"/>
      <c r="K111" s="8"/>
      <c r="L111" s="8"/>
      <c r="M111" s="8"/>
      <c r="N111" s="8"/>
      <c r="O111" s="8"/>
      <c r="S111" s="8"/>
      <c r="T111" s="1758"/>
      <c r="U111" s="1"/>
      <c r="V111" s="1"/>
      <c r="W111" s="1"/>
      <c r="X111" s="399"/>
      <c r="Y111" s="399"/>
      <c r="Z111" s="399"/>
      <c r="AA111" s="743"/>
      <c r="AB111" s="696"/>
      <c r="AC111" s="696"/>
      <c r="AD111" s="745"/>
      <c r="AE111" s="743"/>
      <c r="AF111" s="696"/>
      <c r="AG111" s="696"/>
      <c r="AH111" s="696"/>
      <c r="AI111" s="743"/>
      <c r="AJ111" s="696"/>
      <c r="AK111" s="696"/>
      <c r="AL111" s="696"/>
      <c r="AM111" s="743"/>
      <c r="AN111" s="696"/>
      <c r="AO111" s="696"/>
      <c r="AP111" s="745"/>
      <c r="AQ111" s="696"/>
      <c r="AR111" s="696"/>
      <c r="AS111" s="696"/>
      <c r="AT111" s="745"/>
      <c r="AU111" s="696"/>
      <c r="AV111" s="696"/>
      <c r="AW111" s="696"/>
      <c r="AX111" s="745"/>
      <c r="AY111" s="745"/>
      <c r="AZ111" s="1469"/>
      <c r="BA111" s="1468"/>
      <c r="BB111" s="1468"/>
      <c r="BC111" s="1468"/>
      <c r="BD111" s="1468"/>
      <c r="BE111" s="1468"/>
      <c r="BF111" s="1468"/>
      <c r="BG111" s="1468"/>
      <c r="BH111" s="1468"/>
      <c r="BI111" s="1468"/>
      <c r="BJ111" s="1468"/>
      <c r="BK111" s="1468"/>
      <c r="BL111" s="1468"/>
      <c r="BM111" s="696"/>
      <c r="BN111" s="696"/>
      <c r="BO111" s="696"/>
      <c r="BP111" s="696"/>
      <c r="BQ111" s="696"/>
      <c r="BR111" s="696"/>
      <c r="BS111" s="696"/>
      <c r="BT111" s="696"/>
      <c r="BU111" s="399"/>
      <c r="BV111" s="399"/>
      <c r="BW111" s="399"/>
      <c r="BX111" s="399"/>
    </row>
    <row r="112" spans="1:76">
      <c r="A112" s="1467" t="s">
        <v>856</v>
      </c>
      <c r="B112" s="8"/>
      <c r="C112" s="8">
        <f t="shared" si="231"/>
        <v>-0.19999999999999996</v>
      </c>
      <c r="D112" s="8">
        <f t="shared" si="231"/>
        <v>-0.25</v>
      </c>
      <c r="E112" s="8">
        <f t="shared" si="231"/>
        <v>0</v>
      </c>
      <c r="F112" s="8">
        <f t="shared" si="231"/>
        <v>0.5</v>
      </c>
      <c r="G112" s="8">
        <f t="shared" si="231"/>
        <v>-0.13288888888888883</v>
      </c>
      <c r="H112" s="8">
        <f t="shared" si="232"/>
        <v>-1</v>
      </c>
      <c r="I112" s="8" t="e">
        <f t="shared" si="233"/>
        <v>#DIV/0!</v>
      </c>
      <c r="J112" s="8"/>
      <c r="K112" s="8"/>
      <c r="L112" s="8"/>
      <c r="M112" s="8"/>
      <c r="N112" s="8"/>
      <c r="O112" s="8"/>
      <c r="S112" s="8"/>
      <c r="T112" s="1758"/>
      <c r="U112" s="1"/>
      <c r="V112" s="1"/>
      <c r="W112" s="1"/>
      <c r="X112" s="399"/>
      <c r="Y112" s="399"/>
      <c r="Z112" s="399"/>
      <c r="AA112" s="743"/>
      <c r="AB112" s="696"/>
      <c r="AC112" s="696"/>
      <c r="AD112" s="745"/>
      <c r="AE112" s="743"/>
      <c r="AF112" s="696"/>
      <c r="AG112" s="696"/>
      <c r="AH112" s="696"/>
      <c r="AI112" s="743"/>
      <c r="AJ112" s="696"/>
      <c r="AK112" s="696"/>
      <c r="AL112" s="696"/>
      <c r="AM112" s="743"/>
      <c r="AN112" s="696"/>
      <c r="AO112" s="696"/>
      <c r="AP112" s="745"/>
      <c r="AQ112" s="696"/>
      <c r="AR112" s="696"/>
      <c r="AS112" s="696"/>
      <c r="AT112" s="745"/>
      <c r="AU112" s="696"/>
      <c r="AV112" s="696"/>
      <c r="AW112" s="696"/>
      <c r="AX112" s="745"/>
      <c r="AY112" s="745"/>
      <c r="AZ112" s="1469"/>
      <c r="BA112" s="1468"/>
      <c r="BB112" s="1468"/>
      <c r="BC112" s="1468"/>
      <c r="BD112" s="1468"/>
      <c r="BE112" s="1468"/>
      <c r="BF112" s="1468"/>
      <c r="BG112" s="1468"/>
      <c r="BH112" s="1468"/>
      <c r="BI112" s="1468"/>
      <c r="BJ112" s="1468"/>
      <c r="BK112" s="1468"/>
      <c r="BL112" s="1468"/>
      <c r="BM112" s="696"/>
      <c r="BN112" s="8"/>
      <c r="BO112" s="8"/>
      <c r="BP112" s="8"/>
      <c r="BQ112" s="8"/>
      <c r="BR112" s="696"/>
      <c r="BS112" s="696"/>
      <c r="BT112" s="696"/>
      <c r="BU112" s="399"/>
      <c r="BV112" s="399"/>
      <c r="BW112" s="399"/>
      <c r="BX112" s="399"/>
    </row>
    <row r="113" spans="1:95">
      <c r="A113" s="39" t="s">
        <v>882</v>
      </c>
      <c r="B113" s="8"/>
      <c r="C113" s="8">
        <f t="shared" si="231"/>
        <v>0.57499999999999996</v>
      </c>
      <c r="D113" s="8">
        <f t="shared" si="231"/>
        <v>0.61904761904761907</v>
      </c>
      <c r="E113" s="8">
        <f t="shared" si="231"/>
        <v>0.31176470588235272</v>
      </c>
      <c r="F113" s="8">
        <f t="shared" si="231"/>
        <v>0.8034379671150973</v>
      </c>
      <c r="G113" s="8">
        <f t="shared" si="231"/>
        <v>0.64328636552009955</v>
      </c>
      <c r="H113" s="8">
        <f t="shared" si="232"/>
        <v>-1</v>
      </c>
      <c r="I113" s="8" t="e">
        <f t="shared" si="233"/>
        <v>#DIV/0!</v>
      </c>
      <c r="J113" s="8"/>
      <c r="K113" s="8"/>
      <c r="L113" s="8"/>
      <c r="M113" s="8"/>
      <c r="N113" s="8"/>
      <c r="O113" s="8"/>
      <c r="S113" s="8"/>
      <c r="T113" s="1758"/>
      <c r="U113" s="1"/>
      <c r="V113" s="1"/>
      <c r="W113" s="1"/>
      <c r="X113" s="399"/>
      <c r="Y113" s="399"/>
      <c r="Z113" s="399"/>
      <c r="AA113" s="743"/>
      <c r="AB113" s="696"/>
      <c r="AC113" s="696"/>
      <c r="AD113" s="745"/>
      <c r="AE113" s="743"/>
      <c r="AF113" s="696"/>
      <c r="AG113" s="696"/>
      <c r="AH113" s="696"/>
      <c r="AI113" s="743"/>
      <c r="AJ113" s="696"/>
      <c r="AK113" s="696"/>
      <c r="AL113" s="696"/>
      <c r="AM113" s="743"/>
      <c r="AN113" s="696"/>
      <c r="AO113" s="696"/>
      <c r="AP113" s="745"/>
      <c r="AQ113" s="696"/>
      <c r="AR113" s="696"/>
      <c r="AS113" s="696"/>
      <c r="AT113" s="745"/>
      <c r="AU113" s="696"/>
      <c r="AV113" s="696"/>
      <c r="AW113" s="696"/>
      <c r="AX113" s="745"/>
      <c r="AY113" s="745"/>
      <c r="AZ113" s="1469"/>
      <c r="BA113" s="1468"/>
      <c r="BB113" s="1468"/>
      <c r="BC113" s="1468"/>
      <c r="BD113" s="1468"/>
      <c r="BE113" s="1468"/>
      <c r="BF113" s="1468"/>
      <c r="BG113" s="1468"/>
      <c r="BH113" s="1468"/>
      <c r="BI113" s="1468"/>
      <c r="BJ113" s="1468"/>
      <c r="BK113" s="1468"/>
      <c r="BL113" s="1468"/>
      <c r="BM113" s="696"/>
      <c r="BN113" s="696"/>
      <c r="BO113" s="696"/>
      <c r="BP113" s="696"/>
      <c r="BQ113" s="696"/>
      <c r="BR113" s="696"/>
      <c r="BS113" s="696"/>
      <c r="BT113" s="696"/>
      <c r="BU113" s="399"/>
      <c r="BV113" s="399"/>
      <c r="BW113" s="399"/>
      <c r="BX113" s="399"/>
    </row>
    <row r="114" spans="1:95">
      <c r="A114" s="735"/>
      <c r="B114" s="696"/>
      <c r="C114" s="696"/>
      <c r="D114" s="696"/>
      <c r="E114" s="696"/>
      <c r="F114" s="696"/>
      <c r="G114" s="696"/>
      <c r="H114" s="696"/>
      <c r="I114" s="696"/>
      <c r="J114" s="696"/>
      <c r="K114" s="696"/>
      <c r="L114" s="696"/>
      <c r="M114" s="696"/>
      <c r="N114" s="696"/>
      <c r="O114" s="696"/>
      <c r="S114" s="696"/>
      <c r="T114" s="1758"/>
      <c r="U114" s="1"/>
      <c r="V114" s="1"/>
      <c r="W114" s="1"/>
      <c r="X114" s="399"/>
      <c r="Y114" s="399"/>
      <c r="Z114" s="399"/>
      <c r="AA114" s="743"/>
      <c r="AB114" s="696"/>
      <c r="AC114" s="696"/>
      <c r="AD114" s="745"/>
      <c r="AE114" s="743"/>
      <c r="AF114" s="696"/>
      <c r="AG114" s="696"/>
      <c r="AH114" s="696"/>
      <c r="AI114" s="743"/>
      <c r="AJ114" s="696"/>
      <c r="AK114" s="696"/>
      <c r="AL114" s="696"/>
      <c r="AM114" s="743"/>
      <c r="AN114" s="696"/>
      <c r="AO114" s="696"/>
      <c r="AP114" s="745"/>
      <c r="AQ114" s="696"/>
      <c r="AR114" s="696"/>
      <c r="AS114" s="696"/>
      <c r="AT114" s="745"/>
      <c r="AU114" s="696"/>
      <c r="AV114" s="696"/>
      <c r="AW114" s="696"/>
      <c r="AX114" s="745"/>
      <c r="AY114" s="745"/>
      <c r="AZ114" s="1469"/>
      <c r="BA114" s="1468"/>
      <c r="BB114" s="1468"/>
      <c r="BC114" s="1468"/>
      <c r="BD114" s="1468"/>
      <c r="BE114" s="1468"/>
      <c r="BF114" s="1468"/>
      <c r="BG114" s="1468"/>
      <c r="BH114" s="1468"/>
      <c r="BI114" s="1468"/>
      <c r="BJ114" s="1468"/>
      <c r="BK114" s="1468"/>
      <c r="BL114" s="1468"/>
      <c r="BM114" s="696"/>
      <c r="BN114" s="696"/>
      <c r="BO114" s="696"/>
      <c r="BP114" s="696"/>
      <c r="BQ114" s="696"/>
      <c r="BR114" s="696"/>
      <c r="BS114" s="696"/>
      <c r="BT114" s="696"/>
      <c r="BU114" s="399"/>
      <c r="BV114" s="399"/>
      <c r="BW114" s="399"/>
      <c r="BX114" s="399"/>
    </row>
    <row r="115" spans="1:95" s="1" customFormat="1">
      <c r="A115" s="1108" t="s">
        <v>859</v>
      </c>
      <c r="B115" s="1109">
        <f>PL!I47</f>
        <v>3857.6025552060019</v>
      </c>
      <c r="C115" s="1109">
        <f>PL!J47</f>
        <v>4664.5305117059988</v>
      </c>
      <c r="D115" s="1109">
        <f>PL!K47</f>
        <v>5263.4566299669987</v>
      </c>
      <c r="E115" s="1109">
        <f>PL!L47</f>
        <v>6337.2064409580007</v>
      </c>
      <c r="F115" s="1109">
        <f>PL!M47</f>
        <v>7662.2829598800017</v>
      </c>
      <c r="G115" s="1109">
        <f>PL!N47</f>
        <v>9203.0060985699965</v>
      </c>
      <c r="H115" s="1109">
        <f>PL!O47</f>
        <v>11069.660000000005</v>
      </c>
      <c r="I115" s="1109">
        <f>PL!P47</f>
        <v>13133.720000000005</v>
      </c>
      <c r="J115" s="1109"/>
      <c r="K115" s="1109">
        <f ca="1">PL!R47</f>
        <v>15016.416682613406</v>
      </c>
      <c r="L115" s="1109">
        <f ca="1">PL!S47</f>
        <v>17014.72800224385</v>
      </c>
      <c r="M115" s="1109"/>
      <c r="N115" s="1109">
        <f ca="1">PL!W47</f>
        <v>11045.934270099999</v>
      </c>
      <c r="O115" s="2565">
        <f>G115*1.248</f>
        <v>11485.351611015356</v>
      </c>
      <c r="S115" s="698"/>
      <c r="T115" s="1758"/>
      <c r="X115" s="399"/>
      <c r="Y115" s="399"/>
      <c r="Z115" s="399"/>
      <c r="AA115" s="780"/>
      <c r="AB115" s="698"/>
      <c r="AC115" s="698"/>
      <c r="AD115" s="1101"/>
      <c r="AE115" s="780">
        <f>PL!BO47</f>
        <v>1142.289868827</v>
      </c>
      <c r="AF115" s="698">
        <f>PL!BP47</f>
        <v>1285.4931080029999</v>
      </c>
      <c r="AG115" s="698">
        <f>PL!BQ47</f>
        <v>1385.878971886</v>
      </c>
      <c r="AH115" s="698">
        <f>PL!BR47</f>
        <v>1447.3200404020001</v>
      </c>
      <c r="AI115" s="780">
        <f>PL!BS47</f>
        <v>1396.7512113370001</v>
      </c>
      <c r="AJ115" s="698">
        <f>PL!BT47</f>
        <v>1539.464518474</v>
      </c>
      <c r="AK115" s="698">
        <f>PL!BU47</f>
        <v>1638.5727718840003</v>
      </c>
      <c r="AL115" s="698">
        <f>PL!BV47</f>
        <v>1760.4022254669999</v>
      </c>
      <c r="AM115" s="780">
        <f>PL!BW47</f>
        <v>1779.04784668</v>
      </c>
      <c r="AN115" s="698">
        <f>PL!BX47</f>
        <v>1857.8446263870001</v>
      </c>
      <c r="AO115" s="698">
        <f>PL!BY47</f>
        <v>2028.0248199239995</v>
      </c>
      <c r="AP115" s="1101">
        <f>PL!BZ47</f>
        <v>1989.0286309140001</v>
      </c>
      <c r="AQ115" s="698">
        <f>SUM(AQ117:AQ118,AQ120:AQ122)</f>
        <v>2120.643</v>
      </c>
      <c r="AR115" s="1908">
        <f>4339-AQ115</f>
        <v>2218.357</v>
      </c>
      <c r="AS115" s="698">
        <f>6768-AR115-AQ115</f>
        <v>2429</v>
      </c>
      <c r="AT115" s="1101">
        <f>9203-AS115-AR115-AQ115</f>
        <v>2435</v>
      </c>
      <c r="AU115" s="698">
        <f>AU116+AU119+AU122</f>
        <v>2534</v>
      </c>
      <c r="AV115" s="698">
        <f>AV116+AV119+AV122</f>
        <v>2663</v>
      </c>
      <c r="AW115" s="698">
        <f>8111-AV115-AU115</f>
        <v>2914</v>
      </c>
      <c r="AX115" s="1101">
        <f>11071-AW115-AV115-AU115</f>
        <v>2960</v>
      </c>
      <c r="AY115" s="1101">
        <v>3025</v>
      </c>
      <c r="AZ115" s="3312">
        <f>6166-AY115</f>
        <v>3141</v>
      </c>
      <c r="BA115" s="3312">
        <f>9540-AY115-AZ115</f>
        <v>3374</v>
      </c>
      <c r="BB115" s="3312">
        <f>13039-BA115-AZ115-AY115</f>
        <v>3499</v>
      </c>
      <c r="BC115" s="1908">
        <v>2804</v>
      </c>
      <c r="BD115" s="1913">
        <f>AQ115+AR115</f>
        <v>4339</v>
      </c>
      <c r="BE115" s="1913">
        <f>AU115+AV115</f>
        <v>5197</v>
      </c>
      <c r="BF115" s="1913"/>
      <c r="BG115" s="1913"/>
      <c r="BH115" s="1913"/>
      <c r="BI115" s="1913">
        <f>AY115+AZ115</f>
        <v>6166</v>
      </c>
      <c r="BJ115" s="1913"/>
      <c r="BK115" s="1908"/>
      <c r="BL115" s="1908"/>
      <c r="BM115" s="698"/>
      <c r="BN115" s="698"/>
      <c r="BO115" s="698"/>
      <c r="BP115" s="1908">
        <v>5714</v>
      </c>
      <c r="BQ115" s="1908">
        <f>BP115-BC115</f>
        <v>2910</v>
      </c>
      <c r="BR115" s="698"/>
      <c r="BS115" s="698"/>
      <c r="BT115" s="698"/>
      <c r="BU115" s="1132"/>
      <c r="BV115" s="1137"/>
      <c r="BW115" s="1137"/>
      <c r="BX115" s="1132"/>
      <c r="BZ115" s="1913"/>
      <c r="CA115" s="1147"/>
      <c r="CD115" s="248">
        <f t="shared" ref="CD115:CD122" si="234">AE115+AF115</f>
        <v>2427.7829768299998</v>
      </c>
      <c r="CG115" s="697"/>
      <c r="CH115" s="697"/>
      <c r="CI115" s="7"/>
      <c r="CP115" s="9"/>
      <c r="CQ115" s="9"/>
    </row>
    <row r="116" spans="1:95" s="1" customFormat="1">
      <c r="A116" s="735" t="s">
        <v>883</v>
      </c>
      <c r="B116" s="696">
        <f>SUM(B117:B118)</f>
        <v>1519.116</v>
      </c>
      <c r="C116" s="696">
        <f>SUM(C117:C118)</f>
        <v>1972.6130000000001</v>
      </c>
      <c r="D116" s="696">
        <f>SUM(D117:D118)</f>
        <v>2237.5919999999996</v>
      </c>
      <c r="E116" s="696">
        <f>SUM(E117:E118)</f>
        <v>2750.5229999999997</v>
      </c>
      <c r="F116" s="696">
        <f>SUM(F117:F118)</f>
        <v>3366.1969999999997</v>
      </c>
      <c r="G116" s="696">
        <v>4162</v>
      </c>
      <c r="H116" s="696">
        <v>5229</v>
      </c>
      <c r="I116" s="696">
        <v>5883</v>
      </c>
      <c r="J116" s="788"/>
      <c r="K116" s="788"/>
      <c r="L116" s="788"/>
      <c r="M116" s="788"/>
      <c r="N116" s="1536">
        <f t="shared" ref="N116:N122" ca="1" si="235">N135*N11</f>
        <v>5617.8813300000002</v>
      </c>
      <c r="O116" s="788"/>
      <c r="S116" s="698"/>
      <c r="T116" s="1758"/>
      <c r="U116" s="725"/>
      <c r="V116" s="725"/>
      <c r="W116" s="725"/>
      <c r="X116" s="725"/>
      <c r="Y116" s="725"/>
      <c r="Z116" s="725"/>
      <c r="AA116" s="780"/>
      <c r="AB116" s="698"/>
      <c r="AC116" s="698"/>
      <c r="AD116" s="1101"/>
      <c r="AE116" s="743">
        <f>SUM(AE117:AE118)</f>
        <v>428.036</v>
      </c>
      <c r="AF116" s="696">
        <f t="shared" ref="AF116:AQ116" si="236">SUM(AF117:AF118)</f>
        <v>538.74599999999998</v>
      </c>
      <c r="AG116" s="696">
        <f t="shared" si="236"/>
        <v>639.57700000000011</v>
      </c>
      <c r="AH116" s="696">
        <f t="shared" si="236"/>
        <v>630.69899999999984</v>
      </c>
      <c r="AI116" s="743">
        <f t="shared" si="236"/>
        <v>541.49700000000007</v>
      </c>
      <c r="AJ116" s="696">
        <f t="shared" si="236"/>
        <v>738.59</v>
      </c>
      <c r="AK116" s="696">
        <f t="shared" si="236"/>
        <v>783.55</v>
      </c>
      <c r="AL116" s="696">
        <f t="shared" si="236"/>
        <v>684.47499999999991</v>
      </c>
      <c r="AM116" s="743">
        <f t="shared" si="236"/>
        <v>758.28</v>
      </c>
      <c r="AN116" s="696">
        <f t="shared" si="236"/>
        <v>834.0809999999999</v>
      </c>
      <c r="AO116" s="696">
        <f t="shared" si="236"/>
        <v>1006.7250000000001</v>
      </c>
      <c r="AP116" s="696">
        <f t="shared" si="236"/>
        <v>774.99399999999969</v>
      </c>
      <c r="AQ116" s="743">
        <f t="shared" si="236"/>
        <v>905.56500000000005</v>
      </c>
      <c r="AR116" s="1910">
        <f>2005-AQ116</f>
        <v>1099.4349999999999</v>
      </c>
      <c r="AS116" s="248">
        <f>3128-AR116-AQ116</f>
        <v>1123</v>
      </c>
      <c r="AT116" s="1532">
        <f>4161-AS116-AR116-AQ116</f>
        <v>1033</v>
      </c>
      <c r="AU116" s="1449">
        <f>AU117+AU118</f>
        <v>1156</v>
      </c>
      <c r="AV116" s="1449">
        <f>AV117+AV118</f>
        <v>1295</v>
      </c>
      <c r="AW116" s="1449">
        <f>3812-AV116-AU116</f>
        <v>1361</v>
      </c>
      <c r="AX116" s="1101">
        <f>5229-AW116-AV116-AU116</f>
        <v>1417</v>
      </c>
      <c r="AY116" s="1101">
        <v>1416</v>
      </c>
      <c r="AZ116" s="3312">
        <f>2834-AY116</f>
        <v>1418</v>
      </c>
      <c r="BA116" s="3312">
        <f>4333-AY116-AZ116</f>
        <v>1499</v>
      </c>
      <c r="BB116" s="3312">
        <f>5883-BA116-AZ116-AY116</f>
        <v>1550</v>
      </c>
      <c r="BC116" s="1908">
        <v>1566</v>
      </c>
      <c r="BD116" s="1913">
        <f t="shared" ref="BD116:BD122" si="237">AQ116+AR116</f>
        <v>2005</v>
      </c>
      <c r="BE116" s="1913">
        <f t="shared" ref="BE116:BE122" si="238">AU116+AV116</f>
        <v>2451</v>
      </c>
      <c r="BF116" s="1913"/>
      <c r="BG116" s="1913"/>
      <c r="BH116" s="1913"/>
      <c r="BI116" s="1913">
        <f t="shared" ref="BI116:BI122" si="239">AY116+AZ116</f>
        <v>2834</v>
      </c>
      <c r="BJ116" s="1913"/>
      <c r="BK116" s="1908"/>
      <c r="BL116" s="1908"/>
      <c r="BM116" s="698"/>
      <c r="BN116" s="1449"/>
      <c r="BO116" s="1449"/>
      <c r="BP116" s="1908">
        <v>3314</v>
      </c>
      <c r="BQ116" s="1908">
        <f>BP116-BC116</f>
        <v>1748</v>
      </c>
      <c r="BR116" s="698"/>
      <c r="BS116" s="698"/>
      <c r="BT116" s="698"/>
      <c r="BU116" s="739"/>
      <c r="BV116" s="1133"/>
      <c r="BW116" s="1133"/>
      <c r="BX116" s="739"/>
      <c r="BZ116" s="1615"/>
      <c r="CA116" s="725"/>
      <c r="CD116" s="250">
        <f t="shared" si="234"/>
        <v>966.78199999999993</v>
      </c>
      <c r="CE116" s="725"/>
      <c r="CF116" s="725"/>
      <c r="CG116" s="738"/>
      <c r="CH116" s="738"/>
      <c r="CI116" s="725"/>
      <c r="CJ116" s="725"/>
    </row>
    <row r="117" spans="1:95" s="826" customFormat="1">
      <c r="A117" s="39" t="s">
        <v>854</v>
      </c>
      <c r="B117" s="696">
        <v>1360.066</v>
      </c>
      <c r="C117" s="696">
        <v>1722.422</v>
      </c>
      <c r="D117" s="696">
        <v>1970.1679999999999</v>
      </c>
      <c r="E117" s="696">
        <v>2423.8719999999998</v>
      </c>
      <c r="F117" s="696">
        <v>2976.7289999999998</v>
      </c>
      <c r="G117" s="696">
        <v>3782</v>
      </c>
      <c r="H117" s="696">
        <v>4770</v>
      </c>
      <c r="I117" s="696">
        <v>5467</v>
      </c>
      <c r="J117" s="995"/>
      <c r="K117" s="995"/>
      <c r="L117" s="995"/>
      <c r="M117" s="995"/>
      <c r="N117" s="1536">
        <f t="shared" ca="1" si="235"/>
        <v>4890.4160000000002</v>
      </c>
      <c r="O117" s="995"/>
      <c r="S117" s="696"/>
      <c r="T117" s="1756"/>
      <c r="U117" s="725"/>
      <c r="V117" s="725"/>
      <c r="W117" s="725"/>
      <c r="X117" s="725"/>
      <c r="Y117" s="725"/>
      <c r="Z117" s="725"/>
      <c r="AA117" s="823"/>
      <c r="AB117" s="824"/>
      <c r="AC117" s="824"/>
      <c r="AD117" s="825"/>
      <c r="AE117" s="743">
        <v>424.988</v>
      </c>
      <c r="AF117" s="696">
        <f>895.61-AE117</f>
        <v>470.62200000000001</v>
      </c>
      <c r="AG117" s="696">
        <f>1418.237-SUM(AE117:AF117)</f>
        <v>522.62700000000007</v>
      </c>
      <c r="AH117" s="745">
        <f>1969.769-SUM(AE117:AG117)</f>
        <v>551.53199999999993</v>
      </c>
      <c r="AI117" s="743">
        <v>494.82100000000003</v>
      </c>
      <c r="AJ117" s="696">
        <v>565.80100000000004</v>
      </c>
      <c r="AK117" s="696">
        <v>671.38099999999986</v>
      </c>
      <c r="AL117" s="696">
        <v>690.78899999999999</v>
      </c>
      <c r="AM117" s="743">
        <v>667.28800000000001</v>
      </c>
      <c r="AN117" s="696">
        <v>699.58199999999988</v>
      </c>
      <c r="AO117" s="696">
        <v>852.55000000000018</v>
      </c>
      <c r="AP117" s="745">
        <v>771.98299999999972</v>
      </c>
      <c r="AQ117" s="696">
        <v>888.34100000000001</v>
      </c>
      <c r="AR117" s="1468">
        <f>1834-AQ117</f>
        <v>945.65899999999999</v>
      </c>
      <c r="AS117" s="1449">
        <f>2878-AR117-AQ117</f>
        <v>1044</v>
      </c>
      <c r="AT117" s="1532">
        <f>3782-AS117-AR117-AQ117</f>
        <v>903.99999999999989</v>
      </c>
      <c r="AU117" s="696">
        <v>1115</v>
      </c>
      <c r="AV117" s="1449">
        <f>2294-AU117</f>
        <v>1179</v>
      </c>
      <c r="AW117" s="696">
        <f>3614-AV117-AU117</f>
        <v>1320</v>
      </c>
      <c r="AX117" s="745">
        <f>4770-AW117-AV117-AU117</f>
        <v>1156</v>
      </c>
      <c r="AY117" s="745">
        <v>1391</v>
      </c>
      <c r="AZ117" s="1469">
        <f>2681-AY117</f>
        <v>1290</v>
      </c>
      <c r="BA117" s="1469">
        <f>4073-AZ117-AY117</f>
        <v>1392</v>
      </c>
      <c r="BB117" s="1469">
        <f>5467-BA117-AZ117-AY117</f>
        <v>1394</v>
      </c>
      <c r="BC117" s="1468"/>
      <c r="BD117" s="1913">
        <f t="shared" si="237"/>
        <v>1834</v>
      </c>
      <c r="BE117" s="1913">
        <f t="shared" si="238"/>
        <v>2294</v>
      </c>
      <c r="BF117" s="1913"/>
      <c r="BG117" s="1913"/>
      <c r="BH117" s="1913"/>
      <c r="BI117" s="1913">
        <f t="shared" si="239"/>
        <v>2681</v>
      </c>
      <c r="BJ117" s="1913"/>
      <c r="BK117" s="1468"/>
      <c r="BL117" s="1468"/>
      <c r="BM117" s="696"/>
      <c r="BN117" s="696"/>
      <c r="BO117" s="696"/>
      <c r="BP117" s="1468">
        <v>3006</v>
      </c>
      <c r="BQ117" s="696"/>
      <c r="BR117" s="696"/>
      <c r="BS117" s="696"/>
      <c r="BT117" s="696"/>
      <c r="BU117" s="739"/>
      <c r="BV117" s="1133"/>
      <c r="BW117" s="1133"/>
      <c r="BX117" s="739"/>
      <c r="BZ117" s="1615"/>
      <c r="CA117" s="725"/>
      <c r="CB117" s="725">
        <f>AQ117/$AQ$10</f>
        <v>7.6005243375387402E-2</v>
      </c>
      <c r="CD117" s="250">
        <f t="shared" si="234"/>
        <v>895.61</v>
      </c>
      <c r="CE117" s="725"/>
      <c r="CF117" s="725"/>
      <c r="CG117" s="738"/>
      <c r="CH117" s="738"/>
      <c r="CI117" s="725"/>
      <c r="CJ117" s="725"/>
    </row>
    <row r="118" spans="1:95">
      <c r="A118" s="39" t="s">
        <v>855</v>
      </c>
      <c r="B118" s="696">
        <v>159.05000000000001</v>
      </c>
      <c r="C118" s="696">
        <v>250.191</v>
      </c>
      <c r="D118" s="696">
        <v>267.42399999999998</v>
      </c>
      <c r="E118" s="696">
        <v>326.65100000000001</v>
      </c>
      <c r="F118" s="696">
        <v>389.46800000000002</v>
      </c>
      <c r="G118" s="696">
        <v>380</v>
      </c>
      <c r="H118" s="696">
        <v>460</v>
      </c>
      <c r="I118" s="696">
        <v>416</v>
      </c>
      <c r="J118" s="995"/>
      <c r="K118" s="995"/>
      <c r="L118" s="995"/>
      <c r="M118" s="995"/>
      <c r="N118" s="1536">
        <f t="shared" ca="1" si="235"/>
        <v>501.40000000000003</v>
      </c>
      <c r="O118" s="995"/>
      <c r="S118" s="696"/>
      <c r="T118" s="811"/>
      <c r="U118" s="725"/>
      <c r="V118" s="725"/>
      <c r="W118" s="725"/>
      <c r="X118" s="725"/>
      <c r="Y118" s="725"/>
      <c r="Z118" s="725"/>
      <c r="AA118" s="743"/>
      <c r="AB118" s="696"/>
      <c r="AC118" s="696"/>
      <c r="AD118" s="745"/>
      <c r="AE118" s="743">
        <v>3.048</v>
      </c>
      <c r="AF118" s="696">
        <f>71.172-AE118</f>
        <v>68.123999999999995</v>
      </c>
      <c r="AG118" s="696">
        <f>188.122-SUM(AE118:AF118)</f>
        <v>116.95000000000002</v>
      </c>
      <c r="AH118" s="745">
        <f>267.289-SUM(AE118:AG118)</f>
        <v>79.166999999999973</v>
      </c>
      <c r="AI118" s="743">
        <v>46.676000000000002</v>
      </c>
      <c r="AJ118" s="696">
        <v>172.78899999999999</v>
      </c>
      <c r="AK118" s="696">
        <v>112.16900000000004</v>
      </c>
      <c r="AL118" s="696">
        <v>-6.3140000000000214</v>
      </c>
      <c r="AM118" s="743">
        <v>90.992000000000004</v>
      </c>
      <c r="AN118" s="696">
        <v>134.49900000000002</v>
      </c>
      <c r="AO118" s="696">
        <v>154.17499999999995</v>
      </c>
      <c r="AP118" s="745">
        <v>3.0110000000000241</v>
      </c>
      <c r="AQ118" s="696">
        <v>17.224</v>
      </c>
      <c r="AR118" s="1468">
        <f>171-AQ118</f>
        <v>153.77600000000001</v>
      </c>
      <c r="AS118" s="1449">
        <f>250-AR118-AQ118</f>
        <v>78.999999999999986</v>
      </c>
      <c r="AT118" s="1532">
        <f>379-AS118-AR118-AQ118</f>
        <v>129</v>
      </c>
      <c r="AU118" s="696">
        <v>41</v>
      </c>
      <c r="AV118" s="696">
        <f>157-AU118</f>
        <v>116</v>
      </c>
      <c r="AW118" s="696">
        <f>197-AV118-AU118</f>
        <v>40</v>
      </c>
      <c r="AX118" s="745">
        <f>460-AW118-AV118-AU118</f>
        <v>263</v>
      </c>
      <c r="AY118" s="745">
        <v>24</v>
      </c>
      <c r="AZ118" s="1469">
        <f>154-AY118</f>
        <v>130</v>
      </c>
      <c r="BA118" s="1469">
        <f>260-AZ118-AY118</f>
        <v>106</v>
      </c>
      <c r="BB118" s="1469">
        <f>416-BA118-AZ118-AY118</f>
        <v>156</v>
      </c>
      <c r="BC118" s="1468"/>
      <c r="BD118" s="1913">
        <f t="shared" si="237"/>
        <v>171</v>
      </c>
      <c r="BE118" s="1913">
        <f t="shared" si="238"/>
        <v>157</v>
      </c>
      <c r="BF118" s="1913"/>
      <c r="BG118" s="1913"/>
      <c r="BH118" s="1913"/>
      <c r="BI118" s="1913">
        <f t="shared" si="239"/>
        <v>154</v>
      </c>
      <c r="BJ118" s="1913"/>
      <c r="BK118" s="3291"/>
      <c r="BL118" s="1468"/>
      <c r="BM118" s="696"/>
      <c r="BN118" s="696"/>
      <c r="BO118" s="696"/>
      <c r="BP118" s="1468">
        <v>308</v>
      </c>
      <c r="BQ118" s="696"/>
      <c r="BR118" s="696"/>
      <c r="BS118" s="696"/>
      <c r="BT118" s="696"/>
      <c r="BU118" s="739"/>
      <c r="BV118" s="1133"/>
      <c r="BW118" s="1133"/>
      <c r="BX118" s="739"/>
      <c r="BZ118" s="1615"/>
      <c r="CA118" s="725"/>
      <c r="CB118" s="725">
        <f>AQ118/$AQ$10</f>
        <v>1.4736619292565272E-3</v>
      </c>
      <c r="CD118" s="250">
        <f t="shared" si="234"/>
        <v>71.171999999999997</v>
      </c>
      <c r="CE118" s="725"/>
      <c r="CF118" s="725"/>
      <c r="CG118" s="738"/>
      <c r="CH118" s="738"/>
      <c r="CI118" s="725"/>
      <c r="CJ118" s="725"/>
    </row>
    <row r="119" spans="1:95">
      <c r="A119" s="1466" t="s">
        <v>895</v>
      </c>
      <c r="B119" s="696">
        <f>SUM(B120:B121)</f>
        <v>1457.5339999999999</v>
      </c>
      <c r="C119" s="696">
        <f>SUM(C120:C121)</f>
        <v>1808.153</v>
      </c>
      <c r="D119" s="696">
        <f>SUM(D120:D121)</f>
        <v>2074.0360000000001</v>
      </c>
      <c r="E119" s="696">
        <f>SUM(E120:E121)</f>
        <v>2394.9290000000001</v>
      </c>
      <c r="F119" s="696">
        <f>SUM(F120:F121)</f>
        <v>2817.5969999999998</v>
      </c>
      <c r="G119" s="696">
        <f>G120+G121</f>
        <v>3036</v>
      </c>
      <c r="H119" s="696">
        <v>3588</v>
      </c>
      <c r="I119" s="250">
        <f>I120+I121</f>
        <v>4363</v>
      </c>
      <c r="J119" s="995"/>
      <c r="K119" s="995"/>
      <c r="L119" s="995"/>
      <c r="M119" s="995"/>
      <c r="N119" s="1536">
        <f t="shared" si="235"/>
        <v>4043.2559999999999</v>
      </c>
      <c r="O119" s="995">
        <f>G119*1.153</f>
        <v>3500.5080000000003</v>
      </c>
      <c r="S119" s="696"/>
      <c r="T119" s="811"/>
      <c r="U119" s="725"/>
      <c r="V119" s="725"/>
      <c r="W119" s="725"/>
      <c r="X119" s="725"/>
      <c r="Y119" s="725"/>
      <c r="Z119" s="725"/>
      <c r="AA119" s="743"/>
      <c r="AB119" s="696"/>
      <c r="AC119" s="696"/>
      <c r="AD119" s="745"/>
      <c r="AE119" s="743">
        <f>SUM(AE120:AE121)</f>
        <v>446.53399999999999</v>
      </c>
      <c r="AF119" s="696">
        <f t="shared" ref="AF119:AQ119" si="240">SUM(AF120:AF121)</f>
        <v>491.67299999999994</v>
      </c>
      <c r="AG119" s="696">
        <f t="shared" si="240"/>
        <v>524.28</v>
      </c>
      <c r="AH119" s="696">
        <f t="shared" si="240"/>
        <v>611.54899999999998</v>
      </c>
      <c r="AI119" s="743">
        <f t="shared" si="240"/>
        <v>575.81799999999998</v>
      </c>
      <c r="AJ119" s="696">
        <f t="shared" si="240"/>
        <v>621.03800000000012</v>
      </c>
      <c r="AK119" s="696">
        <f t="shared" si="240"/>
        <v>586.18499999999983</v>
      </c>
      <c r="AL119" s="696">
        <f t="shared" si="240"/>
        <v>611.88800000000003</v>
      </c>
      <c r="AM119" s="743">
        <f t="shared" si="240"/>
        <v>700.976</v>
      </c>
      <c r="AN119" s="696">
        <f t="shared" si="240"/>
        <v>744.27700000000004</v>
      </c>
      <c r="AO119" s="696">
        <f t="shared" si="240"/>
        <v>723.36699999999996</v>
      </c>
      <c r="AP119" s="696">
        <f t="shared" si="240"/>
        <v>648.97699999999998</v>
      </c>
      <c r="AQ119" s="743">
        <f t="shared" si="240"/>
        <v>723.68899999999996</v>
      </c>
      <c r="AR119" s="1911">
        <f>1514-AQ119</f>
        <v>790.31100000000004</v>
      </c>
      <c r="AS119" s="1449">
        <f>2299-AR119-AQ119</f>
        <v>784.99999999999989</v>
      </c>
      <c r="AT119" s="2437">
        <f>3036-AS119-AR119-AQ119</f>
        <v>736.99999999999989</v>
      </c>
      <c r="AU119" s="696">
        <f>AU120+AU121</f>
        <v>825</v>
      </c>
      <c r="AV119" s="696">
        <f>AV120+AV121</f>
        <v>934</v>
      </c>
      <c r="AW119" s="696">
        <f>2666-AV119-AU119</f>
        <v>907</v>
      </c>
      <c r="AX119" s="745">
        <f>3588-AW119-AV119-AU119</f>
        <v>922</v>
      </c>
      <c r="AY119" s="745">
        <v>967</v>
      </c>
      <c r="AZ119" s="1469">
        <f>2096-AY119</f>
        <v>1129</v>
      </c>
      <c r="BA119" s="1469">
        <f>3228-AZ119-AY119</f>
        <v>1132</v>
      </c>
      <c r="BB119" s="1469">
        <f>4364-BA119-AZ119-AY119</f>
        <v>1136</v>
      </c>
      <c r="BC119" s="1468"/>
      <c r="BD119" s="1913">
        <f t="shared" si="237"/>
        <v>1514</v>
      </c>
      <c r="BE119" s="1913">
        <f t="shared" si="238"/>
        <v>1759</v>
      </c>
      <c r="BF119" s="1913"/>
      <c r="BG119" s="1913"/>
      <c r="BH119" s="1913"/>
      <c r="BI119" s="1913">
        <f t="shared" si="239"/>
        <v>2096</v>
      </c>
      <c r="BJ119" s="1913"/>
      <c r="BK119" s="1468"/>
      <c r="BL119" s="1468"/>
      <c r="BM119" s="696"/>
      <c r="BN119" s="696"/>
      <c r="BO119" s="696"/>
      <c r="BP119" s="696"/>
      <c r="BQ119" s="696"/>
      <c r="BR119" s="696"/>
      <c r="BS119" s="696"/>
      <c r="BT119" s="696"/>
      <c r="BU119" s="739"/>
      <c r="BV119" s="1133"/>
      <c r="BW119" s="1133"/>
      <c r="BX119" s="739"/>
      <c r="BZ119" s="1615"/>
      <c r="CA119" s="725"/>
      <c r="CB119" s="725"/>
      <c r="CD119" s="250">
        <f t="shared" si="234"/>
        <v>938.20699999999988</v>
      </c>
      <c r="CE119" s="725"/>
      <c r="CF119" s="725"/>
      <c r="CG119" s="738"/>
      <c r="CH119" s="738"/>
      <c r="CI119" s="725"/>
      <c r="CJ119" s="725"/>
    </row>
    <row r="120" spans="1:95">
      <c r="A120" s="39" t="s">
        <v>857</v>
      </c>
      <c r="B120" s="696">
        <v>1142.2909999999999</v>
      </c>
      <c r="C120" s="696">
        <v>1487.627</v>
      </c>
      <c r="D120" s="696">
        <v>1818.53</v>
      </c>
      <c r="E120" s="696">
        <v>2118.7449999999999</v>
      </c>
      <c r="F120" s="696">
        <v>2508.337</v>
      </c>
      <c r="G120" s="696">
        <v>2895</v>
      </c>
      <c r="H120" s="696">
        <v>3420</v>
      </c>
      <c r="I120" s="696">
        <v>4167</v>
      </c>
      <c r="J120" s="995"/>
      <c r="K120" s="995"/>
      <c r="L120" s="995"/>
      <c r="M120" s="995"/>
      <c r="N120" s="1536">
        <f t="shared" si="235"/>
        <v>3880.9980362001652</v>
      </c>
      <c r="O120" s="995"/>
      <c r="S120" s="696"/>
      <c r="T120" s="811"/>
      <c r="U120" s="725"/>
      <c r="V120" s="725"/>
      <c r="W120" s="725"/>
      <c r="X120" s="725"/>
      <c r="Y120" s="725"/>
      <c r="Z120" s="725"/>
      <c r="AA120" s="743"/>
      <c r="AB120" s="696"/>
      <c r="AC120" s="696"/>
      <c r="AD120" s="745"/>
      <c r="AE120" s="743">
        <v>400.72300000000001</v>
      </c>
      <c r="AF120" s="696">
        <f>833.28-AE120</f>
        <v>432.55699999999996</v>
      </c>
      <c r="AG120" s="696">
        <f>1303.097-SUM(AE120:AF120)</f>
        <v>469.81700000000001</v>
      </c>
      <c r="AH120" s="745">
        <f>1818.53-SUM(AE120:AG120)</f>
        <v>515.43299999999999</v>
      </c>
      <c r="AI120" s="743">
        <v>523.56299999999999</v>
      </c>
      <c r="AJ120" s="696">
        <v>545.03000000000009</v>
      </c>
      <c r="AK120" s="696">
        <v>531.10399999999981</v>
      </c>
      <c r="AL120" s="696">
        <v>519.048</v>
      </c>
      <c r="AM120" s="743">
        <v>632.91999999999996</v>
      </c>
      <c r="AN120" s="696">
        <v>655.33100000000002</v>
      </c>
      <c r="AO120" s="696">
        <v>639.85400000000004</v>
      </c>
      <c r="AP120" s="745">
        <v>580.23199999999997</v>
      </c>
      <c r="AQ120" s="696">
        <v>723.01599999999996</v>
      </c>
      <c r="AR120" s="1468">
        <f>1475-AQ120</f>
        <v>751.98400000000004</v>
      </c>
      <c r="AS120" s="1449">
        <f>2217-AR120-AQ120</f>
        <v>742.00000000000011</v>
      </c>
      <c r="AT120" s="1532">
        <f>2895-AQ120-AR120-AS120</f>
        <v>677.99999999999989</v>
      </c>
      <c r="AU120" s="696">
        <v>805</v>
      </c>
      <c r="AV120" s="696">
        <f>1697-AU120</f>
        <v>892</v>
      </c>
      <c r="AW120" s="696">
        <f>2547-AV120-AU120</f>
        <v>850</v>
      </c>
      <c r="AX120" s="745">
        <f>3420-AW120-AV120-AU120</f>
        <v>873</v>
      </c>
      <c r="AY120" s="745">
        <v>943</v>
      </c>
      <c r="AZ120" s="1469">
        <f>2017-AY120</f>
        <v>1074</v>
      </c>
      <c r="BA120" s="1469">
        <f>3091-AZ120-AY120</f>
        <v>1074</v>
      </c>
      <c r="BB120" s="1469">
        <f>4167-BA120-AZ120-AY120</f>
        <v>1076</v>
      </c>
      <c r="BC120" s="1468"/>
      <c r="BD120" s="1913">
        <f t="shared" si="237"/>
        <v>1475</v>
      </c>
      <c r="BE120" s="1913">
        <f t="shared" si="238"/>
        <v>1697</v>
      </c>
      <c r="BF120" s="1913"/>
      <c r="BG120" s="1913"/>
      <c r="BH120" s="1913"/>
      <c r="BI120" s="1913">
        <f t="shared" si="239"/>
        <v>2017</v>
      </c>
      <c r="BJ120" s="1913"/>
      <c r="BK120" s="1468"/>
      <c r="BL120" s="1468"/>
      <c r="BM120" s="696"/>
      <c r="BN120" s="696"/>
      <c r="BO120" s="696"/>
      <c r="BP120" s="696"/>
      <c r="BQ120" s="696"/>
      <c r="BR120" s="696"/>
      <c r="BS120" s="696"/>
      <c r="BT120" s="696"/>
      <c r="BU120" s="739"/>
      <c r="BV120" s="1133"/>
      <c r="BW120" s="1133"/>
      <c r="BX120" s="739"/>
      <c r="BZ120" s="1615"/>
      <c r="CA120" s="725"/>
      <c r="CB120" s="725">
        <f>AQ120/$AQ$10</f>
        <v>6.186026204385376E-2</v>
      </c>
      <c r="CD120" s="250">
        <f t="shared" si="234"/>
        <v>833.28</v>
      </c>
      <c r="CE120" s="725"/>
      <c r="CF120" s="725"/>
      <c r="CG120" s="738"/>
      <c r="CH120" s="738"/>
      <c r="CI120" s="725"/>
      <c r="CJ120" s="725"/>
    </row>
    <row r="121" spans="1:95">
      <c r="A121" s="39" t="s">
        <v>856</v>
      </c>
      <c r="B121" s="696">
        <v>315.24299999999999</v>
      </c>
      <c r="C121" s="696">
        <v>320.52600000000001</v>
      </c>
      <c r="D121" s="696">
        <v>255.506</v>
      </c>
      <c r="E121" s="696">
        <v>276.18400000000003</v>
      </c>
      <c r="F121" s="696">
        <v>309.26</v>
      </c>
      <c r="G121" s="696">
        <v>141</v>
      </c>
      <c r="H121" s="696">
        <v>167</v>
      </c>
      <c r="I121" s="696">
        <v>196</v>
      </c>
      <c r="J121" s="995"/>
      <c r="K121" s="995"/>
      <c r="L121" s="995"/>
      <c r="M121" s="995"/>
      <c r="N121" s="1536">
        <f t="shared" si="235"/>
        <v>190.38000000000002</v>
      </c>
      <c r="O121" s="995"/>
      <c r="S121" s="696"/>
      <c r="T121" s="811"/>
      <c r="U121" s="725"/>
      <c r="V121" s="725"/>
      <c r="W121" s="725"/>
      <c r="X121" s="725"/>
      <c r="Y121" s="725"/>
      <c r="Z121" s="725"/>
      <c r="AA121" s="743"/>
      <c r="AB121" s="696"/>
      <c r="AC121" s="696"/>
      <c r="AD121" s="745"/>
      <c r="AE121" s="743">
        <v>45.811</v>
      </c>
      <c r="AF121" s="696">
        <f>104.927-AE121</f>
        <v>59.116000000000007</v>
      </c>
      <c r="AG121" s="696">
        <f>159.39-SUM(AE121:AF121)</f>
        <v>54.46299999999998</v>
      </c>
      <c r="AH121" s="745">
        <f>255.506-SUM(AE121:AG121)</f>
        <v>96.116000000000014</v>
      </c>
      <c r="AI121" s="743">
        <v>52.255000000000003</v>
      </c>
      <c r="AJ121" s="696">
        <v>76.00800000000001</v>
      </c>
      <c r="AK121" s="696">
        <v>55.080999999999989</v>
      </c>
      <c r="AL121" s="696">
        <v>92.840000000000032</v>
      </c>
      <c r="AM121" s="743">
        <v>68.055999999999997</v>
      </c>
      <c r="AN121" s="696">
        <v>88.946000000000012</v>
      </c>
      <c r="AO121" s="696">
        <v>83.512999999999977</v>
      </c>
      <c r="AP121" s="745">
        <v>68.745000000000005</v>
      </c>
      <c r="AQ121" s="696">
        <v>0.67300000000000004</v>
      </c>
      <c r="AR121" s="1468">
        <f>40-AQ121</f>
        <v>39.326999999999998</v>
      </c>
      <c r="AS121" s="1449">
        <f>82-AR121-AQ121</f>
        <v>42</v>
      </c>
      <c r="AT121" s="1532">
        <f>141-AS121-AR121-AQ121</f>
        <v>59</v>
      </c>
      <c r="AU121" s="696">
        <v>20</v>
      </c>
      <c r="AV121" s="696">
        <f>62-AU121</f>
        <v>42</v>
      </c>
      <c r="AW121" s="696">
        <f>119-AV121-AU121</f>
        <v>57</v>
      </c>
      <c r="AX121" s="745">
        <f>167-AW121-AV121-AU121</f>
        <v>48</v>
      </c>
      <c r="AY121" s="745">
        <v>23</v>
      </c>
      <c r="AZ121" s="1469">
        <f>79-AY121</f>
        <v>56</v>
      </c>
      <c r="BA121" s="1469">
        <f>137-AZ121-AY121</f>
        <v>58</v>
      </c>
      <c r="BB121" s="1469">
        <f>196-BA121-AZ121-AY121</f>
        <v>59</v>
      </c>
      <c r="BC121" s="1468"/>
      <c r="BD121" s="1913">
        <f t="shared" si="237"/>
        <v>40</v>
      </c>
      <c r="BE121" s="1913">
        <f t="shared" si="238"/>
        <v>62</v>
      </c>
      <c r="BF121" s="1913"/>
      <c r="BG121" s="1913"/>
      <c r="BH121" s="1913"/>
      <c r="BI121" s="1913">
        <f t="shared" si="239"/>
        <v>79</v>
      </c>
      <c r="BJ121" s="1913"/>
      <c r="BK121" s="1468"/>
      <c r="BL121" s="1468"/>
      <c r="BM121" s="696"/>
      <c r="BN121" s="696"/>
      <c r="BO121" s="696"/>
      <c r="BP121" s="696"/>
      <c r="BQ121" s="696"/>
      <c r="BR121" s="696"/>
      <c r="BS121" s="696"/>
      <c r="BT121" s="696"/>
      <c r="BU121" s="739"/>
      <c r="BV121" s="1133"/>
      <c r="BW121" s="1133"/>
      <c r="BX121" s="739"/>
      <c r="BZ121" s="1615"/>
      <c r="CA121" s="725"/>
      <c r="CB121" s="725">
        <f>AQ121/$AQ$10</f>
        <v>5.7580961355645773E-5</v>
      </c>
      <c r="CD121" s="250">
        <f t="shared" si="234"/>
        <v>104.92700000000001</v>
      </c>
      <c r="CE121" s="725"/>
      <c r="CF121" s="725"/>
      <c r="CG121" s="738"/>
      <c r="CH121" s="738"/>
      <c r="CI121" s="725"/>
      <c r="CJ121" s="725"/>
    </row>
    <row r="122" spans="1:95">
      <c r="A122" s="735" t="s">
        <v>882</v>
      </c>
      <c r="B122" s="696">
        <f>1986.745-1105.792444794</f>
        <v>880.95255520599994</v>
      </c>
      <c r="C122" s="696">
        <f>2740.057-1856.292488294</f>
        <v>883.76451170599989</v>
      </c>
      <c r="D122" s="696">
        <f>3745.051-2793.222370033</f>
        <v>951.82862996699987</v>
      </c>
      <c r="E122" s="696">
        <f>4225.935-3034.180559042</f>
        <v>1191.7544409580005</v>
      </c>
      <c r="F122" s="696">
        <f>4247.473-2768.98404012</f>
        <v>1478.48895988</v>
      </c>
      <c r="G122" s="696">
        <v>2005</v>
      </c>
      <c r="H122" s="696">
        <v>2254</v>
      </c>
      <c r="I122" s="696">
        <v>2792</v>
      </c>
      <c r="J122" s="995"/>
      <c r="K122" s="995"/>
      <c r="L122" s="995"/>
      <c r="M122" s="995"/>
      <c r="N122" s="1536">
        <f t="shared" ca="1" si="235"/>
        <v>2479.4</v>
      </c>
      <c r="O122" s="995">
        <f>G122*1.087</f>
        <v>2179.4349999999999</v>
      </c>
      <c r="T122" s="696">
        <f>G122+G119++G115</f>
        <v>14244.006098569997</v>
      </c>
      <c r="U122" s="696" t="e">
        <f>#REF!+#REF!++#REF!</f>
        <v>#REF!</v>
      </c>
      <c r="V122" s="696" t="e">
        <f>#REF!+#REF!++#REF!</f>
        <v>#REF!</v>
      </c>
      <c r="W122" s="696">
        <f>O122+O119++O115</f>
        <v>17165.294611015357</v>
      </c>
      <c r="X122" s="725"/>
      <c r="Y122" s="725"/>
      <c r="Z122" s="725"/>
      <c r="AA122" s="756"/>
      <c r="AB122" s="696"/>
      <c r="AC122" s="696"/>
      <c r="AD122" s="745"/>
      <c r="AE122" s="743">
        <f>1422.505-1154.785</f>
        <v>267.72000000000003</v>
      </c>
      <c r="AF122" s="696">
        <f>522.795-AE122</f>
        <v>255.07499999999993</v>
      </c>
      <c r="AG122" s="696">
        <f>744.816-SUM(AE122:AF122)</f>
        <v>222.02100000000007</v>
      </c>
      <c r="AH122" s="745">
        <f>949.888-SUM(AE122:AG122)</f>
        <v>205.072</v>
      </c>
      <c r="AI122" s="743">
        <f>1594.564-1315.127788663</f>
        <v>279.43621133700003</v>
      </c>
      <c r="AJ122" s="696">
        <f>617.922-438.085481526</f>
        <v>179.836518474</v>
      </c>
      <c r="AK122" s="696">
        <f>463.538-194.700228115999</f>
        <v>268.83777188400097</v>
      </c>
      <c r="AL122" s="696">
        <f>1550.306-1086.266774533</f>
        <v>464.03922546700005</v>
      </c>
      <c r="AM122" s="743">
        <f>1724.988-1405.19615332</f>
        <v>319.79184668000016</v>
      </c>
      <c r="AN122" s="696">
        <f>763.384-483.897373612999</f>
        <v>279.48662638700102</v>
      </c>
      <c r="AO122" s="696">
        <f>397.277-99.3441800760006</f>
        <v>297.93281992399938</v>
      </c>
      <c r="AP122" s="745">
        <f>1345.602-780.544369086</f>
        <v>565.05763091400013</v>
      </c>
      <c r="AQ122" s="696">
        <f>2886.398-2395.009</f>
        <v>491.38900000000012</v>
      </c>
      <c r="AR122" s="1468">
        <f>820-AQ122</f>
        <v>328.61099999999988</v>
      </c>
      <c r="AS122" s="1449">
        <f>1341-AR122-AQ122</f>
        <v>521</v>
      </c>
      <c r="AT122" s="1532">
        <f>2005-AS122-AR122-AQ122</f>
        <v>664</v>
      </c>
      <c r="AU122" s="696">
        <v>553</v>
      </c>
      <c r="AV122" s="696">
        <f>987-AU122</f>
        <v>434</v>
      </c>
      <c r="AW122" s="696">
        <f>1633-AV122-AU122</f>
        <v>646</v>
      </c>
      <c r="AX122" s="745">
        <f>2254-AW122-AV122-AU122</f>
        <v>621</v>
      </c>
      <c r="AY122" s="745">
        <v>642</v>
      </c>
      <c r="AZ122" s="1469">
        <f>1236-AY122</f>
        <v>594</v>
      </c>
      <c r="BA122" s="1469">
        <f>1979-AZ122-AY122</f>
        <v>743</v>
      </c>
      <c r="BB122" s="1469">
        <f>2792-BA122-AZ122-AY122</f>
        <v>813</v>
      </c>
      <c r="BC122" s="1468">
        <v>1238</v>
      </c>
      <c r="BD122" s="1913">
        <f t="shared" si="237"/>
        <v>820</v>
      </c>
      <c r="BE122" s="1913">
        <f t="shared" si="238"/>
        <v>987</v>
      </c>
      <c r="BF122" s="1913"/>
      <c r="BG122" s="1913"/>
      <c r="BH122" s="1913"/>
      <c r="BI122" s="1913">
        <f t="shared" si="239"/>
        <v>1236</v>
      </c>
      <c r="BJ122" s="1913"/>
      <c r="BK122" s="1468"/>
      <c r="BL122" s="1468"/>
      <c r="BM122" s="696"/>
      <c r="BN122" s="696"/>
      <c r="BO122" s="696"/>
      <c r="BP122" s="1468">
        <v>2400</v>
      </c>
      <c r="BQ122" s="1468">
        <f>BP122-BC122</f>
        <v>1162</v>
      </c>
      <c r="BR122" s="696"/>
      <c r="BS122" s="696"/>
      <c r="BT122" s="696"/>
      <c r="BU122" s="739"/>
      <c r="BV122" s="1133"/>
      <c r="BW122" s="1133"/>
      <c r="BX122" s="739"/>
      <c r="BZ122" s="1615"/>
      <c r="CA122" s="725"/>
      <c r="CB122" s="725">
        <f>AQ122/$AQ$10</f>
        <v>4.2042572094486516E-2</v>
      </c>
      <c r="CD122" s="250">
        <f t="shared" si="234"/>
        <v>522.79499999999996</v>
      </c>
      <c r="CE122" s="725"/>
      <c r="CF122" s="725"/>
      <c r="CG122" s="738"/>
      <c r="CH122" s="738"/>
      <c r="CI122" s="725"/>
      <c r="CJ122" s="725"/>
    </row>
    <row r="123" spans="1:95">
      <c r="A123" s="735"/>
      <c r="B123" s="696"/>
      <c r="C123" s="696"/>
      <c r="D123" s="696"/>
      <c r="E123" s="696"/>
      <c r="F123" s="696"/>
      <c r="G123" s="696"/>
      <c r="H123" s="696"/>
      <c r="I123" s="696"/>
      <c r="J123" s="8"/>
      <c r="K123" s="696"/>
      <c r="L123" s="696"/>
      <c r="M123" s="696"/>
      <c r="N123" s="696"/>
      <c r="O123" s="696"/>
      <c r="S123" s="696"/>
      <c r="T123" s="811"/>
      <c r="U123" s="725"/>
      <c r="V123" s="725"/>
      <c r="W123" s="725"/>
      <c r="X123" s="725"/>
      <c r="Y123" s="725"/>
      <c r="Z123" s="725"/>
      <c r="AA123" s="743"/>
      <c r="AB123" s="696"/>
      <c r="AC123" s="696"/>
      <c r="AD123" s="745"/>
      <c r="AE123" s="743"/>
      <c r="AF123" s="696"/>
      <c r="AG123" s="696"/>
      <c r="AH123" s="745"/>
      <c r="AI123" s="743"/>
      <c r="AJ123" s="696"/>
      <c r="AK123" s="696"/>
      <c r="AL123" s="696"/>
      <c r="AM123" s="743"/>
      <c r="AN123" s="696"/>
      <c r="AO123" s="696"/>
      <c r="AP123" s="745"/>
      <c r="AQ123" s="696"/>
      <c r="AR123" s="1468"/>
      <c r="AS123" s="696"/>
      <c r="AT123" s="745"/>
      <c r="AU123" s="696"/>
      <c r="AV123" s="696"/>
      <c r="AW123" s="696"/>
      <c r="AX123" s="745"/>
      <c r="AY123" s="745"/>
      <c r="AZ123" s="1469"/>
      <c r="BA123" s="1469"/>
      <c r="BB123" s="1469"/>
      <c r="BC123" s="1468"/>
      <c r="BD123" s="1468"/>
      <c r="BE123" s="1468"/>
      <c r="BF123" s="1468"/>
      <c r="BG123" s="1468"/>
      <c r="BH123" s="1468"/>
      <c r="BI123" s="1468"/>
      <c r="BJ123" s="1468"/>
      <c r="BK123" s="1468"/>
      <c r="BL123" s="1468"/>
      <c r="BM123" s="696"/>
      <c r="BN123" s="1399"/>
      <c r="BO123" s="1399"/>
      <c r="BP123" s="696"/>
      <c r="BQ123" s="696"/>
      <c r="BR123" s="696"/>
      <c r="BS123" s="696"/>
      <c r="BT123" s="696"/>
      <c r="BU123" s="739"/>
      <c r="BV123" s="399"/>
      <c r="BW123" s="399"/>
      <c r="BX123" s="399"/>
      <c r="CD123" s="725"/>
    </row>
    <row r="124" spans="1:95">
      <c r="A124" s="1108" t="s">
        <v>2074</v>
      </c>
      <c r="B124" s="696"/>
      <c r="C124" s="696"/>
      <c r="D124" s="696"/>
      <c r="E124" s="696"/>
      <c r="F124" s="696"/>
      <c r="G124" s="696"/>
      <c r="H124" s="696"/>
      <c r="I124" s="696"/>
      <c r="J124" s="696"/>
      <c r="K124" s="696"/>
      <c r="L124" s="696"/>
      <c r="M124" s="696"/>
      <c r="N124" s="696"/>
      <c r="O124" s="696"/>
      <c r="S124" s="696"/>
      <c r="T124" s="811"/>
      <c r="U124" s="725"/>
      <c r="V124" s="725"/>
      <c r="W124" s="725"/>
      <c r="X124" s="725"/>
      <c r="Y124" s="725"/>
      <c r="Z124" s="725"/>
      <c r="AA124" s="743"/>
      <c r="AB124" s="696"/>
      <c r="AC124" s="696"/>
      <c r="AD124" s="745"/>
      <c r="AE124" s="696"/>
      <c r="AF124" s="696"/>
      <c r="AG124" s="696"/>
      <c r="AH124" s="696"/>
      <c r="AI124" s="696"/>
      <c r="AJ124" s="696"/>
      <c r="AK124" s="696"/>
      <c r="AL124" s="696"/>
      <c r="AM124" s="696"/>
      <c r="AN124" s="696"/>
      <c r="AO124" s="696"/>
      <c r="AP124" s="696"/>
      <c r="AQ124" s="696"/>
      <c r="AR124" s="1468"/>
      <c r="AS124" s="696"/>
      <c r="AT124" s="696"/>
      <c r="AU124" s="696"/>
      <c r="AV124" s="696"/>
      <c r="AW124" s="696"/>
      <c r="AX124" s="745"/>
      <c r="AY124" s="745"/>
      <c r="AZ124" s="1469"/>
      <c r="BA124" s="1469"/>
      <c r="BB124" s="1469"/>
      <c r="BC124" s="1468"/>
      <c r="BD124" s="1468"/>
      <c r="BE124" s="1468"/>
      <c r="BF124" s="1468"/>
      <c r="BG124" s="1468"/>
      <c r="BH124" s="1468"/>
      <c r="BI124" s="1468"/>
      <c r="BJ124" s="1468"/>
      <c r="BK124" s="1468"/>
      <c r="BL124" s="1468"/>
      <c r="BM124" s="696"/>
      <c r="BN124" s="1399"/>
      <c r="BO124" s="1399"/>
      <c r="BP124" s="696"/>
      <c r="BQ124" s="696"/>
      <c r="BR124" s="696"/>
      <c r="BS124" s="696"/>
      <c r="BT124" s="696"/>
      <c r="BU124" s="739"/>
      <c r="BV124" s="399"/>
      <c r="BW124" s="399"/>
      <c r="BX124" s="399"/>
      <c r="CD124" s="725"/>
    </row>
    <row r="125" spans="1:95">
      <c r="A125" s="735" t="s">
        <v>883</v>
      </c>
      <c r="B125" s="8">
        <f>B116/B$115</f>
        <v>0.39379795566287334</v>
      </c>
      <c r="C125" s="8">
        <f t="shared" ref="C125:H125" si="241">C116/C$115</f>
        <v>0.42289636546477199</v>
      </c>
      <c r="D125" s="8">
        <f t="shared" si="241"/>
        <v>0.42511835041263163</v>
      </c>
      <c r="E125" s="8">
        <f t="shared" si="241"/>
        <v>0.43402767854035712</v>
      </c>
      <c r="F125" s="8">
        <f t="shared" si="241"/>
        <v>0.43932037196035856</v>
      </c>
      <c r="G125" s="8">
        <f t="shared" si="241"/>
        <v>0.4522435338434373</v>
      </c>
      <c r="H125" s="8">
        <f t="shared" si="241"/>
        <v>0.47237223184813243</v>
      </c>
      <c r="I125" s="8">
        <f t="shared" ref="I125" si="242">I116/I$115</f>
        <v>0.44793097462105158</v>
      </c>
      <c r="J125" s="696"/>
      <c r="K125" s="696"/>
      <c r="L125" s="696"/>
      <c r="M125" s="696"/>
      <c r="N125" s="696"/>
      <c r="O125" s="696"/>
      <c r="S125" s="696"/>
      <c r="T125" s="811"/>
      <c r="U125" s="725"/>
      <c r="V125" s="725"/>
      <c r="W125" s="725"/>
      <c r="X125" s="725"/>
      <c r="Y125" s="725"/>
      <c r="Z125" s="725"/>
      <c r="AA125" s="743"/>
      <c r="AB125" s="696"/>
      <c r="AC125" s="696"/>
      <c r="AD125" s="745"/>
      <c r="AE125" s="696"/>
      <c r="AF125" s="696"/>
      <c r="AG125" s="696"/>
      <c r="AH125" s="696"/>
      <c r="AI125" s="8">
        <f t="shared" ref="AI125:AZ131" si="243">AI116/AI$115</f>
        <v>0.38768321488095764</v>
      </c>
      <c r="AJ125" s="8">
        <f t="shared" si="243"/>
        <v>0.47977071971241675</v>
      </c>
      <c r="AK125" s="8">
        <f t="shared" si="243"/>
        <v>0.4781905408443281</v>
      </c>
      <c r="AL125" s="8">
        <f t="shared" si="243"/>
        <v>0.38881739076330823</v>
      </c>
      <c r="AM125" s="1127">
        <f t="shared" si="243"/>
        <v>0.42622799685521495</v>
      </c>
      <c r="AN125" s="1127">
        <f t="shared" si="243"/>
        <v>0.44895089080837691</v>
      </c>
      <c r="AO125" s="1127">
        <f t="shared" si="243"/>
        <v>0.49640664656053235</v>
      </c>
      <c r="AP125" s="1127">
        <f t="shared" si="243"/>
        <v>0.38963441146841299</v>
      </c>
      <c r="AQ125" s="1127">
        <f t="shared" si="243"/>
        <v>0.42702378476716735</v>
      </c>
      <c r="AR125" s="1127">
        <f t="shared" si="243"/>
        <v>0.49560778540153816</v>
      </c>
      <c r="AS125" s="1127">
        <f t="shared" si="243"/>
        <v>0.46233017702758339</v>
      </c>
      <c r="AT125" s="1127">
        <f t="shared" si="243"/>
        <v>0.42422997946611912</v>
      </c>
      <c r="AU125" s="1127">
        <f t="shared" si="243"/>
        <v>0.45619573796369378</v>
      </c>
      <c r="AV125" s="1127">
        <f t="shared" si="243"/>
        <v>0.48629365377393918</v>
      </c>
      <c r="AW125" s="1127">
        <f t="shared" si="243"/>
        <v>0.46705559368565547</v>
      </c>
      <c r="AX125" s="1127">
        <f t="shared" si="243"/>
        <v>0.47871621621621624</v>
      </c>
      <c r="AY125" s="1127">
        <f t="shared" si="243"/>
        <v>0.46809917355371899</v>
      </c>
      <c r="AZ125" s="1127">
        <f t="shared" si="243"/>
        <v>0.45144858325374082</v>
      </c>
      <c r="BA125" s="1127">
        <f t="shared" ref="BA125:BB125" si="244">BA116/BA$115</f>
        <v>0.44427978660343803</v>
      </c>
      <c r="BB125" s="1127">
        <f t="shared" si="244"/>
        <v>0.44298370963132322</v>
      </c>
      <c r="BC125" s="1468"/>
      <c r="BD125" s="1468"/>
      <c r="BE125" s="1468"/>
      <c r="BF125" s="1468"/>
      <c r="BG125" s="1468"/>
      <c r="BH125" s="1468"/>
      <c r="BI125" s="1468"/>
      <c r="BJ125" s="1468"/>
      <c r="BK125" s="1468"/>
      <c r="BL125" s="1468"/>
      <c r="BM125" s="696"/>
      <c r="BN125" s="1399"/>
      <c r="BO125" s="1399"/>
      <c r="BP125" s="696"/>
      <c r="BQ125" s="696"/>
      <c r="BR125" s="696"/>
      <c r="BS125" s="696"/>
      <c r="BT125" s="696"/>
      <c r="BU125" s="739"/>
      <c r="BV125" s="399"/>
      <c r="BW125" s="399"/>
      <c r="BX125" s="399"/>
      <c r="CD125" s="725"/>
    </row>
    <row r="126" spans="1:95">
      <c r="A126" s="39" t="s">
        <v>854</v>
      </c>
      <c r="B126" s="8">
        <f t="shared" ref="B126:H131" si="245">B117/B$115</f>
        <v>0.35256768434180241</v>
      </c>
      <c r="C126" s="8">
        <f t="shared" si="245"/>
        <v>0.36925945616122552</v>
      </c>
      <c r="D126" s="8">
        <f t="shared" si="245"/>
        <v>0.3743106742407703</v>
      </c>
      <c r="E126" s="8">
        <f t="shared" si="245"/>
        <v>0.3824827268264881</v>
      </c>
      <c r="F126" s="8">
        <f t="shared" si="245"/>
        <v>0.38849113450733463</v>
      </c>
      <c r="G126" s="8">
        <f t="shared" si="245"/>
        <v>0.41095267779814509</v>
      </c>
      <c r="H126" s="8">
        <f t="shared" si="245"/>
        <v>0.43090754368246159</v>
      </c>
      <c r="I126" s="8">
        <f t="shared" ref="I126" si="246">I117/I$115</f>
        <v>0.41625678025723084</v>
      </c>
      <c r="J126" s="696"/>
      <c r="K126" s="696"/>
      <c r="L126" s="696"/>
      <c r="M126" s="696"/>
      <c r="N126" s="696"/>
      <c r="O126" s="696"/>
      <c r="S126" s="696"/>
      <c r="T126" s="811"/>
      <c r="U126" s="725"/>
      <c r="V126" s="725"/>
      <c r="W126" s="725"/>
      <c r="X126" s="725"/>
      <c r="Y126" s="725"/>
      <c r="Z126" s="725"/>
      <c r="AA126" s="743"/>
      <c r="AB126" s="696"/>
      <c r="AC126" s="696"/>
      <c r="AD126" s="745"/>
      <c r="AE126" s="696"/>
      <c r="AF126" s="696"/>
      <c r="AG126" s="696"/>
      <c r="AH126" s="696"/>
      <c r="AI126" s="8">
        <f t="shared" si="243"/>
        <v>0.35426566734554454</v>
      </c>
      <c r="AJ126" s="8">
        <f t="shared" si="243"/>
        <v>0.36753104291150046</v>
      </c>
      <c r="AK126" s="8">
        <f t="shared" si="243"/>
        <v>0.4097352351510507</v>
      </c>
      <c r="AL126" s="8">
        <f t="shared" si="243"/>
        <v>0.39240407107344305</v>
      </c>
      <c r="AM126" s="1127">
        <f t="shared" si="243"/>
        <v>0.37508153659007581</v>
      </c>
      <c r="AN126" s="1127">
        <f t="shared" si="243"/>
        <v>0.37655570873033428</v>
      </c>
      <c r="AO126" s="1127">
        <f t="shared" si="243"/>
        <v>0.4203844014255948</v>
      </c>
      <c r="AP126" s="1127">
        <f t="shared" si="243"/>
        <v>0.38812060721582348</v>
      </c>
      <c r="AQ126" s="1127">
        <f t="shared" si="243"/>
        <v>0.4189017199028785</v>
      </c>
      <c r="AR126" s="1127">
        <f t="shared" si="243"/>
        <v>0.42628801405725048</v>
      </c>
      <c r="AS126" s="1127">
        <f t="shared" si="243"/>
        <v>0.42980650473445864</v>
      </c>
      <c r="AT126" s="1127">
        <f t="shared" si="243"/>
        <v>0.37125256673511287</v>
      </c>
      <c r="AU126" s="1127">
        <f t="shared" si="243"/>
        <v>0.44001578531965274</v>
      </c>
      <c r="AV126" s="1127">
        <f t="shared" si="243"/>
        <v>0.44273375891851297</v>
      </c>
      <c r="AW126" s="1127">
        <f t="shared" si="243"/>
        <v>0.4529855868222375</v>
      </c>
      <c r="AX126" s="1127">
        <f t="shared" si="243"/>
        <v>0.39054054054054055</v>
      </c>
      <c r="AY126" s="1127">
        <f t="shared" si="243"/>
        <v>0.45983471074380167</v>
      </c>
      <c r="AZ126" s="1127">
        <f t="shared" si="243"/>
        <v>0.41069723018147086</v>
      </c>
      <c r="BA126" s="1127">
        <f t="shared" ref="BA126:BB126" si="247">BA117/BA$115</f>
        <v>0.41256668642560756</v>
      </c>
      <c r="BB126" s="1127">
        <f t="shared" si="247"/>
        <v>0.39839954272649331</v>
      </c>
      <c r="BC126" s="1468"/>
      <c r="BD126" s="1468"/>
      <c r="BE126" s="1468"/>
      <c r="BF126" s="1468"/>
      <c r="BG126" s="1468"/>
      <c r="BH126" s="1468"/>
      <c r="BI126" s="1468"/>
      <c r="BJ126" s="1468"/>
      <c r="BK126" s="1468"/>
      <c r="BL126" s="1468"/>
      <c r="BM126" s="696"/>
      <c r="BN126" s="1399"/>
      <c r="BO126" s="1399"/>
      <c r="BP126" s="696"/>
      <c r="BQ126" s="696"/>
      <c r="BR126" s="696"/>
      <c r="BS126" s="696"/>
      <c r="BT126" s="696"/>
      <c r="BU126" s="739"/>
      <c r="BV126" s="399"/>
      <c r="BW126" s="399"/>
      <c r="BX126" s="399"/>
      <c r="CD126" s="725"/>
    </row>
    <row r="127" spans="1:95">
      <c r="A127" s="39" t="s">
        <v>855</v>
      </c>
      <c r="B127" s="8">
        <f t="shared" si="245"/>
        <v>4.1230271321070946E-2</v>
      </c>
      <c r="C127" s="8">
        <f t="shared" si="245"/>
        <v>5.3636909303546497E-2</v>
      </c>
      <c r="D127" s="8">
        <f t="shared" si="245"/>
        <v>5.0807676171861361E-2</v>
      </c>
      <c r="E127" s="8">
        <f t="shared" si="245"/>
        <v>5.1544951713869039E-2</v>
      </c>
      <c r="F127" s="8">
        <f t="shared" si="245"/>
        <v>5.0829237453023979E-2</v>
      </c>
      <c r="G127" s="8">
        <f t="shared" si="245"/>
        <v>4.1290856045292208E-2</v>
      </c>
      <c r="H127" s="8">
        <f t="shared" si="245"/>
        <v>4.1555025176925019E-2</v>
      </c>
      <c r="I127" s="8">
        <f t="shared" ref="I127" si="248">I118/I$115</f>
        <v>3.1674194363820747E-2</v>
      </c>
      <c r="J127" s="696"/>
      <c r="K127" s="696"/>
      <c r="L127" s="696"/>
      <c r="M127" s="696"/>
      <c r="N127" s="696"/>
      <c r="O127" s="696"/>
      <c r="S127" s="696"/>
      <c r="T127" s="811"/>
      <c r="U127" s="725"/>
      <c r="V127" s="725"/>
      <c r="W127" s="725"/>
      <c r="X127" s="725"/>
      <c r="Y127" s="725"/>
      <c r="Z127" s="725"/>
      <c r="AA127" s="743"/>
      <c r="AB127" s="696"/>
      <c r="AC127" s="696"/>
      <c r="AD127" s="745"/>
      <c r="AE127" s="696"/>
      <c r="AF127" s="696"/>
      <c r="AG127" s="696"/>
      <c r="AH127" s="696"/>
      <c r="AI127" s="8">
        <f t="shared" si="243"/>
        <v>3.3417547535413081E-2</v>
      </c>
      <c r="AJ127" s="8">
        <f t="shared" si="243"/>
        <v>0.11223967680091629</v>
      </c>
      <c r="AK127" s="8">
        <f t="shared" si="243"/>
        <v>6.8455305693277346E-2</v>
      </c>
      <c r="AL127" s="8">
        <f t="shared" si="243"/>
        <v>-3.5866803101348285E-3</v>
      </c>
      <c r="AM127" s="1127">
        <f t="shared" si="243"/>
        <v>5.1146460265139158E-2</v>
      </c>
      <c r="AN127" s="1127">
        <f t="shared" si="243"/>
        <v>7.2395182078042672E-2</v>
      </c>
      <c r="AO127" s="1127">
        <f t="shared" si="243"/>
        <v>7.6022245134937591E-2</v>
      </c>
      <c r="AP127" s="1127">
        <f t="shared" si="243"/>
        <v>1.5138042525895702E-3</v>
      </c>
      <c r="AQ127" s="1127">
        <f t="shared" si="243"/>
        <v>8.1220648642888037E-3</v>
      </c>
      <c r="AR127" s="1127">
        <f t="shared" si="243"/>
        <v>6.9319771344287698E-2</v>
      </c>
      <c r="AS127" s="1127">
        <f t="shared" si="243"/>
        <v>3.2523672293124736E-2</v>
      </c>
      <c r="AT127" s="1127">
        <f t="shared" si="243"/>
        <v>5.297741273100616E-2</v>
      </c>
      <c r="AU127" s="1127">
        <f t="shared" si="243"/>
        <v>1.617995264404104E-2</v>
      </c>
      <c r="AV127" s="1127">
        <f t="shared" si="243"/>
        <v>4.3559894855426211E-2</v>
      </c>
      <c r="AW127" s="1127">
        <f t="shared" si="243"/>
        <v>1.3726835964310227E-2</v>
      </c>
      <c r="AX127" s="1127">
        <f t="shared" si="243"/>
        <v>8.8851351351351346E-2</v>
      </c>
      <c r="AY127" s="1127">
        <f t="shared" si="243"/>
        <v>7.9338842975206613E-3</v>
      </c>
      <c r="AZ127" s="1127">
        <f t="shared" si="243"/>
        <v>4.1388092964024195E-2</v>
      </c>
      <c r="BA127" s="1127">
        <f t="shared" ref="BA127:BB127" si="249">BA118/BA$115</f>
        <v>3.1416716064018968E-2</v>
      </c>
      <c r="BB127" s="1127">
        <f t="shared" si="249"/>
        <v>4.4584166904829949E-2</v>
      </c>
      <c r="BC127" s="1468"/>
      <c r="BD127" s="1468"/>
      <c r="BE127" s="1468"/>
      <c r="BF127" s="1468"/>
      <c r="BG127" s="1468"/>
      <c r="BH127" s="1468"/>
      <c r="BI127" s="1468"/>
      <c r="BJ127" s="1468"/>
      <c r="BK127" s="1468"/>
      <c r="BL127" s="1468"/>
      <c r="BM127" s="696"/>
      <c r="BN127" s="1399"/>
      <c r="BO127" s="1399"/>
      <c r="BP127" s="696"/>
      <c r="BQ127" s="696"/>
      <c r="BR127" s="696"/>
      <c r="BS127" s="696"/>
      <c r="BT127" s="696"/>
      <c r="BU127" s="739"/>
      <c r="BV127" s="399"/>
      <c r="BW127" s="399"/>
      <c r="BX127" s="399"/>
      <c r="CD127" s="725"/>
    </row>
    <row r="128" spans="1:95">
      <c r="A128" s="735" t="s">
        <v>884</v>
      </c>
      <c r="B128" s="8">
        <f t="shared" si="245"/>
        <v>0.37783415454062125</v>
      </c>
      <c r="C128" s="8">
        <f t="shared" si="245"/>
        <v>0.38763879783019978</v>
      </c>
      <c r="D128" s="8">
        <f t="shared" si="245"/>
        <v>0.39404447415633098</v>
      </c>
      <c r="E128" s="8">
        <f t="shared" si="245"/>
        <v>0.37791557247075525</v>
      </c>
      <c r="F128" s="8">
        <f t="shared" si="245"/>
        <v>0.36772291166393128</v>
      </c>
      <c r="G128" s="8">
        <f t="shared" si="245"/>
        <v>0.3298922077723872</v>
      </c>
      <c r="H128" s="8">
        <f t="shared" si="245"/>
        <v>0.32412919638001514</v>
      </c>
      <c r="I128" s="8">
        <f t="shared" ref="I128" si="250">I119/I$115</f>
        <v>0.33219834136862963</v>
      </c>
      <c r="J128" s="696"/>
      <c r="K128" s="696"/>
      <c r="L128" s="696"/>
      <c r="M128" s="696"/>
      <c r="N128" s="696"/>
      <c r="O128" s="696"/>
      <c r="S128" s="696"/>
      <c r="T128" s="811"/>
      <c r="U128" s="725"/>
      <c r="V128" s="725"/>
      <c r="W128" s="725"/>
      <c r="X128" s="725"/>
      <c r="Y128" s="725"/>
      <c r="Z128" s="725"/>
      <c r="AA128" s="743"/>
      <c r="AB128" s="696"/>
      <c r="AC128" s="696"/>
      <c r="AD128" s="745"/>
      <c r="AE128" s="696"/>
      <c r="AF128" s="696"/>
      <c r="AG128" s="696"/>
      <c r="AH128" s="696"/>
      <c r="AI128" s="8">
        <f t="shared" si="243"/>
        <v>0.41225523581169099</v>
      </c>
      <c r="AJ128" s="8">
        <f t="shared" si="243"/>
        <v>0.40341170098262896</v>
      </c>
      <c r="AK128" s="8">
        <f t="shared" si="243"/>
        <v>0.35774120628528161</v>
      </c>
      <c r="AL128" s="8">
        <f t="shared" si="243"/>
        <v>0.34758420044469002</v>
      </c>
      <c r="AM128" s="1127">
        <f t="shared" si="243"/>
        <v>0.39401750847125228</v>
      </c>
      <c r="AN128" s="1127">
        <f t="shared" si="243"/>
        <v>0.40061315646584256</v>
      </c>
      <c r="AO128" s="1127">
        <f t="shared" si="243"/>
        <v>0.35668547687059776</v>
      </c>
      <c r="AP128" s="1127">
        <f t="shared" si="243"/>
        <v>0.32627836015702877</v>
      </c>
      <c r="AQ128" s="1127">
        <f t="shared" si="243"/>
        <v>0.34125923128032393</v>
      </c>
      <c r="AR128" s="1127">
        <f t="shared" si="243"/>
        <v>0.35625961015291951</v>
      </c>
      <c r="AS128" s="1127">
        <f t="shared" si="243"/>
        <v>0.32317826265953065</v>
      </c>
      <c r="AT128" s="1127">
        <f t="shared" si="243"/>
        <v>0.30266940451745378</v>
      </c>
      <c r="AU128" s="1127">
        <f t="shared" si="243"/>
        <v>0.32557221783741119</v>
      </c>
      <c r="AV128" s="1127">
        <f t="shared" si="243"/>
        <v>0.35073225685317311</v>
      </c>
      <c r="AW128" s="1127">
        <f t="shared" si="243"/>
        <v>0.3112560054907344</v>
      </c>
      <c r="AX128" s="1127">
        <f t="shared" si="243"/>
        <v>0.31148648648648647</v>
      </c>
      <c r="AY128" s="1127">
        <f t="shared" si="243"/>
        <v>0.3196694214876033</v>
      </c>
      <c r="AZ128" s="1127">
        <f t="shared" si="243"/>
        <v>0.3594396688952563</v>
      </c>
      <c r="BA128" s="1127">
        <f t="shared" ref="BA128:BB128" si="251">BA119/BA$115</f>
        <v>0.33550681683461764</v>
      </c>
      <c r="BB128" s="1127">
        <f t="shared" si="251"/>
        <v>0.32466418976850531</v>
      </c>
      <c r="BC128" s="1468"/>
      <c r="BD128" s="1468"/>
      <c r="BE128" s="1468"/>
      <c r="BF128" s="1468"/>
      <c r="BG128" s="1468"/>
      <c r="BH128" s="1468"/>
      <c r="BI128" s="1468"/>
      <c r="BJ128" s="1468"/>
      <c r="BK128" s="1468"/>
      <c r="BL128" s="1468"/>
      <c r="BM128" s="696"/>
      <c r="BN128" s="1399"/>
      <c r="BO128" s="1399"/>
      <c r="BP128" s="696"/>
      <c r="BQ128" s="696"/>
      <c r="BR128" s="696"/>
      <c r="BS128" s="696"/>
      <c r="BT128" s="696"/>
      <c r="BU128" s="739"/>
      <c r="BV128" s="399"/>
      <c r="BW128" s="399"/>
      <c r="BX128" s="399"/>
      <c r="CD128" s="725"/>
    </row>
    <row r="129" spans="1:87">
      <c r="A129" s="39" t="s">
        <v>857</v>
      </c>
      <c r="B129" s="8">
        <f t="shared" si="245"/>
        <v>0.29611422733491005</v>
      </c>
      <c r="C129" s="8">
        <f t="shared" si="245"/>
        <v>0.31892320058078416</v>
      </c>
      <c r="D129" s="8">
        <f t="shared" si="245"/>
        <v>0.34550108946397873</v>
      </c>
      <c r="E129" s="8">
        <f t="shared" si="245"/>
        <v>0.33433422435260091</v>
      </c>
      <c r="F129" s="8">
        <f t="shared" si="245"/>
        <v>0.32736157267145388</v>
      </c>
      <c r="G129" s="8">
        <f t="shared" si="245"/>
        <v>0.31457112697663409</v>
      </c>
      <c r="H129" s="8">
        <f t="shared" si="245"/>
        <v>0.30895257848931207</v>
      </c>
      <c r="I129" s="8">
        <f t="shared" ref="I129" si="252">I120/I$115</f>
        <v>0.31727492287029102</v>
      </c>
      <c r="J129" s="696"/>
      <c r="K129" s="696"/>
      <c r="L129" s="696"/>
      <c r="M129" s="696"/>
      <c r="N129" s="696"/>
      <c r="O129" s="696"/>
      <c r="S129" s="696"/>
      <c r="T129" s="811"/>
      <c r="U129" s="725"/>
      <c r="V129" s="725"/>
      <c r="W129" s="725"/>
      <c r="X129" s="725"/>
      <c r="Y129" s="725"/>
      <c r="Z129" s="725"/>
      <c r="AA129" s="743"/>
      <c r="AB129" s="696"/>
      <c r="AC129" s="696"/>
      <c r="AD129" s="745"/>
      <c r="AE129" s="696"/>
      <c r="AF129" s="696"/>
      <c r="AG129" s="696"/>
      <c r="AH129" s="696"/>
      <c r="AI129" s="8">
        <f t="shared" si="243"/>
        <v>0.3748434193222101</v>
      </c>
      <c r="AJ129" s="8">
        <f t="shared" si="243"/>
        <v>0.35403868907629199</v>
      </c>
      <c r="AK129" s="8">
        <f t="shared" si="243"/>
        <v>0.3241259766506106</v>
      </c>
      <c r="AL129" s="8">
        <f t="shared" si="243"/>
        <v>0.29484625302737666</v>
      </c>
      <c r="AM129" s="1127">
        <f t="shared" si="243"/>
        <v>0.35576333777707791</v>
      </c>
      <c r="AN129" s="1127">
        <f t="shared" si="243"/>
        <v>0.35273724761065711</v>
      </c>
      <c r="AO129" s="1127">
        <f t="shared" si="243"/>
        <v>0.31550600057447947</v>
      </c>
      <c r="AP129" s="1127">
        <f t="shared" si="243"/>
        <v>0.29171626339705892</v>
      </c>
      <c r="AQ129" s="1127">
        <f t="shared" si="243"/>
        <v>0.34094187470498333</v>
      </c>
      <c r="AR129" s="1127">
        <f t="shared" si="243"/>
        <v>0.33898240905318666</v>
      </c>
      <c r="AS129" s="1127">
        <f t="shared" si="243"/>
        <v>0.3054755043227666</v>
      </c>
      <c r="AT129" s="1127">
        <f t="shared" si="243"/>
        <v>0.27843942505133468</v>
      </c>
      <c r="AU129" s="1127">
        <f t="shared" si="243"/>
        <v>0.31767955801104975</v>
      </c>
      <c r="AV129" s="1127">
        <f t="shared" si="243"/>
        <v>0.33496057078482916</v>
      </c>
      <c r="AW129" s="1127">
        <f t="shared" si="243"/>
        <v>0.29169526424159231</v>
      </c>
      <c r="AX129" s="1127">
        <f t="shared" si="243"/>
        <v>0.29493243243243245</v>
      </c>
      <c r="AY129" s="1127">
        <f t="shared" si="243"/>
        <v>0.31173553719008262</v>
      </c>
      <c r="AZ129" s="1127">
        <f t="shared" si="243"/>
        <v>0.3419293218720153</v>
      </c>
      <c r="BA129" s="1127">
        <f t="shared" ref="BA129:BB129" si="253">BA120/BA$115</f>
        <v>0.31831653823355066</v>
      </c>
      <c r="BB129" s="1127">
        <f t="shared" si="253"/>
        <v>0.30751643326664763</v>
      </c>
      <c r="BC129" s="1468"/>
      <c r="BD129" s="1468"/>
      <c r="BE129" s="1468"/>
      <c r="BF129" s="1468"/>
      <c r="BG129" s="1468"/>
      <c r="BH129" s="1468"/>
      <c r="BI129" s="1468"/>
      <c r="BJ129" s="1468"/>
      <c r="BK129" s="1468"/>
      <c r="BL129" s="1468"/>
      <c r="BM129" s="696"/>
      <c r="BN129" s="1399"/>
      <c r="BO129" s="1399"/>
      <c r="BP129" s="696"/>
      <c r="BQ129" s="696"/>
      <c r="BR129" s="696"/>
      <c r="BS129" s="696"/>
      <c r="BT129" s="696"/>
      <c r="BU129" s="739"/>
      <c r="BV129" s="399"/>
      <c r="BW129" s="399"/>
      <c r="BX129" s="399"/>
      <c r="CD129" s="725"/>
    </row>
    <row r="130" spans="1:87">
      <c r="A130" s="39" t="s">
        <v>856</v>
      </c>
      <c r="B130" s="8">
        <f t="shared" si="245"/>
        <v>8.1719927205711196E-2</v>
      </c>
      <c r="C130" s="8">
        <f t="shared" si="245"/>
        <v>6.871559724941563E-2</v>
      </c>
      <c r="D130" s="8">
        <f t="shared" si="245"/>
        <v>4.8543384692352254E-2</v>
      </c>
      <c r="E130" s="8">
        <f t="shared" si="245"/>
        <v>4.3581348118154263E-2</v>
      </c>
      <c r="F130" s="8">
        <f t="shared" si="245"/>
        <v>4.0361338992477416E-2</v>
      </c>
      <c r="G130" s="8">
        <f t="shared" si="245"/>
        <v>1.5321080795753162E-2</v>
      </c>
      <c r="H130" s="8">
        <f t="shared" si="245"/>
        <v>1.5086280879448865E-2</v>
      </c>
      <c r="I130" s="8">
        <f t="shared" ref="I130" si="254">I121/I$115</f>
        <v>1.4923418498338623E-2</v>
      </c>
      <c r="J130" s="696"/>
      <c r="K130" s="696"/>
      <c r="L130" s="696"/>
      <c r="M130" s="696"/>
      <c r="N130" s="696"/>
      <c r="O130" s="696"/>
      <c r="S130" s="696"/>
      <c r="T130" s="811"/>
      <c r="U130" s="725"/>
      <c r="V130" s="725"/>
      <c r="W130" s="725"/>
      <c r="X130" s="725"/>
      <c r="Y130" s="725"/>
      <c r="Z130" s="725"/>
      <c r="AA130" s="743"/>
      <c r="AB130" s="696"/>
      <c r="AC130" s="696"/>
      <c r="AD130" s="745"/>
      <c r="AE130" s="696"/>
      <c r="AF130" s="696"/>
      <c r="AG130" s="696"/>
      <c r="AH130" s="696"/>
      <c r="AI130" s="8">
        <f t="shared" si="243"/>
        <v>3.7411816489480901E-2</v>
      </c>
      <c r="AJ130" s="8">
        <f t="shared" si="243"/>
        <v>4.9373011906336903E-2</v>
      </c>
      <c r="AK130" s="8">
        <f t="shared" si="243"/>
        <v>3.3615229634670965E-2</v>
      </c>
      <c r="AL130" s="8">
        <f t="shared" si="243"/>
        <v>5.2737947417313344E-2</v>
      </c>
      <c r="AM130" s="1127">
        <f t="shared" si="243"/>
        <v>3.8254170694174326E-2</v>
      </c>
      <c r="AN130" s="1127">
        <f t="shared" si="243"/>
        <v>4.787590885518541E-2</v>
      </c>
      <c r="AO130" s="1127">
        <f t="shared" si="243"/>
        <v>4.1179476296118324E-2</v>
      </c>
      <c r="AP130" s="1127">
        <f t="shared" si="243"/>
        <v>3.4562096759969838E-2</v>
      </c>
      <c r="AQ130" s="1127">
        <f t="shared" si="243"/>
        <v>3.1735657534059247E-4</v>
      </c>
      <c r="AR130" s="1127">
        <f t="shared" si="243"/>
        <v>1.7727985171007189E-2</v>
      </c>
      <c r="AS130" s="1127">
        <f t="shared" si="243"/>
        <v>1.7291066282420751E-2</v>
      </c>
      <c r="AT130" s="1127">
        <f t="shared" si="243"/>
        <v>2.4229979466119097E-2</v>
      </c>
      <c r="AU130" s="1127">
        <f t="shared" si="243"/>
        <v>7.8926598263614842E-3</v>
      </c>
      <c r="AV130" s="1127">
        <f t="shared" si="243"/>
        <v>1.5771686068343973E-2</v>
      </c>
      <c r="AW130" s="1127">
        <f t="shared" si="243"/>
        <v>1.9560741249142071E-2</v>
      </c>
      <c r="AX130" s="1127">
        <f t="shared" si="243"/>
        <v>1.6216216216216217E-2</v>
      </c>
      <c r="AY130" s="1127">
        <f t="shared" si="243"/>
        <v>7.603305785123967E-3</v>
      </c>
      <c r="AZ130" s="1127">
        <f t="shared" si="243"/>
        <v>1.7828716969118114E-2</v>
      </c>
      <c r="BA130" s="1127">
        <f t="shared" ref="BA130:BB130" si="255">BA121/BA$115</f>
        <v>1.7190278601066984E-2</v>
      </c>
      <c r="BB130" s="1127">
        <f t="shared" si="255"/>
        <v>1.6861960560160046E-2</v>
      </c>
      <c r="BC130" s="1468"/>
      <c r="BD130" s="1468"/>
      <c r="BE130" s="1468"/>
      <c r="BF130" s="1468"/>
      <c r="BG130" s="1468"/>
      <c r="BH130" s="1468"/>
      <c r="BI130" s="1468"/>
      <c r="BJ130" s="1468"/>
      <c r="BK130" s="1468"/>
      <c r="BL130" s="1468"/>
      <c r="BM130" s="696"/>
      <c r="BN130" s="1399"/>
      <c r="BO130" s="1399"/>
      <c r="BP130" s="696"/>
      <c r="BQ130" s="696"/>
      <c r="BR130" s="696"/>
      <c r="BS130" s="696"/>
      <c r="BT130" s="696"/>
      <c r="BU130" s="739"/>
      <c r="BV130" s="399"/>
      <c r="BW130" s="399"/>
      <c r="BX130" s="399"/>
      <c r="CD130" s="725"/>
    </row>
    <row r="131" spans="1:87">
      <c r="A131" s="735" t="s">
        <v>882</v>
      </c>
      <c r="B131" s="8">
        <f t="shared" si="245"/>
        <v>0.22836788979650491</v>
      </c>
      <c r="C131" s="8">
        <f t="shared" si="245"/>
        <v>0.18946483670502845</v>
      </c>
      <c r="D131" s="8">
        <f t="shared" si="245"/>
        <v>0.18083717543103756</v>
      </c>
      <c r="E131" s="8">
        <f t="shared" si="245"/>
        <v>0.18805674898888761</v>
      </c>
      <c r="F131" s="8">
        <f t="shared" si="245"/>
        <v>0.19295671637570985</v>
      </c>
      <c r="G131" s="8">
        <f t="shared" si="245"/>
        <v>0.2178635957126602</v>
      </c>
      <c r="H131" s="8">
        <f t="shared" si="245"/>
        <v>0.2036196233669326</v>
      </c>
      <c r="I131" s="8">
        <f t="shared" ref="I131" si="256">I122/I$115</f>
        <v>0.21258257371102771</v>
      </c>
      <c r="J131" s="696"/>
      <c r="K131" s="696"/>
      <c r="L131" s="696"/>
      <c r="M131" s="696"/>
      <c r="N131" s="696"/>
      <c r="O131" s="696"/>
      <c r="S131" s="696"/>
      <c r="T131" s="811"/>
      <c r="U131" s="725"/>
      <c r="V131" s="725"/>
      <c r="W131" s="725"/>
      <c r="X131" s="725"/>
      <c r="Y131" s="725"/>
      <c r="Z131" s="725"/>
      <c r="AA131" s="743"/>
      <c r="AB131" s="696"/>
      <c r="AC131" s="696"/>
      <c r="AD131" s="745"/>
      <c r="AE131" s="696"/>
      <c r="AF131" s="696"/>
      <c r="AG131" s="696"/>
      <c r="AH131" s="696"/>
      <c r="AI131" s="8">
        <f t="shared" si="243"/>
        <v>0.2000615493073514</v>
      </c>
      <c r="AJ131" s="8">
        <f t="shared" si="243"/>
        <v>0.11681757930495444</v>
      </c>
      <c r="AK131" s="8">
        <f t="shared" si="243"/>
        <v>0.16406825287039056</v>
      </c>
      <c r="AL131" s="8">
        <f t="shared" si="243"/>
        <v>0.26359840879200186</v>
      </c>
      <c r="AM131" s="1127">
        <f t="shared" si="243"/>
        <v>0.17975449467353286</v>
      </c>
      <c r="AN131" s="1127">
        <f t="shared" si="243"/>
        <v>0.150435952725781</v>
      </c>
      <c r="AO131" s="1127">
        <f t="shared" si="243"/>
        <v>0.14690787656886983</v>
      </c>
      <c r="AP131" s="1127">
        <f t="shared" si="243"/>
        <v>0.28408722837455808</v>
      </c>
      <c r="AQ131" s="1127">
        <f t="shared" si="243"/>
        <v>0.23171698395250881</v>
      </c>
      <c r="AR131" s="1127">
        <f t="shared" si="243"/>
        <v>0.1481326044455423</v>
      </c>
      <c r="AS131" s="1127">
        <f t="shared" si="243"/>
        <v>0.21449156031288596</v>
      </c>
      <c r="AT131" s="1127">
        <f t="shared" si="243"/>
        <v>0.27268993839835731</v>
      </c>
      <c r="AU131" s="1127">
        <f t="shared" si="243"/>
        <v>0.21823204419889503</v>
      </c>
      <c r="AV131" s="1127">
        <f t="shared" si="243"/>
        <v>0.16297408937288771</v>
      </c>
      <c r="AW131" s="1127">
        <f t="shared" si="243"/>
        <v>0.22168840082361016</v>
      </c>
      <c r="AX131" s="1127">
        <f t="shared" si="243"/>
        <v>0.20979729729729729</v>
      </c>
      <c r="AY131" s="1127">
        <f t="shared" si="243"/>
        <v>0.21223140495867768</v>
      </c>
      <c r="AZ131" s="1127">
        <f t="shared" si="243"/>
        <v>0.18911174785100288</v>
      </c>
      <c r="BA131" s="1127">
        <f t="shared" ref="BA131:BB131" si="257">BA122/BA$115</f>
        <v>0.22021339656194427</v>
      </c>
      <c r="BB131" s="1127">
        <f t="shared" si="257"/>
        <v>0.23235210060017147</v>
      </c>
      <c r="BC131" s="1468"/>
      <c r="BD131" s="1468"/>
      <c r="BE131" s="1468"/>
      <c r="BF131" s="1468"/>
      <c r="BG131" s="1468"/>
      <c r="BH131" s="1468"/>
      <c r="BI131" s="1468"/>
      <c r="BJ131" s="1468"/>
      <c r="BK131" s="1468"/>
      <c r="BL131" s="1468"/>
      <c r="BM131" s="696"/>
      <c r="BN131" s="1399"/>
      <c r="BO131" s="1399"/>
      <c r="BP131" s="696"/>
      <c r="BQ131" s="696"/>
      <c r="BR131" s="696"/>
      <c r="BS131" s="696"/>
      <c r="BT131" s="696"/>
      <c r="BU131" s="739"/>
      <c r="BV131" s="399"/>
      <c r="BW131" s="399"/>
      <c r="BX131" s="399"/>
      <c r="CD131" s="725"/>
    </row>
    <row r="132" spans="1:87">
      <c r="A132" s="735"/>
      <c r="B132" s="696"/>
      <c r="C132" s="696"/>
      <c r="D132" s="696"/>
      <c r="E132" s="696"/>
      <c r="F132" s="696"/>
      <c r="G132" s="696"/>
      <c r="H132" s="696"/>
      <c r="I132" s="696"/>
      <c r="J132" s="696"/>
      <c r="K132" s="696"/>
      <c r="L132" s="696"/>
      <c r="M132" s="696"/>
      <c r="N132" s="696"/>
      <c r="O132" s="696"/>
      <c r="S132" s="696"/>
      <c r="T132" s="811"/>
      <c r="U132" s="725"/>
      <c r="V132" s="725"/>
      <c r="W132" s="725"/>
      <c r="X132" s="725"/>
      <c r="Y132" s="725"/>
      <c r="Z132" s="725"/>
      <c r="AA132" s="743"/>
      <c r="AB132" s="696"/>
      <c r="AC132" s="696"/>
      <c r="AD132" s="745"/>
      <c r="AE132" s="696"/>
      <c r="AF132" s="696"/>
      <c r="AG132" s="696"/>
      <c r="AH132" s="696"/>
      <c r="AI132" s="696"/>
      <c r="AJ132" s="696"/>
      <c r="AK132" s="696"/>
      <c r="AL132" s="696"/>
      <c r="AM132" s="696"/>
      <c r="AN132" s="696"/>
      <c r="AO132" s="696"/>
      <c r="AP132" s="696"/>
      <c r="AQ132" s="696"/>
      <c r="AR132" s="1468"/>
      <c r="AS132" s="696"/>
      <c r="AT132" s="696"/>
      <c r="AU132" s="696"/>
      <c r="AV132" s="696"/>
      <c r="AW132" s="696"/>
      <c r="AX132" s="745"/>
      <c r="AY132" s="745"/>
      <c r="AZ132" s="1469"/>
      <c r="BA132" s="1469"/>
      <c r="BB132" s="1469"/>
      <c r="BC132" s="1468"/>
      <c r="BD132" s="1468"/>
      <c r="BE132" s="1468"/>
      <c r="BF132" s="1468"/>
      <c r="BG132" s="1468"/>
      <c r="BH132" s="1468"/>
      <c r="BI132" s="1468"/>
      <c r="BJ132" s="1468"/>
      <c r="BK132" s="1468"/>
      <c r="BL132" s="1468"/>
      <c r="BM132" s="696"/>
      <c r="BN132" s="1399"/>
      <c r="BO132" s="1399"/>
      <c r="BP132" s="696"/>
      <c r="BQ132" s="696"/>
      <c r="BR132" s="696"/>
      <c r="BS132" s="696"/>
      <c r="BT132" s="696"/>
      <c r="BU132" s="739"/>
      <c r="BV132" s="399"/>
      <c r="BW132" s="399"/>
      <c r="BX132" s="399"/>
      <c r="CD132" s="725"/>
    </row>
    <row r="133" spans="1:87">
      <c r="A133" s="735"/>
      <c r="B133" s="696"/>
      <c r="C133" s="696"/>
      <c r="D133" s="696"/>
      <c r="E133" s="696"/>
      <c r="F133" s="696"/>
      <c r="G133" s="696"/>
      <c r="H133" s="696"/>
      <c r="I133" s="696"/>
      <c r="J133" s="696"/>
      <c r="K133" s="696"/>
      <c r="L133" s="696"/>
      <c r="M133" s="696"/>
      <c r="N133" s="696"/>
      <c r="O133" s="696"/>
      <c r="S133" s="696"/>
      <c r="T133" s="811"/>
      <c r="U133" s="725"/>
      <c r="V133" s="725"/>
      <c r="W133" s="725"/>
      <c r="X133" s="725"/>
      <c r="Y133" s="725"/>
      <c r="Z133" s="725"/>
      <c r="AA133" s="743"/>
      <c r="AB133" s="696"/>
      <c r="AC133" s="696"/>
      <c r="AD133" s="745"/>
      <c r="AE133" s="696"/>
      <c r="AF133" s="696"/>
      <c r="AG133" s="696"/>
      <c r="AH133" s="696"/>
      <c r="AI133" s="696"/>
      <c r="AJ133" s="696"/>
      <c r="AK133" s="696"/>
      <c r="AL133" s="696"/>
      <c r="AM133" s="696"/>
      <c r="AN133" s="696"/>
      <c r="AO133" s="696"/>
      <c r="AP133" s="696"/>
      <c r="AQ133" s="696"/>
      <c r="AR133" s="1468"/>
      <c r="AS133" s="696"/>
      <c r="AT133" s="696"/>
      <c r="AU133" s="696"/>
      <c r="AV133" s="696"/>
      <c r="AW133" s="696"/>
      <c r="AX133" s="745"/>
      <c r="AY133" s="745"/>
      <c r="AZ133" s="1469"/>
      <c r="BA133" s="1469"/>
      <c r="BB133" s="1469"/>
      <c r="BC133" s="1468"/>
      <c r="BD133" s="1468"/>
      <c r="BE133" s="1468"/>
      <c r="BF133" s="1468"/>
      <c r="BG133" s="1468"/>
      <c r="BH133" s="1468"/>
      <c r="BI133" s="1468"/>
      <c r="BJ133" s="1468"/>
      <c r="BK133" s="1468"/>
      <c r="BL133" s="1468"/>
      <c r="BM133" s="696"/>
      <c r="BN133" s="1399"/>
      <c r="BO133" s="1399"/>
      <c r="BP133" s="696"/>
      <c r="BQ133" s="696"/>
      <c r="BR133" s="696"/>
      <c r="BS133" s="696"/>
      <c r="BT133" s="696"/>
      <c r="BU133" s="739"/>
      <c r="BV133" s="399"/>
      <c r="BW133" s="399"/>
      <c r="BX133" s="399"/>
      <c r="CD133" s="725"/>
    </row>
    <row r="134" spans="1:87" s="1" customFormat="1">
      <c r="A134" s="1399" t="s">
        <v>861</v>
      </c>
      <c r="B134" s="1150">
        <f t="shared" ref="B134:H134" si="258">B115/B10</f>
        <v>0.16617900920696058</v>
      </c>
      <c r="C134" s="1150">
        <f t="shared" si="258"/>
        <v>0.16829156177587301</v>
      </c>
      <c r="D134" s="1150">
        <f t="shared" si="258"/>
        <v>0.17644605962410762</v>
      </c>
      <c r="E134" s="1150">
        <f t="shared" si="258"/>
        <v>0.17772554561516188</v>
      </c>
      <c r="F134" s="1150">
        <f t="shared" si="258"/>
        <v>0.17410509413859251</v>
      </c>
      <c r="G134" s="1150">
        <f t="shared" si="258"/>
        <v>0.17490224065091786</v>
      </c>
      <c r="H134" s="1150">
        <f t="shared" si="258"/>
        <v>0.17612824184566436</v>
      </c>
      <c r="I134" s="1150">
        <f>I115/I10</f>
        <v>0.18731950822945495</v>
      </c>
      <c r="J134" s="1109"/>
      <c r="K134" s="1109"/>
      <c r="L134" s="1109"/>
      <c r="M134" s="1109"/>
      <c r="N134" s="1109"/>
      <c r="O134" s="1109"/>
      <c r="S134" s="698"/>
      <c r="T134" s="811"/>
      <c r="X134" s="399"/>
      <c r="Y134" s="399"/>
      <c r="Z134" s="399"/>
      <c r="AA134" s="780"/>
      <c r="AB134" s="698"/>
      <c r="AC134" s="698"/>
      <c r="AD134" s="1101"/>
      <c r="AE134" s="8">
        <f t="shared" ref="AE134:AW134" si="259">AE115/AE10</f>
        <v>0.17227640240072192</v>
      </c>
      <c r="AF134" s="8">
        <f t="shared" si="259"/>
        <v>0.18416800113026768</v>
      </c>
      <c r="AG134" s="8">
        <f t="shared" si="259"/>
        <v>0.18348409816394001</v>
      </c>
      <c r="AH134" s="8">
        <f t="shared" si="259"/>
        <v>0.16699773501393722</v>
      </c>
      <c r="AI134" s="8">
        <f t="shared" si="259"/>
        <v>0.18411427400755409</v>
      </c>
      <c r="AJ134" s="8">
        <f t="shared" si="259"/>
        <v>0.17814356211509744</v>
      </c>
      <c r="AK134" s="8">
        <f t="shared" si="259"/>
        <v>0.18779833566198889</v>
      </c>
      <c r="AL134" s="8">
        <f t="shared" si="259"/>
        <v>0.16446123654231859</v>
      </c>
      <c r="AM134" s="8">
        <f t="shared" si="259"/>
        <v>0.18283673531349146</v>
      </c>
      <c r="AN134" s="8">
        <f t="shared" si="259"/>
        <v>0.18401679562611714</v>
      </c>
      <c r="AO134" s="8">
        <f t="shared" si="259"/>
        <v>0.18190914325533936</v>
      </c>
      <c r="AP134" s="8">
        <f t="shared" si="259"/>
        <v>0.15250449491288348</v>
      </c>
      <c r="AQ134" s="8">
        <f t="shared" si="259"/>
        <v>0.18143932040433985</v>
      </c>
      <c r="AR134" s="8">
        <f t="shared" si="259"/>
        <v>0.17777990238745309</v>
      </c>
      <c r="AS134" s="8">
        <f t="shared" ref="AS134:AT134" si="260">AS115/AS10</f>
        <v>0.17651333478671608</v>
      </c>
      <c r="AT134" s="8">
        <f t="shared" si="260"/>
        <v>0.16574773670955006</v>
      </c>
      <c r="AU134" s="8">
        <f t="shared" si="259"/>
        <v>0.1798183366449049</v>
      </c>
      <c r="AV134" s="8">
        <f t="shared" si="259"/>
        <v>0.17466876557785649</v>
      </c>
      <c r="AW134" s="8">
        <f t="shared" si="259"/>
        <v>0.18323586744639375</v>
      </c>
      <c r="AX134" s="1114">
        <f t="shared" ref="AX134:AY141" si="261">AX115/AX10</f>
        <v>0.16810540663334847</v>
      </c>
      <c r="AY134" s="1114">
        <f t="shared" si="261"/>
        <v>0.18837962386349483</v>
      </c>
      <c r="AZ134" s="1752">
        <f t="shared" ref="AZ134:AZ141" si="262">AZ115/$AZ10</f>
        <v>0.18893233082706767</v>
      </c>
      <c r="BA134" s="1752">
        <f t="shared" ref="BA134:BB141" si="263">BA115/$BA10</f>
        <v>0.19611718205068587</v>
      </c>
      <c r="BB134" s="1752">
        <f t="shared" si="263"/>
        <v>0.20338293420134854</v>
      </c>
      <c r="BC134" s="1751"/>
      <c r="BD134" s="1751">
        <f t="shared" ref="BD134" si="264">BD115/BD10</f>
        <v>0.17954978068360505</v>
      </c>
      <c r="BE134" s="1751">
        <f t="shared" ref="BE134" si="265">BE115/BE10</f>
        <v>0.17714227282023315</v>
      </c>
      <c r="BF134" s="1751"/>
      <c r="BG134" s="1751"/>
      <c r="BH134" s="1751"/>
      <c r="BI134" s="1751">
        <f t="shared" ref="BI134" si="266">BI115/BI10</f>
        <v>0.18866077165498885</v>
      </c>
      <c r="BJ134" s="1751"/>
      <c r="BK134" s="1751"/>
      <c r="BL134" s="1908"/>
      <c r="BM134" s="698"/>
      <c r="BN134" s="8"/>
      <c r="BO134" s="8"/>
      <c r="BP134" s="698"/>
      <c r="BQ134" s="698"/>
      <c r="BR134" s="698"/>
      <c r="BS134" s="698"/>
      <c r="BT134" s="698"/>
      <c r="BU134" s="399"/>
      <c r="BV134" s="399"/>
      <c r="BW134" s="399"/>
      <c r="BX134" s="399"/>
      <c r="CD134" s="8"/>
      <c r="CG134" s="8"/>
      <c r="CH134" s="8"/>
      <c r="CI134" s="7"/>
    </row>
    <row r="135" spans="1:87" s="1" customFormat="1">
      <c r="A135" s="39" t="s">
        <v>883</v>
      </c>
      <c r="B135" s="8">
        <f t="shared" ref="B135:H140" si="267">B116/B11</f>
        <v>0.11335355085902596</v>
      </c>
      <c r="C135" s="8">
        <f t="shared" si="267"/>
        <v>0.12498006610860853</v>
      </c>
      <c r="D135" s="8">
        <f t="shared" si="267"/>
        <v>0.13315091069693108</v>
      </c>
      <c r="E135" s="8">
        <f t="shared" si="267"/>
        <v>0.1317789788199103</v>
      </c>
      <c r="F135" s="8">
        <f t="shared" si="267"/>
        <v>0.1306606297691153</v>
      </c>
      <c r="G135" s="8">
        <f t="shared" si="267"/>
        <v>0.1323412509141785</v>
      </c>
      <c r="H135" s="8">
        <f t="shared" si="267"/>
        <v>0.13369982101764255</v>
      </c>
      <c r="I135" s="8">
        <f t="shared" ref="I135" si="268">I116/I11</f>
        <v>0.13227655986509274</v>
      </c>
      <c r="J135" s="1397">
        <f>14%</f>
        <v>0.14000000000000001</v>
      </c>
      <c r="K135" s="1397">
        <f t="shared" ref="K135:L141" si="269">J135</f>
        <v>0.14000000000000001</v>
      </c>
      <c r="L135" s="1397">
        <f t="shared" si="269"/>
        <v>0.14000000000000001</v>
      </c>
      <c r="M135" s="788"/>
      <c r="N135" s="1397">
        <v>0.14099999999999999</v>
      </c>
      <c r="O135" s="8">
        <v>0.13200000000000001</v>
      </c>
      <c r="S135" s="698"/>
      <c r="T135" s="811" t="s">
        <v>1785</v>
      </c>
      <c r="U135" s="1">
        <v>1000</v>
      </c>
      <c r="X135" s="399"/>
      <c r="Y135" s="399"/>
      <c r="Z135" s="399"/>
      <c r="AA135" s="780"/>
      <c r="AB135" s="698"/>
      <c r="AC135" s="698"/>
      <c r="AD135" s="1101"/>
      <c r="AE135" s="1751">
        <f t="shared" ref="AE135:AW135" si="270">AE116/AE11</f>
        <v>0.11909456788028107</v>
      </c>
      <c r="AF135" s="1751">
        <f t="shared" si="270"/>
        <v>0.13697229363620092</v>
      </c>
      <c r="AG135" s="1751">
        <f t="shared" si="270"/>
        <v>0.15287609085889531</v>
      </c>
      <c r="AH135" s="1751">
        <f t="shared" si="270"/>
        <v>0.12381288539447331</v>
      </c>
      <c r="AI135" s="1751">
        <f t="shared" si="270"/>
        <v>0.12962688555498447</v>
      </c>
      <c r="AJ135" s="1751">
        <f t="shared" si="270"/>
        <v>0.14863008336960595</v>
      </c>
      <c r="AK135" s="1751">
        <f t="shared" si="270"/>
        <v>0.14960233330380296</v>
      </c>
      <c r="AL135" s="1751">
        <f t="shared" si="270"/>
        <v>0.10549822257130985</v>
      </c>
      <c r="AM135" s="1751">
        <f t="shared" si="270"/>
        <v>0.13442030578368236</v>
      </c>
      <c r="AN135" s="1751">
        <f t="shared" si="270"/>
        <v>0.14598700736795234</v>
      </c>
      <c r="AO135" s="1751">
        <f t="shared" si="270"/>
        <v>0.15337063476986065</v>
      </c>
      <c r="AP135" s="1751">
        <f t="shared" si="270"/>
        <v>9.8698092042859967E-2</v>
      </c>
      <c r="AQ135" s="1751">
        <f t="shared" si="270"/>
        <v>0.13229987592024359</v>
      </c>
      <c r="AR135" s="1751">
        <f t="shared" si="270"/>
        <v>0.14943642351331871</v>
      </c>
      <c r="AS135" s="1751">
        <f t="shared" ref="AS135:AT135" si="271">AS116/AS11</f>
        <v>0.13505712567648828</v>
      </c>
      <c r="AT135" s="1751">
        <f t="shared" si="271"/>
        <v>0.11565158978952082</v>
      </c>
      <c r="AU135" s="1751">
        <f t="shared" si="270"/>
        <v>0.13646558847833787</v>
      </c>
      <c r="AV135" s="1751">
        <f t="shared" si="270"/>
        <v>0.13481157609827191</v>
      </c>
      <c r="AW135" s="1751">
        <f t="shared" si="270"/>
        <v>0.1376555072317184</v>
      </c>
      <c r="AX135" s="1752">
        <f t="shared" si="261"/>
        <v>0.12713080925892697</v>
      </c>
      <c r="AY135" s="1752">
        <f t="shared" si="261"/>
        <v>0.1449483058654929</v>
      </c>
      <c r="AZ135" s="1752">
        <f t="shared" si="262"/>
        <v>0.1368857997876243</v>
      </c>
      <c r="BA135" s="1752">
        <f t="shared" si="263"/>
        <v>0.13852693836059513</v>
      </c>
      <c r="BB135" s="1752">
        <f t="shared" si="263"/>
        <v>0.14323999630348397</v>
      </c>
      <c r="BC135" s="1751"/>
      <c r="BD135" s="1751">
        <f t="shared" ref="BD135" si="272">BD116/BD11</f>
        <v>0.14117729897197578</v>
      </c>
      <c r="BE135" s="1751">
        <f t="shared" ref="BE135:BI135" si="273">BE116/BE11</f>
        <v>0.13558665707805498</v>
      </c>
      <c r="BF135" s="1751"/>
      <c r="BG135" s="1751"/>
      <c r="BH135" s="1751"/>
      <c r="BI135" s="1751">
        <f t="shared" si="273"/>
        <v>0.14079888712241653</v>
      </c>
      <c r="BJ135" s="1751"/>
      <c r="BK135" s="1751"/>
      <c r="BM135" s="698"/>
      <c r="BN135" s="8"/>
      <c r="BO135" s="8"/>
      <c r="BP135" s="698"/>
      <c r="BQ135" s="698"/>
      <c r="BR135" s="698"/>
      <c r="BS135" s="698"/>
      <c r="BT135" s="698"/>
      <c r="BU135" s="399"/>
      <c r="BV135" s="1133"/>
      <c r="BW135" s="1133"/>
      <c r="BX135" s="399"/>
      <c r="CD135" s="8"/>
      <c r="CE135" s="725"/>
      <c r="CF135" s="725"/>
      <c r="CG135" s="8"/>
      <c r="CH135" s="8"/>
      <c r="CI135" s="725"/>
    </row>
    <row r="136" spans="1:87">
      <c r="A136" s="1467" t="s">
        <v>854</v>
      </c>
      <c r="B136" s="8">
        <f t="shared" si="267"/>
        <v>0.16107899688658883</v>
      </c>
      <c r="C136" s="8">
        <f t="shared" si="267"/>
        <v>0.15877691713257933</v>
      </c>
      <c r="D136" s="8">
        <f t="shared" si="267"/>
        <v>0.1641771094959609</v>
      </c>
      <c r="E136" s="8">
        <f t="shared" si="267"/>
        <v>0.16669453078960367</v>
      </c>
      <c r="F136" s="8">
        <f t="shared" si="267"/>
        <v>0.15736987889399029</v>
      </c>
      <c r="G136" s="8">
        <f t="shared" si="267"/>
        <v>0.15571475625823453</v>
      </c>
      <c r="H136" s="8">
        <f t="shared" si="267"/>
        <v>0.15410461021548799</v>
      </c>
      <c r="I136" s="8">
        <f t="shared" ref="I136" si="274">I117/I12</f>
        <v>0.15451359448307048</v>
      </c>
      <c r="J136" s="1397">
        <f t="shared" ref="J136:J141" si="275">I136</f>
        <v>0.15451359448307048</v>
      </c>
      <c r="K136" s="1397">
        <f t="shared" si="269"/>
        <v>0.15451359448307048</v>
      </c>
      <c r="L136" s="1397">
        <f t="shared" si="269"/>
        <v>0.15451359448307048</v>
      </c>
      <c r="M136" s="1397"/>
      <c r="N136" s="1397">
        <v>0.158</v>
      </c>
      <c r="O136" s="1397">
        <f>G137</f>
        <v>5.306521435553694E-2</v>
      </c>
      <c r="S136" s="832"/>
      <c r="T136" s="811" t="s">
        <v>1786</v>
      </c>
      <c r="U136" s="742">
        <v>1050</v>
      </c>
      <c r="V136" s="1"/>
      <c r="W136" s="1"/>
      <c r="X136" s="399"/>
      <c r="Y136" s="399"/>
      <c r="Z136" s="750"/>
      <c r="AA136" s="743"/>
      <c r="AB136" s="696"/>
      <c r="AC136" s="696"/>
      <c r="AD136" s="745"/>
      <c r="AE136" s="1751">
        <f t="shared" ref="AE136:AW136" si="276">AE117/AE12</f>
        <v>0.14701397537013974</v>
      </c>
      <c r="AF136" s="1751">
        <f t="shared" si="276"/>
        <v>0.16120073519992273</v>
      </c>
      <c r="AG136" s="1751">
        <f t="shared" si="276"/>
        <v>0.17606252760309626</v>
      </c>
      <c r="AH136" s="1751">
        <f t="shared" si="276"/>
        <v>0.17120002234938603</v>
      </c>
      <c r="AI136" s="1751">
        <f t="shared" si="276"/>
        <v>0.15612460158048941</v>
      </c>
      <c r="AJ136" s="1751">
        <f t="shared" si="276"/>
        <v>0.16103436361369813</v>
      </c>
      <c r="AK136" s="1751">
        <f t="shared" si="276"/>
        <v>0.17991613859133515</v>
      </c>
      <c r="AL136" s="1751">
        <f t="shared" si="276"/>
        <v>0.16741416131149325</v>
      </c>
      <c r="AM136" s="1751">
        <f t="shared" si="276"/>
        <v>0.1623031950200505</v>
      </c>
      <c r="AN136" s="1751">
        <f t="shared" si="276"/>
        <v>0.1550932001986379</v>
      </c>
      <c r="AO136" s="1751">
        <f t="shared" si="276"/>
        <v>0.1755286086616899</v>
      </c>
      <c r="AP136" s="1751">
        <f t="shared" si="276"/>
        <v>0.14180085541596593</v>
      </c>
      <c r="AQ136" s="1751">
        <f t="shared" si="276"/>
        <v>0.16336431466380374</v>
      </c>
      <c r="AR136" s="1751">
        <f t="shared" si="276"/>
        <v>0.16334856799953154</v>
      </c>
      <c r="AS136" s="1751">
        <f t="shared" ref="AS136:AT136" si="277">AS117/AS12</f>
        <v>0.1631504922644163</v>
      </c>
      <c r="AT136" s="1751">
        <f t="shared" si="277"/>
        <v>0.13569498649054335</v>
      </c>
      <c r="AU136" s="1751">
        <f t="shared" si="276"/>
        <v>0.15930847263894843</v>
      </c>
      <c r="AV136" s="1751">
        <f t="shared" si="276"/>
        <v>0.15566411407446529</v>
      </c>
      <c r="AW136" s="1751">
        <f t="shared" si="276"/>
        <v>0.16306361951822113</v>
      </c>
      <c r="AX136" s="1752">
        <f t="shared" si="261"/>
        <v>0.13952926976463489</v>
      </c>
      <c r="AY136" s="1752">
        <f t="shared" si="261"/>
        <v>0.16992426093330076</v>
      </c>
      <c r="AZ136" s="1752">
        <f t="shared" si="262"/>
        <v>0.15206884356949193</v>
      </c>
      <c r="BA136" s="1752">
        <f t="shared" si="263"/>
        <v>0.15631667602470523</v>
      </c>
      <c r="BB136" s="1752">
        <f t="shared" si="263"/>
        <v>0.15654126895002807</v>
      </c>
      <c r="BC136" s="1751"/>
      <c r="BD136" s="1751">
        <f t="shared" ref="BD136" si="278">BD117/BD12</f>
        <v>0.1633561948873252</v>
      </c>
      <c r="BE136" s="1751">
        <f t="shared" ref="BE136:BI136" si="279">BE117/BE12</f>
        <v>0.1574143964866534</v>
      </c>
      <c r="BF136" s="1751"/>
      <c r="BG136" s="1751"/>
      <c r="BH136" s="1751"/>
      <c r="BI136" s="1751">
        <f t="shared" si="279"/>
        <v>0.16083748275241466</v>
      </c>
      <c r="BJ136" s="1751"/>
      <c r="BK136" s="1751"/>
      <c r="BL136" s="1751">
        <f>4073/25574</f>
        <v>0.15926331430358959</v>
      </c>
      <c r="BM136" s="8"/>
      <c r="BN136" s="8"/>
      <c r="BO136" s="8"/>
      <c r="BP136" s="8"/>
      <c r="BQ136" s="8"/>
      <c r="BR136" s="8"/>
      <c r="BS136" s="8"/>
      <c r="BT136" s="8"/>
      <c r="BU136" s="399"/>
      <c r="BV136" s="399"/>
      <c r="BW136" s="399"/>
      <c r="BX136" s="399"/>
      <c r="CD136" s="8"/>
      <c r="CE136" s="725"/>
      <c r="CF136" s="725"/>
      <c r="CG136" s="8"/>
      <c r="CH136" s="8"/>
      <c r="CI136" s="725"/>
    </row>
    <row r="137" spans="1:87" s="826" customFormat="1">
      <c r="A137" s="1467" t="s">
        <v>855</v>
      </c>
      <c r="B137" s="8">
        <f t="shared" si="267"/>
        <v>3.2078807575963549E-2</v>
      </c>
      <c r="C137" s="8">
        <f t="shared" si="267"/>
        <v>5.0693586969780102E-2</v>
      </c>
      <c r="D137" s="8">
        <f t="shared" si="267"/>
        <v>5.5659158419138703E-2</v>
      </c>
      <c r="E137" s="8">
        <f t="shared" si="267"/>
        <v>5.1591872500471064E-2</v>
      </c>
      <c r="F137" s="8">
        <f t="shared" si="267"/>
        <v>5.6878164701154074E-2</v>
      </c>
      <c r="G137" s="8">
        <f t="shared" si="267"/>
        <v>5.306521435553694E-2</v>
      </c>
      <c r="H137" s="8">
        <f t="shared" si="267"/>
        <v>5.6393281843815125E-2</v>
      </c>
      <c r="I137" s="8">
        <f t="shared" ref="I137" si="280">I118/I13</f>
        <v>4.5749477620147368E-2</v>
      </c>
      <c r="J137" s="1397">
        <f t="shared" si="275"/>
        <v>4.5749477620147368E-2</v>
      </c>
      <c r="K137" s="1397">
        <f t="shared" ref="K137:L137" si="281">J137</f>
        <v>4.5749477620147368E-2</v>
      </c>
      <c r="L137" s="1397">
        <f t="shared" si="281"/>
        <v>4.5749477620147368E-2</v>
      </c>
      <c r="M137" s="1397"/>
      <c r="N137" s="1397">
        <f>H137</f>
        <v>5.6393281843815125E-2</v>
      </c>
      <c r="O137" s="1397">
        <f>G138</f>
        <v>0.19207895735796532</v>
      </c>
      <c r="S137" s="832"/>
      <c r="T137" s="811" t="s">
        <v>1787</v>
      </c>
      <c r="U137" s="828">
        <v>24</v>
      </c>
      <c r="V137" s="821"/>
      <c r="W137" s="821"/>
      <c r="X137" s="822"/>
      <c r="Y137" s="822"/>
      <c r="Z137" s="822"/>
      <c r="AA137" s="823"/>
      <c r="AB137" s="824"/>
      <c r="AC137" s="824"/>
      <c r="AD137" s="825"/>
      <c r="AE137" s="1751">
        <f t="shared" ref="AE137:AW137" si="282">AE118/AE13</f>
        <v>4.3339471195887871E-3</v>
      </c>
      <c r="AF137" s="1751">
        <f t="shared" si="282"/>
        <v>6.7198674255501731E-2</v>
      </c>
      <c r="AG137" s="1751">
        <f t="shared" si="282"/>
        <v>9.6238272632040656E-2</v>
      </c>
      <c r="AH137" s="1751">
        <f t="shared" si="282"/>
        <v>4.2280939369922298E-2</v>
      </c>
      <c r="AI137" s="1751">
        <f t="shared" si="282"/>
        <v>4.6307714744635915E-2</v>
      </c>
      <c r="AJ137" s="1751">
        <f t="shared" si="282"/>
        <v>0.11869210557950231</v>
      </c>
      <c r="AK137" s="1751">
        <f t="shared" si="282"/>
        <v>7.4485413890122948E-2</v>
      </c>
      <c r="AL137" s="1751">
        <f t="shared" si="282"/>
        <v>-2.673389234294588E-3</v>
      </c>
      <c r="AM137" s="1751">
        <f t="shared" si="282"/>
        <v>5.948180905967989E-2</v>
      </c>
      <c r="AN137" s="1751">
        <f t="shared" si="282"/>
        <v>0.11183348410871793</v>
      </c>
      <c r="AO137" s="1751">
        <f t="shared" si="282"/>
        <v>9.0321495900895013E-2</v>
      </c>
      <c r="AP137" s="1751">
        <f t="shared" si="282"/>
        <v>1.2503981465370382E-3</v>
      </c>
      <c r="AQ137" s="1751">
        <f t="shared" si="282"/>
        <v>1.2241648898365317E-2</v>
      </c>
      <c r="AR137" s="1751">
        <f t="shared" si="282"/>
        <v>9.8071428571428573E-2</v>
      </c>
      <c r="AS137" s="1751">
        <f t="shared" ref="AS137:AT137" si="283">AS118/AS13</f>
        <v>4.1231732776617944E-2</v>
      </c>
      <c r="AT137" s="1751">
        <f t="shared" si="283"/>
        <v>5.6828193832599121E-2</v>
      </c>
      <c r="AU137" s="1751">
        <f t="shared" si="282"/>
        <v>2.7853260869565216E-2</v>
      </c>
      <c r="AV137" s="1751">
        <f t="shared" si="282"/>
        <v>5.7086614173228349E-2</v>
      </c>
      <c r="AW137" s="1751">
        <f t="shared" si="282"/>
        <v>2.2321428571428572E-2</v>
      </c>
      <c r="AX137" s="1752">
        <f t="shared" si="261"/>
        <v>9.1925900034952809E-2</v>
      </c>
      <c r="AY137" s="1752">
        <f t="shared" si="261"/>
        <v>1.5161086544535692E-2</v>
      </c>
      <c r="AZ137" s="1752">
        <f t="shared" si="262"/>
        <v>6.9296375266524518E-2</v>
      </c>
      <c r="BA137" s="1752">
        <f t="shared" si="263"/>
        <v>5.5294731351069382E-2</v>
      </c>
      <c r="BB137" s="1752">
        <f t="shared" si="263"/>
        <v>8.1377151799687006E-2</v>
      </c>
      <c r="BC137" s="1751"/>
      <c r="BD137" s="1751">
        <f t="shared" ref="BD137" si="284">BD118/BD13</f>
        <v>5.7478991596638655E-2</v>
      </c>
      <c r="BE137" s="1751">
        <f>BE118/BE13</f>
        <v>4.4805936073059362E-2</v>
      </c>
      <c r="BF137" s="1751"/>
      <c r="BG137" s="1751"/>
      <c r="BH137" s="1751"/>
      <c r="BI137" s="1751">
        <f t="shared" ref="BI137" si="285">BI118/BI13</f>
        <v>4.452153801676785E-2</v>
      </c>
      <c r="BJ137" s="1751"/>
      <c r="BK137" s="1751"/>
      <c r="BL137" s="1751">
        <f>260/5376</f>
        <v>4.836309523809524E-2</v>
      </c>
      <c r="BM137" s="8"/>
      <c r="BN137" s="8"/>
      <c r="BO137" s="8"/>
      <c r="BP137" s="8"/>
      <c r="BQ137" s="8"/>
      <c r="BR137" s="8"/>
      <c r="BS137" s="8"/>
      <c r="BT137" s="8"/>
      <c r="BU137" s="822"/>
      <c r="BV137" s="822"/>
      <c r="BW137" s="822"/>
      <c r="BX137" s="822"/>
      <c r="CD137" s="8"/>
      <c r="CE137" s="725"/>
      <c r="CF137" s="725"/>
      <c r="CG137" s="8"/>
      <c r="CH137" s="8"/>
      <c r="CI137" s="725"/>
    </row>
    <row r="138" spans="1:87">
      <c r="A138" s="39" t="s">
        <v>884</v>
      </c>
      <c r="B138" s="8">
        <f t="shared" si="267"/>
        <v>0.16504739042665934</v>
      </c>
      <c r="C138" s="8">
        <f t="shared" si="267"/>
        <v>0.17388716581844543</v>
      </c>
      <c r="D138" s="8">
        <f t="shared" si="267"/>
        <v>0.18088331972516677</v>
      </c>
      <c r="E138" s="8">
        <f t="shared" si="267"/>
        <v>0.18877900582796592</v>
      </c>
      <c r="F138" s="8">
        <f t="shared" si="267"/>
        <v>0.1912874502304841</v>
      </c>
      <c r="G138" s="8">
        <f t="shared" si="267"/>
        <v>0.19207895735796532</v>
      </c>
      <c r="H138" s="8">
        <f t="shared" si="267"/>
        <v>0.20374787052810903</v>
      </c>
      <c r="I138" s="8">
        <f t="shared" ref="I138" si="286">I119/I14</f>
        <v>0.22366330035371917</v>
      </c>
      <c r="J138" s="1397">
        <f t="shared" si="275"/>
        <v>0.22366330035371917</v>
      </c>
      <c r="K138" s="1397">
        <f t="shared" si="269"/>
        <v>0.22366330035371917</v>
      </c>
      <c r="L138" s="1397">
        <f t="shared" si="269"/>
        <v>0.22366330035371917</v>
      </c>
      <c r="M138" s="1397"/>
      <c r="N138" s="1397">
        <v>0.20499999999999999</v>
      </c>
      <c r="O138" s="1397">
        <f>G139</f>
        <v>0.19063611220861321</v>
      </c>
      <c r="S138" s="832"/>
      <c r="T138" s="811"/>
      <c r="U138" s="2568" t="e">
        <f>U136*#REF!</f>
        <v>#REF!</v>
      </c>
      <c r="V138" s="668"/>
      <c r="W138" s="668"/>
      <c r="X138" s="399"/>
      <c r="Y138" s="399"/>
      <c r="Z138" s="399"/>
      <c r="AA138" s="743"/>
      <c r="AB138" s="696"/>
      <c r="AC138" s="696"/>
      <c r="AD138" s="745"/>
      <c r="AE138" s="1751">
        <f t="shared" ref="AE138:AW138" si="287">AE119/AE14</f>
        <v>0.16736531210410716</v>
      </c>
      <c r="AF138" s="1751">
        <f t="shared" si="287"/>
        <v>0.17745577889030087</v>
      </c>
      <c r="AG138" s="1751">
        <f t="shared" si="287"/>
        <v>0.18252510468699737</v>
      </c>
      <c r="AH138" s="1751">
        <f t="shared" si="287"/>
        <v>0.19382976612659633</v>
      </c>
      <c r="AI138" s="1751">
        <f t="shared" si="287"/>
        <v>0.1968527786894213</v>
      </c>
      <c r="AJ138" s="1751">
        <f t="shared" si="287"/>
        <v>0.19401289716321143</v>
      </c>
      <c r="AK138" s="1751">
        <f t="shared" si="287"/>
        <v>0.1887450099784331</v>
      </c>
      <c r="AL138" s="1751">
        <f t="shared" si="287"/>
        <v>0.17712349735887159</v>
      </c>
      <c r="AM138" s="1751">
        <f t="shared" si="287"/>
        <v>0.20194478623225254</v>
      </c>
      <c r="AN138" s="1751">
        <f t="shared" si="287"/>
        <v>0.20642605902364641</v>
      </c>
      <c r="AO138" s="1751">
        <f t="shared" si="287"/>
        <v>0.1939012929308308</v>
      </c>
      <c r="AP138" s="1751">
        <f t="shared" si="287"/>
        <v>0.16545448055904696</v>
      </c>
      <c r="AQ138" s="1751">
        <f t="shared" si="287"/>
        <v>0.19093568084630352</v>
      </c>
      <c r="AR138" s="1751">
        <f t="shared" si="287"/>
        <v>0.20307206786824319</v>
      </c>
      <c r="AS138" s="1751">
        <f t="shared" ref="AS138:AT138" si="288">AS119/AS14</f>
        <v>0.19585828343313372</v>
      </c>
      <c r="AT138" s="1751">
        <f t="shared" si="288"/>
        <v>0.17905733722060249</v>
      </c>
      <c r="AU138" s="1751">
        <f t="shared" si="287"/>
        <v>0.20563310069790627</v>
      </c>
      <c r="AV138" s="1751">
        <f t="shared" si="287"/>
        <v>0.22069943289224953</v>
      </c>
      <c r="AW138" s="1751">
        <f t="shared" si="287"/>
        <v>0.19907813871817384</v>
      </c>
      <c r="AX138" s="1752">
        <f t="shared" si="261"/>
        <v>0.19168399168399169</v>
      </c>
      <c r="AY138" s="1752">
        <f t="shared" si="261"/>
        <v>0.21104321257092973</v>
      </c>
      <c r="AZ138" s="1752">
        <f t="shared" si="262"/>
        <v>0.23643979057591624</v>
      </c>
      <c r="BA138" s="1752">
        <f t="shared" si="263"/>
        <v>0.22961460446247464</v>
      </c>
      <c r="BB138" s="1752">
        <f t="shared" si="263"/>
        <v>0.23042596348884381</v>
      </c>
      <c r="BC138" s="1751"/>
      <c r="BD138" s="1751">
        <f t="shared" ref="BD138" si="289">BD119/BD14</f>
        <v>0.19708409268419683</v>
      </c>
      <c r="BE138" s="1751">
        <f t="shared" ref="BE138:BI138" si="290">BE119/BE14</f>
        <v>0.2133672974284328</v>
      </c>
      <c r="BF138" s="1751"/>
      <c r="BG138" s="1751"/>
      <c r="BH138" s="1751"/>
      <c r="BI138" s="1751">
        <f t="shared" si="290"/>
        <v>0.22400341989954045</v>
      </c>
      <c r="BJ138" s="1751"/>
      <c r="BK138" s="1751"/>
      <c r="BM138" s="8"/>
      <c r="BN138" s="8"/>
      <c r="BO138" s="8"/>
      <c r="BP138" s="8"/>
      <c r="BQ138" s="8"/>
      <c r="BR138" s="8"/>
      <c r="BS138" s="8"/>
      <c r="BT138" s="8"/>
      <c r="BU138" s="399"/>
      <c r="BV138" s="399"/>
      <c r="BW138" s="399"/>
      <c r="BX138" s="399"/>
      <c r="CD138" s="8"/>
      <c r="CE138" s="725"/>
      <c r="CF138" s="725"/>
      <c r="CG138" s="8"/>
      <c r="CH138" s="8"/>
      <c r="CI138" s="725"/>
    </row>
    <row r="139" spans="1:87">
      <c r="A139" s="1467" t="s">
        <v>857</v>
      </c>
      <c r="B139" s="8">
        <f t="shared" si="267"/>
        <v>0.13773889862515648</v>
      </c>
      <c r="C139" s="8">
        <f t="shared" si="267"/>
        <v>0.15196131859905973</v>
      </c>
      <c r="D139" s="8">
        <f t="shared" si="267"/>
        <v>0.16734420704586167</v>
      </c>
      <c r="E139" s="8">
        <f t="shared" si="267"/>
        <v>0.17541199459079876</v>
      </c>
      <c r="F139" s="8">
        <f t="shared" si="267"/>
        <v>0.17975472652717242</v>
      </c>
      <c r="G139" s="8">
        <f t="shared" si="267"/>
        <v>0.19063611220861321</v>
      </c>
      <c r="H139" s="8">
        <f t="shared" si="267"/>
        <v>0.20229504317993613</v>
      </c>
      <c r="I139" s="8">
        <f t="shared" ref="I139" si="291">I120/I15</f>
        <v>0.22281039461020211</v>
      </c>
      <c r="J139" s="1397">
        <f t="shared" si="275"/>
        <v>0.22281039461020211</v>
      </c>
      <c r="K139" s="1397">
        <f t="shared" si="269"/>
        <v>0.22281039461020211</v>
      </c>
      <c r="L139" s="1397">
        <f t="shared" si="269"/>
        <v>0.22281039461020211</v>
      </c>
      <c r="M139" s="1397"/>
      <c r="N139" s="1397">
        <f>H139</f>
        <v>0.20229504317993613</v>
      </c>
      <c r="O139" s="1397">
        <f>G140</f>
        <v>0.22741935483870968</v>
      </c>
      <c r="S139" s="832"/>
      <c r="T139" s="811"/>
      <c r="U139" s="668" t="e">
        <f>U137*#REF!</f>
        <v>#REF!</v>
      </c>
      <c r="V139" s="725"/>
      <c r="W139" s="725"/>
      <c r="X139" s="725"/>
      <c r="Y139" s="725"/>
      <c r="Z139" s="725"/>
      <c r="AA139" s="1106"/>
      <c r="AB139" s="696"/>
      <c r="AC139" s="696"/>
      <c r="AD139" s="745"/>
      <c r="AE139" s="1751">
        <f t="shared" ref="AE139:AW139" si="292">AE120/AE15</f>
        <v>0.15621785038331015</v>
      </c>
      <c r="AF139" s="1751">
        <f t="shared" si="292"/>
        <v>0.16309150584318508</v>
      </c>
      <c r="AG139" s="1751">
        <f t="shared" si="292"/>
        <v>0.17208455792937535</v>
      </c>
      <c r="AH139" s="1751">
        <f t="shared" si="292"/>
        <v>0.17655074001673596</v>
      </c>
      <c r="AI139" s="1751">
        <f t="shared" si="292"/>
        <v>0.18674441813731749</v>
      </c>
      <c r="AJ139" s="1751">
        <f t="shared" si="292"/>
        <v>0.17907129865214377</v>
      </c>
      <c r="AK139" s="1751">
        <f t="shared" si="292"/>
        <v>0.17852847391742499</v>
      </c>
      <c r="AL139" s="1751">
        <f t="shared" si="292"/>
        <v>0.15938839821182144</v>
      </c>
      <c r="AM139" s="1751">
        <f t="shared" si="292"/>
        <v>0.19063149166461602</v>
      </c>
      <c r="AN139" s="1751">
        <f t="shared" si="292"/>
        <v>0.19238002137128499</v>
      </c>
      <c r="AO139" s="1751">
        <f t="shared" si="292"/>
        <v>0.18194314116891017</v>
      </c>
      <c r="AP139" s="1751">
        <f t="shared" si="292"/>
        <v>0.15635980389541346</v>
      </c>
      <c r="AQ139" s="1751">
        <f t="shared" si="292"/>
        <v>0.19567436608862362</v>
      </c>
      <c r="AR139" s="1751">
        <f t="shared" si="292"/>
        <v>0.2017122299225001</v>
      </c>
      <c r="AS139" s="1751">
        <f t="shared" ref="AS139:AT139" si="293">AS120/AS15</f>
        <v>0.1924773022049287</v>
      </c>
      <c r="AT139" s="1751">
        <f t="shared" si="293"/>
        <v>0.17349027635619241</v>
      </c>
      <c r="AU139" s="1751">
        <f t="shared" si="292"/>
        <v>0.2072072072072072</v>
      </c>
      <c r="AV139" s="1751">
        <f t="shared" si="292"/>
        <v>0.21857387895123745</v>
      </c>
      <c r="AW139" s="1751">
        <f t="shared" si="292"/>
        <v>0.19522278364722095</v>
      </c>
      <c r="AX139" s="1752">
        <f t="shared" si="261"/>
        <v>0.19036197121674661</v>
      </c>
      <c r="AY139" s="1752">
        <f t="shared" si="261"/>
        <v>0.21119820828667413</v>
      </c>
      <c r="AZ139" s="1752">
        <f t="shared" si="262"/>
        <v>0.2352683461117196</v>
      </c>
      <c r="BA139" s="1752">
        <f t="shared" si="263"/>
        <v>0.22812234494477485</v>
      </c>
      <c r="BB139" s="1752">
        <f t="shared" si="263"/>
        <v>0.22854715378079865</v>
      </c>
      <c r="BC139" s="1751"/>
      <c r="BD139" s="1751">
        <f t="shared" ref="BD139" si="294">BD120/BD15</f>
        <v>0.19870672234945441</v>
      </c>
      <c r="BE139" s="1751">
        <f t="shared" ref="BE139:BI139" si="295">BE120/BE15</f>
        <v>0.21303037911122269</v>
      </c>
      <c r="BF139" s="1751"/>
      <c r="BG139" s="1751"/>
      <c r="BH139" s="1751"/>
      <c r="BI139" s="1751">
        <f t="shared" si="295"/>
        <v>0.22336655592469545</v>
      </c>
      <c r="BJ139" s="1751"/>
      <c r="BK139" s="1751"/>
      <c r="BL139" s="1751"/>
      <c r="BM139" s="8"/>
      <c r="BN139" s="8"/>
      <c r="BO139" s="8"/>
      <c r="BP139" s="8"/>
      <c r="BQ139" s="8"/>
      <c r="BR139" s="8"/>
      <c r="BS139" s="8"/>
      <c r="BT139" s="8"/>
      <c r="BU139" s="399"/>
      <c r="BV139" s="399"/>
      <c r="BW139" s="399"/>
      <c r="BX139" s="399"/>
      <c r="CD139" s="8"/>
      <c r="CE139" s="725"/>
      <c r="CF139" s="725"/>
      <c r="CG139" s="8"/>
      <c r="CH139" s="8"/>
      <c r="CI139" s="725"/>
    </row>
    <row r="140" spans="1:87">
      <c r="A140" s="1467" t="s">
        <v>856</v>
      </c>
      <c r="B140" s="8">
        <f t="shared" si="267"/>
        <v>0.58612675493314936</v>
      </c>
      <c r="C140" s="8">
        <f t="shared" si="267"/>
        <v>0.52638787616025851</v>
      </c>
      <c r="D140" s="8">
        <f t="shared" si="267"/>
        <v>0.42644675549235506</v>
      </c>
      <c r="E140" s="8">
        <f t="shared" si="267"/>
        <v>0.45444583027554636</v>
      </c>
      <c r="F140" s="8">
        <f t="shared" si="267"/>
        <v>0.39882439269101361</v>
      </c>
      <c r="G140" s="8">
        <f t="shared" si="267"/>
        <v>0.22741935483870968</v>
      </c>
      <c r="H140" s="8">
        <f t="shared" si="267"/>
        <v>0.23687943262411348</v>
      </c>
      <c r="I140" s="8">
        <f t="shared" ref="I140" si="296">I121/I16</f>
        <v>0.24347826086956523</v>
      </c>
      <c r="J140" s="1397">
        <f t="shared" si="275"/>
        <v>0.24347826086956523</v>
      </c>
      <c r="K140" s="1397">
        <f t="shared" si="269"/>
        <v>0.24347826086956523</v>
      </c>
      <c r="L140" s="1397">
        <f t="shared" si="269"/>
        <v>0.24347826086956523</v>
      </c>
      <c r="M140" s="1397"/>
      <c r="N140" s="1397">
        <f>H140</f>
        <v>0.23687943262411348</v>
      </c>
      <c r="O140" s="1397">
        <f>G141</f>
        <v>0.37385791534588847</v>
      </c>
      <c r="S140" s="832"/>
      <c r="T140" s="811"/>
      <c r="U140" s="1096" t="e">
        <f>U138-U139</f>
        <v>#REF!</v>
      </c>
      <c r="V140" s="725"/>
      <c r="W140" s="725"/>
      <c r="X140" s="725"/>
      <c r="Y140" s="725"/>
      <c r="Z140" s="725"/>
      <c r="AA140" s="1106"/>
      <c r="AB140" s="8"/>
      <c r="AC140" s="8"/>
      <c r="AD140" s="8"/>
      <c r="AE140" s="1751">
        <f t="shared" ref="AE140:AW140" si="297">AE121/AE16</f>
        <v>0.44535070237690177</v>
      </c>
      <c r="AF140" s="1751">
        <f t="shared" si="297"/>
        <v>0.49910506230792617</v>
      </c>
      <c r="AG140" s="1751">
        <f t="shared" si="297"/>
        <v>0.38294895232737997</v>
      </c>
      <c r="AH140" s="1751">
        <f t="shared" si="297"/>
        <v>0.40792455712963999</v>
      </c>
      <c r="AI140" s="1751">
        <f t="shared" si="297"/>
        <v>0.43013186704640866</v>
      </c>
      <c r="AJ140" s="1751">
        <f t="shared" si="297"/>
        <v>0.48300141072404468</v>
      </c>
      <c r="AK140" s="1751">
        <f t="shared" si="297"/>
        <v>0.42110856269113139</v>
      </c>
      <c r="AL140" s="1751">
        <f t="shared" si="297"/>
        <v>0.46868531849802608</v>
      </c>
      <c r="AM140" s="1751">
        <f t="shared" si="297"/>
        <v>0.45069004794574979</v>
      </c>
      <c r="AN140" s="1751">
        <f t="shared" si="297"/>
        <v>0.44674481913429576</v>
      </c>
      <c r="AO140" s="1751">
        <f t="shared" si="297"/>
        <v>0.39058714583703569</v>
      </c>
      <c r="AP140" s="1751">
        <f t="shared" si="297"/>
        <v>0.32501548368185423</v>
      </c>
      <c r="AQ140" s="1751">
        <f t="shared" si="297"/>
        <v>7.0672491284076121E-3</v>
      </c>
      <c r="AR140" s="1751">
        <f t="shared" si="297"/>
        <v>0.24013262340326796</v>
      </c>
      <c r="AS140" s="1751">
        <f t="shared" ref="AS140:AT140" si="298">AS121/AS16</f>
        <v>0.27272727272727271</v>
      </c>
      <c r="AT140" s="1751">
        <f t="shared" si="298"/>
        <v>0.28502415458937197</v>
      </c>
      <c r="AU140" s="1751">
        <f t="shared" si="297"/>
        <v>0.15748031496062992</v>
      </c>
      <c r="AV140" s="1751">
        <f t="shared" si="297"/>
        <v>0.27814569536423839</v>
      </c>
      <c r="AW140" s="1751">
        <f t="shared" si="297"/>
        <v>0.28217821782178215</v>
      </c>
      <c r="AX140" s="1752">
        <f t="shared" si="261"/>
        <v>0.21333333333333335</v>
      </c>
      <c r="AY140" s="1752">
        <f t="shared" si="261"/>
        <v>0.19658119658119658</v>
      </c>
      <c r="AZ140" s="1752">
        <f t="shared" si="262"/>
        <v>0.26666666666666666</v>
      </c>
      <c r="BA140" s="1752">
        <f t="shared" si="263"/>
        <v>0.26126126126126126</v>
      </c>
      <c r="BB140" s="1752">
        <f t="shared" si="263"/>
        <v>0.26576576576576577</v>
      </c>
      <c r="BC140" s="1751"/>
      <c r="BD140" s="1751">
        <f t="shared" ref="BD140" si="299">BD121/BD16</f>
        <v>0.15444015444015444</v>
      </c>
      <c r="BE140" s="1751">
        <f t="shared" ref="BE140:BI140" si="300">BE121/BE16</f>
        <v>0.22302158273381295</v>
      </c>
      <c r="BF140" s="1751"/>
      <c r="BG140" s="1751"/>
      <c r="BH140" s="1751"/>
      <c r="BI140" s="1751">
        <f t="shared" si="300"/>
        <v>0.24159021406727829</v>
      </c>
      <c r="BJ140" s="1751"/>
      <c r="BK140" s="1751"/>
      <c r="BL140" s="1751"/>
      <c r="BM140" s="8"/>
      <c r="BN140" s="8"/>
      <c r="BO140" s="8"/>
      <c r="BP140" s="8"/>
      <c r="BQ140" s="8"/>
      <c r="BR140" s="8"/>
      <c r="BS140" s="8"/>
      <c r="BT140" s="8"/>
      <c r="BU140" s="399"/>
      <c r="BV140" s="399"/>
      <c r="BW140" s="399"/>
      <c r="BX140" s="399"/>
      <c r="CD140" s="8"/>
      <c r="CE140" s="725"/>
      <c r="CF140" s="725"/>
      <c r="CG140" s="8"/>
      <c r="CH140" s="8"/>
      <c r="CI140" s="725"/>
    </row>
    <row r="141" spans="1:87">
      <c r="A141" s="39" t="s">
        <v>882</v>
      </c>
      <c r="B141" s="8">
        <f>B122/B17</f>
        <v>0.89805158515769179</v>
      </c>
      <c r="C141" s="8">
        <f t="shared" ref="C141:H141" si="301">C122/C17</f>
        <v>0.5757002902988454</v>
      </c>
      <c r="D141" s="8">
        <f t="shared" si="301"/>
        <v>0.61041477751488549</v>
      </c>
      <c r="E141" s="8">
        <f t="shared" si="301"/>
        <v>0.56788001319357118</v>
      </c>
      <c r="F141" s="8">
        <f t="shared" si="301"/>
        <v>0.42038634145763737</v>
      </c>
      <c r="G141" s="8">
        <f t="shared" si="301"/>
        <v>0.37385791534588847</v>
      </c>
      <c r="H141" s="8">
        <f t="shared" si="301"/>
        <v>0.3677598303148964</v>
      </c>
      <c r="I141" s="8">
        <f t="shared" ref="I141" si="302">I122/I17</f>
        <v>0.45531637312459228</v>
      </c>
      <c r="J141" s="1397">
        <f t="shared" si="275"/>
        <v>0.45531637312459228</v>
      </c>
      <c r="K141" s="1397">
        <f t="shared" si="269"/>
        <v>0.45531637312459228</v>
      </c>
      <c r="L141" s="1397">
        <f t="shared" si="269"/>
        <v>0.45531637312459228</v>
      </c>
      <c r="M141" s="1397"/>
      <c r="N141" s="1397">
        <f>H141</f>
        <v>0.3677598303148964</v>
      </c>
      <c r="O141" s="1397"/>
      <c r="S141" s="832"/>
      <c r="T141" s="811"/>
      <c r="U141" s="1096"/>
      <c r="V141" s="725"/>
      <c r="W141" s="725"/>
      <c r="X141" s="725"/>
      <c r="Y141" s="725"/>
      <c r="Z141" s="725"/>
      <c r="AA141" s="1106"/>
      <c r="AB141" s="8"/>
      <c r="AC141" s="8"/>
      <c r="AD141" s="8"/>
      <c r="AE141" s="1751">
        <f t="shared" ref="AE141:AW141" si="303">AE122/AE17</f>
        <v>0.72659176029962558</v>
      </c>
      <c r="AF141" s="1751">
        <f t="shared" si="303"/>
        <v>0.92392702036026142</v>
      </c>
      <c r="AG141" s="1751">
        <f t="shared" si="303"/>
        <v>0.44660910915944868</v>
      </c>
      <c r="AH141" s="1751">
        <f t="shared" si="303"/>
        <v>0.49101283128736667</v>
      </c>
      <c r="AI141" s="1751">
        <f t="shared" si="303"/>
        <v>0.57751856838837523</v>
      </c>
      <c r="AJ141" s="1751">
        <f t="shared" si="303"/>
        <v>0.38151371688605457</v>
      </c>
      <c r="AK141" s="1751">
        <f t="shared" si="303"/>
        <v>0.7039076098568231</v>
      </c>
      <c r="AL141" s="1751">
        <f t="shared" si="303"/>
        <v>0.60941712231491219</v>
      </c>
      <c r="AM141" s="1751">
        <f t="shared" si="303"/>
        <v>0.51745010590340734</v>
      </c>
      <c r="AN141" s="1751">
        <f t="shared" si="303"/>
        <v>0.35963943442481661</v>
      </c>
      <c r="AO141" s="1751">
        <f t="shared" si="303"/>
        <v>0.34888216929894145</v>
      </c>
      <c r="AP141" s="1751">
        <f t="shared" si="303"/>
        <v>0.44567534639836459</v>
      </c>
      <c r="AQ141" s="1751">
        <f t="shared" si="303"/>
        <v>0.46671117966408215</v>
      </c>
      <c r="AR141" s="1751">
        <f t="shared" si="303"/>
        <v>0.26757151557985992</v>
      </c>
      <c r="AS141" s="1751">
        <f t="shared" ref="AS141:AT141" si="304">AS122/AS17</f>
        <v>0.36205698401667818</v>
      </c>
      <c r="AT141" s="1751">
        <f t="shared" si="304"/>
        <v>0.40413877054169195</v>
      </c>
      <c r="AU141" s="1751">
        <f t="shared" si="303"/>
        <v>0.34369173399627095</v>
      </c>
      <c r="AV141" s="1751">
        <f t="shared" si="303"/>
        <v>0.30823863636363635</v>
      </c>
      <c r="AW141" s="1751">
        <f t="shared" si="303"/>
        <v>0.44246575342465755</v>
      </c>
      <c r="AX141" s="1752">
        <f t="shared" si="261"/>
        <v>0.37590799031476996</v>
      </c>
      <c r="AY141" s="1752">
        <f t="shared" si="261"/>
        <v>0.37609841827768015</v>
      </c>
      <c r="AZ141" s="1752">
        <f t="shared" si="262"/>
        <v>0.39839034205231388</v>
      </c>
      <c r="BA141" s="1752">
        <f t="shared" si="263"/>
        <v>0.51135581555402621</v>
      </c>
      <c r="BB141" s="1752">
        <f t="shared" si="263"/>
        <v>0.55953200275292503</v>
      </c>
      <c r="BC141" s="1751"/>
      <c r="BD141" s="1751">
        <f t="shared" ref="BD141" si="305">BD122/BD17</f>
        <v>0.35949145111793074</v>
      </c>
      <c r="BE141" s="1751">
        <f t="shared" ref="BE141:BI141" si="306">BE122/BE17</f>
        <v>0.3271461716937355</v>
      </c>
      <c r="BF141" s="1751"/>
      <c r="BG141" s="1751"/>
      <c r="BH141" s="1751"/>
      <c r="BI141" s="1751">
        <f t="shared" si="306"/>
        <v>0.38649155722326456</v>
      </c>
      <c r="BJ141" s="1751"/>
      <c r="BK141" s="1751"/>
      <c r="BL141" s="1751"/>
      <c r="BM141" s="8"/>
      <c r="BN141" s="8"/>
      <c r="BO141" s="8"/>
      <c r="BP141" s="8"/>
      <c r="BQ141" s="8"/>
      <c r="BR141" s="8"/>
      <c r="BS141" s="8"/>
      <c r="BT141" s="8"/>
      <c r="BU141" s="399"/>
      <c r="BV141" s="399"/>
      <c r="BW141" s="399"/>
      <c r="BX141" s="399"/>
      <c r="CD141" s="8"/>
      <c r="CE141" s="725"/>
      <c r="CF141" s="725"/>
      <c r="CG141" s="8"/>
      <c r="CH141" s="8"/>
      <c r="CI141" s="725"/>
    </row>
    <row r="142" spans="1:87">
      <c r="A142" s="39"/>
      <c r="B142" s="8"/>
      <c r="C142" s="8"/>
      <c r="D142" s="8"/>
      <c r="E142" s="8"/>
      <c r="F142" s="8"/>
      <c r="G142" s="8"/>
      <c r="H142" s="8"/>
      <c r="I142" s="8"/>
      <c r="J142" s="1136"/>
      <c r="K142" s="1136"/>
      <c r="L142" s="1136"/>
      <c r="M142" s="1136"/>
      <c r="N142" s="1136"/>
      <c r="O142" s="1136"/>
      <c r="S142" s="8"/>
      <c r="T142" s="1759"/>
      <c r="U142" s="1096" t="e">
        <f>U140-U135</f>
        <v>#REF!</v>
      </c>
      <c r="V142" s="2569" t="s">
        <v>1788</v>
      </c>
      <c r="W142" s="725"/>
      <c r="X142" s="725"/>
      <c r="Y142" s="725"/>
      <c r="Z142" s="725"/>
      <c r="AA142" s="1106"/>
      <c r="AB142" s="8"/>
      <c r="AC142" s="8"/>
      <c r="AD142" s="8"/>
      <c r="AE142" s="781"/>
      <c r="AF142" s="8"/>
      <c r="AG142" s="8"/>
      <c r="AH142" s="8"/>
      <c r="AI142" s="781"/>
      <c r="AJ142" s="8"/>
      <c r="AK142" s="8"/>
      <c r="AL142" s="8"/>
      <c r="AM142" s="781"/>
      <c r="AN142" s="8"/>
      <c r="AO142" s="8"/>
      <c r="AP142" s="1114"/>
      <c r="AQ142" s="8"/>
      <c r="AR142" s="1751"/>
      <c r="AS142" s="1751"/>
      <c r="AT142" s="1752"/>
      <c r="AU142" s="1751"/>
      <c r="AV142" s="1751"/>
      <c r="AW142" s="1751"/>
      <c r="AX142" s="1752"/>
      <c r="AY142" s="1752"/>
      <c r="AZ142" s="1752"/>
      <c r="BA142" s="1752"/>
      <c r="BB142" s="1752"/>
      <c r="BC142" s="1751"/>
      <c r="BD142" s="1751"/>
      <c r="BE142" s="1751"/>
      <c r="BF142" s="1751"/>
      <c r="BG142" s="1751"/>
      <c r="BH142" s="1751"/>
      <c r="BI142" s="1751"/>
      <c r="BJ142" s="1751"/>
      <c r="BK142" s="1751"/>
      <c r="BL142" s="1468"/>
      <c r="BM142" s="696"/>
      <c r="BN142" s="696"/>
      <c r="BP142" s="8"/>
      <c r="BQ142" s="8"/>
      <c r="BR142" s="8"/>
      <c r="BS142" s="8"/>
      <c r="BT142" s="8"/>
      <c r="BU142" s="399"/>
      <c r="BV142" s="399"/>
      <c r="BW142" s="399"/>
      <c r="BX142" s="399"/>
    </row>
    <row r="143" spans="1:87" s="1" customFormat="1">
      <c r="A143" s="1399" t="s">
        <v>859</v>
      </c>
      <c r="B143" s="1151"/>
      <c r="C143" s="1151">
        <f t="shared" ref="C143:I150" si="307">C115/B115-1</f>
        <v>0.20917861416568506</v>
      </c>
      <c r="D143" s="1151">
        <f t="shared" si="307"/>
        <v>0.12840008587315466</v>
      </c>
      <c r="E143" s="1151">
        <f t="shared" si="307"/>
        <v>0.20400088506053371</v>
      </c>
      <c r="F143" s="1151">
        <f t="shared" si="307"/>
        <v>0.20909473776298326</v>
      </c>
      <c r="G143" s="1151">
        <f t="shared" si="307"/>
        <v>0.20107886210379844</v>
      </c>
      <c r="H143" s="1151">
        <f t="shared" si="307"/>
        <v>0.20283088823770945</v>
      </c>
      <c r="I143" s="1151">
        <f t="shared" si="307"/>
        <v>0.1864610114493126</v>
      </c>
      <c r="J143" s="1151">
        <f>J115/I115-1</f>
        <v>-1</v>
      </c>
      <c r="K143" s="1151" t="e">
        <f t="shared" ref="K143" ca="1" si="308">K115/J115-1</f>
        <v>#DIV/0!</v>
      </c>
      <c r="L143" s="1151">
        <f t="shared" ref="L143" ca="1" si="309">L115/K115-1</f>
        <v>0.13307511118442572</v>
      </c>
      <c r="M143" s="1151"/>
      <c r="N143" s="1151">
        <f ca="1">N115/H115-1</f>
        <v>-2.1433115289906102E-3</v>
      </c>
      <c r="O143" s="1151"/>
      <c r="S143" s="1110"/>
      <c r="T143" s="1759"/>
      <c r="U143" s="1147"/>
      <c r="V143" s="1147"/>
      <c r="W143" s="1147"/>
      <c r="X143" s="1147"/>
      <c r="Y143" s="1147"/>
      <c r="Z143" s="1147"/>
      <c r="AA143" s="1198"/>
      <c r="AB143" s="1110"/>
      <c r="AC143" s="1110"/>
      <c r="AD143" s="1110"/>
      <c r="AE143" s="1912"/>
      <c r="AF143" s="1912"/>
      <c r="AG143" s="1912"/>
      <c r="AH143" s="1912"/>
      <c r="AI143" s="1912">
        <f t="shared" ref="AI143:BB150" si="310">AI115/AE115-1</f>
        <v>0.22276424702190756</v>
      </c>
      <c r="AJ143" s="1912">
        <f t="shared" si="310"/>
        <v>0.1975673061876948</v>
      </c>
      <c r="AK143" s="1912">
        <f t="shared" si="310"/>
        <v>0.18233468082289828</v>
      </c>
      <c r="AL143" s="1912">
        <f t="shared" si="310"/>
        <v>0.21631855866380434</v>
      </c>
      <c r="AM143" s="1912">
        <f t="shared" si="310"/>
        <v>0.27370417311258843</v>
      </c>
      <c r="AN143" s="1912">
        <f t="shared" si="310"/>
        <v>0.20681224158942979</v>
      </c>
      <c r="AO143" s="1912">
        <f t="shared" si="310"/>
        <v>0.23767760255909454</v>
      </c>
      <c r="AP143" s="1912">
        <f t="shared" si="310"/>
        <v>0.12987168622009104</v>
      </c>
      <c r="AQ143" s="1912">
        <f t="shared" si="310"/>
        <v>0.19201009908613398</v>
      </c>
      <c r="AR143" s="1912">
        <f t="shared" si="310"/>
        <v>0.19404872102469506</v>
      </c>
      <c r="AS143" s="1912">
        <f t="shared" si="310"/>
        <v>0.19771709701808637</v>
      </c>
      <c r="AT143" s="1912">
        <f t="shared" si="310"/>
        <v>0.22421566092845358</v>
      </c>
      <c r="AU143" s="1912">
        <f t="shared" si="310"/>
        <v>0.19492059719622779</v>
      </c>
      <c r="AV143" s="1912">
        <f t="shared" si="310"/>
        <v>0.20043798180365013</v>
      </c>
      <c r="AW143" s="1912">
        <f t="shared" si="310"/>
        <v>0.19967064635652543</v>
      </c>
      <c r="AX143" s="1912">
        <f t="shared" si="310"/>
        <v>0.21560574948665301</v>
      </c>
      <c r="AY143" s="3313">
        <f t="shared" si="310"/>
        <v>0.19376479873717445</v>
      </c>
      <c r="AZ143" s="3313">
        <f t="shared" si="310"/>
        <v>0.17949680811115276</v>
      </c>
      <c r="BA143" s="3313">
        <f t="shared" si="310"/>
        <v>0.15785861358956765</v>
      </c>
      <c r="BB143" s="3313">
        <f t="shared" si="310"/>
        <v>0.18209459459459465</v>
      </c>
      <c r="BC143" s="1912"/>
      <c r="BD143" s="3292" t="s">
        <v>859</v>
      </c>
      <c r="BE143" s="1688">
        <f t="shared" ref="BE143:BE150" si="311">BE115/BD115-1</f>
        <v>0.19774141507259735</v>
      </c>
      <c r="BF143" s="1688"/>
      <c r="BG143" s="1688"/>
      <c r="BH143" s="1688"/>
      <c r="BI143" s="1688">
        <f t="shared" ref="BI143:BI150" si="312">BI115/BE115-1</f>
        <v>0.18645372330190502</v>
      </c>
      <c r="BJ143" s="1688"/>
      <c r="BK143" s="1912">
        <v>0.17499999999999999</v>
      </c>
      <c r="BL143" s="1912">
        <v>0.17599999999999999</v>
      </c>
      <c r="BM143" s="1110"/>
      <c r="BN143" s="1751"/>
      <c r="BO143" s="1751"/>
      <c r="BP143" s="1110"/>
      <c r="BQ143" s="1110"/>
      <c r="BR143" s="1110"/>
      <c r="BS143" s="1110"/>
      <c r="BT143" s="1110"/>
      <c r="BU143" s="399"/>
      <c r="BV143" s="399"/>
      <c r="BW143" s="399"/>
      <c r="BX143" s="399"/>
    </row>
    <row r="144" spans="1:87">
      <c r="A144" s="39" t="s">
        <v>883</v>
      </c>
      <c r="B144" s="8"/>
      <c r="C144" s="8">
        <f t="shared" si="307"/>
        <v>0.29852690643769142</v>
      </c>
      <c r="D144" s="8">
        <f t="shared" si="307"/>
        <v>0.13432893324742334</v>
      </c>
      <c r="E144" s="8">
        <f t="shared" si="307"/>
        <v>0.22923347956195772</v>
      </c>
      <c r="F144" s="8">
        <f t="shared" si="307"/>
        <v>0.22383888445942834</v>
      </c>
      <c r="G144" s="8">
        <f t="shared" si="307"/>
        <v>0.23641010909343696</v>
      </c>
      <c r="H144" s="8">
        <f t="shared" si="307"/>
        <v>0.25636713118692933</v>
      </c>
      <c r="I144" s="8">
        <f t="shared" si="307"/>
        <v>0.12507171543316131</v>
      </c>
      <c r="J144" s="1136"/>
      <c r="K144" s="1136"/>
      <c r="L144" s="1136"/>
      <c r="M144" s="1136"/>
      <c r="N144" s="1136"/>
      <c r="O144" s="1136"/>
      <c r="S144" s="8"/>
      <c r="T144" s="1759"/>
      <c r="U144" s="2566"/>
      <c r="V144" s="725"/>
      <c r="W144" s="725"/>
      <c r="X144" s="725"/>
      <c r="Y144" s="725"/>
      <c r="Z144" s="725"/>
      <c r="AA144" s="1106"/>
      <c r="AB144" s="8"/>
      <c r="AC144" s="8"/>
      <c r="AD144" s="8"/>
      <c r="AE144" s="1751"/>
      <c r="AF144" s="1751"/>
      <c r="AG144" s="1751"/>
      <c r="AH144" s="1751"/>
      <c r="AI144" s="1751">
        <f t="shared" ref="AI144:AT150" si="313">AI116/AE116-1</f>
        <v>0.26507349849078121</v>
      </c>
      <c r="AJ144" s="1751">
        <f t="shared" si="313"/>
        <v>0.37094289331150487</v>
      </c>
      <c r="AK144" s="1751">
        <f t="shared" si="313"/>
        <v>0.22510659388939858</v>
      </c>
      <c r="AL144" s="1751">
        <f t="shared" si="313"/>
        <v>8.5264127579083082E-2</v>
      </c>
      <c r="AM144" s="1751">
        <f t="shared" si="313"/>
        <v>0.40034016808957373</v>
      </c>
      <c r="AN144" s="1751">
        <f t="shared" si="313"/>
        <v>0.12928823840019477</v>
      </c>
      <c r="AO144" s="1751">
        <f t="shared" si="313"/>
        <v>0.28482547380511791</v>
      </c>
      <c r="AP144" s="1751">
        <f t="shared" si="313"/>
        <v>0.13224588188027298</v>
      </c>
      <c r="AQ144" s="1751">
        <f t="shared" si="313"/>
        <v>0.1942356385504036</v>
      </c>
      <c r="AR144" s="1751">
        <f t="shared" si="313"/>
        <v>0.31813936536139775</v>
      </c>
      <c r="AS144" s="1751">
        <f t="shared" si="313"/>
        <v>0.11549827410663283</v>
      </c>
      <c r="AT144" s="1751">
        <f t="shared" si="313"/>
        <v>0.33291354513712412</v>
      </c>
      <c r="AU144" s="1752">
        <f t="shared" si="310"/>
        <v>0.2765511034547492</v>
      </c>
      <c r="AV144" s="1752">
        <f t="shared" si="310"/>
        <v>0.17787772810579994</v>
      </c>
      <c r="AW144" s="1752">
        <f t="shared" si="310"/>
        <v>0.21193232413178986</v>
      </c>
      <c r="AX144" s="1752">
        <f t="shared" si="310"/>
        <v>0.37173281703775407</v>
      </c>
      <c r="AY144" s="1752">
        <f t="shared" si="310"/>
        <v>0.22491349480968847</v>
      </c>
      <c r="AZ144" s="1752">
        <f t="shared" si="310"/>
        <v>9.4980694980695057E-2</v>
      </c>
      <c r="BA144" s="1752">
        <f t="shared" ref="BA144:BB146" si="314">BA116/AW116-1</f>
        <v>0.10139603232916983</v>
      </c>
      <c r="BB144" s="1752">
        <f t="shared" si="314"/>
        <v>9.3860268172194727E-2</v>
      </c>
      <c r="BC144" s="1751"/>
      <c r="BD144" s="3293" t="s">
        <v>883</v>
      </c>
      <c r="BE144" s="1688">
        <f t="shared" si="311"/>
        <v>0.22244389027431422</v>
      </c>
      <c r="BF144" s="1688"/>
      <c r="BG144" s="1688"/>
      <c r="BH144" s="1688"/>
      <c r="BI144" s="1688">
        <f>BI116/BE116-1</f>
        <v>0.15626274989800071</v>
      </c>
      <c r="BJ144" s="1688"/>
      <c r="BK144" s="1751">
        <v>0.13</v>
      </c>
      <c r="BL144" s="1751">
        <v>0.13700000000000001</v>
      </c>
      <c r="BM144" s="8"/>
      <c r="BN144" s="1751"/>
      <c r="BO144" s="1751"/>
      <c r="BP144" s="8"/>
      <c r="BQ144" s="8"/>
      <c r="BR144" s="8"/>
      <c r="BS144" s="8"/>
      <c r="BT144" s="8"/>
      <c r="BU144" s="399"/>
      <c r="BV144" s="399"/>
      <c r="BW144" s="399"/>
      <c r="BX144" s="399"/>
    </row>
    <row r="145" spans="1:87">
      <c r="A145" s="1467" t="s">
        <v>854</v>
      </c>
      <c r="B145" s="8"/>
      <c r="C145" s="8">
        <f t="shared" si="307"/>
        <v>0.26642530583074642</v>
      </c>
      <c r="D145" s="8">
        <f t="shared" si="307"/>
        <v>0.14383583117261622</v>
      </c>
      <c r="E145" s="8">
        <f t="shared" si="307"/>
        <v>0.23028696029983231</v>
      </c>
      <c r="F145" s="8">
        <f t="shared" si="307"/>
        <v>0.22808836440208058</v>
      </c>
      <c r="G145" s="8">
        <f t="shared" si="307"/>
        <v>0.27052210664793486</v>
      </c>
      <c r="H145" s="8">
        <f t="shared" si="307"/>
        <v>0.26123744050766784</v>
      </c>
      <c r="I145" s="8">
        <f t="shared" si="307"/>
        <v>0.14612159329140462</v>
      </c>
      <c r="J145" s="1136"/>
      <c r="K145" s="1136"/>
      <c r="L145" s="1136"/>
      <c r="M145" s="1136"/>
      <c r="N145" s="1136"/>
      <c r="O145" s="1136"/>
      <c r="S145" s="8"/>
      <c r="T145" s="1759"/>
      <c r="U145" s="2566"/>
      <c r="V145" s="725"/>
      <c r="W145" s="725"/>
      <c r="X145" s="725"/>
      <c r="Y145" s="725"/>
      <c r="Z145" s="725"/>
      <c r="AA145" s="1106"/>
      <c r="AB145" s="8"/>
      <c r="AC145" s="8"/>
      <c r="AD145" s="8"/>
      <c r="AE145" s="1751"/>
      <c r="AF145" s="1751"/>
      <c r="AG145" s="1751"/>
      <c r="AH145" s="1751"/>
      <c r="AI145" s="1751">
        <f t="shared" si="313"/>
        <v>0.16431758073169123</v>
      </c>
      <c r="AJ145" s="1751">
        <f t="shared" si="313"/>
        <v>0.20224086421799248</v>
      </c>
      <c r="AK145" s="1751">
        <f t="shared" si="313"/>
        <v>0.2846274685387471</v>
      </c>
      <c r="AL145" s="1751">
        <f t="shared" si="313"/>
        <v>0.25249124257522704</v>
      </c>
      <c r="AM145" s="1751">
        <f t="shared" si="313"/>
        <v>0.34854422104154836</v>
      </c>
      <c r="AN145" s="1751">
        <f t="shared" si="313"/>
        <v>0.23644532264877549</v>
      </c>
      <c r="AO145" s="1751">
        <f t="shared" si="313"/>
        <v>0.26984528903856431</v>
      </c>
      <c r="AP145" s="1751">
        <f t="shared" si="313"/>
        <v>0.11753806154990842</v>
      </c>
      <c r="AQ145" s="1751">
        <f t="shared" si="313"/>
        <v>0.33127075565572883</v>
      </c>
      <c r="AR145" s="1751">
        <f t="shared" si="313"/>
        <v>0.3517486156018883</v>
      </c>
      <c r="AS145" s="1751">
        <f t="shared" si="313"/>
        <v>0.22456160928977753</v>
      </c>
      <c r="AT145" s="1751">
        <f t="shared" si="313"/>
        <v>0.17101024245352581</v>
      </c>
      <c r="AU145" s="1752">
        <f t="shared" si="310"/>
        <v>0.2551486422443634</v>
      </c>
      <c r="AV145" s="1752">
        <f t="shared" si="310"/>
        <v>0.24674962116365418</v>
      </c>
      <c r="AW145" s="1752">
        <f t="shared" si="310"/>
        <v>0.26436781609195403</v>
      </c>
      <c r="AX145" s="1752">
        <f t="shared" si="310"/>
        <v>0.27876106194690276</v>
      </c>
      <c r="AY145" s="1752">
        <f t="shared" si="310"/>
        <v>0.24753363228699543</v>
      </c>
      <c r="AZ145" s="1752">
        <f t="shared" si="310"/>
        <v>9.4147582697200916E-2</v>
      </c>
      <c r="BA145" s="1752">
        <f t="shared" si="314"/>
        <v>5.4545454545454453E-2</v>
      </c>
      <c r="BB145" s="1752">
        <f t="shared" si="314"/>
        <v>0.20588235294117641</v>
      </c>
      <c r="BC145" s="1751"/>
      <c r="BD145" s="3294" t="s">
        <v>854</v>
      </c>
      <c r="BE145" s="1688">
        <f t="shared" si="311"/>
        <v>0.25081788440567077</v>
      </c>
      <c r="BF145" s="1688"/>
      <c r="BG145" s="1688"/>
      <c r="BH145" s="1688"/>
      <c r="BI145" s="1688">
        <f t="shared" si="312"/>
        <v>0.16870095902353976</v>
      </c>
      <c r="BJ145" s="1688"/>
      <c r="BK145" s="1751">
        <v>0.123</v>
      </c>
      <c r="BL145" s="1688">
        <v>0.127</v>
      </c>
      <c r="BM145" s="1688"/>
      <c r="BN145" s="1688"/>
      <c r="BO145" s="1751"/>
      <c r="BP145" s="8"/>
      <c r="BQ145" s="8"/>
      <c r="BR145" s="8"/>
      <c r="BS145" s="8"/>
      <c r="BT145" s="8"/>
      <c r="BU145" s="399"/>
      <c r="BV145" s="399"/>
      <c r="BW145" s="399"/>
      <c r="BX145" s="399"/>
    </row>
    <row r="146" spans="1:87">
      <c r="A146" s="1467" t="s">
        <v>855</v>
      </c>
      <c r="B146" s="8"/>
      <c r="C146" s="8">
        <f t="shared" si="307"/>
        <v>0.57303363722099965</v>
      </c>
      <c r="D146" s="8">
        <f t="shared" si="307"/>
        <v>6.8879376156616212E-2</v>
      </c>
      <c r="E146" s="8">
        <f t="shared" si="307"/>
        <v>0.22147226875673098</v>
      </c>
      <c r="F146" s="8">
        <f t="shared" si="307"/>
        <v>0.19230616162203695</v>
      </c>
      <c r="G146" s="8">
        <f t="shared" si="307"/>
        <v>-2.431008452555794E-2</v>
      </c>
      <c r="H146" s="8">
        <f t="shared" si="307"/>
        <v>0.21052631578947367</v>
      </c>
      <c r="I146" s="8">
        <f t="shared" si="307"/>
        <v>-9.5652173913043481E-2</v>
      </c>
      <c r="J146" s="1136"/>
      <c r="K146" s="1136"/>
      <c r="L146" s="1136"/>
      <c r="M146" s="1136"/>
      <c r="N146" s="1136"/>
      <c r="O146" s="1136"/>
      <c r="S146" s="8"/>
      <c r="T146" s="1759"/>
      <c r="U146" s="2567"/>
      <c r="V146" s="725"/>
      <c r="W146" s="725"/>
      <c r="X146" s="725"/>
      <c r="Y146" s="725"/>
      <c r="Z146" s="725"/>
      <c r="AA146" s="1106"/>
      <c r="AB146" s="8"/>
      <c r="AC146" s="8"/>
      <c r="AD146" s="8"/>
      <c r="AE146" s="1751"/>
      <c r="AF146" s="1751"/>
      <c r="AG146" s="1751"/>
      <c r="AH146" s="1751"/>
      <c r="AI146" s="1751">
        <f t="shared" si="313"/>
        <v>14.313648293963254</v>
      </c>
      <c r="AJ146" s="1751">
        <f t="shared" si="313"/>
        <v>1.5363895249838531</v>
      </c>
      <c r="AK146" s="1751">
        <f t="shared" si="313"/>
        <v>-4.0880718255664639E-2</v>
      </c>
      <c r="AL146" s="1751">
        <f t="shared" si="313"/>
        <v>-1.0797554536612481</v>
      </c>
      <c r="AM146" s="1751">
        <f t="shared" si="313"/>
        <v>0.94943868369183315</v>
      </c>
      <c r="AN146" s="1751">
        <f t="shared" si="313"/>
        <v>-0.22159975461400883</v>
      </c>
      <c r="AO146" s="1751">
        <f t="shared" si="313"/>
        <v>0.37448849503873527</v>
      </c>
      <c r="AP146" s="1751">
        <f t="shared" si="313"/>
        <v>-1.4768767817548327</v>
      </c>
      <c r="AQ146" s="1751">
        <f t="shared" si="313"/>
        <v>-0.81070863372604185</v>
      </c>
      <c r="AR146" s="1751">
        <f t="shared" si="313"/>
        <v>0.14332448568390821</v>
      </c>
      <c r="AS146" s="1751">
        <f t="shared" si="313"/>
        <v>-0.4875952651208042</v>
      </c>
      <c r="AT146" s="1751">
        <f t="shared" si="313"/>
        <v>41.842909332447348</v>
      </c>
      <c r="AU146" s="1752">
        <f t="shared" si="310"/>
        <v>1.3803994426381792</v>
      </c>
      <c r="AV146" s="1752">
        <f t="shared" si="310"/>
        <v>-0.24565601914473001</v>
      </c>
      <c r="AW146" s="1752">
        <f t="shared" si="310"/>
        <v>-0.49367088607594922</v>
      </c>
      <c r="AX146" s="1752">
        <f t="shared" si="310"/>
        <v>1.0387596899224807</v>
      </c>
      <c r="AY146" s="1752">
        <f t="shared" si="310"/>
        <v>-0.41463414634146345</v>
      </c>
      <c r="AZ146" s="1752">
        <f t="shared" si="310"/>
        <v>0.1206896551724137</v>
      </c>
      <c r="BA146" s="1752">
        <f t="shared" si="314"/>
        <v>1.65</v>
      </c>
      <c r="BB146" s="1752">
        <f t="shared" si="314"/>
        <v>-0.40684410646387836</v>
      </c>
      <c r="BC146" s="1751"/>
      <c r="BD146" s="3294" t="s">
        <v>855</v>
      </c>
      <c r="BE146" s="1688">
        <f t="shared" si="311"/>
        <v>-8.1871345029239762E-2</v>
      </c>
      <c r="BF146" s="1688"/>
      <c r="BG146" s="1688"/>
      <c r="BH146" s="1688"/>
      <c r="BI146" s="1688">
        <f t="shared" si="312"/>
        <v>-1.9108280254777066E-2</v>
      </c>
      <c r="BJ146" s="1688"/>
      <c r="BK146" s="1751"/>
      <c r="BL146" s="1751">
        <v>0.31900000000000001</v>
      </c>
      <c r="BM146" s="1468"/>
      <c r="BN146" s="1468"/>
      <c r="BO146" s="1751"/>
      <c r="BP146" s="8"/>
      <c r="BQ146" s="8"/>
      <c r="BR146" s="8"/>
      <c r="BS146" s="8"/>
      <c r="BT146" s="8"/>
      <c r="BU146" s="399"/>
      <c r="BV146" s="399"/>
      <c r="BW146" s="399"/>
      <c r="BX146" s="399"/>
    </row>
    <row r="147" spans="1:87">
      <c r="A147" s="39" t="s">
        <v>884</v>
      </c>
      <c r="B147" s="8"/>
      <c r="C147" s="8">
        <f t="shared" si="307"/>
        <v>0.24055630949260887</v>
      </c>
      <c r="D147" s="8">
        <f t="shared" si="307"/>
        <v>0.14704673774840948</v>
      </c>
      <c r="E147" s="8">
        <f t="shared" si="307"/>
        <v>0.15471910805791222</v>
      </c>
      <c r="F147" s="8">
        <f t="shared" si="307"/>
        <v>0.17648456384301991</v>
      </c>
      <c r="G147" s="8">
        <f t="shared" si="307"/>
        <v>7.7513924099152698E-2</v>
      </c>
      <c r="H147" s="8">
        <f t="shared" si="307"/>
        <v>0.18181818181818188</v>
      </c>
      <c r="I147" s="8">
        <f t="shared" si="307"/>
        <v>0.21599777034559642</v>
      </c>
      <c r="J147" s="1136"/>
      <c r="K147" s="1136"/>
      <c r="L147" s="1136"/>
      <c r="M147" s="1136"/>
      <c r="N147" s="1136"/>
      <c r="O147" s="1136"/>
      <c r="S147" s="8"/>
      <c r="T147" s="1759"/>
      <c r="U147" s="1096"/>
      <c r="V147" s="2567"/>
      <c r="W147" s="725"/>
      <c r="X147" s="725"/>
      <c r="Y147" s="725"/>
      <c r="Z147" s="725"/>
      <c r="AA147" s="1106"/>
      <c r="AB147" s="8"/>
      <c r="AC147" s="8"/>
      <c r="AD147" s="8"/>
      <c r="AE147" s="1751"/>
      <c r="AF147" s="1751"/>
      <c r="AG147" s="1751"/>
      <c r="AH147" s="1751"/>
      <c r="AI147" s="1751">
        <f t="shared" si="313"/>
        <v>0.28952778511826649</v>
      </c>
      <c r="AJ147" s="1751">
        <f t="shared" si="313"/>
        <v>0.26311186499970551</v>
      </c>
      <c r="AK147" s="1751">
        <f t="shared" si="313"/>
        <v>0.1180762188143738</v>
      </c>
      <c r="AL147" s="1751">
        <f t="shared" si="313"/>
        <v>5.5433007003546919E-4</v>
      </c>
      <c r="AM147" s="1751">
        <f t="shared" si="313"/>
        <v>0.21735687317867791</v>
      </c>
      <c r="AN147" s="1751">
        <f t="shared" si="313"/>
        <v>0.19844035308628438</v>
      </c>
      <c r="AO147" s="1751">
        <f t="shared" si="313"/>
        <v>0.23402509446676412</v>
      </c>
      <c r="AP147" s="1751">
        <f t="shared" si="313"/>
        <v>6.0614033940851852E-2</v>
      </c>
      <c r="AQ147" s="1751">
        <f t="shared" si="313"/>
        <v>3.2401965259866161E-2</v>
      </c>
      <c r="AR147" s="1751">
        <f t="shared" si="313"/>
        <v>6.1850628193535373E-2</v>
      </c>
      <c r="AS147" s="1751">
        <f t="shared" si="313"/>
        <v>8.5202946775288169E-2</v>
      </c>
      <c r="AT147" s="1751">
        <f t="shared" si="313"/>
        <v>0.13563346620912586</v>
      </c>
      <c r="AU147" s="1752">
        <f t="shared" si="310"/>
        <v>0.13999245532265947</v>
      </c>
      <c r="AV147" s="1752">
        <f t="shared" si="310"/>
        <v>0.18181323554904338</v>
      </c>
      <c r="AW147" s="1752">
        <f t="shared" si="310"/>
        <v>0.15541401273885369</v>
      </c>
      <c r="AX147" s="1752">
        <f t="shared" si="310"/>
        <v>0.25101763907734087</v>
      </c>
      <c r="AY147" s="1752">
        <f t="shared" si="310"/>
        <v>0.17212121212121212</v>
      </c>
      <c r="AZ147" s="1752">
        <f t="shared" si="310"/>
        <v>0.20877944325481801</v>
      </c>
      <c r="BA147" s="1752">
        <f t="shared" ref="BA147:BB150" si="315">BA119/AW119-1</f>
        <v>0.24807056229327462</v>
      </c>
      <c r="BB147" s="1752">
        <f t="shared" si="315"/>
        <v>0.23210412147505433</v>
      </c>
      <c r="BC147" s="1751"/>
      <c r="BD147" s="3293" t="s">
        <v>884</v>
      </c>
      <c r="BE147" s="1688">
        <f t="shared" si="311"/>
        <v>0.16182298546895635</v>
      </c>
      <c r="BF147" s="1688"/>
      <c r="BG147" s="1688"/>
      <c r="BH147" s="1688"/>
      <c r="BI147" s="1688">
        <f t="shared" si="312"/>
        <v>0.19158612848209211</v>
      </c>
      <c r="BJ147" s="1688"/>
      <c r="BK147" s="1751">
        <v>0.19900000000000001</v>
      </c>
      <c r="BL147" s="1751">
        <v>0.21</v>
      </c>
      <c r="BM147" s="8"/>
      <c r="BN147" s="1751"/>
      <c r="BO147" s="1751"/>
      <c r="BP147" s="8"/>
      <c r="BQ147" s="8"/>
      <c r="BR147" s="8"/>
      <c r="BS147" s="8"/>
      <c r="BT147" s="8"/>
      <c r="BU147" s="399"/>
      <c r="BV147" s="399"/>
      <c r="BW147" s="399"/>
      <c r="BX147" s="399"/>
    </row>
    <row r="148" spans="1:87">
      <c r="A148" s="2001" t="s">
        <v>895</v>
      </c>
      <c r="B148" s="8"/>
      <c r="C148" s="8">
        <f t="shared" si="307"/>
        <v>0.30231876115630785</v>
      </c>
      <c r="D148" s="8">
        <f t="shared" si="307"/>
        <v>0.22243680707596725</v>
      </c>
      <c r="E148" s="8">
        <f t="shared" si="307"/>
        <v>0.16508663590922334</v>
      </c>
      <c r="F148" s="8">
        <f t="shared" si="307"/>
        <v>0.18387866402044617</v>
      </c>
      <c r="G148" s="8">
        <f t="shared" si="307"/>
        <v>0.15415113678903603</v>
      </c>
      <c r="H148" s="8">
        <f t="shared" si="307"/>
        <v>0.18134715025906734</v>
      </c>
      <c r="I148" s="8">
        <f t="shared" si="307"/>
        <v>0.21842105263157885</v>
      </c>
      <c r="J148" s="1136"/>
      <c r="K148" s="1136"/>
      <c r="L148" s="1136"/>
      <c r="M148" s="1136"/>
      <c r="N148" s="1136"/>
      <c r="O148" s="1136"/>
      <c r="S148" s="8"/>
      <c r="T148" s="1759"/>
      <c r="U148" s="1096"/>
      <c r="V148" s="725"/>
      <c r="W148" s="725"/>
      <c r="X148" s="725"/>
      <c r="Y148" s="725"/>
      <c r="Z148" s="725"/>
      <c r="AA148" s="1106"/>
      <c r="AB148" s="8"/>
      <c r="AC148" s="8"/>
      <c r="AD148" s="8"/>
      <c r="AE148" s="1751"/>
      <c r="AF148" s="1751"/>
      <c r="AG148" s="1751"/>
      <c r="AH148" s="1751"/>
      <c r="AI148" s="1751">
        <f t="shared" si="313"/>
        <v>0.30654591825275812</v>
      </c>
      <c r="AJ148" s="1751">
        <f t="shared" si="313"/>
        <v>0.26001891080250727</v>
      </c>
      <c r="AK148" s="1751">
        <f t="shared" si="313"/>
        <v>0.13044866405430167</v>
      </c>
      <c r="AL148" s="1751">
        <f t="shared" si="313"/>
        <v>7.0135206709698306E-3</v>
      </c>
      <c r="AM148" s="1751">
        <f t="shared" si="313"/>
        <v>0.20887075671886657</v>
      </c>
      <c r="AN148" s="1751">
        <f t="shared" si="313"/>
        <v>0.20237601599911925</v>
      </c>
      <c r="AO148" s="1751">
        <f t="shared" si="313"/>
        <v>0.20476215581129176</v>
      </c>
      <c r="AP148" s="1751">
        <f t="shared" si="313"/>
        <v>0.11787734467717814</v>
      </c>
      <c r="AQ148" s="1751">
        <f t="shared" si="313"/>
        <v>0.14234974404348111</v>
      </c>
      <c r="AR148" s="1751">
        <f t="shared" si="313"/>
        <v>0.14748730031083523</v>
      </c>
      <c r="AS148" s="1751">
        <f t="shared" si="313"/>
        <v>0.1596395427706947</v>
      </c>
      <c r="AT148" s="1751">
        <f t="shared" si="313"/>
        <v>0.16849811799418157</v>
      </c>
      <c r="AU148" s="1752">
        <f t="shared" si="310"/>
        <v>0.11339168151188916</v>
      </c>
      <c r="AV148" s="1752">
        <f t="shared" si="310"/>
        <v>0.18619545096704182</v>
      </c>
      <c r="AW148" s="1752">
        <f t="shared" si="310"/>
        <v>0.14555256064690014</v>
      </c>
      <c r="AX148" s="1752">
        <f t="shared" si="310"/>
        <v>0.28761061946902666</v>
      </c>
      <c r="AY148" s="1752">
        <f t="shared" si="310"/>
        <v>0.17142857142857149</v>
      </c>
      <c r="AZ148" s="1752">
        <f t="shared" si="310"/>
        <v>0.20403587443946192</v>
      </c>
      <c r="BA148" s="1752">
        <f t="shared" si="315"/>
        <v>0.26352941176470579</v>
      </c>
      <c r="BB148" s="1752">
        <f t="shared" si="315"/>
        <v>0.23253150057273775</v>
      </c>
      <c r="BC148" s="1751"/>
      <c r="BD148" s="3295" t="s">
        <v>895</v>
      </c>
      <c r="BE148" s="1688">
        <f t="shared" si="311"/>
        <v>0.15050847457627126</v>
      </c>
      <c r="BF148" s="1688"/>
      <c r="BG148" s="1688"/>
      <c r="BH148" s="1688"/>
      <c r="BI148" s="1688">
        <f t="shared" si="312"/>
        <v>0.18856806128461989</v>
      </c>
      <c r="BJ148" s="1688"/>
      <c r="BK148" s="1751"/>
      <c r="BL148" s="1751">
        <v>0.21299999999999999</v>
      </c>
      <c r="BM148" s="8"/>
      <c r="BN148" s="1751"/>
      <c r="BO148" s="1751"/>
      <c r="BP148" s="8"/>
      <c r="BQ148" s="8"/>
      <c r="BR148" s="8"/>
      <c r="BS148" s="8"/>
      <c r="BT148" s="8"/>
      <c r="BU148" s="399"/>
      <c r="BV148" s="399"/>
      <c r="BW148" s="399"/>
      <c r="BX148" s="399"/>
    </row>
    <row r="149" spans="1:87">
      <c r="A149" s="1467" t="s">
        <v>856</v>
      </c>
      <c r="B149" s="8"/>
      <c r="C149" s="8">
        <f t="shared" si="307"/>
        <v>1.6758500585262848E-2</v>
      </c>
      <c r="D149" s="8">
        <f t="shared" si="307"/>
        <v>-0.20285405864110873</v>
      </c>
      <c r="E149" s="8">
        <f t="shared" si="307"/>
        <v>8.0929606349753103E-2</v>
      </c>
      <c r="F149" s="8">
        <f t="shared" si="307"/>
        <v>0.11976073921733321</v>
      </c>
      <c r="G149" s="8">
        <f t="shared" si="307"/>
        <v>-0.54407294832826747</v>
      </c>
      <c r="H149" s="8">
        <f t="shared" si="307"/>
        <v>0.18439716312056742</v>
      </c>
      <c r="I149" s="8">
        <f t="shared" si="307"/>
        <v>0.17365269461077837</v>
      </c>
      <c r="J149" s="1136"/>
      <c r="K149" s="1136"/>
      <c r="L149" s="1136"/>
      <c r="M149" s="1136"/>
      <c r="N149" s="1136"/>
      <c r="O149" s="1136"/>
      <c r="S149" s="8"/>
      <c r="T149" s="1759"/>
      <c r="U149" s="725"/>
      <c r="V149" s="725"/>
      <c r="W149" s="725"/>
      <c r="X149" s="725"/>
      <c r="Y149" s="725"/>
      <c r="Z149" s="1126"/>
      <c r="AA149" s="725"/>
      <c r="AB149" s="8"/>
      <c r="AC149" s="8"/>
      <c r="AD149" s="8"/>
      <c r="AE149" s="1751"/>
      <c r="AF149" s="1751"/>
      <c r="AG149" s="1751"/>
      <c r="AH149" s="1751"/>
      <c r="AI149" s="1751">
        <f t="shared" si="313"/>
        <v>0.14066490580864865</v>
      </c>
      <c r="AJ149" s="1751">
        <f t="shared" si="313"/>
        <v>0.28574328439001295</v>
      </c>
      <c r="AK149" s="1751">
        <f t="shared" si="313"/>
        <v>1.1347153113122843E-2</v>
      </c>
      <c r="AL149" s="1751">
        <f t="shared" si="313"/>
        <v>-3.408381538973726E-2</v>
      </c>
      <c r="AM149" s="1751">
        <f t="shared" si="313"/>
        <v>0.30238254712467705</v>
      </c>
      <c r="AN149" s="1751">
        <f t="shared" si="313"/>
        <v>0.17021892432375529</v>
      </c>
      <c r="AO149" s="1751">
        <f t="shared" si="313"/>
        <v>0.51618525444345598</v>
      </c>
      <c r="AP149" s="1751">
        <f t="shared" si="313"/>
        <v>-0.2595325290822923</v>
      </c>
      <c r="AQ149" s="1751">
        <f t="shared" si="313"/>
        <v>-0.99011108498883271</v>
      </c>
      <c r="AR149" s="1751">
        <f t="shared" si="313"/>
        <v>-0.55785532795179105</v>
      </c>
      <c r="AS149" s="1751">
        <f t="shared" si="313"/>
        <v>-0.49708428627878276</v>
      </c>
      <c r="AT149" s="1751">
        <f t="shared" si="313"/>
        <v>-0.14175576405556778</v>
      </c>
      <c r="AU149" s="1752">
        <f t="shared" si="310"/>
        <v>28.717682020802375</v>
      </c>
      <c r="AV149" s="1752">
        <f t="shared" si="310"/>
        <v>6.7968571210618611E-2</v>
      </c>
      <c r="AW149" s="1752">
        <f t="shared" si="310"/>
        <v>0.35714285714285721</v>
      </c>
      <c r="AX149" s="1752">
        <f t="shared" si="310"/>
        <v>-0.18644067796610164</v>
      </c>
      <c r="AY149" s="1752">
        <f t="shared" si="310"/>
        <v>0.14999999999999991</v>
      </c>
      <c r="AZ149" s="1752">
        <f t="shared" si="310"/>
        <v>0.33333333333333326</v>
      </c>
      <c r="BA149" s="1752">
        <f t="shared" si="315"/>
        <v>1.7543859649122862E-2</v>
      </c>
      <c r="BB149" s="1752">
        <f t="shared" si="315"/>
        <v>0.22916666666666674</v>
      </c>
      <c r="BC149" s="1751"/>
      <c r="BD149" s="3294" t="s">
        <v>856</v>
      </c>
      <c r="BE149" s="1688">
        <f t="shared" si="311"/>
        <v>0.55000000000000004</v>
      </c>
      <c r="BF149" s="1688"/>
      <c r="BG149" s="1688"/>
      <c r="BH149" s="1688"/>
      <c r="BI149" s="1688">
        <f t="shared" si="312"/>
        <v>0.27419354838709675</v>
      </c>
      <c r="BJ149" s="1688"/>
      <c r="BK149" s="1751"/>
      <c r="BL149" s="1751">
        <v>0.14799999999999999</v>
      </c>
      <c r="BM149" s="8"/>
      <c r="BN149" s="1751"/>
      <c r="BO149" s="1751"/>
      <c r="BP149" s="8"/>
      <c r="BQ149" s="8"/>
      <c r="BR149" s="8"/>
      <c r="BS149" s="8"/>
      <c r="BT149" s="8"/>
      <c r="BU149" s="399"/>
      <c r="BV149" s="399"/>
      <c r="BW149" s="399"/>
      <c r="BX149" s="399"/>
    </row>
    <row r="150" spans="1:87">
      <c r="A150" s="39" t="s">
        <v>882</v>
      </c>
      <c r="B150" s="8"/>
      <c r="C150" s="8">
        <f t="shared" si="307"/>
        <v>3.1919499902492987E-3</v>
      </c>
      <c r="D150" s="8">
        <f t="shared" si="307"/>
        <v>7.7016125177520989E-2</v>
      </c>
      <c r="E150" s="8">
        <f t="shared" si="307"/>
        <v>0.25206828565276385</v>
      </c>
      <c r="F150" s="8">
        <f t="shared" si="307"/>
        <v>0.24059865780026457</v>
      </c>
      <c r="G150" s="8">
        <f t="shared" si="307"/>
        <v>0.35611428587382465</v>
      </c>
      <c r="H150" s="8">
        <f t="shared" si="307"/>
        <v>0.12418952618453871</v>
      </c>
      <c r="I150" s="8">
        <f t="shared" si="307"/>
        <v>0.23868677905944979</v>
      </c>
      <c r="J150" s="1136"/>
      <c r="K150" s="1136"/>
      <c r="L150" s="1136"/>
      <c r="M150" s="1136"/>
      <c r="N150" s="1136"/>
      <c r="O150" s="1136"/>
      <c r="S150" s="8"/>
      <c r="T150" s="1759"/>
      <c r="U150" s="725"/>
      <c r="V150" s="725"/>
      <c r="W150" s="725"/>
      <c r="X150" s="725"/>
      <c r="Y150" s="725"/>
      <c r="Z150" s="1126"/>
      <c r="AA150" s="725"/>
      <c r="AB150" s="8"/>
      <c r="AC150" s="8"/>
      <c r="AD150" s="8"/>
      <c r="AE150" s="1751"/>
      <c r="AF150" s="1751"/>
      <c r="AG150" s="1751"/>
      <c r="AH150" s="1751"/>
      <c r="AI150" s="1751">
        <f t="shared" si="313"/>
        <v>4.3762928944419466E-2</v>
      </c>
      <c r="AJ150" s="1751">
        <f t="shared" si="313"/>
        <v>-0.29496611399000272</v>
      </c>
      <c r="AK150" s="1751">
        <f t="shared" si="313"/>
        <v>0.2108664130149891</v>
      </c>
      <c r="AL150" s="1751">
        <f t="shared" si="313"/>
        <v>1.2628112344298592</v>
      </c>
      <c r="AM150" s="1751">
        <f t="shared" si="313"/>
        <v>0.14441805931276108</v>
      </c>
      <c r="AN150" s="1751">
        <f t="shared" si="313"/>
        <v>0.55411497485928041</v>
      </c>
      <c r="AO150" s="1751">
        <f t="shared" si="313"/>
        <v>0.10822529823879234</v>
      </c>
      <c r="AP150" s="1751">
        <f t="shared" si="313"/>
        <v>0.21769367739405454</v>
      </c>
      <c r="AQ150" s="1751">
        <f t="shared" si="313"/>
        <v>0.53659014481288114</v>
      </c>
      <c r="AR150" s="1751">
        <f t="shared" si="313"/>
        <v>0.17576645526135848</v>
      </c>
      <c r="AS150" s="1751">
        <f t="shared" si="313"/>
        <v>0.74871637214357101</v>
      </c>
      <c r="AT150" s="1751">
        <f t="shared" si="313"/>
        <v>0.17510137669666936</v>
      </c>
      <c r="AU150" s="1752">
        <f t="shared" si="310"/>
        <v>0.12538131704209876</v>
      </c>
      <c r="AV150" s="1752">
        <f t="shared" si="310"/>
        <v>0.32071050573474458</v>
      </c>
      <c r="AW150" s="1752">
        <f t="shared" si="310"/>
        <v>0.23992322456813819</v>
      </c>
      <c r="AX150" s="1752">
        <f t="shared" si="310"/>
        <v>-6.4759036144578341E-2</v>
      </c>
      <c r="AY150" s="1752">
        <f t="shared" si="310"/>
        <v>0.16094032549728743</v>
      </c>
      <c r="AZ150" s="1752">
        <f t="shared" si="310"/>
        <v>0.36866359447004604</v>
      </c>
      <c r="BA150" s="1752">
        <f t="shared" si="315"/>
        <v>0.15015479876160986</v>
      </c>
      <c r="BB150" s="1752">
        <f t="shared" si="315"/>
        <v>0.3091787439613527</v>
      </c>
      <c r="BC150" s="1751"/>
      <c r="BD150" s="3293" t="s">
        <v>882</v>
      </c>
      <c r="BE150" s="1688">
        <f t="shared" si="311"/>
        <v>0.20365853658536581</v>
      </c>
      <c r="BF150" s="1688"/>
      <c r="BG150" s="1688"/>
      <c r="BH150" s="1688"/>
      <c r="BI150" s="1688">
        <f t="shared" si="312"/>
        <v>0.25227963525835873</v>
      </c>
      <c r="BJ150" s="1688"/>
      <c r="BK150" s="1751">
        <v>0.246</v>
      </c>
      <c r="BL150" s="1751">
        <v>0.21199999999999999</v>
      </c>
      <c r="BM150" s="8"/>
      <c r="BO150" s="1751"/>
      <c r="BP150" s="8"/>
      <c r="BQ150" s="8"/>
      <c r="BR150" s="8"/>
      <c r="BS150" s="8"/>
      <c r="BT150" s="8"/>
      <c r="BU150" s="399"/>
      <c r="BV150" s="399"/>
      <c r="BW150" s="399"/>
      <c r="BX150" s="399"/>
    </row>
    <row r="151" spans="1:87">
      <c r="Z151" s="223"/>
      <c r="AH151" s="223"/>
      <c r="AL151" s="223"/>
      <c r="AP151" s="223"/>
      <c r="AR151" s="1474"/>
      <c r="AZ151" s="1698"/>
      <c r="BA151" s="1474"/>
      <c r="BB151" s="1474"/>
      <c r="BC151" s="1474"/>
      <c r="BD151" s="1474"/>
      <c r="BE151" s="1474"/>
      <c r="BF151" s="1474"/>
      <c r="BG151" s="1474"/>
      <c r="BH151" s="1474"/>
      <c r="BI151" s="1474"/>
      <c r="BJ151" s="1474"/>
      <c r="BK151" s="1474"/>
      <c r="BL151" s="1474"/>
      <c r="BO151" s="1751"/>
    </row>
    <row r="152" spans="1:87">
      <c r="Z152" s="223"/>
      <c r="AH152" s="223"/>
      <c r="AL152" s="223"/>
      <c r="AP152" s="223"/>
      <c r="AR152" s="1474"/>
      <c r="AZ152" s="1698"/>
      <c r="BA152" s="1474"/>
      <c r="BB152" s="1474"/>
      <c r="BC152" s="1474"/>
      <c r="BD152" s="1474"/>
      <c r="BE152" s="1474"/>
      <c r="BF152" s="1474"/>
      <c r="BG152" s="1474"/>
      <c r="BH152" s="1474"/>
      <c r="BI152" s="1474"/>
      <c r="BJ152" s="1474"/>
      <c r="BK152" s="1474"/>
      <c r="BL152" s="1474"/>
    </row>
    <row r="153" spans="1:87">
      <c r="A153" s="1400" t="s">
        <v>886</v>
      </c>
      <c r="B153" s="696"/>
      <c r="C153" s="696"/>
      <c r="D153" s="696"/>
      <c r="E153" s="696"/>
      <c r="F153" s="696"/>
      <c r="G153" s="696"/>
      <c r="H153" s="696"/>
      <c r="I153" s="696"/>
      <c r="M153" s="1127"/>
      <c r="O153" s="1127"/>
      <c r="S153" s="1127"/>
      <c r="U153" s="1"/>
      <c r="V153" s="36"/>
      <c r="W153" s="36"/>
      <c r="X153" s="399"/>
      <c r="Y153" s="399"/>
      <c r="Z153" s="953"/>
      <c r="AA153" s="743"/>
      <c r="AB153" s="696"/>
      <c r="AC153" s="696"/>
      <c r="AD153" s="745"/>
      <c r="AE153" s="743"/>
      <c r="AF153" s="696"/>
      <c r="AG153" s="696"/>
      <c r="AH153" s="745"/>
      <c r="AI153" s="696"/>
      <c r="AJ153" s="696"/>
      <c r="AK153" s="696"/>
      <c r="AL153" s="745"/>
      <c r="AM153" s="696"/>
      <c r="AN153" s="696"/>
      <c r="AO153" s="696"/>
      <c r="AP153" s="745"/>
      <c r="AQ153" s="696"/>
      <c r="AR153" s="1468"/>
      <c r="AT153" s="745"/>
      <c r="AU153" s="696"/>
      <c r="AV153" s="696"/>
      <c r="AW153" s="696"/>
      <c r="AX153" s="745"/>
      <c r="AY153" s="745"/>
      <c r="AZ153" s="1469"/>
      <c r="BA153" s="1468"/>
      <c r="BB153" s="1468"/>
      <c r="BC153" s="1468"/>
      <c r="BD153" s="1468"/>
      <c r="BE153" s="1468"/>
      <c r="BF153" s="1468"/>
      <c r="BG153" s="1468"/>
      <c r="BH153" s="1468"/>
      <c r="BI153" s="1468"/>
      <c r="BJ153" s="1468"/>
      <c r="BK153" s="1468"/>
      <c r="BL153" s="1468"/>
      <c r="BM153" s="696"/>
      <c r="BN153" s="696"/>
      <c r="BO153" s="696"/>
      <c r="BP153" s="696"/>
      <c r="BQ153" s="696"/>
      <c r="BR153" s="696"/>
      <c r="BS153" s="696"/>
      <c r="BT153" s="696"/>
      <c r="BU153" s="399"/>
      <c r="BV153" s="399"/>
      <c r="BW153" s="399"/>
      <c r="BX153" s="399"/>
    </row>
    <row r="154" spans="1:87">
      <c r="A154" s="1457" t="s">
        <v>886</v>
      </c>
      <c r="B154" s="1113"/>
      <c r="C154" s="1113"/>
      <c r="D154" s="1113"/>
      <c r="E154" s="1113"/>
      <c r="F154" s="1113"/>
      <c r="G154" s="1113"/>
      <c r="H154" s="1113"/>
      <c r="I154" s="1113"/>
      <c r="J154" s="1150">
        <f>J158/I158-1</f>
        <v>0.14668042169526019</v>
      </c>
      <c r="K154" s="1150">
        <f t="shared" ref="K154:L154" si="316">K158/J158-1</f>
        <v>0.16654455062397266</v>
      </c>
      <c r="L154" s="1150">
        <f t="shared" si="316"/>
        <v>0.17659110654181842</v>
      </c>
      <c r="M154" s="1113"/>
      <c r="N154" s="1150">
        <f>N158/H158-1</f>
        <v>0</v>
      </c>
      <c r="O154" s="1113"/>
      <c r="S154" s="696"/>
      <c r="T154" s="811"/>
      <c r="U154" s="250"/>
      <c r="V154" s="36"/>
      <c r="W154" s="36"/>
      <c r="X154" s="399"/>
      <c r="Y154" s="399"/>
      <c r="Z154" s="953"/>
      <c r="AA154" s="743"/>
      <c r="AB154" s="696"/>
      <c r="AC154" s="696"/>
      <c r="AD154" s="745"/>
      <c r="AE154" s="743"/>
      <c r="AF154" s="696"/>
      <c r="AG154" s="696"/>
      <c r="AH154" s="745"/>
      <c r="AI154" s="696"/>
      <c r="AJ154" s="696"/>
      <c r="AK154" s="696"/>
      <c r="AL154" s="745"/>
      <c r="AM154" s="696"/>
      <c r="AN154" s="696"/>
      <c r="AO154" s="696"/>
      <c r="AP154" s="745"/>
      <c r="AQ154" s="696"/>
      <c r="AR154" s="1468"/>
      <c r="AS154" s="696"/>
      <c r="AT154" s="745"/>
      <c r="AU154" s="696"/>
      <c r="AV154" s="696"/>
      <c r="AW154" s="696"/>
      <c r="AX154" s="745"/>
      <c r="AY154" s="745"/>
      <c r="AZ154" s="1469"/>
      <c r="BA154" s="1468"/>
      <c r="BB154" s="1468"/>
      <c r="BC154" s="1468"/>
      <c r="BD154" s="1468"/>
      <c r="BE154" s="1468"/>
      <c r="BF154" s="1468"/>
      <c r="BG154" s="1468"/>
      <c r="BH154" s="1468"/>
      <c r="BI154" s="1468"/>
      <c r="BJ154" s="1468"/>
      <c r="BK154" s="1468"/>
      <c r="BL154" s="1468"/>
      <c r="BM154" s="696"/>
      <c r="BN154" s="696"/>
      <c r="BO154" s="696"/>
      <c r="BP154" s="696"/>
      <c r="BQ154" s="696"/>
      <c r="BR154" s="696"/>
      <c r="BS154" s="696"/>
      <c r="BT154" s="696"/>
      <c r="BU154" s="399"/>
      <c r="BV154" s="399"/>
      <c r="BW154" s="399"/>
      <c r="BX154" s="399"/>
    </row>
    <row r="155" spans="1:87" s="1474" customFormat="1">
      <c r="A155" s="1475" t="s">
        <v>887</v>
      </c>
      <c r="B155" s="1486">
        <v>14104.536857725001</v>
      </c>
      <c r="C155" s="1486">
        <v>16264.960152274998</v>
      </c>
      <c r="D155" s="1468">
        <v>17829.400526824</v>
      </c>
      <c r="E155" s="1468">
        <v>21116.262545027006</v>
      </c>
      <c r="F155" s="1468">
        <v>25074.527680910993</v>
      </c>
      <c r="G155" s="1468">
        <f>G$3*G177</f>
        <v>28150.576942650976</v>
      </c>
      <c r="H155" s="1468">
        <f>H156+H157</f>
        <v>31897</v>
      </c>
      <c r="I155" s="1468">
        <f>I10-I12</f>
        <v>34732</v>
      </c>
      <c r="J155" s="1468"/>
      <c r="K155" s="1468"/>
      <c r="L155" s="1468"/>
      <c r="M155" s="1468"/>
      <c r="N155" s="1468"/>
      <c r="O155" s="1468"/>
      <c r="S155" s="1468"/>
      <c r="T155" s="1760"/>
      <c r="U155" s="1471"/>
      <c r="V155" s="1472"/>
      <c r="W155" s="1472"/>
      <c r="X155" s="1470"/>
      <c r="Y155" s="1470"/>
      <c r="Z155" s="1489"/>
      <c r="AA155" s="1473"/>
      <c r="AB155" s="1468"/>
      <c r="AC155" s="1468"/>
      <c r="AD155" s="1468"/>
      <c r="AE155" s="1468">
        <f t="shared" ref="AE155:AT155" si="317">AE10-AE158</f>
        <v>3739.5649114379994</v>
      </c>
      <c r="AF155" s="1468">
        <f t="shared" si="317"/>
        <v>4061.0024983370004</v>
      </c>
      <c r="AG155" s="1468">
        <f t="shared" si="317"/>
        <v>4584.1285040719995</v>
      </c>
      <c r="AH155" s="1469">
        <f t="shared" si="317"/>
        <v>5444.7046129769988</v>
      </c>
      <c r="AI155" s="1468">
        <f t="shared" si="317"/>
        <v>4416.9296699539991</v>
      </c>
      <c r="AJ155" s="1468">
        <f t="shared" si="317"/>
        <v>5128.1052848210011</v>
      </c>
      <c r="AK155" s="1468">
        <f t="shared" si="317"/>
        <v>4993.1719569720008</v>
      </c>
      <c r="AL155" s="1469">
        <f t="shared" si="317"/>
        <v>6578.0556332800006</v>
      </c>
      <c r="AM155" s="1468">
        <f t="shared" si="317"/>
        <v>5619.2538443909998</v>
      </c>
      <c r="AN155" s="1468">
        <f t="shared" si="317"/>
        <v>5585.0600909590012</v>
      </c>
      <c r="AO155" s="1468">
        <f t="shared" si="317"/>
        <v>6291.5590203529991</v>
      </c>
      <c r="AP155" s="1469">
        <f t="shared" si="317"/>
        <v>7586.4262711089996</v>
      </c>
      <c r="AQ155" s="1468">
        <f t="shared" si="317"/>
        <v>6252.8909999999996</v>
      </c>
      <c r="AR155" s="1468">
        <f t="shared" si="317"/>
        <v>6686.1090000000004</v>
      </c>
      <c r="AS155" s="1468">
        <f t="shared" si="317"/>
        <v>7362</v>
      </c>
      <c r="AT155" s="1469">
        <f t="shared" si="317"/>
        <v>8030</v>
      </c>
      <c r="AU155" s="1468">
        <f>AU156+AU157</f>
        <v>7093</v>
      </c>
      <c r="AV155" s="1468">
        <f>AV156+AV157</f>
        <v>7672</v>
      </c>
      <c r="AW155" s="1468">
        <f>AW156+AW157</f>
        <v>7808</v>
      </c>
      <c r="AX155" s="1469"/>
      <c r="AY155" s="1469"/>
      <c r="AZ155" s="1469"/>
      <c r="BA155" s="1468"/>
      <c r="BB155" s="1468"/>
      <c r="BC155" s="1468"/>
      <c r="BD155" s="1468"/>
      <c r="BE155" s="1468"/>
      <c r="BF155" s="1468"/>
      <c r="BG155" s="1468"/>
      <c r="BH155" s="1468"/>
      <c r="BI155" s="1468"/>
      <c r="BJ155" s="1468"/>
      <c r="BK155" s="1468"/>
      <c r="BL155" s="1468"/>
      <c r="BM155" s="1468"/>
      <c r="BN155" s="1468"/>
      <c r="BO155" s="1468"/>
      <c r="BP155" s="1468"/>
      <c r="BQ155" s="1468"/>
      <c r="BR155" s="1468"/>
      <c r="BS155" s="1468"/>
      <c r="BT155" s="1468"/>
      <c r="BU155" s="1470"/>
      <c r="BV155" s="1470"/>
      <c r="BW155" s="1615"/>
      <c r="BX155" s="1470"/>
      <c r="BZ155" s="1615"/>
      <c r="CD155" s="1883">
        <f t="shared" ref="CD155:CD162" si="318">AE155+AF155</f>
        <v>7800.5674097749998</v>
      </c>
      <c r="CE155" s="1615">
        <f>AI155+AJ155</f>
        <v>9545.0349547750011</v>
      </c>
      <c r="CF155" s="1615">
        <f>AM155+AN155</f>
        <v>11204.313935350001</v>
      </c>
      <c r="CG155" s="1615">
        <f>AQ155+AR155</f>
        <v>12939</v>
      </c>
      <c r="CH155" s="1615"/>
      <c r="CI155" s="2085">
        <f>CG155/CF155-1</f>
        <v>0.15482305071593938</v>
      </c>
    </row>
    <row r="156" spans="1:87" s="1474" customFormat="1">
      <c r="A156" s="1476" t="s">
        <v>887</v>
      </c>
      <c r="B156" s="1487">
        <v>4958.1019999999999</v>
      </c>
      <c r="C156" s="1487">
        <v>4935.3580000000002</v>
      </c>
      <c r="D156" s="1487">
        <v>4804.6719999999996</v>
      </c>
      <c r="E156" s="1487">
        <v>6196</v>
      </c>
      <c r="F156" s="1486">
        <v>6847</v>
      </c>
      <c r="G156" s="1486">
        <v>7161.0559999999996</v>
      </c>
      <c r="H156" s="1486">
        <v>8157</v>
      </c>
      <c r="I156" s="1486">
        <f>I13</f>
        <v>9093</v>
      </c>
      <c r="J156" s="1468">
        <f ca="1">I156*(1+J22)</f>
        <v>10184.160000000002</v>
      </c>
      <c r="K156" s="1468">
        <f t="shared" ref="K156:L156" ca="1" si="319">J156*(1+K22)</f>
        <v>11406.259200000002</v>
      </c>
      <c r="L156" s="1468">
        <f t="shared" ca="1" si="319"/>
        <v>12775.010304000003</v>
      </c>
      <c r="M156" s="1468"/>
      <c r="N156" s="1468">
        <f>H156*(1+N137)</f>
        <v>8617</v>
      </c>
      <c r="O156" s="1468"/>
      <c r="S156" s="1468"/>
      <c r="T156" s="1919" t="s">
        <v>1130</v>
      </c>
      <c r="U156" s="1921"/>
      <c r="V156" s="1925" t="s">
        <v>1040</v>
      </c>
      <c r="W156" s="1920" t="s">
        <v>1091</v>
      </c>
      <c r="X156" s="2053" t="s">
        <v>1179</v>
      </c>
      <c r="Y156" s="1920" t="s">
        <v>1043</v>
      </c>
      <c r="Z156" s="1489"/>
      <c r="AA156" s="1473"/>
      <c r="AB156" s="1468"/>
      <c r="AC156" s="1468"/>
      <c r="AD156" s="1468"/>
      <c r="AE156" s="1468">
        <f t="shared" ref="AE156:AR156" si="320">AE13</f>
        <v>703.28499999999997</v>
      </c>
      <c r="AF156" s="1468">
        <f t="shared" si="320"/>
        <v>1013.7700000000001</v>
      </c>
      <c r="AG156" s="1468">
        <f t="shared" si="320"/>
        <v>1215.213</v>
      </c>
      <c r="AH156" s="1469">
        <f t="shared" si="320"/>
        <v>1872.4039999999995</v>
      </c>
      <c r="AI156" s="1468">
        <f t="shared" si="320"/>
        <v>1007.953</v>
      </c>
      <c r="AJ156" s="1468">
        <f t="shared" si="320"/>
        <v>1455.7750000000001</v>
      </c>
      <c r="AK156" s="1468">
        <f t="shared" si="320"/>
        <v>1505.9189999999999</v>
      </c>
      <c r="AL156" s="1469">
        <f t="shared" si="320"/>
        <v>2361.7960000000003</v>
      </c>
      <c r="AM156" s="1468">
        <f t="shared" si="320"/>
        <v>1529.7449999999999</v>
      </c>
      <c r="AN156" s="1468">
        <f t="shared" si="320"/>
        <v>1202.672</v>
      </c>
      <c r="AO156" s="1468">
        <f t="shared" si="320"/>
        <v>1706.9580000000001</v>
      </c>
      <c r="AP156" s="1469">
        <f t="shared" si="320"/>
        <v>2408.0330000000004</v>
      </c>
      <c r="AQ156" s="1468">
        <f t="shared" si="320"/>
        <v>1407</v>
      </c>
      <c r="AR156" s="1468">
        <f t="shared" si="320"/>
        <v>1568</v>
      </c>
      <c r="AS156" s="1468">
        <f>4891-AR156-AQ156</f>
        <v>1916</v>
      </c>
      <c r="AT156" s="1469">
        <f>7161-AS156-AR156-AQ156</f>
        <v>2270</v>
      </c>
      <c r="AU156" s="1468">
        <v>1472</v>
      </c>
      <c r="AV156" s="1468">
        <f>3504-AU156</f>
        <v>2032</v>
      </c>
      <c r="AW156" s="1910">
        <f>5296-AV156-AU156</f>
        <v>1792</v>
      </c>
      <c r="AX156" s="1469">
        <f>8157-AW156-AV156-AU156</f>
        <v>2861</v>
      </c>
      <c r="AY156" s="1469">
        <v>1583</v>
      </c>
      <c r="AZ156" s="3311">
        <f>3459-AY156</f>
        <v>1876</v>
      </c>
      <c r="BA156" s="1468">
        <f>5376-AZ156-AY156</f>
        <v>1917</v>
      </c>
      <c r="BB156" s="1468">
        <f>9093-AY156-AZ156-BA156</f>
        <v>3717</v>
      </c>
      <c r="BC156" s="1468"/>
      <c r="BD156" s="1468"/>
      <c r="BE156" s="1468">
        <f>AU156+AV156</f>
        <v>3504</v>
      </c>
      <c r="BF156" s="1468"/>
      <c r="BG156" s="1468"/>
      <c r="BH156" s="1468"/>
      <c r="BI156" s="1468">
        <f>AY156+AZ156</f>
        <v>3459</v>
      </c>
      <c r="BJ156" s="1468"/>
      <c r="BK156" s="1751">
        <f>BI156/BE156-1</f>
        <v>-1.2842465753424626E-2</v>
      </c>
      <c r="BL156" s="1468"/>
      <c r="BM156" s="1468"/>
      <c r="BN156" s="1468"/>
      <c r="BO156" s="1468"/>
      <c r="BP156" s="1468"/>
      <c r="BQ156" s="1468"/>
      <c r="BR156" s="1468"/>
      <c r="BS156" s="1468"/>
      <c r="BT156" s="1468"/>
      <c r="BU156" s="1470"/>
      <c r="BV156" s="1470"/>
      <c r="BW156" s="1615"/>
      <c r="BX156" s="1470"/>
      <c r="BZ156" s="1615"/>
      <c r="CD156" s="1883">
        <f t="shared" si="318"/>
        <v>1717.0550000000001</v>
      </c>
      <c r="CE156" s="1615">
        <f t="shared" ref="CE156:CE162" si="321">AI156+AJ156</f>
        <v>2463.7280000000001</v>
      </c>
      <c r="CF156" s="1615">
        <f t="shared" ref="CF156:CF162" si="322">AM156+AN156</f>
        <v>2732.4169999999999</v>
      </c>
      <c r="CG156" s="1615">
        <f t="shared" ref="CG156:CG162" si="323">AQ156+AR156</f>
        <v>2975</v>
      </c>
      <c r="CH156" s="1615"/>
      <c r="CI156" s="2085">
        <f t="shared" ref="CI156:CI162" si="324">CG156/CF156-1</f>
        <v>8.8779640882046928E-2</v>
      </c>
    </row>
    <row r="157" spans="1:87" s="1474" customFormat="1">
      <c r="A157" s="1476" t="s">
        <v>1052</v>
      </c>
      <c r="B157" s="1487">
        <f t="shared" ref="B157:G157" si="325">B155-B156</f>
        <v>9146.4348577250021</v>
      </c>
      <c r="C157" s="1487">
        <f t="shared" si="325"/>
        <v>11329.602152274998</v>
      </c>
      <c r="D157" s="1487">
        <f t="shared" si="325"/>
        <v>13024.728526824001</v>
      </c>
      <c r="E157" s="1487">
        <f t="shared" si="325"/>
        <v>14920.262545027006</v>
      </c>
      <c r="F157" s="1487">
        <f t="shared" si="325"/>
        <v>18227.527680910993</v>
      </c>
      <c r="G157" s="1487">
        <f t="shared" si="325"/>
        <v>20989.520942650975</v>
      </c>
      <c r="H157" s="1487">
        <f>16906+705+6129</f>
        <v>23740</v>
      </c>
      <c r="I157" s="1487">
        <f>16906+705+6129</f>
        <v>23740</v>
      </c>
      <c r="J157" s="1468"/>
      <c r="K157" s="1468"/>
      <c r="L157" s="1468"/>
      <c r="M157" s="1468"/>
      <c r="N157" s="1468"/>
      <c r="O157" s="1468"/>
      <c r="S157" s="1468"/>
      <c r="T157" s="1917" t="s">
        <v>163</v>
      </c>
      <c r="U157" s="1922"/>
      <c r="V157" s="1926"/>
      <c r="W157" s="1125"/>
      <c r="X157" s="2054"/>
      <c r="Y157" s="2050"/>
      <c r="Z157" s="1489"/>
      <c r="AA157" s="1473"/>
      <c r="AB157" s="1468"/>
      <c r="AC157" s="1468"/>
      <c r="AD157" s="1468"/>
      <c r="AE157" s="1468">
        <f>AE155-AE156</f>
        <v>3036.2799114379995</v>
      </c>
      <c r="AF157" s="1468">
        <f t="shared" ref="AF157:AR157" si="326">AF155-AF156</f>
        <v>3047.2324983370004</v>
      </c>
      <c r="AG157" s="1468">
        <f t="shared" si="326"/>
        <v>3368.9155040719997</v>
      </c>
      <c r="AH157" s="1469">
        <f t="shared" si="326"/>
        <v>3572.3006129769992</v>
      </c>
      <c r="AI157" s="1468">
        <f t="shared" si="326"/>
        <v>3408.9766699539991</v>
      </c>
      <c r="AJ157" s="1468">
        <f t="shared" si="326"/>
        <v>3672.330284821001</v>
      </c>
      <c r="AK157" s="1468">
        <f t="shared" si="326"/>
        <v>3487.2529569720009</v>
      </c>
      <c r="AL157" s="1469">
        <f t="shared" si="326"/>
        <v>4216.2596332800003</v>
      </c>
      <c r="AM157" s="1468">
        <f t="shared" si="326"/>
        <v>4089.5088443909999</v>
      </c>
      <c r="AN157" s="1468">
        <f t="shared" si="326"/>
        <v>4382.3880909590007</v>
      </c>
      <c r="AO157" s="1468">
        <f t="shared" si="326"/>
        <v>4584.6010203529986</v>
      </c>
      <c r="AP157" s="1469">
        <f t="shared" si="326"/>
        <v>5178.3932711089992</v>
      </c>
      <c r="AQ157" s="1468">
        <f t="shared" si="326"/>
        <v>4845.8909999999996</v>
      </c>
      <c r="AR157" s="1468">
        <f t="shared" si="326"/>
        <v>5118.1090000000004</v>
      </c>
      <c r="AS157" s="1468">
        <f>AS13+AS14+AS17-AS156</f>
        <v>5447</v>
      </c>
      <c r="AT157" s="1468">
        <f>AT13+AT14+AT17-AT156</f>
        <v>5759</v>
      </c>
      <c r="AU157" s="1468">
        <f>AU13+AU14+AU17-AU156</f>
        <v>5621</v>
      </c>
      <c r="AV157" s="1468">
        <f>AV13+AV14+AV17-AV156</f>
        <v>5640</v>
      </c>
      <c r="AW157" s="1468">
        <f>AW13+AW14+AW17-AW156</f>
        <v>6016</v>
      </c>
      <c r="AX157" s="1469"/>
      <c r="AY157" s="1469"/>
      <c r="AZ157" s="1469"/>
      <c r="BA157" s="1468"/>
      <c r="BB157" s="1468"/>
      <c r="BC157" s="1468"/>
      <c r="BD157" s="1468"/>
      <c r="BE157" s="1468"/>
      <c r="BF157" s="1468"/>
      <c r="BG157" s="1468"/>
      <c r="BH157" s="1468"/>
      <c r="BI157" s="1468"/>
      <c r="BJ157" s="1468"/>
      <c r="BK157" s="1468"/>
      <c r="BL157" s="1468"/>
      <c r="BM157" s="1468"/>
      <c r="BN157" s="1468"/>
      <c r="BO157" s="1468"/>
      <c r="BP157" s="1468"/>
      <c r="BQ157" s="1468"/>
      <c r="BR157" s="1468"/>
      <c r="BS157" s="1468"/>
      <c r="BT157" s="1468"/>
      <c r="BU157" s="1470"/>
      <c r="BV157" s="1470"/>
      <c r="BW157" s="1615"/>
      <c r="BX157" s="1470"/>
      <c r="BZ157" s="1615"/>
      <c r="CD157" s="1883">
        <f t="shared" si="318"/>
        <v>6083.5124097749995</v>
      </c>
      <c r="CE157" s="1615">
        <f t="shared" si="321"/>
        <v>7081.3069547750001</v>
      </c>
      <c r="CF157" s="1615">
        <f t="shared" si="322"/>
        <v>8471.8969353499997</v>
      </c>
      <c r="CG157" s="1615">
        <f t="shared" si="323"/>
        <v>9964</v>
      </c>
      <c r="CH157" s="1615"/>
      <c r="CI157" s="2085">
        <f t="shared" si="324"/>
        <v>0.17612384523046098</v>
      </c>
    </row>
    <row r="158" spans="1:87">
      <c r="A158" s="735" t="s">
        <v>893</v>
      </c>
      <c r="B158" s="1488">
        <v>9109</v>
      </c>
      <c r="C158" s="1488">
        <v>11452</v>
      </c>
      <c r="D158" s="696">
        <v>12001</v>
      </c>
      <c r="E158" s="696">
        <v>14541</v>
      </c>
      <c r="F158" s="1468">
        <f>SUM(F159:F162)</f>
        <v>18935</v>
      </c>
      <c r="G158" s="1468">
        <f>SUM(G159:G162)</f>
        <v>24288</v>
      </c>
      <c r="H158" s="1468">
        <f>SUM(H159:H162)</f>
        <v>30952</v>
      </c>
      <c r="I158" s="1468">
        <f>SUM(I159:I162)</f>
        <v>35381</v>
      </c>
      <c r="J158" s="696">
        <f>SUM(J159:J162)</f>
        <v>40570.699999999997</v>
      </c>
      <c r="K158" s="696">
        <f t="shared" ref="K158:L158" si="327">SUM(K159:K162)</f>
        <v>47327.529000000002</v>
      </c>
      <c r="L158" s="696">
        <f t="shared" si="327"/>
        <v>55685.149716</v>
      </c>
      <c r="M158" s="696"/>
      <c r="N158" s="696">
        <f>SUM(N159:N162)</f>
        <v>30952</v>
      </c>
      <c r="O158" s="696"/>
      <c r="S158" s="696"/>
      <c r="T158" s="1819" t="s">
        <v>893</v>
      </c>
      <c r="U158" s="223"/>
      <c r="V158" s="1927">
        <f>SUM(V159:V162)</f>
        <v>11227</v>
      </c>
      <c r="W158" s="2044" t="e">
        <f>V158/#REF!</f>
        <v>#REF!</v>
      </c>
      <c r="X158" s="2055"/>
      <c r="Y158" s="2051"/>
      <c r="Z158" s="953"/>
      <c r="AA158" s="743"/>
      <c r="AB158" s="696"/>
      <c r="AC158" s="696"/>
      <c r="AD158" s="696"/>
      <c r="AE158" s="696">
        <f>SUM(AE159:AE162)</f>
        <v>2891</v>
      </c>
      <c r="AF158" s="696">
        <f t="shared" ref="AF158:AR158" si="328">SUM(AF159:AF162)</f>
        <v>2919</v>
      </c>
      <c r="AG158" s="696">
        <f t="shared" si="328"/>
        <v>2969</v>
      </c>
      <c r="AH158" s="745">
        <f t="shared" si="328"/>
        <v>3222</v>
      </c>
      <c r="AI158" s="696">
        <f t="shared" si="328"/>
        <v>3169.3980000000001</v>
      </c>
      <c r="AJ158" s="696">
        <f t="shared" si="328"/>
        <v>3513.6019999999999</v>
      </c>
      <c r="AK158" s="696">
        <f t="shared" si="328"/>
        <v>3732</v>
      </c>
      <c r="AL158" s="745">
        <f t="shared" si="328"/>
        <v>4126</v>
      </c>
      <c r="AM158" s="696">
        <f t="shared" si="328"/>
        <v>4111</v>
      </c>
      <c r="AN158" s="696">
        <f t="shared" si="328"/>
        <v>4511</v>
      </c>
      <c r="AO158" s="696">
        <f t="shared" si="328"/>
        <v>4857</v>
      </c>
      <c r="AP158" s="745">
        <f t="shared" si="328"/>
        <v>5456</v>
      </c>
      <c r="AQ158" s="696">
        <f t="shared" si="328"/>
        <v>5435</v>
      </c>
      <c r="AR158" s="1468">
        <f t="shared" si="328"/>
        <v>5792</v>
      </c>
      <c r="AS158" s="696">
        <f>17626-AR158-AQ158</f>
        <v>6399</v>
      </c>
      <c r="AT158" s="745">
        <f t="shared" ref="AT158:AZ158" si="329">SUM(AT159:AT162)</f>
        <v>6661</v>
      </c>
      <c r="AU158" s="696">
        <f t="shared" si="329"/>
        <v>7000</v>
      </c>
      <c r="AV158" s="696">
        <f t="shared" si="329"/>
        <v>7573</v>
      </c>
      <c r="AW158" s="696">
        <f t="shared" si="329"/>
        <v>8095</v>
      </c>
      <c r="AX158" s="745">
        <f t="shared" si="329"/>
        <v>8284</v>
      </c>
      <c r="AY158" s="745">
        <f t="shared" si="329"/>
        <v>8186</v>
      </c>
      <c r="AZ158" s="1469">
        <f t="shared" si="329"/>
        <v>8483</v>
      </c>
      <c r="BA158" s="1468">
        <f>25574-AZ158-AY158</f>
        <v>8905</v>
      </c>
      <c r="BB158" s="1468">
        <f>35382-AY158-AZ158-BA158</f>
        <v>9808</v>
      </c>
      <c r="BC158" s="9">
        <v>9034</v>
      </c>
      <c r="BD158" s="3296">
        <f>BB158+BA158+AZ158+AY158</f>
        <v>35382</v>
      </c>
      <c r="BE158" s="1470" t="s">
        <v>1676</v>
      </c>
      <c r="BF158" s="1470"/>
      <c r="BG158" s="1470"/>
      <c r="BH158" s="1470"/>
      <c r="BI158" s="1470" t="s">
        <v>2008</v>
      </c>
      <c r="BJ158" s="1470"/>
      <c r="BK158" s="3297" t="s">
        <v>1195</v>
      </c>
      <c r="BL158" s="3296"/>
      <c r="BM158" s="2000"/>
      <c r="BN158" s="696"/>
      <c r="BO158" s="696"/>
      <c r="BP158" s="696"/>
      <c r="BQ158" s="696"/>
      <c r="BR158" s="696"/>
      <c r="BS158" s="2000"/>
      <c r="BT158" s="2000"/>
      <c r="BU158" s="399"/>
      <c r="BV158" s="399"/>
      <c r="BW158" s="1615"/>
      <c r="BX158" s="399"/>
      <c r="BZ158" s="1615"/>
      <c r="CD158" s="1883">
        <f t="shared" si="318"/>
        <v>5810</v>
      </c>
      <c r="CE158" s="1615">
        <f t="shared" si="321"/>
        <v>6683</v>
      </c>
      <c r="CF158" s="1615">
        <f t="shared" si="322"/>
        <v>8622</v>
      </c>
      <c r="CG158" s="1615">
        <f t="shared" si="323"/>
        <v>11227</v>
      </c>
      <c r="CH158" s="1615"/>
      <c r="CI158" s="2085">
        <f t="shared" si="324"/>
        <v>0.30213407562050576</v>
      </c>
    </row>
    <row r="159" spans="1:87">
      <c r="A159" s="1739" t="s">
        <v>888</v>
      </c>
      <c r="B159" s="1488">
        <v>4645.59</v>
      </c>
      <c r="C159" s="1488">
        <v>5496.96</v>
      </c>
      <c r="D159" s="696">
        <v>6011</v>
      </c>
      <c r="E159" s="696">
        <v>6332</v>
      </c>
      <c r="F159" s="696">
        <v>7342</v>
      </c>
      <c r="G159" s="1468">
        <v>9324</v>
      </c>
      <c r="H159" s="1468">
        <v>12325</v>
      </c>
      <c r="I159" s="1468">
        <v>15452</v>
      </c>
      <c r="J159" s="696">
        <f>I159*(1+J170)</f>
        <v>18851.439999999999</v>
      </c>
      <c r="K159" s="696">
        <f t="shared" ref="K159:L162" si="330">J159*(1+K170)</f>
        <v>23187.271199999999</v>
      </c>
      <c r="L159" s="696">
        <f t="shared" si="330"/>
        <v>28520.343575999999</v>
      </c>
      <c r="M159" s="696"/>
      <c r="N159" s="696">
        <f>H159*(1+N170)</f>
        <v>12325</v>
      </c>
      <c r="O159" s="696">
        <f>G159*(1+O170)</f>
        <v>9324</v>
      </c>
      <c r="S159" s="696"/>
      <c r="T159" s="306" t="s">
        <v>892</v>
      </c>
      <c r="U159" s="223"/>
      <c r="V159" s="1927">
        <v>4223</v>
      </c>
      <c r="W159" s="1126" t="e">
        <f>V159/#REF!</f>
        <v>#REF!</v>
      </c>
      <c r="X159" s="2056"/>
      <c r="Y159" s="2051"/>
      <c r="Z159" s="399"/>
      <c r="AA159" s="743"/>
      <c r="AB159" s="696"/>
      <c r="AC159" s="696"/>
      <c r="AD159" s="745"/>
      <c r="AE159" s="743">
        <v>1518</v>
      </c>
      <c r="AF159" s="696">
        <v>1514</v>
      </c>
      <c r="AG159" s="696">
        <v>1493</v>
      </c>
      <c r="AH159" s="745">
        <v>1486</v>
      </c>
      <c r="AI159" s="696">
        <v>1553.0050200000001</v>
      </c>
      <c r="AJ159" s="696">
        <f>3114-AI159</f>
        <v>1560.9949799999999</v>
      </c>
      <c r="AK159" s="696">
        <v>1634</v>
      </c>
      <c r="AL159" s="745">
        <f>6332-SUM(AI159:AK159)</f>
        <v>1584</v>
      </c>
      <c r="AM159" s="696">
        <v>1692</v>
      </c>
      <c r="AN159" s="696">
        <f>3375-AM159</f>
        <v>1683</v>
      </c>
      <c r="AO159" s="696">
        <f>5320-SUM(AM159:AN159)</f>
        <v>1945</v>
      </c>
      <c r="AP159" s="745">
        <f>7342-SUM(AM159:AO159)</f>
        <v>2022</v>
      </c>
      <c r="AQ159" s="696">
        <v>2019</v>
      </c>
      <c r="AR159" s="1468">
        <f>4223-AQ159</f>
        <v>2204</v>
      </c>
      <c r="AS159" s="696">
        <f>6835-AR159-AQ159</f>
        <v>2612</v>
      </c>
      <c r="AT159" s="745">
        <f>9324-AS159-AR159-AQ159</f>
        <v>2489</v>
      </c>
      <c r="AU159" s="696">
        <v>2695</v>
      </c>
      <c r="AV159" s="696">
        <f>5712-AU159</f>
        <v>3017</v>
      </c>
      <c r="AW159" s="696">
        <f>8917-AV159-AU159</f>
        <v>3205</v>
      </c>
      <c r="AX159" s="745">
        <f>12325-AW159-AV159-AU159</f>
        <v>3408</v>
      </c>
      <c r="AY159" s="745">
        <v>3514</v>
      </c>
      <c r="AZ159" s="1469">
        <f>BI159-AY159</f>
        <v>3806</v>
      </c>
      <c r="BA159" s="1468">
        <f>11264-AZ159-AY159</f>
        <v>3944</v>
      </c>
      <c r="BB159" s="1468">
        <f>15452-AY159-AZ159-BA159</f>
        <v>4188</v>
      </c>
      <c r="BC159" s="1468">
        <v>4176</v>
      </c>
      <c r="BD159" s="3296">
        <f t="shared" ref="BD159:BD163" si="331">BB159+BA159+AZ159+AY159</f>
        <v>15452</v>
      </c>
      <c r="BE159" s="1468">
        <f>AU159+AV159</f>
        <v>5712</v>
      </c>
      <c r="BF159" s="1468"/>
      <c r="BG159" s="1468"/>
      <c r="BH159" s="1468"/>
      <c r="BI159" s="1468">
        <v>7320</v>
      </c>
      <c r="BJ159" s="1468"/>
      <c r="BK159" s="1751">
        <f>BI159/BE159-1</f>
        <v>0.28151260504201692</v>
      </c>
      <c r="BL159" s="1468"/>
      <c r="BM159" s="696"/>
      <c r="BN159" s="696"/>
      <c r="BO159" s="696"/>
      <c r="BP159" s="696"/>
      <c r="BQ159" s="696"/>
      <c r="BR159" s="696"/>
      <c r="BS159" s="696"/>
      <c r="BT159" s="696"/>
      <c r="BU159" s="399"/>
      <c r="BV159" s="399"/>
      <c r="BW159" s="1615"/>
      <c r="BX159" s="399"/>
      <c r="BZ159" s="1615"/>
      <c r="CD159" s="1883">
        <f t="shared" si="318"/>
        <v>3032</v>
      </c>
      <c r="CE159" s="1615">
        <f t="shared" si="321"/>
        <v>3114</v>
      </c>
      <c r="CF159" s="1615">
        <f t="shared" si="322"/>
        <v>3375</v>
      </c>
      <c r="CG159" s="1615">
        <f t="shared" si="323"/>
        <v>4223</v>
      </c>
      <c r="CH159" s="1615"/>
      <c r="CI159" s="2085">
        <f t="shared" si="324"/>
        <v>0.25125925925925929</v>
      </c>
    </row>
    <row r="160" spans="1:87" s="826" customFormat="1">
      <c r="A160" s="39" t="s">
        <v>889</v>
      </c>
      <c r="B160" s="1488">
        <v>1821.8000000000002</v>
      </c>
      <c r="C160" s="1488">
        <v>2633.96</v>
      </c>
      <c r="D160" s="696">
        <v>2878</v>
      </c>
      <c r="E160" s="696">
        <v>4369</v>
      </c>
      <c r="F160" s="696">
        <v>6550</v>
      </c>
      <c r="G160" s="1468">
        <v>7115</v>
      </c>
      <c r="H160" s="1468">
        <v>7751</v>
      </c>
      <c r="I160" s="1468">
        <v>8163</v>
      </c>
      <c r="J160" s="696">
        <f>I160*(1+J171)</f>
        <v>8734.41</v>
      </c>
      <c r="K160" s="696">
        <f t="shared" si="330"/>
        <v>9607.8510000000006</v>
      </c>
      <c r="L160" s="696">
        <f t="shared" si="330"/>
        <v>10568.636100000002</v>
      </c>
      <c r="M160" s="696"/>
      <c r="N160" s="696">
        <f>H160*(1+N171)</f>
        <v>7751</v>
      </c>
      <c r="O160" s="696">
        <f>G160*(1+O171)</f>
        <v>7115</v>
      </c>
      <c r="S160" s="696"/>
      <c r="T160" s="306" t="s">
        <v>889</v>
      </c>
      <c r="U160" s="1923"/>
      <c r="V160" s="1927">
        <v>3239</v>
      </c>
      <c r="W160" s="1126" t="e">
        <f>V160/#REF!</f>
        <v>#REF!</v>
      </c>
      <c r="X160" s="2056"/>
      <c r="Y160" s="2051"/>
      <c r="Z160" s="822"/>
      <c r="AA160" s="823"/>
      <c r="AB160" s="824"/>
      <c r="AC160" s="824"/>
      <c r="AD160" s="825"/>
      <c r="AE160" s="743">
        <v>675</v>
      </c>
      <c r="AF160" s="696">
        <v>668</v>
      </c>
      <c r="AG160" s="696">
        <v>727</v>
      </c>
      <c r="AH160" s="745">
        <v>808</v>
      </c>
      <c r="AI160" s="696">
        <v>855.73746000000006</v>
      </c>
      <c r="AJ160" s="696">
        <f>1894-AI160</f>
        <v>1038.2625399999999</v>
      </c>
      <c r="AK160" s="696">
        <v>1191</v>
      </c>
      <c r="AL160" s="696">
        <f>4369-SUM(AI160:AK160)</f>
        <v>1284</v>
      </c>
      <c r="AM160" s="743">
        <v>1363</v>
      </c>
      <c r="AN160" s="696">
        <f>2811-AM160</f>
        <v>1448</v>
      </c>
      <c r="AO160" s="696">
        <f>4392-SUM(AM160:AN160)</f>
        <v>1581</v>
      </c>
      <c r="AP160" s="745">
        <f>6550-SUM(AM160:AO160)</f>
        <v>2158</v>
      </c>
      <c r="AQ160" s="696">
        <v>1606</v>
      </c>
      <c r="AR160" s="1468">
        <f>3239-AQ160</f>
        <v>1633</v>
      </c>
      <c r="AS160" s="696">
        <f>5015-AR160-AQ160</f>
        <v>1776</v>
      </c>
      <c r="AT160" s="745">
        <f>7115-AS160-AR160-AQ160</f>
        <v>2100</v>
      </c>
      <c r="AU160" s="696">
        <v>1858</v>
      </c>
      <c r="AV160" s="696">
        <f>3719-AU160</f>
        <v>1861</v>
      </c>
      <c r="AW160" s="696">
        <f>5663-AV160-AU160</f>
        <v>1944</v>
      </c>
      <c r="AX160" s="745">
        <f>7751-AW160-AV160-AU160</f>
        <v>2088</v>
      </c>
      <c r="AY160" s="745">
        <v>2002</v>
      </c>
      <c r="AZ160" s="1469">
        <f>BI160-AY160</f>
        <v>2023</v>
      </c>
      <c r="BA160" s="1468">
        <f>6087-AZ160-AY160</f>
        <v>2062</v>
      </c>
      <c r="BB160" s="1468">
        <f>8163-BA160-AZ160-AY160</f>
        <v>2076</v>
      </c>
      <c r="BC160" s="1468">
        <v>2078</v>
      </c>
      <c r="BD160" s="3296">
        <f t="shared" si="331"/>
        <v>8163</v>
      </c>
      <c r="BE160" s="1468">
        <f t="shared" ref="BE160:BE162" si="332">AU160+AV160</f>
        <v>3719</v>
      </c>
      <c r="BF160" s="1468"/>
      <c r="BG160" s="1468"/>
      <c r="BH160" s="1468"/>
      <c r="BI160" s="1468">
        <v>4025</v>
      </c>
      <c r="BJ160" s="1468"/>
      <c r="BK160" s="1751">
        <f>BI160/BE160-1</f>
        <v>8.2280182844850724E-2</v>
      </c>
      <c r="BL160" s="1468"/>
      <c r="BM160" s="696"/>
      <c r="BN160" s="696"/>
      <c r="BO160" s="696"/>
      <c r="BP160" s="696"/>
      <c r="BQ160" s="696"/>
      <c r="BR160" s="696"/>
      <c r="BS160" s="696"/>
      <c r="BT160" s="696"/>
      <c r="BU160" s="822"/>
      <c r="BV160" s="822"/>
      <c r="BW160" s="1615"/>
      <c r="BX160" s="822"/>
      <c r="BZ160" s="1615"/>
      <c r="CD160" s="1883">
        <f t="shared" si="318"/>
        <v>1343</v>
      </c>
      <c r="CE160" s="1615">
        <f t="shared" si="321"/>
        <v>1894</v>
      </c>
      <c r="CF160" s="1615">
        <f t="shared" si="322"/>
        <v>2811</v>
      </c>
      <c r="CG160" s="1615">
        <f t="shared" si="323"/>
        <v>3239</v>
      </c>
      <c r="CH160" s="1615"/>
      <c r="CI160" s="2085">
        <f t="shared" si="324"/>
        <v>0.15225898256848103</v>
      </c>
    </row>
    <row r="161" spans="1:87">
      <c r="A161" s="39" t="s">
        <v>890</v>
      </c>
      <c r="B161" s="1488">
        <v>819.81</v>
      </c>
      <c r="C161" s="1488">
        <v>1030.68</v>
      </c>
      <c r="D161" s="696">
        <v>993</v>
      </c>
      <c r="E161" s="696">
        <v>1144</v>
      </c>
      <c r="F161" s="696">
        <v>1366</v>
      </c>
      <c r="G161" s="1468">
        <v>1736</v>
      </c>
      <c r="H161" s="1468">
        <v>2636</v>
      </c>
      <c r="I161" s="1468">
        <v>3593</v>
      </c>
      <c r="J161" s="696">
        <f>I161*(1+J172)</f>
        <v>4239.74</v>
      </c>
      <c r="K161" s="696">
        <f t="shared" si="330"/>
        <v>5087.6879999999992</v>
      </c>
      <c r="L161" s="696">
        <f t="shared" si="330"/>
        <v>6206.9793599999985</v>
      </c>
      <c r="M161" s="696"/>
      <c r="N161" s="696">
        <f>H161*(1+N172)</f>
        <v>2636</v>
      </c>
      <c r="O161" s="696">
        <f>G161*(1+O172)</f>
        <v>1736</v>
      </c>
      <c r="S161" s="696"/>
      <c r="T161" s="306" t="s">
        <v>890</v>
      </c>
      <c r="U161" s="223"/>
      <c r="V161" s="1927">
        <v>809</v>
      </c>
      <c r="W161" s="1126" t="e">
        <f>V161/#REF!</f>
        <v>#REF!</v>
      </c>
      <c r="X161" s="2055"/>
      <c r="Y161" s="2051"/>
      <c r="Z161" s="399"/>
      <c r="AA161" s="743"/>
      <c r="AB161" s="696"/>
      <c r="AC161" s="696"/>
      <c r="AD161" s="745"/>
      <c r="AE161" s="743">
        <v>248</v>
      </c>
      <c r="AF161" s="696">
        <v>259</v>
      </c>
      <c r="AG161" s="696">
        <v>227</v>
      </c>
      <c r="AH161" s="745">
        <v>259</v>
      </c>
      <c r="AI161" s="743">
        <v>253.55184</v>
      </c>
      <c r="AJ161" s="696">
        <f>537-AI161</f>
        <v>283.44816000000003</v>
      </c>
      <c r="AK161" s="696">
        <v>283</v>
      </c>
      <c r="AL161" s="696">
        <f>1144-SUM(AI161:AK161)</f>
        <v>324</v>
      </c>
      <c r="AM161" s="743">
        <v>325</v>
      </c>
      <c r="AN161" s="696">
        <f>666-AM161</f>
        <v>341</v>
      </c>
      <c r="AO161" s="696">
        <f>1012-SUM(AM161:AN161)</f>
        <v>346</v>
      </c>
      <c r="AP161" s="745">
        <f>1366-SUM(AM161:AO161)</f>
        <v>354</v>
      </c>
      <c r="AQ161" s="696">
        <v>384</v>
      </c>
      <c r="AR161" s="1468">
        <f>809-AQ161</f>
        <v>425</v>
      </c>
      <c r="AS161" s="696">
        <f>1260-AR161-AQ161</f>
        <v>451</v>
      </c>
      <c r="AT161" s="745">
        <f>1736-AS161-AR161-AQ161</f>
        <v>476</v>
      </c>
      <c r="AU161" s="696">
        <v>552</v>
      </c>
      <c r="AV161" s="696">
        <f>1244-AU161</f>
        <v>692</v>
      </c>
      <c r="AW161" s="696">
        <f>1934-AU161-AV161</f>
        <v>690</v>
      </c>
      <c r="AX161" s="745">
        <f>2636-AW161-AV161-AU161</f>
        <v>702</v>
      </c>
      <c r="AY161" s="745">
        <v>688</v>
      </c>
      <c r="AZ161" s="1469">
        <f>BI161-AY161</f>
        <v>870</v>
      </c>
      <c r="BA161" s="1468">
        <f>2528-AZ161-AY161</f>
        <v>970</v>
      </c>
      <c r="BB161" s="1468">
        <f>3593-BA161-AZ161-AY161</f>
        <v>1065</v>
      </c>
      <c r="BC161" s="1468">
        <v>994</v>
      </c>
      <c r="BD161" s="3296">
        <f t="shared" si="331"/>
        <v>3593</v>
      </c>
      <c r="BE161" s="1468">
        <f t="shared" si="332"/>
        <v>1244</v>
      </c>
      <c r="BF161" s="1468"/>
      <c r="BG161" s="1468"/>
      <c r="BH161" s="1468"/>
      <c r="BI161" s="1468">
        <v>1558</v>
      </c>
      <c r="BJ161" s="1468"/>
      <c r="BK161" s="1751">
        <f t="shared" ref="BK161:BK162" si="333">BI161/BE161-1</f>
        <v>0.252411575562701</v>
      </c>
      <c r="BL161" s="1468"/>
      <c r="BM161" s="696"/>
      <c r="BN161" s="696"/>
      <c r="BO161" s="696"/>
      <c r="BP161" s="696"/>
      <c r="BQ161" s="696"/>
      <c r="BR161" s="696"/>
      <c r="BS161" s="696"/>
      <c r="BT161" s="696"/>
      <c r="BU161" s="399"/>
      <c r="BV161" s="399"/>
      <c r="BW161" s="1615"/>
      <c r="BX161" s="399"/>
      <c r="BZ161" s="1615"/>
      <c r="CD161" s="1883">
        <f t="shared" si="318"/>
        <v>507</v>
      </c>
      <c r="CE161" s="1615">
        <f t="shared" si="321"/>
        <v>537</v>
      </c>
      <c r="CF161" s="1615">
        <f t="shared" si="322"/>
        <v>666</v>
      </c>
      <c r="CG161" s="1615">
        <f t="shared" si="323"/>
        <v>809</v>
      </c>
      <c r="CH161" s="1615"/>
      <c r="CI161" s="2085">
        <f t="shared" si="324"/>
        <v>0.21471471471471482</v>
      </c>
    </row>
    <row r="162" spans="1:87">
      <c r="A162" s="1739" t="s">
        <v>1016</v>
      </c>
      <c r="B162" s="1488">
        <v>1184.17</v>
      </c>
      <c r="C162" s="1488">
        <v>1717.8</v>
      </c>
      <c r="D162" s="696">
        <v>2119</v>
      </c>
      <c r="E162" s="696">
        <v>2696</v>
      </c>
      <c r="F162" s="696">
        <v>3677</v>
      </c>
      <c r="G162" s="1468">
        <v>6113</v>
      </c>
      <c r="H162" s="1468">
        <v>8240</v>
      </c>
      <c r="I162" s="1468">
        <v>8173</v>
      </c>
      <c r="J162" s="696">
        <f>I162*(1+J173)</f>
        <v>8745.11</v>
      </c>
      <c r="K162" s="696">
        <f t="shared" si="330"/>
        <v>9444.7188000000006</v>
      </c>
      <c r="L162" s="696">
        <f t="shared" si="330"/>
        <v>10389.190680000002</v>
      </c>
      <c r="M162" s="696"/>
      <c r="N162" s="696">
        <f>H162*(1+N173)</f>
        <v>8240</v>
      </c>
      <c r="O162" s="696">
        <f>G162*(1+O173)</f>
        <v>6113</v>
      </c>
      <c r="S162" s="696"/>
      <c r="T162" s="306" t="s">
        <v>891</v>
      </c>
      <c r="U162" s="223"/>
      <c r="V162" s="1927">
        <v>2956</v>
      </c>
      <c r="W162" s="1126" t="e">
        <f>V162/#REF!</f>
        <v>#REF!</v>
      </c>
      <c r="X162" s="2055"/>
      <c r="Y162" s="2051"/>
      <c r="Z162" s="399"/>
      <c r="AA162" s="743"/>
      <c r="AB162" s="696"/>
      <c r="AC162" s="696"/>
      <c r="AD162" s="745"/>
      <c r="AE162" s="743">
        <v>450</v>
      </c>
      <c r="AF162" s="696">
        <v>478</v>
      </c>
      <c r="AG162" s="696">
        <v>522</v>
      </c>
      <c r="AH162" s="745">
        <v>669</v>
      </c>
      <c r="AI162" s="743">
        <v>507.10367999999994</v>
      </c>
      <c r="AJ162" s="696">
        <f>1138-AI162</f>
        <v>630.89632000000006</v>
      </c>
      <c r="AK162" s="696">
        <v>624</v>
      </c>
      <c r="AL162" s="696">
        <f>2696-SUM(AI162:AK162)</f>
        <v>934</v>
      </c>
      <c r="AM162" s="743">
        <v>731</v>
      </c>
      <c r="AN162" s="696">
        <f>1770-AM162</f>
        <v>1039</v>
      </c>
      <c r="AO162" s="696">
        <f>2755-SUM(AM162:AN162)</f>
        <v>985</v>
      </c>
      <c r="AP162" s="745">
        <f>3677-SUM(AM162:AO162)</f>
        <v>922</v>
      </c>
      <c r="AQ162" s="696">
        <v>1426</v>
      </c>
      <c r="AR162" s="1468">
        <f>2956-AQ162</f>
        <v>1530</v>
      </c>
      <c r="AS162" s="696">
        <f>4517-AR162-AQ162</f>
        <v>1561</v>
      </c>
      <c r="AT162" s="745">
        <f>6113-AS162-AR162-AQ162</f>
        <v>1596</v>
      </c>
      <c r="AU162" s="696">
        <v>1895</v>
      </c>
      <c r="AV162" s="696">
        <f>3898-AU162</f>
        <v>2003</v>
      </c>
      <c r="AW162" s="696">
        <f>6154-AV162-AU162</f>
        <v>2256</v>
      </c>
      <c r="AX162" s="745">
        <f>8240-AW162-AV162-AU162</f>
        <v>2086</v>
      </c>
      <c r="AY162" s="745">
        <v>1982</v>
      </c>
      <c r="AZ162" s="1469">
        <f>BI162-AY162</f>
        <v>1784</v>
      </c>
      <c r="BA162" s="1468">
        <f>5694-AZ162-AY162</f>
        <v>1928</v>
      </c>
      <c r="BB162" s="1468">
        <f>8173-BA162-AZ162-AY162</f>
        <v>2479</v>
      </c>
      <c r="BC162" s="1468">
        <v>1787</v>
      </c>
      <c r="BD162" s="3296">
        <f t="shared" si="331"/>
        <v>8173</v>
      </c>
      <c r="BE162" s="1468">
        <f t="shared" si="332"/>
        <v>3898</v>
      </c>
      <c r="BF162" s="1468"/>
      <c r="BG162" s="1468"/>
      <c r="BH162" s="1468"/>
      <c r="BI162" s="1468">
        <v>3766</v>
      </c>
      <c r="BJ162" s="1468"/>
      <c r="BK162" s="1751">
        <f t="shared" si="333"/>
        <v>-3.3863519753719817E-2</v>
      </c>
      <c r="BL162" s="1468"/>
      <c r="BM162" s="696"/>
      <c r="BN162" s="696"/>
      <c r="BO162" s="696"/>
      <c r="BP162" s="696"/>
      <c r="BQ162" s="696"/>
      <c r="BR162" s="696"/>
      <c r="BS162" s="696"/>
      <c r="BT162" s="696"/>
      <c r="BU162" s="399"/>
      <c r="BV162" s="399"/>
      <c r="BW162" s="1615"/>
      <c r="BX162" s="399"/>
      <c r="BZ162" s="1615"/>
      <c r="CD162" s="1883">
        <f t="shared" si="318"/>
        <v>928</v>
      </c>
      <c r="CE162" s="1615">
        <f t="shared" si="321"/>
        <v>1138</v>
      </c>
      <c r="CF162" s="1615">
        <f t="shared" si="322"/>
        <v>1770</v>
      </c>
      <c r="CG162" s="1615">
        <f t="shared" si="323"/>
        <v>2956</v>
      </c>
      <c r="CH162" s="1615"/>
      <c r="CI162" s="2085">
        <f t="shared" si="324"/>
        <v>0.67005649717514126</v>
      </c>
    </row>
    <row r="163" spans="1:87">
      <c r="A163" s="790" t="s">
        <v>146</v>
      </c>
      <c r="B163" s="1488">
        <v>637.63000000000011</v>
      </c>
      <c r="C163" s="1488">
        <v>572.6</v>
      </c>
      <c r="D163" s="696">
        <v>0</v>
      </c>
      <c r="E163" s="696">
        <v>0</v>
      </c>
      <c r="F163" s="696">
        <v>0</v>
      </c>
      <c r="G163" s="1468">
        <f t="shared" ref="G163:H163" ca="1" si="334">G$3*G185</f>
        <v>0</v>
      </c>
      <c r="H163" s="1468">
        <f t="shared" si="334"/>
        <v>0</v>
      </c>
      <c r="I163" s="1468">
        <f t="shared" ref="I163" si="335">I$3*I185</f>
        <v>0</v>
      </c>
      <c r="J163" s="696"/>
      <c r="K163" s="696"/>
      <c r="L163" s="696"/>
      <c r="M163" s="696"/>
      <c r="N163" s="696"/>
      <c r="O163" s="696"/>
      <c r="S163" s="696"/>
      <c r="T163" s="1918" t="s">
        <v>146</v>
      </c>
      <c r="U163" s="1924"/>
      <c r="V163" s="1928"/>
      <c r="W163" s="2045"/>
      <c r="X163" s="2057"/>
      <c r="Y163" s="2052"/>
      <c r="Z163" s="399"/>
      <c r="AA163" s="743"/>
      <c r="AB163" s="696"/>
      <c r="AC163" s="696"/>
      <c r="AD163" s="696"/>
      <c r="AE163" s="743"/>
      <c r="AF163" s="696"/>
      <c r="AG163" s="696"/>
      <c r="AH163" s="745"/>
      <c r="AI163" s="743"/>
      <c r="AJ163" s="696"/>
      <c r="AK163" s="696"/>
      <c r="AL163" s="696"/>
      <c r="AM163" s="743"/>
      <c r="AN163" s="696"/>
      <c r="AO163" s="696"/>
      <c r="AP163" s="745"/>
      <c r="AQ163" s="696"/>
      <c r="AR163" s="696"/>
      <c r="AS163" s="696"/>
      <c r="AT163" s="745"/>
      <c r="AU163" s="696"/>
      <c r="AV163" s="696"/>
      <c r="AW163" s="696"/>
      <c r="AX163" s="745"/>
      <c r="AY163" s="745"/>
      <c r="AZ163" s="1469"/>
      <c r="BA163" s="1468"/>
      <c r="BB163" s="1468"/>
      <c r="BC163" s="1468"/>
      <c r="BD163" s="3296">
        <f t="shared" si="331"/>
        <v>0</v>
      </c>
      <c r="BE163" s="1468"/>
      <c r="BF163" s="1468"/>
      <c r="BG163" s="1468"/>
      <c r="BH163" s="1468"/>
      <c r="BI163" s="1468"/>
      <c r="BJ163" s="1468"/>
      <c r="BK163" s="1468"/>
      <c r="BL163" s="1468"/>
      <c r="BM163" s="696"/>
      <c r="BN163" s="696"/>
      <c r="BO163" s="696"/>
      <c r="BP163" s="696"/>
      <c r="BQ163" s="696"/>
      <c r="BR163" s="696"/>
      <c r="BS163" s="696"/>
      <c r="BT163" s="696"/>
      <c r="BU163" s="399"/>
      <c r="BV163" s="399"/>
      <c r="BW163" s="399"/>
      <c r="BX163" s="399"/>
      <c r="CD163" s="1883"/>
      <c r="CE163" s="1615"/>
      <c r="CF163" s="1615"/>
      <c r="CG163" s="1615"/>
      <c r="CH163" s="1615"/>
      <c r="CI163" s="2085"/>
    </row>
    <row r="164" spans="1:87">
      <c r="A164" s="790"/>
      <c r="B164" s="696"/>
      <c r="C164" s="696"/>
      <c r="D164" s="8">
        <f t="shared" ref="D164:I164" si="336">D160/D158</f>
        <v>0.2398133488875927</v>
      </c>
      <c r="E164" s="8">
        <f t="shared" si="336"/>
        <v>0.30046076610962108</v>
      </c>
      <c r="F164" s="8">
        <f t="shared" si="336"/>
        <v>0.34592025349881173</v>
      </c>
      <c r="G164" s="8">
        <f t="shared" si="336"/>
        <v>0.29294301712779974</v>
      </c>
      <c r="H164" s="8">
        <f t="shared" si="336"/>
        <v>0.25042000516929441</v>
      </c>
      <c r="I164" s="8">
        <f t="shared" si="336"/>
        <v>0.23071705152482971</v>
      </c>
      <c r="J164" s="696"/>
      <c r="K164" s="696"/>
      <c r="L164" s="696"/>
      <c r="M164" s="696"/>
      <c r="N164" s="696"/>
      <c r="O164" s="696"/>
      <c r="S164" s="696"/>
      <c r="T164" s="1761"/>
      <c r="U164" s="248"/>
      <c r="V164" s="1"/>
      <c r="W164" s="1"/>
      <c r="X164" s="696"/>
      <c r="Y164" s="2048"/>
      <c r="Z164" s="399"/>
      <c r="AA164" s="743"/>
      <c r="AB164" s="696"/>
      <c r="AC164" s="696"/>
      <c r="AD164" s="696"/>
      <c r="AE164" s="743"/>
      <c r="AF164" s="696"/>
      <c r="AG164" s="696"/>
      <c r="AH164" s="745"/>
      <c r="AI164" s="743"/>
      <c r="AJ164" s="696"/>
      <c r="AK164" s="696"/>
      <c r="AL164" s="696"/>
      <c r="AM164" s="743"/>
      <c r="AN164" s="696"/>
      <c r="AO164" s="696"/>
      <c r="AP164" s="745"/>
      <c r="AQ164" s="696"/>
      <c r="AR164" s="696"/>
      <c r="AS164" s="696"/>
      <c r="AT164" s="745"/>
      <c r="AU164" s="696"/>
      <c r="AV164" s="696"/>
      <c r="AW164" s="696"/>
      <c r="AX164" s="745"/>
      <c r="AY164" s="745"/>
      <c r="AZ164" s="1469"/>
      <c r="BA164" s="1468"/>
      <c r="BB164" s="1468"/>
      <c r="BC164" s="1468"/>
      <c r="BD164" s="1468"/>
      <c r="BE164" s="1468"/>
      <c r="BF164" s="1468"/>
      <c r="BG164" s="1468"/>
      <c r="BH164" s="1468"/>
      <c r="BI164" s="1468"/>
      <c r="BJ164" s="1468"/>
      <c r="BK164" s="1468"/>
      <c r="BL164" s="1468"/>
      <c r="BM164" s="696"/>
      <c r="BN164" s="696"/>
      <c r="BO164" s="696"/>
      <c r="BP164" s="696"/>
      <c r="BQ164" s="696"/>
      <c r="BR164" s="696"/>
      <c r="BS164" s="696"/>
      <c r="BT164" s="696"/>
      <c r="BU164" s="399"/>
      <c r="BV164" s="399"/>
      <c r="BW164" s="399"/>
      <c r="BX164" s="399"/>
      <c r="CD164" s="1883"/>
      <c r="CF164" s="1615"/>
    </row>
    <row r="165" spans="1:87">
      <c r="A165" s="733" t="s">
        <v>1054</v>
      </c>
      <c r="B165" s="1113"/>
      <c r="C165" s="1113"/>
      <c r="D165" s="1113"/>
      <c r="E165" s="1113"/>
      <c r="F165" s="1113"/>
      <c r="G165" s="1113"/>
      <c r="H165" s="1113"/>
      <c r="I165" s="1113"/>
      <c r="J165" s="1113"/>
      <c r="K165" s="1113"/>
      <c r="L165" s="1113"/>
      <c r="M165" s="1113"/>
      <c r="N165" s="1113"/>
      <c r="O165" s="1113"/>
      <c r="S165" s="696"/>
      <c r="T165" s="811"/>
      <c r="U165" s="248"/>
      <c r="V165" s="1"/>
      <c r="W165" s="1"/>
      <c r="X165" s="399"/>
      <c r="Y165" s="399"/>
      <c r="Z165" s="399"/>
      <c r="AA165" s="743"/>
      <c r="AB165" s="696"/>
      <c r="AC165" s="696"/>
      <c r="AD165" s="696"/>
      <c r="AE165" s="743"/>
      <c r="AF165" s="696"/>
      <c r="AG165" s="696"/>
      <c r="AH165" s="745"/>
      <c r="AI165" s="743"/>
      <c r="AJ165" s="696"/>
      <c r="AK165" s="696"/>
      <c r="AL165" s="696"/>
      <c r="AM165" s="743"/>
      <c r="AN165" s="696"/>
      <c r="AO165" s="696"/>
      <c r="AP165" s="745"/>
      <c r="AQ165" s="696"/>
      <c r="AR165" s="696"/>
      <c r="AS165" s="696"/>
      <c r="AT165" s="745"/>
      <c r="AU165" s="696"/>
      <c r="AV165" s="696"/>
      <c r="AW165" s="696"/>
      <c r="AX165" s="745"/>
      <c r="AY165" s="745"/>
      <c r="AZ165" s="1469"/>
      <c r="BA165" s="1468"/>
      <c r="BB165" s="1468"/>
      <c r="BC165" s="1468"/>
      <c r="BD165" s="1468"/>
      <c r="BE165" s="1468"/>
      <c r="BF165" s="1468"/>
      <c r="BG165" s="1468"/>
      <c r="BH165" s="1468"/>
      <c r="BI165" s="1468"/>
      <c r="BJ165" s="1468"/>
      <c r="BK165" s="1468"/>
      <c r="BL165" s="1468"/>
      <c r="BM165" s="696"/>
      <c r="BN165" s="696"/>
      <c r="BO165" s="696"/>
      <c r="BP165" s="696"/>
      <c r="BQ165" s="696"/>
      <c r="BR165" s="696"/>
      <c r="BS165" s="696"/>
      <c r="BT165" s="696"/>
      <c r="BU165" s="399"/>
      <c r="BV165" s="399"/>
      <c r="BW165" s="399"/>
      <c r="BX165" s="399"/>
      <c r="CD165" s="1883"/>
    </row>
    <row r="166" spans="1:87">
      <c r="A166" s="1475" t="s">
        <v>887</v>
      </c>
      <c r="B166" s="696"/>
      <c r="C166" s="8">
        <f t="shared" ref="C166:I173" si="337">C155/B155-1</f>
        <v>0.15317222510335338</v>
      </c>
      <c r="D166" s="8">
        <f t="shared" si="337"/>
        <v>9.6184703798993354E-2</v>
      </c>
      <c r="E166" s="8">
        <f t="shared" si="337"/>
        <v>0.18435067478898026</v>
      </c>
      <c r="F166" s="8">
        <f t="shared" si="337"/>
        <v>0.18745102867723995</v>
      </c>
      <c r="G166" s="8">
        <f t="shared" si="337"/>
        <v>0.12267625938500726</v>
      </c>
      <c r="H166" s="8">
        <f t="shared" si="337"/>
        <v>0.13308512521719629</v>
      </c>
      <c r="I166" s="8">
        <f t="shared" si="337"/>
        <v>8.8879831959118416E-2</v>
      </c>
      <c r="J166" s="8"/>
      <c r="K166" s="8"/>
      <c r="L166" s="8"/>
      <c r="M166" s="8"/>
      <c r="N166" s="8"/>
      <c r="O166" s="8"/>
      <c r="S166" s="8"/>
      <c r="X166" s="399"/>
      <c r="Y166" s="248"/>
      <c r="Z166" s="399"/>
      <c r="AA166" s="743"/>
      <c r="AB166" s="696"/>
      <c r="AC166" s="696"/>
      <c r="AD166" s="696"/>
      <c r="AE166" s="743"/>
      <c r="AF166" s="696"/>
      <c r="AG166" s="696"/>
      <c r="AH166" s="745"/>
      <c r="AI166" s="743"/>
      <c r="AJ166" s="696"/>
      <c r="AK166" s="696"/>
      <c r="AL166" s="696"/>
      <c r="AM166" s="743"/>
      <c r="AN166" s="696"/>
      <c r="AO166" s="696"/>
      <c r="AP166" s="745"/>
      <c r="AQ166" s="696"/>
      <c r="AR166" s="696"/>
      <c r="AS166" s="696"/>
      <c r="AT166" s="745"/>
      <c r="AU166" s="696"/>
      <c r="AV166" s="696"/>
      <c r="AW166" s="696"/>
      <c r="AX166" s="745"/>
      <c r="AY166" s="745"/>
      <c r="AZ166" s="1469"/>
      <c r="BA166" s="1468"/>
      <c r="BB166" s="1468"/>
      <c r="BC166" s="1468"/>
      <c r="BD166" s="1468"/>
      <c r="BE166" s="1468"/>
      <c r="BF166" s="1468"/>
      <c r="BG166" s="1468"/>
      <c r="BH166" s="1468"/>
      <c r="BI166" s="1468"/>
      <c r="BJ166" s="1468"/>
      <c r="BK166" s="1468"/>
      <c r="BL166" s="1468"/>
      <c r="BM166" s="696"/>
      <c r="BN166" s="696"/>
      <c r="BO166" s="696"/>
      <c r="BP166" s="696"/>
      <c r="BQ166" s="696"/>
      <c r="BR166" s="696"/>
      <c r="BS166" s="696"/>
      <c r="BT166" s="696"/>
      <c r="BU166" s="399"/>
      <c r="BV166" s="399"/>
      <c r="BW166" s="399"/>
      <c r="BX166" s="399"/>
      <c r="CD166" s="1883"/>
    </row>
    <row r="167" spans="1:87">
      <c r="A167" s="1476" t="s">
        <v>1051</v>
      </c>
      <c r="B167" s="696"/>
      <c r="C167" s="8">
        <f t="shared" si="337"/>
        <v>-4.5872392298503817E-3</v>
      </c>
      <c r="D167" s="8">
        <f t="shared" si="337"/>
        <v>-2.6479538059853147E-2</v>
      </c>
      <c r="E167" s="8">
        <f t="shared" si="337"/>
        <v>0.28957814393989856</v>
      </c>
      <c r="F167" s="8">
        <f t="shared" si="337"/>
        <v>0.10506778566817299</v>
      </c>
      <c r="G167" s="8">
        <f t="shared" si="337"/>
        <v>4.5867679275594986E-2</v>
      </c>
      <c r="H167" s="8">
        <f t="shared" si="337"/>
        <v>0.13907781198750579</v>
      </c>
      <c r="I167" s="8">
        <f t="shared" si="337"/>
        <v>0.11474806914306734</v>
      </c>
      <c r="J167" s="2448">
        <f ca="1">J156/I156-1</f>
        <v>0.12000000000000011</v>
      </c>
      <c r="K167" s="8"/>
      <c r="L167" s="8"/>
      <c r="M167" s="8"/>
      <c r="N167" s="8"/>
      <c r="O167" s="8"/>
      <c r="S167" s="8"/>
      <c r="T167" s="2139"/>
      <c r="Y167" s="57"/>
      <c r="Z167" s="399"/>
      <c r="AA167" s="743"/>
      <c r="AB167" s="696"/>
      <c r="AC167" s="696"/>
      <c r="AD167" s="696"/>
      <c r="AE167" s="743"/>
      <c r="AF167" s="696"/>
      <c r="AG167" s="696"/>
      <c r="AH167" s="745"/>
      <c r="AI167" s="743"/>
      <c r="AJ167" s="696"/>
      <c r="AK167" s="696"/>
      <c r="AL167" s="696"/>
      <c r="AM167" s="743"/>
      <c r="AN167" s="696"/>
      <c r="AO167" s="696"/>
      <c r="AP167" s="745"/>
      <c r="AQ167" s="8">
        <f t="shared" ref="AQ167" si="338">AQ156/AM156-1</f>
        <v>-8.0238863339968325E-2</v>
      </c>
      <c r="AR167" s="8">
        <f t="shared" ref="AI167:AR173" si="339">AR156/AN156-1</f>
        <v>0.30376361967352694</v>
      </c>
      <c r="AS167" s="8">
        <f t="shared" ref="AS167:AS168" si="340">AS156/AO156-1</f>
        <v>0.12246464177794647</v>
      </c>
      <c r="AT167" s="1114">
        <f t="shared" ref="AT167:AT168" si="341">AT156/AP156-1</f>
        <v>-5.7321888861157744E-2</v>
      </c>
      <c r="AU167" s="8">
        <f t="shared" ref="AU167:AU168" si="342">AU156/AQ156-1</f>
        <v>4.6197583511016438E-2</v>
      </c>
      <c r="AV167" s="8">
        <f t="shared" ref="AV167:AW168" si="343">AV156/AR156-1</f>
        <v>0.29591836734693877</v>
      </c>
      <c r="AW167" s="8">
        <f>AW156/AS156-1</f>
        <v>-6.4718162839248472E-2</v>
      </c>
      <c r="AX167" s="8">
        <f t="shared" ref="AX167:AX168" si="344">AX156/AT156-1</f>
        <v>0.26035242290748895</v>
      </c>
      <c r="AY167" s="8">
        <f t="shared" ref="AY167:AY168" si="345">AY156/AU156-1</f>
        <v>7.5407608695652106E-2</v>
      </c>
      <c r="AZ167" s="8">
        <f t="shared" ref="AZ167:AZ168" si="346">AZ156/AV156-1</f>
        <v>-7.6771653543307061E-2</v>
      </c>
      <c r="BA167" s="8">
        <f t="shared" ref="BA167:BB168" si="347">BA156/AW156-1</f>
        <v>6.9754464285714191E-2</v>
      </c>
      <c r="BB167" s="8">
        <f t="shared" si="347"/>
        <v>0.29919608528486541</v>
      </c>
      <c r="BC167" s="1468"/>
      <c r="BD167" s="1468"/>
      <c r="BE167" s="1468"/>
      <c r="BF167" s="1468"/>
      <c r="BG167" s="1468"/>
      <c r="BH167" s="1468"/>
      <c r="BI167" s="1468"/>
      <c r="BJ167" s="1468"/>
      <c r="BK167" s="1468"/>
      <c r="BL167" s="1468"/>
      <c r="BM167" s="696"/>
      <c r="BN167" s="696"/>
      <c r="BO167" s="696"/>
      <c r="BP167" s="696"/>
      <c r="BQ167" s="696"/>
      <c r="BR167" s="696"/>
      <c r="BS167" s="696"/>
      <c r="BT167" s="696"/>
      <c r="BU167" s="399"/>
      <c r="BV167" s="399"/>
      <c r="BW167" s="1485"/>
      <c r="BX167" s="399"/>
      <c r="CD167" s="1883"/>
    </row>
    <row r="168" spans="1:87">
      <c r="A168" s="1476" t="s">
        <v>1052</v>
      </c>
      <c r="B168" s="696"/>
      <c r="C168" s="8">
        <f t="shared" si="337"/>
        <v>0.23869052024200577</v>
      </c>
      <c r="D168" s="8">
        <f t="shared" si="337"/>
        <v>0.14961923214652506</v>
      </c>
      <c r="E168" s="8">
        <f t="shared" si="337"/>
        <v>0.14553347613343459</v>
      </c>
      <c r="F168" s="8">
        <f t="shared" si="337"/>
        <v>0.22166266350227959</v>
      </c>
      <c r="G168" s="8">
        <f t="shared" si="337"/>
        <v>0.15152868288509125</v>
      </c>
      <c r="H168" s="8">
        <f t="shared" si="337"/>
        <v>0.13104058281578101</v>
      </c>
      <c r="I168" s="8">
        <f t="shared" si="337"/>
        <v>0</v>
      </c>
      <c r="J168" s="8"/>
      <c r="K168" s="8"/>
      <c r="L168" s="8"/>
      <c r="M168" s="8"/>
      <c r="N168" s="8"/>
      <c r="O168" s="8"/>
      <c r="S168" s="8"/>
      <c r="Y168" s="57"/>
      <c r="Z168" s="399"/>
      <c r="AA168" s="743"/>
      <c r="AB168" s="696"/>
      <c r="AC168" s="696"/>
      <c r="AD168" s="696"/>
      <c r="AE168" s="743"/>
      <c r="AF168" s="696"/>
      <c r="AG168" s="696"/>
      <c r="AH168" s="745"/>
      <c r="AI168" s="743"/>
      <c r="AJ168" s="696"/>
      <c r="AK168" s="696"/>
      <c r="AL168" s="696"/>
      <c r="AM168" s="743"/>
      <c r="AN168" s="696"/>
      <c r="AO168" s="696"/>
      <c r="AP168" s="745"/>
      <c r="AQ168" s="8">
        <f t="shared" si="339"/>
        <v>0.18495672326187096</v>
      </c>
      <c r="AR168" s="8">
        <f t="shared" si="339"/>
        <v>0.1678812770048399</v>
      </c>
      <c r="AS168" s="8">
        <f t="shared" si="340"/>
        <v>0.18810774935887431</v>
      </c>
      <c r="AT168" s="1114">
        <f t="shared" si="341"/>
        <v>0.11212101872028324</v>
      </c>
      <c r="AU168" s="8">
        <f t="shared" si="342"/>
        <v>0.15995180246522267</v>
      </c>
      <c r="AV168" s="8">
        <f t="shared" si="343"/>
        <v>0.10196949693724755</v>
      </c>
      <c r="AW168" s="8">
        <f t="shared" si="343"/>
        <v>0.10446117128694699</v>
      </c>
      <c r="AX168" s="8">
        <f t="shared" si="344"/>
        <v>-1</v>
      </c>
      <c r="AY168" s="8">
        <f t="shared" si="345"/>
        <v>-1</v>
      </c>
      <c r="AZ168" s="8">
        <f t="shared" si="346"/>
        <v>-1</v>
      </c>
      <c r="BA168" s="8">
        <f t="shared" si="347"/>
        <v>-1</v>
      </c>
      <c r="BB168" s="8" t="e">
        <f t="shared" si="347"/>
        <v>#DIV/0!</v>
      </c>
      <c r="BC168" s="1468"/>
      <c r="BD168" s="1468"/>
      <c r="BE168" s="1468"/>
      <c r="BF168" s="1468"/>
      <c r="BG168" s="1468"/>
      <c r="BH168" s="1468"/>
      <c r="BI168" s="1468"/>
      <c r="BJ168" s="1468"/>
      <c r="BK168" s="1468"/>
      <c r="BL168" s="1468"/>
      <c r="BM168" s="696"/>
      <c r="BN168" s="696"/>
      <c r="BO168" s="696"/>
      <c r="BP168" s="696"/>
      <c r="BQ168" s="696"/>
      <c r="BR168" s="696"/>
      <c r="BS168" s="696"/>
      <c r="BT168" s="696"/>
      <c r="BU168" s="399"/>
      <c r="BV168" s="399"/>
      <c r="BW168" s="1485"/>
      <c r="BX168" s="399"/>
      <c r="CD168" s="1883"/>
    </row>
    <row r="169" spans="1:87">
      <c r="A169" s="735" t="s">
        <v>893</v>
      </c>
      <c r="B169" s="696"/>
      <c r="C169" s="8">
        <f t="shared" si="337"/>
        <v>0.25721813590954001</v>
      </c>
      <c r="D169" s="8">
        <f t="shared" si="337"/>
        <v>4.7939224589591323E-2</v>
      </c>
      <c r="E169" s="8">
        <f t="shared" si="337"/>
        <v>0.21164902924756279</v>
      </c>
      <c r="F169" s="8">
        <f t="shared" si="337"/>
        <v>0.30218004263805787</v>
      </c>
      <c r="G169" s="8">
        <f t="shared" si="337"/>
        <v>0.28270398732505941</v>
      </c>
      <c r="H169" s="8">
        <f t="shared" si="337"/>
        <v>0.2743741765480896</v>
      </c>
      <c r="I169" s="8">
        <f t="shared" si="337"/>
        <v>0.14309253036960445</v>
      </c>
      <c r="J169" s="2448">
        <f>J158/I158-1</f>
        <v>0.14668042169526019</v>
      </c>
      <c r="K169" s="2448">
        <f ca="1">K158/J12-1</f>
        <v>0.16651158062367233</v>
      </c>
      <c r="L169" s="2448">
        <f ca="1">L158/K12-1</f>
        <v>0.17659110654181842</v>
      </c>
      <c r="M169" s="8"/>
      <c r="N169" s="2448">
        <f>N158/H12-1</f>
        <v>-3.2307046166746289E-5</v>
      </c>
      <c r="O169" s="8"/>
      <c r="S169" s="8"/>
      <c r="T169" s="2443"/>
      <c r="Y169" s="57"/>
      <c r="Z169" s="399"/>
      <c r="AA169" s="743"/>
      <c r="AB169" s="696"/>
      <c r="AC169" s="696"/>
      <c r="AD169" s="696"/>
      <c r="AE169" s="743"/>
      <c r="AF169" s="696"/>
      <c r="AG169" s="696"/>
      <c r="AH169" s="745"/>
      <c r="AI169" s="743"/>
      <c r="AJ169" s="696"/>
      <c r="AK169" s="696"/>
      <c r="AL169" s="696"/>
      <c r="AM169" s="743"/>
      <c r="AN169" s="696"/>
      <c r="AO169" s="696"/>
      <c r="AP169" s="745"/>
      <c r="AQ169" s="696"/>
      <c r="AR169" s="696"/>
      <c r="AS169" s="696"/>
      <c r="AT169" s="745"/>
      <c r="AU169" s="696"/>
      <c r="AV169" s="696"/>
      <c r="AW169" s="696"/>
      <c r="AX169" s="745"/>
      <c r="AY169" s="745"/>
      <c r="AZ169" s="1469"/>
      <c r="BA169" s="1468"/>
      <c r="BB169" s="1468"/>
      <c r="BC169" s="1752">
        <f t="shared" ref="AZ169:BC173" si="348">BC158/AY158-1</f>
        <v>0.10359149767896403</v>
      </c>
      <c r="BD169" s="1468"/>
      <c r="BE169" s="1468"/>
      <c r="BF169" s="1468"/>
      <c r="BG169" s="1468"/>
      <c r="BH169" s="1468"/>
      <c r="BI169" s="1468"/>
      <c r="BJ169" s="1468"/>
      <c r="BK169" s="1468"/>
      <c r="BL169" s="1468"/>
      <c r="BM169" s="696"/>
      <c r="BN169" s="696"/>
      <c r="BO169" s="696"/>
      <c r="BP169" s="696"/>
      <c r="BQ169" s="696"/>
      <c r="BR169" s="696"/>
      <c r="BS169" s="696"/>
      <c r="BT169" s="696"/>
      <c r="BU169" s="399"/>
      <c r="BV169" s="399"/>
      <c r="BW169" s="1485"/>
      <c r="BX169" s="399"/>
      <c r="CD169" s="1883"/>
    </row>
    <row r="170" spans="1:87">
      <c r="A170" s="1739" t="s">
        <v>888</v>
      </c>
      <c r="B170" s="696"/>
      <c r="C170" s="8">
        <f t="shared" si="337"/>
        <v>0.18326412791486124</v>
      </c>
      <c r="D170" s="8">
        <f t="shared" si="337"/>
        <v>9.3513505646757533E-2</v>
      </c>
      <c r="E170" s="8">
        <f t="shared" si="337"/>
        <v>5.3402096157045387E-2</v>
      </c>
      <c r="F170" s="8">
        <f t="shared" si="337"/>
        <v>0.15950726468730259</v>
      </c>
      <c r="G170" s="8">
        <f t="shared" si="337"/>
        <v>0.26995369109234546</v>
      </c>
      <c r="H170" s="8">
        <f t="shared" si="337"/>
        <v>0.3218575718575718</v>
      </c>
      <c r="I170" s="8">
        <f t="shared" si="337"/>
        <v>0.25371196754563896</v>
      </c>
      <c r="J170" s="3455">
        <v>0.22</v>
      </c>
      <c r="K170" s="3455">
        <v>0.23</v>
      </c>
      <c r="L170" s="3455">
        <v>0.23</v>
      </c>
      <c r="M170" s="1484"/>
      <c r="N170" s="1484"/>
      <c r="O170" s="1484"/>
      <c r="S170" s="8"/>
      <c r="Y170" s="57"/>
      <c r="Z170" s="399"/>
      <c r="AA170" s="743"/>
      <c r="AB170" s="696"/>
      <c r="AC170" s="696"/>
      <c r="AD170" s="696"/>
      <c r="AE170" s="743"/>
      <c r="AF170" s="696"/>
      <c r="AG170" s="696"/>
      <c r="AH170" s="745"/>
      <c r="AI170" s="781">
        <f t="shared" si="339"/>
        <v>2.305996047430825E-2</v>
      </c>
      <c r="AJ170" s="8">
        <f t="shared" si="339"/>
        <v>3.1040277410832262E-2</v>
      </c>
      <c r="AK170" s="8">
        <f t="shared" ref="AK170:AN173" si="349">AK159/AG159-1</f>
        <v>9.4440723375753599E-2</v>
      </c>
      <c r="AL170" s="8">
        <f t="shared" si="349"/>
        <v>6.5948855989232946E-2</v>
      </c>
      <c r="AM170" s="781">
        <f t="shared" si="349"/>
        <v>8.9500663687487547E-2</v>
      </c>
      <c r="AN170" s="8">
        <f t="shared" si="349"/>
        <v>7.8158496063837513E-2</v>
      </c>
      <c r="AO170" s="8">
        <f t="shared" si="339"/>
        <v>0.19033047735618114</v>
      </c>
      <c r="AP170" s="1114">
        <f t="shared" si="339"/>
        <v>0.2765151515151516</v>
      </c>
      <c r="AQ170" s="8">
        <f t="shared" si="339"/>
        <v>0.19326241134751765</v>
      </c>
      <c r="AR170" s="8">
        <f t="shared" si="339"/>
        <v>0.30956625074272126</v>
      </c>
      <c r="AS170" s="8">
        <f t="shared" ref="AS170:AS173" si="350">AS159/AO159-1</f>
        <v>0.34293059125964009</v>
      </c>
      <c r="AT170" s="1114">
        <f t="shared" ref="AT170:AT173" si="351">AT159/AP159-1</f>
        <v>0.23095944609297736</v>
      </c>
      <c r="AU170" s="8">
        <f t="shared" ref="AU170:AU173" si="352">AU159/AQ159-1</f>
        <v>0.33481921743437337</v>
      </c>
      <c r="AV170" s="8">
        <f t="shared" ref="AV170:AW173" si="353">AV159/AR159-1</f>
        <v>0.36887477313974593</v>
      </c>
      <c r="AW170" s="8">
        <f t="shared" si="353"/>
        <v>0.22702909647779479</v>
      </c>
      <c r="AX170" s="1114">
        <f t="shared" ref="AX170:AX173" si="354">AX159/AT159-1</f>
        <v>0.36922458818802739</v>
      </c>
      <c r="AY170" s="1114">
        <f t="shared" ref="AY170:AY173" si="355">AY159/AU159-1</f>
        <v>0.30389610389610389</v>
      </c>
      <c r="AZ170" s="1752">
        <f t="shared" si="348"/>
        <v>0.26151806430228697</v>
      </c>
      <c r="BA170" s="1752">
        <f t="shared" si="348"/>
        <v>0.23057722308892359</v>
      </c>
      <c r="BB170" s="1752">
        <f t="shared" si="348"/>
        <v>0.22887323943661975</v>
      </c>
      <c r="BC170" s="1752">
        <f t="shared" si="348"/>
        <v>0.18838929994308473</v>
      </c>
      <c r="BD170" s="1751"/>
      <c r="BE170" s="1468"/>
      <c r="BF170" s="1468"/>
      <c r="BG170" s="1468"/>
      <c r="BH170" s="1468"/>
      <c r="BI170" s="1468"/>
      <c r="BJ170" s="1468"/>
      <c r="BK170" s="1468"/>
      <c r="BL170" s="1468"/>
      <c r="BM170" s="696"/>
      <c r="BN170" s="696"/>
      <c r="BO170" s="696"/>
      <c r="BP170" s="696"/>
      <c r="BQ170" s="696"/>
      <c r="BR170" s="696"/>
      <c r="BS170" s="696"/>
      <c r="BT170" s="696"/>
      <c r="BU170" s="1485"/>
      <c r="BV170" s="399"/>
      <c r="BW170" s="1485"/>
      <c r="BX170" s="399"/>
      <c r="CD170" s="1883"/>
    </row>
    <row r="171" spans="1:87">
      <c r="A171" s="39" t="s">
        <v>889</v>
      </c>
      <c r="B171" s="696"/>
      <c r="C171" s="8">
        <f t="shared" si="337"/>
        <v>0.44580085629597099</v>
      </c>
      <c r="D171" s="8">
        <f t="shared" si="337"/>
        <v>9.2651369041291343E-2</v>
      </c>
      <c r="E171" s="8">
        <f t="shared" si="337"/>
        <v>0.51806810284920091</v>
      </c>
      <c r="F171" s="8">
        <f t="shared" si="337"/>
        <v>0.49919890135042344</v>
      </c>
      <c r="G171" s="8">
        <f t="shared" si="337"/>
        <v>8.6259541984732735E-2</v>
      </c>
      <c r="H171" s="8">
        <f t="shared" si="337"/>
        <v>8.9388615600843213E-2</v>
      </c>
      <c r="I171" s="8">
        <f t="shared" si="337"/>
        <v>5.3154431686234016E-2</v>
      </c>
      <c r="J171" s="3455">
        <v>0.05873</v>
      </c>
      <c r="K171" s="3455">
        <v>0.1</v>
      </c>
      <c r="L171" s="3455">
        <v>0.1</v>
      </c>
      <c r="M171" s="1484"/>
      <c r="N171" s="1484"/>
      <c r="O171" s="1484"/>
      <c r="S171" s="8"/>
      <c r="Y171" s="399"/>
      <c r="Z171" s="399"/>
      <c r="AA171" s="743"/>
      <c r="AB171" s="696"/>
      <c r="AC171" s="696"/>
      <c r="AD171" s="696"/>
      <c r="AE171" s="743"/>
      <c r="AF171" s="696"/>
      <c r="AG171" s="696"/>
      <c r="AH171" s="745"/>
      <c r="AI171" s="781">
        <f t="shared" si="339"/>
        <v>0.26775919999999998</v>
      </c>
      <c r="AJ171" s="8">
        <f t="shared" si="339"/>
        <v>0.5542852395209581</v>
      </c>
      <c r="AK171" s="8">
        <f t="shared" si="349"/>
        <v>0.6382393397524071</v>
      </c>
      <c r="AL171" s="8">
        <f t="shared" si="349"/>
        <v>0.58910891089108919</v>
      </c>
      <c r="AM171" s="781">
        <f t="shared" si="349"/>
        <v>0.59277823364189275</v>
      </c>
      <c r="AN171" s="8">
        <f t="shared" si="349"/>
        <v>0.39463762219524945</v>
      </c>
      <c r="AO171" s="8">
        <f t="shared" si="339"/>
        <v>0.32745591939546603</v>
      </c>
      <c r="AP171" s="1114">
        <f t="shared" si="339"/>
        <v>0.68068535825545173</v>
      </c>
      <c r="AQ171" s="8">
        <f t="shared" si="339"/>
        <v>0.17828319882611887</v>
      </c>
      <c r="AR171" s="8">
        <f t="shared" si="339"/>
        <v>0.12776243093922646</v>
      </c>
      <c r="AS171" s="8">
        <f t="shared" si="350"/>
        <v>0.12333965844402273</v>
      </c>
      <c r="AT171" s="1114">
        <f t="shared" si="351"/>
        <v>-2.6876737720111232E-2</v>
      </c>
      <c r="AU171" s="8">
        <f t="shared" si="352"/>
        <v>0.15691158156911578</v>
      </c>
      <c r="AV171" s="8">
        <f t="shared" si="353"/>
        <v>0.13962033067973056</v>
      </c>
      <c r="AW171" s="8">
        <f t="shared" si="353"/>
        <v>9.4594594594594517E-2</v>
      </c>
      <c r="AX171" s="1114">
        <f t="shared" si="354"/>
        <v>-5.7142857142856718E-3</v>
      </c>
      <c r="AY171" s="1114">
        <f t="shared" si="355"/>
        <v>7.7502691065661988E-2</v>
      </c>
      <c r="AZ171" s="1752">
        <f t="shared" si="348"/>
        <v>8.7049973132724334E-2</v>
      </c>
      <c r="BA171" s="1752">
        <f t="shared" si="348"/>
        <v>6.0699588477366229E-2</v>
      </c>
      <c r="BB171" s="1752">
        <f t="shared" si="348"/>
        <v>-5.7471264367816577E-3</v>
      </c>
      <c r="BC171" s="1752">
        <f t="shared" si="348"/>
        <v>3.7962037962038009E-2</v>
      </c>
      <c r="BD171" s="1751"/>
      <c r="BE171" s="1468"/>
      <c r="BF171" s="1468"/>
      <c r="BG171" s="1468"/>
      <c r="BH171" s="1468"/>
      <c r="BI171" s="1468"/>
      <c r="BJ171" s="1468"/>
      <c r="BK171" s="1468"/>
      <c r="BL171" s="1468"/>
      <c r="BM171" s="696"/>
      <c r="BN171" s="696"/>
      <c r="BO171" s="696"/>
      <c r="BP171" s="696"/>
      <c r="BQ171" s="696"/>
      <c r="BR171" s="696"/>
      <c r="BS171" s="696"/>
      <c r="BT171" s="696"/>
      <c r="BU171" s="1485"/>
      <c r="BV171" s="399"/>
      <c r="BW171" s="1485"/>
      <c r="BX171" s="399"/>
      <c r="CD171" s="1883"/>
    </row>
    <row r="172" spans="1:87">
      <c r="A172" s="39" t="s">
        <v>890</v>
      </c>
      <c r="B172" s="696"/>
      <c r="C172" s="8">
        <f t="shared" si="337"/>
        <v>0.25721813590954024</v>
      </c>
      <c r="D172" s="8">
        <f t="shared" si="337"/>
        <v>-3.6558388636628303E-2</v>
      </c>
      <c r="E172" s="8">
        <f t="shared" si="337"/>
        <v>0.15206445115810685</v>
      </c>
      <c r="F172" s="8">
        <f t="shared" si="337"/>
        <v>0.19405594405594395</v>
      </c>
      <c r="G172" s="8">
        <f t="shared" si="337"/>
        <v>0.27086383601756947</v>
      </c>
      <c r="H172" s="8">
        <f t="shared" si="337"/>
        <v>0.51843317972350222</v>
      </c>
      <c r="I172" s="8">
        <f t="shared" si="337"/>
        <v>0.36305007587253413</v>
      </c>
      <c r="J172" s="3455">
        <v>0.18</v>
      </c>
      <c r="K172" s="3455">
        <v>0.2</v>
      </c>
      <c r="L172" s="3455">
        <v>0.22</v>
      </c>
      <c r="M172" s="1484"/>
      <c r="N172" s="1484"/>
      <c r="O172" s="1484"/>
      <c r="S172" s="8"/>
      <c r="Y172" s="399"/>
      <c r="Z172" s="399"/>
      <c r="AA172" s="743"/>
      <c r="AB172" s="696"/>
      <c r="AC172" s="696"/>
      <c r="AD172" s="696"/>
      <c r="AE172" s="743"/>
      <c r="AF172" s="696"/>
      <c r="AG172" s="696"/>
      <c r="AH172" s="745"/>
      <c r="AI172" s="781">
        <f t="shared" si="339"/>
        <v>2.2386451612903313E-2</v>
      </c>
      <c r="AJ172" s="8">
        <f t="shared" si="339"/>
        <v>9.4394440154440318E-2</v>
      </c>
      <c r="AK172" s="8">
        <f t="shared" si="349"/>
        <v>0.24669603524229067</v>
      </c>
      <c r="AL172" s="8">
        <f t="shared" si="349"/>
        <v>0.25096525096525091</v>
      </c>
      <c r="AM172" s="781">
        <f t="shared" si="349"/>
        <v>0.2817891599603457</v>
      </c>
      <c r="AN172" s="8">
        <f t="shared" si="349"/>
        <v>0.20304185428474808</v>
      </c>
      <c r="AO172" s="8">
        <f t="shared" si="339"/>
        <v>0.22261484098939932</v>
      </c>
      <c r="AP172" s="1114">
        <f t="shared" si="339"/>
        <v>9.259259259259256E-2</v>
      </c>
      <c r="AQ172" s="8">
        <f t="shared" si="339"/>
        <v>0.18153846153846165</v>
      </c>
      <c r="AR172" s="8">
        <f t="shared" si="339"/>
        <v>0.24633431085043989</v>
      </c>
      <c r="AS172" s="8">
        <f t="shared" si="350"/>
        <v>0.30346820809248554</v>
      </c>
      <c r="AT172" s="1114">
        <f t="shared" si="351"/>
        <v>0.34463276836158196</v>
      </c>
      <c r="AU172" s="8">
        <f t="shared" si="352"/>
        <v>0.4375</v>
      </c>
      <c r="AV172" s="8">
        <f t="shared" si="353"/>
        <v>0.628235294117647</v>
      </c>
      <c r="AW172" s="8">
        <f t="shared" si="353"/>
        <v>0.52993348115299344</v>
      </c>
      <c r="AX172" s="1114">
        <f t="shared" si="354"/>
        <v>0.47478991596638664</v>
      </c>
      <c r="AY172" s="1114">
        <f t="shared" si="355"/>
        <v>0.24637681159420288</v>
      </c>
      <c r="AZ172" s="1752">
        <f t="shared" si="348"/>
        <v>0.25722543352601157</v>
      </c>
      <c r="BA172" s="1752">
        <f t="shared" si="348"/>
        <v>0.40579710144927539</v>
      </c>
      <c r="BB172" s="1752">
        <f t="shared" si="348"/>
        <v>0.51709401709401703</v>
      </c>
      <c r="BC172" s="1752">
        <f t="shared" si="348"/>
        <v>0.44476744186046502</v>
      </c>
      <c r="BD172" s="1751"/>
      <c r="BE172" s="1468"/>
      <c r="BF172" s="1468"/>
      <c r="BG172" s="1468"/>
      <c r="BH172" s="1468"/>
      <c r="BI172" s="1468"/>
      <c r="BJ172" s="1468"/>
      <c r="BK172" s="1468"/>
      <c r="BL172" s="1468"/>
      <c r="BM172" s="696"/>
      <c r="BN172" s="696"/>
      <c r="BO172" s="696"/>
      <c r="BP172" s="696"/>
      <c r="BQ172" s="696"/>
      <c r="BR172" s="696"/>
      <c r="BS172" s="696"/>
      <c r="BT172" s="696"/>
      <c r="BU172" s="1485"/>
      <c r="BV172" s="399"/>
      <c r="BW172" s="1485"/>
      <c r="BX172" s="399"/>
      <c r="CD172" s="1883"/>
    </row>
    <row r="173" spans="1:87">
      <c r="A173" s="1739" t="s">
        <v>1016</v>
      </c>
      <c r="B173" s="696"/>
      <c r="C173" s="8">
        <f t="shared" si="337"/>
        <v>0.45063631066485366</v>
      </c>
      <c r="D173" s="8">
        <f t="shared" si="337"/>
        <v>0.2335545465129818</v>
      </c>
      <c r="E173" s="8">
        <f t="shared" si="337"/>
        <v>0.27229825389334583</v>
      </c>
      <c r="F173" s="8">
        <f t="shared" si="337"/>
        <v>0.36387240356083095</v>
      </c>
      <c r="G173" s="8">
        <f t="shared" si="337"/>
        <v>0.66249660048952941</v>
      </c>
      <c r="H173" s="8">
        <f t="shared" si="337"/>
        <v>0.3479469982005563</v>
      </c>
      <c r="I173" s="8">
        <f t="shared" si="337"/>
        <v>-8.1310679611650283E-3</v>
      </c>
      <c r="J173" s="3455">
        <v>7.0000000000000007E-2</v>
      </c>
      <c r="K173" s="3455">
        <v>0.08</v>
      </c>
      <c r="L173" s="3455">
        <v>0.1</v>
      </c>
      <c r="M173" s="1484"/>
      <c r="N173" s="1484"/>
      <c r="O173" s="1484"/>
      <c r="S173" s="8"/>
      <c r="Y173" s="399"/>
      <c r="Z173" s="399"/>
      <c r="AA173" s="743"/>
      <c r="AB173" s="696"/>
      <c r="AC173" s="696"/>
      <c r="AD173" s="696"/>
      <c r="AE173" s="743"/>
      <c r="AF173" s="696"/>
      <c r="AG173" s="696"/>
      <c r="AH173" s="745"/>
      <c r="AI173" s="781">
        <f t="shared" si="339"/>
        <v>0.12689706666666645</v>
      </c>
      <c r="AJ173" s="8">
        <f t="shared" si="339"/>
        <v>0.31986677824267784</v>
      </c>
      <c r="AK173" s="8">
        <f t="shared" si="349"/>
        <v>0.19540229885057481</v>
      </c>
      <c r="AL173" s="8">
        <f t="shared" si="349"/>
        <v>0.3961136023916294</v>
      </c>
      <c r="AM173" s="781">
        <f t="shared" si="349"/>
        <v>0.44151980912463529</v>
      </c>
      <c r="AN173" s="8">
        <f t="shared" si="349"/>
        <v>0.64686330711201467</v>
      </c>
      <c r="AO173" s="8">
        <f t="shared" si="339"/>
        <v>0.57852564102564097</v>
      </c>
      <c r="AP173" s="1114">
        <f t="shared" si="339"/>
        <v>-1.2847965738758016E-2</v>
      </c>
      <c r="AQ173" s="8">
        <f t="shared" si="339"/>
        <v>0.95075239398084821</v>
      </c>
      <c r="AR173" s="8">
        <f t="shared" si="339"/>
        <v>0.47256977863330119</v>
      </c>
      <c r="AS173" s="8">
        <f t="shared" si="350"/>
        <v>0.58477157360406085</v>
      </c>
      <c r="AT173" s="1114">
        <f t="shared" si="351"/>
        <v>0.73101952277657256</v>
      </c>
      <c r="AU173" s="8">
        <f t="shared" si="352"/>
        <v>0.32889200561009813</v>
      </c>
      <c r="AV173" s="8">
        <f t="shared" si="353"/>
        <v>0.30915032679738563</v>
      </c>
      <c r="AW173" s="8">
        <f t="shared" si="353"/>
        <v>0.44522741832158874</v>
      </c>
      <c r="AX173" s="1114">
        <f t="shared" si="354"/>
        <v>0.30701754385964919</v>
      </c>
      <c r="AY173" s="1114">
        <f t="shared" si="355"/>
        <v>4.5910290237467066E-2</v>
      </c>
      <c r="AZ173" s="1752">
        <f t="shared" si="348"/>
        <v>-0.10933599600599098</v>
      </c>
      <c r="BA173" s="1752">
        <f t="shared" si="348"/>
        <v>-0.14539007092198586</v>
      </c>
      <c r="BB173" s="1752">
        <f t="shared" si="348"/>
        <v>0.18839884947267493</v>
      </c>
      <c r="BC173" s="1752">
        <f t="shared" si="348"/>
        <v>-9.838546922300706E-2</v>
      </c>
      <c r="BD173" s="1751"/>
      <c r="BE173" s="1468"/>
      <c r="BF173" s="1468"/>
      <c r="BG173" s="1468"/>
      <c r="BH173" s="1468"/>
      <c r="BI173" s="1468"/>
      <c r="BJ173" s="1468"/>
      <c r="BK173" s="1468"/>
      <c r="BL173" s="1468"/>
      <c r="BM173" s="696"/>
      <c r="BN173" s="696"/>
      <c r="BO173" s="696"/>
      <c r="BP173" s="696"/>
      <c r="BQ173" s="696"/>
      <c r="BR173" s="696"/>
      <c r="BS173" s="696"/>
      <c r="BT173" s="696"/>
      <c r="BU173" s="1485"/>
      <c r="BV173" s="399"/>
      <c r="BW173" s="1485"/>
      <c r="BX173" s="399"/>
      <c r="CD173" s="1883"/>
    </row>
    <row r="174" spans="1:87">
      <c r="A174" s="790" t="s">
        <v>146</v>
      </c>
      <c r="B174" s="696"/>
      <c r="C174" s="8">
        <f>C163/B163-1</f>
        <v>-0.10198704577890005</v>
      </c>
      <c r="D174" s="993"/>
      <c r="E174" s="993"/>
      <c r="F174" s="993"/>
      <c r="G174" s="993"/>
      <c r="H174" s="993"/>
      <c r="I174" s="993"/>
      <c r="J174" s="696"/>
      <c r="K174" s="696"/>
      <c r="L174" s="696"/>
      <c r="M174" s="696"/>
      <c r="N174" s="696"/>
      <c r="O174" s="696"/>
      <c r="S174" s="696"/>
      <c r="Y174" s="399"/>
      <c r="Z174" s="399"/>
      <c r="AA174" s="743"/>
      <c r="AB174" s="696"/>
      <c r="AC174" s="696"/>
      <c r="AD174" s="696"/>
      <c r="AE174" s="743"/>
      <c r="AF174" s="696"/>
      <c r="AG174" s="696"/>
      <c r="AH174" s="745"/>
      <c r="AI174" s="781"/>
      <c r="AJ174" s="696"/>
      <c r="AK174" s="696"/>
      <c r="AL174" s="696"/>
      <c r="AM174" s="743"/>
      <c r="AN174" s="696"/>
      <c r="AO174" s="696"/>
      <c r="AP174" s="745"/>
      <c r="AQ174" s="696"/>
      <c r="AR174" s="696"/>
      <c r="AS174" s="696"/>
      <c r="AT174" s="745"/>
      <c r="AU174" s="696"/>
      <c r="AV174" s="696"/>
      <c r="AW174" s="696"/>
      <c r="AX174" s="745"/>
      <c r="AY174" s="745"/>
      <c r="AZ174" s="1469"/>
      <c r="BA174" s="1468"/>
      <c r="BB174" s="1468"/>
      <c r="BC174" s="1468"/>
      <c r="BD174" s="1468"/>
      <c r="BE174" s="1468"/>
      <c r="BF174" s="1468"/>
      <c r="BG174" s="1468"/>
      <c r="BH174" s="1468"/>
      <c r="BI174" s="1468"/>
      <c r="BJ174" s="1468"/>
      <c r="BK174" s="1468"/>
      <c r="BL174" s="1468"/>
      <c r="BM174" s="696"/>
      <c r="BN174" s="696"/>
      <c r="BO174" s="696"/>
      <c r="BP174" s="696"/>
      <c r="BQ174" s="696"/>
      <c r="BR174" s="696"/>
      <c r="BS174" s="696"/>
      <c r="BT174" s="696"/>
      <c r="BU174" s="399"/>
      <c r="BV174" s="399"/>
      <c r="BW174" s="1485"/>
      <c r="BX174" s="399"/>
      <c r="CD174" s="1883"/>
    </row>
    <row r="175" spans="1:87">
      <c r="A175" s="735"/>
      <c r="B175" s="696"/>
      <c r="C175" s="696"/>
      <c r="D175" s="696"/>
      <c r="E175" s="696"/>
      <c r="F175" s="696"/>
      <c r="G175" s="696"/>
      <c r="H175" s="696"/>
      <c r="I175" s="696"/>
      <c r="J175" s="696"/>
      <c r="K175" s="696"/>
      <c r="L175" s="696"/>
      <c r="M175" s="696"/>
      <c r="N175" s="696"/>
      <c r="O175" s="696"/>
      <c r="S175" s="696"/>
      <c r="X175" s="399"/>
      <c r="Y175" s="399"/>
      <c r="Z175" s="399"/>
      <c r="AA175" s="743"/>
      <c r="AB175" s="696"/>
      <c r="AC175" s="696"/>
      <c r="AD175" s="696"/>
      <c r="AE175" s="743"/>
      <c r="AF175" s="696"/>
      <c r="AG175" s="696"/>
      <c r="AH175" s="745"/>
      <c r="AI175" s="781"/>
      <c r="AJ175" s="696"/>
      <c r="AK175" s="696"/>
      <c r="AL175" s="696"/>
      <c r="AM175" s="743"/>
      <c r="AN175" s="696"/>
      <c r="AO175" s="696"/>
      <c r="AP175" s="745"/>
      <c r="AQ175" s="696"/>
      <c r="AR175" s="696"/>
      <c r="AS175" s="696"/>
      <c r="AT175" s="745"/>
      <c r="AU175" s="696"/>
      <c r="AV175" s="696"/>
      <c r="AW175" s="696"/>
      <c r="AX175" s="745"/>
      <c r="AY175" s="745"/>
      <c r="AZ175" s="1469"/>
      <c r="BA175" s="1468"/>
      <c r="BB175" s="1468"/>
      <c r="BC175" s="1468"/>
      <c r="BD175" s="1468"/>
      <c r="BE175" s="1468"/>
      <c r="BF175" s="1468"/>
      <c r="BG175" s="1468"/>
      <c r="BH175" s="1468"/>
      <c r="BI175" s="1468"/>
      <c r="BJ175" s="1468"/>
      <c r="BK175" s="1468"/>
      <c r="BL175" s="1468"/>
      <c r="BM175" s="696"/>
      <c r="BN175" s="696"/>
      <c r="BO175" s="696"/>
      <c r="BP175" s="696"/>
      <c r="BQ175" s="696"/>
      <c r="BR175" s="696"/>
      <c r="BS175" s="696"/>
      <c r="BT175" s="696"/>
      <c r="BU175" s="399"/>
      <c r="BV175" s="399"/>
      <c r="BW175" s="399"/>
      <c r="BX175" s="399"/>
      <c r="CD175" s="1883"/>
    </row>
    <row r="176" spans="1:87">
      <c r="A176" s="733" t="s">
        <v>1780</v>
      </c>
      <c r="B176" s="1113"/>
      <c r="C176" s="1113"/>
      <c r="D176" s="1113"/>
      <c r="E176" s="1113"/>
      <c r="F176" s="1113"/>
      <c r="G176" s="1113"/>
      <c r="H176" s="1113"/>
      <c r="I176" s="1113"/>
      <c r="J176" s="1113"/>
      <c r="K176" s="1113"/>
      <c r="L176" s="1113"/>
      <c r="M176" s="1113"/>
      <c r="N176" s="1113"/>
      <c r="O176" s="1113"/>
      <c r="S176" s="696"/>
      <c r="T176" s="1758"/>
      <c r="U176" s="697"/>
      <c r="V176" s="1"/>
      <c r="W176" s="1"/>
      <c r="X176" s="399"/>
      <c r="Y176" s="399"/>
      <c r="Z176" s="399"/>
      <c r="AA176" s="743"/>
      <c r="AB176" s="696"/>
      <c r="AC176" s="696"/>
      <c r="AD176" s="696"/>
      <c r="AE176" s="743"/>
      <c r="AF176" s="696"/>
      <c r="AG176" s="696"/>
      <c r="AH176" s="745"/>
      <c r="AI176" s="743"/>
      <c r="AJ176" s="696"/>
      <c r="AK176" s="696"/>
      <c r="AL176" s="696"/>
      <c r="AM176" s="743"/>
      <c r="AN176" s="696"/>
      <c r="AO176" s="696"/>
      <c r="AP176" s="745"/>
      <c r="AQ176" s="696"/>
      <c r="AR176" s="696"/>
      <c r="AS176" s="696"/>
      <c r="AT176" s="745"/>
      <c r="AU176" s="696"/>
      <c r="AV176" s="696"/>
      <c r="AW176" s="696"/>
      <c r="AX176" s="745"/>
      <c r="AY176" s="745"/>
      <c r="AZ176" s="1469"/>
      <c r="BA176" s="1468"/>
      <c r="BB176" s="1468"/>
      <c r="BC176" s="1468"/>
      <c r="BD176" s="1468"/>
      <c r="BE176" s="1468"/>
      <c r="BF176" s="1468"/>
      <c r="BG176" s="1468"/>
      <c r="BH176" s="1468"/>
      <c r="BI176" s="1468"/>
      <c r="BJ176" s="1468"/>
      <c r="BK176" s="1468"/>
      <c r="BL176" s="1468"/>
      <c r="BM176" s="696"/>
      <c r="BN176" s="696"/>
      <c r="BO176" s="696"/>
      <c r="BP176" s="696"/>
      <c r="BQ176" s="696"/>
      <c r="BR176" s="696"/>
      <c r="BS176" s="696"/>
      <c r="BT176" s="696"/>
      <c r="BU176" s="399"/>
      <c r="BV176" s="399"/>
      <c r="BW176" s="399"/>
      <c r="BX176" s="399"/>
      <c r="CD176" s="1883"/>
    </row>
    <row r="177" spans="1:82" s="1474" customFormat="1">
      <c r="A177" s="1475" t="s">
        <v>887</v>
      </c>
      <c r="B177" s="1478">
        <f>B155/B10</f>
        <v>0.60759964947053269</v>
      </c>
      <c r="C177" s="1478">
        <f>C155/C10</f>
        <v>0.58682337683917962</v>
      </c>
      <c r="D177" s="1478">
        <f>D155/D10</f>
        <v>0.59769229416787417</v>
      </c>
      <c r="E177" s="1478">
        <f>E155/E10</f>
        <v>0.59220088806205951</v>
      </c>
      <c r="F177" s="1478">
        <f>F155/F10</f>
        <v>0.5697522559822199</v>
      </c>
      <c r="G177" s="1478">
        <v>0.53500000000000003</v>
      </c>
      <c r="H177" s="1478"/>
      <c r="I177" s="1478"/>
      <c r="J177" s="1468"/>
      <c r="K177" s="1468"/>
      <c r="L177" s="1468"/>
      <c r="M177" s="1468"/>
      <c r="N177" s="1468"/>
      <c r="O177" s="1468"/>
      <c r="S177" s="1468"/>
      <c r="T177" s="1762"/>
      <c r="U177" s="1477"/>
      <c r="V177" s="1471"/>
      <c r="W177" s="1471"/>
      <c r="X177" s="1470"/>
      <c r="Y177" s="1470"/>
      <c r="Z177" s="1470"/>
      <c r="AA177" s="1473"/>
      <c r="AB177" s="1468"/>
      <c r="AC177" s="1468"/>
      <c r="AD177" s="1468"/>
      <c r="AE177" s="1473"/>
      <c r="AF177" s="1468"/>
      <c r="AG177" s="1468"/>
      <c r="AH177" s="1469"/>
      <c r="AI177" s="1473"/>
      <c r="AJ177" s="1468"/>
      <c r="AK177" s="1468"/>
      <c r="AL177" s="1468"/>
      <c r="AM177" s="1473"/>
      <c r="AN177" s="1468"/>
      <c r="AO177" s="1468"/>
      <c r="AP177" s="1469"/>
      <c r="AQ177" s="1468"/>
      <c r="AR177" s="1468"/>
      <c r="AS177" s="1468"/>
      <c r="AT177" s="1469"/>
      <c r="AU177" s="1468"/>
      <c r="AV177" s="1468"/>
      <c r="AW177" s="1468"/>
      <c r="AX177" s="1469"/>
      <c r="AY177" s="1469"/>
      <c r="AZ177" s="1469"/>
      <c r="BA177" s="1468"/>
      <c r="BB177" s="1468"/>
      <c r="BC177" s="1468"/>
      <c r="BD177" s="1468"/>
      <c r="BE177" s="1468"/>
      <c r="BF177" s="1468"/>
      <c r="BG177" s="1468"/>
      <c r="BH177" s="1468"/>
      <c r="BI177" s="1468"/>
      <c r="BJ177" s="1468"/>
      <c r="BK177" s="1468"/>
      <c r="BL177" s="1468"/>
      <c r="BM177" s="1468"/>
      <c r="BN177" s="1468"/>
      <c r="BO177" s="1468"/>
      <c r="BP177" s="1468"/>
      <c r="BQ177" s="1468"/>
      <c r="BR177" s="1468"/>
      <c r="BS177" s="1468"/>
      <c r="BT177" s="1468"/>
      <c r="BU177" s="1470"/>
      <c r="BV177" s="1470"/>
      <c r="BW177" s="1470"/>
      <c r="BX177" s="1470"/>
      <c r="CD177" s="1883"/>
    </row>
    <row r="178" spans="1:82" s="1474" customFormat="1">
      <c r="A178" s="1476" t="s">
        <v>1051</v>
      </c>
      <c r="B178" s="1478">
        <f t="shared" ref="B178:G178" si="356">B156/B10</f>
        <v>0.21358666843351115</v>
      </c>
      <c r="C178" s="1478">
        <f t="shared" si="356"/>
        <v>0.1780627447196769</v>
      </c>
      <c r="D178" s="1478">
        <f t="shared" si="356"/>
        <v>0.16106629194199246</v>
      </c>
      <c r="E178" s="1478">
        <f t="shared" si="356"/>
        <v>0.17376544237449137</v>
      </c>
      <c r="F178" s="1478">
        <f t="shared" si="356"/>
        <v>0.15557994736148614</v>
      </c>
      <c r="G178" s="1478">
        <f t="shared" si="356"/>
        <v>0.13609517655555131</v>
      </c>
      <c r="H178" s="1478"/>
      <c r="I178" s="1478"/>
      <c r="J178" s="1468"/>
      <c r="K178" s="1468"/>
      <c r="L178" s="1468"/>
      <c r="M178" s="1468"/>
      <c r="N178" s="1468"/>
      <c r="O178" s="1468"/>
      <c r="S178" s="1468"/>
      <c r="T178" s="1763"/>
      <c r="U178" s="1477"/>
      <c r="V178" s="1471"/>
      <c r="W178" s="1471"/>
      <c r="X178" s="1470"/>
      <c r="Y178" s="1470"/>
      <c r="Z178" s="1470"/>
      <c r="AA178" s="1473"/>
      <c r="AB178" s="1468"/>
      <c r="AC178" s="1468"/>
      <c r="AD178" s="1468"/>
      <c r="AE178" s="1473"/>
      <c r="AF178" s="1468"/>
      <c r="AG178" s="1468"/>
      <c r="AH178" s="1469"/>
      <c r="AI178" s="1473"/>
      <c r="AJ178" s="1468"/>
      <c r="AK178" s="1468"/>
      <c r="AL178" s="1468"/>
      <c r="AM178" s="1473"/>
      <c r="AN178" s="1468"/>
      <c r="AO178" s="1468"/>
      <c r="AP178" s="1469"/>
      <c r="AQ178" s="1468"/>
      <c r="AR178" s="1468"/>
      <c r="AS178" s="1468"/>
      <c r="AT178" s="1469"/>
      <c r="AU178" s="1468"/>
      <c r="AV178" s="1468"/>
      <c r="AW178" s="1468"/>
      <c r="AX178" s="1469"/>
      <c r="AY178" s="1469"/>
      <c r="AZ178" s="1469"/>
      <c r="BA178" s="1468"/>
      <c r="BB178" s="1468"/>
      <c r="BC178" s="1468"/>
      <c r="BD178" s="1468"/>
      <c r="BE178" s="1468"/>
      <c r="BF178" s="1468"/>
      <c r="BG178" s="1468"/>
      <c r="BH178" s="1468"/>
      <c r="BI178" s="1468"/>
      <c r="BJ178" s="1468"/>
      <c r="BK178" s="1468"/>
      <c r="BL178" s="1468"/>
      <c r="BM178" s="1468"/>
      <c r="BN178" s="1468"/>
      <c r="BO178" s="1468"/>
      <c r="BP178" s="1468"/>
      <c r="BQ178" s="1468"/>
      <c r="BR178" s="1468"/>
      <c r="BS178" s="1468"/>
      <c r="BT178" s="1468"/>
      <c r="BU178" s="1470"/>
      <c r="BV178" s="1470"/>
      <c r="BW178" s="1470"/>
      <c r="BX178" s="1470"/>
      <c r="CD178" s="1883"/>
    </row>
    <row r="179" spans="1:82">
      <c r="A179" s="1476" t="s">
        <v>1052</v>
      </c>
      <c r="B179" s="1478">
        <f t="shared" ref="B179:G179" si="357">B157/B10</f>
        <v>0.39401298103702159</v>
      </c>
      <c r="C179" s="1478">
        <f t="shared" si="357"/>
        <v>0.40876063211950275</v>
      </c>
      <c r="D179" s="1478">
        <f t="shared" si="357"/>
        <v>0.43662600222588177</v>
      </c>
      <c r="E179" s="1478">
        <f t="shared" si="357"/>
        <v>0.41843544568756813</v>
      </c>
      <c r="F179" s="1478">
        <f t="shared" si="357"/>
        <v>0.41417230862073373</v>
      </c>
      <c r="G179" s="1478">
        <f t="shared" si="357"/>
        <v>0.39890381509466294</v>
      </c>
      <c r="H179" s="1478"/>
      <c r="I179" s="1478"/>
      <c r="J179" s="696"/>
      <c r="K179" s="696"/>
      <c r="L179" s="696"/>
      <c r="M179" s="696"/>
      <c r="N179" s="696"/>
      <c r="O179" s="696"/>
      <c r="S179" s="696"/>
      <c r="T179" s="1764"/>
      <c r="U179" s="248"/>
      <c r="V179" s="725"/>
      <c r="W179" s="725"/>
      <c r="X179" s="399"/>
      <c r="Y179" s="399"/>
      <c r="Z179" s="399"/>
      <c r="AA179" s="743"/>
      <c r="AB179" s="696"/>
      <c r="AC179" s="696"/>
      <c r="AD179" s="745"/>
      <c r="AE179" s="743"/>
      <c r="AF179" s="696"/>
      <c r="AG179" s="696"/>
      <c r="AH179" s="745"/>
      <c r="AI179" s="743"/>
      <c r="AJ179" s="696"/>
      <c r="AK179" s="696"/>
      <c r="AL179" s="696"/>
      <c r="AM179" s="743"/>
      <c r="AN179" s="696"/>
      <c r="AO179" s="696"/>
      <c r="AP179" s="745"/>
      <c r="AQ179" s="696"/>
      <c r="AR179" s="696"/>
      <c r="AS179" s="696"/>
      <c r="AT179" s="745"/>
      <c r="AU179" s="696"/>
      <c r="AV179" s="696"/>
      <c r="AW179" s="696"/>
      <c r="AX179" s="745"/>
      <c r="AY179" s="745"/>
      <c r="AZ179" s="1469"/>
      <c r="BA179" s="1468"/>
      <c r="BB179" s="1468"/>
      <c r="BC179" s="1468"/>
      <c r="BD179" s="1468"/>
      <c r="BE179" s="1468"/>
      <c r="BF179" s="1468"/>
      <c r="BG179" s="1468"/>
      <c r="BH179" s="1468"/>
      <c r="BI179" s="1468"/>
      <c r="BJ179" s="1468"/>
      <c r="BK179" s="1468"/>
      <c r="BL179" s="1468"/>
      <c r="BM179" s="696"/>
      <c r="BN179" s="696"/>
      <c r="BO179" s="696"/>
      <c r="BP179" s="696"/>
      <c r="BQ179" s="696"/>
      <c r="BR179" s="696"/>
      <c r="BS179" s="696"/>
      <c r="BT179" s="696"/>
      <c r="BU179" s="399"/>
      <c r="BV179" s="399"/>
      <c r="BW179" s="399"/>
      <c r="BX179" s="399"/>
      <c r="CD179" s="1883"/>
    </row>
    <row r="180" spans="1:82" s="826" customFormat="1">
      <c r="A180" s="735" t="s">
        <v>893</v>
      </c>
      <c r="B180" s="8">
        <f>B158/B10</f>
        <v>0.39240035052946731</v>
      </c>
      <c r="C180" s="8">
        <f>C158/C10</f>
        <v>0.41317662316082032</v>
      </c>
      <c r="D180" s="8">
        <f>D158/D10</f>
        <v>0.40230770583212577</v>
      </c>
      <c r="E180" s="8">
        <f>E158/E10</f>
        <v>0.40779911193794044</v>
      </c>
      <c r="F180" s="8">
        <f>F158/F10</f>
        <v>0.4302477440177801</v>
      </c>
      <c r="G180" s="8">
        <v>0.46500000000000002</v>
      </c>
      <c r="H180" s="8"/>
      <c r="I180" s="8"/>
      <c r="J180" s="696"/>
      <c r="K180" s="696"/>
      <c r="L180" s="696"/>
      <c r="M180" s="696"/>
      <c r="N180" s="696"/>
      <c r="O180" s="696"/>
      <c r="S180" s="696"/>
      <c r="T180" s="1756"/>
      <c r="U180" s="835"/>
      <c r="V180" s="725"/>
      <c r="W180" s="725"/>
      <c r="X180" s="8"/>
      <c r="Y180" s="8"/>
      <c r="Z180" s="822"/>
      <c r="AA180" s="823"/>
      <c r="AB180" s="824"/>
      <c r="AC180" s="824"/>
      <c r="AD180" s="824"/>
      <c r="AE180" s="743"/>
      <c r="AF180" s="696"/>
      <c r="AG180" s="696"/>
      <c r="AH180" s="745"/>
      <c r="AI180" s="743"/>
      <c r="AJ180" s="696"/>
      <c r="AK180" s="696"/>
      <c r="AL180" s="696"/>
      <c r="AM180" s="743"/>
      <c r="AN180" s="696"/>
      <c r="AO180" s="696"/>
      <c r="AP180" s="745"/>
      <c r="AQ180" s="696"/>
      <c r="AR180" s="696"/>
      <c r="AS180" s="696"/>
      <c r="AT180" s="745"/>
      <c r="AU180" s="696"/>
      <c r="AV180" s="696"/>
      <c r="AW180" s="696"/>
      <c r="AX180" s="745"/>
      <c r="AY180" s="745"/>
      <c r="AZ180" s="1469"/>
      <c r="BA180" s="1468"/>
      <c r="BB180" s="1468"/>
      <c r="BC180" s="1468"/>
      <c r="BD180" s="1468"/>
      <c r="BE180" s="1468"/>
      <c r="BF180" s="1468"/>
      <c r="BG180" s="1468"/>
      <c r="BH180" s="1468"/>
      <c r="BI180" s="1468"/>
      <c r="BJ180" s="1468"/>
      <c r="BK180" s="1468"/>
      <c r="BL180" s="1468"/>
      <c r="BM180" s="696"/>
      <c r="BN180" s="696"/>
      <c r="BO180" s="696"/>
      <c r="BP180" s="696"/>
      <c r="BQ180" s="696"/>
      <c r="BR180" s="696"/>
      <c r="BS180" s="696"/>
      <c r="BT180" s="696"/>
      <c r="BU180" s="822"/>
      <c r="BV180" s="822"/>
      <c r="BW180" s="822"/>
      <c r="BX180" s="822"/>
      <c r="CD180" s="1883"/>
    </row>
    <row r="181" spans="1:82">
      <c r="A181" s="1739" t="s">
        <v>1781</v>
      </c>
      <c r="B181" s="8">
        <f>B159/B10</f>
        <v>0.20012417877002833</v>
      </c>
      <c r="C181" s="8">
        <v>0.48</v>
      </c>
      <c r="D181" s="8">
        <f t="shared" ref="D181:F185" si="358">D159/D$158</f>
        <v>0.50087492708940917</v>
      </c>
      <c r="E181" s="8">
        <f t="shared" si="358"/>
        <v>0.43545835912248126</v>
      </c>
      <c r="F181" s="8">
        <f>F159/F$158</f>
        <v>0.38774755743332451</v>
      </c>
      <c r="G181" s="8">
        <f t="shared" ref="G181" si="359">G159/G$158</f>
        <v>0.38389328063241107</v>
      </c>
      <c r="H181" s="8"/>
      <c r="I181" s="8"/>
      <c r="J181" s="696"/>
      <c r="K181" s="696"/>
      <c r="L181" s="696"/>
      <c r="M181" s="696"/>
      <c r="N181" s="696"/>
      <c r="O181" s="696"/>
      <c r="S181" s="696"/>
      <c r="T181" s="811"/>
      <c r="U181" s="818"/>
      <c r="V181" s="8"/>
      <c r="W181" s="8"/>
      <c r="X181" s="399"/>
      <c r="Y181" s="399"/>
      <c r="Z181" s="399"/>
      <c r="AA181" s="780"/>
      <c r="AB181" s="698"/>
      <c r="AC181" s="698"/>
      <c r="AD181" s="698"/>
      <c r="AE181" s="780"/>
      <c r="AF181" s="696"/>
      <c r="AG181" s="696"/>
      <c r="AH181" s="745"/>
      <c r="AI181" s="743"/>
      <c r="AJ181" s="696"/>
      <c r="AK181" s="696"/>
      <c r="AL181" s="696"/>
      <c r="AM181" s="743"/>
      <c r="AN181" s="696"/>
      <c r="AO181" s="696"/>
      <c r="AP181" s="745"/>
      <c r="AQ181" s="8">
        <f>AQ159/AQ$158</f>
        <v>0.37148114075436983</v>
      </c>
      <c r="AR181" s="8">
        <f t="shared" ref="AR181:AV181" si="360">AR159/AR$158</f>
        <v>0.38052486187845302</v>
      </c>
      <c r="AS181" s="8">
        <f t="shared" si="360"/>
        <v>0.40818877949679638</v>
      </c>
      <c r="AT181" s="1114">
        <f t="shared" si="360"/>
        <v>0.37366761747485361</v>
      </c>
      <c r="AU181" s="8">
        <f t="shared" si="360"/>
        <v>0.38500000000000001</v>
      </c>
      <c r="AV181" s="8">
        <f t="shared" si="360"/>
        <v>0.39838901360095075</v>
      </c>
      <c r="AW181" s="8">
        <f>AW159/AW$158</f>
        <v>0.39592340951204447</v>
      </c>
      <c r="AX181" s="745"/>
      <c r="AY181" s="745"/>
      <c r="AZ181" s="1469"/>
      <c r="BA181" s="1468"/>
      <c r="BB181" s="1468"/>
      <c r="BC181" s="1468"/>
      <c r="BD181" s="1468"/>
      <c r="BE181" s="1468"/>
      <c r="BF181" s="1468"/>
      <c r="BG181" s="1468"/>
      <c r="BH181" s="1468"/>
      <c r="BI181" s="1468"/>
      <c r="BJ181" s="1468"/>
      <c r="BK181" s="1468"/>
      <c r="BL181" s="1468"/>
      <c r="BM181" s="696"/>
      <c r="BN181" s="696"/>
      <c r="BO181" s="696"/>
      <c r="BP181" s="696"/>
      <c r="BQ181" s="696"/>
      <c r="BR181" s="696"/>
      <c r="BS181" s="696"/>
      <c r="BT181" s="696"/>
      <c r="BU181" s="399"/>
      <c r="BV181" s="399"/>
      <c r="BW181" s="399"/>
      <c r="BX181" s="399"/>
      <c r="CD181" s="1883"/>
    </row>
    <row r="182" spans="1:82">
      <c r="A182" s="1739" t="s">
        <v>1782</v>
      </c>
      <c r="B182" s="8">
        <f>B160/B11</f>
        <v>0.13593925609036669</v>
      </c>
      <c r="C182" s="8">
        <v>1.48</v>
      </c>
      <c r="D182" s="8">
        <f t="shared" si="358"/>
        <v>0.2398133488875927</v>
      </c>
      <c r="E182" s="8">
        <f t="shared" si="358"/>
        <v>0.30046076610962108</v>
      </c>
      <c r="F182" s="8">
        <f t="shared" si="358"/>
        <v>0.34592025349881173</v>
      </c>
      <c r="G182" s="8">
        <f t="shared" ref="G182" si="361">G160/G$158</f>
        <v>0.29294301712779974</v>
      </c>
      <c r="H182" s="8"/>
      <c r="I182" s="8"/>
      <c r="J182" s="696"/>
      <c r="K182" s="696"/>
      <c r="L182" s="696"/>
      <c r="M182" s="696"/>
      <c r="N182" s="696"/>
      <c r="O182" s="696"/>
      <c r="S182" s="696"/>
      <c r="T182" s="811"/>
      <c r="U182" s="248"/>
      <c r="V182" s="273"/>
      <c r="W182" s="273"/>
      <c r="X182" s="399"/>
      <c r="Y182" s="399"/>
      <c r="Z182" s="399"/>
      <c r="AA182" s="743"/>
      <c r="AB182" s="696"/>
      <c r="AC182" s="696"/>
      <c r="AD182" s="745"/>
      <c r="AE182" s="743"/>
      <c r="AF182" s="696"/>
      <c r="AG182" s="696"/>
      <c r="AH182" s="745"/>
      <c r="AI182" s="743"/>
      <c r="AJ182" s="696"/>
      <c r="AK182" s="696"/>
      <c r="AL182" s="696"/>
      <c r="AM182" s="743"/>
      <c r="AN182" s="696"/>
      <c r="AO182" s="696"/>
      <c r="AP182" s="745"/>
      <c r="AQ182" s="8">
        <f>AQ160/AQ$158</f>
        <v>0.29549218031278751</v>
      </c>
      <c r="AR182" s="8">
        <f t="shared" ref="AR182:AV182" si="362">AR160/AR$158</f>
        <v>0.28194060773480661</v>
      </c>
      <c r="AS182" s="8">
        <f t="shared" si="362"/>
        <v>0.27754336615096109</v>
      </c>
      <c r="AT182" s="1114">
        <f t="shared" si="362"/>
        <v>0.31526797778111393</v>
      </c>
      <c r="AU182" s="8">
        <f t="shared" si="362"/>
        <v>0.2654285714285714</v>
      </c>
      <c r="AV182" s="8">
        <f t="shared" si="362"/>
        <v>0.24574144988775914</v>
      </c>
      <c r="AW182" s="8">
        <f t="shared" ref="AW182" si="363">AW160/AW$158</f>
        <v>0.24014823965410748</v>
      </c>
      <c r="AX182" s="745"/>
      <c r="AY182" s="745"/>
      <c r="AZ182" s="1469"/>
      <c r="BA182" s="1468"/>
      <c r="BB182" s="1468"/>
      <c r="BC182" s="1468"/>
      <c r="BD182" s="1468"/>
      <c r="BE182" s="1468"/>
      <c r="BF182" s="1468"/>
      <c r="BG182" s="1468"/>
      <c r="BH182" s="1468"/>
      <c r="BI182" s="1468"/>
      <c r="BJ182" s="1468"/>
      <c r="BK182" s="1468"/>
      <c r="BL182" s="1468"/>
      <c r="BM182" s="696"/>
      <c r="BN182" s="696"/>
      <c r="BO182" s="696"/>
      <c r="BP182" s="696"/>
      <c r="BQ182" s="696"/>
      <c r="BR182" s="696"/>
      <c r="BS182" s="696"/>
      <c r="BT182" s="696"/>
      <c r="BU182" s="399"/>
      <c r="BV182" s="399"/>
      <c r="BW182" s="399"/>
      <c r="BX182" s="399"/>
      <c r="CD182" s="1883"/>
    </row>
    <row r="183" spans="1:82">
      <c r="A183" s="1739" t="s">
        <v>1783</v>
      </c>
      <c r="B183" s="8">
        <f>B161/B12</f>
        <v>9.7093944292111115E-2</v>
      </c>
      <c r="C183" s="8">
        <v>2.48</v>
      </c>
      <c r="D183" s="8">
        <f t="shared" si="358"/>
        <v>8.2743104741271556E-2</v>
      </c>
      <c r="E183" s="8">
        <f t="shared" si="358"/>
        <v>7.8674093941269507E-2</v>
      </c>
      <c r="F183" s="8">
        <f t="shared" si="358"/>
        <v>7.2141536836546075E-2</v>
      </c>
      <c r="G183" s="8">
        <f>G161/G$158</f>
        <v>7.1475625823451905E-2</v>
      </c>
      <c r="H183" s="8"/>
      <c r="I183" s="8"/>
      <c r="J183" s="696"/>
      <c r="K183" s="696"/>
      <c r="L183" s="696"/>
      <c r="M183" s="696"/>
      <c r="N183" s="696"/>
      <c r="O183" s="696"/>
      <c r="S183" s="696"/>
      <c r="T183" s="811"/>
      <c r="U183" s="1"/>
      <c r="V183" s="1"/>
      <c r="W183" s="1"/>
      <c r="X183" s="399"/>
      <c r="Y183" s="399"/>
      <c r="Z183" s="399"/>
      <c r="AA183" s="743"/>
      <c r="AB183" s="696"/>
      <c r="AC183" s="696"/>
      <c r="AD183" s="745"/>
      <c r="AE183" s="743"/>
      <c r="AF183" s="696"/>
      <c r="AG183" s="696"/>
      <c r="AH183" s="745"/>
      <c r="AI183" s="743"/>
      <c r="AJ183" s="696"/>
      <c r="AK183" s="696"/>
      <c r="AL183" s="696"/>
      <c r="AM183" s="743"/>
      <c r="AN183" s="696"/>
      <c r="AO183" s="696"/>
      <c r="AP183" s="745"/>
      <c r="AQ183" s="8">
        <f>AQ161/AQ$158</f>
        <v>7.065317387304508E-2</v>
      </c>
      <c r="AR183" s="8">
        <f t="shared" ref="AR183:AV183" si="364">AR161/AR$158</f>
        <v>7.3377071823204423E-2</v>
      </c>
      <c r="AS183" s="8">
        <f t="shared" si="364"/>
        <v>7.0479762462884829E-2</v>
      </c>
      <c r="AT183" s="1114">
        <f t="shared" si="364"/>
        <v>7.1460741630385821E-2</v>
      </c>
      <c r="AU183" s="8">
        <f t="shared" si="364"/>
        <v>7.8857142857142862E-2</v>
      </c>
      <c r="AV183" s="8">
        <f t="shared" si="364"/>
        <v>9.1377261323121614E-2</v>
      </c>
      <c r="AW183" s="8">
        <f t="shared" ref="AW183" si="365">AW161/AW$158</f>
        <v>8.5237801111797407E-2</v>
      </c>
      <c r="AX183" s="745"/>
      <c r="AY183" s="745"/>
      <c r="AZ183" s="1469"/>
      <c r="BA183" s="1468"/>
      <c r="BB183" s="1468"/>
      <c r="BC183" s="1468"/>
      <c r="BD183" s="1468"/>
      <c r="BE183" s="1468"/>
      <c r="BF183" s="1468"/>
      <c r="BG183" s="1468"/>
      <c r="BH183" s="1468"/>
      <c r="BI183" s="1468"/>
      <c r="BJ183" s="1468"/>
      <c r="BK183" s="1468"/>
      <c r="BL183" s="1468"/>
      <c r="BM183" s="696"/>
      <c r="BN183" s="696"/>
      <c r="BO183" s="696"/>
      <c r="BP183" s="696"/>
      <c r="BQ183" s="696"/>
      <c r="BR183" s="696"/>
      <c r="BS183" s="696"/>
      <c r="BT183" s="696"/>
      <c r="BU183" s="399"/>
      <c r="BV183" s="399"/>
      <c r="BW183" s="399"/>
      <c r="BX183" s="399"/>
      <c r="CD183" s="1883"/>
    </row>
    <row r="184" spans="1:82">
      <c r="A184" s="1739" t="s">
        <v>1784</v>
      </c>
      <c r="B184" s="8">
        <f>B162/B13</f>
        <v>0.2388353446540632</v>
      </c>
      <c r="C184" s="8">
        <v>3.48</v>
      </c>
      <c r="D184" s="8">
        <f t="shared" si="358"/>
        <v>0.17656861928172651</v>
      </c>
      <c r="E184" s="8">
        <f t="shared" si="358"/>
        <v>0.18540678082662815</v>
      </c>
      <c r="F184" s="8">
        <f t="shared" si="358"/>
        <v>0.19419065223131768</v>
      </c>
      <c r="G184" s="8">
        <f t="shared" ref="G184" si="366">G162/G$158</f>
        <v>0.25168807641633728</v>
      </c>
      <c r="H184" s="8"/>
      <c r="I184" s="8"/>
      <c r="J184" s="696"/>
      <c r="K184" s="696"/>
      <c r="L184" s="696"/>
      <c r="M184" s="696"/>
      <c r="N184" s="696"/>
      <c r="O184" s="696"/>
      <c r="S184" s="696"/>
      <c r="T184" s="811"/>
      <c r="U184" s="1"/>
      <c r="V184" s="1"/>
      <c r="W184" s="1"/>
      <c r="X184" s="399"/>
      <c r="Y184" s="399"/>
      <c r="Z184" s="399"/>
      <c r="AA184" s="743"/>
      <c r="AB184" s="696"/>
      <c r="AC184" s="696"/>
      <c r="AD184" s="745"/>
      <c r="AE184" s="743"/>
      <c r="AF184" s="696"/>
      <c r="AG184" s="696"/>
      <c r="AH184" s="745"/>
      <c r="AI184" s="743"/>
      <c r="AJ184" s="696"/>
      <c r="AK184" s="696"/>
      <c r="AL184" s="696"/>
      <c r="AM184" s="743"/>
      <c r="AN184" s="696"/>
      <c r="AO184" s="696"/>
      <c r="AP184" s="745"/>
      <c r="AQ184" s="8">
        <f>AQ162/AQ$158</f>
        <v>0.26237350505979762</v>
      </c>
      <c r="AR184" s="8">
        <f t="shared" ref="AR184:AV184" si="367">AR162/AR$158</f>
        <v>0.2641574585635359</v>
      </c>
      <c r="AS184" s="8">
        <f t="shared" si="367"/>
        <v>0.24394436630723551</v>
      </c>
      <c r="AT184" s="1114">
        <f t="shared" si="367"/>
        <v>0.23960366311364659</v>
      </c>
      <c r="AU184" s="8">
        <f t="shared" si="367"/>
        <v>0.27071428571428574</v>
      </c>
      <c r="AV184" s="8">
        <f t="shared" si="367"/>
        <v>0.26449227518816848</v>
      </c>
      <c r="AW184" s="8">
        <f t="shared" ref="AW184" si="368">AW162/AW$158</f>
        <v>0.27869054972205065</v>
      </c>
      <c r="AX184" s="745"/>
      <c r="AY184" s="745"/>
      <c r="AZ184" s="1469"/>
      <c r="BA184" s="1468"/>
      <c r="BB184" s="1468"/>
      <c r="BC184" s="1468"/>
      <c r="BD184" s="1468"/>
      <c r="BE184" s="1468"/>
      <c r="BF184" s="1468"/>
      <c r="BG184" s="1468"/>
      <c r="BH184" s="1468"/>
      <c r="BI184" s="1468"/>
      <c r="BJ184" s="1468"/>
      <c r="BK184" s="1468"/>
      <c r="BL184" s="1468"/>
      <c r="BM184" s="696"/>
      <c r="BN184" s="696"/>
      <c r="BO184" s="696"/>
      <c r="BP184" s="696"/>
      <c r="BQ184" s="696"/>
      <c r="BR184" s="696"/>
      <c r="BS184" s="696"/>
      <c r="BT184" s="696"/>
      <c r="BU184" s="399"/>
      <c r="BV184" s="399"/>
      <c r="BW184" s="399"/>
      <c r="BX184" s="399"/>
      <c r="CD184" s="1883"/>
    </row>
    <row r="185" spans="1:82" s="826" customFormat="1">
      <c r="A185" s="790" t="s">
        <v>146</v>
      </c>
      <c r="B185" s="8">
        <f>B163/B14</f>
        <v>7.2203576422746094E-2</v>
      </c>
      <c r="C185" s="8">
        <v>4.4800000000000004</v>
      </c>
      <c r="D185" s="8">
        <f t="shared" si="358"/>
        <v>0</v>
      </c>
      <c r="E185" s="8">
        <f t="shared" si="358"/>
        <v>0</v>
      </c>
      <c r="F185" s="8">
        <f t="shared" si="358"/>
        <v>0</v>
      </c>
      <c r="G185" s="8">
        <f t="shared" ref="G185" ca="1" si="369">G163/G$158</f>
        <v>0</v>
      </c>
      <c r="H185" s="8"/>
      <c r="I185" s="8"/>
      <c r="J185" s="696"/>
      <c r="K185" s="696"/>
      <c r="L185" s="696"/>
      <c r="M185" s="696"/>
      <c r="N185" s="696"/>
      <c r="O185" s="696"/>
      <c r="S185" s="696"/>
      <c r="T185" s="1756"/>
      <c r="U185" s="836"/>
      <c r="V185" s="821"/>
      <c r="W185" s="821"/>
      <c r="X185" s="399"/>
      <c r="Y185" s="822"/>
      <c r="Z185" s="822"/>
      <c r="AA185" s="823"/>
      <c r="AB185" s="824"/>
      <c r="AC185" s="824"/>
      <c r="AD185" s="825"/>
      <c r="AE185" s="743"/>
      <c r="AF185" s="696"/>
      <c r="AG185" s="696"/>
      <c r="AH185" s="745"/>
      <c r="AI185" s="743"/>
      <c r="AJ185" s="696"/>
      <c r="AK185" s="696"/>
      <c r="AL185" s="696"/>
      <c r="AM185" s="743"/>
      <c r="AN185" s="696"/>
      <c r="AO185" s="696"/>
      <c r="AP185" s="745"/>
      <c r="AQ185" s="8"/>
      <c r="AR185" s="696"/>
      <c r="AS185" s="696"/>
      <c r="AT185" s="745"/>
      <c r="AU185" s="696"/>
      <c r="AV185" s="696"/>
      <c r="AW185" s="696"/>
      <c r="AX185" s="745"/>
      <c r="AY185" s="745"/>
      <c r="AZ185" s="1469"/>
      <c r="BA185" s="1468"/>
      <c r="BB185" s="1468"/>
      <c r="BC185" s="1468"/>
      <c r="BD185" s="1468"/>
      <c r="BE185" s="1468"/>
      <c r="BF185" s="1468"/>
      <c r="BG185" s="1468"/>
      <c r="BH185" s="1468"/>
      <c r="BI185" s="1468"/>
      <c r="BJ185" s="1468"/>
      <c r="BK185" s="1468"/>
      <c r="BL185" s="1468"/>
      <c r="BM185" s="696"/>
      <c r="BN185" s="696"/>
      <c r="BO185" s="696"/>
      <c r="BP185" s="696"/>
      <c r="BQ185" s="696"/>
      <c r="BR185" s="696"/>
      <c r="BS185" s="696"/>
      <c r="BT185" s="696"/>
      <c r="BU185" s="822"/>
      <c r="BV185" s="822"/>
      <c r="BW185" s="822"/>
      <c r="BX185" s="822"/>
      <c r="CD185" s="1883"/>
    </row>
    <row r="186" spans="1:82" s="826" customFormat="1">
      <c r="A186" s="790"/>
      <c r="B186" s="8"/>
      <c r="C186" s="8"/>
      <c r="D186" s="8"/>
      <c r="E186" s="8"/>
      <c r="F186" s="8"/>
      <c r="G186" s="8"/>
      <c r="H186" s="8"/>
      <c r="I186" s="8"/>
      <c r="J186" s="696"/>
      <c r="K186" s="696"/>
      <c r="L186" s="696"/>
      <c r="M186" s="696"/>
      <c r="N186" s="696"/>
      <c r="O186" s="696"/>
      <c r="S186" s="696"/>
      <c r="T186" s="1756"/>
      <c r="U186" s="836"/>
      <c r="V186" s="821"/>
      <c r="W186" s="821"/>
      <c r="X186" s="399"/>
      <c r="Y186" s="822"/>
      <c r="Z186" s="822"/>
      <c r="AA186" s="823"/>
      <c r="AB186" s="824"/>
      <c r="AC186" s="824"/>
      <c r="AD186" s="825"/>
      <c r="AE186" s="743"/>
      <c r="AF186" s="696"/>
      <c r="AG186" s="696"/>
      <c r="AH186" s="745"/>
      <c r="AI186" s="743"/>
      <c r="AJ186" s="696"/>
      <c r="AK186" s="696"/>
      <c r="AL186" s="696"/>
      <c r="AM186" s="743"/>
      <c r="AN186" s="696"/>
      <c r="AO186" s="696"/>
      <c r="AP186" s="745"/>
      <c r="AQ186" s="8"/>
      <c r="AR186" s="696"/>
      <c r="AS186" s="696"/>
      <c r="AT186" s="745"/>
      <c r="AU186" s="696"/>
      <c r="AV186" s="696"/>
      <c r="AW186" s="696"/>
      <c r="AX186" s="745"/>
      <c r="AY186" s="745"/>
      <c r="AZ186" s="1469"/>
      <c r="BA186" s="1468"/>
      <c r="BB186" s="1468"/>
      <c r="BC186" s="1468"/>
      <c r="BD186" s="1468"/>
      <c r="BE186" s="1468"/>
      <c r="BF186" s="1468"/>
      <c r="BG186" s="1468"/>
      <c r="BH186" s="1468"/>
      <c r="BI186" s="1468"/>
      <c r="BJ186" s="1468"/>
      <c r="BK186" s="1468"/>
      <c r="BL186" s="1468"/>
      <c r="BM186" s="696"/>
      <c r="BN186" s="696"/>
      <c r="BO186" s="696"/>
      <c r="BP186" s="696"/>
      <c r="BQ186" s="696"/>
      <c r="BR186" s="696"/>
      <c r="BS186" s="696"/>
      <c r="BT186" s="696"/>
      <c r="BU186" s="822"/>
      <c r="BV186" s="822"/>
      <c r="BW186" s="822"/>
      <c r="BX186" s="822"/>
      <c r="CD186" s="1883"/>
    </row>
    <row r="187" spans="1:82" s="826" customFormat="1">
      <c r="A187" s="1479" t="s">
        <v>904</v>
      </c>
      <c r="B187" s="1480"/>
      <c r="C187" s="1480"/>
      <c r="D187" s="1480"/>
      <c r="E187" s="1480"/>
      <c r="F187" s="1480"/>
      <c r="G187" s="1480"/>
      <c r="H187" s="1480"/>
      <c r="I187" s="1480"/>
      <c r="J187" s="1481"/>
      <c r="K187" s="1481"/>
      <c r="L187" s="1481"/>
      <c r="M187" s="1481"/>
      <c r="N187" s="1481"/>
      <c r="O187" s="1481"/>
      <c r="S187" s="696"/>
      <c r="T187" s="1756"/>
      <c r="U187" s="836"/>
      <c r="V187" s="821"/>
      <c r="W187" s="821"/>
      <c r="X187" s="399"/>
      <c r="Y187" s="822"/>
      <c r="Z187" s="822"/>
      <c r="AA187" s="823"/>
      <c r="AB187" s="824"/>
      <c r="AC187" s="824"/>
      <c r="AD187" s="825"/>
      <c r="AE187" s="743"/>
      <c r="AF187" s="696"/>
      <c r="AG187" s="696"/>
      <c r="AH187" s="745"/>
      <c r="AI187" s="743"/>
      <c r="AJ187" s="696"/>
      <c r="AK187" s="696"/>
      <c r="AL187" s="696"/>
      <c r="AM187" s="743"/>
      <c r="AN187" s="696"/>
      <c r="AO187" s="696"/>
      <c r="AP187" s="745"/>
      <c r="AQ187" s="696"/>
      <c r="AR187" s="696"/>
      <c r="AS187" s="696"/>
      <c r="AT187" s="745"/>
      <c r="AU187" s="696"/>
      <c r="AV187" s="696"/>
      <c r="AW187" s="696"/>
      <c r="AX187" s="745"/>
      <c r="AY187" s="745"/>
      <c r="AZ187" s="1469"/>
      <c r="BA187" s="1468"/>
      <c r="BB187" s="1468"/>
      <c r="BC187" s="1468"/>
      <c r="BD187" s="1468"/>
      <c r="BE187" s="1468"/>
      <c r="BF187" s="1468"/>
      <c r="BG187" s="1468"/>
      <c r="BH187" s="1468"/>
      <c r="BI187" s="1468"/>
      <c r="BJ187" s="1468"/>
      <c r="BK187" s="1468"/>
      <c r="BL187" s="1468"/>
      <c r="BM187" s="696"/>
      <c r="BN187" s="696"/>
      <c r="BO187" s="696"/>
      <c r="BP187" s="696"/>
      <c r="BQ187" s="696"/>
      <c r="BR187" s="696"/>
      <c r="BS187" s="696"/>
      <c r="BT187" s="696"/>
      <c r="BU187" s="822"/>
      <c r="BV187" s="822"/>
      <c r="BW187" s="822"/>
      <c r="BX187" s="822"/>
      <c r="CD187" s="1883"/>
    </row>
    <row r="188" spans="1:82" s="826" customFormat="1">
      <c r="A188" s="1466" t="s">
        <v>1208</v>
      </c>
      <c r="B188" s="696">
        <v>1811</v>
      </c>
      <c r="C188" s="696">
        <v>2453</v>
      </c>
      <c r="D188" s="696">
        <v>3219</v>
      </c>
      <c r="E188" s="696">
        <v>5522</v>
      </c>
      <c r="F188" s="696">
        <v>7349</v>
      </c>
      <c r="G188" s="696">
        <f>10425</f>
        <v>10425</v>
      </c>
      <c r="H188" s="696">
        <v>14263</v>
      </c>
      <c r="I188" s="696">
        <v>16751</v>
      </c>
      <c r="J188" s="2142"/>
      <c r="K188" s="2142"/>
      <c r="L188" s="2142"/>
      <c r="M188" s="2142"/>
      <c r="N188" s="2142">
        <f>H188*1.3</f>
        <v>18541.900000000001</v>
      </c>
      <c r="O188" s="2142">
        <f>G188*1.3</f>
        <v>13552.5</v>
      </c>
      <c r="S188" s="696"/>
      <c r="T188" s="1756"/>
      <c r="U188" s="836"/>
      <c r="V188" s="821"/>
      <c r="W188" s="821"/>
      <c r="X188" s="399"/>
      <c r="Y188" s="822"/>
      <c r="Z188" s="822"/>
      <c r="AA188" s="823"/>
      <c r="AB188" s="824"/>
      <c r="AC188" s="824"/>
      <c r="AD188" s="825"/>
      <c r="AE188" s="743"/>
      <c r="AF188" s="696"/>
      <c r="AG188" s="696"/>
      <c r="AH188" s="745"/>
      <c r="AI188" s="743"/>
      <c r="AJ188" s="696"/>
      <c r="AK188" s="696"/>
      <c r="AL188" s="696"/>
      <c r="AM188" s="743">
        <v>1647</v>
      </c>
      <c r="AN188" s="696"/>
      <c r="AO188" s="696"/>
      <c r="AP188" s="745"/>
      <c r="AQ188" s="696">
        <v>2103</v>
      </c>
      <c r="AR188" s="1465">
        <f>4886-AQ188</f>
        <v>2783</v>
      </c>
      <c r="AS188" s="696"/>
      <c r="AT188" s="745"/>
      <c r="AU188" s="696"/>
      <c r="AV188" s="696"/>
      <c r="AW188" s="696"/>
      <c r="AX188" s="745"/>
      <c r="AY188" s="745"/>
      <c r="AZ188" s="1469"/>
      <c r="BA188" s="1468"/>
      <c r="BB188" s="1468"/>
      <c r="BC188" s="1468"/>
      <c r="BD188" s="1468"/>
      <c r="BE188" s="1468"/>
      <c r="BF188" s="1468"/>
      <c r="BG188" s="1468"/>
      <c r="BH188" s="1468"/>
      <c r="BI188" s="1468"/>
      <c r="BJ188" s="1468"/>
      <c r="BK188" s="1468"/>
      <c r="BL188" s="1468"/>
      <c r="BM188" s="696"/>
      <c r="BN188" s="696"/>
      <c r="BO188" s="696"/>
      <c r="BP188" s="696"/>
      <c r="BQ188" s="696"/>
      <c r="BR188" s="696"/>
      <c r="BS188" s="696"/>
      <c r="BT188" s="696"/>
      <c r="BU188" s="822"/>
      <c r="BV188" s="822"/>
      <c r="BW188" s="822"/>
      <c r="BX188" s="822"/>
      <c r="CA188" s="1196"/>
      <c r="CD188" s="1883"/>
    </row>
    <row r="189" spans="1:82" s="826" customFormat="1">
      <c r="A189" s="819" t="s">
        <v>793</v>
      </c>
      <c r="B189" s="1154"/>
      <c r="C189" s="834">
        <f t="shared" ref="C189:I189" si="370">C188/B188-1</f>
        <v>0.35450027609055779</v>
      </c>
      <c r="D189" s="834">
        <f t="shared" si="370"/>
        <v>0.31227068895230325</v>
      </c>
      <c r="E189" s="834">
        <f t="shared" si="370"/>
        <v>0.71543957750854292</v>
      </c>
      <c r="F189" s="834">
        <f t="shared" si="370"/>
        <v>0.33085838464324513</v>
      </c>
      <c r="G189" s="834">
        <f t="shared" si="370"/>
        <v>0.41856034834671374</v>
      </c>
      <c r="H189" s="834">
        <f t="shared" si="370"/>
        <v>0.36815347721822533</v>
      </c>
      <c r="I189" s="834">
        <f t="shared" si="370"/>
        <v>0.17443735539507821</v>
      </c>
      <c r="J189" s="696"/>
      <c r="K189" s="696"/>
      <c r="L189" s="696"/>
      <c r="M189" s="696"/>
      <c r="N189" s="834">
        <f>N188/H188-1</f>
        <v>0.30000000000000004</v>
      </c>
      <c r="O189" s="834">
        <f>O188/G188-1</f>
        <v>0.30000000000000004</v>
      </c>
      <c r="S189" s="696"/>
      <c r="T189" s="1756"/>
      <c r="U189" s="836"/>
      <c r="V189" s="821"/>
      <c r="W189" s="821"/>
      <c r="X189" s="399"/>
      <c r="Y189" s="822"/>
      <c r="Z189" s="822"/>
      <c r="AA189" s="823"/>
      <c r="AB189" s="824"/>
      <c r="AC189" s="824"/>
      <c r="AD189" s="825"/>
      <c r="AE189" s="743"/>
      <c r="AF189" s="696"/>
      <c r="AG189" s="696"/>
      <c r="AH189" s="745"/>
      <c r="AI189" s="743"/>
      <c r="AJ189" s="696"/>
      <c r="AK189" s="696"/>
      <c r="AL189" s="696"/>
      <c r="AM189" s="743"/>
      <c r="AN189" s="696"/>
      <c r="AO189" s="696"/>
      <c r="AP189" s="745"/>
      <c r="AQ189" s="834">
        <f>AQ188/AM188-1</f>
        <v>0.27686703096539156</v>
      </c>
      <c r="AR189" s="696"/>
      <c r="AS189" s="696"/>
      <c r="AT189" s="745"/>
      <c r="AU189" s="696"/>
      <c r="AV189" s="696"/>
      <c r="AW189" s="696"/>
      <c r="AX189" s="745"/>
      <c r="AY189" s="745"/>
      <c r="AZ189" s="1469"/>
      <c r="BA189" s="1468"/>
      <c r="BB189" s="1468"/>
      <c r="BC189" s="1468"/>
      <c r="BD189" s="1468"/>
      <c r="BE189" s="1468"/>
      <c r="BF189" s="1468"/>
      <c r="BG189" s="1468"/>
      <c r="BH189" s="1468"/>
      <c r="BI189" s="1468"/>
      <c r="BJ189" s="1468"/>
      <c r="BK189" s="1468"/>
      <c r="BL189" s="1468"/>
      <c r="BM189" s="696"/>
      <c r="BN189" s="696"/>
      <c r="BO189" s="696"/>
      <c r="BP189" s="696"/>
      <c r="BQ189" s="696"/>
      <c r="BR189" s="696"/>
      <c r="BS189" s="696"/>
      <c r="BT189" s="696"/>
      <c r="BU189" s="822"/>
      <c r="BV189" s="822"/>
      <c r="BW189" s="822"/>
      <c r="BX189" s="822"/>
      <c r="CD189" s="1883"/>
    </row>
    <row r="190" spans="1:82" s="826" customFormat="1">
      <c r="A190" s="819" t="s">
        <v>1207</v>
      </c>
      <c r="B190" s="834">
        <f t="shared" ref="B190:H190" si="371">B188/B12</f>
        <v>0.21448522598286582</v>
      </c>
      <c r="C190" s="834">
        <f t="shared" si="371"/>
        <v>0.22612331805226427</v>
      </c>
      <c r="D190" s="834">
        <f t="shared" si="371"/>
        <v>0.26824418804259242</v>
      </c>
      <c r="E190" s="834">
        <f t="shared" si="371"/>
        <v>0.37975899677053554</v>
      </c>
      <c r="F190" s="834">
        <f t="shared" si="371"/>
        <v>0.38851747673098047</v>
      </c>
      <c r="G190" s="834">
        <f t="shared" si="371"/>
        <v>0.42922430830039526</v>
      </c>
      <c r="H190" s="834">
        <f t="shared" si="371"/>
        <v>0.46079539947662584</v>
      </c>
      <c r="I190" s="834">
        <f t="shared" ref="I190" si="372">I188/I12</f>
        <v>0.4734328189474874</v>
      </c>
      <c r="J190" s="696"/>
      <c r="K190" s="696"/>
      <c r="L190" s="696"/>
      <c r="M190" s="696"/>
      <c r="N190" s="834">
        <f ca="1">N188/N12</f>
        <v>0.59905337296459038</v>
      </c>
      <c r="O190" s="834">
        <f>O188/O12</f>
        <v>0.5579916007905138</v>
      </c>
      <c r="S190" s="696"/>
      <c r="T190" s="1756"/>
      <c r="U190" s="836"/>
      <c r="V190" s="821"/>
      <c r="W190" s="821"/>
      <c r="X190" s="399"/>
      <c r="Y190" s="822"/>
      <c r="Z190" s="822"/>
      <c r="AA190" s="823"/>
      <c r="AB190" s="824"/>
      <c r="AC190" s="824"/>
      <c r="AD190" s="825"/>
      <c r="AE190" s="743"/>
      <c r="AF190" s="696"/>
      <c r="AG190" s="696"/>
      <c r="AH190" s="745"/>
      <c r="AI190" s="743"/>
      <c r="AJ190" s="696"/>
      <c r="AK190" s="696"/>
      <c r="AL190" s="696"/>
      <c r="AM190" s="743"/>
      <c r="AN190" s="696"/>
      <c r="AO190" s="696"/>
      <c r="AP190" s="745"/>
      <c r="AQ190" s="696"/>
      <c r="AR190" s="696"/>
      <c r="AS190" s="696"/>
      <c r="AT190" s="745"/>
      <c r="AU190" s="696"/>
      <c r="AV190" s="696"/>
      <c r="AW190" s="696"/>
      <c r="AX190" s="745"/>
      <c r="AY190" s="745"/>
      <c r="AZ190" s="1469"/>
      <c r="BA190" s="1468"/>
      <c r="BB190" s="1468"/>
      <c r="BC190" s="1468"/>
      <c r="BD190" s="1468"/>
      <c r="BE190" s="1468"/>
      <c r="BF190" s="1468"/>
      <c r="BG190" s="1468"/>
      <c r="BH190" s="1468"/>
      <c r="BI190" s="1468"/>
      <c r="BJ190" s="1468"/>
      <c r="BK190" s="1468"/>
      <c r="BL190" s="1468"/>
      <c r="BM190" s="696"/>
      <c r="BN190" s="696"/>
      <c r="BO190" s="696"/>
      <c r="BP190" s="696"/>
      <c r="BQ190" s="696"/>
      <c r="BR190" s="696"/>
      <c r="BS190" s="696"/>
      <c r="BT190" s="696"/>
      <c r="BU190" s="822"/>
      <c r="BV190" s="822"/>
      <c r="BW190" s="822"/>
      <c r="BX190" s="822"/>
      <c r="CD190" s="1883"/>
    </row>
    <row r="191" spans="1:82" s="826" customFormat="1">
      <c r="A191" s="735" t="s">
        <v>903</v>
      </c>
      <c r="B191" s="696">
        <f t="shared" ref="B191:H191" si="373">B12-B188</f>
        <v>6632.4719999999998</v>
      </c>
      <c r="C191" s="696">
        <f t="shared" si="373"/>
        <v>8395.0630000000001</v>
      </c>
      <c r="D191" s="696">
        <f t="shared" si="373"/>
        <v>8781.26</v>
      </c>
      <c r="E191" s="696">
        <f t="shared" si="373"/>
        <v>9018.8009999999995</v>
      </c>
      <c r="F191" s="696">
        <f t="shared" si="373"/>
        <v>11566.493999999999</v>
      </c>
      <c r="G191" s="696">
        <f t="shared" si="373"/>
        <v>13863</v>
      </c>
      <c r="H191" s="696">
        <f t="shared" si="373"/>
        <v>16690</v>
      </c>
      <c r="I191" s="696">
        <f t="shared" ref="I191" si="374">I12-I188</f>
        <v>18631</v>
      </c>
      <c r="J191" s="696"/>
      <c r="K191" s="696"/>
      <c r="L191" s="696"/>
      <c r="M191" s="696"/>
      <c r="N191" s="696"/>
      <c r="O191" s="696"/>
      <c r="S191" s="696"/>
      <c r="T191" s="1756"/>
      <c r="U191" s="836"/>
      <c r="V191" s="821"/>
      <c r="W191" s="821"/>
      <c r="X191" s="399"/>
      <c r="Y191" s="822"/>
      <c r="Z191" s="822"/>
      <c r="AA191" s="823"/>
      <c r="AB191" s="824"/>
      <c r="AC191" s="824"/>
      <c r="AD191" s="825"/>
      <c r="AE191" s="743"/>
      <c r="AF191" s="696"/>
      <c r="AG191" s="696"/>
      <c r="AH191" s="745"/>
      <c r="AI191" s="743"/>
      <c r="AJ191" s="696"/>
      <c r="AK191" s="696"/>
      <c r="AL191" s="696"/>
      <c r="AM191" s="743"/>
      <c r="AN191" s="696"/>
      <c r="AO191" s="696"/>
      <c r="AP191" s="745"/>
      <c r="AQ191" s="696"/>
      <c r="AR191" s="696"/>
      <c r="AS191" s="696"/>
      <c r="AT191" s="745"/>
      <c r="AU191" s="696"/>
      <c r="AV191" s="696"/>
      <c r="AW191" s="696"/>
      <c r="AX191" s="745"/>
      <c r="AY191" s="745"/>
      <c r="AZ191" s="1469"/>
      <c r="BA191" s="1468"/>
      <c r="BB191" s="1468"/>
      <c r="BC191" s="1468"/>
      <c r="BD191" s="1468"/>
      <c r="BE191" s="1468"/>
      <c r="BF191" s="1468"/>
      <c r="BG191" s="1468"/>
      <c r="BH191" s="1468"/>
      <c r="BI191" s="1468"/>
      <c r="BJ191" s="1468"/>
      <c r="BK191" s="1468"/>
      <c r="BL191" s="1468"/>
      <c r="BM191" s="696"/>
      <c r="BN191" s="696"/>
      <c r="BO191" s="696"/>
      <c r="BP191" s="696"/>
      <c r="BQ191" s="696"/>
      <c r="BR191" s="696"/>
      <c r="BS191" s="696"/>
      <c r="BT191" s="696"/>
      <c r="BU191" s="822"/>
      <c r="BV191" s="822"/>
      <c r="BW191" s="822"/>
      <c r="BX191" s="822"/>
      <c r="CD191" s="1883"/>
    </row>
    <row r="192" spans="1:82" s="826" customFormat="1">
      <c r="A192" s="819" t="s">
        <v>793</v>
      </c>
      <c r="B192" s="696"/>
      <c r="C192" s="834">
        <f t="shared" ref="C192:I192" si="375">C191/B191-1</f>
        <v>0.26575174384452738</v>
      </c>
      <c r="D192" s="834">
        <f t="shared" si="375"/>
        <v>4.6002870973094634E-2</v>
      </c>
      <c r="E192" s="834">
        <f t="shared" si="375"/>
        <v>2.7050901579044329E-2</v>
      </c>
      <c r="F192" s="834">
        <f t="shared" si="375"/>
        <v>0.28248688489744911</v>
      </c>
      <c r="G192" s="834">
        <f t="shared" si="375"/>
        <v>0.19854815123753156</v>
      </c>
      <c r="H192" s="834">
        <f t="shared" si="375"/>
        <v>0.20392411454952031</v>
      </c>
      <c r="I192" s="834">
        <f t="shared" si="375"/>
        <v>0.11629718394248045</v>
      </c>
      <c r="J192" s="696"/>
      <c r="K192" s="696"/>
      <c r="L192" s="696"/>
      <c r="M192" s="696"/>
      <c r="N192" s="696"/>
      <c r="O192" s="696"/>
      <c r="S192" s="696"/>
      <c r="T192" s="1756"/>
      <c r="U192" s="836"/>
      <c r="V192" s="821"/>
      <c r="W192" s="821"/>
      <c r="X192" s="399"/>
      <c r="Y192" s="822"/>
      <c r="Z192" s="822"/>
      <c r="AA192" s="823"/>
      <c r="AB192" s="824"/>
      <c r="AC192" s="824"/>
      <c r="AD192" s="825"/>
      <c r="AE192" s="743"/>
      <c r="AF192" s="696"/>
      <c r="AG192" s="696"/>
      <c r="AH192" s="745"/>
      <c r="AI192" s="743"/>
      <c r="AJ192" s="696"/>
      <c r="AK192" s="696"/>
      <c r="AL192" s="696"/>
      <c r="AM192" s="743"/>
      <c r="AN192" s="696"/>
      <c r="AO192" s="696"/>
      <c r="AP192" s="745"/>
      <c r="AQ192" s="696"/>
      <c r="AR192" s="696"/>
      <c r="AS192" s="696"/>
      <c r="AT192" s="745"/>
      <c r="AU192" s="696"/>
      <c r="AV192" s="696"/>
      <c r="AW192" s="696"/>
      <c r="AX192" s="745"/>
      <c r="AY192" s="745"/>
      <c r="AZ192" s="1469"/>
      <c r="BA192" s="1468"/>
      <c r="BB192" s="1468"/>
      <c r="BC192" s="1468"/>
      <c r="BD192" s="1468"/>
      <c r="BE192" s="1468"/>
      <c r="BF192" s="1468"/>
      <c r="BG192" s="1468"/>
      <c r="BH192" s="1468"/>
      <c r="BI192" s="1468"/>
      <c r="BJ192" s="1468"/>
      <c r="BK192" s="1468"/>
      <c r="BL192" s="1468"/>
      <c r="BM192" s="696"/>
      <c r="BN192" s="696"/>
      <c r="BO192" s="696"/>
      <c r="BP192" s="696"/>
      <c r="BQ192" s="696"/>
      <c r="BR192" s="696"/>
      <c r="BS192" s="696"/>
      <c r="BT192" s="696"/>
      <c r="BU192" s="822"/>
      <c r="BV192" s="822"/>
      <c r="BW192" s="822"/>
      <c r="BX192" s="822"/>
      <c r="CD192" s="1883"/>
    </row>
    <row r="193" spans="1:82" s="826" customFormat="1">
      <c r="A193" s="819" t="s">
        <v>795</v>
      </c>
      <c r="B193" s="1162">
        <f t="shared" ref="B193:G193" si="376">1-B190</f>
        <v>0.78551477401713421</v>
      </c>
      <c r="C193" s="1162">
        <f t="shared" si="376"/>
        <v>0.77387668194773573</v>
      </c>
      <c r="D193" s="1162">
        <f t="shared" si="376"/>
        <v>0.73175581195740758</v>
      </c>
      <c r="E193" s="1162">
        <f t="shared" si="376"/>
        <v>0.62024100322946452</v>
      </c>
      <c r="F193" s="1162">
        <f t="shared" si="376"/>
        <v>0.61148252326901953</v>
      </c>
      <c r="G193" s="1162">
        <f t="shared" si="376"/>
        <v>0.57077569169960474</v>
      </c>
      <c r="H193" s="1162">
        <f t="shared" ref="H193:I193" si="377">1-H190</f>
        <v>0.53920460052337416</v>
      </c>
      <c r="I193" s="1162">
        <f t="shared" si="377"/>
        <v>0.52656718105251255</v>
      </c>
      <c r="J193" s="696"/>
      <c r="K193" s="696"/>
      <c r="L193" s="696"/>
      <c r="M193" s="696"/>
      <c r="N193" s="696"/>
      <c r="O193" s="696"/>
      <c r="S193" s="696"/>
      <c r="T193" s="1756"/>
      <c r="U193" s="836"/>
      <c r="V193" s="821"/>
      <c r="W193" s="821"/>
      <c r="X193" s="399"/>
      <c r="Y193" s="822"/>
      <c r="Z193" s="822"/>
      <c r="AA193" s="823"/>
      <c r="AB193" s="824"/>
      <c r="AC193" s="824"/>
      <c r="AD193" s="825"/>
      <c r="AE193" s="743"/>
      <c r="AF193" s="696"/>
      <c r="AG193" s="696"/>
      <c r="AH193" s="745"/>
      <c r="AI193" s="743"/>
      <c r="AJ193" s="696"/>
      <c r="AK193" s="696"/>
      <c r="AL193" s="696"/>
      <c r="AM193" s="743"/>
      <c r="AN193" s="696"/>
      <c r="AO193" s="696"/>
      <c r="AP193" s="745"/>
      <c r="AQ193" s="696"/>
      <c r="AR193" s="696"/>
      <c r="AS193" s="696"/>
      <c r="AT193" s="745"/>
      <c r="AU193" s="696"/>
      <c r="AV193" s="696"/>
      <c r="AW193" s="696"/>
      <c r="AX193" s="745"/>
      <c r="AY193" s="745"/>
      <c r="AZ193" s="1469"/>
      <c r="BA193" s="1468"/>
      <c r="BB193" s="1468"/>
      <c r="BC193" s="1468"/>
      <c r="BD193" s="1468"/>
      <c r="BE193" s="1468"/>
      <c r="BF193" s="1468"/>
      <c r="BG193" s="1468"/>
      <c r="BH193" s="1468"/>
      <c r="BI193" s="1468"/>
      <c r="BJ193" s="1468"/>
      <c r="BK193" s="1468"/>
      <c r="BL193" s="1468"/>
      <c r="BM193" s="696"/>
      <c r="BN193" s="696"/>
      <c r="BO193" s="696"/>
      <c r="BP193" s="696"/>
      <c r="BQ193" s="696"/>
      <c r="BR193" s="696"/>
      <c r="BS193" s="696"/>
      <c r="BT193" s="696"/>
      <c r="BU193" s="822"/>
      <c r="BV193" s="822"/>
      <c r="BW193" s="822"/>
      <c r="BX193" s="822"/>
      <c r="CD193" s="1883"/>
    </row>
    <row r="194" spans="1:82" s="826" customFormat="1">
      <c r="A194" s="790"/>
      <c r="B194" s="8"/>
      <c r="C194" s="8"/>
      <c r="D194" s="8"/>
      <c r="E194" s="8"/>
      <c r="F194" s="8"/>
      <c r="G194" s="8"/>
      <c r="H194" s="8"/>
      <c r="I194" s="8"/>
      <c r="J194" s="696"/>
      <c r="K194" s="696"/>
      <c r="L194" s="696"/>
      <c r="M194" s="696"/>
      <c r="N194" s="696"/>
      <c r="O194" s="696"/>
      <c r="S194" s="696"/>
      <c r="T194" s="1756"/>
      <c r="U194" s="836"/>
      <c r="V194" s="821"/>
      <c r="W194" s="821"/>
      <c r="X194" s="399"/>
      <c r="Y194" s="822"/>
      <c r="Z194" s="822"/>
      <c r="AA194" s="823"/>
      <c r="AB194" s="824"/>
      <c r="AC194" s="824"/>
      <c r="AD194" s="825"/>
      <c r="AE194" s="743"/>
      <c r="AF194" s="696"/>
      <c r="AG194" s="696"/>
      <c r="AH194" s="745"/>
      <c r="AI194" s="743"/>
      <c r="AJ194" s="696"/>
      <c r="AK194" s="696"/>
      <c r="AL194" s="696"/>
      <c r="AM194" s="743"/>
      <c r="AN194" s="696"/>
      <c r="AO194" s="696"/>
      <c r="AP194" s="745"/>
      <c r="AQ194" s="696"/>
      <c r="AR194" s="696"/>
      <c r="AS194" s="696"/>
      <c r="AT194" s="745"/>
      <c r="AU194" s="696"/>
      <c r="AV194" s="696"/>
      <c r="AW194" s="696"/>
      <c r="AX194" s="745"/>
      <c r="AY194" s="745"/>
      <c r="AZ194" s="1469"/>
      <c r="BA194" s="1468"/>
      <c r="BB194" s="1468"/>
      <c r="BC194" s="1468"/>
      <c r="BD194" s="1468"/>
      <c r="BE194" s="1468"/>
      <c r="BF194" s="1468"/>
      <c r="BG194" s="1468"/>
      <c r="BH194" s="1468"/>
      <c r="BI194" s="1468"/>
      <c r="BJ194" s="1468"/>
      <c r="BK194" s="1468"/>
      <c r="BL194" s="1468"/>
      <c r="BM194" s="696"/>
      <c r="BN194" s="696"/>
      <c r="BO194" s="696"/>
      <c r="BP194" s="696"/>
      <c r="BQ194" s="696"/>
      <c r="BR194" s="696"/>
      <c r="BS194" s="696"/>
      <c r="BT194" s="696"/>
      <c r="BU194" s="822"/>
      <c r="BV194" s="822"/>
      <c r="BW194" s="822"/>
      <c r="BX194" s="822"/>
      <c r="CD194" s="1883"/>
    </row>
    <row r="195" spans="1:82" s="826" customFormat="1">
      <c r="A195" s="819"/>
      <c r="B195" s="8"/>
      <c r="C195" s="8"/>
      <c r="D195" s="8"/>
      <c r="E195" s="8"/>
      <c r="F195" s="8"/>
      <c r="G195" s="8"/>
      <c r="H195" s="8"/>
      <c r="I195" s="8"/>
      <c r="J195" s="696"/>
      <c r="K195" s="696"/>
      <c r="L195" s="696"/>
      <c r="M195" s="696"/>
      <c r="N195" s="696"/>
      <c r="O195" s="696"/>
      <c r="S195" s="696"/>
      <c r="T195" s="1756"/>
      <c r="U195" s="836"/>
      <c r="V195" s="821"/>
      <c r="W195" s="821"/>
      <c r="X195" s="399"/>
      <c r="Y195" s="822"/>
      <c r="Z195" s="822"/>
      <c r="AA195" s="823"/>
      <c r="AB195" s="824"/>
      <c r="AC195" s="824"/>
      <c r="AD195" s="825"/>
      <c r="AE195" s="743"/>
      <c r="AF195" s="696"/>
      <c r="AG195" s="696"/>
      <c r="AH195" s="745"/>
      <c r="AI195" s="974"/>
      <c r="AJ195" s="834"/>
      <c r="AK195" s="834"/>
      <c r="AL195" s="834"/>
      <c r="AM195" s="974"/>
      <c r="AN195" s="834"/>
      <c r="AO195" s="834"/>
      <c r="AP195" s="981"/>
      <c r="AQ195" s="696"/>
      <c r="AR195" s="696"/>
      <c r="AS195" s="696"/>
      <c r="AT195" s="745"/>
      <c r="AU195" s="696"/>
      <c r="AV195" s="696"/>
      <c r="AW195" s="696"/>
      <c r="AX195" s="745"/>
      <c r="AY195" s="745"/>
      <c r="AZ195" s="1469"/>
      <c r="BA195" s="1468"/>
      <c r="BB195" s="1468"/>
      <c r="BC195" s="1468"/>
      <c r="BD195" s="1468"/>
      <c r="BE195" s="1468"/>
      <c r="BF195" s="1468"/>
      <c r="BG195" s="1468"/>
      <c r="BH195" s="1468"/>
      <c r="BI195" s="1468"/>
      <c r="BJ195" s="1468"/>
      <c r="BK195" s="1468"/>
      <c r="BL195" s="1468"/>
      <c r="BM195" s="696"/>
      <c r="BN195" s="696"/>
      <c r="BO195" s="696"/>
      <c r="BP195" s="696"/>
      <c r="BQ195" s="696"/>
      <c r="BR195" s="696"/>
      <c r="BS195" s="696"/>
      <c r="BT195" s="696"/>
      <c r="BU195" s="822"/>
      <c r="BV195" s="822"/>
      <c r="BW195" s="822"/>
      <c r="BX195" s="822"/>
      <c r="CD195" s="1883"/>
    </row>
    <row r="196" spans="1:82">
      <c r="A196" s="819"/>
      <c r="B196" s="696"/>
      <c r="C196" s="696"/>
      <c r="D196" s="696"/>
      <c r="E196" s="696"/>
      <c r="F196" s="696"/>
      <c r="G196" s="696"/>
      <c r="H196" s="696"/>
      <c r="I196" s="696"/>
      <c r="J196" s="696"/>
      <c r="K196" s="696"/>
      <c r="L196" s="696"/>
      <c r="M196" s="696"/>
      <c r="N196" s="696"/>
      <c r="O196" s="696"/>
      <c r="S196" s="696"/>
      <c r="T196" s="811"/>
      <c r="U196" s="752"/>
      <c r="V196" s="399"/>
      <c r="W196" s="399"/>
      <c r="X196" s="399"/>
      <c r="Y196" s="399"/>
      <c r="Z196" s="399"/>
      <c r="AA196" s="743"/>
      <c r="AB196" s="696"/>
      <c r="AC196" s="696"/>
      <c r="AD196" s="745"/>
      <c r="AE196" s="743"/>
      <c r="AF196" s="696"/>
      <c r="AG196" s="696"/>
      <c r="AH196" s="745"/>
      <c r="AI196" s="743"/>
      <c r="AJ196" s="696"/>
      <c r="AK196" s="696"/>
      <c r="AL196" s="696"/>
      <c r="AM196" s="743"/>
      <c r="AN196" s="696"/>
      <c r="AO196" s="696"/>
      <c r="AP196" s="745"/>
      <c r="AQ196" s="696"/>
      <c r="AR196" s="696"/>
      <c r="AS196" s="696"/>
      <c r="AT196" s="745"/>
      <c r="AU196" s="696"/>
      <c r="AV196" s="696"/>
      <c r="AW196" s="696"/>
      <c r="AX196" s="745"/>
      <c r="AY196" s="745"/>
      <c r="AZ196" s="1469"/>
      <c r="BA196" s="1468"/>
      <c r="BB196" s="1468"/>
      <c r="BC196" s="1468"/>
      <c r="BD196" s="1468"/>
      <c r="BE196" s="1468"/>
      <c r="BF196" s="1468"/>
      <c r="BG196" s="1468"/>
      <c r="BH196" s="1468"/>
      <c r="BI196" s="1468"/>
      <c r="BJ196" s="1468"/>
      <c r="BK196" s="1468"/>
      <c r="BL196" s="1468"/>
      <c r="BM196" s="696"/>
      <c r="BN196" s="696"/>
      <c r="BO196" s="696"/>
      <c r="BP196" s="696"/>
      <c r="BQ196" s="696"/>
      <c r="BR196" s="696"/>
      <c r="BS196" s="696"/>
      <c r="BT196" s="696"/>
      <c r="BU196" s="399"/>
      <c r="BV196" s="399"/>
      <c r="BW196" s="399"/>
      <c r="BX196" s="399"/>
      <c r="CD196" s="1883"/>
    </row>
    <row r="197" spans="1:82">
      <c r="A197" s="1401" t="s">
        <v>898</v>
      </c>
      <c r="B197" s="696"/>
      <c r="C197" s="696"/>
      <c r="D197" s="696"/>
      <c r="E197" s="696"/>
      <c r="F197" s="696"/>
      <c r="G197" s="696"/>
      <c r="H197" s="696"/>
      <c r="I197" s="696"/>
      <c r="J197" s="696"/>
      <c r="K197" s="696"/>
      <c r="L197" s="696"/>
      <c r="M197" s="696"/>
      <c r="N197" s="696"/>
      <c r="O197" s="696"/>
      <c r="S197" s="696"/>
      <c r="T197" s="1915" t="s">
        <v>1117</v>
      </c>
      <c r="U197" s="1916" t="s">
        <v>1040</v>
      </c>
      <c r="V197" s="1929" t="s">
        <v>1091</v>
      </c>
      <c r="W197" s="1760"/>
      <c r="X197" s="399"/>
      <c r="Y197" s="399"/>
      <c r="Z197" s="399"/>
      <c r="AA197" s="743"/>
      <c r="AB197" s="696"/>
      <c r="AC197" s="696"/>
      <c r="AD197" s="745"/>
      <c r="AE197" s="743"/>
      <c r="AF197" s="696"/>
      <c r="AG197" s="696"/>
      <c r="AH197" s="745"/>
      <c r="AI197" s="743"/>
      <c r="AJ197" s="696"/>
      <c r="AK197" s="696"/>
      <c r="AL197" s="696"/>
      <c r="AM197" s="743"/>
      <c r="AN197" s="696"/>
      <c r="AO197" s="696"/>
      <c r="AP197" s="745"/>
      <c r="AQ197" s="696"/>
      <c r="AR197" s="696"/>
      <c r="AS197" s="696"/>
      <c r="AT197" s="745"/>
      <c r="AU197" s="696"/>
      <c r="AV197" s="696"/>
      <c r="AW197" s="696"/>
      <c r="AX197" s="745"/>
      <c r="AY197" s="745"/>
      <c r="AZ197" s="1469"/>
      <c r="BA197" s="1468"/>
      <c r="BB197" s="1468"/>
      <c r="BC197" s="1468"/>
      <c r="BD197" s="1468"/>
      <c r="BE197" s="1468"/>
      <c r="BF197" s="1468"/>
      <c r="BG197" s="1468"/>
      <c r="BH197" s="1468"/>
      <c r="BI197" s="1468"/>
      <c r="BJ197" s="1468"/>
      <c r="BK197" s="1468"/>
      <c r="BL197" s="1468"/>
      <c r="BM197" s="696"/>
      <c r="BN197" s="696"/>
      <c r="BO197" s="696"/>
      <c r="BP197" s="696"/>
      <c r="BQ197" s="696"/>
      <c r="BR197" s="696"/>
      <c r="BS197" s="696"/>
      <c r="BT197" s="696"/>
      <c r="BU197" s="399"/>
      <c r="BV197" s="399"/>
      <c r="BW197" s="399"/>
      <c r="BX197" s="399"/>
      <c r="CD197" s="1883"/>
    </row>
    <row r="198" spans="1:82">
      <c r="A198" s="1457" t="s">
        <v>898</v>
      </c>
      <c r="B198" s="1109"/>
      <c r="C198" s="1109"/>
      <c r="D198" s="1109"/>
      <c r="E198" s="1109"/>
      <c r="F198" s="1109"/>
      <c r="G198" s="1109"/>
      <c r="H198" s="1109"/>
      <c r="I198" s="1109"/>
      <c r="J198" s="1109"/>
      <c r="K198" s="1109"/>
      <c r="L198" s="1109"/>
      <c r="M198" s="1109"/>
      <c r="N198" s="1109"/>
      <c r="O198" s="1109"/>
      <c r="S198" s="698"/>
      <c r="T198" s="1917" t="s">
        <v>163</v>
      </c>
      <c r="U198" s="1464"/>
      <c r="V198" s="1125"/>
      <c r="W198" s="1135"/>
      <c r="X198" s="399"/>
      <c r="Y198" s="399"/>
      <c r="Z198" s="399"/>
      <c r="AA198" s="743"/>
      <c r="AB198" s="696"/>
      <c r="AC198" s="696"/>
      <c r="AD198" s="745"/>
      <c r="AE198" s="743"/>
      <c r="AF198" s="696"/>
      <c r="AG198" s="696"/>
      <c r="AH198" s="745"/>
      <c r="AI198" s="743"/>
      <c r="AJ198" s="738"/>
      <c r="AK198" s="696"/>
      <c r="AL198" s="696"/>
      <c r="AM198" s="743"/>
      <c r="AN198" s="696"/>
      <c r="AO198" s="696"/>
      <c r="AP198" s="745"/>
      <c r="AQ198" s="696"/>
      <c r="AR198" s="696"/>
      <c r="AS198" s="696"/>
      <c r="AT198" s="745"/>
      <c r="AU198" s="696"/>
      <c r="AV198" s="696"/>
      <c r="AW198" s="696"/>
      <c r="AX198" s="745"/>
      <c r="AY198" s="745"/>
      <c r="AZ198" s="1469"/>
      <c r="BA198" s="1468"/>
      <c r="BB198" s="1468"/>
      <c r="BC198" s="1468"/>
      <c r="BD198" s="1468"/>
      <c r="BE198" s="1468"/>
      <c r="BF198" s="1468"/>
      <c r="BG198" s="1468"/>
      <c r="BH198" s="1468"/>
      <c r="BI198" s="1468"/>
      <c r="BJ198" s="1468"/>
      <c r="BK198" s="1468"/>
      <c r="BL198" s="1468"/>
      <c r="BM198" s="696"/>
      <c r="BN198" s="696"/>
      <c r="BO198" s="696"/>
      <c r="BP198" s="696"/>
      <c r="BQ198" s="696"/>
      <c r="BR198" s="696"/>
      <c r="BS198" s="696"/>
      <c r="BT198" s="696"/>
      <c r="BU198" s="399"/>
      <c r="BV198" s="399"/>
      <c r="BW198" s="399"/>
      <c r="BX198" s="399"/>
      <c r="CD198" s="1883"/>
    </row>
    <row r="199" spans="1:82">
      <c r="A199" s="39" t="s">
        <v>899</v>
      </c>
      <c r="B199" s="696"/>
      <c r="C199" s="696">
        <v>6076</v>
      </c>
      <c r="D199" s="696">
        <v>6727</v>
      </c>
      <c r="E199" s="696">
        <v>6787</v>
      </c>
      <c r="F199" s="696">
        <v>7404</v>
      </c>
      <c r="G199" s="696">
        <v>7838</v>
      </c>
      <c r="H199" s="696">
        <v>8800</v>
      </c>
      <c r="I199" s="696">
        <v>10007</v>
      </c>
      <c r="J199" s="696">
        <f>I199*(1+J200)</f>
        <v>11257.875</v>
      </c>
      <c r="K199" s="696">
        <f>J199*(1+K200)</f>
        <v>12642.593625</v>
      </c>
      <c r="L199" s="696">
        <f>K199*(1+L200)</f>
        <v>14159.704860000002</v>
      </c>
      <c r="M199" s="696"/>
      <c r="N199" s="696">
        <f>H199*(1+N200)</f>
        <v>9943.9999999999982</v>
      </c>
      <c r="O199" s="696">
        <f>G199*(1+O200)</f>
        <v>8621.8000000000011</v>
      </c>
      <c r="S199" s="696"/>
      <c r="T199" s="306" t="s">
        <v>899</v>
      </c>
      <c r="U199" s="1452">
        <f>AQ199+AR199</f>
        <v>3824</v>
      </c>
      <c r="V199" s="1126" t="e">
        <f>U199/#REF!</f>
        <v>#REF!</v>
      </c>
      <c r="W199" s="725"/>
      <c r="X199" s="399"/>
      <c r="Y199" s="399"/>
      <c r="Z199" s="399"/>
      <c r="AA199" s="743"/>
      <c r="AB199" s="696"/>
      <c r="AC199" s="696"/>
      <c r="AD199" s="745"/>
      <c r="AE199" s="743"/>
      <c r="AF199" s="696"/>
      <c r="AG199" s="696"/>
      <c r="AH199" s="745"/>
      <c r="AI199" s="743">
        <v>1605</v>
      </c>
      <c r="AJ199" s="696">
        <f>3334-AI199</f>
        <v>1729</v>
      </c>
      <c r="AK199" s="696">
        <f>5007-SUM(AI199:AJ199)</f>
        <v>1673</v>
      </c>
      <c r="AL199" s="696">
        <f>6787-SUM(AI199:AK199)</f>
        <v>1780</v>
      </c>
      <c r="AM199" s="743">
        <v>1780</v>
      </c>
      <c r="AN199" s="696">
        <f>3607-AM199</f>
        <v>1827</v>
      </c>
      <c r="AO199" s="696">
        <f>5471-SUM(AM199:AN199)</f>
        <v>1864</v>
      </c>
      <c r="AP199" s="745">
        <f>7404-SUM(AM199:AO199)</f>
        <v>1933</v>
      </c>
      <c r="AQ199" s="696">
        <v>1906</v>
      </c>
      <c r="AR199" s="696">
        <f>3824-AQ199</f>
        <v>1918</v>
      </c>
      <c r="AS199" s="696">
        <f>5786-AR199-AQ199</f>
        <v>1962</v>
      </c>
      <c r="AT199" s="1449">
        <f>7838-AS199-AR199-AQ199</f>
        <v>2052</v>
      </c>
      <c r="AU199" s="743">
        <v>2074</v>
      </c>
      <c r="AV199" s="696">
        <f>4183-AU199</f>
        <v>2109</v>
      </c>
      <c r="AW199" s="696">
        <f>6426-AV199-AU199</f>
        <v>2243</v>
      </c>
      <c r="AX199" s="745">
        <f>8800-AW199-AV199-AU199</f>
        <v>2374</v>
      </c>
      <c r="AY199" s="745">
        <v>2397</v>
      </c>
      <c r="AZ199" s="1469">
        <v>2460</v>
      </c>
      <c r="BA199" s="1468">
        <f>7389-AZ199-AY199</f>
        <v>2532</v>
      </c>
      <c r="BB199" s="1468">
        <f>10007-BA199-AZ199-AY199</f>
        <v>2618</v>
      </c>
      <c r="BC199" s="1468"/>
      <c r="BD199" s="1468"/>
      <c r="BE199" s="1468"/>
      <c r="BF199" s="1468"/>
      <c r="BG199" s="1468"/>
      <c r="BH199" s="1468"/>
      <c r="BI199" s="1468"/>
      <c r="BJ199" s="1468"/>
      <c r="BK199" s="1468"/>
      <c r="BL199" s="1468"/>
      <c r="BM199" s="696"/>
      <c r="BN199" s="696"/>
      <c r="BO199" s="696"/>
      <c r="BP199" s="696"/>
      <c r="BQ199" s="696"/>
      <c r="BR199" s="696"/>
      <c r="BS199" s="696"/>
      <c r="BT199" s="696"/>
      <c r="BU199" s="399"/>
      <c r="BV199" s="399"/>
      <c r="BW199" s="399"/>
      <c r="BX199" s="399"/>
      <c r="CD199" s="1883"/>
    </row>
    <row r="200" spans="1:82">
      <c r="A200" s="1111" t="s">
        <v>2073</v>
      </c>
      <c r="B200" s="696"/>
      <c r="C200" s="696"/>
      <c r="D200" s="834">
        <f t="shared" ref="D200:I200" si="378">D199/C199-1</f>
        <v>0.10714285714285721</v>
      </c>
      <c r="E200" s="834">
        <f t="shared" si="378"/>
        <v>8.9192805113720297E-3</v>
      </c>
      <c r="F200" s="834">
        <f t="shared" si="378"/>
        <v>9.0909090909090828E-2</v>
      </c>
      <c r="G200" s="834">
        <f t="shared" si="378"/>
        <v>5.8616963803349575E-2</v>
      </c>
      <c r="H200" s="834">
        <f t="shared" si="378"/>
        <v>0.12273539168155145</v>
      </c>
      <c r="I200" s="834">
        <f t="shared" si="378"/>
        <v>0.13715909090909095</v>
      </c>
      <c r="J200" s="1482">
        <v>0.125</v>
      </c>
      <c r="K200" s="1482">
        <v>0.123</v>
      </c>
      <c r="L200" s="1482">
        <v>0.12</v>
      </c>
      <c r="M200" s="1482"/>
      <c r="N200" s="1482">
        <v>0.13</v>
      </c>
      <c r="O200" s="1482">
        <v>0.1</v>
      </c>
      <c r="S200" s="834"/>
      <c r="T200" s="1819"/>
      <c r="V200" s="223"/>
      <c r="X200" s="399"/>
      <c r="Y200" s="399"/>
      <c r="Z200" s="399"/>
      <c r="AA200" s="743"/>
      <c r="AB200" s="696"/>
      <c r="AC200" s="696"/>
      <c r="AD200" s="745"/>
      <c r="AE200" s="743"/>
      <c r="AF200" s="696"/>
      <c r="AG200" s="696"/>
      <c r="AH200" s="745"/>
      <c r="AI200" s="743"/>
      <c r="AJ200" s="696"/>
      <c r="AK200" s="696"/>
      <c r="AL200" s="745"/>
      <c r="AM200" s="834">
        <f t="shared" ref="AM200:AX202" si="379">AM199/AI199-1</f>
        <v>0.10903426791277249</v>
      </c>
      <c r="AN200" s="834">
        <f t="shared" si="379"/>
        <v>5.6680161943319929E-2</v>
      </c>
      <c r="AO200" s="834">
        <f t="shared" si="379"/>
        <v>0.11416616855947392</v>
      </c>
      <c r="AP200" s="981">
        <f t="shared" si="379"/>
        <v>8.595505617977528E-2</v>
      </c>
      <c r="AQ200" s="834">
        <f t="shared" si="379"/>
        <v>7.0786516853932557E-2</v>
      </c>
      <c r="AR200" s="834">
        <f t="shared" si="379"/>
        <v>4.9808429118773923E-2</v>
      </c>
      <c r="AS200" s="834">
        <f t="shared" si="379"/>
        <v>5.2575107296137347E-2</v>
      </c>
      <c r="AT200" s="834">
        <f t="shared" si="379"/>
        <v>6.1562338334195443E-2</v>
      </c>
      <c r="AU200" s="974">
        <f t="shared" si="379"/>
        <v>8.8142707240293827E-2</v>
      </c>
      <c r="AV200" s="834">
        <f t="shared" si="379"/>
        <v>9.9582898852971891E-2</v>
      </c>
      <c r="AW200" s="834">
        <f t="shared" si="379"/>
        <v>0.14322120285423035</v>
      </c>
      <c r="AX200" s="981">
        <f t="shared" si="379"/>
        <v>0.15692007797270957</v>
      </c>
      <c r="AY200" s="981">
        <f t="shared" ref="AY200" si="380">AY199/AU199-1</f>
        <v>0.15573770491803285</v>
      </c>
      <c r="AZ200" s="3285">
        <f t="shared" ref="AZ200:BB200" si="381">AZ199/AV199-1</f>
        <v>0.16642958748221903</v>
      </c>
      <c r="BA200" s="3285">
        <f t="shared" si="381"/>
        <v>0.12884529647793141</v>
      </c>
      <c r="BB200" s="3285">
        <f t="shared" si="381"/>
        <v>0.10278011794439768</v>
      </c>
      <c r="BC200" s="1468"/>
      <c r="BD200" s="1468"/>
      <c r="BE200" s="1468"/>
      <c r="BF200" s="1468"/>
      <c r="BG200" s="1468"/>
      <c r="BH200" s="1468"/>
      <c r="BI200" s="1468"/>
      <c r="BJ200" s="1468"/>
      <c r="BK200" s="1468"/>
      <c r="BL200" s="1468"/>
      <c r="BM200" s="696"/>
      <c r="BN200" s="696"/>
      <c r="BO200" s="696"/>
      <c r="BP200" s="696"/>
      <c r="BQ200" s="696"/>
      <c r="BR200" s="696"/>
      <c r="BS200" s="696"/>
      <c r="BT200" s="696"/>
      <c r="BU200" s="399"/>
      <c r="BV200" s="399"/>
      <c r="BW200" s="399"/>
      <c r="BX200" s="399"/>
      <c r="CD200" s="1883"/>
    </row>
    <row r="201" spans="1:82" s="826" customFormat="1">
      <c r="A201" s="1739" t="s">
        <v>1093</v>
      </c>
      <c r="B201" s="696"/>
      <c r="C201" s="696">
        <v>3713</v>
      </c>
      <c r="D201" s="696">
        <v>4140</v>
      </c>
      <c r="E201" s="696">
        <v>5292</v>
      </c>
      <c r="F201" s="696">
        <v>6550</v>
      </c>
      <c r="G201" s="696">
        <f>15186-G199</f>
        <v>7348</v>
      </c>
      <c r="H201" s="696">
        <v>8106</v>
      </c>
      <c r="I201" s="696">
        <v>8695</v>
      </c>
      <c r="J201" s="696">
        <f>I201*(1+J202)</f>
        <v>9651.4500000000007</v>
      </c>
      <c r="K201" s="696">
        <f>J201*(1+K202)</f>
        <v>10713.109500000002</v>
      </c>
      <c r="L201" s="696">
        <f>K201*(1+L202)</f>
        <v>11891.551545000004</v>
      </c>
      <c r="M201" s="696"/>
      <c r="N201" s="696">
        <f>H201*(1+N202)</f>
        <v>9240.84</v>
      </c>
      <c r="O201" s="696">
        <f>G201*(1+O202)</f>
        <v>8376.7200000000012</v>
      </c>
      <c r="S201" s="696"/>
      <c r="T201" s="1930" t="s">
        <v>900</v>
      </c>
      <c r="U201" s="1931">
        <f>AQ201+AR201</f>
        <v>3599</v>
      </c>
      <c r="V201" s="1932" t="e">
        <f>U201/#REF!</f>
        <v>#REF!</v>
      </c>
      <c r="W201" s="725"/>
      <c r="X201" s="822"/>
      <c r="Y201" s="822"/>
      <c r="Z201" s="822"/>
      <c r="AA201" s="823"/>
      <c r="AB201" s="824"/>
      <c r="AC201" s="824"/>
      <c r="AD201" s="825"/>
      <c r="AE201" s="743"/>
      <c r="AF201" s="696"/>
      <c r="AG201" s="696"/>
      <c r="AH201" s="745"/>
      <c r="AI201" s="743">
        <v>1199</v>
      </c>
      <c r="AJ201" s="696">
        <f>2513-AI201</f>
        <v>1314</v>
      </c>
      <c r="AK201" s="696">
        <f>3816-SUM(AI201:AJ201)</f>
        <v>1303</v>
      </c>
      <c r="AL201" s="745">
        <f>5292-SUM(AI201:AK201)</f>
        <v>1476</v>
      </c>
      <c r="AM201" s="696">
        <v>1540</v>
      </c>
      <c r="AN201" s="696">
        <f>3119-AM201</f>
        <v>1579</v>
      </c>
      <c r="AO201" s="696">
        <f>4773-SUM(AM201:AN201)</f>
        <v>1654</v>
      </c>
      <c r="AP201" s="745">
        <f>6550-SUM(AM201:AO201)</f>
        <v>1777</v>
      </c>
      <c r="AQ201" s="696">
        <v>1789</v>
      </c>
      <c r="AR201" s="696">
        <f>3599-AQ201</f>
        <v>1810</v>
      </c>
      <c r="AS201" s="696">
        <f>5491-AR201-AQ201</f>
        <v>1892</v>
      </c>
      <c r="AT201" s="1449">
        <f>7347-AS201-AR201-AQ201</f>
        <v>1856</v>
      </c>
      <c r="AU201" s="743">
        <v>1811</v>
      </c>
      <c r="AV201" s="696">
        <f>3782-AU201</f>
        <v>1971</v>
      </c>
      <c r="AW201" s="696">
        <f>5894-AV201-AU201</f>
        <v>2112</v>
      </c>
      <c r="AX201" s="745">
        <f>8106-AW201-AV201-AU201</f>
        <v>2212</v>
      </c>
      <c r="AY201" s="745">
        <v>2068</v>
      </c>
      <c r="AZ201" s="1469">
        <v>2105</v>
      </c>
      <c r="BA201" s="1468">
        <f>6350-AZ201-AY201</f>
        <v>2177</v>
      </c>
      <c r="BB201" s="1468">
        <f>8695-BA201-AZ201-AY201</f>
        <v>2345</v>
      </c>
      <c r="BC201" s="1468"/>
      <c r="BD201" s="1468"/>
      <c r="BE201" s="1468"/>
      <c r="BF201" s="1468"/>
      <c r="BG201" s="1468"/>
      <c r="BH201" s="1468"/>
      <c r="BI201" s="1468"/>
      <c r="BJ201" s="1468"/>
      <c r="BK201" s="1468"/>
      <c r="BL201" s="1468"/>
      <c r="BM201" s="696"/>
      <c r="BN201" s="696"/>
      <c r="BO201" s="696"/>
      <c r="BP201" s="696"/>
      <c r="BQ201" s="696"/>
      <c r="BR201" s="696"/>
      <c r="BS201" s="696"/>
      <c r="BT201" s="696"/>
      <c r="BU201" s="822"/>
      <c r="BV201" s="822"/>
      <c r="BW201" s="822"/>
      <c r="BX201" s="822"/>
      <c r="CD201" s="1883"/>
    </row>
    <row r="202" spans="1:82" s="826" customFormat="1">
      <c r="A202" s="1111" t="s">
        <v>2072</v>
      </c>
      <c r="B202" s="696"/>
      <c r="C202" s="696"/>
      <c r="D202" s="834">
        <f t="shared" ref="D202:I202" si="382">D201/C201-1</f>
        <v>0.11500134661998374</v>
      </c>
      <c r="E202" s="834">
        <f t="shared" si="382"/>
        <v>0.27826086956521734</v>
      </c>
      <c r="F202" s="834">
        <f t="shared" si="382"/>
        <v>0.23771730914588063</v>
      </c>
      <c r="G202" s="834">
        <f t="shared" si="382"/>
        <v>0.12183206106870226</v>
      </c>
      <c r="H202" s="834">
        <f t="shared" si="382"/>
        <v>0.10315732172019598</v>
      </c>
      <c r="I202" s="834">
        <f t="shared" si="382"/>
        <v>7.2662225511966438E-2</v>
      </c>
      <c r="J202" s="1483">
        <v>0.11</v>
      </c>
      <c r="K202" s="1483">
        <v>0.11</v>
      </c>
      <c r="L202" s="1483">
        <v>0.11</v>
      </c>
      <c r="M202" s="1483"/>
      <c r="N202" s="1483">
        <v>0.14000000000000001</v>
      </c>
      <c r="O202" s="1483">
        <v>0.14000000000000001</v>
      </c>
      <c r="S202" s="834"/>
      <c r="T202" s="735"/>
      <c r="U202" s="1452"/>
      <c r="V202" s="725"/>
      <c r="W202" s="725"/>
      <c r="X202" s="822"/>
      <c r="Y202" s="822"/>
      <c r="Z202" s="822"/>
      <c r="AA202" s="823"/>
      <c r="AB202" s="824"/>
      <c r="AC202" s="824"/>
      <c r="AD202" s="825"/>
      <c r="AE202" s="743"/>
      <c r="AF202" s="696"/>
      <c r="AG202" s="696"/>
      <c r="AH202" s="745"/>
      <c r="AI202" s="756"/>
      <c r="AJ202" s="1154"/>
      <c r="AK202" s="1154"/>
      <c r="AL202" s="1155"/>
      <c r="AM202" s="834">
        <f t="shared" ref="AM202:AS202" si="383">AM201/AI201-1</f>
        <v>0.28440366972477071</v>
      </c>
      <c r="AN202" s="834">
        <f t="shared" si="383"/>
        <v>0.20167427701674279</v>
      </c>
      <c r="AO202" s="834">
        <f t="shared" si="383"/>
        <v>0.26937835763622409</v>
      </c>
      <c r="AP202" s="981">
        <f t="shared" si="383"/>
        <v>0.20392953929539304</v>
      </c>
      <c r="AQ202" s="834">
        <f t="shared" si="383"/>
        <v>0.16168831168831166</v>
      </c>
      <c r="AR202" s="834">
        <f t="shared" si="383"/>
        <v>0.14629512349588336</v>
      </c>
      <c r="AS202" s="834">
        <f t="shared" si="383"/>
        <v>0.14389359129383306</v>
      </c>
      <c r="AT202" s="834">
        <f t="shared" si="379"/>
        <v>4.4456949915588018E-2</v>
      </c>
      <c r="AU202" s="974">
        <f t="shared" si="379"/>
        <v>1.2297372833985465E-2</v>
      </c>
      <c r="AV202" s="834">
        <f t="shared" si="379"/>
        <v>8.8950276243093818E-2</v>
      </c>
      <c r="AW202" s="834">
        <f t="shared" si="379"/>
        <v>0.11627906976744184</v>
      </c>
      <c r="AX202" s="981">
        <f t="shared" si="379"/>
        <v>0.1918103448275863</v>
      </c>
      <c r="AY202" s="981">
        <f t="shared" ref="AY202" si="384">AY201/AU201-1</f>
        <v>0.14191054665930425</v>
      </c>
      <c r="AZ202" s="3285">
        <f t="shared" ref="AZ202:BB202" si="385">AZ201/AV201-1</f>
        <v>6.7985794013191381E-2</v>
      </c>
      <c r="BA202" s="3285">
        <f t="shared" si="385"/>
        <v>3.0776515151515138E-2</v>
      </c>
      <c r="BB202" s="3285">
        <f t="shared" si="385"/>
        <v>6.0126582278481111E-2</v>
      </c>
      <c r="BC202" s="1468"/>
      <c r="BD202" s="1468"/>
      <c r="BE202" s="1468"/>
      <c r="BF202" s="1468"/>
      <c r="BG202" s="1468"/>
      <c r="BH202" s="1468"/>
      <c r="BI202" s="1468"/>
      <c r="BJ202" s="1468"/>
      <c r="BK202" s="1468"/>
      <c r="BL202" s="1468"/>
      <c r="BM202" s="696"/>
      <c r="BN202" s="696"/>
      <c r="BO202" s="696"/>
      <c r="BP202" s="696"/>
      <c r="BQ202" s="696"/>
      <c r="BR202" s="696"/>
      <c r="BS202" s="696"/>
      <c r="BT202" s="696"/>
      <c r="BU202" s="822"/>
      <c r="BV202" s="822"/>
      <c r="BW202" s="822"/>
      <c r="BX202" s="822"/>
      <c r="CD202" s="1883"/>
    </row>
    <row r="203" spans="1:82">
      <c r="A203" s="735"/>
      <c r="B203" s="696"/>
      <c r="C203" s="696"/>
      <c r="D203" s="696"/>
      <c r="E203" s="696"/>
      <c r="F203" s="696"/>
      <c r="G203" s="696"/>
      <c r="H203" s="696"/>
      <c r="I203" s="696"/>
      <c r="J203" s="696"/>
      <c r="K203" s="696"/>
      <c r="L203" s="696"/>
      <c r="M203" s="696"/>
      <c r="N203" s="696"/>
      <c r="O203" s="696"/>
      <c r="S203" s="696"/>
      <c r="T203" s="39"/>
      <c r="U203" s="1452"/>
      <c r="V203" s="725"/>
      <c r="W203" s="725"/>
      <c r="X203" s="399"/>
      <c r="Y203" s="399"/>
      <c r="Z203" s="399"/>
      <c r="AA203" s="743"/>
      <c r="AB203" s="696"/>
      <c r="AC203" s="696"/>
      <c r="AD203" s="745"/>
      <c r="AE203" s="743"/>
      <c r="AF203" s="696"/>
      <c r="AG203" s="696"/>
      <c r="AH203" s="745"/>
      <c r="AI203" s="756"/>
      <c r="AJ203" s="1154"/>
      <c r="AK203" s="1154"/>
      <c r="AL203" s="1155"/>
      <c r="AM203" s="1154"/>
      <c r="AN203" s="1154"/>
      <c r="AO203" s="1154"/>
      <c r="AP203" s="1155"/>
      <c r="AQ203" s="1154"/>
      <c r="AR203" s="1154"/>
      <c r="AS203" s="1154"/>
      <c r="AT203" s="696"/>
      <c r="AU203" s="743"/>
      <c r="AV203" s="696"/>
      <c r="AW203" s="696"/>
      <c r="AX203" s="745"/>
      <c r="AY203" s="745"/>
      <c r="AZ203" s="1469"/>
      <c r="BA203" s="1468"/>
      <c r="BB203" s="1468"/>
      <c r="BC203" s="1468"/>
      <c r="BD203" s="1468"/>
      <c r="BE203" s="1468"/>
      <c r="BF203" s="1468"/>
      <c r="BG203" s="1468"/>
      <c r="BH203" s="1468"/>
      <c r="BI203" s="1468"/>
      <c r="BJ203" s="1468"/>
      <c r="BK203" s="1468"/>
      <c r="BL203" s="1468"/>
      <c r="BM203" s="696"/>
      <c r="BN203" s="696"/>
      <c r="BO203" s="696"/>
      <c r="BP203" s="696"/>
      <c r="BQ203" s="696"/>
      <c r="BR203" s="696"/>
      <c r="BS203" s="696"/>
      <c r="BT203" s="696"/>
      <c r="BU203" s="399"/>
      <c r="BV203" s="399"/>
      <c r="BW203" s="399"/>
      <c r="BX203" s="399"/>
      <c r="CD203" s="1883"/>
    </row>
    <row r="204" spans="1:82">
      <c r="A204" s="1457" t="s">
        <v>901</v>
      </c>
      <c r="B204" s="1109"/>
      <c r="C204" s="1109"/>
      <c r="D204" s="1109"/>
      <c r="E204" s="1109"/>
      <c r="F204" s="1109"/>
      <c r="G204" s="1109"/>
      <c r="H204" s="1109"/>
      <c r="I204" s="1109"/>
      <c r="J204" s="1109"/>
      <c r="K204" s="1109"/>
      <c r="L204" s="1109"/>
      <c r="M204" s="1109"/>
      <c r="N204" s="1109"/>
      <c r="O204" s="1109"/>
      <c r="S204" s="698"/>
      <c r="T204" s="39"/>
      <c r="U204" s="1452"/>
      <c r="V204" s="725"/>
      <c r="W204" s="725"/>
      <c r="X204" s="399"/>
      <c r="Y204" s="399"/>
      <c r="Z204" s="399"/>
      <c r="AA204" s="743"/>
      <c r="AB204" s="696"/>
      <c r="AC204" s="696"/>
      <c r="AD204" s="745"/>
      <c r="AE204" s="756"/>
      <c r="AF204" s="1154"/>
      <c r="AG204" s="1154"/>
      <c r="AH204" s="1155"/>
      <c r="AI204" s="756"/>
      <c r="AJ204" s="1154"/>
      <c r="AK204" s="1154"/>
      <c r="AL204" s="1155"/>
      <c r="AM204" s="1154"/>
      <c r="AN204" s="1154"/>
      <c r="AO204" s="1154"/>
      <c r="AP204" s="1155"/>
      <c r="AQ204" s="1154"/>
      <c r="AR204" s="1154"/>
      <c r="AS204" s="1154"/>
      <c r="AT204" s="1154"/>
      <c r="AU204" s="756"/>
      <c r="AV204" s="1154"/>
      <c r="AW204" s="1154"/>
      <c r="AX204" s="1155"/>
      <c r="AY204" s="1155"/>
      <c r="AZ204" s="3314"/>
      <c r="BA204" s="3298"/>
      <c r="BB204" s="3298"/>
      <c r="BC204" s="3298"/>
      <c r="BD204" s="3298"/>
      <c r="BE204" s="3298"/>
      <c r="BF204" s="3298"/>
      <c r="BG204" s="3298"/>
      <c r="BH204" s="3298"/>
      <c r="BI204" s="3298"/>
      <c r="BJ204" s="3298"/>
      <c r="BK204" s="3298"/>
      <c r="BL204" s="3298"/>
      <c r="BM204" s="1154"/>
      <c r="BN204" s="1154"/>
      <c r="BO204" s="1154"/>
      <c r="BP204" s="1154"/>
      <c r="BQ204" s="1154"/>
      <c r="BR204" s="1154"/>
      <c r="BS204" s="1154"/>
      <c r="BT204" s="1154"/>
      <c r="BU204" s="399"/>
      <c r="BV204" s="399"/>
      <c r="BW204" s="399"/>
      <c r="BX204" s="399"/>
      <c r="CD204" s="1883"/>
    </row>
    <row r="205" spans="1:82">
      <c r="A205" s="39" t="s">
        <v>899</v>
      </c>
      <c r="B205" s="696"/>
      <c r="C205" s="696">
        <v>1156</v>
      </c>
      <c r="D205" s="696">
        <v>1320</v>
      </c>
      <c r="E205" s="696">
        <v>1452</v>
      </c>
      <c r="F205" s="696">
        <v>1650</v>
      </c>
      <c r="G205" s="696"/>
      <c r="H205" s="696"/>
      <c r="I205" s="696"/>
      <c r="J205" s="696"/>
      <c r="K205" s="696"/>
      <c r="L205" s="696"/>
      <c r="M205" s="696"/>
      <c r="N205" s="696"/>
      <c r="O205" s="696"/>
      <c r="S205" s="696"/>
      <c r="U205" s="1452"/>
      <c r="V205" s="725"/>
      <c r="W205" s="725"/>
      <c r="X205" s="399"/>
      <c r="Y205" s="399"/>
      <c r="Z205" s="399"/>
      <c r="AA205" s="743"/>
      <c r="AB205" s="696"/>
      <c r="AC205" s="696"/>
      <c r="AD205" s="745"/>
      <c r="AE205" s="756"/>
      <c r="AF205" s="1154"/>
      <c r="AG205" s="1154"/>
      <c r="AH205" s="1155"/>
      <c r="AI205" s="6">
        <v>387</v>
      </c>
      <c r="AJ205" s="6">
        <f>780-AI205</f>
        <v>393</v>
      </c>
      <c r="AK205" s="6">
        <f>1107-SUM(AI205:AJ205)</f>
        <v>327</v>
      </c>
      <c r="AL205" s="223">
        <f>1452-SUM(AI205:AK205)</f>
        <v>345</v>
      </c>
      <c r="AM205" s="6">
        <v>410</v>
      </c>
      <c r="AN205" s="753">
        <f>862-AM205</f>
        <v>452</v>
      </c>
      <c r="AO205" s="1154">
        <f>1290-SUM(AM205:AN205)</f>
        <v>428</v>
      </c>
      <c r="AP205" s="1155">
        <f>1650-SUM(AM205:AO205)</f>
        <v>360</v>
      </c>
      <c r="AQ205" s="1154">
        <v>549</v>
      </c>
      <c r="AR205" s="1154"/>
      <c r="AS205" s="1154"/>
      <c r="AT205" s="1155"/>
      <c r="AU205" s="1154"/>
      <c r="AV205" s="1154"/>
      <c r="AW205" s="1154"/>
      <c r="AX205" s="1155"/>
      <c r="AY205" s="1155"/>
      <c r="AZ205" s="3314"/>
      <c r="BA205" s="3298"/>
      <c r="BB205" s="3298"/>
      <c r="BC205" s="3298"/>
      <c r="BD205" s="3298"/>
      <c r="BE205" s="3298"/>
      <c r="BF205" s="3298"/>
      <c r="BG205" s="3298"/>
      <c r="BH205" s="3298"/>
      <c r="BI205" s="3298"/>
      <c r="BJ205" s="3298"/>
      <c r="BK205" s="3298"/>
      <c r="BL205" s="3298"/>
      <c r="BM205" s="1154"/>
      <c r="BN205" s="1154"/>
      <c r="BO205" s="1154"/>
      <c r="BP205" s="1154"/>
      <c r="BQ205" s="1154"/>
      <c r="BR205" s="1154"/>
      <c r="BS205" s="1154"/>
      <c r="BT205" s="1154"/>
      <c r="BU205" s="399"/>
      <c r="BV205" s="399"/>
      <c r="BW205" s="399"/>
      <c r="BX205" s="399"/>
      <c r="CD205" s="1883"/>
    </row>
    <row r="206" spans="1:82">
      <c r="A206" s="1111" t="s">
        <v>793</v>
      </c>
      <c r="B206" s="696"/>
      <c r="C206" s="696"/>
      <c r="D206" s="834">
        <f>D205/C205-1</f>
        <v>0.1418685121107266</v>
      </c>
      <c r="E206" s="834">
        <f>E205/D205-1</f>
        <v>0.10000000000000009</v>
      </c>
      <c r="F206" s="834">
        <f>F205/E205-1</f>
        <v>0.13636363636363646</v>
      </c>
      <c r="G206" s="834"/>
      <c r="H206" s="834"/>
      <c r="I206" s="834"/>
      <c r="J206" s="696"/>
      <c r="K206" s="696"/>
      <c r="L206" s="696"/>
      <c r="M206" s="696"/>
      <c r="N206" s="696"/>
      <c r="O206" s="696"/>
      <c r="S206" s="696"/>
      <c r="T206" s="811"/>
      <c r="U206" s="1"/>
      <c r="V206" s="1"/>
      <c r="W206" s="1"/>
      <c r="X206" s="399"/>
      <c r="Y206" s="399"/>
      <c r="Z206" s="399"/>
      <c r="AA206" s="743"/>
      <c r="AB206" s="696"/>
      <c r="AC206" s="696"/>
      <c r="AD206" s="745"/>
      <c r="AE206" s="756"/>
      <c r="AF206" s="1154"/>
      <c r="AG206" s="1154"/>
      <c r="AH206" s="1155"/>
      <c r="AI206" s="756"/>
      <c r="AJ206" s="1154"/>
      <c r="AK206" s="1154"/>
      <c r="AL206" s="1155"/>
      <c r="AM206" s="834">
        <f>AM205/AI205-1</f>
        <v>5.9431524547803649E-2</v>
      </c>
      <c r="AN206" s="834">
        <f>AN205/AJ205-1</f>
        <v>0.15012722646310439</v>
      </c>
      <c r="AO206" s="834">
        <f>AO205/AK205-1</f>
        <v>0.30886850152905199</v>
      </c>
      <c r="AP206" s="981">
        <f>AP205/AL205-1</f>
        <v>4.3478260869565188E-2</v>
      </c>
      <c r="AQ206" s="834">
        <f>AQ205/AM205-1</f>
        <v>0.33902439024390252</v>
      </c>
      <c r="AR206" s="1154"/>
      <c r="AS206" s="1154"/>
      <c r="AT206" s="1155"/>
      <c r="AU206" s="1154"/>
      <c r="AV206" s="1154"/>
      <c r="AW206" s="1154"/>
      <c r="AX206" s="1155"/>
      <c r="AY206" s="1155"/>
      <c r="AZ206" s="3314"/>
      <c r="BA206" s="3298"/>
      <c r="BB206" s="3298"/>
      <c r="BC206" s="3298"/>
      <c r="BD206" s="3298"/>
      <c r="BE206" s="3298"/>
      <c r="BF206" s="3298"/>
      <c r="BG206" s="3298"/>
      <c r="BH206" s="3298"/>
      <c r="BI206" s="3298"/>
      <c r="BJ206" s="3298"/>
      <c r="BK206" s="3298"/>
      <c r="BL206" s="3298"/>
      <c r="BM206" s="1154"/>
      <c r="BN206" s="1154"/>
      <c r="BO206" s="1154"/>
      <c r="BP206" s="1154"/>
      <c r="BQ206" s="1154"/>
      <c r="BR206" s="1154"/>
      <c r="BS206" s="1154"/>
      <c r="BT206" s="1154"/>
      <c r="BU206" s="399"/>
      <c r="BV206" s="399"/>
      <c r="BW206" s="399"/>
      <c r="BX206" s="399"/>
      <c r="CD206" s="1883"/>
    </row>
    <row r="207" spans="1:82">
      <c r="A207" s="1111" t="s">
        <v>794</v>
      </c>
      <c r="B207" s="696"/>
      <c r="C207" s="834">
        <f>C205/C199</f>
        <v>0.19025674786043451</v>
      </c>
      <c r="D207" s="834">
        <f>D205/D199</f>
        <v>0.19622417125018582</v>
      </c>
      <c r="E207" s="834">
        <f>E205/E199</f>
        <v>0.21393841166936792</v>
      </c>
      <c r="F207" s="834">
        <f>F205/F199</f>
        <v>0.22285251215559157</v>
      </c>
      <c r="G207" s="834"/>
      <c r="H207" s="834"/>
      <c r="I207" s="834"/>
      <c r="J207" s="696"/>
      <c r="K207" s="696"/>
      <c r="L207" s="696"/>
      <c r="M207" s="696"/>
      <c r="N207" s="696"/>
      <c r="O207" s="696"/>
      <c r="S207" s="696"/>
      <c r="T207" s="811"/>
      <c r="U207" s="1"/>
      <c r="V207" s="1"/>
      <c r="W207" s="1"/>
      <c r="X207" s="399"/>
      <c r="Y207" s="399"/>
      <c r="Z207" s="399"/>
      <c r="AA207" s="743"/>
      <c r="AB207" s="696"/>
      <c r="AC207" s="696"/>
      <c r="AD207" s="745"/>
      <c r="AE207" s="756"/>
      <c r="AF207" s="1154"/>
      <c r="AG207" s="1154"/>
      <c r="AH207" s="1155"/>
      <c r="AI207" s="974">
        <f>AI205/AI199</f>
        <v>0.24112149532710281</v>
      </c>
      <c r="AJ207" s="834">
        <f t="shared" ref="AJ207:AP207" si="386">AJ205/AJ199</f>
        <v>0.22729901677270098</v>
      </c>
      <c r="AK207" s="834">
        <f t="shared" si="386"/>
        <v>0.19545726240286909</v>
      </c>
      <c r="AL207" s="834">
        <f t="shared" si="386"/>
        <v>0.19382022471910113</v>
      </c>
      <c r="AM207" s="974">
        <f t="shared" si="386"/>
        <v>0.2303370786516854</v>
      </c>
      <c r="AN207" s="834">
        <f t="shared" si="386"/>
        <v>0.24740010946907498</v>
      </c>
      <c r="AO207" s="834">
        <f t="shared" si="386"/>
        <v>0.2296137339055794</v>
      </c>
      <c r="AP207" s="981">
        <f t="shared" si="386"/>
        <v>0.18623900672529747</v>
      </c>
      <c r="AQ207" s="834">
        <f>AQ205/AQ199</f>
        <v>0.28803777544596015</v>
      </c>
      <c r="AR207" s="1154"/>
      <c r="AS207" s="1154"/>
      <c r="AT207" s="1155"/>
      <c r="AU207" s="1154"/>
      <c r="AV207" s="1154"/>
      <c r="AW207" s="1154"/>
      <c r="AX207" s="1155"/>
      <c r="AY207" s="1155"/>
      <c r="AZ207" s="3314"/>
      <c r="BA207" s="3298"/>
      <c r="BB207" s="3298"/>
      <c r="BC207" s="3298"/>
      <c r="BD207" s="3298"/>
      <c r="BE207" s="3298"/>
      <c r="BF207" s="3298"/>
      <c r="BG207" s="3298"/>
      <c r="BH207" s="3298"/>
      <c r="BI207" s="3298"/>
      <c r="BJ207" s="3298"/>
      <c r="BK207" s="3298"/>
      <c r="BL207" s="3298"/>
      <c r="BM207" s="1154"/>
      <c r="BN207" s="1154"/>
      <c r="BO207" s="1154"/>
      <c r="BP207" s="1154"/>
      <c r="BQ207" s="1154"/>
      <c r="BR207" s="1154"/>
      <c r="BS207" s="1154"/>
      <c r="BT207" s="1154"/>
      <c r="BU207" s="399"/>
      <c r="BV207" s="399"/>
      <c r="BW207" s="399"/>
      <c r="BX207" s="399"/>
      <c r="CD207" s="1883"/>
    </row>
    <row r="208" spans="1:82" s="826" customFormat="1">
      <c r="A208" s="39" t="s">
        <v>900</v>
      </c>
      <c r="B208" s="696"/>
      <c r="C208" s="696">
        <v>332</v>
      </c>
      <c r="D208" s="696">
        <v>499</v>
      </c>
      <c r="E208" s="696">
        <v>667</v>
      </c>
      <c r="F208" s="696">
        <v>859</v>
      </c>
      <c r="G208" s="696"/>
      <c r="H208" s="696"/>
      <c r="I208" s="696"/>
      <c r="J208" s="696"/>
      <c r="K208" s="696"/>
      <c r="L208" s="696"/>
      <c r="M208" s="696"/>
      <c r="N208" s="696"/>
      <c r="O208" s="696"/>
      <c r="S208" s="696"/>
      <c r="T208" s="1756"/>
      <c r="U208" s="821"/>
      <c r="V208" s="821"/>
      <c r="W208" s="821"/>
      <c r="X208" s="822"/>
      <c r="Y208" s="822"/>
      <c r="Z208" s="822"/>
      <c r="AA208" s="823"/>
      <c r="AB208" s="824"/>
      <c r="AC208" s="824"/>
      <c r="AD208" s="825"/>
      <c r="AE208" s="756"/>
      <c r="AF208" s="1154"/>
      <c r="AG208" s="1154"/>
      <c r="AH208" s="1155"/>
      <c r="AI208" s="6">
        <v>136</v>
      </c>
      <c r="AJ208" s="6">
        <f>289-AI208</f>
        <v>153</v>
      </c>
      <c r="AK208" s="6">
        <f>493-SUM(AI208:AJ208)</f>
        <v>204</v>
      </c>
      <c r="AL208" s="223">
        <f>667-SUM(AI208:AK208)</f>
        <v>174</v>
      </c>
      <c r="AM208" s="6">
        <v>233</v>
      </c>
      <c r="AN208" s="6">
        <f>427-AM208</f>
        <v>194</v>
      </c>
      <c r="AO208" s="1159">
        <f>639-SUM(AM208:AN208)</f>
        <v>212</v>
      </c>
      <c r="AP208" s="1160">
        <f>859-SUM(AM208:AO208)</f>
        <v>220</v>
      </c>
      <c r="AQ208" s="1159">
        <v>174</v>
      </c>
      <c r="AR208" s="1159"/>
      <c r="AS208" s="1159"/>
      <c r="AT208" s="1160"/>
      <c r="AU208" s="1159"/>
      <c r="AV208" s="1159"/>
      <c r="AW208" s="1159"/>
      <c r="AX208" s="1160"/>
      <c r="AY208" s="1160"/>
      <c r="AZ208" s="3315"/>
      <c r="BA208" s="3299"/>
      <c r="BB208" s="3299"/>
      <c r="BC208" s="3299"/>
      <c r="BD208" s="3299"/>
      <c r="BE208" s="3299"/>
      <c r="BF208" s="3299"/>
      <c r="BG208" s="3299"/>
      <c r="BH208" s="3299"/>
      <c r="BI208" s="3299"/>
      <c r="BJ208" s="3299"/>
      <c r="BK208" s="3299"/>
      <c r="BL208" s="3299"/>
      <c r="BM208" s="1159"/>
      <c r="BN208" s="1159"/>
      <c r="BO208" s="1159"/>
      <c r="BP208" s="1159"/>
      <c r="BQ208" s="1159"/>
      <c r="BR208" s="1159"/>
      <c r="BS208" s="1159"/>
      <c r="BT208" s="1159"/>
      <c r="BU208" s="822"/>
      <c r="BV208" s="822"/>
      <c r="BW208" s="822"/>
      <c r="BX208" s="822"/>
      <c r="CD208" s="1883"/>
    </row>
    <row r="209" spans="1:89">
      <c r="A209" s="1111" t="s">
        <v>793</v>
      </c>
      <c r="B209" s="696"/>
      <c r="C209" s="834"/>
      <c r="D209" s="834">
        <f>D208/C208-1</f>
        <v>0.50301204819277112</v>
      </c>
      <c r="E209" s="834">
        <f>E208/D208-1</f>
        <v>0.33667334669338667</v>
      </c>
      <c r="F209" s="834">
        <f>F208/E208-1</f>
        <v>0.28785607196401797</v>
      </c>
      <c r="G209" s="834"/>
      <c r="H209" s="834"/>
      <c r="I209" s="834"/>
      <c r="J209" s="696"/>
      <c r="K209" s="696"/>
      <c r="L209" s="696"/>
      <c r="M209" s="696"/>
      <c r="N209" s="696"/>
      <c r="O209" s="696"/>
      <c r="S209" s="696"/>
      <c r="T209" s="811"/>
      <c r="U209" s="725"/>
      <c r="V209" s="725"/>
      <c r="W209" s="725"/>
      <c r="X209" s="399"/>
      <c r="Y209" s="399"/>
      <c r="Z209" s="399"/>
      <c r="AA209" s="743"/>
      <c r="AB209" s="696"/>
      <c r="AC209" s="696"/>
      <c r="AD209" s="745"/>
      <c r="AE209" s="756"/>
      <c r="AF209" s="1154"/>
      <c r="AG209" s="1154"/>
      <c r="AH209" s="1155"/>
      <c r="AI209" s="974"/>
      <c r="AJ209" s="1154"/>
      <c r="AK209" s="1154"/>
      <c r="AL209" s="1155"/>
      <c r="AM209" s="834">
        <f>AM208/AI208-1</f>
        <v>0.71323529411764697</v>
      </c>
      <c r="AN209" s="834">
        <f>AN208/AJ208-1</f>
        <v>0.26797385620915026</v>
      </c>
      <c r="AO209" s="834">
        <f>AO208/AK208-1</f>
        <v>3.9215686274509887E-2</v>
      </c>
      <c r="AP209" s="981">
        <f>AP208/AL208-1</f>
        <v>0.26436781609195403</v>
      </c>
      <c r="AQ209" s="834">
        <f>AQ208/AM208-1</f>
        <v>-0.25321888412017168</v>
      </c>
      <c r="AR209" s="1154"/>
      <c r="AS209" s="1154"/>
      <c r="AT209" s="1155"/>
      <c r="AU209" s="1154"/>
      <c r="AV209" s="1154"/>
      <c r="AW209" s="1154"/>
      <c r="AX209" s="1155"/>
      <c r="AY209" s="1155"/>
      <c r="AZ209" s="3314"/>
      <c r="BA209" s="3298"/>
      <c r="BB209" s="3298"/>
      <c r="BC209" s="3298"/>
      <c r="BD209" s="3298"/>
      <c r="BE209" s="3298"/>
      <c r="BF209" s="3298"/>
      <c r="BG209" s="3298"/>
      <c r="BH209" s="3298"/>
      <c r="BI209" s="3298"/>
      <c r="BJ209" s="3298"/>
      <c r="BK209" s="3298"/>
      <c r="BL209" s="3298"/>
      <c r="BM209" s="1154"/>
      <c r="BN209" s="1154"/>
      <c r="BO209" s="1154"/>
      <c r="BP209" s="1154"/>
      <c r="BQ209" s="1154"/>
      <c r="BR209" s="1154"/>
      <c r="BS209" s="1154"/>
      <c r="BT209" s="1154"/>
      <c r="BU209" s="399"/>
      <c r="BV209" s="399"/>
      <c r="BW209" s="399"/>
      <c r="BX209" s="399"/>
      <c r="CD209" s="1883"/>
    </row>
    <row r="210" spans="1:89">
      <c r="A210" s="1111" t="s">
        <v>794</v>
      </c>
      <c r="B210" s="696"/>
      <c r="C210" s="834">
        <f>C208/C201</f>
        <v>8.941556692701319E-2</v>
      </c>
      <c r="D210" s="834">
        <f>D208/D201</f>
        <v>0.12053140096618357</v>
      </c>
      <c r="E210" s="834">
        <f>E208/E201</f>
        <v>0.12603930461073318</v>
      </c>
      <c r="F210" s="834">
        <f>F208/F201</f>
        <v>0.13114503816793893</v>
      </c>
      <c r="G210" s="834"/>
      <c r="H210" s="834"/>
      <c r="I210" s="834"/>
      <c r="J210" s="696"/>
      <c r="K210" s="696"/>
      <c r="L210" s="696"/>
      <c r="M210" s="696"/>
      <c r="N210" s="696"/>
      <c r="O210" s="696"/>
      <c r="S210" s="696"/>
      <c r="U210" s="725"/>
      <c r="V210" s="725"/>
      <c r="W210" s="725"/>
      <c r="AA210" s="744"/>
      <c r="AB210" s="738"/>
      <c r="AC210" s="738"/>
      <c r="AD210" s="746"/>
      <c r="AE210" s="1156"/>
      <c r="AF210" s="1157"/>
      <c r="AG210" s="1157"/>
      <c r="AH210" s="1158"/>
      <c r="AI210" s="1161">
        <f>AI208/AI201</f>
        <v>0.1134278565471226</v>
      </c>
      <c r="AJ210" s="830">
        <f t="shared" ref="AJ210:AP210" si="387">AJ208/AJ201</f>
        <v>0.11643835616438356</v>
      </c>
      <c r="AK210" s="830">
        <f t="shared" si="387"/>
        <v>0.15656178050652342</v>
      </c>
      <c r="AL210" s="830">
        <f t="shared" si="387"/>
        <v>0.11788617886178862</v>
      </c>
      <c r="AM210" s="1161">
        <f t="shared" si="387"/>
        <v>0.15129870129870129</v>
      </c>
      <c r="AN210" s="830">
        <f t="shared" si="387"/>
        <v>0.12286257124762508</v>
      </c>
      <c r="AO210" s="830">
        <f t="shared" si="387"/>
        <v>0.12817412333736397</v>
      </c>
      <c r="AP210" s="971">
        <f t="shared" si="387"/>
        <v>0.12380416432189083</v>
      </c>
      <c r="AQ210" s="830">
        <f>AQ208/AQ201</f>
        <v>9.726103968697597E-2</v>
      </c>
      <c r="AR210" s="1157"/>
      <c r="AS210" s="1157"/>
      <c r="AT210" s="1158"/>
      <c r="AU210" s="1157"/>
      <c r="AV210" s="1157"/>
      <c r="AW210" s="1157"/>
      <c r="AX210" s="1158"/>
      <c r="AY210" s="1158"/>
      <c r="AZ210" s="3316"/>
      <c r="BA210" s="3300"/>
      <c r="BB210" s="3300"/>
      <c r="BC210" s="3300"/>
      <c r="BD210" s="3300"/>
      <c r="BE210" s="3300"/>
      <c r="BF210" s="3300"/>
      <c r="BG210" s="3300"/>
      <c r="BH210" s="3300"/>
      <c r="BI210" s="3300"/>
      <c r="BJ210" s="3300"/>
      <c r="BK210" s="3300"/>
      <c r="BL210" s="3300"/>
      <c r="BM210" s="1157"/>
      <c r="BN210" s="1157"/>
      <c r="BO210" s="1157"/>
      <c r="BP210" s="1157"/>
      <c r="BQ210" s="1157"/>
      <c r="BR210" s="1157"/>
      <c r="BS210" s="1157"/>
      <c r="BT210" s="1157"/>
      <c r="CD210" s="1883"/>
    </row>
    <row r="211" spans="1:89">
      <c r="A211" s="819"/>
      <c r="B211" s="696"/>
      <c r="C211" s="834"/>
      <c r="D211" s="834"/>
      <c r="E211" s="834"/>
      <c r="F211" s="834"/>
      <c r="G211" s="834"/>
      <c r="H211" s="834"/>
      <c r="I211" s="834"/>
      <c r="J211" s="696"/>
      <c r="K211" s="696"/>
      <c r="L211" s="696"/>
      <c r="M211" s="696"/>
      <c r="N211" s="696"/>
      <c r="O211" s="696"/>
      <c r="S211" s="696"/>
      <c r="U211" s="725"/>
      <c r="V211" s="725"/>
      <c r="W211" s="725"/>
      <c r="AA211" s="744"/>
      <c r="AB211" s="738"/>
      <c r="AC211" s="738"/>
      <c r="AD211" s="746"/>
      <c r="AE211" s="1156"/>
      <c r="AF211" s="1157"/>
      <c r="AG211" s="1157"/>
      <c r="AH211" s="1158"/>
      <c r="AI211" s="1161"/>
      <c r="AJ211" s="830"/>
      <c r="AK211" s="830"/>
      <c r="AL211" s="830"/>
      <c r="AM211" s="1161"/>
      <c r="AN211" s="830"/>
      <c r="AO211" s="830"/>
      <c r="AP211" s="971"/>
      <c r="AQ211" s="830"/>
      <c r="AR211" s="1157"/>
      <c r="AS211" s="1157"/>
      <c r="AT211" s="1158"/>
      <c r="AU211" s="1157"/>
      <c r="AV211" s="1157"/>
      <c r="AW211" s="1157"/>
      <c r="AX211" s="1158"/>
      <c r="AY211" s="1158"/>
      <c r="AZ211" s="3316"/>
      <c r="BA211" s="3300"/>
      <c r="BB211" s="3300"/>
      <c r="BC211" s="3300"/>
      <c r="BD211" s="3300"/>
      <c r="BE211" s="3300"/>
      <c r="BF211" s="3300"/>
      <c r="BG211" s="3300"/>
      <c r="BH211" s="3300"/>
      <c r="BI211" s="3300"/>
      <c r="BJ211" s="3300"/>
      <c r="BK211" s="3300"/>
      <c r="BL211" s="3300"/>
      <c r="BM211" s="1157"/>
      <c r="BN211" s="1157"/>
      <c r="BO211" s="1157"/>
      <c r="BP211" s="1157"/>
      <c r="BQ211" s="1157"/>
      <c r="BR211" s="1157"/>
      <c r="BS211" s="1157"/>
      <c r="BT211" s="1157"/>
      <c r="CD211" s="1883"/>
    </row>
    <row r="212" spans="1:89">
      <c r="A212" s="819"/>
      <c r="B212" s="696"/>
      <c r="C212" s="834"/>
      <c r="D212" s="834"/>
      <c r="E212" s="834"/>
      <c r="F212" s="834"/>
      <c r="G212" s="834"/>
      <c r="H212" s="834"/>
      <c r="I212" s="834"/>
      <c r="J212" s="696"/>
      <c r="K212" s="696"/>
      <c r="L212" s="696"/>
      <c r="M212" s="696"/>
      <c r="N212" s="696"/>
      <c r="O212" s="696"/>
      <c r="S212" s="696"/>
      <c r="U212" s="725"/>
      <c r="V212" s="725"/>
      <c r="W212" s="725"/>
      <c r="AA212" s="744"/>
      <c r="AB212" s="738"/>
      <c r="AC212" s="738"/>
      <c r="AD212" s="746"/>
      <c r="AE212" s="1156"/>
      <c r="AF212" s="1157"/>
      <c r="AG212" s="1157"/>
      <c r="AH212" s="1158"/>
      <c r="AI212" s="1161"/>
      <c r="AJ212" s="830"/>
      <c r="AK212" s="830"/>
      <c r="AL212" s="830"/>
      <c r="AM212" s="1161"/>
      <c r="AN212" s="830"/>
      <c r="AO212" s="830"/>
      <c r="AP212" s="971"/>
      <c r="AQ212" s="830"/>
      <c r="AR212" s="1157"/>
      <c r="AS212" s="1157"/>
      <c r="AT212" s="1158"/>
      <c r="AU212" s="1157"/>
      <c r="AV212" s="1157"/>
      <c r="AW212" s="1157"/>
      <c r="AX212" s="1158"/>
      <c r="AY212" s="1158"/>
      <c r="AZ212" s="3316"/>
      <c r="BA212" s="3300"/>
      <c r="BB212" s="3300"/>
      <c r="BC212" s="3300"/>
      <c r="BD212" s="3300"/>
      <c r="BE212" s="3300"/>
      <c r="BF212" s="3300"/>
      <c r="BG212" s="3300"/>
      <c r="BH212" s="3300"/>
      <c r="BI212" s="3300"/>
      <c r="BJ212" s="3300"/>
      <c r="BK212" s="3300"/>
      <c r="BL212" s="3300"/>
      <c r="BM212" s="1157"/>
      <c r="BN212" s="1157"/>
      <c r="BO212" s="1157"/>
      <c r="BP212" s="1157"/>
      <c r="BQ212" s="1157"/>
      <c r="BR212" s="1157"/>
      <c r="BS212" s="1157"/>
      <c r="BT212" s="1157"/>
      <c r="CD212" s="1883"/>
    </row>
    <row r="213" spans="1:89">
      <c r="A213" s="1401" t="s">
        <v>1053</v>
      </c>
      <c r="B213" s="696"/>
      <c r="C213" s="696"/>
      <c r="D213" s="696"/>
      <c r="E213" s="696"/>
      <c r="F213" s="696"/>
      <c r="G213" s="696"/>
      <c r="H213" s="696"/>
      <c r="I213" s="696"/>
      <c r="J213" s="696"/>
      <c r="K213" s="696"/>
      <c r="L213" s="696"/>
      <c r="M213" s="696"/>
      <c r="N213" s="696"/>
      <c r="O213" s="696"/>
      <c r="S213" s="696"/>
      <c r="T213" s="1765"/>
      <c r="U213" s="36"/>
      <c r="V213" s="36"/>
      <c r="W213" s="36"/>
      <c r="X213" s="36"/>
      <c r="Y213" s="36"/>
      <c r="Z213" s="36"/>
      <c r="AA213" s="744"/>
      <c r="AB213" s="738"/>
      <c r="AC213" s="738"/>
      <c r="AD213" s="746"/>
      <c r="AE213" s="1156"/>
      <c r="AF213" s="1157"/>
      <c r="AG213" s="1157"/>
      <c r="AH213" s="1158"/>
      <c r="AI213" s="1156"/>
      <c r="AJ213" s="1157"/>
      <c r="AK213" s="1157"/>
      <c r="AL213" s="1157"/>
      <c r="AM213" s="1156"/>
      <c r="AN213" s="1157"/>
      <c r="AO213" s="1157"/>
      <c r="AP213" s="1158"/>
      <c r="AQ213" s="1157"/>
      <c r="AR213" s="1157"/>
      <c r="AS213" s="1157"/>
      <c r="AT213" s="1158"/>
      <c r="AU213" s="1157"/>
      <c r="AV213" s="1157"/>
      <c r="AW213" s="1157"/>
      <c r="AX213" s="1158"/>
      <c r="AY213" s="1158"/>
      <c r="AZ213" s="3316"/>
      <c r="BA213" s="3300"/>
      <c r="BB213" s="3300"/>
      <c r="BC213" s="3300"/>
      <c r="BD213" s="3300"/>
      <c r="BE213" s="3300"/>
      <c r="BF213" s="3300"/>
      <c r="BG213" s="3300"/>
      <c r="BH213" s="3300"/>
      <c r="BI213" s="3300"/>
      <c r="BJ213" s="3300"/>
      <c r="BK213" s="3300"/>
      <c r="BL213" s="3300"/>
      <c r="BM213" s="1157"/>
      <c r="BN213" s="1157"/>
      <c r="BO213" s="1157"/>
      <c r="BP213" s="1157"/>
      <c r="BQ213" s="1157"/>
      <c r="BR213" s="1157"/>
      <c r="BS213" s="1157"/>
      <c r="BT213" s="1157"/>
      <c r="CD213" s="1883"/>
    </row>
    <row r="214" spans="1:89" s="826" customFormat="1">
      <c r="A214" s="1108" t="s">
        <v>2055</v>
      </c>
      <c r="B214" s="1109">
        <v>27139</v>
      </c>
      <c r="C214" s="1109">
        <v>39883</v>
      </c>
      <c r="D214" s="1109">
        <v>52005</v>
      </c>
      <c r="E214" s="1109">
        <v>74313</v>
      </c>
      <c r="F214" s="1109">
        <v>108100</v>
      </c>
      <c r="G214" s="1109">
        <v>145000</v>
      </c>
      <c r="H214" s="1109">
        <v>152000</v>
      </c>
      <c r="I214" s="1109">
        <v>160000</v>
      </c>
      <c r="J214" s="3241">
        <v>175000</v>
      </c>
      <c r="K214" s="1342"/>
      <c r="L214" s="1342"/>
      <c r="M214" s="1342"/>
      <c r="N214" s="1109">
        <v>160000</v>
      </c>
      <c r="O214" s="1343"/>
      <c r="S214" s="1398"/>
      <c r="T214" s="1766"/>
      <c r="U214" s="725"/>
      <c r="V214" s="837"/>
      <c r="W214" s="837"/>
      <c r="X214" s="837"/>
      <c r="Y214" s="837"/>
      <c r="Z214" s="1849">
        <v>36600</v>
      </c>
      <c r="AA214" s="838"/>
      <c r="AB214" s="829"/>
      <c r="AC214" s="829"/>
      <c r="AD214" s="1529">
        <v>39883</v>
      </c>
      <c r="AE214" s="838"/>
      <c r="AF214" s="829"/>
      <c r="AG214" s="829"/>
      <c r="AH214" s="1529">
        <v>52005</v>
      </c>
      <c r="AI214" s="838"/>
      <c r="AJ214" s="829"/>
      <c r="AK214" s="829"/>
      <c r="AL214" s="1528">
        <v>74313</v>
      </c>
      <c r="AM214" s="838"/>
      <c r="AN214" s="829"/>
      <c r="AO214" s="829"/>
      <c r="AP214" s="1529">
        <v>100000</v>
      </c>
      <c r="AQ214" s="1528"/>
      <c r="AR214" s="1528"/>
      <c r="AS214" s="1528"/>
      <c r="AT214" s="1529">
        <v>145000</v>
      </c>
      <c r="AU214" s="829"/>
      <c r="AV214" s="829"/>
      <c r="AW214" s="829"/>
      <c r="AX214" s="839"/>
      <c r="AY214" s="839"/>
      <c r="AZ214" s="3317"/>
      <c r="BA214" s="3301"/>
      <c r="BB214" s="3301"/>
      <c r="BC214" s="3301"/>
      <c r="BD214" s="3301"/>
      <c r="BE214" s="3301"/>
      <c r="BF214" s="3301"/>
      <c r="BG214" s="3301"/>
      <c r="BH214" s="3301"/>
      <c r="BI214" s="3301"/>
      <c r="BJ214" s="3301"/>
      <c r="BK214" s="3301"/>
      <c r="BL214" s="3301"/>
      <c r="BM214" s="829"/>
      <c r="BN214" s="829"/>
      <c r="BO214" s="829"/>
      <c r="BP214" s="829"/>
      <c r="BQ214" s="829"/>
      <c r="BR214" s="829"/>
      <c r="BS214" s="829"/>
      <c r="BT214" s="829"/>
      <c r="CD214" s="1883"/>
    </row>
    <row r="215" spans="1:89" s="728" customFormat="1">
      <c r="A215" s="1858" t="s">
        <v>2056</v>
      </c>
      <c r="B215" s="696"/>
      <c r="C215" s="834">
        <f t="shared" ref="C215:I215" si="388">C214/B214-1</f>
        <v>0.46958251962120934</v>
      </c>
      <c r="D215" s="834">
        <f t="shared" si="388"/>
        <v>0.30393902163829201</v>
      </c>
      <c r="E215" s="834">
        <f t="shared" si="388"/>
        <v>0.42895875396596472</v>
      </c>
      <c r="F215" s="834">
        <f t="shared" si="388"/>
        <v>0.4546580006190033</v>
      </c>
      <c r="G215" s="834">
        <f t="shared" si="388"/>
        <v>0.34135060129509709</v>
      </c>
      <c r="H215" s="834">
        <f t="shared" si="388"/>
        <v>4.8275862068965614E-2</v>
      </c>
      <c r="I215" s="834">
        <f t="shared" si="388"/>
        <v>5.2631578947368363E-2</v>
      </c>
      <c r="J215" s="834">
        <f>J214/N214-1</f>
        <v>9.375E-2</v>
      </c>
      <c r="K215" s="696"/>
      <c r="L215" s="696"/>
      <c r="M215" s="696"/>
      <c r="N215" s="834">
        <f>N214/H214-1</f>
        <v>5.2631578947368363E-2</v>
      </c>
      <c r="O215" s="696"/>
      <c r="S215" s="696"/>
      <c r="T215" s="807"/>
      <c r="U215" s="592"/>
      <c r="V215" s="592"/>
      <c r="W215" s="592"/>
      <c r="X215" s="592"/>
      <c r="Y215" s="592"/>
      <c r="Z215" s="592"/>
      <c r="AA215" s="744"/>
      <c r="AB215" s="738"/>
      <c r="AC215" s="738"/>
      <c r="AD215" s="2564">
        <f>AD214/Z214-1</f>
        <v>8.9699453551912667E-2</v>
      </c>
      <c r="AE215" s="744"/>
      <c r="AF215" s="738"/>
      <c r="AG215" s="738"/>
      <c r="AH215" s="2564">
        <f>AH214/AD214-1</f>
        <v>0.30393902163829201</v>
      </c>
      <c r="AI215" s="744"/>
      <c r="AJ215" s="738"/>
      <c r="AK215" s="738"/>
      <c r="AL215" s="2564">
        <f>AL214/AH214-1</f>
        <v>0.42895875396596472</v>
      </c>
      <c r="AM215" s="744"/>
      <c r="AN215" s="738"/>
      <c r="AO215" s="738"/>
      <c r="AP215" s="2564">
        <f>AP214/AL214-1</f>
        <v>0.3456595750407061</v>
      </c>
      <c r="AQ215" s="738"/>
      <c r="AR215" s="738"/>
      <c r="AS215" s="738"/>
      <c r="AT215" s="2564">
        <f>AT214/AP214-1</f>
        <v>0.44999999999999996</v>
      </c>
      <c r="AU215" s="738"/>
      <c r="AV215" s="738"/>
      <c r="AW215" s="738"/>
      <c r="AX215" s="746"/>
      <c r="AY215" s="746"/>
      <c r="AZ215" s="1950"/>
      <c r="BA215" s="1949"/>
      <c r="BB215" s="1949"/>
      <c r="BC215" s="1949"/>
      <c r="BD215" s="1949"/>
      <c r="BE215" s="1949"/>
      <c r="BF215" s="1949"/>
      <c r="BG215" s="1949"/>
      <c r="BH215" s="1949"/>
      <c r="BI215" s="1949"/>
      <c r="BJ215" s="1949"/>
      <c r="BK215" s="1949"/>
      <c r="BL215" s="1949"/>
      <c r="BM215" s="738"/>
      <c r="BN215" s="738"/>
      <c r="BO215" s="738"/>
      <c r="BP215" s="738"/>
      <c r="BQ215" s="738"/>
      <c r="BR215" s="738"/>
      <c r="BS215" s="738"/>
      <c r="BT215" s="738"/>
      <c r="BU215" s="1"/>
      <c r="BV215" s="1"/>
      <c r="BW215" s="1"/>
      <c r="BX215" s="753"/>
      <c r="BY215" s="6"/>
      <c r="BZ215" s="6"/>
      <c r="CA215" s="6"/>
      <c r="CB215" s="6"/>
      <c r="CC215" s="6"/>
      <c r="CD215" s="1883"/>
      <c r="CE215" s="6"/>
      <c r="CF215" s="6"/>
      <c r="CG215" s="6"/>
      <c r="CH215" s="6"/>
      <c r="CI215" s="6"/>
      <c r="CJ215" s="6"/>
      <c r="CK215" s="6"/>
    </row>
    <row r="216" spans="1:89">
      <c r="A216" s="811" t="s">
        <v>2058</v>
      </c>
      <c r="B216" s="3236"/>
      <c r="C216" s="3236">
        <f t="shared" ref="C216:J216" si="389">C26</f>
        <v>0.56490822757534787</v>
      </c>
      <c r="D216" s="3236">
        <f t="shared" si="389"/>
        <v>1.5765867342744988E-2</v>
      </c>
      <c r="E216" s="3236">
        <f t="shared" si="389"/>
        <v>0.34584941583365492</v>
      </c>
      <c r="F216" s="3236">
        <f t="shared" si="389"/>
        <v>0.67586601343120711</v>
      </c>
      <c r="G216" s="3236">
        <f t="shared" si="389"/>
        <v>0.52488926898736921</v>
      </c>
      <c r="H216" s="3236">
        <f t="shared" si="389"/>
        <v>0.14283050531418984</v>
      </c>
      <c r="I216" s="3236">
        <f t="shared" ref="I216" si="390">I26</f>
        <v>4.8947626040130032E-4</v>
      </c>
      <c r="J216" s="3236">
        <f t="shared" ca="1" si="389"/>
        <v>5.0000000000000044E-2</v>
      </c>
      <c r="K216" s="696"/>
      <c r="L216" s="696"/>
      <c r="M216" s="696"/>
      <c r="N216" s="3236">
        <f ca="1">N26</f>
        <v>0.10000000000000009</v>
      </c>
      <c r="O216" s="1374"/>
      <c r="S216" s="696"/>
      <c r="T216" s="1768"/>
      <c r="U216" s="751"/>
      <c r="V216" s="751"/>
      <c r="W216" s="751"/>
      <c r="X216" s="751"/>
      <c r="Y216" s="751"/>
      <c r="Z216" s="751"/>
      <c r="AA216" s="738"/>
      <c r="AB216" s="738"/>
      <c r="AC216" s="738"/>
      <c r="AD216" s="738"/>
      <c r="AE216" s="738"/>
      <c r="AF216" s="738"/>
      <c r="AG216" s="738"/>
      <c r="AH216" s="738"/>
      <c r="AI216" s="738"/>
      <c r="AJ216" s="738"/>
      <c r="AK216" s="738"/>
      <c r="AL216" s="738"/>
      <c r="AM216" s="738"/>
      <c r="AN216" s="738"/>
      <c r="AO216" s="738"/>
      <c r="AP216" s="738"/>
      <c r="AQ216" s="738"/>
      <c r="AR216" s="738"/>
      <c r="AS216" s="738"/>
      <c r="AT216" s="746"/>
      <c r="AU216" s="738"/>
      <c r="AV216" s="738"/>
      <c r="AW216" s="738"/>
      <c r="AX216" s="746"/>
      <c r="AY216" s="746"/>
      <c r="AZ216" s="1950"/>
      <c r="BA216" s="1949"/>
      <c r="BB216" s="1949"/>
      <c r="BC216" s="1949"/>
      <c r="BD216" s="1949"/>
      <c r="BE216" s="1949"/>
      <c r="BF216" s="1949"/>
      <c r="BG216" s="1949"/>
      <c r="BH216" s="1949"/>
      <c r="BI216" s="1949"/>
      <c r="BJ216" s="1949"/>
      <c r="BK216" s="1949"/>
      <c r="BL216" s="1949"/>
      <c r="BM216" s="738"/>
      <c r="BN216" s="738"/>
      <c r="BO216" s="738"/>
      <c r="BP216" s="738"/>
      <c r="BQ216" s="738"/>
      <c r="BR216" s="738"/>
      <c r="BS216" s="738"/>
      <c r="BT216" s="738"/>
      <c r="BX216" s="753"/>
      <c r="CD216" s="1883"/>
    </row>
    <row r="217" spans="1:89" s="821" customFormat="1">
      <c r="A217" s="1466" t="s">
        <v>1198</v>
      </c>
      <c r="B217" s="2140">
        <f t="shared" ref="B217:H217" si="391">B17/B214*1000</f>
        <v>36.145762840377316</v>
      </c>
      <c r="C217" s="2140">
        <f t="shared" si="391"/>
        <v>38.490388192337456</v>
      </c>
      <c r="D217" s="2140">
        <f t="shared" si="391"/>
        <v>29.983934752889112</v>
      </c>
      <c r="E217" s="2140">
        <f t="shared" si="391"/>
        <v>28.240046089203904</v>
      </c>
      <c r="F217" s="2140">
        <f t="shared" si="391"/>
        <v>32.534474384005556</v>
      </c>
      <c r="G217" s="2140">
        <f t="shared" si="391"/>
        <v>36.986206896551721</v>
      </c>
      <c r="H217" s="2140">
        <f t="shared" si="391"/>
        <v>40.322368421052637</v>
      </c>
      <c r="I217" s="2140">
        <f t="shared" ref="I217" si="392">I17/I214*1000</f>
        <v>38.324999999999996</v>
      </c>
      <c r="J217" s="832"/>
      <c r="K217" s="832"/>
      <c r="L217" s="832"/>
      <c r="M217" s="832"/>
      <c r="N217" s="832"/>
      <c r="O217" s="832"/>
      <c r="S217" s="832"/>
      <c r="T217" s="1767"/>
      <c r="U217" s="841"/>
      <c r="V217" s="841"/>
      <c r="W217" s="841"/>
      <c r="X217" s="841"/>
      <c r="Y217" s="753"/>
      <c r="Z217" s="269"/>
      <c r="AA217" s="838"/>
      <c r="AB217" s="829"/>
      <c r="AC217" s="829"/>
      <c r="AD217" s="839"/>
      <c r="AE217" s="838"/>
      <c r="AF217" s="829"/>
      <c r="AG217" s="829"/>
      <c r="AH217" s="839"/>
      <c r="AI217" s="838"/>
      <c r="AJ217" s="829"/>
      <c r="AK217" s="829"/>
      <c r="AL217" s="829"/>
      <c r="AM217" s="838"/>
      <c r="AN217" s="829"/>
      <c r="AO217" s="829"/>
      <c r="AP217" s="839"/>
      <c r="AQ217" s="829"/>
      <c r="AR217" s="829"/>
      <c r="AS217" s="829"/>
      <c r="AT217" s="839"/>
      <c r="AU217" s="829"/>
      <c r="AV217" s="829"/>
      <c r="AW217" s="829"/>
      <c r="AX217" s="839"/>
      <c r="AY217" s="839"/>
      <c r="AZ217" s="3317"/>
      <c r="BA217" s="3301"/>
      <c r="BB217" s="3301"/>
      <c r="BC217" s="3301"/>
      <c r="BD217" s="3301"/>
      <c r="BE217" s="3301"/>
      <c r="BF217" s="3301"/>
      <c r="BG217" s="3301"/>
      <c r="BH217" s="3301"/>
      <c r="BI217" s="3301"/>
      <c r="BJ217" s="3301"/>
      <c r="BK217" s="3301"/>
      <c r="BL217" s="3301"/>
      <c r="BM217" s="829"/>
      <c r="BN217" s="829"/>
      <c r="BO217" s="829"/>
      <c r="BP217" s="829"/>
      <c r="BQ217" s="829"/>
      <c r="BR217" s="829"/>
      <c r="BS217" s="829"/>
      <c r="BT217" s="829"/>
      <c r="BX217" s="842"/>
      <c r="BY217" s="826"/>
      <c r="BZ217" s="826"/>
      <c r="CA217" s="826"/>
      <c r="CB217" s="826"/>
      <c r="CC217" s="826"/>
      <c r="CD217" s="1883"/>
      <c r="CE217" s="826"/>
      <c r="CF217" s="826"/>
      <c r="CG217" s="826"/>
      <c r="CH217" s="826"/>
      <c r="CI217" s="826"/>
      <c r="CJ217" s="826"/>
      <c r="CK217" s="826"/>
    </row>
    <row r="218" spans="1:89" s="728" customFormat="1" ht="12.95" customHeight="1">
      <c r="A218" s="1116"/>
      <c r="B218" s="1381"/>
      <c r="C218" s="1381"/>
      <c r="D218" s="1381"/>
      <c r="E218" s="1381"/>
      <c r="J218" s="8"/>
      <c r="K218" s="8"/>
      <c r="L218" s="8"/>
      <c r="M218" s="8"/>
      <c r="N218" s="1116"/>
      <c r="O218" s="1116"/>
      <c r="S218" s="8"/>
      <c r="T218" s="1769"/>
      <c r="U218" s="592"/>
      <c r="V218" s="592"/>
      <c r="W218" s="592"/>
      <c r="X218" s="592"/>
      <c r="Y218" s="592"/>
      <c r="Z218" s="592"/>
      <c r="AA218" s="738"/>
      <c r="AB218" s="738"/>
      <c r="AC218" s="738"/>
      <c r="AD218" s="738"/>
      <c r="AE218" s="738"/>
      <c r="AF218" s="738"/>
      <c r="AG218" s="738"/>
      <c r="AH218" s="738"/>
      <c r="AI218" s="738"/>
      <c r="AJ218" s="738"/>
      <c r="AK218" s="738"/>
      <c r="AL218" s="738"/>
      <c r="AM218" s="738"/>
      <c r="AN218" s="738"/>
      <c r="AO218" s="738"/>
      <c r="AP218" s="738"/>
      <c r="AQ218" s="738"/>
      <c r="AR218" s="738"/>
      <c r="AS218" s="738"/>
      <c r="AT218" s="746"/>
      <c r="AU218" s="738"/>
      <c r="AV218" s="738"/>
      <c r="AW218" s="738"/>
      <c r="AX218" s="746"/>
      <c r="AY218" s="746"/>
      <c r="AZ218" s="1950"/>
      <c r="BA218" s="1949"/>
      <c r="BB218" s="1949"/>
      <c r="BC218" s="1949"/>
      <c r="BD218" s="1949"/>
      <c r="BE218" s="1949"/>
      <c r="BF218" s="1949"/>
      <c r="BG218" s="1949"/>
      <c r="BH218" s="1949"/>
      <c r="BI218" s="1949"/>
      <c r="BJ218" s="1949"/>
      <c r="BK218" s="1949"/>
      <c r="BL218" s="1949"/>
      <c r="BM218" s="738"/>
      <c r="BN218" s="738"/>
      <c r="BO218" s="738"/>
      <c r="BP218" s="738"/>
      <c r="BQ218" s="738"/>
      <c r="BR218" s="738"/>
      <c r="BS218" s="738"/>
      <c r="BT218" s="738"/>
      <c r="BU218" s="6"/>
      <c r="BV218" s="6"/>
      <c r="BW218" s="6"/>
      <c r="BX218" s="6"/>
      <c r="BY218" s="6"/>
      <c r="BZ218" s="6"/>
      <c r="CA218" s="6"/>
      <c r="CB218" s="6"/>
      <c r="CC218" s="6"/>
      <c r="CD218" s="1883"/>
      <c r="CE218" s="6"/>
      <c r="CF218" s="6"/>
      <c r="CG218" s="6"/>
      <c r="CH218" s="6"/>
      <c r="CI218" s="6"/>
      <c r="CJ218" s="6"/>
      <c r="CK218" s="6"/>
    </row>
    <row r="219" spans="1:89" s="728" customFormat="1" ht="12.95" customHeight="1">
      <c r="A219" s="943"/>
      <c r="B219" s="1381"/>
      <c r="C219" s="1381"/>
      <c r="D219" s="1381"/>
      <c r="E219" s="1381"/>
      <c r="J219" s="8"/>
      <c r="K219" s="8"/>
      <c r="L219" s="8"/>
      <c r="M219" s="8"/>
      <c r="N219" s="1116"/>
      <c r="O219" s="1116"/>
      <c r="S219" s="8"/>
      <c r="T219" s="1769"/>
      <c r="U219" s="592"/>
      <c r="V219" s="592"/>
      <c r="W219" s="592"/>
      <c r="X219" s="592"/>
      <c r="Y219" s="592"/>
      <c r="Z219" s="592"/>
      <c r="AA219" s="738"/>
      <c r="AB219" s="738"/>
      <c r="AC219" s="738"/>
      <c r="AD219" s="738"/>
      <c r="AE219" s="738"/>
      <c r="AF219" s="738"/>
      <c r="AG219" s="738"/>
      <c r="AH219" s="738"/>
      <c r="AI219" s="738"/>
      <c r="AJ219" s="738"/>
      <c r="AK219" s="738"/>
      <c r="AL219" s="738"/>
      <c r="AM219" s="738"/>
      <c r="AN219" s="738"/>
      <c r="AO219" s="738"/>
      <c r="AP219" s="738"/>
      <c r="AQ219" s="738"/>
      <c r="AR219" s="738"/>
      <c r="AS219" s="738"/>
      <c r="AT219" s="746"/>
      <c r="AU219" s="738"/>
      <c r="AV219" s="738"/>
      <c r="AW219" s="738"/>
      <c r="AX219" s="746"/>
      <c r="AY219" s="746"/>
      <c r="AZ219" s="1950"/>
      <c r="BA219" s="1949"/>
      <c r="BB219" s="1949"/>
      <c r="BC219" s="1949"/>
      <c r="BD219" s="1949"/>
      <c r="BE219" s="1949"/>
      <c r="BF219" s="1949"/>
      <c r="BG219" s="1949"/>
      <c r="BH219" s="1949"/>
      <c r="BI219" s="1949"/>
      <c r="BJ219" s="1949"/>
      <c r="BK219" s="1949"/>
      <c r="BL219" s="1949"/>
      <c r="BM219" s="738"/>
      <c r="BN219" s="738"/>
      <c r="BO219" s="738"/>
      <c r="BP219" s="738"/>
      <c r="BQ219" s="738"/>
      <c r="BR219" s="738"/>
      <c r="BS219" s="738"/>
      <c r="BT219" s="738"/>
      <c r="BU219" s="6"/>
      <c r="BV219" s="6"/>
      <c r="BW219" s="6"/>
      <c r="BX219" s="6"/>
      <c r="BY219" s="6"/>
      <c r="BZ219" s="6"/>
      <c r="CA219" s="6"/>
      <c r="CB219" s="6"/>
      <c r="CC219" s="6"/>
      <c r="CD219" s="1883"/>
      <c r="CE219" s="6"/>
      <c r="CF219" s="6"/>
      <c r="CG219" s="6"/>
      <c r="CH219" s="6"/>
      <c r="CI219" s="6"/>
      <c r="CJ219" s="6"/>
      <c r="CK219" s="6"/>
    </row>
    <row r="220" spans="1:89" s="728" customFormat="1" ht="12.95" customHeight="1">
      <c r="A220" s="1379"/>
      <c r="B220" s="1191"/>
      <c r="C220" s="1191"/>
      <c r="D220" s="1191"/>
      <c r="E220" s="1191"/>
      <c r="J220" s="1378"/>
      <c r="K220" s="1378"/>
      <c r="L220" s="1378"/>
      <c r="M220" s="1378"/>
      <c r="N220" s="1378"/>
      <c r="O220" s="1378"/>
      <c r="S220" s="1378"/>
      <c r="T220" s="1769"/>
      <c r="U220" s="592"/>
      <c r="V220" s="592"/>
      <c r="W220" s="592"/>
      <c r="X220" s="592"/>
      <c r="Y220" s="592"/>
      <c r="Z220" s="592"/>
      <c r="AA220" s="738"/>
      <c r="AB220" s="738"/>
      <c r="AC220" s="738"/>
      <c r="AD220" s="738"/>
      <c r="AE220" s="738"/>
      <c r="AF220" s="738"/>
      <c r="AG220" s="738"/>
      <c r="AH220" s="738"/>
      <c r="AI220" s="738"/>
      <c r="AJ220" s="738"/>
      <c r="AK220" s="738"/>
      <c r="AL220" s="738"/>
      <c r="AM220" s="738"/>
      <c r="AN220" s="738"/>
      <c r="AO220" s="738"/>
      <c r="AP220" s="738"/>
      <c r="AQ220" s="738"/>
      <c r="AR220" s="738"/>
      <c r="AS220" s="738"/>
      <c r="AT220" s="746"/>
      <c r="AU220" s="738"/>
      <c r="AV220" s="738"/>
      <c r="AW220" s="738"/>
      <c r="AX220" s="746"/>
      <c r="AY220" s="746"/>
      <c r="AZ220" s="1950"/>
      <c r="BA220" s="1949"/>
      <c r="BB220" s="1949"/>
      <c r="BC220" s="1949"/>
      <c r="BD220" s="1949"/>
      <c r="BE220" s="1949"/>
      <c r="BF220" s="1949"/>
      <c r="BG220" s="1949"/>
      <c r="BH220" s="1949"/>
      <c r="BI220" s="1949"/>
      <c r="BJ220" s="1949"/>
      <c r="BK220" s="1949"/>
      <c r="BL220" s="1949"/>
      <c r="BM220" s="738"/>
      <c r="BN220" s="738"/>
      <c r="BO220" s="738"/>
      <c r="BP220" s="738"/>
      <c r="BQ220" s="738"/>
      <c r="BR220" s="738"/>
      <c r="BS220" s="738"/>
      <c r="BT220" s="738"/>
      <c r="BU220" s="6"/>
      <c r="BV220" s="6"/>
      <c r="BW220" s="6"/>
      <c r="BX220" s="6"/>
      <c r="BY220" s="6"/>
      <c r="BZ220" s="6"/>
      <c r="CA220" s="6"/>
      <c r="CB220" s="6"/>
      <c r="CC220" s="6"/>
      <c r="CD220" s="1883"/>
      <c r="CE220" s="6"/>
      <c r="CF220" s="6"/>
      <c r="CG220" s="6"/>
      <c r="CH220" s="6"/>
      <c r="CI220" s="6"/>
      <c r="CJ220" s="6"/>
      <c r="CK220" s="6"/>
    </row>
    <row r="221" spans="1:89" s="826" customFormat="1" ht="15" customHeight="1">
      <c r="A221" s="2351" t="s">
        <v>1639</v>
      </c>
      <c r="B221" s="1189"/>
      <c r="C221" s="1189"/>
      <c r="D221" s="1189"/>
      <c r="E221" s="1189"/>
      <c r="F221" s="1185"/>
      <c r="G221" s="1185"/>
      <c r="H221" s="1185"/>
      <c r="I221" s="1185"/>
      <c r="J221" s="1378"/>
      <c r="K221" s="1378"/>
      <c r="L221" s="1378"/>
      <c r="M221" s="1378"/>
      <c r="N221" s="1378"/>
      <c r="O221" s="1378"/>
      <c r="S221" s="1378"/>
      <c r="T221" s="1770"/>
      <c r="U221" s="846"/>
      <c r="V221" s="214"/>
      <c r="W221" s="214"/>
      <c r="X221" s="847"/>
      <c r="Y221" s="847"/>
      <c r="Z221" s="847"/>
      <c r="AA221" s="848"/>
      <c r="AB221" s="848"/>
      <c r="AC221" s="848"/>
      <c r="AD221" s="848"/>
      <c r="AE221" s="848"/>
      <c r="AF221" s="829"/>
      <c r="AG221" s="829"/>
      <c r="AH221" s="829"/>
      <c r="AI221" s="829"/>
      <c r="AJ221" s="829"/>
      <c r="AK221" s="829"/>
      <c r="AL221" s="829"/>
      <c r="AM221" s="829"/>
      <c r="AN221" s="829"/>
      <c r="AO221" s="829"/>
      <c r="AP221" s="829"/>
      <c r="AQ221" s="829"/>
      <c r="AR221" s="829"/>
      <c r="AS221" s="829"/>
      <c r="AT221" s="839"/>
      <c r="AU221" s="829"/>
      <c r="AV221" s="829"/>
      <c r="AW221" s="829"/>
      <c r="AX221" s="839"/>
      <c r="AY221" s="839"/>
      <c r="AZ221" s="3317"/>
      <c r="BA221" s="3301"/>
      <c r="BB221" s="3301"/>
      <c r="BC221" s="3301"/>
      <c r="BD221" s="3301"/>
      <c r="BE221" s="3301"/>
      <c r="BF221" s="3301"/>
      <c r="BG221" s="3301"/>
      <c r="BH221" s="3301"/>
      <c r="BI221" s="3301"/>
      <c r="BJ221" s="3301"/>
      <c r="BK221" s="3301"/>
      <c r="BL221" s="3301"/>
      <c r="BM221" s="829"/>
      <c r="BN221" s="829"/>
      <c r="BO221" s="829"/>
      <c r="BP221" s="829"/>
      <c r="BQ221" s="829"/>
      <c r="BR221" s="829"/>
      <c r="BS221" s="829"/>
      <c r="BT221" s="829"/>
      <c r="CD221" s="1883"/>
    </row>
    <row r="222" spans="1:89">
      <c r="A222" s="1379"/>
      <c r="B222" s="1191" t="s">
        <v>1634</v>
      </c>
      <c r="C222" s="1" t="s">
        <v>1635</v>
      </c>
      <c r="D222" s="1191"/>
      <c r="E222" s="1191"/>
      <c r="F222" s="1191"/>
      <c r="G222" s="1191"/>
      <c r="H222" s="1191"/>
      <c r="I222" s="1191"/>
      <c r="J222" s="1191"/>
      <c r="K222" s="1191"/>
      <c r="L222" s="1191"/>
      <c r="M222" s="1191"/>
      <c r="N222" s="1191"/>
      <c r="O222" s="1191"/>
      <c r="S222" s="1191"/>
      <c r="T222" s="1764"/>
      <c r="U222" s="36"/>
      <c r="V222" s="725"/>
      <c r="W222" s="725"/>
      <c r="X222" s="36"/>
      <c r="Y222" s="36"/>
      <c r="Z222" s="36"/>
      <c r="AA222" s="738"/>
      <c r="AB222" s="738"/>
      <c r="AC222" s="738"/>
      <c r="AD222" s="738"/>
      <c r="AE222" s="738"/>
      <c r="AF222" s="738"/>
      <c r="AG222" s="738"/>
      <c r="AH222" s="738"/>
      <c r="AI222" s="738"/>
      <c r="AJ222" s="738"/>
      <c r="AK222" s="738"/>
      <c r="AL222" s="738"/>
      <c r="AM222" s="738"/>
      <c r="AN222" s="738"/>
      <c r="AO222" s="738"/>
      <c r="AP222" s="738"/>
      <c r="AQ222" s="738"/>
      <c r="AR222" s="738"/>
      <c r="AS222" s="738"/>
      <c r="AT222" s="746"/>
      <c r="AU222" s="738"/>
      <c r="AV222" s="738"/>
      <c r="AW222" s="738"/>
      <c r="AX222" s="746"/>
      <c r="AY222" s="746"/>
      <c r="AZ222" s="1950"/>
      <c r="BA222" s="1949"/>
      <c r="BB222" s="1949"/>
      <c r="BC222" s="1949"/>
      <c r="BD222" s="1949"/>
      <c r="BE222" s="1949"/>
      <c r="BF222" s="1949"/>
      <c r="BG222" s="1949"/>
      <c r="BH222" s="1949"/>
      <c r="BI222" s="1949"/>
      <c r="BJ222" s="1949"/>
      <c r="BK222" s="1949"/>
      <c r="BL222" s="1949"/>
      <c r="BM222" s="738"/>
      <c r="BN222" s="738"/>
      <c r="BO222" s="738"/>
      <c r="BP222" s="738"/>
      <c r="BQ222" s="738"/>
      <c r="BR222" s="738"/>
      <c r="BS222" s="738"/>
      <c r="BT222" s="738"/>
      <c r="CD222" s="1883"/>
    </row>
    <row r="223" spans="1:89">
      <c r="A223" s="1379" t="s">
        <v>1631</v>
      </c>
      <c r="B223" s="1447">
        <v>989</v>
      </c>
      <c r="C223" s="1189">
        <v>1154</v>
      </c>
      <c r="D223" s="2350" t="s">
        <v>1636</v>
      </c>
      <c r="E223" s="1189"/>
      <c r="F223" s="1189"/>
      <c r="G223" s="1189"/>
      <c r="H223" s="1189"/>
      <c r="I223" s="1189"/>
      <c r="J223" s="1189"/>
      <c r="K223" s="1189"/>
      <c r="L223" s="1189"/>
      <c r="M223" s="1189"/>
      <c r="N223" s="1189"/>
      <c r="O223" s="1189"/>
      <c r="S223" s="1189"/>
      <c r="T223" s="1764"/>
      <c r="U223" s="36"/>
      <c r="V223" s="36"/>
      <c r="W223" s="36"/>
      <c r="X223" s="36"/>
      <c r="Y223" s="36"/>
      <c r="Z223" s="36"/>
      <c r="AA223" s="738"/>
      <c r="AB223" s="738"/>
      <c r="AC223" s="738"/>
      <c r="AD223" s="738"/>
      <c r="AE223" s="738"/>
      <c r="AF223" s="738"/>
      <c r="AG223" s="738"/>
      <c r="AH223" s="738"/>
      <c r="AI223" s="738"/>
      <c r="AJ223" s="738"/>
      <c r="AK223" s="738"/>
      <c r="AL223" s="738"/>
      <c r="AM223" s="738"/>
      <c r="AN223" s="738"/>
      <c r="AO223" s="738"/>
      <c r="AP223" s="738"/>
      <c r="AQ223" s="738"/>
      <c r="AR223" s="738"/>
      <c r="AS223" s="738"/>
      <c r="AT223" s="746"/>
      <c r="AU223" s="738"/>
      <c r="AV223" s="738"/>
      <c r="AW223" s="738"/>
      <c r="AX223" s="746"/>
      <c r="AY223" s="746"/>
      <c r="AZ223" s="1950"/>
      <c r="BA223" s="1949"/>
      <c r="BB223" s="1949"/>
      <c r="BC223" s="1949"/>
      <c r="BD223" s="1949"/>
      <c r="BE223" s="1949"/>
      <c r="BF223" s="1949"/>
      <c r="BG223" s="1949"/>
      <c r="BH223" s="1949"/>
      <c r="BI223" s="1949"/>
      <c r="BJ223" s="1949"/>
      <c r="BK223" s="1949"/>
      <c r="BL223" s="1949"/>
      <c r="BM223" s="738"/>
      <c r="BN223" s="738"/>
      <c r="BO223" s="738"/>
      <c r="BP223" s="738"/>
      <c r="BQ223" s="738"/>
      <c r="BR223" s="738"/>
      <c r="BS223" s="738"/>
      <c r="BT223" s="738"/>
      <c r="CD223" s="1883"/>
    </row>
    <row r="224" spans="1:89">
      <c r="A224" s="790" t="s">
        <v>1632</v>
      </c>
      <c r="B224" s="1447">
        <v>1.784</v>
      </c>
      <c r="C224" s="9">
        <v>1837</v>
      </c>
      <c r="D224" s="1447" t="s">
        <v>1637</v>
      </c>
      <c r="E224" s="1179"/>
      <c r="F224" s="844"/>
      <c r="G224" s="844"/>
      <c r="H224" s="844"/>
      <c r="I224" s="844"/>
      <c r="J224" s="844"/>
      <c r="K224" s="844"/>
      <c r="L224" s="844"/>
      <c r="M224" s="844"/>
      <c r="N224" s="844"/>
      <c r="O224" s="844"/>
      <c r="S224" s="844"/>
      <c r="T224" s="1764"/>
      <c r="U224" s="3596"/>
      <c r="V224" s="325"/>
      <c r="W224" s="325"/>
      <c r="X224" s="325"/>
      <c r="Y224" s="325"/>
      <c r="Z224" s="325"/>
      <c r="AA224" s="740"/>
      <c r="AB224" s="740"/>
      <c r="AC224" s="740"/>
      <c r="AD224" s="740"/>
      <c r="AE224" s="740"/>
      <c r="AF224" s="738"/>
      <c r="AG224" s="738"/>
      <c r="AH224" s="738"/>
      <c r="AI224" s="738"/>
      <c r="AJ224" s="738"/>
      <c r="AK224" s="738"/>
      <c r="AL224" s="738"/>
      <c r="AM224" s="738"/>
      <c r="AN224" s="738"/>
      <c r="AO224" s="738"/>
      <c r="AP224" s="738"/>
      <c r="AQ224" s="738"/>
      <c r="AR224" s="738"/>
      <c r="AS224" s="738"/>
      <c r="AT224" s="746"/>
      <c r="AU224" s="738"/>
      <c r="AV224" s="738"/>
      <c r="AW224" s="738"/>
      <c r="AX224" s="746"/>
      <c r="AY224" s="746"/>
      <c r="AZ224" s="1950"/>
      <c r="BA224" s="1949"/>
      <c r="BB224" s="1949"/>
      <c r="BC224" s="1949"/>
      <c r="BD224" s="1949"/>
      <c r="BE224" s="1949"/>
      <c r="BF224" s="1949"/>
      <c r="BG224" s="1949"/>
      <c r="BH224" s="1949"/>
      <c r="BI224" s="1949"/>
      <c r="BJ224" s="1949"/>
      <c r="BK224" s="1949"/>
      <c r="BL224" s="1949"/>
      <c r="BM224" s="738"/>
      <c r="BN224" s="738"/>
      <c r="BO224" s="738"/>
      <c r="BP224" s="738"/>
      <c r="BQ224" s="738"/>
      <c r="BR224" s="738"/>
      <c r="BS224" s="738"/>
      <c r="BT224" s="738"/>
      <c r="CD224" s="1883"/>
    </row>
    <row r="225" spans="1:82">
      <c r="A225" s="1379" t="s">
        <v>1633</v>
      </c>
      <c r="B225" s="2349">
        <v>473</v>
      </c>
      <c r="C225" s="2349">
        <v>1009</v>
      </c>
      <c r="D225" s="1447" t="s">
        <v>1638</v>
      </c>
      <c r="E225" s="1382"/>
      <c r="J225" s="726"/>
      <c r="K225" s="726"/>
      <c r="L225" s="726"/>
      <c r="M225" s="726"/>
      <c r="N225" s="1116"/>
      <c r="O225" s="1116"/>
      <c r="S225" s="726"/>
      <c r="T225" s="1764"/>
      <c r="U225" s="3596"/>
      <c r="V225" s="325"/>
      <c r="W225" s="325"/>
      <c r="X225" s="325"/>
      <c r="Y225" s="325"/>
      <c r="Z225" s="325"/>
      <c r="AA225" s="740"/>
      <c r="AB225" s="740"/>
      <c r="AC225" s="740"/>
      <c r="AD225" s="740"/>
      <c r="AE225" s="740"/>
      <c r="AF225" s="738"/>
      <c r="AG225" s="738"/>
      <c r="AH225" s="738"/>
      <c r="AI225" s="738"/>
      <c r="AJ225" s="738"/>
      <c r="AK225" s="738"/>
      <c r="AL225" s="738"/>
      <c r="AM225" s="738"/>
      <c r="AN225" s="738"/>
      <c r="AO225" s="738"/>
      <c r="AP225" s="738"/>
      <c r="AQ225" s="738"/>
      <c r="AR225" s="738"/>
      <c r="AS225" s="738"/>
      <c r="AT225" s="746"/>
      <c r="AU225" s="738"/>
      <c r="AV225" s="738"/>
      <c r="AW225" s="738"/>
      <c r="AX225" s="746"/>
      <c r="AY225" s="746"/>
      <c r="AZ225" s="1950"/>
      <c r="BA225" s="1949"/>
      <c r="BB225" s="1949"/>
      <c r="BC225" s="1949"/>
      <c r="BD225" s="1949"/>
      <c r="BE225" s="1949"/>
      <c r="BF225" s="1949"/>
      <c r="BG225" s="1949"/>
      <c r="BH225" s="1949"/>
      <c r="BI225" s="1949"/>
      <c r="BJ225" s="1949"/>
      <c r="BK225" s="1949"/>
      <c r="BL225" s="1949"/>
      <c r="BM225" s="738"/>
      <c r="BN225" s="738"/>
      <c r="BO225" s="738"/>
      <c r="BP225" s="738"/>
      <c r="BQ225" s="738"/>
      <c r="BR225" s="738"/>
      <c r="BS225" s="738"/>
      <c r="BT225" s="738"/>
      <c r="CD225" s="1883"/>
    </row>
    <row r="226" spans="1:82">
      <c r="B226" s="1377"/>
      <c r="C226" s="1377"/>
      <c r="D226" s="1191"/>
      <c r="E226" s="1191"/>
      <c r="F226" s="1191"/>
      <c r="G226" s="1191"/>
      <c r="H226" s="1191"/>
      <c r="I226" s="1191"/>
      <c r="J226" s="1191"/>
      <c r="K226" s="1191"/>
      <c r="L226" s="1191"/>
      <c r="M226" s="1191"/>
      <c r="N226" s="1191"/>
      <c r="O226" s="1191"/>
      <c r="S226" s="1191"/>
      <c r="T226" s="1764"/>
      <c r="U226" s="36"/>
      <c r="V226" s="36"/>
      <c r="W226" s="36"/>
      <c r="X226" s="36"/>
      <c r="Y226" s="36"/>
      <c r="Z226" s="36"/>
      <c r="AA226" s="738"/>
      <c r="AB226" s="738"/>
      <c r="AC226" s="738"/>
      <c r="AD226" s="738"/>
      <c r="AE226" s="738"/>
      <c r="AF226" s="738"/>
      <c r="AG226" s="738"/>
      <c r="AH226" s="738"/>
      <c r="AI226" s="738"/>
      <c r="AJ226" s="738"/>
      <c r="AK226" s="738"/>
      <c r="AL226" s="738"/>
      <c r="AM226" s="738"/>
      <c r="AN226" s="738"/>
      <c r="AO226" s="738"/>
      <c r="AP226" s="738"/>
      <c r="AQ226" s="738"/>
      <c r="AR226" s="738"/>
      <c r="AS226" s="738"/>
      <c r="AT226" s="746"/>
      <c r="AU226" s="738"/>
      <c r="AV226" s="738"/>
      <c r="AW226" s="738"/>
      <c r="AX226" s="746"/>
      <c r="AY226" s="746"/>
      <c r="AZ226" s="1950"/>
      <c r="BA226" s="1949"/>
      <c r="BB226" s="1949"/>
      <c r="BC226" s="1949"/>
      <c r="BD226" s="1949"/>
      <c r="BE226" s="1949"/>
      <c r="BF226" s="1949"/>
      <c r="BG226" s="1949"/>
      <c r="BH226" s="1949"/>
      <c r="BI226" s="1949"/>
      <c r="BJ226" s="1949"/>
      <c r="BK226" s="1949"/>
      <c r="BL226" s="1949"/>
      <c r="BM226" s="738"/>
      <c r="BN226" s="738"/>
      <c r="BO226" s="738"/>
      <c r="BP226" s="738"/>
      <c r="BQ226" s="738"/>
      <c r="BR226" s="738"/>
      <c r="BS226" s="738"/>
      <c r="BT226" s="738"/>
      <c r="CD226" s="1883"/>
    </row>
    <row r="227" spans="1:82" s="827" customFormat="1">
      <c r="A227" s="819"/>
      <c r="B227" s="843"/>
      <c r="C227" s="843"/>
      <c r="D227" s="843"/>
      <c r="E227" s="843"/>
      <c r="F227" s="843"/>
      <c r="G227" s="843"/>
      <c r="H227" s="843"/>
      <c r="I227" s="843"/>
      <c r="J227" s="843"/>
      <c r="K227" s="843"/>
      <c r="L227" s="843"/>
      <c r="M227" s="843"/>
      <c r="N227" s="843"/>
      <c r="O227" s="843"/>
      <c r="S227" s="843"/>
      <c r="T227" s="1771"/>
      <c r="U227" s="1170"/>
      <c r="V227" s="1170"/>
      <c r="W227" s="1170"/>
      <c r="X227" s="1170"/>
      <c r="Y227" s="1170"/>
      <c r="Z227" s="1170"/>
      <c r="AA227" s="840"/>
      <c r="AB227" s="840"/>
      <c r="AC227" s="840"/>
      <c r="AD227" s="840"/>
      <c r="AE227" s="840"/>
      <c r="AF227" s="840"/>
      <c r="AG227" s="840"/>
      <c r="AH227" s="840"/>
      <c r="AI227" s="840"/>
      <c r="AJ227" s="840"/>
      <c r="AK227" s="840"/>
      <c r="AL227" s="840"/>
      <c r="AM227" s="840"/>
      <c r="AN227" s="840"/>
      <c r="AO227" s="840"/>
      <c r="AP227" s="840"/>
      <c r="AQ227" s="840"/>
      <c r="AR227" s="840"/>
      <c r="AS227" s="840"/>
      <c r="AT227" s="2438"/>
      <c r="AU227" s="840"/>
      <c r="AV227" s="840"/>
      <c r="AW227" s="840"/>
      <c r="AX227" s="2438"/>
      <c r="AY227" s="2438"/>
      <c r="AZ227" s="3318"/>
      <c r="BA227" s="3302"/>
      <c r="BB227" s="3302"/>
      <c r="BC227" s="3302"/>
      <c r="BD227" s="3302"/>
      <c r="BE227" s="3302"/>
      <c r="BF227" s="3302"/>
      <c r="BG227" s="3302"/>
      <c r="BH227" s="3302"/>
      <c r="BI227" s="3302"/>
      <c r="BJ227" s="3302"/>
      <c r="BK227" s="3302"/>
      <c r="BL227" s="3302"/>
      <c r="BM227" s="840"/>
      <c r="BN227" s="840"/>
      <c r="BO227" s="840"/>
      <c r="BP227" s="840"/>
      <c r="BQ227" s="840"/>
      <c r="BR227" s="840"/>
      <c r="BS227" s="840"/>
      <c r="BT227" s="840"/>
      <c r="CD227" s="1883"/>
    </row>
    <row r="228" spans="1:82" s="827" customFormat="1">
      <c r="A228" s="819"/>
      <c r="B228" s="843"/>
      <c r="C228" s="843"/>
      <c r="D228" s="843"/>
      <c r="E228" s="843"/>
      <c r="F228" s="843"/>
      <c r="G228" s="843"/>
      <c r="H228" s="843"/>
      <c r="I228" s="843"/>
      <c r="J228" s="843"/>
      <c r="K228" s="843"/>
      <c r="L228" s="843"/>
      <c r="M228" s="843"/>
      <c r="N228" s="843"/>
      <c r="O228" s="843"/>
      <c r="S228" s="843"/>
      <c r="T228" s="1772"/>
      <c r="U228" s="325"/>
      <c r="V228" s="1174"/>
      <c r="W228" s="1174"/>
      <c r="X228" s="1174"/>
      <c r="Y228" s="1174"/>
      <c r="Z228" s="1174"/>
      <c r="AA228" s="1175"/>
      <c r="AB228" s="1175"/>
      <c r="AC228" s="1175"/>
      <c r="AD228" s="1175"/>
      <c r="AE228" s="1175"/>
      <c r="AF228" s="1119"/>
      <c r="AG228" s="1119"/>
      <c r="AH228" s="1119"/>
      <c r="AI228" s="1176"/>
      <c r="AJ228" s="1119"/>
      <c r="AK228" s="1119"/>
      <c r="AL228" s="1119"/>
      <c r="AM228" s="1119"/>
      <c r="AN228" s="1177"/>
      <c r="AO228" s="1176"/>
      <c r="AP228" s="1119"/>
      <c r="AQ228" s="1119"/>
      <c r="AR228" s="1119"/>
      <c r="AS228" s="1119"/>
      <c r="AT228" s="2439"/>
      <c r="AU228" s="1119"/>
      <c r="AV228" s="1119"/>
      <c r="AW228" s="1119"/>
      <c r="AX228" s="2439"/>
      <c r="AY228" s="2439"/>
      <c r="AZ228" s="3319"/>
      <c r="BA228" s="3303"/>
      <c r="BB228" s="3303"/>
      <c r="BC228" s="3303"/>
      <c r="BD228" s="3303"/>
      <c r="BE228" s="3303"/>
      <c r="BF228" s="3303"/>
      <c r="BG228" s="3303"/>
      <c r="BH228" s="3303"/>
      <c r="BI228" s="3303"/>
      <c r="BJ228" s="3303"/>
      <c r="BK228" s="3303"/>
      <c r="BL228" s="3303"/>
      <c r="BM228" s="1119"/>
      <c r="BN228" s="1119"/>
      <c r="BO228" s="1119"/>
      <c r="BP228" s="1119"/>
      <c r="BQ228" s="1119"/>
      <c r="BR228" s="1119"/>
      <c r="BS228" s="1119"/>
      <c r="BT228" s="1119"/>
      <c r="CD228" s="1883"/>
    </row>
    <row r="229" spans="1:82">
      <c r="A229" s="1384"/>
      <c r="B229" s="1189"/>
      <c r="C229" s="1189"/>
      <c r="D229" s="1189"/>
      <c r="E229" s="1184"/>
      <c r="F229" s="1184"/>
      <c r="G229" s="1184"/>
      <c r="H229" s="1184"/>
      <c r="I229" s="1184"/>
      <c r="J229" s="1184"/>
      <c r="K229" s="1184"/>
      <c r="L229" s="1184"/>
      <c r="M229" s="1184"/>
      <c r="N229" s="1184"/>
      <c r="O229" s="1184"/>
      <c r="S229" s="1184"/>
      <c r="T229" s="1764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O229" s="1"/>
      <c r="AP229" s="36"/>
      <c r="AQ229" s="36"/>
      <c r="AR229" s="36"/>
      <c r="AS229" s="36"/>
      <c r="AT229" s="1667"/>
      <c r="AU229" s="36"/>
      <c r="AV229" s="36"/>
      <c r="AW229" s="36"/>
      <c r="AX229" s="1667"/>
      <c r="AY229" s="1667"/>
      <c r="AZ229" s="3320"/>
      <c r="BA229" s="1722"/>
      <c r="BB229" s="1722"/>
      <c r="BC229" s="1722"/>
      <c r="BD229" s="1722"/>
      <c r="BE229" s="1722"/>
      <c r="BF229" s="1722"/>
      <c r="BG229" s="1722"/>
      <c r="BH229" s="1722"/>
      <c r="BI229" s="1722"/>
      <c r="BJ229" s="1722"/>
      <c r="BK229" s="1722"/>
      <c r="BL229" s="1722"/>
      <c r="BM229" s="36"/>
      <c r="BN229" s="36"/>
      <c r="BO229" s="36"/>
      <c r="BP229" s="36"/>
      <c r="BQ229" s="36"/>
      <c r="BR229" s="36"/>
      <c r="BS229" s="36"/>
      <c r="BT229" s="36"/>
      <c r="CD229" s="1883"/>
    </row>
    <row r="230" spans="1:82">
      <c r="A230" s="1116"/>
      <c r="B230" s="1186"/>
      <c r="C230" s="1186"/>
      <c r="D230" s="1186"/>
      <c r="E230" s="1186"/>
      <c r="F230" s="1186"/>
      <c r="G230" s="1186"/>
      <c r="H230" s="1186"/>
      <c r="I230" s="1186"/>
      <c r="J230" s="1385"/>
      <c r="K230" s="1385"/>
      <c r="L230" s="1385"/>
      <c r="M230" s="1385"/>
      <c r="N230" s="1385"/>
      <c r="O230" s="1385"/>
      <c r="S230" s="1385"/>
      <c r="T230" s="1764"/>
      <c r="U230" s="3596"/>
      <c r="V230" s="325"/>
      <c r="W230" s="325"/>
      <c r="X230" s="325"/>
      <c r="Y230" s="325"/>
      <c r="Z230" s="325"/>
      <c r="AA230" s="325"/>
      <c r="AB230" s="325"/>
      <c r="AC230" s="325"/>
      <c r="AD230" s="325"/>
      <c r="AE230" s="325"/>
      <c r="AF230" s="36"/>
      <c r="AG230" s="36"/>
      <c r="AH230" s="36"/>
      <c r="AI230" s="36"/>
      <c r="AJ230" s="36"/>
      <c r="AK230" s="36"/>
      <c r="AL230" s="36"/>
      <c r="AM230" s="36"/>
      <c r="AO230" s="32"/>
      <c r="AP230" s="36"/>
      <c r="AQ230" s="36"/>
      <c r="AR230" s="36"/>
      <c r="AS230" s="36"/>
      <c r="AT230" s="1667"/>
      <c r="AU230" s="36"/>
      <c r="AV230" s="36"/>
      <c r="AW230" s="36"/>
      <c r="AX230" s="1667"/>
      <c r="AY230" s="1667"/>
      <c r="AZ230" s="3320"/>
      <c r="BA230" s="1722"/>
      <c r="BB230" s="1722"/>
      <c r="BC230" s="1722"/>
      <c r="BD230" s="1722"/>
      <c r="BE230" s="1722"/>
      <c r="BF230" s="1722"/>
      <c r="BG230" s="1722"/>
      <c r="BH230" s="1722"/>
      <c r="BI230" s="1722"/>
      <c r="BJ230" s="1722"/>
      <c r="BK230" s="1722"/>
      <c r="BL230" s="1722"/>
      <c r="BM230" s="36"/>
      <c r="BN230" s="36"/>
      <c r="BO230" s="36"/>
      <c r="BP230" s="36"/>
      <c r="BQ230" s="36"/>
      <c r="BR230" s="36"/>
      <c r="BS230" s="36"/>
      <c r="BT230" s="36"/>
      <c r="CD230" s="1883"/>
    </row>
    <row r="231" spans="1:82" s="827" customFormat="1">
      <c r="A231" s="819"/>
      <c r="B231" s="1172"/>
      <c r="C231" s="1172"/>
      <c r="D231" s="843"/>
      <c r="E231" s="1172"/>
      <c r="F231" s="843"/>
      <c r="G231" s="843"/>
      <c r="H231" s="843"/>
      <c r="I231" s="843"/>
      <c r="J231" s="843"/>
      <c r="K231" s="843"/>
      <c r="L231" s="843"/>
      <c r="M231" s="843"/>
      <c r="N231" s="843"/>
      <c r="O231" s="843"/>
      <c r="S231" s="843"/>
      <c r="T231" s="1773"/>
      <c r="U231" s="3596"/>
      <c r="V231" s="1174"/>
      <c r="W231" s="1174"/>
      <c r="X231" s="1174"/>
      <c r="Y231" s="1174"/>
      <c r="Z231" s="1174"/>
      <c r="AA231" s="1174"/>
      <c r="AB231" s="1174"/>
      <c r="AC231" s="1174"/>
      <c r="AD231" s="1174"/>
      <c r="AE231" s="1174"/>
      <c r="AF231" s="845"/>
      <c r="AG231" s="845"/>
      <c r="AH231" s="845"/>
      <c r="AI231" s="845"/>
      <c r="AJ231" s="845"/>
      <c r="AK231" s="845"/>
      <c r="AL231" s="845"/>
      <c r="AM231" s="845"/>
      <c r="AN231" s="1178"/>
      <c r="AP231" s="845"/>
      <c r="AQ231" s="845"/>
      <c r="AR231" s="845"/>
      <c r="AS231" s="845"/>
      <c r="AT231" s="2440"/>
      <c r="AU231" s="845"/>
      <c r="AV231" s="845"/>
      <c r="AW231" s="845"/>
      <c r="AX231" s="2440"/>
      <c r="AY231" s="2440"/>
      <c r="AZ231" s="3321"/>
      <c r="BA231" s="3304"/>
      <c r="BB231" s="3304"/>
      <c r="BC231" s="3304"/>
      <c r="BD231" s="3304"/>
      <c r="BE231" s="3304"/>
      <c r="BF231" s="3304"/>
      <c r="BG231" s="3304"/>
      <c r="BH231" s="3304"/>
      <c r="BI231" s="3304"/>
      <c r="BJ231" s="3304"/>
      <c r="BK231" s="3304"/>
      <c r="BL231" s="3304"/>
      <c r="BM231" s="845"/>
      <c r="BN231" s="845"/>
      <c r="BO231" s="845"/>
      <c r="BP231" s="845"/>
      <c r="BQ231" s="845"/>
      <c r="BR231" s="845"/>
      <c r="BS231" s="845"/>
      <c r="BT231" s="845"/>
      <c r="CD231" s="1883"/>
    </row>
    <row r="232" spans="1:82" s="827" customFormat="1">
      <c r="A232" s="819"/>
      <c r="B232" s="1172"/>
      <c r="C232" s="1172"/>
      <c r="D232" s="843"/>
      <c r="E232" s="1172"/>
      <c r="J232" s="1171"/>
      <c r="K232" s="1171"/>
      <c r="L232" s="1171"/>
      <c r="M232" s="1171"/>
      <c r="S232" s="1171"/>
      <c r="T232" s="1773"/>
      <c r="U232" s="325"/>
      <c r="V232" s="1174"/>
      <c r="W232" s="1174"/>
      <c r="X232" s="1174"/>
      <c r="Y232" s="1174"/>
      <c r="Z232" s="1174"/>
      <c r="AA232" s="1174"/>
      <c r="AB232" s="1174"/>
      <c r="AC232" s="1174"/>
      <c r="AD232" s="1174"/>
      <c r="AE232" s="1174"/>
      <c r="AF232" s="845"/>
      <c r="AG232" s="845"/>
      <c r="AH232" s="845"/>
      <c r="AI232" s="845"/>
      <c r="AJ232" s="845"/>
      <c r="AK232" s="845"/>
      <c r="AL232" s="845"/>
      <c r="AM232" s="845"/>
      <c r="AN232" s="1178"/>
      <c r="AP232" s="845"/>
      <c r="AQ232" s="845"/>
      <c r="AR232" s="845"/>
      <c r="AS232" s="845"/>
      <c r="AT232" s="2440"/>
      <c r="AU232" s="845"/>
      <c r="AV232" s="845"/>
      <c r="AW232" s="845"/>
      <c r="AX232" s="2440"/>
      <c r="AY232" s="2440"/>
      <c r="AZ232" s="3321"/>
      <c r="BA232" s="3304"/>
      <c r="BB232" s="3304"/>
      <c r="BC232" s="3304"/>
      <c r="BD232" s="3304"/>
      <c r="BE232" s="3304"/>
      <c r="BF232" s="3304"/>
      <c r="BG232" s="3304"/>
      <c r="BH232" s="3304"/>
      <c r="BI232" s="3304"/>
      <c r="BJ232" s="3304"/>
      <c r="BK232" s="3304"/>
      <c r="BL232" s="3304"/>
      <c r="BM232" s="845"/>
      <c r="BN232" s="845"/>
      <c r="BO232" s="845"/>
      <c r="BP232" s="845"/>
      <c r="BQ232" s="845"/>
      <c r="BR232" s="845"/>
      <c r="BS232" s="845"/>
      <c r="BT232" s="845"/>
      <c r="CD232" s="1883"/>
    </row>
    <row r="233" spans="1:82">
      <c r="A233" s="1376"/>
      <c r="B233" s="1148"/>
      <c r="C233" s="1148"/>
      <c r="D233" s="1148"/>
      <c r="E233" s="1148"/>
      <c r="F233" s="1148"/>
      <c r="G233" s="1148"/>
      <c r="H233" s="1148"/>
      <c r="I233" s="1148"/>
      <c r="J233" s="1148"/>
      <c r="K233" s="1148"/>
      <c r="L233" s="1148"/>
      <c r="M233" s="1148"/>
      <c r="N233" s="1148"/>
      <c r="O233" s="1148"/>
      <c r="S233" s="1148"/>
      <c r="T233" s="1764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P233" s="36"/>
      <c r="AQ233" s="36"/>
      <c r="AR233" s="36"/>
      <c r="AS233" s="36"/>
      <c r="AT233" s="1667"/>
      <c r="AU233" s="36"/>
      <c r="AV233" s="36"/>
      <c r="AW233" s="36"/>
      <c r="AX233" s="1667"/>
      <c r="AY233" s="1667"/>
      <c r="AZ233" s="3320"/>
      <c r="BA233" s="1722"/>
      <c r="BB233" s="1722"/>
      <c r="BC233" s="1722"/>
      <c r="BD233" s="1722"/>
      <c r="BE233" s="1722"/>
      <c r="BF233" s="1722"/>
      <c r="BG233" s="1722"/>
      <c r="BH233" s="1722"/>
      <c r="BI233" s="1722"/>
      <c r="BJ233" s="1722"/>
      <c r="BK233" s="1722"/>
      <c r="BL233" s="1722"/>
      <c r="BM233" s="36"/>
      <c r="BN233" s="36"/>
      <c r="BO233" s="36"/>
      <c r="BP233" s="36"/>
      <c r="BQ233" s="36"/>
      <c r="BR233" s="36"/>
      <c r="BS233" s="36"/>
      <c r="BT233" s="36"/>
      <c r="CD233" s="1883"/>
    </row>
    <row r="234" spans="1:82" s="827" customFormat="1">
      <c r="A234" s="819"/>
      <c r="B234" s="1382"/>
      <c r="C234" s="830"/>
      <c r="D234" s="830"/>
      <c r="E234" s="830"/>
      <c r="F234" s="830"/>
      <c r="G234" s="830"/>
      <c r="H234" s="830"/>
      <c r="I234" s="830"/>
      <c r="J234" s="830"/>
      <c r="K234" s="830"/>
      <c r="L234" s="830"/>
      <c r="M234" s="830"/>
      <c r="N234" s="830"/>
      <c r="O234" s="830"/>
      <c r="S234" s="830"/>
      <c r="T234" s="1773"/>
      <c r="U234" s="845"/>
      <c r="V234" s="845"/>
      <c r="W234" s="845"/>
      <c r="X234" s="845"/>
      <c r="Y234" s="845"/>
      <c r="Z234" s="845"/>
      <c r="AA234" s="845"/>
      <c r="AB234" s="845"/>
      <c r="AC234" s="845"/>
      <c r="AD234" s="845"/>
      <c r="AE234" s="845"/>
      <c r="AF234" s="845"/>
      <c r="AG234" s="845"/>
      <c r="AH234" s="845"/>
      <c r="AI234" s="845"/>
      <c r="AJ234" s="845"/>
      <c r="AK234" s="845"/>
      <c r="AL234" s="845"/>
      <c r="AM234" s="845"/>
      <c r="AN234" s="1178"/>
      <c r="AP234" s="845"/>
      <c r="AQ234" s="845"/>
      <c r="AR234" s="845"/>
      <c r="AS234" s="845"/>
      <c r="AT234" s="2440"/>
      <c r="AU234" s="845"/>
      <c r="AV234" s="845"/>
      <c r="AW234" s="845"/>
      <c r="AX234" s="2440"/>
      <c r="AY234" s="2440"/>
      <c r="AZ234" s="3321"/>
      <c r="BA234" s="3304"/>
      <c r="BB234" s="3304"/>
      <c r="BC234" s="3304"/>
      <c r="BD234" s="3304"/>
      <c r="BE234" s="3304"/>
      <c r="BF234" s="3304"/>
      <c r="BG234" s="3304"/>
      <c r="BH234" s="3304"/>
      <c r="BI234" s="3304"/>
      <c r="BJ234" s="3304"/>
      <c r="BK234" s="3304"/>
      <c r="BL234" s="3304"/>
      <c r="BM234" s="845"/>
      <c r="BN234" s="845"/>
      <c r="BO234" s="845"/>
      <c r="BP234" s="845"/>
      <c r="BQ234" s="845"/>
      <c r="BR234" s="845"/>
      <c r="BS234" s="845"/>
      <c r="BT234" s="845"/>
      <c r="CD234" s="1883"/>
    </row>
    <row r="235" spans="1:82">
      <c r="A235" s="1116"/>
      <c r="B235" s="1189"/>
      <c r="C235" s="1189"/>
      <c r="D235" s="725"/>
      <c r="E235" s="725"/>
      <c r="J235" s="726"/>
      <c r="K235" s="726"/>
      <c r="L235" s="726"/>
      <c r="M235" s="726"/>
      <c r="N235" s="1116"/>
      <c r="O235" s="1116"/>
      <c r="S235" s="726"/>
      <c r="T235" s="1764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P235" s="36"/>
      <c r="AQ235" s="36"/>
      <c r="AR235" s="36"/>
      <c r="AS235" s="36"/>
      <c r="AT235" s="1667"/>
      <c r="AU235" s="36"/>
      <c r="AV235" s="36"/>
      <c r="AW235" s="36"/>
      <c r="AX235" s="1667"/>
      <c r="AY235" s="1667"/>
      <c r="AZ235" s="3320"/>
      <c r="BA235" s="1722"/>
      <c r="BB235" s="1722"/>
      <c r="BC235" s="1722"/>
      <c r="BD235" s="1722"/>
      <c r="BE235" s="1722"/>
      <c r="BF235" s="1722"/>
      <c r="BG235" s="1722"/>
      <c r="BH235" s="1722"/>
      <c r="BI235" s="1722"/>
      <c r="BJ235" s="1722"/>
      <c r="BK235" s="1722"/>
      <c r="BL235" s="1722"/>
      <c r="BM235" s="36"/>
      <c r="BN235" s="36"/>
      <c r="BO235" s="36"/>
      <c r="BP235" s="36"/>
      <c r="BQ235" s="36"/>
      <c r="BR235" s="36"/>
      <c r="BS235" s="36"/>
      <c r="BT235" s="36"/>
      <c r="CD235" s="1883"/>
    </row>
    <row r="236" spans="1:82">
      <c r="A236" s="811"/>
      <c r="B236" s="1116"/>
      <c r="C236" s="1116"/>
      <c r="J236" s="1107"/>
      <c r="K236" s="1107"/>
      <c r="L236" s="1107"/>
      <c r="M236" s="1107"/>
      <c r="N236" s="1116"/>
      <c r="O236" s="1116"/>
      <c r="S236" s="1107"/>
      <c r="T236" s="1764"/>
      <c r="U236" s="592"/>
      <c r="V236" s="36"/>
      <c r="W236" s="36"/>
      <c r="X236" s="592"/>
      <c r="Y236" s="592"/>
      <c r="Z236" s="592"/>
      <c r="AA236" s="592"/>
      <c r="AB236" s="592"/>
      <c r="AC236" s="592"/>
      <c r="AD236" s="592"/>
      <c r="AE236" s="592"/>
      <c r="AF236" s="592"/>
      <c r="AG236" s="592"/>
      <c r="AH236" s="592"/>
      <c r="AI236" s="592"/>
      <c r="AJ236" s="592"/>
      <c r="AK236" s="592"/>
      <c r="AL236" s="592"/>
      <c r="AM236" s="592"/>
      <c r="AN236" s="754"/>
      <c r="AO236" s="728"/>
      <c r="AP236" s="36"/>
      <c r="AQ236" s="36"/>
      <c r="AR236" s="36"/>
      <c r="AS236" s="36"/>
      <c r="AT236" s="1667"/>
      <c r="AU236" s="36"/>
      <c r="AV236" s="36"/>
      <c r="AW236" s="36"/>
      <c r="AX236" s="1667"/>
      <c r="AY236" s="1667"/>
      <c r="AZ236" s="3320"/>
      <c r="BA236" s="1722"/>
      <c r="BB236" s="1722"/>
      <c r="BC236" s="1722"/>
      <c r="BD236" s="1722"/>
      <c r="BE236" s="1722"/>
      <c r="BF236" s="1722"/>
      <c r="BG236" s="1722"/>
      <c r="BH236" s="1722"/>
      <c r="BI236" s="1722"/>
      <c r="BJ236" s="1722"/>
      <c r="BK236" s="1722"/>
      <c r="BL236" s="1722"/>
      <c r="BM236" s="36"/>
      <c r="BN236" s="36"/>
      <c r="BO236" s="36"/>
      <c r="BP236" s="36"/>
      <c r="BQ236" s="36"/>
      <c r="BR236" s="36"/>
      <c r="BS236" s="36"/>
      <c r="BT236" s="36"/>
      <c r="CD236" s="1883"/>
    </row>
    <row r="237" spans="1:82">
      <c r="A237" s="1376"/>
      <c r="B237" s="1189"/>
      <c r="C237" s="1165"/>
      <c r="D237" s="1165"/>
      <c r="E237" s="1165"/>
      <c r="F237" s="1165"/>
      <c r="G237" s="1165"/>
      <c r="H237" s="1165"/>
      <c r="I237" s="1165"/>
      <c r="J237" s="1165"/>
      <c r="K237" s="1165"/>
      <c r="L237" s="1165"/>
      <c r="M237" s="1165"/>
      <c r="N237" s="1165"/>
      <c r="O237" s="1165"/>
      <c r="S237" s="1165"/>
      <c r="AN237" s="288"/>
      <c r="AZ237" s="1698"/>
      <c r="BA237" s="1474"/>
      <c r="BB237" s="1474"/>
      <c r="BC237" s="1474"/>
      <c r="BD237" s="1474"/>
      <c r="BE237" s="1474"/>
      <c r="BF237" s="1474"/>
      <c r="BG237" s="1474"/>
      <c r="BH237" s="1474"/>
      <c r="BI237" s="1474"/>
      <c r="BJ237" s="1474"/>
      <c r="BK237" s="1474"/>
      <c r="BL237" s="1474"/>
      <c r="CD237" s="1883"/>
    </row>
    <row r="238" spans="1:82">
      <c r="A238" s="1116"/>
      <c r="B238" s="1189"/>
      <c r="C238" s="1166"/>
      <c r="D238" s="1386"/>
      <c r="E238" s="1386"/>
      <c r="F238" s="1386"/>
      <c r="G238" s="1386"/>
      <c r="H238" s="1386"/>
      <c r="I238" s="1386"/>
      <c r="J238" s="1386"/>
      <c r="K238" s="1386"/>
      <c r="L238" s="1386"/>
      <c r="M238" s="1386"/>
      <c r="N238" s="1386"/>
      <c r="O238" s="1386"/>
      <c r="S238" s="1386"/>
      <c r="T238" s="1764"/>
      <c r="AN238" s="6"/>
      <c r="AZ238" s="1698"/>
      <c r="BA238" s="1474"/>
      <c r="BB238" s="1474"/>
      <c r="BC238" s="1474"/>
      <c r="BD238" s="1474"/>
      <c r="BE238" s="1474"/>
      <c r="BF238" s="1474"/>
      <c r="BG238" s="1474"/>
      <c r="BH238" s="1474"/>
      <c r="BI238" s="1474"/>
      <c r="BJ238" s="1474"/>
      <c r="BK238" s="1474"/>
      <c r="BL238" s="1474"/>
      <c r="CD238" s="1883"/>
    </row>
    <row r="239" spans="1:82">
      <c r="A239" s="1116"/>
      <c r="B239" s="2445">
        <v>2018</v>
      </c>
      <c r="C239" s="2445">
        <v>2019</v>
      </c>
      <c r="D239" s="2445">
        <v>2020</v>
      </c>
      <c r="E239" s="2445">
        <v>2021</v>
      </c>
      <c r="F239" s="2445">
        <v>2022</v>
      </c>
      <c r="G239" s="1447">
        <v>2023</v>
      </c>
      <c r="H239" s="1447">
        <v>2023</v>
      </c>
      <c r="I239" s="1447"/>
      <c r="J239" s="1386"/>
      <c r="K239" s="1386"/>
      <c r="L239" s="1386"/>
      <c r="M239" s="1386"/>
      <c r="N239" s="1386"/>
      <c r="O239" s="1386"/>
      <c r="S239" s="1386"/>
      <c r="AN239" s="6"/>
      <c r="AZ239" s="1698"/>
      <c r="BA239" s="1474"/>
      <c r="BB239" s="1474"/>
      <c r="BC239" s="1474"/>
      <c r="BD239" s="1474"/>
      <c r="BE239" s="1474"/>
      <c r="BF239" s="1474"/>
      <c r="BG239" s="1474"/>
      <c r="BH239" s="1474"/>
      <c r="BI239" s="1474"/>
      <c r="BJ239" s="1474"/>
      <c r="BK239" s="1474"/>
      <c r="BL239" s="1474"/>
    </row>
    <row r="240" spans="1:82">
      <c r="A240" s="2444" t="s">
        <v>1669</v>
      </c>
      <c r="B240" s="738">
        <v>14325</v>
      </c>
      <c r="C240" s="738">
        <v>15282</v>
      </c>
      <c r="D240" s="1167">
        <v>16132</v>
      </c>
      <c r="E240" s="1386">
        <v>18214</v>
      </c>
      <c r="F240" s="1386">
        <v>22089</v>
      </c>
      <c r="G240" s="1386">
        <v>25213</v>
      </c>
      <c r="H240" s="1386">
        <v>25213</v>
      </c>
      <c r="I240" s="1386"/>
      <c r="J240" s="1386"/>
      <c r="K240" s="1386"/>
      <c r="L240" s="1386"/>
      <c r="M240" s="1386"/>
      <c r="N240" s="1386"/>
      <c r="O240" s="1386"/>
      <c r="S240" s="1386"/>
      <c r="AN240" s="755"/>
      <c r="AZ240" s="1698"/>
      <c r="BA240" s="1474"/>
      <c r="BB240" s="1474"/>
      <c r="BC240" s="1474"/>
      <c r="BD240" s="1474"/>
      <c r="BE240" s="1474"/>
      <c r="BF240" s="1474"/>
      <c r="BG240" s="1474"/>
      <c r="BH240" s="1474"/>
      <c r="BI240" s="1474"/>
      <c r="BJ240" s="1474"/>
      <c r="BK240" s="1474"/>
      <c r="BL240" s="1474"/>
    </row>
    <row r="241" spans="1:72">
      <c r="A241" s="1447" t="s">
        <v>1668</v>
      </c>
      <c r="B241" s="2" t="e">
        <f t="shared" ref="B241" si="393">B240/A240-1</f>
        <v>#VALUE!</v>
      </c>
      <c r="C241" s="2">
        <f t="shared" ref="C241" si="394">C240/B240-1</f>
        <v>6.68062827225131E-2</v>
      </c>
      <c r="D241" s="2">
        <f t="shared" ref="D241:F241" si="395">D240/C240-1</f>
        <v>5.5620992016751636E-2</v>
      </c>
      <c r="E241" s="2">
        <f t="shared" si="395"/>
        <v>0.1290602529134639</v>
      </c>
      <c r="F241" s="2">
        <f t="shared" si="395"/>
        <v>0.21274843526957277</v>
      </c>
      <c r="G241" s="2">
        <f>G240/F240-1</f>
        <v>0.14142786002082475</v>
      </c>
      <c r="H241" s="2">
        <f>H240/G240-1</f>
        <v>0</v>
      </c>
      <c r="I241" s="2"/>
      <c r="J241" s="1386"/>
      <c r="K241" s="1386"/>
      <c r="L241" s="1386"/>
      <c r="M241" s="1386"/>
      <c r="N241" s="1386"/>
      <c r="O241" s="1386"/>
      <c r="S241" s="1386"/>
      <c r="T241" s="1764"/>
      <c r="U241" s="592"/>
      <c r="V241" s="592"/>
      <c r="W241" s="592"/>
      <c r="X241" s="592"/>
      <c r="Y241" s="592"/>
      <c r="Z241" s="592"/>
      <c r="AA241" s="592"/>
      <c r="AB241" s="592"/>
      <c r="AC241" s="592"/>
      <c r="AD241" s="592"/>
      <c r="AE241" s="592"/>
      <c r="AF241" s="592"/>
      <c r="AG241" s="592"/>
      <c r="AH241" s="592"/>
      <c r="AI241" s="592"/>
      <c r="AJ241" s="592"/>
      <c r="AK241" s="592"/>
      <c r="AL241" s="592"/>
      <c r="AM241" s="592"/>
      <c r="AO241" s="728"/>
      <c r="AP241" s="36"/>
      <c r="AQ241" s="36"/>
      <c r="AR241" s="36"/>
      <c r="AS241" s="36"/>
      <c r="AT241" s="1667"/>
      <c r="AU241" s="36"/>
      <c r="AV241" s="36"/>
      <c r="AW241" s="36"/>
      <c r="AX241" s="1667"/>
      <c r="AY241" s="1667"/>
      <c r="AZ241" s="3320"/>
      <c r="BA241" s="1722"/>
      <c r="BB241" s="1722"/>
      <c r="BC241" s="1722"/>
      <c r="BD241" s="1722"/>
      <c r="BE241" s="1722"/>
      <c r="BF241" s="1722"/>
      <c r="BG241" s="1722"/>
      <c r="BH241" s="1722"/>
      <c r="BI241" s="1722"/>
      <c r="BJ241" s="1722"/>
      <c r="BK241" s="1722"/>
      <c r="BL241" s="1722"/>
      <c r="BM241" s="36"/>
      <c r="BN241" s="36"/>
      <c r="BO241" s="36"/>
      <c r="BP241" s="36"/>
      <c r="BQ241" s="36"/>
      <c r="BR241" s="36"/>
      <c r="BS241" s="36"/>
      <c r="BT241" s="36"/>
    </row>
    <row r="242" spans="1:72">
      <c r="A242" s="1116" t="s">
        <v>1186</v>
      </c>
      <c r="B242" s="2349">
        <v>589</v>
      </c>
      <c r="C242" s="2349">
        <v>710</v>
      </c>
      <c r="D242" s="1167">
        <v>742</v>
      </c>
      <c r="E242" s="1386">
        <v>807</v>
      </c>
      <c r="F242" s="1386">
        <v>854</v>
      </c>
      <c r="G242" s="1386">
        <v>925.7</v>
      </c>
      <c r="H242" s="1386">
        <v>925.7</v>
      </c>
      <c r="I242" s="1386"/>
      <c r="J242" s="1180"/>
      <c r="K242" s="1116"/>
      <c r="L242" s="1116"/>
      <c r="M242" s="1116"/>
      <c r="N242" s="1386"/>
      <c r="O242" s="1386"/>
      <c r="S242" s="1116"/>
      <c r="T242" s="1764"/>
      <c r="U242" s="592"/>
      <c r="V242" s="592"/>
      <c r="W242" s="592"/>
      <c r="X242" s="592"/>
      <c r="Y242" s="592"/>
      <c r="Z242" s="592"/>
      <c r="AA242" s="592"/>
      <c r="AB242" s="592"/>
      <c r="AC242" s="592"/>
      <c r="AD242" s="592"/>
      <c r="AE242" s="592"/>
      <c r="AF242" s="592"/>
      <c r="AG242" s="592"/>
      <c r="AH242" s="592"/>
      <c r="AI242" s="592"/>
      <c r="AJ242" s="592"/>
      <c r="AK242" s="592"/>
      <c r="AL242" s="592"/>
      <c r="AM242" s="592"/>
      <c r="AO242" s="728"/>
      <c r="AP242" s="36"/>
      <c r="AQ242" s="36"/>
      <c r="AR242" s="36"/>
      <c r="AS242" s="36"/>
      <c r="AT242" s="1667"/>
      <c r="AU242" s="36"/>
      <c r="AV242" s="36"/>
      <c r="AW242" s="36"/>
      <c r="AX242" s="1667"/>
      <c r="AY242" s="1667"/>
      <c r="AZ242" s="3320"/>
      <c r="BA242" s="1722"/>
      <c r="BB242" s="1722"/>
      <c r="BC242" s="1722"/>
      <c r="BD242" s="1722"/>
      <c r="BE242" s="1722"/>
      <c r="BF242" s="1722"/>
      <c r="BG242" s="1722"/>
      <c r="BH242" s="1722"/>
      <c r="BI242" s="1722"/>
      <c r="BJ242" s="1722"/>
      <c r="BK242" s="1722"/>
      <c r="BL242" s="1722"/>
      <c r="BM242" s="36"/>
      <c r="BN242" s="36"/>
      <c r="BO242" s="36"/>
      <c r="BP242" s="36"/>
      <c r="BQ242" s="36"/>
      <c r="BR242" s="36"/>
      <c r="BS242" s="36"/>
      <c r="BT242" s="36"/>
    </row>
    <row r="243" spans="1:72">
      <c r="A243" s="1376"/>
      <c r="B243" s="1191"/>
      <c r="C243" s="1168"/>
      <c r="D243" s="1148"/>
      <c r="E243" s="1148"/>
      <c r="F243" s="1148"/>
      <c r="G243" s="1148"/>
      <c r="H243" s="1148"/>
      <c r="I243" s="1148"/>
      <c r="J243" s="1148"/>
      <c r="K243" s="1148"/>
      <c r="L243" s="1148"/>
      <c r="M243" s="1148"/>
      <c r="N243" s="1148"/>
      <c r="O243" s="1148"/>
      <c r="S243" s="1148"/>
      <c r="T243" s="1764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O243" s="32"/>
      <c r="AP243" s="36"/>
      <c r="AQ243" s="36"/>
      <c r="AR243" s="36"/>
      <c r="AS243" s="36"/>
      <c r="AT243" s="1667"/>
      <c r="AU243" s="36"/>
      <c r="AV243" s="36"/>
      <c r="AW243" s="36"/>
      <c r="AX243" s="1667"/>
      <c r="AY243" s="1667"/>
      <c r="AZ243" s="3320"/>
      <c r="BA243" s="1722"/>
      <c r="BB243" s="1722"/>
      <c r="BC243" s="1722"/>
      <c r="BD243" s="1722"/>
      <c r="BE243" s="1722"/>
      <c r="BF243" s="1722"/>
      <c r="BG243" s="1722"/>
      <c r="BH243" s="1722"/>
      <c r="BI243" s="1722"/>
      <c r="BJ243" s="1722"/>
      <c r="BK243" s="1722"/>
      <c r="BL243" s="1722"/>
      <c r="BM243" s="36"/>
      <c r="BN243" s="36"/>
      <c r="BO243" s="36"/>
      <c r="BP243" s="36"/>
      <c r="BQ243" s="36"/>
      <c r="BR243" s="36"/>
      <c r="BS243" s="36"/>
      <c r="BT243" s="36"/>
    </row>
    <row r="244" spans="1:72">
      <c r="A244" s="1387"/>
      <c r="B244" s="1388"/>
      <c r="C244" s="1181"/>
      <c r="D244" s="1182"/>
      <c r="E244" s="1389"/>
      <c r="F244" s="1389"/>
      <c r="G244" s="1389"/>
      <c r="H244" s="1389"/>
      <c r="I244" s="1389"/>
      <c r="J244" s="1183"/>
      <c r="K244" s="1387"/>
      <c r="L244" s="1387"/>
      <c r="M244" s="1387"/>
      <c r="N244" s="1389"/>
      <c r="O244" s="1389"/>
      <c r="S244" s="1387"/>
      <c r="T244" s="1764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O244" s="32"/>
      <c r="AP244" s="36"/>
      <c r="AQ244" s="36"/>
      <c r="AR244" s="36"/>
      <c r="AS244" s="36"/>
      <c r="AT244" s="1667"/>
      <c r="AU244" s="36"/>
      <c r="AV244" s="36"/>
      <c r="AW244" s="36"/>
      <c r="AX244" s="1667"/>
      <c r="AY244" s="1667"/>
      <c r="AZ244" s="3320"/>
      <c r="BA244" s="1722"/>
      <c r="BB244" s="1722"/>
      <c r="BC244" s="1722"/>
      <c r="BD244" s="1722"/>
      <c r="BE244" s="1722"/>
      <c r="BF244" s="1722"/>
      <c r="BG244" s="1722"/>
      <c r="BH244" s="1722"/>
      <c r="BI244" s="1722"/>
      <c r="BJ244" s="1722"/>
      <c r="BK244" s="1722"/>
      <c r="BL244" s="1722"/>
      <c r="BM244" s="36"/>
      <c r="BN244" s="36"/>
      <c r="BO244" s="36"/>
      <c r="BP244" s="36"/>
      <c r="BQ244" s="36"/>
      <c r="BR244" s="36"/>
      <c r="BS244" s="36"/>
      <c r="BT244" s="36"/>
    </row>
    <row r="245" spans="1:72">
      <c r="A245" s="1376"/>
      <c r="B245" s="1189"/>
      <c r="C245" s="1191"/>
      <c r="D245" s="1191"/>
      <c r="E245" s="1191"/>
      <c r="F245" s="1191"/>
      <c r="G245" s="1191"/>
      <c r="H245" s="1191"/>
      <c r="I245" s="1191"/>
      <c r="J245" s="1191"/>
      <c r="K245" s="1191"/>
      <c r="L245" s="1191"/>
      <c r="M245" s="1191"/>
      <c r="N245" s="1191"/>
      <c r="O245" s="1191"/>
      <c r="S245" s="1191"/>
      <c r="T245" s="1764"/>
      <c r="U245" s="592"/>
      <c r="V245" s="592"/>
      <c r="W245" s="592"/>
      <c r="X245" s="592"/>
      <c r="Y245" s="592"/>
      <c r="Z245" s="592"/>
      <c r="AA245" s="592"/>
      <c r="AB245" s="592"/>
      <c r="AC245" s="592"/>
      <c r="AD245" s="592"/>
      <c r="AE245" s="592"/>
      <c r="AF245" s="592"/>
      <c r="AG245" s="592"/>
      <c r="AH245" s="592"/>
      <c r="AI245" s="592"/>
      <c r="AJ245" s="592"/>
      <c r="AK245" s="592"/>
      <c r="AL245" s="592"/>
      <c r="AM245" s="592"/>
      <c r="AO245" s="728"/>
      <c r="AP245" s="36"/>
      <c r="AQ245" s="36"/>
      <c r="AR245" s="36"/>
      <c r="AS245" s="36"/>
      <c r="AT245" s="1667"/>
      <c r="AU245" s="36"/>
      <c r="AV245" s="36"/>
      <c r="AW245" s="36"/>
      <c r="AX245" s="1667"/>
      <c r="AY245" s="1667"/>
      <c r="AZ245" s="3320"/>
      <c r="BA245" s="1722"/>
      <c r="BB245" s="1722"/>
      <c r="BC245" s="1722"/>
      <c r="BD245" s="1722"/>
      <c r="BE245" s="1722"/>
      <c r="BF245" s="1722"/>
      <c r="BG245" s="1722"/>
      <c r="BH245" s="1722"/>
      <c r="BI245" s="1722"/>
      <c r="BJ245" s="1722"/>
      <c r="BK245" s="1722"/>
      <c r="BL245" s="1722"/>
      <c r="BM245" s="36"/>
      <c r="BN245" s="36"/>
      <c r="BO245" s="36"/>
      <c r="BP245" s="36"/>
      <c r="BQ245" s="36"/>
      <c r="BR245" s="36"/>
      <c r="BS245" s="36"/>
      <c r="BT245" s="36"/>
    </row>
    <row r="246" spans="1:72">
      <c r="A246" s="1116"/>
      <c r="B246" s="1189"/>
      <c r="C246" s="1380"/>
      <c r="D246" s="1189"/>
      <c r="E246" s="1189"/>
      <c r="F246" s="1189"/>
      <c r="G246" s="1189"/>
      <c r="H246" s="1189"/>
      <c r="I246" s="1189"/>
      <c r="J246" s="1189"/>
      <c r="K246" s="1189"/>
      <c r="L246" s="1189"/>
      <c r="M246" s="1189"/>
      <c r="N246" s="1189"/>
      <c r="O246" s="1189"/>
      <c r="S246" s="1189"/>
      <c r="T246" s="1764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O246" s="32"/>
      <c r="AP246" s="36"/>
      <c r="AQ246" s="36"/>
      <c r="AR246" s="36"/>
      <c r="AS246" s="36"/>
      <c r="AT246" s="1667"/>
      <c r="AU246" s="36"/>
      <c r="AV246" s="36"/>
      <c r="AW246" s="36"/>
      <c r="AX246" s="1667"/>
      <c r="AY246" s="1667"/>
      <c r="AZ246" s="3320"/>
      <c r="BA246" s="1722"/>
      <c r="BB246" s="1722"/>
      <c r="BC246" s="1722"/>
      <c r="BD246" s="1722"/>
      <c r="BE246" s="1722"/>
      <c r="BF246" s="1722"/>
      <c r="BG246" s="1722"/>
      <c r="BH246" s="1722"/>
      <c r="BI246" s="1722"/>
      <c r="BJ246" s="1722"/>
      <c r="BK246" s="1722"/>
      <c r="BL246" s="1722"/>
      <c r="BM246" s="36"/>
      <c r="BN246" s="36"/>
      <c r="BO246" s="36"/>
      <c r="BP246" s="36"/>
      <c r="BQ246" s="36"/>
      <c r="BR246" s="36"/>
      <c r="BS246" s="36"/>
      <c r="BT246" s="36"/>
    </row>
    <row r="247" spans="1:72">
      <c r="A247" s="1116"/>
      <c r="B247" s="1189"/>
      <c r="C247" s="1189"/>
      <c r="D247" s="1380"/>
      <c r="E247" s="1380"/>
      <c r="F247" s="1380"/>
      <c r="G247" s="1380"/>
      <c r="H247" s="1380"/>
      <c r="I247" s="1380"/>
      <c r="J247" s="1380"/>
      <c r="K247" s="1380"/>
      <c r="L247" s="1380"/>
      <c r="M247" s="1380"/>
      <c r="N247" s="1380"/>
      <c r="O247" s="1380"/>
      <c r="S247" s="1380"/>
      <c r="T247" s="1764"/>
      <c r="U247" s="1190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P247" s="36"/>
      <c r="AQ247" s="36"/>
      <c r="AR247" s="36"/>
      <c r="AS247" s="36"/>
      <c r="AT247" s="1667"/>
      <c r="AU247" s="36"/>
      <c r="AV247" s="36"/>
      <c r="AW247" s="36"/>
      <c r="AX247" s="1667"/>
      <c r="AY247" s="1667"/>
      <c r="AZ247" s="3320"/>
      <c r="BA247" s="1722"/>
      <c r="BB247" s="1722"/>
      <c r="BC247" s="1722"/>
      <c r="BD247" s="1722"/>
      <c r="BE247" s="1722"/>
      <c r="BF247" s="1722"/>
      <c r="BG247" s="1722"/>
      <c r="BH247" s="1722"/>
      <c r="BI247" s="1722"/>
      <c r="BJ247" s="1722"/>
      <c r="BK247" s="1722"/>
      <c r="BL247" s="1722"/>
      <c r="BM247" s="36"/>
      <c r="BN247" s="36"/>
      <c r="BO247" s="36"/>
      <c r="BP247" s="36"/>
      <c r="BQ247" s="36"/>
      <c r="BR247" s="36"/>
      <c r="BS247" s="36"/>
      <c r="BT247" s="36"/>
    </row>
    <row r="248" spans="1:72">
      <c r="A248" s="3246"/>
      <c r="B248" s="3247"/>
      <c r="C248" s="3587"/>
      <c r="D248" s="3589">
        <v>2020</v>
      </c>
      <c r="E248" s="3589">
        <v>2021</v>
      </c>
      <c r="F248" s="3264">
        <v>2022</v>
      </c>
      <c r="G248" s="3264">
        <v>2023</v>
      </c>
      <c r="H248" s="3264">
        <v>2024</v>
      </c>
      <c r="I248" s="3264">
        <v>2025</v>
      </c>
      <c r="J248" s="3588" t="s">
        <v>2091</v>
      </c>
      <c r="K248" s="3249"/>
      <c r="L248" s="3249"/>
      <c r="M248" s="3249"/>
      <c r="N248" s="3249"/>
      <c r="O248" s="3249"/>
      <c r="P248" s="3250"/>
      <c r="Q248" s="3250"/>
      <c r="R248" s="3250"/>
      <c r="S248" s="3249"/>
      <c r="T248" s="3261"/>
      <c r="U248" s="3262"/>
      <c r="V248" s="3262"/>
      <c r="W248" s="3262"/>
      <c r="X248" s="3262"/>
      <c r="Y248" s="3262"/>
      <c r="Z248" s="3262"/>
      <c r="AA248" s="3262"/>
      <c r="AB248" s="3262"/>
      <c r="AC248" s="3262"/>
      <c r="AD248" s="3262"/>
      <c r="AE248" s="3262"/>
      <c r="AF248" s="3263"/>
      <c r="AG248" s="3263"/>
      <c r="AH248" s="3263"/>
      <c r="AI248" s="3264" t="s">
        <v>1020</v>
      </c>
      <c r="AJ248" s="3264" t="s">
        <v>1209</v>
      </c>
      <c r="AK248" s="3264" t="s">
        <v>1210</v>
      </c>
      <c r="AL248" s="3264" t="s">
        <v>1211</v>
      </c>
      <c r="AM248" s="3264" t="s">
        <v>1014</v>
      </c>
      <c r="AN248" s="3264" t="s">
        <v>1017</v>
      </c>
      <c r="AO248" s="3264" t="s">
        <v>1018</v>
      </c>
      <c r="AP248" s="3264" t="s">
        <v>1019</v>
      </c>
      <c r="AQ248" s="3264" t="s">
        <v>1015</v>
      </c>
      <c r="AR248" s="3264" t="s">
        <v>1036</v>
      </c>
      <c r="AS248" s="3264" t="s">
        <v>1242</v>
      </c>
      <c r="AT248" s="3264" t="s">
        <v>1354</v>
      </c>
      <c r="AU248" s="3264" t="s">
        <v>1498</v>
      </c>
      <c r="AV248" s="3264" t="s">
        <v>1704</v>
      </c>
      <c r="AW248" s="3264" t="s">
        <v>1789</v>
      </c>
      <c r="AX248" s="3264" t="s">
        <v>1792</v>
      </c>
      <c r="AY248" s="3325" t="s">
        <v>1793</v>
      </c>
      <c r="AZ248" s="3306" t="s">
        <v>1794</v>
      </c>
      <c r="BA248" s="3306" t="s">
        <v>1795</v>
      </c>
      <c r="BB248" s="3306" t="s">
        <v>2078</v>
      </c>
      <c r="BC248" s="1470"/>
      <c r="BD248" s="1722"/>
      <c r="BE248" s="1722"/>
      <c r="BF248" s="1722"/>
      <c r="BG248" s="1722"/>
      <c r="BH248" s="1722"/>
      <c r="BI248" s="1722"/>
      <c r="BJ248" s="1722"/>
      <c r="BK248" s="1722"/>
      <c r="BL248" s="1722"/>
      <c r="BM248" s="36"/>
      <c r="BN248" s="36"/>
      <c r="BO248" s="36"/>
      <c r="BP248" s="36"/>
      <c r="BQ248" s="36"/>
      <c r="BR248" s="36"/>
      <c r="BS248" s="36"/>
      <c r="BT248" s="36"/>
    </row>
    <row r="249" spans="1:72">
      <c r="A249" s="3246" t="s">
        <v>2049</v>
      </c>
      <c r="B249" s="3247"/>
      <c r="C249" s="3247"/>
      <c r="D249" s="3248"/>
      <c r="E249" s="3249"/>
      <c r="F249" s="3249"/>
      <c r="G249" s="3249"/>
      <c r="H249" s="3249"/>
      <c r="I249" s="3249"/>
      <c r="J249" s="3249"/>
      <c r="K249" s="3249"/>
      <c r="L249" s="3249"/>
      <c r="M249" s="3249"/>
      <c r="N249" s="3249"/>
      <c r="O249" s="3249"/>
      <c r="P249" s="3250"/>
      <c r="Q249" s="3250"/>
      <c r="R249" s="3250"/>
      <c r="S249" s="3249"/>
      <c r="T249" s="3251"/>
      <c r="U249" s="3252"/>
      <c r="V249" s="3252"/>
      <c r="W249" s="3252"/>
      <c r="X249" s="3252"/>
      <c r="Y249" s="3252"/>
      <c r="Z249" s="3252"/>
      <c r="AA249" s="3252"/>
      <c r="AB249" s="3252"/>
      <c r="AC249" s="3252"/>
      <c r="AD249" s="3252"/>
      <c r="AE249" s="3252"/>
      <c r="AF249" s="3252"/>
      <c r="AG249" s="3252"/>
      <c r="AH249" s="3252"/>
      <c r="AI249" s="3252"/>
      <c r="AJ249" s="3252"/>
      <c r="AK249" s="3252"/>
      <c r="AL249" s="3252"/>
      <c r="AM249" s="3253">
        <v>0.2972075454076768</v>
      </c>
      <c r="AN249" s="3253">
        <v>0.28380989895666531</v>
      </c>
      <c r="AO249" s="3253">
        <v>0.30158646362061825</v>
      </c>
      <c r="AP249" s="3253">
        <v>0.31939752238606323</v>
      </c>
      <c r="AQ249" s="3253">
        <v>0.32262359453680478</v>
      </c>
      <c r="AR249" s="3253">
        <v>0.28343346516742352</v>
      </c>
      <c r="AS249" s="3253">
        <v>0.31746826206809398</v>
      </c>
      <c r="AT249" s="3253">
        <v>0.22370220429875465</v>
      </c>
      <c r="AU249" s="3253">
        <v>0.28710353156272461</v>
      </c>
      <c r="AV249" s="3253">
        <v>0.30829617655883568</v>
      </c>
      <c r="AW249" s="3253">
        <v>0.26504141272073745</v>
      </c>
      <c r="AX249" s="3253">
        <v>0.24362053437406161</v>
      </c>
      <c r="AY249" s="3326">
        <v>0.16959565652236042</v>
      </c>
      <c r="AZ249" s="3323">
        <v>0.12001584367573281</v>
      </c>
      <c r="BA249" s="3307">
        <v>0.128</v>
      </c>
      <c r="BB249" s="3307"/>
      <c r="BC249" s="3402"/>
      <c r="BD249" s="1722"/>
      <c r="BE249" s="1722"/>
      <c r="BF249" s="1722"/>
      <c r="BG249" s="1722"/>
      <c r="BH249" s="1722"/>
      <c r="BI249" s="1722"/>
      <c r="BJ249" s="1722"/>
      <c r="BK249" s="1722"/>
      <c r="BL249" s="1722"/>
      <c r="BM249" s="36"/>
      <c r="BN249" s="36"/>
      <c r="BO249" s="36"/>
      <c r="BP249" s="36"/>
      <c r="BQ249" s="36"/>
      <c r="BR249" s="36"/>
      <c r="BS249" s="36"/>
      <c r="BT249" s="36"/>
    </row>
    <row r="250" spans="1:72">
      <c r="A250" s="3246" t="s">
        <v>2052</v>
      </c>
      <c r="B250" s="3247"/>
      <c r="J250" s="3249"/>
      <c r="K250" s="3249"/>
      <c r="L250" s="3249"/>
      <c r="M250" s="3249"/>
      <c r="N250" s="3249"/>
      <c r="O250" s="3249"/>
      <c r="P250" s="3250"/>
      <c r="Q250" s="3250"/>
      <c r="R250" s="3250"/>
      <c r="S250" s="3249"/>
      <c r="T250" s="3251"/>
      <c r="U250" s="3252"/>
      <c r="V250" s="3252"/>
      <c r="W250" s="3252"/>
      <c r="X250" s="3252"/>
      <c r="Y250" s="3252"/>
      <c r="Z250" s="3252"/>
      <c r="AA250" s="3252"/>
      <c r="AB250" s="3252"/>
      <c r="AC250" s="3252"/>
      <c r="AD250" s="3252"/>
      <c r="AE250" s="3252"/>
      <c r="AF250" s="3252"/>
      <c r="AG250" s="3252"/>
      <c r="AH250" s="3252"/>
      <c r="AI250" s="3254">
        <f t="shared" ref="AI250:AY250" si="396">AI12+AH12+AG12+AF12</f>
        <v>12278.858</v>
      </c>
      <c r="AJ250" s="3254">
        <f t="shared" si="396"/>
        <v>12872.922</v>
      </c>
      <c r="AK250" s="3254">
        <f t="shared" si="396"/>
        <v>13636.138000000001</v>
      </c>
      <c r="AL250" s="3254">
        <f t="shared" si="396"/>
        <v>14540.800999999999</v>
      </c>
      <c r="AM250" s="3254">
        <f t="shared" si="396"/>
        <v>15482.769999999999</v>
      </c>
      <c r="AN250" s="3254">
        <f t="shared" si="396"/>
        <v>16479.948</v>
      </c>
      <c r="AO250" s="3254">
        <f t="shared" si="396"/>
        <v>17605.358</v>
      </c>
      <c r="AP250" s="3254">
        <f t="shared" si="396"/>
        <v>18923.264999999999</v>
      </c>
      <c r="AQ250" s="3254">
        <f t="shared" si="396"/>
        <v>20249.688999999998</v>
      </c>
      <c r="AR250" s="3254">
        <f t="shared" si="396"/>
        <v>21528.178</v>
      </c>
      <c r="AS250" s="3254">
        <f t="shared" si="396"/>
        <v>23070.135000000002</v>
      </c>
      <c r="AT250" s="3254">
        <f t="shared" si="396"/>
        <v>24288.000000000004</v>
      </c>
      <c r="AU250" s="3254">
        <f t="shared" si="396"/>
        <v>25849.208999999999</v>
      </c>
      <c r="AV250" s="3254">
        <f t="shared" si="396"/>
        <v>27634</v>
      </c>
      <c r="AW250" s="3254">
        <f t="shared" si="396"/>
        <v>29330</v>
      </c>
      <c r="AX250" s="3254">
        <f t="shared" si="396"/>
        <v>30953</v>
      </c>
      <c r="AY250" s="3327">
        <f t="shared" si="396"/>
        <v>32140</v>
      </c>
      <c r="AZ250" s="3308">
        <f>AZ12+AY12+AX12+AW12</f>
        <v>33049</v>
      </c>
      <c r="BA250" s="3308">
        <f>BA12+AZ12+AY12+AX12</f>
        <v>33859</v>
      </c>
      <c r="BB250" s="3308">
        <f>BB12+BA12+AZ12+AY12</f>
        <v>35382</v>
      </c>
      <c r="BC250" s="3403"/>
      <c r="BD250" s="1722"/>
      <c r="BE250" s="1722"/>
      <c r="BF250" s="1722"/>
      <c r="BG250" s="1722"/>
      <c r="BH250" s="1722"/>
      <c r="BI250" s="1722"/>
      <c r="BJ250" s="1722"/>
      <c r="BK250" s="1722"/>
      <c r="BL250" s="1722"/>
      <c r="BM250" s="36"/>
      <c r="BN250" s="36"/>
      <c r="BO250" s="36"/>
      <c r="BP250" s="36"/>
      <c r="BQ250" s="36"/>
      <c r="BR250" s="36"/>
      <c r="BS250" s="36"/>
      <c r="BT250" s="36"/>
    </row>
    <row r="251" spans="1:72">
      <c r="A251" s="3246" t="s">
        <v>2053</v>
      </c>
      <c r="B251" s="3247"/>
      <c r="J251" s="3249"/>
      <c r="K251" s="3249"/>
      <c r="L251" s="3249"/>
      <c r="M251" s="3249"/>
      <c r="N251" s="3249"/>
      <c r="O251" s="3249"/>
      <c r="P251" s="3250"/>
      <c r="Q251" s="3250"/>
      <c r="R251" s="3250"/>
      <c r="S251" s="3249"/>
      <c r="T251" s="3251"/>
      <c r="U251" s="3252"/>
      <c r="V251" s="3252"/>
      <c r="W251" s="3252"/>
      <c r="X251" s="3252"/>
      <c r="Y251" s="3252"/>
      <c r="Z251" s="3252"/>
      <c r="AA251" s="3252"/>
      <c r="AB251" s="3252"/>
      <c r="AC251" s="3252"/>
      <c r="AD251" s="3252"/>
      <c r="AE251" s="3252"/>
      <c r="AF251" s="3252"/>
      <c r="AG251" s="3252"/>
      <c r="AH251" s="3252"/>
      <c r="AI251" s="3252"/>
      <c r="AJ251" s="3255"/>
      <c r="AK251" s="3255"/>
      <c r="AL251" s="3255"/>
      <c r="AM251" s="3255">
        <f t="shared" ref="AM251:AY251" si="397">AM250/AI250-1</f>
        <v>0.26092915155464769</v>
      </c>
      <c r="AN251" s="3255">
        <f t="shared" si="397"/>
        <v>0.28020258337617521</v>
      </c>
      <c r="AO251" s="3255">
        <f t="shared" si="397"/>
        <v>0.29108094975278176</v>
      </c>
      <c r="AP251" s="3255">
        <f t="shared" si="397"/>
        <v>0.30139082434317066</v>
      </c>
      <c r="AQ251" s="3255">
        <f t="shared" si="397"/>
        <v>0.30788541068555575</v>
      </c>
      <c r="AR251" s="3255">
        <f t="shared" si="397"/>
        <v>0.30632560248369711</v>
      </c>
      <c r="AS251" s="3255">
        <f t="shared" si="397"/>
        <v>0.31040419626797711</v>
      </c>
      <c r="AT251" s="3255">
        <f t="shared" si="397"/>
        <v>0.28349943838972846</v>
      </c>
      <c r="AU251" s="3255">
        <f t="shared" si="397"/>
        <v>0.27652375303146637</v>
      </c>
      <c r="AV251" s="3255">
        <f t="shared" si="397"/>
        <v>0.28362000722959468</v>
      </c>
      <c r="AW251" s="3255">
        <f t="shared" si="397"/>
        <v>0.27134063151342613</v>
      </c>
      <c r="AX251" s="3255">
        <f t="shared" si="397"/>
        <v>0.27441534914360988</v>
      </c>
      <c r="AY251" s="3328">
        <f t="shared" si="397"/>
        <v>0.24336493236601564</v>
      </c>
      <c r="AZ251" s="3309">
        <f>AZ250/AV250-1</f>
        <v>0.19595425924585652</v>
      </c>
      <c r="BA251" s="3309">
        <f>BA250/AW250-1</f>
        <v>0.15441527446300718</v>
      </c>
      <c r="BB251" s="3309">
        <f>BB250/AX250-1</f>
        <v>0.14308790747261968</v>
      </c>
      <c r="BC251" s="1692"/>
      <c r="BD251" s="1722"/>
      <c r="BE251" s="1722"/>
      <c r="BF251" s="1722"/>
      <c r="BG251" s="1722"/>
      <c r="BH251" s="1722"/>
      <c r="BI251" s="1722"/>
      <c r="BJ251" s="1722"/>
      <c r="BK251" s="1722"/>
      <c r="BL251" s="1722"/>
      <c r="BM251" s="36"/>
      <c r="BN251" s="36"/>
      <c r="BO251" s="36"/>
      <c r="BP251" s="36"/>
      <c r="BQ251" s="36"/>
      <c r="BR251" s="36"/>
      <c r="BS251" s="36"/>
      <c r="BT251" s="36"/>
    </row>
    <row r="252" spans="1:72">
      <c r="A252" s="3246" t="s">
        <v>2050</v>
      </c>
      <c r="B252" s="3257"/>
      <c r="C252" s="3257"/>
      <c r="D252" s="3257"/>
      <c r="E252" s="3257"/>
      <c r="F252" s="3257"/>
      <c r="G252" s="3257"/>
      <c r="H252" s="3257"/>
      <c r="I252" s="3257">
        <v>40636</v>
      </c>
      <c r="J252" s="3586" t="s">
        <v>2091</v>
      </c>
      <c r="K252" s="3246"/>
      <c r="L252" s="3246"/>
      <c r="M252" s="3246"/>
      <c r="N252" s="3256"/>
      <c r="O252" s="3256"/>
      <c r="P252" s="3250"/>
      <c r="Q252" s="3250"/>
      <c r="R252" s="3250"/>
      <c r="S252" s="3246"/>
      <c r="T252" s="3251"/>
      <c r="U252" s="3252"/>
      <c r="V252" s="3252"/>
      <c r="W252" s="3252"/>
      <c r="X252" s="3252"/>
      <c r="Y252" s="3252"/>
      <c r="Z252" s="3252"/>
      <c r="AA252" s="3252"/>
      <c r="AB252" s="3252"/>
      <c r="AC252" s="3252"/>
      <c r="AD252" s="3252"/>
      <c r="AE252" s="3252"/>
      <c r="AF252" s="3252"/>
      <c r="AG252" s="3252"/>
      <c r="AH252" s="3252"/>
      <c r="AI252" s="3257">
        <v>4489</v>
      </c>
      <c r="AJ252" s="3257">
        <v>8342</v>
      </c>
      <c r="AK252" s="3257">
        <v>12807</v>
      </c>
      <c r="AL252" s="3257">
        <v>15541</v>
      </c>
      <c r="AM252" s="3257">
        <v>7057</v>
      </c>
      <c r="AN252" s="3257">
        <v>11681</v>
      </c>
      <c r="AO252" s="3257">
        <v>16799</v>
      </c>
      <c r="AP252" s="3257">
        <v>21594</v>
      </c>
      <c r="AQ252" s="3257">
        <v>10165</v>
      </c>
      <c r="AR252" s="3257">
        <v>15017</v>
      </c>
      <c r="AS252" s="3257">
        <v>20700</v>
      </c>
      <c r="AT252" s="3257">
        <v>29717</v>
      </c>
      <c r="AU252" s="3257">
        <v>9818</v>
      </c>
      <c r="AV252" s="3257">
        <v>18671</v>
      </c>
      <c r="AW252" s="3257">
        <v>25121</v>
      </c>
      <c r="AX252" s="3257">
        <v>33592</v>
      </c>
      <c r="AY252" s="3329">
        <v>11505</v>
      </c>
      <c r="AZ252" s="3310">
        <v>19909</v>
      </c>
      <c r="BA252" s="3310">
        <v>29363</v>
      </c>
      <c r="BB252" s="3310">
        <v>40636</v>
      </c>
      <c r="BC252" s="1949"/>
      <c r="BD252" s="1722"/>
      <c r="BE252" s="1722"/>
      <c r="BF252" s="1722"/>
      <c r="BG252" s="1722"/>
      <c r="BH252" s="1472">
        <v>25121</v>
      </c>
      <c r="BI252" s="1722"/>
      <c r="BJ252" s="1472">
        <v>23370</v>
      </c>
      <c r="BK252" s="1472">
        <v>25970</v>
      </c>
      <c r="BL252" s="1472">
        <v>29363</v>
      </c>
      <c r="BM252" s="36"/>
      <c r="BN252" s="36"/>
      <c r="BO252" s="36"/>
      <c r="BP252" s="36"/>
      <c r="BQ252" s="36"/>
      <c r="BR252" s="36"/>
      <c r="BS252" s="36"/>
      <c r="BT252" s="36"/>
    </row>
    <row r="253" spans="1:72">
      <c r="A253" s="3246" t="s">
        <v>2048</v>
      </c>
      <c r="B253" s="3257"/>
      <c r="C253" s="3247">
        <v>10643</v>
      </c>
      <c r="D253" s="3257">
        <v>13095</v>
      </c>
      <c r="E253" s="3249">
        <v>15541</v>
      </c>
      <c r="F253" s="3249">
        <v>21594</v>
      </c>
      <c r="G253" s="3249">
        <v>29717</v>
      </c>
      <c r="H253" s="3249">
        <v>33592</v>
      </c>
      <c r="I253" s="3249">
        <v>40636</v>
      </c>
      <c r="J253" s="3257">
        <v>19976</v>
      </c>
      <c r="K253" s="3258"/>
      <c r="L253" s="3258"/>
      <c r="M253" s="3258"/>
      <c r="N253" s="3258"/>
      <c r="O253" s="3258"/>
      <c r="P253" s="3250"/>
      <c r="Q253" s="3250"/>
      <c r="R253" s="3250"/>
      <c r="S253" s="3258"/>
      <c r="T253" s="3251"/>
      <c r="U253" s="3252"/>
      <c r="V253" s="3252"/>
      <c r="W253" s="3252"/>
      <c r="X253" s="3252"/>
      <c r="Y253" s="3252"/>
      <c r="Z253" s="3252"/>
      <c r="AA253" s="3252"/>
      <c r="AB253" s="3252"/>
      <c r="AC253" s="3252"/>
      <c r="AD253" s="3252"/>
      <c r="AE253" s="3252"/>
      <c r="AF253" s="3252"/>
      <c r="AG253" s="3252"/>
      <c r="AH253" s="3252"/>
      <c r="AI253" s="3257">
        <f>AI252</f>
        <v>4489</v>
      </c>
      <c r="AJ253" s="3257">
        <f>AJ252-AI252</f>
        <v>3853</v>
      </c>
      <c r="AK253" s="3257">
        <f t="shared" ref="AK253:BA253" si="398">AK252-AJ252</f>
        <v>4465</v>
      </c>
      <c r="AL253" s="3257">
        <f t="shared" si="398"/>
        <v>2734</v>
      </c>
      <c r="AM253" s="3257">
        <f>AM252</f>
        <v>7057</v>
      </c>
      <c r="AN253" s="3257">
        <f t="shared" si="398"/>
        <v>4624</v>
      </c>
      <c r="AO253" s="3257">
        <f t="shared" si="398"/>
        <v>5118</v>
      </c>
      <c r="AP253" s="3257">
        <f t="shared" si="398"/>
        <v>4795</v>
      </c>
      <c r="AQ253" s="3257">
        <f>AQ252</f>
        <v>10165</v>
      </c>
      <c r="AR253" s="3257">
        <f t="shared" si="398"/>
        <v>4852</v>
      </c>
      <c r="AS253" s="3257">
        <f t="shared" si="398"/>
        <v>5683</v>
      </c>
      <c r="AT253" s="3257">
        <f t="shared" si="398"/>
        <v>9017</v>
      </c>
      <c r="AU253" s="3257">
        <f>AU252</f>
        <v>9818</v>
      </c>
      <c r="AV253" s="3257">
        <f t="shared" si="398"/>
        <v>8853</v>
      </c>
      <c r="AW253" s="3257">
        <f t="shared" si="398"/>
        <v>6450</v>
      </c>
      <c r="AX253" s="3257">
        <f t="shared" si="398"/>
        <v>8471</v>
      </c>
      <c r="AY253" s="3329">
        <f>AY252</f>
        <v>11505</v>
      </c>
      <c r="AZ253" s="3310">
        <f t="shared" si="398"/>
        <v>8404</v>
      </c>
      <c r="BA253" s="3310">
        <f t="shared" si="398"/>
        <v>9454</v>
      </c>
      <c r="BB253" s="3310">
        <f>BB252-BA252</f>
        <v>11273</v>
      </c>
      <c r="BC253" s="1949"/>
      <c r="BD253" s="1722"/>
      <c r="BE253" s="1722"/>
      <c r="BF253" s="1722"/>
      <c r="BG253" s="1722"/>
      <c r="BH253" s="1722"/>
      <c r="BI253" s="1722"/>
      <c r="BJ253" s="1722"/>
      <c r="BK253" s="1722">
        <f>BK252-BJ252</f>
        <v>2600</v>
      </c>
      <c r="BL253" s="1722">
        <f>BL252-BK252</f>
        <v>3393</v>
      </c>
      <c r="BM253" s="36"/>
      <c r="BN253" s="36"/>
      <c r="BO253" s="36"/>
      <c r="BP253" s="36"/>
      <c r="BQ253" s="36"/>
      <c r="BR253" s="36"/>
      <c r="BS253" s="36"/>
      <c r="BT253" s="36"/>
    </row>
    <row r="254" spans="1:72">
      <c r="A254" s="3246" t="s">
        <v>2054</v>
      </c>
      <c r="B254" s="3257"/>
      <c r="C254" s="3247"/>
      <c r="D254" s="3255">
        <f t="shared" ref="D254:H254" si="399">D253/C253-1</f>
        <v>0.23038616931316369</v>
      </c>
      <c r="E254" s="3255">
        <f t="shared" si="399"/>
        <v>0.18678885070637641</v>
      </c>
      <c r="F254" s="3255">
        <f t="shared" si="399"/>
        <v>0.38948587606975105</v>
      </c>
      <c r="G254" s="3255">
        <f t="shared" si="399"/>
        <v>0.37616930628878387</v>
      </c>
      <c r="H254" s="3255">
        <f t="shared" si="399"/>
        <v>0.13039674260524281</v>
      </c>
      <c r="I254" s="3255">
        <f>I253/H253-1</f>
        <v>0.20969278399618951</v>
      </c>
      <c r="J254" s="3259">
        <v>0.3</v>
      </c>
      <c r="K254" s="3259"/>
      <c r="L254" s="3259"/>
      <c r="M254" s="3259"/>
      <c r="N254" s="3259"/>
      <c r="O254" s="3259"/>
      <c r="P254" s="3250"/>
      <c r="Q254" s="3250"/>
      <c r="R254" s="3250"/>
      <c r="S254" s="3259"/>
      <c r="T254" s="3251"/>
      <c r="U254" s="3260"/>
      <c r="V254" s="3260"/>
      <c r="W254" s="3260"/>
      <c r="X254" s="3260"/>
      <c r="Y254" s="3260"/>
      <c r="Z254" s="3260"/>
      <c r="AA254" s="3260"/>
      <c r="AB254" s="3260"/>
      <c r="AC254" s="3260"/>
      <c r="AD254" s="3260"/>
      <c r="AE254" s="3260"/>
      <c r="AF254" s="3260"/>
      <c r="AG254" s="3260"/>
      <c r="AH254" s="3260"/>
      <c r="AI254" s="3260"/>
      <c r="AJ254" s="3260"/>
      <c r="AK254" s="3260"/>
      <c r="AL254" s="3260"/>
      <c r="AM254" s="3255">
        <f>AM253/AI253-1</f>
        <v>0.57206504789485413</v>
      </c>
      <c r="AN254" s="3255">
        <f t="shared" ref="AN254:BB254" si="400">AN253/AJ253-1</f>
        <v>0.20010381520892806</v>
      </c>
      <c r="AO254" s="3255">
        <f t="shared" si="400"/>
        <v>0.14624860022396424</v>
      </c>
      <c r="AP254" s="3255">
        <f t="shared" si="400"/>
        <v>0.75384052670080459</v>
      </c>
      <c r="AQ254" s="3255">
        <f t="shared" si="400"/>
        <v>0.44041377355816924</v>
      </c>
      <c r="AR254" s="3255">
        <f t="shared" si="400"/>
        <v>4.9307958477508684E-2</v>
      </c>
      <c r="AS254" s="3255">
        <f t="shared" si="400"/>
        <v>0.11039468542399367</v>
      </c>
      <c r="AT254" s="3255">
        <f t="shared" si="400"/>
        <v>0.88050052137643386</v>
      </c>
      <c r="AU254" s="3255">
        <f t="shared" si="400"/>
        <v>-3.4136743728480079E-2</v>
      </c>
      <c r="AV254" s="3255">
        <f t="shared" si="400"/>
        <v>0.82460840890354503</v>
      </c>
      <c r="AW254" s="3255">
        <f t="shared" si="400"/>
        <v>0.1349639275030794</v>
      </c>
      <c r="AX254" s="3255">
        <f t="shared" si="400"/>
        <v>-6.0552290118664698E-2</v>
      </c>
      <c r="AY254" s="3328">
        <f t="shared" si="400"/>
        <v>0.17182725606029736</v>
      </c>
      <c r="AZ254" s="3309">
        <f t="shared" si="400"/>
        <v>-5.0717270981588181E-2</v>
      </c>
      <c r="BA254" s="3309">
        <f t="shared" si="400"/>
        <v>0.46573643410852705</v>
      </c>
      <c r="BB254" s="3309">
        <f t="shared" si="400"/>
        <v>0.33077558729783973</v>
      </c>
      <c r="BC254" s="1692"/>
      <c r="BD254" s="1722"/>
      <c r="BE254" s="1722"/>
      <c r="BF254" s="1722"/>
      <c r="BG254" s="1722"/>
      <c r="BH254" s="1722"/>
      <c r="BI254" s="1722"/>
      <c r="BJ254" s="1722"/>
      <c r="BK254" s="1722"/>
      <c r="BL254" s="1722"/>
      <c r="BM254" s="36"/>
      <c r="BN254" s="36"/>
      <c r="BO254" s="36"/>
      <c r="BP254" s="36"/>
      <c r="BQ254" s="36"/>
      <c r="BR254" s="36"/>
      <c r="BS254" s="36"/>
      <c r="BT254" s="36"/>
    </row>
    <row r="255" spans="1:72">
      <c r="A255" s="1116"/>
      <c r="B255" s="1189"/>
      <c r="C255" s="1149"/>
      <c r="D255" s="1149"/>
      <c r="E255" s="1164"/>
      <c r="F255" s="1149"/>
      <c r="G255" s="1149"/>
      <c r="H255" s="1149"/>
      <c r="I255" s="1149"/>
      <c r="J255" s="1164"/>
      <c r="K255" s="1164"/>
      <c r="L255" s="1164"/>
      <c r="M255" s="1164"/>
      <c r="N255" s="1164"/>
      <c r="O255" s="1149"/>
      <c r="S255" s="1164"/>
      <c r="T255" s="1764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P255" s="36"/>
      <c r="AQ255" s="36"/>
      <c r="AR255" s="36"/>
      <c r="AS255" s="36"/>
      <c r="AT255" s="1667"/>
      <c r="AU255" s="36"/>
      <c r="AV255" s="36"/>
      <c r="AW255" s="36"/>
      <c r="AX255" s="1667"/>
      <c r="AY255" s="1667"/>
      <c r="AZ255" s="3320"/>
      <c r="BA255" s="1722"/>
      <c r="BB255" s="1722"/>
      <c r="BC255" s="1722"/>
      <c r="BD255" s="1722"/>
      <c r="BE255" s="1722"/>
      <c r="BF255" s="1722"/>
      <c r="BG255" s="1722"/>
      <c r="BH255" s="1722"/>
      <c r="BI255" s="1722"/>
      <c r="BJ255" s="1722"/>
      <c r="BK255" s="1722"/>
      <c r="BL255" s="1722"/>
      <c r="BM255" s="36"/>
      <c r="BN255" s="36"/>
      <c r="BO255" s="36"/>
      <c r="BP255" s="36"/>
      <c r="BQ255" s="36"/>
      <c r="BR255" s="36"/>
      <c r="BS255" s="36"/>
      <c r="BT255" s="36"/>
    </row>
    <row r="256" spans="1:72">
      <c r="A256" s="1116"/>
      <c r="B256" s="1116"/>
      <c r="C256" s="1149"/>
      <c r="D256" s="1149"/>
      <c r="E256" s="1164"/>
      <c r="F256" s="1164"/>
      <c r="G256" s="1164"/>
      <c r="H256" s="1164"/>
      <c r="I256" s="1164"/>
      <c r="J256" s="1164"/>
      <c r="K256" s="1164"/>
      <c r="L256" s="1164"/>
      <c r="M256" s="1164"/>
      <c r="N256" s="1164"/>
      <c r="O256" s="1164"/>
      <c r="S256" s="1164"/>
      <c r="T256" s="1764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237">
        <f t="shared" ref="AI256" si="401">AI253+AH253+AG253+AF253</f>
        <v>4489</v>
      </c>
      <c r="AJ256" s="3237">
        <f t="shared" ref="AJ256" si="402">AJ253+AI253+AH253+AG253</f>
        <v>8342</v>
      </c>
      <c r="AK256" s="3237">
        <f t="shared" ref="AK256" si="403">AK253+AJ253+AI253+AH253</f>
        <v>12807</v>
      </c>
      <c r="AL256" s="3237">
        <f t="shared" ref="AL256:BB256" si="404">AL253+AK253+AJ253+AI253</f>
        <v>15541</v>
      </c>
      <c r="AM256" s="3237">
        <f t="shared" si="404"/>
        <v>18109</v>
      </c>
      <c r="AN256" s="1528">
        <f t="shared" si="404"/>
        <v>18880</v>
      </c>
      <c r="AO256" s="250">
        <f t="shared" si="404"/>
        <v>19533</v>
      </c>
      <c r="AP256" s="9">
        <f t="shared" si="404"/>
        <v>21594</v>
      </c>
      <c r="AQ256" s="9">
        <f t="shared" si="404"/>
        <v>24702</v>
      </c>
      <c r="AR256" s="9">
        <f t="shared" si="404"/>
        <v>24930</v>
      </c>
      <c r="AS256" s="9">
        <f t="shared" si="404"/>
        <v>25495</v>
      </c>
      <c r="AT256" s="1494">
        <f t="shared" si="404"/>
        <v>29717</v>
      </c>
      <c r="AU256" s="9">
        <f t="shared" si="404"/>
        <v>29370</v>
      </c>
      <c r="AV256" s="9">
        <f t="shared" si="404"/>
        <v>33371</v>
      </c>
      <c r="AW256" s="9">
        <f t="shared" si="404"/>
        <v>34138</v>
      </c>
      <c r="AX256" s="1494">
        <f t="shared" si="404"/>
        <v>33592</v>
      </c>
      <c r="AY256" s="1494">
        <f t="shared" si="404"/>
        <v>35279</v>
      </c>
      <c r="AZ256" s="1950">
        <f t="shared" si="404"/>
        <v>34830</v>
      </c>
      <c r="BA256" s="2654">
        <f t="shared" si="404"/>
        <v>37834</v>
      </c>
      <c r="BB256" s="2654">
        <f t="shared" si="404"/>
        <v>40636</v>
      </c>
      <c r="BC256" s="2654"/>
      <c r="BD256" s="1722"/>
      <c r="BE256" s="1722"/>
      <c r="BF256" s="1722"/>
      <c r="BG256" s="1722"/>
      <c r="BH256" s="1722"/>
      <c r="BI256" s="1722"/>
      <c r="BJ256" s="1722"/>
      <c r="BK256" s="1722"/>
      <c r="BL256" s="1722"/>
      <c r="BM256" s="36"/>
      <c r="BN256" s="36"/>
      <c r="BO256" s="36"/>
      <c r="BP256" s="36"/>
      <c r="BQ256" s="36"/>
      <c r="BR256" s="36"/>
      <c r="BS256" s="36"/>
      <c r="BT256" s="36"/>
    </row>
    <row r="257" spans="1:72">
      <c r="A257" s="1116"/>
      <c r="B257" s="1116"/>
      <c r="C257" s="1390"/>
      <c r="D257" s="751"/>
      <c r="E257" s="751"/>
      <c r="F257" s="1164"/>
      <c r="G257" s="1164"/>
      <c r="H257" s="1164"/>
      <c r="I257" s="1164"/>
      <c r="J257" s="1164"/>
      <c r="K257" s="1164"/>
      <c r="L257" s="1164"/>
      <c r="M257" s="1164"/>
      <c r="N257" s="1164"/>
      <c r="O257" s="1164"/>
      <c r="S257" s="1164"/>
      <c r="T257" s="1764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2">
        <f t="shared" ref="AM257:AY257" si="405">AM256/AI256-1</f>
        <v>3.0340833147694362</v>
      </c>
      <c r="AN257" s="2">
        <f t="shared" si="405"/>
        <v>1.2632462239271156</v>
      </c>
      <c r="AO257" s="2">
        <f t="shared" si="405"/>
        <v>0.52518154134457729</v>
      </c>
      <c r="AP257" s="2">
        <f t="shared" si="405"/>
        <v>0.38948587606975105</v>
      </c>
      <c r="AQ257" s="2">
        <f t="shared" si="405"/>
        <v>0.3640731128168313</v>
      </c>
      <c r="AR257" s="2">
        <f t="shared" si="405"/>
        <v>0.32044491525423724</v>
      </c>
      <c r="AS257" s="2">
        <f t="shared" si="405"/>
        <v>0.3052270516561717</v>
      </c>
      <c r="AT257" s="1666">
        <f t="shared" si="405"/>
        <v>0.37616930628878387</v>
      </c>
      <c r="AU257" s="2">
        <f t="shared" si="405"/>
        <v>0.18897255282973036</v>
      </c>
      <c r="AV257" s="2">
        <f t="shared" si="405"/>
        <v>0.33858804653028485</v>
      </c>
      <c r="AW257" s="2">
        <f t="shared" si="405"/>
        <v>0.33900764855854093</v>
      </c>
      <c r="AX257" s="1666">
        <f t="shared" si="405"/>
        <v>0.13039674260524281</v>
      </c>
      <c r="AY257" s="1666">
        <f t="shared" si="405"/>
        <v>0.20119169220292821</v>
      </c>
      <c r="AZ257" s="1693">
        <f>AZ256/AV256-1</f>
        <v>4.3720595726828737E-2</v>
      </c>
      <c r="BA257" s="2650">
        <f>BA256/AW256-1</f>
        <v>0.10826644794656981</v>
      </c>
      <c r="BB257" s="2650">
        <f>BB256/AX256-1</f>
        <v>0.20969278399618951</v>
      </c>
      <c r="BC257" s="2650"/>
      <c r="BD257" s="1722"/>
      <c r="BE257" s="1722"/>
      <c r="BF257" s="1722"/>
      <c r="BG257" s="1722"/>
      <c r="BH257" s="1722"/>
      <c r="BI257" s="1722"/>
      <c r="BJ257" s="1722"/>
      <c r="BK257" s="1722"/>
      <c r="BL257" s="1722"/>
      <c r="BM257" s="36"/>
      <c r="BN257" s="36"/>
      <c r="BO257" s="36"/>
      <c r="BP257" s="36"/>
      <c r="BQ257" s="36"/>
      <c r="BR257" s="36"/>
      <c r="BS257" s="36"/>
      <c r="BT257" s="36"/>
    </row>
    <row r="258" spans="1:72">
      <c r="A258" s="1116"/>
      <c r="B258" s="1116"/>
      <c r="C258" s="1116"/>
      <c r="J258" s="726"/>
      <c r="K258" s="726"/>
      <c r="L258" s="726"/>
      <c r="M258" s="726"/>
      <c r="N258" s="1116"/>
      <c r="O258" s="1116"/>
      <c r="S258" s="726"/>
      <c r="T258" s="1764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P258" s="36"/>
      <c r="AQ258" s="36"/>
      <c r="AR258" s="36"/>
      <c r="AS258" s="36"/>
      <c r="AT258" s="1667"/>
      <c r="AU258" s="36"/>
      <c r="AV258" s="36"/>
      <c r="AW258" s="36"/>
      <c r="AX258" s="1667"/>
      <c r="AY258" s="1667"/>
      <c r="AZ258" s="3320"/>
      <c r="BA258" s="1722"/>
      <c r="BB258" s="1722"/>
      <c r="BC258" s="1722"/>
      <c r="BD258" s="1722"/>
      <c r="BE258" s="1722"/>
      <c r="BF258" s="1722"/>
      <c r="BG258" s="1722"/>
      <c r="BH258" s="1722"/>
      <c r="BI258" s="1722"/>
      <c r="BJ258" s="1722"/>
      <c r="BK258" s="1722"/>
      <c r="BL258" s="1722"/>
      <c r="BM258" s="36"/>
      <c r="BN258" s="36"/>
      <c r="BO258" s="36"/>
      <c r="BP258" s="36"/>
      <c r="BQ258" s="36"/>
      <c r="BR258" s="36"/>
      <c r="BS258" s="36"/>
      <c r="BT258" s="36"/>
    </row>
    <row r="259" spans="1:72">
      <c r="A259" s="1376"/>
      <c r="B259" s="1189"/>
      <c r="C259" s="1191"/>
      <c r="D259" s="1191"/>
      <c r="E259" s="1191"/>
      <c r="F259" s="1191"/>
      <c r="G259" s="1191"/>
      <c r="H259" s="1191"/>
      <c r="I259" s="1191"/>
      <c r="J259" s="1191"/>
      <c r="K259" s="1191"/>
      <c r="L259" s="1191"/>
      <c r="M259" s="1191"/>
      <c r="N259" s="1191"/>
      <c r="O259" s="1191"/>
      <c r="S259" s="1191"/>
      <c r="T259" s="1764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P259" s="36"/>
      <c r="AQ259" s="36"/>
      <c r="AR259" s="36"/>
      <c r="AS259" s="36"/>
      <c r="AT259" s="1667"/>
      <c r="AU259" s="36"/>
      <c r="AV259" s="36"/>
      <c r="AW259" s="36"/>
      <c r="AX259" s="1667"/>
      <c r="AY259" s="1667"/>
      <c r="AZ259" s="3320"/>
      <c r="BA259" s="1722"/>
      <c r="BB259" s="1722"/>
      <c r="BC259" s="1722"/>
      <c r="BD259" s="1722"/>
      <c r="BE259" s="1722"/>
      <c r="BF259" s="1722"/>
      <c r="BG259" s="1722"/>
      <c r="BH259" s="1722"/>
      <c r="BI259" s="1722"/>
      <c r="BJ259" s="1722"/>
      <c r="BK259" s="1722"/>
      <c r="BL259" s="1722"/>
      <c r="BM259" s="36"/>
      <c r="BN259" s="36"/>
      <c r="BO259" s="36"/>
      <c r="BP259" s="36"/>
      <c r="BQ259" s="36"/>
      <c r="BR259" s="36"/>
      <c r="BS259" s="36"/>
      <c r="BT259" s="36"/>
    </row>
    <row r="260" spans="1:72">
      <c r="A260" s="819"/>
      <c r="B260" s="1382"/>
      <c r="C260" s="1391"/>
      <c r="D260" s="830"/>
      <c r="E260" s="830"/>
      <c r="F260" s="830"/>
      <c r="G260" s="830"/>
      <c r="H260" s="830"/>
      <c r="I260" s="830"/>
      <c r="J260" s="830"/>
      <c r="K260" s="830"/>
      <c r="L260" s="830"/>
      <c r="M260" s="830"/>
      <c r="N260" s="830"/>
      <c r="O260" s="830"/>
      <c r="S260" s="830"/>
      <c r="T260" s="1764"/>
      <c r="U260" s="729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P260" s="36"/>
      <c r="AQ260" s="36"/>
      <c r="AR260" s="36"/>
      <c r="AS260" s="36"/>
      <c r="AT260" s="1667"/>
      <c r="AU260" s="36"/>
      <c r="AV260" s="36"/>
      <c r="AW260" s="36"/>
      <c r="AX260" s="1667"/>
      <c r="AY260" s="1667"/>
      <c r="AZ260" s="3320"/>
      <c r="BA260" s="1722"/>
      <c r="BB260" s="1722"/>
      <c r="BC260" s="1722"/>
      <c r="BD260" s="1722"/>
      <c r="BE260" s="1722"/>
      <c r="BF260" s="1722"/>
      <c r="BG260" s="1722"/>
      <c r="BH260" s="1722"/>
      <c r="BI260" s="1722"/>
      <c r="BJ260" s="1722"/>
      <c r="BK260" s="1722"/>
      <c r="BL260" s="1722"/>
      <c r="BM260" s="36"/>
      <c r="BN260" s="36"/>
      <c r="BO260" s="36"/>
      <c r="BP260" s="36"/>
      <c r="BQ260" s="36"/>
      <c r="BR260" s="36"/>
      <c r="BS260" s="36"/>
      <c r="BT260" s="36"/>
    </row>
    <row r="261" spans="1:72">
      <c r="A261" s="1116"/>
      <c r="B261" s="1189"/>
      <c r="C261" s="1186"/>
      <c r="D261" s="1186"/>
      <c r="E261" s="1186"/>
      <c r="F261" s="1186"/>
      <c r="G261" s="1186"/>
      <c r="H261" s="1186"/>
      <c r="I261" s="1186"/>
      <c r="J261" s="1186"/>
      <c r="K261" s="1186"/>
      <c r="L261" s="1186"/>
      <c r="M261" s="1186"/>
      <c r="N261" s="1186"/>
      <c r="O261" s="1186"/>
      <c r="S261" s="1186"/>
      <c r="T261" s="1764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P261" s="36"/>
      <c r="AQ261" s="36"/>
      <c r="AR261" s="36"/>
      <c r="AS261" s="36"/>
      <c r="AT261" s="1667"/>
      <c r="AU261" s="36"/>
      <c r="AV261" s="36"/>
      <c r="AW261" s="36"/>
      <c r="AX261" s="1667"/>
      <c r="AY261" s="1667"/>
      <c r="AZ261" s="3320"/>
      <c r="BA261" s="1722"/>
      <c r="BB261" s="1722"/>
      <c r="BC261" s="1722"/>
      <c r="BD261" s="1722"/>
      <c r="BE261" s="1722"/>
      <c r="BF261" s="1722"/>
      <c r="BG261" s="1722"/>
      <c r="BH261" s="1722"/>
      <c r="BI261" s="1722"/>
      <c r="BJ261" s="1722"/>
      <c r="BK261" s="1722"/>
      <c r="BL261" s="1722"/>
      <c r="BM261" s="36"/>
      <c r="BN261" s="36"/>
      <c r="BO261" s="36"/>
      <c r="BP261" s="36"/>
      <c r="BQ261" s="36"/>
      <c r="BR261" s="36"/>
      <c r="BS261" s="36"/>
      <c r="BT261" s="36"/>
    </row>
    <row r="262" spans="1:72">
      <c r="A262" s="819"/>
      <c r="B262" s="1382"/>
      <c r="C262" s="1391"/>
      <c r="D262" s="830"/>
      <c r="E262" s="1172"/>
      <c r="F262" s="1172"/>
      <c r="G262" s="1172"/>
      <c r="H262" s="1172"/>
      <c r="I262" s="1172"/>
      <c r="J262" s="1172"/>
      <c r="K262" s="1172"/>
      <c r="L262" s="1172"/>
      <c r="M262" s="1172"/>
      <c r="N262" s="1172"/>
      <c r="O262" s="1172"/>
      <c r="S262" s="1172"/>
      <c r="T262" s="1764"/>
      <c r="U262" s="729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P262" s="36"/>
      <c r="AQ262" s="36"/>
      <c r="AR262" s="36"/>
      <c r="AS262" s="36"/>
      <c r="AT262" s="1667"/>
      <c r="AU262" s="36"/>
      <c r="AV262" s="36"/>
      <c r="AW262" s="36"/>
      <c r="AX262" s="1667"/>
      <c r="AY262" s="1667"/>
      <c r="AZ262" s="3320"/>
      <c r="BA262" s="1722"/>
      <c r="BB262" s="1722"/>
      <c r="BC262" s="1722"/>
      <c r="BD262" s="1722"/>
      <c r="BE262" s="1722"/>
      <c r="BF262" s="1722"/>
      <c r="BG262" s="1722"/>
      <c r="BH262" s="1722"/>
      <c r="BI262" s="1722"/>
      <c r="BJ262" s="1722"/>
      <c r="BK262" s="1722"/>
      <c r="BL262" s="1722"/>
      <c r="BM262" s="36"/>
      <c r="BN262" s="36"/>
      <c r="BO262" s="36"/>
      <c r="BP262" s="36"/>
      <c r="BQ262" s="36"/>
      <c r="BR262" s="36"/>
      <c r="BS262" s="36"/>
      <c r="BT262" s="36"/>
    </row>
    <row r="263" spans="1:72">
      <c r="A263" s="1374"/>
      <c r="B263" s="1374"/>
      <c r="C263" s="1374"/>
      <c r="D263" s="1375"/>
      <c r="E263" s="1375"/>
      <c r="J263" s="1107"/>
      <c r="K263" s="1107"/>
      <c r="L263" s="1107"/>
      <c r="M263" s="1107"/>
      <c r="N263" s="1374"/>
      <c r="O263" s="1374"/>
      <c r="S263" s="1107"/>
      <c r="T263" s="1764"/>
      <c r="U263" s="592"/>
      <c r="V263" s="592"/>
      <c r="W263" s="592"/>
      <c r="X263" s="592"/>
      <c r="Y263" s="592"/>
      <c r="Z263" s="592"/>
      <c r="AA263" s="592"/>
      <c r="AB263" s="592"/>
      <c r="AC263" s="592"/>
      <c r="AD263" s="592"/>
      <c r="AE263" s="592"/>
      <c r="AF263" s="592"/>
      <c r="AG263" s="592"/>
      <c r="AH263" s="592"/>
      <c r="AI263" s="592"/>
      <c r="AJ263" s="592"/>
      <c r="AK263" s="592"/>
      <c r="AL263" s="592"/>
      <c r="AM263" s="592"/>
      <c r="AO263" s="728"/>
      <c r="AP263" s="36"/>
      <c r="AQ263" s="36"/>
      <c r="AR263" s="36"/>
      <c r="AS263" s="36"/>
      <c r="AT263" s="1667"/>
      <c r="AU263" s="36"/>
      <c r="AV263" s="36"/>
      <c r="AW263" s="36"/>
      <c r="AX263" s="1667"/>
      <c r="AY263" s="1667"/>
      <c r="AZ263" s="3320"/>
      <c r="BA263" s="1722"/>
      <c r="BB263" s="1722"/>
      <c r="BC263" s="1722"/>
      <c r="BD263" s="1722"/>
      <c r="BE263" s="1722"/>
      <c r="BF263" s="1722"/>
      <c r="BG263" s="1722"/>
      <c r="BH263" s="1722"/>
      <c r="BI263" s="1722"/>
      <c r="BJ263" s="1722"/>
      <c r="BK263" s="1722"/>
      <c r="BL263" s="1722"/>
      <c r="BM263" s="36"/>
      <c r="BN263" s="36"/>
      <c r="BO263" s="36"/>
      <c r="BP263" s="36"/>
      <c r="BQ263" s="36"/>
      <c r="BR263" s="36"/>
      <c r="BS263" s="36"/>
      <c r="BT263" s="36"/>
    </row>
    <row r="264" spans="1:72">
      <c r="A264" s="811"/>
      <c r="B264" s="1116"/>
      <c r="C264" s="1116"/>
      <c r="J264" s="726"/>
      <c r="K264" s="726"/>
      <c r="L264" s="726"/>
      <c r="M264" s="726"/>
      <c r="N264" s="1116"/>
      <c r="O264" s="1116"/>
      <c r="S264" s="726"/>
      <c r="T264" s="1764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P264" s="36"/>
      <c r="AQ264" s="36"/>
      <c r="AR264" s="36"/>
      <c r="AS264" s="36"/>
      <c r="AT264" s="1667"/>
      <c r="AU264" s="36"/>
      <c r="AV264" s="36"/>
      <c r="AW264" s="36"/>
      <c r="AX264" s="1667"/>
      <c r="AY264" s="1667"/>
      <c r="AZ264" s="3320"/>
      <c r="BA264" s="1722"/>
      <c r="BB264" s="1722"/>
      <c r="BC264" s="1722"/>
      <c r="BD264" s="1722"/>
      <c r="BE264" s="1722"/>
      <c r="BF264" s="1722"/>
      <c r="BG264" s="1722"/>
      <c r="BH264" s="1722"/>
      <c r="BI264" s="1722"/>
      <c r="BJ264" s="1722"/>
      <c r="BK264" s="1722"/>
      <c r="BL264" s="1722"/>
      <c r="BM264" s="36"/>
      <c r="BN264" s="36"/>
      <c r="BO264" s="36"/>
      <c r="BP264" s="36"/>
      <c r="BQ264" s="36"/>
      <c r="BR264" s="36"/>
      <c r="BS264" s="36"/>
      <c r="BT264" s="36"/>
    </row>
    <row r="265" spans="1:72">
      <c r="A265" s="1116"/>
      <c r="B265" s="1378"/>
      <c r="C265" s="1378"/>
      <c r="D265" s="249"/>
      <c r="E265" s="249"/>
      <c r="F265" s="249"/>
      <c r="G265" s="249"/>
      <c r="H265" s="249"/>
      <c r="I265" s="249"/>
      <c r="J265" s="249"/>
      <c r="K265" s="249"/>
      <c r="L265" s="249"/>
      <c r="M265" s="249"/>
      <c r="N265" s="249"/>
      <c r="O265" s="249"/>
      <c r="S265" s="249"/>
      <c r="T265" s="1764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P265" s="36"/>
      <c r="AQ265" s="36"/>
      <c r="AR265" s="36"/>
      <c r="AS265" s="36"/>
      <c r="AT265" s="1667"/>
      <c r="AU265" s="36"/>
      <c r="AV265" s="36"/>
      <c r="AW265" s="36"/>
      <c r="AX265" s="1667"/>
      <c r="AY265" s="1667"/>
      <c r="AZ265" s="3320"/>
      <c r="BA265" s="1722"/>
      <c r="BB265" s="1722"/>
      <c r="BC265" s="1722"/>
      <c r="BD265" s="1722"/>
      <c r="BE265" s="1722"/>
      <c r="BF265" s="1722"/>
      <c r="BG265" s="1722"/>
      <c r="BH265" s="1722"/>
      <c r="BI265" s="1722"/>
      <c r="BJ265" s="1722"/>
      <c r="BK265" s="1722"/>
      <c r="BL265" s="1722"/>
      <c r="BM265" s="36"/>
      <c r="BN265" s="36"/>
      <c r="BO265" s="36"/>
      <c r="BP265" s="36"/>
      <c r="BQ265" s="36"/>
      <c r="BR265" s="36"/>
      <c r="BS265" s="36"/>
      <c r="BT265" s="36"/>
    </row>
    <row r="266" spans="1:72" s="827" customFormat="1">
      <c r="A266" s="819"/>
      <c r="B266" s="1172"/>
      <c r="C266" s="1172"/>
      <c r="D266" s="1172"/>
      <c r="E266" s="1172"/>
      <c r="F266" s="843"/>
      <c r="G266" s="843"/>
      <c r="H266" s="843"/>
      <c r="I266" s="843"/>
      <c r="J266" s="843"/>
      <c r="K266" s="843"/>
      <c r="L266" s="843"/>
      <c r="M266" s="843"/>
      <c r="N266" s="843"/>
      <c r="O266" s="843"/>
      <c r="S266" s="843"/>
      <c r="T266" s="1773"/>
      <c r="U266" s="845"/>
      <c r="V266" s="845"/>
      <c r="W266" s="845"/>
      <c r="X266" s="845"/>
      <c r="Y266" s="845"/>
      <c r="Z266" s="845"/>
      <c r="AA266" s="845"/>
      <c r="AB266" s="845"/>
      <c r="AC266" s="845"/>
      <c r="AD266" s="845"/>
      <c r="AE266" s="845"/>
      <c r="AF266" s="845"/>
      <c r="AG266" s="845"/>
      <c r="AH266" s="845"/>
      <c r="AI266" s="845"/>
      <c r="AJ266" s="845"/>
      <c r="AK266" s="845"/>
      <c r="AL266" s="845"/>
      <c r="AM266" s="845"/>
      <c r="AN266" s="1178"/>
      <c r="AP266" s="845"/>
      <c r="AQ266" s="845"/>
      <c r="AR266" s="845"/>
      <c r="AS266" s="845"/>
      <c r="AT266" s="2440"/>
      <c r="AU266" s="845"/>
      <c r="AV266" s="845"/>
      <c r="AW266" s="845"/>
      <c r="AX266" s="2440"/>
      <c r="AY266" s="2440"/>
      <c r="AZ266" s="3321"/>
      <c r="BA266" s="3304"/>
      <c r="BB266" s="3304"/>
      <c r="BC266" s="3304"/>
      <c r="BD266" s="3304"/>
      <c r="BE266" s="3304"/>
      <c r="BF266" s="3304"/>
      <c r="BG266" s="3304"/>
      <c r="BH266" s="3304"/>
      <c r="BI266" s="3304"/>
      <c r="BJ266" s="3304"/>
      <c r="BK266" s="3304"/>
      <c r="BL266" s="3304"/>
      <c r="BM266" s="845"/>
      <c r="BN266" s="845"/>
      <c r="BO266" s="845"/>
      <c r="BP266" s="845"/>
      <c r="BQ266" s="845"/>
      <c r="BR266" s="845"/>
      <c r="BS266" s="845"/>
      <c r="BT266" s="845"/>
    </row>
    <row r="267" spans="1:72">
      <c r="A267" s="1116"/>
      <c r="B267" s="1380"/>
      <c r="C267" s="1380"/>
      <c r="D267" s="1380"/>
      <c r="E267" s="1189"/>
      <c r="F267" s="1189"/>
      <c r="G267" s="1189"/>
      <c r="H267" s="1189"/>
      <c r="I267" s="1189"/>
      <c r="J267" s="696"/>
      <c r="K267" s="696"/>
      <c r="L267" s="696"/>
      <c r="M267" s="696"/>
      <c r="N267" s="737"/>
      <c r="O267" s="1189"/>
      <c r="S267" s="696"/>
      <c r="T267" s="1764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P267" s="36"/>
      <c r="AQ267" s="36"/>
      <c r="AR267" s="36"/>
      <c r="AS267" s="36"/>
      <c r="AT267" s="1667"/>
      <c r="AU267" s="36"/>
      <c r="AV267" s="36"/>
      <c r="AW267" s="36"/>
      <c r="AX267" s="1667"/>
      <c r="AY267" s="1667"/>
      <c r="AZ267" s="3320"/>
      <c r="BA267" s="1722"/>
      <c r="BB267" s="1722"/>
      <c r="BC267" s="1722"/>
      <c r="BD267" s="1722"/>
      <c r="BE267" s="1722"/>
      <c r="BF267" s="1722"/>
      <c r="BG267" s="1722"/>
      <c r="BH267" s="1722"/>
      <c r="BI267" s="1722"/>
      <c r="BJ267" s="1722"/>
      <c r="BK267" s="1722"/>
      <c r="BL267" s="1722"/>
      <c r="BM267" s="36"/>
      <c r="BN267" s="36"/>
      <c r="BO267" s="36"/>
      <c r="BP267" s="36"/>
      <c r="BQ267" s="36"/>
      <c r="BR267" s="36"/>
      <c r="BS267" s="36"/>
      <c r="BT267" s="36"/>
    </row>
    <row r="268" spans="1:72" s="827" customFormat="1">
      <c r="A268" s="819"/>
      <c r="B268" s="830"/>
      <c r="C268" s="830"/>
      <c r="D268" s="830"/>
      <c r="E268" s="830"/>
      <c r="F268" s="830"/>
      <c r="G268" s="830"/>
      <c r="H268" s="830"/>
      <c r="I268" s="830"/>
      <c r="J268" s="1392"/>
      <c r="K268" s="1392"/>
      <c r="L268" s="1392"/>
      <c r="M268" s="1392"/>
      <c r="N268" s="830"/>
      <c r="O268" s="830"/>
      <c r="S268" s="1392"/>
      <c r="T268" s="1773"/>
      <c r="U268" s="845"/>
      <c r="V268" s="845"/>
      <c r="W268" s="845"/>
      <c r="X268" s="845"/>
      <c r="Y268" s="845"/>
      <c r="Z268" s="845"/>
      <c r="AA268" s="845"/>
      <c r="AB268" s="845"/>
      <c r="AC268" s="845"/>
      <c r="AD268" s="845"/>
      <c r="AE268" s="845"/>
      <c r="AF268" s="845"/>
      <c r="AG268" s="845"/>
      <c r="AH268" s="845"/>
      <c r="AI268" s="845"/>
      <c r="AJ268" s="845"/>
      <c r="AK268" s="845"/>
      <c r="AL268" s="845"/>
      <c r="AM268" s="845"/>
      <c r="AN268" s="1178"/>
      <c r="AP268" s="845"/>
      <c r="AQ268" s="845"/>
      <c r="AR268" s="845"/>
      <c r="AS268" s="845"/>
      <c r="AT268" s="2440"/>
      <c r="AU268" s="845"/>
      <c r="AV268" s="845"/>
      <c r="AW268" s="845"/>
      <c r="AX268" s="2440"/>
      <c r="AY268" s="2440"/>
      <c r="AZ268" s="3321"/>
      <c r="BA268" s="3304"/>
      <c r="BB268" s="3304"/>
      <c r="BC268" s="3304"/>
      <c r="BD268" s="3304"/>
      <c r="BE268" s="3304"/>
      <c r="BF268" s="3304"/>
      <c r="BG268" s="3304"/>
      <c r="BH268" s="3304"/>
      <c r="BI268" s="3304"/>
      <c r="BJ268" s="3304"/>
      <c r="BK268" s="3304"/>
      <c r="BL268" s="3304"/>
      <c r="BM268" s="845"/>
      <c r="BN268" s="845"/>
      <c r="BO268" s="845"/>
      <c r="BP268" s="845"/>
      <c r="BQ268" s="845"/>
      <c r="BR268" s="845"/>
      <c r="BS268" s="845"/>
      <c r="BT268" s="845"/>
    </row>
    <row r="269" spans="1:72">
      <c r="A269" s="1116"/>
      <c r="B269" s="1378"/>
      <c r="C269" s="1378"/>
      <c r="D269" s="249"/>
      <c r="E269" s="249"/>
      <c r="F269" s="249"/>
      <c r="G269" s="249"/>
      <c r="H269" s="249"/>
      <c r="I269" s="249"/>
      <c r="J269" s="249"/>
      <c r="K269" s="249"/>
      <c r="L269" s="249"/>
      <c r="M269" s="249"/>
      <c r="N269" s="249"/>
      <c r="O269" s="249"/>
      <c r="S269" s="249"/>
      <c r="AZ269" s="1698"/>
      <c r="BA269" s="1474"/>
      <c r="BB269" s="1474"/>
      <c r="BC269" s="1474"/>
      <c r="BD269" s="1474"/>
      <c r="BE269" s="1474"/>
      <c r="BF269" s="1474"/>
      <c r="BG269" s="1474"/>
      <c r="BH269" s="1474"/>
      <c r="BI269" s="1474"/>
      <c r="BJ269" s="1474"/>
      <c r="BK269" s="1474"/>
      <c r="BL269" s="1474"/>
    </row>
    <row r="270" spans="1:72" s="827" customFormat="1">
      <c r="A270" s="819"/>
      <c r="B270" s="1172"/>
      <c r="C270" s="1172"/>
      <c r="D270" s="1172"/>
      <c r="E270" s="1172"/>
      <c r="F270" s="843"/>
      <c r="G270" s="843"/>
      <c r="H270" s="843"/>
      <c r="I270" s="843"/>
      <c r="J270" s="843"/>
      <c r="K270" s="843"/>
      <c r="L270" s="843"/>
      <c r="M270" s="843"/>
      <c r="N270" s="843"/>
      <c r="O270" s="843"/>
      <c r="S270" s="843"/>
      <c r="T270" s="1757"/>
      <c r="AN270" s="1178"/>
      <c r="AT270" s="2441"/>
      <c r="AX270" s="2441"/>
      <c r="AY270" s="2441"/>
      <c r="AZ270" s="3322"/>
      <c r="BA270" s="3305"/>
      <c r="BB270" s="3305"/>
      <c r="BC270" s="3305"/>
      <c r="BD270" s="3305"/>
      <c r="BE270" s="3305"/>
      <c r="BF270" s="3305"/>
      <c r="BG270" s="3305"/>
      <c r="BH270" s="3305"/>
      <c r="BI270" s="3305"/>
      <c r="BJ270" s="3305"/>
      <c r="BK270" s="3305"/>
      <c r="BL270" s="3305"/>
    </row>
    <row r="271" spans="1:72">
      <c r="A271" s="1116"/>
      <c r="B271" s="1393"/>
      <c r="C271" s="1393"/>
      <c r="D271" s="1393"/>
      <c r="E271" s="1393"/>
      <c r="F271" s="1187"/>
      <c r="G271" s="1187"/>
      <c r="H271" s="1187"/>
      <c r="I271" s="1187"/>
      <c r="J271" s="1187"/>
      <c r="K271" s="1187"/>
      <c r="L271" s="1187"/>
      <c r="M271" s="1187"/>
      <c r="N271" s="1187"/>
      <c r="O271" s="1187"/>
      <c r="S271" s="1187"/>
      <c r="AZ271" s="1698"/>
      <c r="BA271" s="1474"/>
      <c r="BB271" s="1474"/>
      <c r="BC271" s="1474"/>
      <c r="BD271" s="1474"/>
      <c r="BE271" s="1474"/>
      <c r="BF271" s="1474"/>
      <c r="BG271" s="1474"/>
      <c r="BH271" s="1474"/>
      <c r="BI271" s="1474"/>
      <c r="BJ271" s="1474"/>
      <c r="BK271" s="1474"/>
      <c r="BL271" s="1474"/>
    </row>
    <row r="272" spans="1:72" s="827" customFormat="1">
      <c r="A272" s="819"/>
      <c r="B272" s="830"/>
      <c r="C272" s="830"/>
      <c r="D272" s="830"/>
      <c r="E272" s="1172"/>
      <c r="F272" s="843"/>
      <c r="G272" s="843"/>
      <c r="H272" s="843"/>
      <c r="I272" s="843"/>
      <c r="J272" s="843"/>
      <c r="K272" s="843"/>
      <c r="L272" s="843"/>
      <c r="M272" s="843"/>
      <c r="N272" s="843"/>
      <c r="O272" s="843"/>
      <c r="S272" s="843"/>
      <c r="T272" s="1757"/>
      <c r="AN272" s="1178"/>
      <c r="AT272" s="2441"/>
      <c r="AX272" s="2441"/>
      <c r="AY272" s="2441"/>
      <c r="AZ272" s="3322"/>
      <c r="BA272" s="3305"/>
      <c r="BB272" s="3305"/>
      <c r="BC272" s="3305"/>
      <c r="BD272" s="3305"/>
      <c r="BE272" s="3305"/>
      <c r="BF272" s="3305"/>
      <c r="BG272" s="3305"/>
      <c r="BH272" s="3305"/>
      <c r="BI272" s="3305"/>
      <c r="BJ272" s="3305"/>
      <c r="BK272" s="3305"/>
      <c r="BL272" s="3305"/>
    </row>
    <row r="273" spans="1:64">
      <c r="A273" s="1383"/>
      <c r="B273" s="1169"/>
      <c r="C273" s="1169"/>
      <c r="D273" s="1169"/>
      <c r="E273" s="1169"/>
      <c r="N273" s="1116"/>
      <c r="O273" s="1116"/>
      <c r="AZ273" s="1698"/>
      <c r="BA273" s="1474"/>
      <c r="BB273" s="1474"/>
      <c r="BC273" s="1474"/>
      <c r="BD273" s="1474"/>
      <c r="BE273" s="1474"/>
      <c r="BF273" s="1474"/>
      <c r="BG273" s="1474"/>
      <c r="BH273" s="1474"/>
      <c r="BI273" s="1474"/>
      <c r="BJ273" s="1474"/>
      <c r="BK273" s="1474"/>
      <c r="BL273" s="1474"/>
    </row>
    <row r="274" spans="1:64">
      <c r="A274" s="1394"/>
      <c r="B274" s="1395"/>
      <c r="C274" s="1395"/>
      <c r="D274" s="1395"/>
      <c r="E274" s="1395"/>
      <c r="F274" s="1188"/>
      <c r="G274" s="1188"/>
      <c r="H274" s="1188"/>
      <c r="I274" s="1188"/>
      <c r="J274" s="1188"/>
      <c r="K274" s="1188"/>
      <c r="L274" s="1188"/>
      <c r="M274" s="1188"/>
      <c r="N274" s="1188"/>
      <c r="O274" s="1188"/>
      <c r="S274" s="1188"/>
      <c r="AZ274" s="1698"/>
      <c r="BA274" s="1474"/>
      <c r="BB274" s="1474"/>
      <c r="BC274" s="1474"/>
      <c r="BD274" s="1474"/>
      <c r="BE274" s="1474"/>
      <c r="BF274" s="1474"/>
      <c r="BG274" s="1474"/>
      <c r="BH274" s="1474"/>
      <c r="BI274" s="1474"/>
      <c r="BJ274" s="1474"/>
      <c r="BK274" s="1474"/>
      <c r="BL274" s="1474"/>
    </row>
    <row r="275" spans="1:64" s="827" customFormat="1">
      <c r="A275" s="819"/>
      <c r="B275" s="830"/>
      <c r="C275" s="830"/>
      <c r="D275" s="830"/>
      <c r="E275" s="830"/>
      <c r="F275" s="830"/>
      <c r="G275" s="830"/>
      <c r="H275" s="830"/>
      <c r="I275" s="830"/>
      <c r="J275" s="830"/>
      <c r="K275" s="830"/>
      <c r="L275" s="830"/>
      <c r="M275" s="830"/>
      <c r="N275" s="830"/>
      <c r="O275" s="830"/>
      <c r="S275" s="830"/>
      <c r="T275" s="1757"/>
      <c r="AN275" s="1178"/>
      <c r="AT275" s="2441"/>
      <c r="AX275" s="2441"/>
      <c r="AY275" s="2441"/>
      <c r="AZ275" s="3322"/>
      <c r="BA275" s="3305"/>
      <c r="BB275" s="3305"/>
      <c r="BC275" s="3305"/>
      <c r="BD275" s="3305"/>
      <c r="BE275" s="3305"/>
      <c r="BF275" s="3305"/>
      <c r="BG275" s="3305"/>
      <c r="BH275" s="3305"/>
      <c r="BI275" s="3305"/>
      <c r="BJ275" s="3305"/>
      <c r="BK275" s="3305"/>
      <c r="BL275" s="3305"/>
    </row>
    <row r="276" spans="1:64">
      <c r="AZ276" s="1698"/>
      <c r="BA276" s="1474"/>
      <c r="BB276" s="1474"/>
      <c r="BC276" s="1474"/>
      <c r="BD276" s="1474"/>
      <c r="BE276" s="1474"/>
      <c r="BF276" s="1474"/>
      <c r="BG276" s="1474"/>
      <c r="BH276" s="1474"/>
      <c r="BI276" s="1474"/>
      <c r="BJ276" s="1474"/>
      <c r="BK276" s="1474"/>
      <c r="BL276" s="1474"/>
    </row>
    <row r="277" spans="1:64">
      <c r="N277" s="1189"/>
      <c r="O277" s="1189"/>
      <c r="AZ277" s="1698"/>
      <c r="BA277" s="1474"/>
      <c r="BB277" s="1474"/>
      <c r="BC277" s="1474"/>
      <c r="BD277" s="1474"/>
      <c r="BE277" s="1474"/>
      <c r="BF277" s="1474"/>
      <c r="BG277" s="1474"/>
      <c r="BH277" s="1474"/>
      <c r="BI277" s="1474"/>
      <c r="BJ277" s="1474"/>
      <c r="BK277" s="1474"/>
      <c r="BL277" s="1474"/>
    </row>
    <row r="278" spans="1:64">
      <c r="AZ278" s="1698"/>
      <c r="BA278" s="1474"/>
      <c r="BB278" s="1474"/>
      <c r="BC278" s="1474"/>
      <c r="BD278" s="1474"/>
      <c r="BE278" s="1474"/>
      <c r="BF278" s="1474"/>
      <c r="BG278" s="1474"/>
      <c r="BH278" s="1474"/>
      <c r="BI278" s="1474"/>
      <c r="BJ278" s="1474"/>
      <c r="BK278" s="1474"/>
      <c r="BL278" s="1474"/>
    </row>
    <row r="279" spans="1:64">
      <c r="J279" s="1189"/>
      <c r="AZ279" s="1698"/>
      <c r="BA279" s="1474"/>
      <c r="BB279" s="1474"/>
      <c r="BC279" s="1474"/>
      <c r="BD279" s="1474"/>
      <c r="BE279" s="1474"/>
      <c r="BF279" s="1474"/>
      <c r="BG279" s="1474"/>
      <c r="BH279" s="1474"/>
      <c r="BI279" s="1474"/>
      <c r="BJ279" s="1474"/>
      <c r="BK279" s="1474"/>
      <c r="BL279" s="1474"/>
    </row>
    <row r="280" spans="1:64">
      <c r="N280" s="237"/>
      <c r="AZ280" s="1698"/>
      <c r="BA280" s="1474"/>
      <c r="BB280" s="1474"/>
      <c r="BC280" s="1474"/>
      <c r="BD280" s="1474"/>
      <c r="BE280" s="1474"/>
      <c r="BF280" s="1474"/>
      <c r="BG280" s="1474"/>
      <c r="BH280" s="1474"/>
      <c r="BI280" s="1474"/>
      <c r="BJ280" s="1474"/>
      <c r="BK280" s="1474"/>
      <c r="BL280" s="1474"/>
    </row>
    <row r="281" spans="1:64">
      <c r="AZ281" s="1698"/>
      <c r="BA281" s="1474"/>
      <c r="BB281" s="1474"/>
      <c r="BC281" s="1474"/>
      <c r="BD281" s="1474"/>
      <c r="BE281" s="1474"/>
      <c r="BF281" s="1474"/>
      <c r="BG281" s="1474"/>
      <c r="BH281" s="1474"/>
      <c r="BI281" s="1474"/>
      <c r="BJ281" s="1474"/>
      <c r="BK281" s="1474"/>
      <c r="BL281" s="1474"/>
    </row>
    <row r="282" spans="1:64">
      <c r="AZ282" s="1698"/>
      <c r="BA282" s="1474"/>
      <c r="BB282" s="1474"/>
      <c r="BC282" s="1474"/>
      <c r="BD282" s="1474"/>
      <c r="BE282" s="1474"/>
      <c r="BF282" s="1474"/>
      <c r="BG282" s="1474"/>
      <c r="BH282" s="1474"/>
      <c r="BI282" s="1474"/>
      <c r="BJ282" s="1474"/>
      <c r="BK282" s="1474"/>
      <c r="BL282" s="1474"/>
    </row>
    <row r="283" spans="1:64">
      <c r="AZ283" s="1698"/>
      <c r="BA283" s="1474"/>
      <c r="BB283" s="1474"/>
      <c r="BC283" s="1474"/>
      <c r="BD283" s="1474"/>
      <c r="BE283" s="1474"/>
      <c r="BF283" s="1474"/>
      <c r="BG283" s="1474"/>
      <c r="BH283" s="1474"/>
      <c r="BI283" s="1474"/>
      <c r="BJ283" s="1474"/>
      <c r="BK283" s="1474"/>
      <c r="BL283" s="1474"/>
    </row>
    <row r="284" spans="1:64">
      <c r="AZ284" s="1698"/>
      <c r="BA284" s="1474"/>
      <c r="BB284" s="1474"/>
      <c r="BC284" s="1474"/>
      <c r="BD284" s="1474"/>
      <c r="BE284" s="1474"/>
      <c r="BF284" s="1474"/>
      <c r="BG284" s="1474"/>
      <c r="BH284" s="1474"/>
      <c r="BI284" s="1474"/>
      <c r="BJ284" s="1474"/>
      <c r="BK284" s="1474"/>
      <c r="BL284" s="1474"/>
    </row>
    <row r="285" spans="1:64">
      <c r="AZ285" s="1698"/>
      <c r="BA285" s="1474"/>
      <c r="BB285" s="1474"/>
      <c r="BC285" s="1474"/>
      <c r="BD285" s="1474"/>
      <c r="BE285" s="1474"/>
      <c r="BF285" s="1474"/>
      <c r="BG285" s="1474"/>
      <c r="BH285" s="1474"/>
      <c r="BI285" s="1474"/>
      <c r="BJ285" s="1474"/>
      <c r="BK285" s="1474"/>
      <c r="BL285" s="1474"/>
    </row>
    <row r="286" spans="1:64">
      <c r="AZ286" s="1698"/>
      <c r="BA286" s="1474"/>
      <c r="BB286" s="1474"/>
      <c r="BC286" s="1474"/>
      <c r="BD286" s="1474"/>
      <c r="BE286" s="1474"/>
      <c r="BF286" s="1474"/>
      <c r="BG286" s="1474"/>
      <c r="BH286" s="1474"/>
      <c r="BI286" s="1474"/>
      <c r="BJ286" s="1474"/>
      <c r="BK286" s="1474"/>
      <c r="BL286" s="1474"/>
    </row>
    <row r="287" spans="1:64">
      <c r="AZ287" s="1698"/>
      <c r="BA287" s="1474"/>
      <c r="BB287" s="1474"/>
      <c r="BC287" s="1474"/>
      <c r="BD287" s="1474"/>
      <c r="BE287" s="1474"/>
      <c r="BF287" s="1474"/>
      <c r="BG287" s="1474"/>
      <c r="BH287" s="1474"/>
      <c r="BI287" s="1474"/>
      <c r="BJ287" s="1474"/>
      <c r="BK287" s="1474"/>
      <c r="BL287" s="1474"/>
    </row>
    <row r="288" spans="1:64">
      <c r="A288" s="1138" t="s">
        <v>332</v>
      </c>
      <c r="B288" s="1138">
        <v>2018</v>
      </c>
      <c r="C288" s="1138">
        <v>2019</v>
      </c>
      <c r="D288" s="1138">
        <v>2020</v>
      </c>
      <c r="E288" s="1138">
        <v>2021</v>
      </c>
      <c r="F288" s="975">
        <v>2022</v>
      </c>
      <c r="G288" s="975">
        <v>2023</v>
      </c>
      <c r="H288" s="975">
        <v>2024</v>
      </c>
      <c r="I288" s="975"/>
      <c r="J288" s="972" t="s">
        <v>263</v>
      </c>
      <c r="K288" s="972" t="s">
        <v>812</v>
      </c>
      <c r="N288" s="972" t="s">
        <v>262</v>
      </c>
      <c r="AZ288" s="1698"/>
      <c r="BA288" s="1474"/>
      <c r="BB288" s="1474"/>
      <c r="BC288" s="1474"/>
      <c r="BD288" s="1474"/>
      <c r="BE288" s="1474"/>
      <c r="BF288" s="1474"/>
      <c r="BG288" s="1474"/>
      <c r="BH288" s="1474"/>
      <c r="BI288" s="1474"/>
      <c r="BJ288" s="1474"/>
      <c r="BK288" s="1474"/>
      <c r="BL288" s="1474"/>
    </row>
    <row r="289" spans="1:64">
      <c r="A289" s="1457" t="s">
        <v>1983</v>
      </c>
      <c r="B289" s="1113"/>
      <c r="C289" s="1113"/>
      <c r="D289" s="1113"/>
      <c r="E289" s="1113"/>
      <c r="F289" s="1113">
        <v>18277.919999999998</v>
      </c>
      <c r="G289" s="1113">
        <v>19591.87</v>
      </c>
      <c r="H289" s="1113">
        <v>19282.689999999999</v>
      </c>
      <c r="I289" s="1113"/>
      <c r="J289" s="3217">
        <v>21007.29</v>
      </c>
      <c r="K289" s="3215"/>
      <c r="N289" s="1113">
        <v>19591.87</v>
      </c>
      <c r="AZ289" s="1698"/>
      <c r="BA289" s="1474"/>
      <c r="BB289" s="1474"/>
      <c r="BC289" s="1474"/>
      <c r="BD289" s="1474"/>
      <c r="BE289" s="1474"/>
      <c r="BF289" s="1474"/>
      <c r="BG289" s="1474"/>
      <c r="BH289" s="1474"/>
      <c r="BI289" s="1474"/>
      <c r="BJ289" s="1474"/>
      <c r="BK289" s="1474"/>
      <c r="BL289" s="1474"/>
    </row>
    <row r="290" spans="1:64">
      <c r="A290" s="1457" t="s">
        <v>1983</v>
      </c>
      <c r="B290" s="3216"/>
      <c r="C290" s="3216"/>
      <c r="D290" s="1113"/>
      <c r="E290" s="1113"/>
      <c r="F290" s="1193">
        <v>15.4</v>
      </c>
      <c r="G290" s="1193">
        <v>3.18</v>
      </c>
      <c r="H290" s="1193">
        <v>4.2</v>
      </c>
      <c r="I290" s="1193"/>
      <c r="J290" s="3215">
        <v>5.82</v>
      </c>
      <c r="K290" s="3215"/>
      <c r="N290" s="1193">
        <v>3.18</v>
      </c>
      <c r="AZ290" s="1698"/>
      <c r="BA290" s="1474"/>
      <c r="BB290" s="1474"/>
      <c r="BC290" s="1474"/>
      <c r="BD290" s="1474"/>
      <c r="BE290" s="1474"/>
      <c r="BF290" s="1474"/>
      <c r="BG290" s="1474"/>
      <c r="BH290" s="1474"/>
      <c r="BI290" s="1474"/>
      <c r="BJ290" s="1474"/>
      <c r="BK290" s="1474"/>
      <c r="BL290" s="1474"/>
    </row>
    <row r="291" spans="1:64">
      <c r="A291" s="1457" t="s">
        <v>1981</v>
      </c>
      <c r="B291" s="1113"/>
      <c r="C291" s="1113"/>
      <c r="D291" s="1113"/>
      <c r="E291" s="1113"/>
      <c r="F291" s="1113">
        <v>28077.86</v>
      </c>
      <c r="G291" s="1113">
        <v>29107.23</v>
      </c>
      <c r="H291" s="1113">
        <v>30206.35</v>
      </c>
      <c r="I291" s="1113"/>
      <c r="J291" s="3217">
        <v>31908.400000000001</v>
      </c>
      <c r="K291" s="3215"/>
      <c r="N291" s="1113">
        <v>29795.55</v>
      </c>
      <c r="AZ291" s="1698"/>
      <c r="BA291" s="1474"/>
      <c r="BB291" s="1474"/>
      <c r="BC291" s="1474"/>
      <c r="BD291" s="1474"/>
      <c r="BE291" s="1474"/>
      <c r="BF291" s="1474"/>
      <c r="BG291" s="1474"/>
      <c r="BH291" s="1474"/>
      <c r="BI291" s="1474"/>
      <c r="BJ291" s="1474"/>
      <c r="BK291" s="1474"/>
      <c r="BL291" s="1474"/>
    </row>
    <row r="292" spans="1:64">
      <c r="A292" s="1457" t="s">
        <v>1981</v>
      </c>
      <c r="B292" s="3216"/>
      <c r="C292" s="3216"/>
      <c r="D292" s="1113"/>
      <c r="E292" s="1113"/>
      <c r="F292" s="1193">
        <v>13.7</v>
      </c>
      <c r="G292" s="1193">
        <v>3.4</v>
      </c>
      <c r="H292" s="1193">
        <v>4.2</v>
      </c>
      <c r="I292" s="1193"/>
      <c r="J292" s="3215">
        <v>6.12</v>
      </c>
      <c r="K292" s="3215"/>
      <c r="N292" s="1193">
        <v>-0.38</v>
      </c>
      <c r="AZ292" s="1698"/>
      <c r="BA292" s="1474"/>
      <c r="BB292" s="1474"/>
      <c r="BC292" s="1474"/>
      <c r="BD292" s="1474"/>
      <c r="BE292" s="1474"/>
      <c r="BF292" s="1474"/>
      <c r="BG292" s="1474"/>
      <c r="BH292" s="1474"/>
      <c r="BI292" s="1474"/>
      <c r="BJ292" s="1474"/>
      <c r="BK292" s="1474"/>
      <c r="BL292" s="1474"/>
    </row>
    <row r="293" spans="1:64">
      <c r="A293" s="1457" t="s">
        <v>1807</v>
      </c>
      <c r="B293" s="1113"/>
      <c r="C293" s="1113"/>
      <c r="D293" s="1113"/>
      <c r="E293" s="1113">
        <v>11482.51</v>
      </c>
      <c r="F293" s="1113">
        <v>12595.19</v>
      </c>
      <c r="G293" s="1113">
        <v>13270.37</v>
      </c>
      <c r="H293" s="1113">
        <v>13843.27</v>
      </c>
      <c r="I293" s="1113"/>
      <c r="J293" s="3217">
        <v>15304.48</v>
      </c>
      <c r="K293" s="3215"/>
      <c r="N293" s="3218">
        <v>14240.62</v>
      </c>
      <c r="AZ293" s="1698"/>
      <c r="BA293" s="1474"/>
      <c r="BB293" s="1474"/>
      <c r="BC293" s="1474"/>
      <c r="BD293" s="1474"/>
      <c r="BE293" s="1474"/>
      <c r="BF293" s="1474"/>
      <c r="BG293" s="1474"/>
      <c r="BH293" s="1474"/>
      <c r="BI293" s="1474"/>
      <c r="BJ293" s="1474"/>
      <c r="BK293" s="1474"/>
      <c r="BL293" s="1474"/>
    </row>
    <row r="294" spans="1:64">
      <c r="A294" s="1457" t="s">
        <v>1807</v>
      </c>
      <c r="B294" s="3216"/>
      <c r="C294" s="3216"/>
      <c r="D294" s="1113"/>
      <c r="E294" s="3219"/>
      <c r="F294" s="3219">
        <f t="shared" ref="F294" si="406">(F293/E293-1)*100</f>
        <v>9.6902158151832793</v>
      </c>
      <c r="G294" s="3219">
        <f t="shared" ref="G294" si="407">(G293/F293-1)*100</f>
        <v>5.3606178231531354</v>
      </c>
      <c r="H294" s="3219">
        <f t="shared" ref="H294" si="408">(H293/G293-1)*100</f>
        <v>4.3171365983013299</v>
      </c>
      <c r="I294" s="3219"/>
      <c r="J294" s="3219">
        <f>(J293/N293-1)*100</f>
        <v>7.4706017013304038</v>
      </c>
      <c r="K294" s="3215"/>
      <c r="N294" s="3219">
        <f>(N293/H293-1)*100</f>
        <v>2.870347829667419</v>
      </c>
      <c r="AZ294" s="1698"/>
      <c r="BA294" s="1474"/>
      <c r="BB294" s="1474"/>
      <c r="BC294" s="1474"/>
      <c r="BD294" s="1474"/>
      <c r="BE294" s="1474"/>
      <c r="BF294" s="1474"/>
      <c r="BG294" s="1474"/>
      <c r="BH294" s="1474"/>
      <c r="BI294" s="1474"/>
      <c r="BJ294" s="1474"/>
      <c r="BK294" s="1474"/>
      <c r="BL294" s="1474"/>
    </row>
    <row r="295" spans="1:64">
      <c r="A295" s="1457" t="s">
        <v>1690</v>
      </c>
      <c r="B295" s="1113"/>
      <c r="C295" s="1113"/>
      <c r="D295" s="1113"/>
      <c r="E295" s="1113">
        <v>1554.84</v>
      </c>
      <c r="F295" s="1113">
        <v>1880.14</v>
      </c>
      <c r="G295" s="1113">
        <v>2207.91</v>
      </c>
      <c r="H295" s="1113">
        <v>2509.08</v>
      </c>
      <c r="I295" s="1113"/>
      <c r="J295" s="3217">
        <v>3152.17</v>
      </c>
      <c r="K295" s="3215"/>
      <c r="N295" s="1113">
        <v>2705.66</v>
      </c>
      <c r="AZ295" s="1698"/>
      <c r="BA295" s="1474"/>
      <c r="BB295" s="1474"/>
      <c r="BC295" s="1474"/>
      <c r="BD295" s="1474"/>
      <c r="BE295" s="1474"/>
      <c r="BF295" s="1474"/>
      <c r="BG295" s="1474"/>
      <c r="BH295" s="1474"/>
      <c r="BI295" s="1474"/>
      <c r="BJ295" s="1474"/>
      <c r="BK295" s="1474"/>
      <c r="BL295" s="1474"/>
    </row>
    <row r="296" spans="1:64">
      <c r="A296" s="1457" t="s">
        <v>1690</v>
      </c>
      <c r="B296" s="3216"/>
      <c r="C296" s="3216"/>
      <c r="D296" s="1113"/>
      <c r="E296" s="3219"/>
      <c r="F296" s="3219">
        <f t="shared" ref="F296:H296" si="409">(F295/E295-1)*100</f>
        <v>20.921766869903035</v>
      </c>
      <c r="G296" s="3219">
        <f t="shared" si="409"/>
        <v>17.433276245385976</v>
      </c>
      <c r="H296" s="3219">
        <f t="shared" si="409"/>
        <v>13.640501650882509</v>
      </c>
      <c r="I296" s="3219"/>
      <c r="J296" s="3219">
        <f>(J295/N295-1)*100</f>
        <v>16.502812622428543</v>
      </c>
      <c r="K296" s="3215"/>
      <c r="N296" s="3219">
        <f>(N295/H295-1)*100</f>
        <v>7.8347442090327846</v>
      </c>
      <c r="AZ296" s="1698"/>
      <c r="BA296" s="1474"/>
      <c r="BB296" s="1474"/>
      <c r="BC296" s="1474"/>
      <c r="BD296" s="1474"/>
      <c r="BE296" s="1474"/>
      <c r="BF296" s="1474"/>
      <c r="BG296" s="1474"/>
      <c r="BH296" s="1474"/>
      <c r="BI296" s="1474"/>
      <c r="BJ296" s="1474"/>
      <c r="BK296" s="1474"/>
      <c r="BL296" s="1474"/>
    </row>
    <row r="297" spans="1:64">
      <c r="AZ297" s="1698"/>
      <c r="BA297" s="1474"/>
      <c r="BB297" s="1474"/>
      <c r="BC297" s="1474"/>
      <c r="BD297" s="1474"/>
      <c r="BE297" s="1474"/>
      <c r="BF297" s="1474"/>
      <c r="BG297" s="1474"/>
      <c r="BH297" s="1474"/>
      <c r="BI297" s="1474"/>
      <c r="BJ297" s="1474"/>
      <c r="BK297" s="1474"/>
      <c r="BL297" s="1474"/>
    </row>
    <row r="298" spans="1:64">
      <c r="AZ298" s="1698"/>
      <c r="BA298" s="1474"/>
      <c r="BB298" s="1474"/>
      <c r="BC298" s="1474"/>
      <c r="BD298" s="1474"/>
      <c r="BE298" s="1474"/>
      <c r="BF298" s="1474"/>
      <c r="BG298" s="1474"/>
      <c r="BH298" s="1474"/>
      <c r="BI298" s="1474"/>
      <c r="BJ298" s="1474"/>
      <c r="BK298" s="1474"/>
      <c r="BL298" s="1474"/>
    </row>
    <row r="299" spans="1:64">
      <c r="A299" s="1138" t="s">
        <v>332</v>
      </c>
      <c r="B299" s="1138">
        <v>2018</v>
      </c>
      <c r="C299" s="1138">
        <v>2019</v>
      </c>
      <c r="D299" s="1138">
        <v>2020</v>
      </c>
      <c r="E299" s="1138">
        <v>2021</v>
      </c>
      <c r="F299" s="975">
        <v>2022</v>
      </c>
      <c r="G299" s="975">
        <v>2023</v>
      </c>
      <c r="H299" s="975">
        <v>2024</v>
      </c>
      <c r="I299" s="975"/>
      <c r="J299" s="972" t="s">
        <v>263</v>
      </c>
      <c r="K299" s="972" t="s">
        <v>812</v>
      </c>
      <c r="N299" s="972" t="s">
        <v>262</v>
      </c>
      <c r="AZ299" s="1698"/>
      <c r="BA299" s="1474"/>
      <c r="BB299" s="1474"/>
      <c r="BC299" s="1474"/>
      <c r="BD299" s="1474"/>
      <c r="BE299" s="1474"/>
      <c r="BF299" s="1474"/>
      <c r="BG299" s="1474"/>
      <c r="BH299" s="1474"/>
      <c r="BI299" s="1474"/>
      <c r="BJ299" s="1474"/>
      <c r="BK299" s="1474"/>
      <c r="BL299" s="1474"/>
    </row>
    <row r="300" spans="1:64">
      <c r="A300" s="1457" t="s">
        <v>1983</v>
      </c>
      <c r="B300" s="1113"/>
      <c r="C300" s="1113"/>
      <c r="D300" s="1113"/>
      <c r="E300" s="1113">
        <v>1216410</v>
      </c>
      <c r="F300" s="1113">
        <v>1467670</v>
      </c>
      <c r="G300" s="1113">
        <v>1536700</v>
      </c>
      <c r="H300" s="1113">
        <v>1629900</v>
      </c>
      <c r="I300" s="1113"/>
      <c r="J300" s="3217">
        <v>1854671</v>
      </c>
      <c r="K300" s="3215"/>
      <c r="N300" s="1113">
        <v>1734333</v>
      </c>
      <c r="AZ300" s="1698"/>
      <c r="BA300" s="1474"/>
      <c r="BB300" s="1474"/>
      <c r="BC300" s="1474"/>
      <c r="BD300" s="1474"/>
      <c r="BE300" s="1474"/>
      <c r="BF300" s="1474"/>
      <c r="BG300" s="1474"/>
      <c r="BH300" s="1474"/>
      <c r="BI300" s="1474"/>
      <c r="BJ300" s="1474"/>
      <c r="BK300" s="1474"/>
      <c r="BL300" s="1474"/>
    </row>
    <row r="301" spans="1:64">
      <c r="A301" s="1457" t="s">
        <v>1981</v>
      </c>
      <c r="B301" s="1113"/>
      <c r="C301" s="1113"/>
      <c r="D301" s="1113"/>
      <c r="E301" s="1113">
        <v>1917540</v>
      </c>
      <c r="F301" s="1113">
        <v>2254580</v>
      </c>
      <c r="G301" s="1113">
        <v>2408930</v>
      </c>
      <c r="H301" s="1113">
        <v>2553240</v>
      </c>
      <c r="I301" s="1113"/>
      <c r="J301" s="3217">
        <v>2802175</v>
      </c>
      <c r="K301" s="3215"/>
      <c r="N301" s="1113">
        <v>2635065</v>
      </c>
      <c r="AZ301" s="1698"/>
      <c r="BA301" s="1474"/>
      <c r="BB301" s="1474"/>
      <c r="BC301" s="1474"/>
      <c r="BD301" s="1474"/>
      <c r="BE301" s="1474"/>
      <c r="BF301" s="1474"/>
      <c r="BG301" s="1474"/>
      <c r="BH301" s="1474"/>
      <c r="BI301" s="1474"/>
      <c r="BJ301" s="1474"/>
      <c r="BK301" s="1474"/>
      <c r="BL301" s="1474"/>
    </row>
    <row r="302" spans="1:64">
      <c r="A302" s="1457" t="s">
        <v>1982</v>
      </c>
      <c r="B302" s="1113"/>
      <c r="C302" s="1113"/>
      <c r="D302" s="1113"/>
      <c r="E302" s="1113">
        <v>855469</v>
      </c>
      <c r="F302" s="1113">
        <v>1011361</v>
      </c>
      <c r="G302" s="1113">
        <v>1098263</v>
      </c>
      <c r="H302" s="1113">
        <v>1170124</v>
      </c>
      <c r="I302" s="1113"/>
      <c r="J302" s="3217">
        <v>1353761</v>
      </c>
      <c r="K302" s="3215"/>
      <c r="N302" s="1113">
        <v>1260939</v>
      </c>
      <c r="AZ302" s="1698"/>
      <c r="BA302" s="1474"/>
      <c r="BB302" s="1474"/>
      <c r="BC302" s="1474"/>
      <c r="BD302" s="1474"/>
      <c r="BE302" s="1474"/>
      <c r="BF302" s="1474"/>
      <c r="BG302" s="1474"/>
      <c r="BH302" s="1474"/>
      <c r="BI302" s="1474"/>
      <c r="BJ302" s="1474"/>
      <c r="BK302" s="1474"/>
      <c r="BL302" s="1474"/>
    </row>
    <row r="303" spans="1:64">
      <c r="A303" s="1457" t="s">
        <v>1690</v>
      </c>
      <c r="B303" s="3216"/>
      <c r="C303" s="3216"/>
      <c r="D303" s="1113"/>
      <c r="E303" s="2504">
        <f t="shared" ref="E303:J303" si="410">E12</f>
        <v>14540.800999999999</v>
      </c>
      <c r="F303" s="2504">
        <f t="shared" si="410"/>
        <v>18915.493999999999</v>
      </c>
      <c r="G303" s="2504">
        <f t="shared" si="410"/>
        <v>24288</v>
      </c>
      <c r="H303" s="2504">
        <f>H12</f>
        <v>30953</v>
      </c>
      <c r="I303" s="2504"/>
      <c r="J303" s="2504">
        <f t="shared" ca="1" si="410"/>
        <v>40571.846680421695</v>
      </c>
      <c r="K303" s="3215"/>
      <c r="N303" s="2504">
        <f ca="1">N12</f>
        <v>30952</v>
      </c>
      <c r="AZ303" s="1698"/>
      <c r="BA303" s="1474"/>
      <c r="BB303" s="1474"/>
      <c r="BC303" s="1474"/>
      <c r="BD303" s="1474"/>
      <c r="BE303" s="1474"/>
      <c r="BF303" s="1474"/>
      <c r="BG303" s="1474"/>
      <c r="BH303" s="1474"/>
      <c r="BI303" s="1474"/>
      <c r="BJ303" s="1474"/>
      <c r="BK303" s="1474"/>
      <c r="BL303" s="1474"/>
    </row>
    <row r="304" spans="1:64">
      <c r="AZ304" s="1698"/>
      <c r="BA304" s="1474"/>
      <c r="BB304" s="1474"/>
      <c r="BC304" s="1474"/>
      <c r="BD304" s="1474"/>
      <c r="BE304" s="1474"/>
      <c r="BF304" s="1474"/>
      <c r="BG304" s="1474"/>
      <c r="BH304" s="1474"/>
      <c r="BI304" s="1474"/>
      <c r="BJ304" s="1474"/>
      <c r="BK304" s="1474"/>
      <c r="BL304" s="1474"/>
    </row>
    <row r="305" spans="1:64">
      <c r="AZ305" s="1698"/>
      <c r="BA305" s="1474"/>
      <c r="BB305" s="1474"/>
      <c r="BC305" s="1474"/>
      <c r="BD305" s="1474"/>
      <c r="BE305" s="1474"/>
      <c r="BF305" s="1474"/>
      <c r="BG305" s="1474"/>
      <c r="BH305" s="1474"/>
      <c r="BI305" s="1474"/>
      <c r="BJ305" s="1474"/>
      <c r="BK305" s="1474"/>
      <c r="BL305" s="1474"/>
    </row>
    <row r="306" spans="1:64">
      <c r="A306" s="1138" t="s">
        <v>2051</v>
      </c>
      <c r="B306" s="1138">
        <v>2018</v>
      </c>
      <c r="C306" s="1138">
        <v>2019</v>
      </c>
      <c r="D306" s="1138">
        <v>2020</v>
      </c>
      <c r="E306" s="1138">
        <v>2021</v>
      </c>
      <c r="F306" s="975">
        <v>2022</v>
      </c>
      <c r="G306" s="975">
        <v>2023</v>
      </c>
      <c r="H306" s="975">
        <v>2024</v>
      </c>
      <c r="I306" s="975"/>
      <c r="J306" s="972" t="s">
        <v>263</v>
      </c>
      <c r="K306" s="972" t="s">
        <v>812</v>
      </c>
      <c r="N306" s="972" t="s">
        <v>262</v>
      </c>
      <c r="AZ306" s="1698"/>
      <c r="BA306" s="1474"/>
      <c r="BB306" s="1474"/>
      <c r="BC306" s="1474"/>
      <c r="BD306" s="1474"/>
      <c r="BE306" s="1474"/>
      <c r="BF306" s="1474"/>
      <c r="BG306" s="1474"/>
      <c r="BH306" s="1474"/>
      <c r="BI306" s="1474"/>
      <c r="BJ306" s="1474"/>
      <c r="BK306" s="1474"/>
      <c r="BL306" s="1474"/>
    </row>
    <row r="307" spans="1:64">
      <c r="A307" s="1457" t="s">
        <v>1983</v>
      </c>
      <c r="B307" s="1113"/>
      <c r="C307" s="1113"/>
      <c r="D307" s="1113"/>
      <c r="E307" s="1113"/>
      <c r="F307" s="3238">
        <f t="shared" ref="F307:H307" si="411">F300/E300-1</f>
        <v>0.20655864387829759</v>
      </c>
      <c r="G307" s="3238">
        <f t="shared" si="411"/>
        <v>4.7033733741236095E-2</v>
      </c>
      <c r="H307" s="3238">
        <f t="shared" si="411"/>
        <v>6.0649443612936782E-2</v>
      </c>
      <c r="I307" s="3238"/>
      <c r="J307" s="3238">
        <f>J300/N300-1</f>
        <v>6.938575233245281E-2</v>
      </c>
      <c r="K307" s="3215"/>
      <c r="N307" s="3238">
        <f>N300/H300-1</f>
        <v>6.4073256027977088E-2</v>
      </c>
      <c r="AZ307" s="1698"/>
      <c r="BA307" s="1474"/>
      <c r="BB307" s="1474"/>
      <c r="BC307" s="1474"/>
      <c r="BD307" s="1474"/>
      <c r="BE307" s="1474"/>
      <c r="BF307" s="1474"/>
      <c r="BG307" s="1474"/>
      <c r="BH307" s="1474"/>
      <c r="BI307" s="1474"/>
      <c r="BJ307" s="1474"/>
      <c r="BK307" s="1474"/>
      <c r="BL307" s="1474"/>
    </row>
    <row r="308" spans="1:64">
      <c r="A308" s="1457" t="s">
        <v>1981</v>
      </c>
      <c r="B308" s="1113"/>
      <c r="C308" s="1113"/>
      <c r="D308" s="1113"/>
      <c r="E308" s="1113"/>
      <c r="F308" s="3238">
        <f t="shared" ref="F308:H308" si="412">F301/E301-1</f>
        <v>0.17576686796624852</v>
      </c>
      <c r="G308" s="3238">
        <f t="shared" si="412"/>
        <v>6.8460644554639849E-2</v>
      </c>
      <c r="H308" s="3238">
        <f t="shared" si="412"/>
        <v>5.9906265437351891E-2</v>
      </c>
      <c r="I308" s="3238"/>
      <c r="J308" s="3238">
        <f>J301/N301-1</f>
        <v>6.34177904529869E-2</v>
      </c>
      <c r="K308" s="3215"/>
      <c r="N308" s="3238">
        <f>N301/H301-1</f>
        <v>3.2047516097194251E-2</v>
      </c>
      <c r="AZ308" s="1698"/>
      <c r="BA308" s="1474"/>
      <c r="BB308" s="1474"/>
      <c r="BC308" s="1474"/>
      <c r="BD308" s="1474"/>
      <c r="BE308" s="1474"/>
      <c r="BF308" s="1474"/>
      <c r="BG308" s="1474"/>
      <c r="BH308" s="1474"/>
      <c r="BI308" s="1474"/>
      <c r="BJ308" s="1474"/>
      <c r="BK308" s="1474"/>
      <c r="BL308" s="1474"/>
    </row>
    <row r="309" spans="1:64">
      <c r="A309" s="1457" t="s">
        <v>1982</v>
      </c>
      <c r="B309" s="1113"/>
      <c r="C309" s="1113"/>
      <c r="D309" s="1113"/>
      <c r="E309" s="1113"/>
      <c r="F309" s="3238">
        <f t="shared" ref="F309:H309" si="413">F302/E302-1</f>
        <v>0.18222986455382961</v>
      </c>
      <c r="G309" s="3238">
        <f t="shared" si="413"/>
        <v>8.5925797020055095E-2</v>
      </c>
      <c r="H309" s="3238">
        <f t="shared" si="413"/>
        <v>6.5431504111492345E-2</v>
      </c>
      <c r="I309" s="3238"/>
      <c r="J309" s="3238">
        <f>J302/N302-1</f>
        <v>7.361339446238091E-2</v>
      </c>
      <c r="K309" s="3215"/>
      <c r="N309" s="3238">
        <f>N302/H302-1</f>
        <v>7.7611432634490107E-2</v>
      </c>
      <c r="AZ309" s="1698"/>
      <c r="BA309" s="1474"/>
      <c r="BB309" s="1474"/>
      <c r="BC309" s="1474"/>
      <c r="BD309" s="1474"/>
      <c r="BE309" s="1474"/>
      <c r="BF309" s="1474"/>
      <c r="BG309" s="1474"/>
      <c r="BH309" s="1474"/>
      <c r="BI309" s="1474"/>
      <c r="BJ309" s="1474"/>
      <c r="BK309" s="1474"/>
      <c r="BL309" s="1474"/>
    </row>
    <row r="310" spans="1:64">
      <c r="A310" s="1457" t="s">
        <v>1690</v>
      </c>
      <c r="B310" s="3216"/>
      <c r="C310" s="3216"/>
      <c r="D310" s="1113"/>
      <c r="E310" s="3219"/>
      <c r="F310" s="3238">
        <f t="shared" ref="F310:H310" si="414">F303/E303-1</f>
        <v>0.30085639711319878</v>
      </c>
      <c r="G310" s="3238">
        <f t="shared" si="414"/>
        <v>0.28402673490843022</v>
      </c>
      <c r="H310" s="3238">
        <f t="shared" si="414"/>
        <v>0.2744153491436101</v>
      </c>
      <c r="I310" s="3238"/>
      <c r="J310" s="3238">
        <f ca="1">J303/N303-1</f>
        <v>0.31079887181512333</v>
      </c>
      <c r="K310" s="3215"/>
      <c r="N310" s="3238">
        <f ca="1">N303/H303-1</f>
        <v>-3.2307046166746289E-5</v>
      </c>
      <c r="AZ310" s="1698"/>
      <c r="BA310" s="1474"/>
      <c r="BB310" s="1474"/>
      <c r="BC310" s="1474"/>
      <c r="BD310" s="1474"/>
      <c r="BE310" s="1474"/>
      <c r="BF310" s="1474"/>
      <c r="BG310" s="1474"/>
      <c r="BH310" s="1474"/>
      <c r="BI310" s="1474"/>
      <c r="BJ310" s="1474"/>
      <c r="BK310" s="1474"/>
      <c r="BL310" s="1474"/>
    </row>
    <row r="311" spans="1:64">
      <c r="AZ311" s="1698"/>
      <c r="BA311" s="1474"/>
      <c r="BB311" s="1474"/>
      <c r="BC311" s="1474"/>
      <c r="BD311" s="1474"/>
      <c r="BE311" s="1474"/>
      <c r="BF311" s="1474"/>
      <c r="BG311" s="1474"/>
      <c r="BH311" s="1474"/>
      <c r="BI311" s="1474"/>
      <c r="BJ311" s="1474"/>
      <c r="BK311" s="1474"/>
      <c r="BL311" s="1474"/>
    </row>
    <row r="312" spans="1:64">
      <c r="AZ312" s="1698"/>
      <c r="BA312" s="1474"/>
      <c r="BB312" s="1474"/>
      <c r="BC312" s="1474"/>
      <c r="BD312" s="1474"/>
      <c r="BE312" s="1474"/>
      <c r="BF312" s="1474"/>
      <c r="BG312" s="1474"/>
      <c r="BH312" s="1474"/>
      <c r="BI312" s="1474"/>
      <c r="BJ312" s="1474"/>
      <c r="BK312" s="1474"/>
      <c r="BL312" s="1474"/>
    </row>
    <row r="313" spans="1:64">
      <c r="AZ313" s="1698"/>
      <c r="BA313" s="1474"/>
      <c r="BB313" s="1474"/>
      <c r="BC313" s="1474"/>
      <c r="BD313" s="1474"/>
      <c r="BE313" s="1474"/>
      <c r="BF313" s="1474"/>
      <c r="BG313" s="1474"/>
      <c r="BH313" s="1474"/>
      <c r="BI313" s="1474"/>
      <c r="BJ313" s="1474"/>
      <c r="BK313" s="1474"/>
      <c r="BL313" s="1474"/>
    </row>
    <row r="314" spans="1:64">
      <c r="AZ314" s="1698"/>
      <c r="BA314" s="1474"/>
      <c r="BB314" s="1474"/>
      <c r="BC314" s="1474"/>
      <c r="BD314" s="1474"/>
      <c r="BE314" s="1474"/>
      <c r="BF314" s="1474"/>
      <c r="BG314" s="1474"/>
      <c r="BH314" s="1474"/>
      <c r="BI314" s="1474"/>
      <c r="BJ314" s="1474"/>
      <c r="BK314" s="1474"/>
      <c r="BL314" s="1474"/>
    </row>
    <row r="315" spans="1:64">
      <c r="AZ315" s="1698"/>
      <c r="BA315" s="1474"/>
      <c r="BB315" s="1474"/>
      <c r="BC315" s="1474"/>
      <c r="BD315" s="1474"/>
      <c r="BE315" s="1474"/>
      <c r="BF315" s="1474"/>
      <c r="BG315" s="1474"/>
      <c r="BH315" s="1474"/>
      <c r="BI315" s="1474"/>
      <c r="BJ315" s="1474"/>
      <c r="BK315" s="1474"/>
      <c r="BL315" s="1474"/>
    </row>
    <row r="316" spans="1:64">
      <c r="AZ316" s="1698"/>
      <c r="BA316" s="1474"/>
      <c r="BB316" s="1474"/>
      <c r="BC316" s="1474"/>
      <c r="BD316" s="1474"/>
      <c r="BE316" s="1474"/>
      <c r="BF316" s="1474"/>
      <c r="BG316" s="1474"/>
      <c r="BH316" s="1474"/>
      <c r="BI316" s="1474"/>
      <c r="BJ316" s="1474"/>
      <c r="BK316" s="1474"/>
      <c r="BL316" s="1474"/>
    </row>
    <row r="317" spans="1:64">
      <c r="AZ317" s="1698"/>
      <c r="BA317" s="1474"/>
      <c r="BB317" s="1474"/>
      <c r="BC317" s="1474"/>
      <c r="BD317" s="1474"/>
      <c r="BE317" s="1474"/>
      <c r="BF317" s="1474"/>
      <c r="BG317" s="1474"/>
      <c r="BH317" s="1474"/>
      <c r="BI317" s="1474"/>
      <c r="BJ317" s="1474"/>
      <c r="BK317" s="1474"/>
      <c r="BL317" s="1474"/>
    </row>
    <row r="318" spans="1:64">
      <c r="AZ318" s="1698"/>
      <c r="BA318" s="1474"/>
      <c r="BB318" s="1474"/>
      <c r="BC318" s="1474"/>
      <c r="BD318" s="1474"/>
      <c r="BE318" s="1474"/>
      <c r="BF318" s="1474"/>
      <c r="BG318" s="1474"/>
      <c r="BH318" s="1474"/>
      <c r="BI318" s="1474"/>
      <c r="BJ318" s="1474"/>
      <c r="BK318" s="1474"/>
      <c r="BL318" s="1474"/>
    </row>
    <row r="319" spans="1:64">
      <c r="AZ319" s="1698"/>
      <c r="BA319" s="1474"/>
      <c r="BB319" s="1474"/>
      <c r="BC319" s="1474"/>
      <c r="BD319" s="1474"/>
      <c r="BE319" s="1474"/>
      <c r="BF319" s="1474"/>
      <c r="BG319" s="1474"/>
      <c r="BH319" s="1474"/>
      <c r="BI319" s="1474"/>
      <c r="BJ319" s="1474"/>
      <c r="BK319" s="1474"/>
      <c r="BL319" s="1474"/>
    </row>
    <row r="320" spans="1:64">
      <c r="AZ320" s="1698"/>
      <c r="BA320" s="1474"/>
      <c r="BB320" s="1474"/>
      <c r="BC320" s="1474"/>
      <c r="BD320" s="1474"/>
      <c r="BE320" s="1474"/>
      <c r="BF320" s="1474"/>
      <c r="BG320" s="1474"/>
      <c r="BH320" s="1474"/>
      <c r="BI320" s="1474"/>
      <c r="BJ320" s="1474"/>
      <c r="BK320" s="1474"/>
      <c r="BL320" s="1474"/>
    </row>
    <row r="321" spans="52:64">
      <c r="AZ321" s="1698"/>
      <c r="BA321" s="1474"/>
      <c r="BB321" s="1474"/>
      <c r="BC321" s="1474"/>
      <c r="BD321" s="1474"/>
      <c r="BE321" s="1474"/>
      <c r="BF321" s="1474"/>
      <c r="BG321" s="1474"/>
      <c r="BH321" s="1474"/>
      <c r="BI321" s="1474"/>
      <c r="BJ321" s="1474"/>
      <c r="BK321" s="1474"/>
      <c r="BL321" s="1474"/>
    </row>
    <row r="322" spans="52:64">
      <c r="AZ322" s="1698"/>
      <c r="BA322" s="1474"/>
      <c r="BB322" s="1474"/>
      <c r="BC322" s="1474"/>
      <c r="BD322" s="1474"/>
      <c r="BE322" s="1474"/>
      <c r="BF322" s="1474"/>
      <c r="BG322" s="1474"/>
      <c r="BH322" s="1474"/>
      <c r="BI322" s="1474"/>
      <c r="BJ322" s="1474"/>
      <c r="BK322" s="1474"/>
      <c r="BL322" s="1474"/>
    </row>
    <row r="323" spans="52:64">
      <c r="AZ323" s="1698"/>
      <c r="BA323" s="1474"/>
      <c r="BB323" s="1474"/>
      <c r="BC323" s="1474"/>
      <c r="BD323" s="1474"/>
      <c r="BE323" s="1474"/>
      <c r="BF323" s="1474"/>
      <c r="BG323" s="1474"/>
      <c r="BH323" s="1474"/>
      <c r="BI323" s="1474"/>
      <c r="BJ323" s="1474"/>
      <c r="BK323" s="1474"/>
      <c r="BL323" s="1474"/>
    </row>
    <row r="324" spans="52:64">
      <c r="AZ324" s="1698"/>
      <c r="BA324" s="1474"/>
      <c r="BB324" s="1474"/>
      <c r="BC324" s="1474"/>
      <c r="BD324" s="1474"/>
      <c r="BE324" s="1474"/>
      <c r="BF324" s="1474"/>
      <c r="BG324" s="1474"/>
      <c r="BH324" s="1474"/>
      <c r="BI324" s="1474"/>
      <c r="BJ324" s="1474"/>
      <c r="BK324" s="1474"/>
      <c r="BL324" s="1474"/>
    </row>
    <row r="325" spans="52:64">
      <c r="AZ325" s="1698"/>
      <c r="BA325" s="1474"/>
      <c r="BB325" s="1474"/>
      <c r="BC325" s="1474"/>
      <c r="BD325" s="1474"/>
      <c r="BE325" s="1474"/>
      <c r="BF325" s="1474"/>
      <c r="BG325" s="1474"/>
      <c r="BH325" s="1474"/>
      <c r="BI325" s="1474"/>
      <c r="BJ325" s="1474"/>
      <c r="BK325" s="1474"/>
      <c r="BL325" s="1474"/>
    </row>
    <row r="326" spans="52:64">
      <c r="AZ326" s="1698"/>
      <c r="BA326" s="1474"/>
      <c r="BB326" s="1474"/>
      <c r="BC326" s="1474"/>
      <c r="BD326" s="1474"/>
      <c r="BE326" s="1474"/>
      <c r="BF326" s="1474"/>
      <c r="BG326" s="1474"/>
      <c r="BH326" s="1474"/>
      <c r="BI326" s="1474"/>
      <c r="BJ326" s="1474"/>
      <c r="BK326" s="1474"/>
      <c r="BL326" s="1474"/>
    </row>
    <row r="327" spans="52:64">
      <c r="AZ327" s="1698"/>
      <c r="BA327" s="1474"/>
      <c r="BB327" s="1474"/>
      <c r="BC327" s="1474"/>
      <c r="BD327" s="1474"/>
      <c r="BE327" s="1474"/>
      <c r="BF327" s="1474"/>
      <c r="BG327" s="1474"/>
      <c r="BH327" s="1474"/>
      <c r="BI327" s="1474"/>
      <c r="BJ327" s="1474"/>
      <c r="BK327" s="1474"/>
      <c r="BL327" s="1474"/>
    </row>
    <row r="328" spans="52:64">
      <c r="AZ328" s="1698"/>
      <c r="BA328" s="1474"/>
      <c r="BB328" s="1474"/>
      <c r="BC328" s="1474"/>
      <c r="BD328" s="1474"/>
      <c r="BE328" s="1474"/>
      <c r="BF328" s="1474"/>
      <c r="BG328" s="1474"/>
      <c r="BH328" s="1474"/>
      <c r="BI328" s="1474"/>
      <c r="BJ328" s="1474"/>
      <c r="BK328" s="1474"/>
      <c r="BL328" s="1474"/>
    </row>
    <row r="329" spans="52:64">
      <c r="AZ329" s="1698"/>
      <c r="BA329" s="1474"/>
      <c r="BB329" s="1474"/>
      <c r="BC329" s="1474"/>
      <c r="BD329" s="1474"/>
      <c r="BE329" s="1474"/>
      <c r="BF329" s="1474"/>
      <c r="BG329" s="1474"/>
      <c r="BH329" s="1474"/>
      <c r="BI329" s="1474"/>
      <c r="BJ329" s="1474"/>
      <c r="BK329" s="1474"/>
      <c r="BL329" s="1474"/>
    </row>
    <row r="330" spans="52:64">
      <c r="AZ330" s="1698"/>
      <c r="BA330" s="1474"/>
      <c r="BB330" s="1474"/>
      <c r="BC330" s="1474"/>
      <c r="BD330" s="1474"/>
      <c r="BE330" s="1474"/>
      <c r="BF330" s="1474"/>
      <c r="BG330" s="1474"/>
      <c r="BH330" s="1474"/>
      <c r="BI330" s="1474"/>
      <c r="BJ330" s="1474"/>
      <c r="BK330" s="1474"/>
      <c r="BL330" s="1474"/>
    </row>
    <row r="331" spans="52:64">
      <c r="AZ331" s="1698"/>
      <c r="BA331" s="1474"/>
      <c r="BB331" s="1474"/>
      <c r="BC331" s="1474"/>
      <c r="BD331" s="1474"/>
      <c r="BE331" s="1474"/>
      <c r="BF331" s="1474"/>
      <c r="BG331" s="1474"/>
      <c r="BH331" s="1474"/>
      <c r="BI331" s="1474"/>
      <c r="BJ331" s="1474"/>
      <c r="BK331" s="1474"/>
      <c r="BL331" s="1474"/>
    </row>
    <row r="332" spans="52:64">
      <c r="AZ332" s="1698"/>
      <c r="BA332" s="1474"/>
      <c r="BB332" s="1474"/>
      <c r="BC332" s="1474"/>
      <c r="BD332" s="1474"/>
      <c r="BE332" s="1474"/>
      <c r="BF332" s="1474"/>
      <c r="BG332" s="1474"/>
      <c r="BH332" s="1474"/>
      <c r="BI332" s="1474"/>
      <c r="BJ332" s="1474"/>
      <c r="BK332" s="1474"/>
      <c r="BL332" s="1474"/>
    </row>
    <row r="333" spans="52:64">
      <c r="AZ333" s="1698"/>
      <c r="BA333" s="1474"/>
      <c r="BB333" s="1474"/>
      <c r="BC333" s="1474"/>
      <c r="BD333" s="1474"/>
      <c r="BE333" s="1474"/>
      <c r="BF333" s="1474"/>
      <c r="BG333" s="1474"/>
      <c r="BH333" s="1474"/>
      <c r="BI333" s="1474"/>
      <c r="BJ333" s="1474"/>
      <c r="BK333" s="1474"/>
      <c r="BL333" s="1474"/>
    </row>
    <row r="334" spans="52:64">
      <c r="AZ334" s="1698"/>
      <c r="BA334" s="1474"/>
      <c r="BB334" s="1474"/>
      <c r="BC334" s="1474"/>
      <c r="BD334" s="1474"/>
      <c r="BE334" s="1474"/>
      <c r="BF334" s="1474"/>
      <c r="BG334" s="1474"/>
      <c r="BH334" s="1474"/>
      <c r="BI334" s="1474"/>
      <c r="BJ334" s="1474"/>
      <c r="BK334" s="1474"/>
      <c r="BL334" s="1474"/>
    </row>
    <row r="335" spans="52:64">
      <c r="AZ335" s="1698"/>
      <c r="BA335" s="1474"/>
      <c r="BB335" s="1474"/>
      <c r="BC335" s="1474"/>
      <c r="BD335" s="1474"/>
      <c r="BE335" s="1474"/>
      <c r="BF335" s="1474"/>
      <c r="BG335" s="1474"/>
      <c r="BH335" s="1474"/>
      <c r="BI335" s="1474"/>
      <c r="BJ335" s="1474"/>
      <c r="BK335" s="1474"/>
      <c r="BL335" s="1474"/>
    </row>
    <row r="336" spans="52:64">
      <c r="AZ336" s="1698"/>
      <c r="BA336" s="1474"/>
      <c r="BB336" s="1474"/>
      <c r="BC336" s="1474"/>
      <c r="BD336" s="1474"/>
      <c r="BE336" s="1474"/>
      <c r="BF336" s="1474"/>
      <c r="BG336" s="1474"/>
      <c r="BH336" s="1474"/>
      <c r="BI336" s="1474"/>
      <c r="BJ336" s="1474"/>
      <c r="BK336" s="1474"/>
      <c r="BL336" s="1474"/>
    </row>
    <row r="337" spans="52:64">
      <c r="AZ337" s="1698"/>
      <c r="BA337" s="1474"/>
      <c r="BB337" s="1474"/>
      <c r="BC337" s="1474"/>
      <c r="BD337" s="1474"/>
      <c r="BE337" s="1474"/>
      <c r="BF337" s="1474"/>
      <c r="BG337" s="1474"/>
      <c r="BH337" s="1474"/>
      <c r="BI337" s="1474"/>
      <c r="BJ337" s="1474"/>
      <c r="BK337" s="1474"/>
      <c r="BL337" s="1474"/>
    </row>
    <row r="338" spans="52:64">
      <c r="AZ338" s="1698"/>
      <c r="BA338" s="1474"/>
      <c r="BB338" s="1474"/>
      <c r="BC338" s="1474"/>
      <c r="BD338" s="1474"/>
      <c r="BE338" s="1474"/>
      <c r="BF338" s="1474"/>
      <c r="BG338" s="1474"/>
      <c r="BH338" s="1474"/>
      <c r="BI338" s="1474"/>
      <c r="BJ338" s="1474"/>
      <c r="BK338" s="1474"/>
      <c r="BL338" s="1474"/>
    </row>
    <row r="339" spans="52:64">
      <c r="AZ339" s="1698"/>
      <c r="BA339" s="1474"/>
      <c r="BB339" s="1474"/>
      <c r="BC339" s="1474"/>
      <c r="BD339" s="1474"/>
      <c r="BE339" s="1474"/>
      <c r="BF339" s="1474"/>
      <c r="BG339" s="1474"/>
      <c r="BH339" s="1474"/>
      <c r="BI339" s="1474"/>
      <c r="BJ339" s="1474"/>
      <c r="BK339" s="1474"/>
      <c r="BL339" s="1474"/>
    </row>
    <row r="340" spans="52:64">
      <c r="AZ340" s="1698"/>
      <c r="BA340" s="1474"/>
      <c r="BB340" s="1474"/>
      <c r="BC340" s="1474"/>
      <c r="BD340" s="1474"/>
      <c r="BE340" s="1474"/>
      <c r="BF340" s="1474"/>
      <c r="BG340" s="1474"/>
      <c r="BH340" s="1474"/>
      <c r="BI340" s="1474"/>
      <c r="BJ340" s="1474"/>
      <c r="BK340" s="1474"/>
      <c r="BL340" s="1474"/>
    </row>
    <row r="341" spans="52:64">
      <c r="AZ341" s="1698"/>
      <c r="BA341" s="1474"/>
      <c r="BB341" s="1474"/>
      <c r="BC341" s="1474"/>
      <c r="BD341" s="1474"/>
      <c r="BE341" s="1474"/>
      <c r="BF341" s="1474"/>
      <c r="BG341" s="1474"/>
      <c r="BH341" s="1474"/>
      <c r="BI341" s="1474"/>
      <c r="BJ341" s="1474"/>
      <c r="BK341" s="1474"/>
      <c r="BL341" s="1474"/>
    </row>
    <row r="342" spans="52:64">
      <c r="AZ342" s="1698"/>
      <c r="BA342" s="1474"/>
      <c r="BB342" s="1474"/>
      <c r="BC342" s="1474"/>
      <c r="BD342" s="1474"/>
      <c r="BE342" s="1474"/>
      <c r="BF342" s="1474"/>
      <c r="BG342" s="1474"/>
      <c r="BH342" s="1474"/>
      <c r="BI342" s="1474"/>
      <c r="BJ342" s="1474"/>
      <c r="BK342" s="1474"/>
      <c r="BL342" s="1474"/>
    </row>
    <row r="343" spans="52:64">
      <c r="AZ343" s="1698"/>
      <c r="BA343" s="1474"/>
      <c r="BB343" s="1474"/>
      <c r="BC343" s="1474"/>
      <c r="BD343" s="1474"/>
      <c r="BE343" s="1474"/>
      <c r="BF343" s="1474"/>
      <c r="BG343" s="1474"/>
      <c r="BH343" s="1474"/>
      <c r="BI343" s="1474"/>
      <c r="BJ343" s="1474"/>
      <c r="BK343" s="1474"/>
      <c r="BL343" s="1474"/>
    </row>
    <row r="344" spans="52:64">
      <c r="AZ344" s="1698"/>
      <c r="BA344" s="1474"/>
      <c r="BB344" s="1474"/>
      <c r="BC344" s="1474"/>
      <c r="BD344" s="1474"/>
      <c r="BE344" s="1474"/>
      <c r="BF344" s="1474"/>
      <c r="BG344" s="1474"/>
      <c r="BH344" s="1474"/>
      <c r="BI344" s="1474"/>
      <c r="BJ344" s="1474"/>
      <c r="BK344" s="1474"/>
      <c r="BL344" s="1474"/>
    </row>
    <row r="345" spans="52:64">
      <c r="AZ345" s="1698"/>
      <c r="BA345" s="1474"/>
      <c r="BB345" s="1474"/>
      <c r="BC345" s="1474"/>
      <c r="BD345" s="1474"/>
      <c r="BE345" s="1474"/>
      <c r="BF345" s="1474"/>
      <c r="BG345" s="1474"/>
      <c r="BH345" s="1474"/>
      <c r="BI345" s="1474"/>
      <c r="BJ345" s="1474"/>
      <c r="BK345" s="1474"/>
      <c r="BL345" s="1474"/>
    </row>
    <row r="346" spans="52:64">
      <c r="AZ346" s="1698"/>
      <c r="BA346" s="1474"/>
      <c r="BB346" s="1474"/>
      <c r="BC346" s="1474"/>
      <c r="BD346" s="1474"/>
      <c r="BE346" s="1474"/>
      <c r="BF346" s="1474"/>
      <c r="BG346" s="1474"/>
      <c r="BH346" s="1474"/>
      <c r="BI346" s="1474"/>
      <c r="BJ346" s="1474"/>
      <c r="BK346" s="1474"/>
      <c r="BL346" s="1474"/>
    </row>
    <row r="347" spans="52:64">
      <c r="AZ347" s="1698"/>
      <c r="BA347" s="1474"/>
      <c r="BB347" s="1474"/>
      <c r="BC347" s="1474"/>
      <c r="BD347" s="1474"/>
      <c r="BE347" s="1474"/>
      <c r="BF347" s="1474"/>
      <c r="BG347" s="1474"/>
      <c r="BH347" s="1474"/>
      <c r="BI347" s="1474"/>
      <c r="BJ347" s="1474"/>
      <c r="BK347" s="1474"/>
      <c r="BL347" s="1474"/>
    </row>
    <row r="348" spans="52:64">
      <c r="AZ348" s="1698"/>
      <c r="BA348" s="1474"/>
      <c r="BB348" s="1474"/>
      <c r="BC348" s="1474"/>
      <c r="BD348" s="1474"/>
      <c r="BE348" s="1474"/>
      <c r="BF348" s="1474"/>
      <c r="BG348" s="1474"/>
      <c r="BH348" s="1474"/>
      <c r="BI348" s="1474"/>
      <c r="BJ348" s="1474"/>
      <c r="BK348" s="1474"/>
      <c r="BL348" s="1474"/>
    </row>
    <row r="349" spans="52:64">
      <c r="AZ349" s="1698"/>
      <c r="BA349" s="1474"/>
      <c r="BB349" s="1474"/>
      <c r="BC349" s="1474"/>
      <c r="BD349" s="1474"/>
      <c r="BE349" s="1474"/>
      <c r="BF349" s="1474"/>
      <c r="BG349" s="1474"/>
      <c r="BH349" s="1474"/>
      <c r="BI349" s="1474"/>
      <c r="BJ349" s="1474"/>
      <c r="BK349" s="1474"/>
      <c r="BL349" s="1474"/>
    </row>
    <row r="350" spans="52:64">
      <c r="AZ350" s="1698"/>
      <c r="BA350" s="1474"/>
      <c r="BB350" s="1474"/>
      <c r="BC350" s="1474"/>
      <c r="BD350" s="1474"/>
      <c r="BE350" s="1474"/>
      <c r="BF350" s="1474"/>
      <c r="BG350" s="1474"/>
      <c r="BH350" s="1474"/>
      <c r="BI350" s="1474"/>
      <c r="BJ350" s="1474"/>
      <c r="BK350" s="1474"/>
      <c r="BL350" s="1474"/>
    </row>
    <row r="351" spans="52:64">
      <c r="AZ351" s="1698"/>
      <c r="BA351" s="1474"/>
      <c r="BB351" s="1474"/>
      <c r="BC351" s="1474"/>
      <c r="BD351" s="1474"/>
      <c r="BE351" s="1474"/>
      <c r="BF351" s="1474"/>
      <c r="BG351" s="1474"/>
      <c r="BH351" s="1474"/>
      <c r="BI351" s="1474"/>
      <c r="BJ351" s="1474"/>
      <c r="BK351" s="1474"/>
      <c r="BL351" s="1474"/>
    </row>
    <row r="352" spans="52:64">
      <c r="AZ352" s="1698"/>
      <c r="BA352" s="1474"/>
      <c r="BB352" s="1474"/>
      <c r="BC352" s="1474"/>
      <c r="BD352" s="1474"/>
      <c r="BE352" s="1474"/>
      <c r="BF352" s="1474"/>
      <c r="BG352" s="1474"/>
      <c r="BH352" s="1474"/>
      <c r="BI352" s="1474"/>
      <c r="BJ352" s="1474"/>
      <c r="BK352" s="1474"/>
      <c r="BL352" s="1474"/>
    </row>
    <row r="353" spans="52:64">
      <c r="AZ353" s="1698"/>
      <c r="BA353" s="1474"/>
      <c r="BB353" s="1474"/>
      <c r="BC353" s="1474"/>
      <c r="BD353" s="1474"/>
      <c r="BE353" s="1474"/>
      <c r="BF353" s="1474"/>
      <c r="BG353" s="1474"/>
      <c r="BH353" s="1474"/>
      <c r="BI353" s="1474"/>
      <c r="BJ353" s="1474"/>
      <c r="BK353" s="1474"/>
      <c r="BL353" s="1474"/>
    </row>
    <row r="354" spans="52:64">
      <c r="AZ354" s="1698"/>
      <c r="BA354" s="1474"/>
      <c r="BB354" s="1474"/>
      <c r="BC354" s="1474"/>
      <c r="BD354" s="1474"/>
      <c r="BE354" s="1474"/>
      <c r="BF354" s="1474"/>
      <c r="BG354" s="1474"/>
      <c r="BH354" s="1474"/>
      <c r="BI354" s="1474"/>
      <c r="BJ354" s="1474"/>
      <c r="BK354" s="1474"/>
      <c r="BL354" s="1474"/>
    </row>
    <row r="355" spans="52:64">
      <c r="AZ355" s="1698"/>
      <c r="BA355" s="1474"/>
      <c r="BB355" s="1474"/>
      <c r="BC355" s="1474"/>
      <c r="BD355" s="1474"/>
      <c r="BE355" s="1474"/>
      <c r="BF355" s="1474"/>
      <c r="BG355" s="1474"/>
      <c r="BH355" s="1474"/>
      <c r="BI355" s="1474"/>
      <c r="BJ355" s="1474"/>
      <c r="BK355" s="1474"/>
      <c r="BL355" s="1474"/>
    </row>
    <row r="356" spans="52:64">
      <c r="AZ356" s="1698"/>
      <c r="BA356" s="1474"/>
      <c r="BB356" s="1474"/>
      <c r="BC356" s="1474"/>
      <c r="BD356" s="1474"/>
      <c r="BE356" s="1474"/>
      <c r="BF356" s="1474"/>
      <c r="BG356" s="1474"/>
      <c r="BH356" s="1474"/>
      <c r="BI356" s="1474"/>
      <c r="BJ356" s="1474"/>
      <c r="BK356" s="1474"/>
      <c r="BL356" s="1474"/>
    </row>
    <row r="357" spans="52:64">
      <c r="AZ357" s="1698"/>
      <c r="BA357" s="1474"/>
      <c r="BB357" s="1474"/>
      <c r="BC357" s="1474"/>
      <c r="BD357" s="1474"/>
      <c r="BE357" s="1474"/>
      <c r="BF357" s="1474"/>
      <c r="BG357" s="1474"/>
      <c r="BH357" s="1474"/>
      <c r="BI357" s="1474"/>
      <c r="BJ357" s="1474"/>
      <c r="BK357" s="1474"/>
      <c r="BL357" s="1474"/>
    </row>
    <row r="358" spans="52:64">
      <c r="AZ358" s="1698"/>
      <c r="BA358" s="1474"/>
      <c r="BB358" s="1474"/>
      <c r="BC358" s="1474"/>
      <c r="BD358" s="1474"/>
      <c r="BE358" s="1474"/>
      <c r="BF358" s="1474"/>
      <c r="BG358" s="1474"/>
      <c r="BH358" s="1474"/>
      <c r="BI358" s="1474"/>
      <c r="BJ358" s="1474"/>
      <c r="BK358" s="1474"/>
      <c r="BL358" s="1474"/>
    </row>
    <row r="359" spans="52:64">
      <c r="AZ359" s="1698"/>
      <c r="BA359" s="1474"/>
      <c r="BB359" s="1474"/>
      <c r="BC359" s="1474"/>
      <c r="BD359" s="1474"/>
      <c r="BE359" s="1474"/>
      <c r="BF359" s="1474"/>
      <c r="BG359" s="1474"/>
      <c r="BH359" s="1474"/>
      <c r="BI359" s="1474"/>
      <c r="BJ359" s="1474"/>
      <c r="BK359" s="1474"/>
      <c r="BL359" s="1474"/>
    </row>
    <row r="360" spans="52:64">
      <c r="AZ360" s="1698"/>
      <c r="BA360" s="1474"/>
      <c r="BB360" s="1474"/>
      <c r="BC360" s="1474"/>
      <c r="BD360" s="1474"/>
      <c r="BE360" s="1474"/>
      <c r="BF360" s="1474"/>
      <c r="BG360" s="1474"/>
      <c r="BH360" s="1474"/>
      <c r="BI360" s="1474"/>
      <c r="BJ360" s="1474"/>
      <c r="BK360" s="1474"/>
      <c r="BL360" s="1474"/>
    </row>
    <row r="361" spans="52:64">
      <c r="AZ361" s="1698"/>
      <c r="BA361" s="1474"/>
      <c r="BB361" s="1474"/>
      <c r="BC361" s="1474"/>
      <c r="BD361" s="1474"/>
      <c r="BE361" s="1474"/>
      <c r="BF361" s="1474"/>
      <c r="BG361" s="1474"/>
      <c r="BH361" s="1474"/>
      <c r="BI361" s="1474"/>
      <c r="BJ361" s="1474"/>
      <c r="BK361" s="1474"/>
      <c r="BL361" s="1474"/>
    </row>
    <row r="362" spans="52:64">
      <c r="AZ362" s="1698"/>
      <c r="BA362" s="1474"/>
      <c r="BB362" s="1474"/>
      <c r="BC362" s="1474"/>
      <c r="BD362" s="1474"/>
      <c r="BE362" s="1474"/>
      <c r="BF362" s="1474"/>
      <c r="BG362" s="1474"/>
      <c r="BH362" s="1474"/>
      <c r="BI362" s="1474"/>
      <c r="BJ362" s="1474"/>
      <c r="BK362" s="1474"/>
      <c r="BL362" s="1474"/>
    </row>
    <row r="363" spans="52:64">
      <c r="AZ363" s="1698"/>
      <c r="BA363" s="1474"/>
      <c r="BB363" s="1474"/>
      <c r="BC363" s="1474"/>
      <c r="BD363" s="1474"/>
      <c r="BE363" s="1474"/>
      <c r="BF363" s="1474"/>
      <c r="BG363" s="1474"/>
      <c r="BH363" s="1474"/>
      <c r="BI363" s="1474"/>
      <c r="BJ363" s="1474"/>
      <c r="BK363" s="1474"/>
      <c r="BL363" s="1474"/>
    </row>
    <row r="364" spans="52:64">
      <c r="AZ364" s="1698"/>
      <c r="BA364" s="1474"/>
      <c r="BB364" s="1474"/>
      <c r="BC364" s="1474"/>
      <c r="BD364" s="1474"/>
      <c r="BE364" s="1474"/>
      <c r="BF364" s="1474"/>
      <c r="BG364" s="1474"/>
      <c r="BH364" s="1474"/>
      <c r="BI364" s="1474"/>
      <c r="BJ364" s="1474"/>
      <c r="BK364" s="1474"/>
      <c r="BL364" s="1474"/>
    </row>
    <row r="365" spans="52:64">
      <c r="AZ365" s="1698"/>
      <c r="BA365" s="1474"/>
      <c r="BB365" s="1474"/>
      <c r="BC365" s="1474"/>
      <c r="BD365" s="1474"/>
      <c r="BE365" s="1474"/>
      <c r="BF365" s="1474"/>
      <c r="BG365" s="1474"/>
      <c r="BH365" s="1474"/>
      <c r="BI365" s="1474"/>
      <c r="BJ365" s="1474"/>
      <c r="BK365" s="1474"/>
      <c r="BL365" s="1474"/>
    </row>
    <row r="366" spans="52:64">
      <c r="AZ366" s="1698"/>
      <c r="BA366" s="1474"/>
      <c r="BB366" s="1474"/>
      <c r="BC366" s="1474"/>
      <c r="BD366" s="1474"/>
      <c r="BE366" s="1474"/>
      <c r="BF366" s="1474"/>
      <c r="BG366" s="1474"/>
      <c r="BH366" s="1474"/>
      <c r="BI366" s="1474"/>
      <c r="BJ366" s="1474"/>
      <c r="BK366" s="1474"/>
      <c r="BL366" s="1474"/>
    </row>
    <row r="367" spans="52:64">
      <c r="AZ367" s="1698"/>
      <c r="BA367" s="1474"/>
      <c r="BB367" s="1474"/>
      <c r="BC367" s="1474"/>
      <c r="BD367" s="1474"/>
      <c r="BE367" s="1474"/>
      <c r="BF367" s="1474"/>
      <c r="BG367" s="1474"/>
      <c r="BH367" s="1474"/>
      <c r="BI367" s="1474"/>
      <c r="BJ367" s="1474"/>
      <c r="BK367" s="1474"/>
      <c r="BL367" s="1474"/>
    </row>
    <row r="368" spans="52:64">
      <c r="AZ368" s="1698"/>
      <c r="BA368" s="1474"/>
      <c r="BB368" s="1474"/>
      <c r="BC368" s="1474"/>
      <c r="BD368" s="1474"/>
      <c r="BE368" s="1474"/>
      <c r="BF368" s="1474"/>
      <c r="BG368" s="1474"/>
      <c r="BH368" s="1474"/>
      <c r="BI368" s="1474"/>
      <c r="BJ368" s="1474"/>
      <c r="BK368" s="1474"/>
      <c r="BL368" s="1474"/>
    </row>
    <row r="369" spans="52:64">
      <c r="AZ369" s="1698"/>
      <c r="BA369" s="1474"/>
      <c r="BB369" s="1474"/>
      <c r="BC369" s="1474"/>
      <c r="BD369" s="1474"/>
      <c r="BE369" s="1474"/>
      <c r="BF369" s="1474"/>
      <c r="BG369" s="1474"/>
      <c r="BH369" s="1474"/>
      <c r="BI369" s="1474"/>
      <c r="BJ369" s="1474"/>
      <c r="BK369" s="1474"/>
      <c r="BL369" s="1474"/>
    </row>
    <row r="370" spans="52:64">
      <c r="AZ370" s="1698"/>
      <c r="BA370" s="1474"/>
      <c r="BB370" s="1474"/>
      <c r="BC370" s="1474"/>
      <c r="BD370" s="1474"/>
      <c r="BE370" s="1474"/>
      <c r="BF370" s="1474"/>
      <c r="BG370" s="1474"/>
      <c r="BH370" s="1474"/>
      <c r="BI370" s="1474"/>
      <c r="BJ370" s="1474"/>
      <c r="BK370" s="1474"/>
      <c r="BL370" s="1474"/>
    </row>
    <row r="371" spans="52:64">
      <c r="AZ371" s="1698"/>
      <c r="BA371" s="1474"/>
      <c r="BB371" s="1474"/>
      <c r="BC371" s="1474"/>
      <c r="BD371" s="1474"/>
      <c r="BE371" s="1474"/>
      <c r="BF371" s="1474"/>
      <c r="BG371" s="1474"/>
      <c r="BH371" s="1474"/>
      <c r="BI371" s="1474"/>
      <c r="BJ371" s="1474"/>
      <c r="BK371" s="1474"/>
      <c r="BL371" s="1474"/>
    </row>
    <row r="372" spans="52:64">
      <c r="AZ372" s="1698"/>
      <c r="BA372" s="1474"/>
      <c r="BB372" s="1474"/>
      <c r="BC372" s="1474"/>
      <c r="BD372" s="1474"/>
      <c r="BE372" s="1474"/>
      <c r="BF372" s="1474"/>
      <c r="BG372" s="1474"/>
      <c r="BH372" s="1474"/>
      <c r="BI372" s="1474"/>
      <c r="BJ372" s="1474"/>
      <c r="BK372" s="1474"/>
      <c r="BL372" s="1474"/>
    </row>
    <row r="373" spans="52:64">
      <c r="AZ373" s="1698"/>
      <c r="BA373" s="1474"/>
      <c r="BB373" s="1474"/>
      <c r="BC373" s="1474"/>
      <c r="BD373" s="1474"/>
      <c r="BE373" s="1474"/>
      <c r="BF373" s="1474"/>
      <c r="BG373" s="1474"/>
      <c r="BH373" s="1474"/>
      <c r="BI373" s="1474"/>
      <c r="BJ373" s="1474"/>
      <c r="BK373" s="1474"/>
      <c r="BL373" s="1474"/>
    </row>
    <row r="374" spans="52:64">
      <c r="AZ374" s="1698"/>
      <c r="BA374" s="1474"/>
      <c r="BB374" s="1474"/>
      <c r="BC374" s="1474"/>
      <c r="BD374" s="1474"/>
      <c r="BE374" s="1474"/>
      <c r="BF374" s="1474"/>
      <c r="BG374" s="1474"/>
      <c r="BH374" s="1474"/>
      <c r="BI374" s="1474"/>
      <c r="BJ374" s="1474"/>
      <c r="BK374" s="1474"/>
      <c r="BL374" s="1474"/>
    </row>
    <row r="375" spans="52:64">
      <c r="AZ375" s="1698"/>
      <c r="BA375" s="1474"/>
      <c r="BB375" s="1474"/>
      <c r="BC375" s="1474"/>
      <c r="BD375" s="1474"/>
      <c r="BE375" s="1474"/>
      <c r="BF375" s="1474"/>
      <c r="BG375" s="1474"/>
      <c r="BH375" s="1474"/>
      <c r="BI375" s="1474"/>
      <c r="BJ375" s="1474"/>
      <c r="BK375" s="1474"/>
      <c r="BL375" s="1474"/>
    </row>
    <row r="376" spans="52:64">
      <c r="AZ376" s="1698"/>
      <c r="BA376" s="1474"/>
      <c r="BB376" s="1474"/>
      <c r="BC376" s="1474"/>
      <c r="BD376" s="1474"/>
      <c r="BE376" s="1474"/>
      <c r="BF376" s="1474"/>
      <c r="BG376" s="1474"/>
      <c r="BH376" s="1474"/>
      <c r="BI376" s="1474"/>
      <c r="BJ376" s="1474"/>
      <c r="BK376" s="1474"/>
      <c r="BL376" s="1474"/>
    </row>
    <row r="377" spans="52:64">
      <c r="AZ377" s="1698"/>
      <c r="BA377" s="1474"/>
      <c r="BB377" s="1474"/>
      <c r="BC377" s="1474"/>
      <c r="BD377" s="1474"/>
      <c r="BE377" s="1474"/>
      <c r="BF377" s="1474"/>
      <c r="BG377" s="1474"/>
      <c r="BH377" s="1474"/>
      <c r="BI377" s="1474"/>
      <c r="BJ377" s="1474"/>
      <c r="BK377" s="1474"/>
      <c r="BL377" s="1474"/>
    </row>
    <row r="378" spans="52:64">
      <c r="AZ378" s="1698"/>
      <c r="BA378" s="1474"/>
      <c r="BB378" s="1474"/>
      <c r="BC378" s="1474"/>
      <c r="BD378" s="1474"/>
      <c r="BE378" s="1474"/>
      <c r="BF378" s="1474"/>
      <c r="BG378" s="1474"/>
      <c r="BH378" s="1474"/>
      <c r="BI378" s="1474"/>
      <c r="BJ378" s="1474"/>
      <c r="BK378" s="1474"/>
      <c r="BL378" s="1474"/>
    </row>
    <row r="379" spans="52:64">
      <c r="AZ379" s="1698"/>
      <c r="BA379" s="1474"/>
      <c r="BB379" s="1474"/>
      <c r="BC379" s="1474"/>
      <c r="BD379" s="1474"/>
      <c r="BE379" s="1474"/>
      <c r="BF379" s="1474"/>
      <c r="BG379" s="1474"/>
      <c r="BH379" s="1474"/>
      <c r="BI379" s="1474"/>
      <c r="BJ379" s="1474"/>
      <c r="BK379" s="1474"/>
      <c r="BL379" s="1474"/>
    </row>
    <row r="380" spans="52:64">
      <c r="AZ380" s="1698"/>
      <c r="BA380" s="1474"/>
      <c r="BB380" s="1474"/>
      <c r="BC380" s="1474"/>
      <c r="BD380" s="1474"/>
      <c r="BE380" s="1474"/>
      <c r="BF380" s="1474"/>
      <c r="BG380" s="1474"/>
      <c r="BH380" s="1474"/>
      <c r="BI380" s="1474"/>
      <c r="BJ380" s="1474"/>
      <c r="BK380" s="1474"/>
      <c r="BL380" s="1474"/>
    </row>
    <row r="381" spans="52:64">
      <c r="AZ381" s="1698"/>
      <c r="BA381" s="1474"/>
      <c r="BB381" s="1474"/>
      <c r="BC381" s="1474"/>
      <c r="BD381" s="1474"/>
      <c r="BE381" s="1474"/>
      <c r="BF381" s="1474"/>
      <c r="BG381" s="1474"/>
      <c r="BH381" s="1474"/>
      <c r="BI381" s="1474"/>
      <c r="BJ381" s="1474"/>
      <c r="BK381" s="1474"/>
      <c r="BL381" s="1474"/>
    </row>
    <row r="382" spans="52:64">
      <c r="AZ382" s="1698"/>
      <c r="BA382" s="1474"/>
      <c r="BB382" s="1474"/>
      <c r="BC382" s="1474"/>
      <c r="BD382" s="1474"/>
      <c r="BE382" s="1474"/>
      <c r="BF382" s="1474"/>
      <c r="BG382" s="1474"/>
      <c r="BH382" s="1474"/>
      <c r="BI382" s="1474"/>
      <c r="BJ382" s="1474"/>
      <c r="BK382" s="1474"/>
      <c r="BL382" s="1474"/>
    </row>
    <row r="383" spans="52:64">
      <c r="AZ383" s="1698"/>
      <c r="BA383" s="1474"/>
      <c r="BB383" s="1474"/>
      <c r="BC383" s="1474"/>
      <c r="BD383" s="1474"/>
      <c r="BE383" s="1474"/>
      <c r="BF383" s="1474"/>
      <c r="BG383" s="1474"/>
      <c r="BH383" s="1474"/>
      <c r="BI383" s="1474"/>
      <c r="BJ383" s="1474"/>
      <c r="BK383" s="1474"/>
      <c r="BL383" s="1474"/>
    </row>
    <row r="384" spans="52:64">
      <c r="AZ384" s="1698"/>
      <c r="BA384" s="1474"/>
      <c r="BB384" s="1474"/>
      <c r="BC384" s="1474"/>
      <c r="BD384" s="1474"/>
      <c r="BE384" s="1474"/>
      <c r="BF384" s="1474"/>
      <c r="BG384" s="1474"/>
      <c r="BH384" s="1474"/>
      <c r="BI384" s="1474"/>
      <c r="BJ384" s="1474"/>
      <c r="BK384" s="1474"/>
      <c r="BL384" s="1474"/>
    </row>
    <row r="385" spans="52:64">
      <c r="AZ385" s="1698"/>
      <c r="BA385" s="1474"/>
      <c r="BB385" s="1474"/>
      <c r="BC385" s="1474"/>
      <c r="BD385" s="1474"/>
      <c r="BE385" s="1474"/>
      <c r="BF385" s="1474"/>
      <c r="BG385" s="1474"/>
      <c r="BH385" s="1474"/>
      <c r="BI385" s="1474"/>
      <c r="BJ385" s="1474"/>
      <c r="BK385" s="1474"/>
      <c r="BL385" s="1474"/>
    </row>
    <row r="386" spans="52:64">
      <c r="AZ386" s="1698"/>
      <c r="BA386" s="1474"/>
      <c r="BB386" s="1474"/>
      <c r="BC386" s="1474"/>
      <c r="BD386" s="1474"/>
      <c r="BE386" s="1474"/>
      <c r="BF386" s="1474"/>
      <c r="BG386" s="1474"/>
      <c r="BH386" s="1474"/>
      <c r="BI386" s="1474"/>
      <c r="BJ386" s="1474"/>
      <c r="BK386" s="1474"/>
      <c r="BL386" s="1474"/>
    </row>
    <row r="387" spans="52:64">
      <c r="AZ387" s="1698"/>
      <c r="BA387" s="1474"/>
      <c r="BB387" s="1474"/>
      <c r="BC387" s="1474"/>
      <c r="BD387" s="1474"/>
      <c r="BE387" s="1474"/>
      <c r="BF387" s="1474"/>
      <c r="BG387" s="1474"/>
      <c r="BH387" s="1474"/>
      <c r="BI387" s="1474"/>
      <c r="BJ387" s="1474"/>
      <c r="BK387" s="1474"/>
      <c r="BL387" s="1474"/>
    </row>
    <row r="388" spans="52:64">
      <c r="AZ388" s="1698"/>
      <c r="BA388" s="1474"/>
      <c r="BB388" s="1474"/>
      <c r="BC388" s="1474"/>
      <c r="BD388" s="1474"/>
      <c r="BE388" s="1474"/>
      <c r="BF388" s="1474"/>
      <c r="BG388" s="1474"/>
      <c r="BH388" s="1474"/>
      <c r="BI388" s="1474"/>
      <c r="BJ388" s="1474"/>
      <c r="BK388" s="1474"/>
      <c r="BL388" s="1474"/>
    </row>
    <row r="389" spans="52:64">
      <c r="AZ389" s="1698"/>
      <c r="BA389" s="1474"/>
      <c r="BB389" s="1474"/>
      <c r="BC389" s="1474"/>
      <c r="BD389" s="1474"/>
      <c r="BE389" s="1474"/>
      <c r="BF389" s="1474"/>
      <c r="BG389" s="1474"/>
      <c r="BH389" s="1474"/>
      <c r="BI389" s="1474"/>
      <c r="BJ389" s="1474"/>
      <c r="BK389" s="1474"/>
      <c r="BL389" s="1474"/>
    </row>
    <row r="390" spans="52:64">
      <c r="AZ390" s="1698"/>
      <c r="BA390" s="1474"/>
      <c r="BB390" s="1474"/>
      <c r="BC390" s="1474"/>
      <c r="BD390" s="1474"/>
      <c r="BE390" s="1474"/>
      <c r="BF390" s="1474"/>
      <c r="BG390" s="1474"/>
      <c r="BH390" s="1474"/>
      <c r="BI390" s="1474"/>
      <c r="BJ390" s="1474"/>
      <c r="BK390" s="1474"/>
      <c r="BL390" s="1474"/>
    </row>
    <row r="391" spans="52:64">
      <c r="AZ391" s="1698"/>
      <c r="BA391" s="1474"/>
      <c r="BB391" s="1474"/>
      <c r="BC391" s="1474"/>
      <c r="BD391" s="1474"/>
      <c r="BE391" s="1474"/>
      <c r="BF391" s="1474"/>
      <c r="BG391" s="1474"/>
      <c r="BH391" s="1474"/>
      <c r="BI391" s="1474"/>
      <c r="BJ391" s="1474"/>
      <c r="BK391" s="1474"/>
      <c r="BL391" s="1474"/>
    </row>
    <row r="392" spans="52:64">
      <c r="AZ392" s="1698"/>
      <c r="BA392" s="1474"/>
      <c r="BB392" s="1474"/>
      <c r="BC392" s="1474"/>
      <c r="BD392" s="1474"/>
      <c r="BE392" s="1474"/>
      <c r="BF392" s="1474"/>
      <c r="BG392" s="1474"/>
      <c r="BH392" s="1474"/>
      <c r="BI392" s="1474"/>
      <c r="BJ392" s="1474"/>
      <c r="BK392" s="1474"/>
      <c r="BL392" s="1474"/>
    </row>
    <row r="393" spans="52:64">
      <c r="AZ393" s="1698"/>
      <c r="BA393" s="1474"/>
      <c r="BB393" s="1474"/>
      <c r="BC393" s="1474"/>
      <c r="BD393" s="1474"/>
      <c r="BE393" s="1474"/>
      <c r="BF393" s="1474"/>
      <c r="BG393" s="1474"/>
      <c r="BH393" s="1474"/>
      <c r="BI393" s="1474"/>
      <c r="BJ393" s="1474"/>
      <c r="BK393" s="1474"/>
      <c r="BL393" s="1474"/>
    </row>
    <row r="394" spans="52:64">
      <c r="AZ394" s="1698"/>
      <c r="BA394" s="1474"/>
      <c r="BB394" s="1474"/>
      <c r="BC394" s="1474"/>
      <c r="BD394" s="1474"/>
      <c r="BE394" s="1474"/>
      <c r="BF394" s="1474"/>
      <c r="BG394" s="1474"/>
      <c r="BH394" s="1474"/>
      <c r="BI394" s="1474"/>
      <c r="BJ394" s="1474"/>
      <c r="BK394" s="1474"/>
      <c r="BL394" s="1474"/>
    </row>
    <row r="395" spans="52:64">
      <c r="AZ395" s="1698"/>
      <c r="BA395" s="1474"/>
      <c r="BB395" s="1474"/>
      <c r="BC395" s="1474"/>
      <c r="BD395" s="1474"/>
      <c r="BE395" s="1474"/>
      <c r="BF395" s="1474"/>
      <c r="BG395" s="1474"/>
      <c r="BH395" s="1474"/>
      <c r="BI395" s="1474"/>
      <c r="BJ395" s="1474"/>
      <c r="BK395" s="1474"/>
      <c r="BL395" s="1474"/>
    </row>
    <row r="396" spans="52:64">
      <c r="AZ396" s="1698"/>
      <c r="BA396" s="1474"/>
      <c r="BB396" s="1474"/>
      <c r="BC396" s="1474"/>
      <c r="BD396" s="1474"/>
      <c r="BE396" s="1474"/>
      <c r="BF396" s="1474"/>
      <c r="BG396" s="1474"/>
      <c r="BH396" s="1474"/>
      <c r="BI396" s="1474"/>
      <c r="BJ396" s="1474"/>
      <c r="BK396" s="1474"/>
      <c r="BL396" s="1474"/>
    </row>
    <row r="397" spans="52:64">
      <c r="AZ397" s="1698"/>
      <c r="BA397" s="1474"/>
      <c r="BB397" s="1474"/>
      <c r="BC397" s="1474"/>
      <c r="BD397" s="1474"/>
      <c r="BE397" s="1474"/>
      <c r="BF397" s="1474"/>
      <c r="BG397" s="1474"/>
      <c r="BH397" s="1474"/>
      <c r="BI397" s="1474"/>
      <c r="BJ397" s="1474"/>
      <c r="BK397" s="1474"/>
      <c r="BL397" s="1474"/>
    </row>
    <row r="398" spans="52:64">
      <c r="AZ398" s="1698"/>
      <c r="BA398" s="1474"/>
      <c r="BB398" s="1474"/>
      <c r="BC398" s="1474"/>
      <c r="BD398" s="1474"/>
      <c r="BE398" s="1474"/>
      <c r="BF398" s="1474"/>
      <c r="BG398" s="1474"/>
      <c r="BH398" s="1474"/>
      <c r="BI398" s="1474"/>
      <c r="BJ398" s="1474"/>
      <c r="BK398" s="1474"/>
      <c r="BL398" s="1474"/>
    </row>
    <row r="399" spans="52:64">
      <c r="AZ399" s="1698"/>
      <c r="BA399" s="1474"/>
      <c r="BB399" s="1474"/>
      <c r="BC399" s="1474"/>
      <c r="BD399" s="1474"/>
      <c r="BE399" s="1474"/>
      <c r="BF399" s="1474"/>
      <c r="BG399" s="1474"/>
      <c r="BH399" s="1474"/>
      <c r="BI399" s="1474"/>
      <c r="BJ399" s="1474"/>
      <c r="BK399" s="1474"/>
      <c r="BL399" s="1474"/>
    </row>
    <row r="400" spans="52:64">
      <c r="AZ400" s="1698"/>
      <c r="BA400" s="1474"/>
      <c r="BB400" s="1474"/>
      <c r="BC400" s="1474"/>
      <c r="BD400" s="1474"/>
      <c r="BE400" s="1474"/>
      <c r="BF400" s="1474"/>
      <c r="BG400" s="1474"/>
      <c r="BH400" s="1474"/>
      <c r="BI400" s="1474"/>
      <c r="BJ400" s="1474"/>
      <c r="BK400" s="1474"/>
      <c r="BL400" s="1474"/>
    </row>
    <row r="401" spans="52:64">
      <c r="AZ401" s="1698"/>
      <c r="BA401" s="1474"/>
      <c r="BB401" s="1474"/>
      <c r="BC401" s="1474"/>
      <c r="BD401" s="1474"/>
      <c r="BE401" s="1474"/>
      <c r="BF401" s="1474"/>
      <c r="BG401" s="1474"/>
      <c r="BH401" s="1474"/>
      <c r="BI401" s="1474"/>
      <c r="BJ401" s="1474"/>
      <c r="BK401" s="1474"/>
      <c r="BL401" s="1474"/>
    </row>
    <row r="402" spans="52:64">
      <c r="AZ402" s="1698"/>
      <c r="BA402" s="1474"/>
      <c r="BB402" s="1474"/>
      <c r="BC402" s="1474"/>
      <c r="BD402" s="1474"/>
      <c r="BE402" s="1474"/>
      <c r="BF402" s="1474"/>
      <c r="BG402" s="1474"/>
      <c r="BH402" s="1474"/>
      <c r="BI402" s="1474"/>
      <c r="BJ402" s="1474"/>
      <c r="BK402" s="1474"/>
      <c r="BL402" s="1474"/>
    </row>
    <row r="403" spans="52:64">
      <c r="AZ403" s="1698"/>
      <c r="BA403" s="1474"/>
      <c r="BB403" s="1474"/>
      <c r="BC403" s="1474"/>
      <c r="BD403" s="1474"/>
      <c r="BE403" s="1474"/>
      <c r="BF403" s="1474"/>
      <c r="BG403" s="1474"/>
      <c r="BH403" s="1474"/>
      <c r="BI403" s="1474"/>
      <c r="BJ403" s="1474"/>
      <c r="BK403" s="1474"/>
      <c r="BL403" s="1474"/>
    </row>
    <row r="404" spans="52:64">
      <c r="AZ404" s="1698"/>
      <c r="BA404" s="1474"/>
      <c r="BB404" s="1474"/>
      <c r="BC404" s="1474"/>
      <c r="BD404" s="1474"/>
      <c r="BE404" s="1474"/>
      <c r="BF404" s="1474"/>
      <c r="BG404" s="1474"/>
      <c r="BH404" s="1474"/>
      <c r="BI404" s="1474"/>
      <c r="BJ404" s="1474"/>
      <c r="BK404" s="1474"/>
      <c r="BL404" s="1474"/>
    </row>
    <row r="405" spans="52:64">
      <c r="AZ405" s="1698"/>
      <c r="BA405" s="1474"/>
      <c r="BB405" s="1474"/>
      <c r="BC405" s="1474"/>
      <c r="BD405" s="1474"/>
      <c r="BE405" s="1474"/>
      <c r="BF405" s="1474"/>
      <c r="BG405" s="1474"/>
      <c r="BH405" s="1474"/>
      <c r="BI405" s="1474"/>
      <c r="BJ405" s="1474"/>
      <c r="BK405" s="1474"/>
      <c r="BL405" s="1474"/>
    </row>
    <row r="406" spans="52:64">
      <c r="AZ406" s="1698"/>
      <c r="BA406" s="1474"/>
      <c r="BB406" s="1474"/>
      <c r="BC406" s="1474"/>
      <c r="BD406" s="1474"/>
      <c r="BE406" s="1474"/>
      <c r="BF406" s="1474"/>
      <c r="BG406" s="1474"/>
      <c r="BH406" s="1474"/>
      <c r="BI406" s="1474"/>
      <c r="BJ406" s="1474"/>
      <c r="BK406" s="1474"/>
      <c r="BL406" s="1474"/>
    </row>
    <row r="407" spans="52:64">
      <c r="AZ407" s="1698"/>
      <c r="BA407" s="1474"/>
      <c r="BB407" s="1474"/>
      <c r="BC407" s="1474"/>
      <c r="BD407" s="1474"/>
      <c r="BE407" s="1474"/>
      <c r="BF407" s="1474"/>
      <c r="BG407" s="1474"/>
      <c r="BH407" s="1474"/>
      <c r="BI407" s="1474"/>
      <c r="BJ407" s="1474"/>
      <c r="BK407" s="1474"/>
      <c r="BL407" s="1474"/>
    </row>
    <row r="408" spans="52:64">
      <c r="AZ408" s="1698"/>
      <c r="BA408" s="1474"/>
      <c r="BB408" s="1474"/>
      <c r="BC408" s="1474"/>
      <c r="BD408" s="1474"/>
      <c r="BE408" s="1474"/>
      <c r="BF408" s="1474"/>
      <c r="BG408" s="1474"/>
      <c r="BH408" s="1474"/>
      <c r="BI408" s="1474"/>
      <c r="BJ408" s="1474"/>
      <c r="BK408" s="1474"/>
      <c r="BL408" s="1474"/>
    </row>
    <row r="409" spans="52:64">
      <c r="AZ409" s="1698"/>
      <c r="BA409" s="1474"/>
      <c r="BB409" s="1474"/>
      <c r="BC409" s="1474"/>
      <c r="BD409" s="1474"/>
      <c r="BE409" s="1474"/>
      <c r="BF409" s="1474"/>
      <c r="BG409" s="1474"/>
      <c r="BH409" s="1474"/>
      <c r="BI409" s="1474"/>
      <c r="BJ409" s="1474"/>
      <c r="BK409" s="1474"/>
      <c r="BL409" s="1474"/>
    </row>
    <row r="410" spans="52:64">
      <c r="AZ410" s="1698"/>
      <c r="BA410" s="1474"/>
      <c r="BB410" s="1474"/>
      <c r="BC410" s="1474"/>
      <c r="BD410" s="1474"/>
      <c r="BE410" s="1474"/>
      <c r="BF410" s="1474"/>
      <c r="BG410" s="1474"/>
      <c r="BH410" s="1474"/>
      <c r="BI410" s="1474"/>
      <c r="BJ410" s="1474"/>
      <c r="BK410" s="1474"/>
      <c r="BL410" s="1474"/>
    </row>
    <row r="411" spans="52:64">
      <c r="AZ411" s="1698"/>
      <c r="BA411" s="1474"/>
      <c r="BB411" s="1474"/>
      <c r="BC411" s="1474"/>
      <c r="BD411" s="1474"/>
      <c r="BE411" s="1474"/>
      <c r="BF411" s="1474"/>
      <c r="BG411" s="1474"/>
      <c r="BH411" s="1474"/>
      <c r="BI411" s="1474"/>
      <c r="BJ411" s="1474"/>
      <c r="BK411" s="1474"/>
      <c r="BL411" s="1474"/>
    </row>
    <row r="412" spans="52:64">
      <c r="AZ412" s="1698"/>
      <c r="BA412" s="1474"/>
      <c r="BB412" s="1474"/>
      <c r="BC412" s="1474"/>
      <c r="BD412" s="1474"/>
      <c r="BE412" s="1474"/>
      <c r="BF412" s="1474"/>
      <c r="BG412" s="1474"/>
      <c r="BH412" s="1474"/>
      <c r="BI412" s="1474"/>
      <c r="BJ412" s="1474"/>
      <c r="BK412" s="1474"/>
      <c r="BL412" s="1474"/>
    </row>
    <row r="413" spans="52:64">
      <c r="AZ413" s="1698"/>
      <c r="BA413" s="1474"/>
      <c r="BB413" s="1474"/>
      <c r="BC413" s="1474"/>
      <c r="BD413" s="1474"/>
      <c r="BE413" s="1474"/>
      <c r="BF413" s="1474"/>
      <c r="BG413" s="1474"/>
      <c r="BH413" s="1474"/>
      <c r="BI413" s="1474"/>
      <c r="BJ413" s="1474"/>
      <c r="BK413" s="1474"/>
      <c r="BL413" s="1474"/>
    </row>
    <row r="414" spans="52:64">
      <c r="AZ414" s="1698"/>
      <c r="BA414" s="1474"/>
      <c r="BB414" s="1474"/>
      <c r="BC414" s="1474"/>
      <c r="BD414" s="1474"/>
      <c r="BE414" s="1474"/>
      <c r="BF414" s="1474"/>
      <c r="BG414" s="1474"/>
      <c r="BH414" s="1474"/>
      <c r="BI414" s="1474"/>
      <c r="BJ414" s="1474"/>
      <c r="BK414" s="1474"/>
      <c r="BL414" s="1474"/>
    </row>
    <row r="415" spans="52:64">
      <c r="AZ415" s="1698"/>
      <c r="BA415" s="1474"/>
      <c r="BB415" s="1474"/>
      <c r="BC415" s="1474"/>
      <c r="BD415" s="1474"/>
      <c r="BE415" s="1474"/>
      <c r="BF415" s="1474"/>
      <c r="BG415" s="1474"/>
      <c r="BH415" s="1474"/>
      <c r="BI415" s="1474"/>
      <c r="BJ415" s="1474"/>
      <c r="BK415" s="1474"/>
      <c r="BL415" s="1474"/>
    </row>
    <row r="416" spans="52:64">
      <c r="AZ416" s="1698"/>
      <c r="BA416" s="1474"/>
      <c r="BB416" s="1474"/>
      <c r="BC416" s="1474"/>
      <c r="BD416" s="1474"/>
      <c r="BE416" s="1474"/>
      <c r="BF416" s="1474"/>
      <c r="BG416" s="1474"/>
      <c r="BH416" s="1474"/>
      <c r="BI416" s="1474"/>
      <c r="BJ416" s="1474"/>
      <c r="BK416" s="1474"/>
      <c r="BL416" s="1474"/>
    </row>
    <row r="417" spans="52:64">
      <c r="AZ417" s="1698"/>
      <c r="BA417" s="1474"/>
      <c r="BB417" s="1474"/>
      <c r="BC417" s="1474"/>
      <c r="BD417" s="1474"/>
      <c r="BE417" s="1474"/>
      <c r="BF417" s="1474"/>
      <c r="BG417" s="1474"/>
      <c r="BH417" s="1474"/>
      <c r="BI417" s="1474"/>
      <c r="BJ417" s="1474"/>
      <c r="BK417" s="1474"/>
      <c r="BL417" s="1474"/>
    </row>
    <row r="418" spans="52:64">
      <c r="AZ418" s="1698"/>
      <c r="BA418" s="1474"/>
      <c r="BB418" s="1474"/>
      <c r="BC418" s="1474"/>
      <c r="BD418" s="1474"/>
      <c r="BE418" s="1474"/>
      <c r="BF418" s="1474"/>
      <c r="BG418" s="1474"/>
      <c r="BH418" s="1474"/>
      <c r="BI418" s="1474"/>
      <c r="BJ418" s="1474"/>
      <c r="BK418" s="1474"/>
      <c r="BL418" s="1474"/>
    </row>
    <row r="419" spans="52:64">
      <c r="AZ419" s="1698"/>
      <c r="BA419" s="1474"/>
      <c r="BB419" s="1474"/>
      <c r="BC419" s="1474"/>
      <c r="BD419" s="1474"/>
      <c r="BE419" s="1474"/>
      <c r="BF419" s="1474"/>
      <c r="BG419" s="1474"/>
      <c r="BH419" s="1474"/>
      <c r="BI419" s="1474"/>
      <c r="BJ419" s="1474"/>
      <c r="BK419" s="1474"/>
      <c r="BL419" s="1474"/>
    </row>
    <row r="420" spans="52:64">
      <c r="AZ420" s="1698"/>
      <c r="BA420" s="1474"/>
      <c r="BB420" s="1474"/>
      <c r="BC420" s="1474"/>
      <c r="BD420" s="1474"/>
      <c r="BE420" s="1474"/>
      <c r="BF420" s="1474"/>
      <c r="BG420" s="1474"/>
      <c r="BH420" s="1474"/>
      <c r="BI420" s="1474"/>
      <c r="BJ420" s="1474"/>
      <c r="BK420" s="1474"/>
      <c r="BL420" s="1474"/>
    </row>
    <row r="421" spans="52:64">
      <c r="AZ421" s="1698"/>
      <c r="BA421" s="1474"/>
      <c r="BB421" s="1474"/>
      <c r="BC421" s="1474"/>
      <c r="BD421" s="1474"/>
      <c r="BE421" s="1474"/>
      <c r="BF421" s="1474"/>
      <c r="BG421" s="1474"/>
      <c r="BH421" s="1474"/>
      <c r="BI421" s="1474"/>
      <c r="BJ421" s="1474"/>
      <c r="BK421" s="1474"/>
      <c r="BL421" s="1474"/>
    </row>
    <row r="422" spans="52:64">
      <c r="AZ422" s="1698"/>
      <c r="BA422" s="1474"/>
      <c r="BB422" s="1474"/>
      <c r="BC422" s="1474"/>
      <c r="BD422" s="1474"/>
      <c r="BE422" s="1474"/>
      <c r="BF422" s="1474"/>
      <c r="BG422" s="1474"/>
      <c r="BH422" s="1474"/>
      <c r="BI422" s="1474"/>
      <c r="BJ422" s="1474"/>
      <c r="BK422" s="1474"/>
      <c r="BL422" s="1474"/>
    </row>
    <row r="423" spans="52:64">
      <c r="AZ423" s="1698"/>
      <c r="BA423" s="1474"/>
      <c r="BB423" s="1474"/>
      <c r="BC423" s="1474"/>
      <c r="BD423" s="1474"/>
      <c r="BE423" s="1474"/>
      <c r="BF423" s="1474"/>
      <c r="BG423" s="1474"/>
      <c r="BH423" s="1474"/>
      <c r="BI423" s="1474"/>
      <c r="BJ423" s="1474"/>
      <c r="BK423" s="1474"/>
      <c r="BL423" s="1474"/>
    </row>
    <row r="424" spans="52:64">
      <c r="AZ424" s="1698"/>
      <c r="BA424" s="1474"/>
      <c r="BB424" s="1474"/>
      <c r="BC424" s="1474"/>
      <c r="BD424" s="1474"/>
      <c r="BE424" s="1474"/>
      <c r="BF424" s="1474"/>
      <c r="BG424" s="1474"/>
      <c r="BH424" s="1474"/>
      <c r="BI424" s="1474"/>
      <c r="BJ424" s="1474"/>
      <c r="BK424" s="1474"/>
      <c r="BL424" s="1474"/>
    </row>
    <row r="425" spans="52:64">
      <c r="AZ425" s="1698"/>
      <c r="BA425" s="1474"/>
      <c r="BB425" s="1474"/>
      <c r="BC425" s="1474"/>
      <c r="BD425" s="1474"/>
      <c r="BE425" s="1474"/>
      <c r="BF425" s="1474"/>
      <c r="BG425" s="1474"/>
      <c r="BH425" s="1474"/>
      <c r="BI425" s="1474"/>
      <c r="BJ425" s="1474"/>
      <c r="BK425" s="1474"/>
      <c r="BL425" s="1474"/>
    </row>
    <row r="426" spans="52:64">
      <c r="AZ426" s="1698"/>
      <c r="BA426" s="1474"/>
      <c r="BB426" s="1474"/>
      <c r="BC426" s="1474"/>
      <c r="BD426" s="1474"/>
      <c r="BE426" s="1474"/>
      <c r="BF426" s="1474"/>
      <c r="BG426" s="1474"/>
      <c r="BH426" s="1474"/>
      <c r="BI426" s="1474"/>
      <c r="BJ426" s="1474"/>
      <c r="BK426" s="1474"/>
      <c r="BL426" s="1474"/>
    </row>
    <row r="427" spans="52:64">
      <c r="AZ427" s="1698"/>
      <c r="BA427" s="1474"/>
      <c r="BB427" s="1474"/>
      <c r="BC427" s="1474"/>
      <c r="BD427" s="1474"/>
      <c r="BE427" s="1474"/>
      <c r="BF427" s="1474"/>
      <c r="BG427" s="1474"/>
      <c r="BH427" s="1474"/>
      <c r="BI427" s="1474"/>
      <c r="BJ427" s="1474"/>
      <c r="BK427" s="1474"/>
      <c r="BL427" s="1474"/>
    </row>
    <row r="428" spans="52:64">
      <c r="AZ428" s="1698"/>
      <c r="BA428" s="1474"/>
      <c r="BB428" s="1474"/>
      <c r="BC428" s="1474"/>
      <c r="BD428" s="1474"/>
      <c r="BE428" s="1474"/>
      <c r="BF428" s="1474"/>
      <c r="BG428" s="1474"/>
      <c r="BH428" s="1474"/>
      <c r="BI428" s="1474"/>
      <c r="BJ428" s="1474"/>
      <c r="BK428" s="1474"/>
      <c r="BL428" s="1474"/>
    </row>
    <row r="429" spans="52:64">
      <c r="AZ429" s="1698"/>
      <c r="BA429" s="1474"/>
      <c r="BB429" s="1474"/>
      <c r="BC429" s="1474"/>
      <c r="BD429" s="1474"/>
      <c r="BE429" s="1474"/>
      <c r="BF429" s="1474"/>
      <c r="BG429" s="1474"/>
      <c r="BH429" s="1474"/>
      <c r="BI429" s="1474"/>
      <c r="BJ429" s="1474"/>
      <c r="BK429" s="1474"/>
      <c r="BL429" s="1474"/>
    </row>
    <row r="430" spans="52:64">
      <c r="AZ430" s="1698"/>
      <c r="BA430" s="1474"/>
      <c r="BB430" s="1474"/>
      <c r="BC430" s="1474"/>
      <c r="BD430" s="1474"/>
      <c r="BE430" s="1474"/>
      <c r="BF430" s="1474"/>
      <c r="BG430" s="1474"/>
      <c r="BH430" s="1474"/>
      <c r="BI430" s="1474"/>
      <c r="BJ430" s="1474"/>
      <c r="BK430" s="1474"/>
      <c r="BL430" s="1474"/>
    </row>
    <row r="431" spans="52:64">
      <c r="AZ431" s="1698"/>
      <c r="BA431" s="1474"/>
      <c r="BB431" s="1474"/>
      <c r="BC431" s="1474"/>
      <c r="BD431" s="1474"/>
      <c r="BE431" s="1474"/>
      <c r="BF431" s="1474"/>
      <c r="BG431" s="1474"/>
      <c r="BH431" s="1474"/>
      <c r="BI431" s="1474"/>
      <c r="BJ431" s="1474"/>
      <c r="BK431" s="1474"/>
      <c r="BL431" s="1474"/>
    </row>
    <row r="432" spans="52:64">
      <c r="AZ432" s="1698"/>
      <c r="BA432" s="1474"/>
      <c r="BB432" s="1474"/>
      <c r="BC432" s="1474"/>
      <c r="BD432" s="1474"/>
      <c r="BE432" s="1474"/>
      <c r="BF432" s="1474"/>
      <c r="BG432" s="1474"/>
      <c r="BH432" s="1474"/>
      <c r="BI432" s="1474"/>
      <c r="BJ432" s="1474"/>
      <c r="BK432" s="1474"/>
      <c r="BL432" s="1474"/>
    </row>
    <row r="433" spans="52:64">
      <c r="AZ433" s="1698"/>
      <c r="BA433" s="1474"/>
      <c r="BB433" s="1474"/>
      <c r="BC433" s="1474"/>
      <c r="BD433" s="1474"/>
      <c r="BE433" s="1474"/>
      <c r="BF433" s="1474"/>
      <c r="BG433" s="1474"/>
      <c r="BH433" s="1474"/>
      <c r="BI433" s="1474"/>
      <c r="BJ433" s="1474"/>
      <c r="BK433" s="1474"/>
      <c r="BL433" s="1474"/>
    </row>
    <row r="434" spans="52:64">
      <c r="AZ434" s="1698"/>
      <c r="BA434" s="1474"/>
      <c r="BB434" s="1474"/>
      <c r="BC434" s="1474"/>
      <c r="BD434" s="1474"/>
      <c r="BE434" s="1474"/>
      <c r="BF434" s="1474"/>
      <c r="BG434" s="1474"/>
      <c r="BH434" s="1474"/>
      <c r="BI434" s="1474"/>
      <c r="BJ434" s="1474"/>
      <c r="BK434" s="1474"/>
      <c r="BL434" s="1474"/>
    </row>
    <row r="435" spans="52:64">
      <c r="AZ435" s="1698"/>
      <c r="BA435" s="1474"/>
      <c r="BB435" s="1474"/>
      <c r="BC435" s="1474"/>
      <c r="BD435" s="1474"/>
      <c r="BE435" s="1474"/>
      <c r="BF435" s="1474"/>
      <c r="BG435" s="1474"/>
      <c r="BH435" s="1474"/>
      <c r="BI435" s="1474"/>
      <c r="BJ435" s="1474"/>
      <c r="BK435" s="1474"/>
      <c r="BL435" s="1474"/>
    </row>
    <row r="436" spans="52:64">
      <c r="AZ436" s="1698"/>
      <c r="BA436" s="1474"/>
      <c r="BB436" s="1474"/>
      <c r="BC436" s="1474"/>
      <c r="BD436" s="1474"/>
      <c r="BE436" s="1474"/>
      <c r="BF436" s="1474"/>
      <c r="BG436" s="1474"/>
      <c r="BH436" s="1474"/>
      <c r="BI436" s="1474"/>
      <c r="BJ436" s="1474"/>
      <c r="BK436" s="1474"/>
      <c r="BL436" s="1474"/>
    </row>
    <row r="437" spans="52:64">
      <c r="AZ437" s="1698"/>
      <c r="BA437" s="1474"/>
      <c r="BB437" s="1474"/>
      <c r="BC437" s="1474"/>
      <c r="BD437" s="1474"/>
      <c r="BE437" s="1474"/>
      <c r="BF437" s="1474"/>
      <c r="BG437" s="1474"/>
      <c r="BH437" s="1474"/>
      <c r="BI437" s="1474"/>
      <c r="BJ437" s="1474"/>
      <c r="BK437" s="1474"/>
      <c r="BL437" s="1474"/>
    </row>
    <row r="438" spans="52:64">
      <c r="AZ438" s="1698"/>
      <c r="BA438" s="1474"/>
      <c r="BB438" s="1474"/>
      <c r="BC438" s="1474"/>
      <c r="BD438" s="1474"/>
      <c r="BE438" s="1474"/>
      <c r="BF438" s="1474"/>
      <c r="BG438" s="1474"/>
      <c r="BH438" s="1474"/>
      <c r="BI438" s="1474"/>
      <c r="BJ438" s="1474"/>
      <c r="BK438" s="1474"/>
      <c r="BL438" s="1474"/>
    </row>
    <row r="439" spans="52:64">
      <c r="AZ439" s="1698"/>
      <c r="BA439" s="1474"/>
      <c r="BB439" s="1474"/>
      <c r="BC439" s="1474"/>
      <c r="BD439" s="1474"/>
      <c r="BE439" s="1474"/>
      <c r="BF439" s="1474"/>
      <c r="BG439" s="1474"/>
      <c r="BH439" s="1474"/>
      <c r="BI439" s="1474"/>
      <c r="BJ439" s="1474"/>
      <c r="BK439" s="1474"/>
      <c r="BL439" s="1474"/>
    </row>
    <row r="440" spans="52:64">
      <c r="AZ440" s="1698"/>
      <c r="BA440" s="1474"/>
      <c r="BB440" s="1474"/>
      <c r="BC440" s="1474"/>
      <c r="BD440" s="1474"/>
      <c r="BE440" s="1474"/>
      <c r="BF440" s="1474"/>
      <c r="BG440" s="1474"/>
      <c r="BH440" s="1474"/>
      <c r="BI440" s="1474"/>
      <c r="BJ440" s="1474"/>
      <c r="BK440" s="1474"/>
      <c r="BL440" s="1474"/>
    </row>
    <row r="441" spans="52:64">
      <c r="AZ441" s="1698"/>
      <c r="BA441" s="1474"/>
      <c r="BB441" s="1474"/>
      <c r="BC441" s="1474"/>
      <c r="BD441" s="1474"/>
      <c r="BE441" s="1474"/>
      <c r="BF441" s="1474"/>
      <c r="BG441" s="1474"/>
      <c r="BH441" s="1474"/>
      <c r="BI441" s="1474"/>
      <c r="BJ441" s="1474"/>
      <c r="BK441" s="1474"/>
      <c r="BL441" s="1474"/>
    </row>
    <row r="442" spans="52:64">
      <c r="AZ442" s="1698"/>
      <c r="BA442" s="1474"/>
      <c r="BB442" s="1474"/>
      <c r="BC442" s="1474"/>
      <c r="BD442" s="1474"/>
      <c r="BE442" s="1474"/>
      <c r="BF442" s="1474"/>
      <c r="BG442" s="1474"/>
      <c r="BH442" s="1474"/>
      <c r="BI442" s="1474"/>
      <c r="BJ442" s="1474"/>
      <c r="BK442" s="1474"/>
      <c r="BL442" s="1474"/>
    </row>
    <row r="443" spans="52:64">
      <c r="AZ443" s="1698"/>
      <c r="BA443" s="1474"/>
      <c r="BB443" s="1474"/>
      <c r="BC443" s="1474"/>
      <c r="BD443" s="1474"/>
      <c r="BE443" s="1474"/>
      <c r="BF443" s="1474"/>
      <c r="BG443" s="1474"/>
      <c r="BH443" s="1474"/>
      <c r="BI443" s="1474"/>
      <c r="BJ443" s="1474"/>
      <c r="BK443" s="1474"/>
      <c r="BL443" s="1474"/>
    </row>
    <row r="444" spans="52:64">
      <c r="AZ444" s="1698"/>
      <c r="BA444" s="1474"/>
      <c r="BB444" s="1474"/>
      <c r="BC444" s="1474"/>
      <c r="BD444" s="1474"/>
      <c r="BE444" s="1474"/>
      <c r="BF444" s="1474"/>
      <c r="BG444" s="1474"/>
      <c r="BH444" s="1474"/>
      <c r="BI444" s="1474"/>
      <c r="BJ444" s="1474"/>
      <c r="BK444" s="1474"/>
      <c r="BL444" s="1474"/>
    </row>
    <row r="445" spans="52:64">
      <c r="AZ445" s="1698"/>
      <c r="BA445" s="1474"/>
      <c r="BB445" s="1474"/>
      <c r="BC445" s="1474"/>
      <c r="BD445" s="1474"/>
      <c r="BE445" s="1474"/>
      <c r="BF445" s="1474"/>
      <c r="BG445" s="1474"/>
      <c r="BH445" s="1474"/>
      <c r="BI445" s="1474"/>
      <c r="BJ445" s="1474"/>
      <c r="BK445" s="1474"/>
      <c r="BL445" s="1474"/>
    </row>
    <row r="446" spans="52:64">
      <c r="AZ446" s="1698"/>
      <c r="BA446" s="1474"/>
      <c r="BB446" s="1474"/>
      <c r="BC446" s="1474"/>
      <c r="BD446" s="1474"/>
      <c r="BE446" s="1474"/>
      <c r="BF446" s="1474"/>
      <c r="BG446" s="1474"/>
      <c r="BH446" s="1474"/>
      <c r="BI446" s="1474"/>
      <c r="BJ446" s="1474"/>
      <c r="BK446" s="1474"/>
      <c r="BL446" s="1474"/>
    </row>
    <row r="447" spans="52:64">
      <c r="AZ447" s="1698"/>
      <c r="BA447" s="1474"/>
      <c r="BB447" s="1474"/>
      <c r="BC447" s="1474"/>
      <c r="BD447" s="1474"/>
      <c r="BE447" s="1474"/>
      <c r="BF447" s="1474"/>
      <c r="BG447" s="1474"/>
      <c r="BH447" s="1474"/>
      <c r="BI447" s="1474"/>
      <c r="BJ447" s="1474"/>
      <c r="BK447" s="1474"/>
      <c r="BL447" s="1474"/>
    </row>
    <row r="448" spans="52:64">
      <c r="AZ448" s="1698"/>
      <c r="BA448" s="1474"/>
      <c r="BB448" s="1474"/>
      <c r="BC448" s="1474"/>
      <c r="BD448" s="1474"/>
      <c r="BE448" s="1474"/>
      <c r="BF448" s="1474"/>
      <c r="BG448" s="1474"/>
      <c r="BH448" s="1474"/>
      <c r="BI448" s="1474"/>
      <c r="BJ448" s="1474"/>
      <c r="BK448" s="1474"/>
      <c r="BL448" s="1474"/>
    </row>
    <row r="449" spans="52:64">
      <c r="AZ449" s="1698"/>
      <c r="BA449" s="1474"/>
      <c r="BB449" s="1474"/>
      <c r="BC449" s="1474"/>
      <c r="BD449" s="1474"/>
      <c r="BE449" s="1474"/>
      <c r="BF449" s="1474"/>
      <c r="BG449" s="1474"/>
      <c r="BH449" s="1474"/>
      <c r="BI449" s="1474"/>
      <c r="BJ449" s="1474"/>
      <c r="BK449" s="1474"/>
      <c r="BL449" s="1474"/>
    </row>
    <row r="450" spans="52:64">
      <c r="AZ450" s="1698"/>
      <c r="BA450" s="1474"/>
      <c r="BB450" s="1474"/>
      <c r="BC450" s="1474"/>
      <c r="BD450" s="1474"/>
      <c r="BE450" s="1474"/>
      <c r="BF450" s="1474"/>
      <c r="BG450" s="1474"/>
      <c r="BH450" s="1474"/>
      <c r="BI450" s="1474"/>
      <c r="BJ450" s="1474"/>
      <c r="BK450" s="1474"/>
      <c r="BL450" s="1474"/>
    </row>
    <row r="451" spans="52:64">
      <c r="AZ451" s="1698"/>
      <c r="BA451" s="1474"/>
      <c r="BB451" s="1474"/>
      <c r="BC451" s="1474"/>
      <c r="BD451" s="1474"/>
      <c r="BE451" s="1474"/>
      <c r="BF451" s="1474"/>
      <c r="BG451" s="1474"/>
      <c r="BH451" s="1474"/>
      <c r="BI451" s="1474"/>
      <c r="BJ451" s="1474"/>
      <c r="BK451" s="1474"/>
      <c r="BL451" s="1474"/>
    </row>
    <row r="452" spans="52:64">
      <c r="AZ452" s="1698"/>
      <c r="BA452" s="1474"/>
      <c r="BB452" s="1474"/>
      <c r="BC452" s="1474"/>
      <c r="BD452" s="1474"/>
      <c r="BE452" s="1474"/>
      <c r="BF452" s="1474"/>
      <c r="BG452" s="1474"/>
      <c r="BH452" s="1474"/>
      <c r="BI452" s="1474"/>
      <c r="BJ452" s="1474"/>
      <c r="BK452" s="1474"/>
      <c r="BL452" s="1474"/>
    </row>
    <row r="453" spans="52:64">
      <c r="AZ453" s="1698"/>
      <c r="BA453" s="1474"/>
      <c r="BB453" s="1474"/>
      <c r="BC453" s="1474"/>
      <c r="BD453" s="1474"/>
      <c r="BE453" s="1474"/>
      <c r="BF453" s="1474"/>
      <c r="BG453" s="1474"/>
      <c r="BH453" s="1474"/>
      <c r="BI453" s="1474"/>
      <c r="BJ453" s="1474"/>
      <c r="BK453" s="1474"/>
      <c r="BL453" s="1474"/>
    </row>
    <row r="454" spans="52:64">
      <c r="AZ454" s="1698"/>
      <c r="BA454" s="1474"/>
      <c r="BB454" s="1474"/>
      <c r="BC454" s="1474"/>
      <c r="BD454" s="1474"/>
      <c r="BE454" s="1474"/>
      <c r="BF454" s="1474"/>
      <c r="BG454" s="1474"/>
      <c r="BH454" s="1474"/>
      <c r="BI454" s="1474"/>
      <c r="BJ454" s="1474"/>
      <c r="BK454" s="1474"/>
      <c r="BL454" s="1474"/>
    </row>
    <row r="455" spans="52:64">
      <c r="AZ455" s="1698"/>
      <c r="BA455" s="1474"/>
      <c r="BB455" s="1474"/>
      <c r="BC455" s="1474"/>
      <c r="BD455" s="1474"/>
      <c r="BE455" s="1474"/>
      <c r="BF455" s="1474"/>
      <c r="BG455" s="1474"/>
      <c r="BH455" s="1474"/>
      <c r="BI455" s="1474"/>
      <c r="BJ455" s="1474"/>
      <c r="BK455" s="1474"/>
      <c r="BL455" s="1474"/>
    </row>
    <row r="456" spans="52:64">
      <c r="AZ456" s="1698"/>
      <c r="BA456" s="1474"/>
      <c r="BB456" s="1474"/>
      <c r="BC456" s="1474"/>
      <c r="BD456" s="1474"/>
      <c r="BE456" s="1474"/>
      <c r="BF456" s="1474"/>
      <c r="BG456" s="1474"/>
      <c r="BH456" s="1474"/>
      <c r="BI456" s="1474"/>
      <c r="BJ456" s="1474"/>
      <c r="BK456" s="1474"/>
      <c r="BL456" s="1474"/>
    </row>
    <row r="457" spans="52:64">
      <c r="AZ457" s="1698"/>
      <c r="BA457" s="1474"/>
      <c r="BB457" s="1474"/>
      <c r="BC457" s="1474"/>
      <c r="BD457" s="1474"/>
      <c r="BE457" s="1474"/>
      <c r="BF457" s="1474"/>
      <c r="BG457" s="1474"/>
      <c r="BH457" s="1474"/>
      <c r="BI457" s="1474"/>
      <c r="BJ457" s="1474"/>
      <c r="BK457" s="1474"/>
      <c r="BL457" s="1474"/>
    </row>
    <row r="458" spans="52:64">
      <c r="AZ458" s="1698"/>
      <c r="BA458" s="1474"/>
      <c r="BB458" s="1474"/>
      <c r="BC458" s="1474"/>
      <c r="BD458" s="1474"/>
      <c r="BE458" s="1474"/>
      <c r="BF458" s="1474"/>
      <c r="BG458" s="1474"/>
      <c r="BH458" s="1474"/>
      <c r="BI458" s="1474"/>
      <c r="BJ458" s="1474"/>
      <c r="BK458" s="1474"/>
      <c r="BL458" s="1474"/>
    </row>
    <row r="459" spans="52:64">
      <c r="AZ459" s="1698"/>
      <c r="BA459" s="1474"/>
      <c r="BB459" s="1474"/>
      <c r="BC459" s="1474"/>
      <c r="BD459" s="1474"/>
      <c r="BE459" s="1474"/>
      <c r="BF459" s="1474"/>
      <c r="BG459" s="1474"/>
      <c r="BH459" s="1474"/>
      <c r="BI459" s="1474"/>
      <c r="BJ459" s="1474"/>
      <c r="BK459" s="1474"/>
      <c r="BL459" s="1474"/>
    </row>
    <row r="460" spans="52:64">
      <c r="AZ460" s="1698"/>
      <c r="BA460" s="1474"/>
      <c r="BB460" s="1474"/>
      <c r="BC460" s="1474"/>
      <c r="BD460" s="1474"/>
      <c r="BE460" s="1474"/>
      <c r="BF460" s="1474"/>
      <c r="BG460" s="1474"/>
      <c r="BH460" s="1474"/>
      <c r="BI460" s="1474"/>
      <c r="BJ460" s="1474"/>
      <c r="BK460" s="1474"/>
      <c r="BL460" s="1474"/>
    </row>
    <row r="461" spans="52:64">
      <c r="AZ461" s="1698"/>
      <c r="BA461" s="1474"/>
      <c r="BB461" s="1474"/>
      <c r="BC461" s="1474"/>
      <c r="BD461" s="1474"/>
      <c r="BE461" s="1474"/>
      <c r="BF461" s="1474"/>
      <c r="BG461" s="1474"/>
      <c r="BH461" s="1474"/>
      <c r="BI461" s="1474"/>
      <c r="BJ461" s="1474"/>
      <c r="BK461" s="1474"/>
      <c r="BL461" s="1474"/>
    </row>
    <row r="462" spans="52:64">
      <c r="AZ462" s="1698"/>
      <c r="BA462" s="1474"/>
      <c r="BB462" s="1474"/>
      <c r="BC462" s="1474"/>
      <c r="BD462" s="1474"/>
      <c r="BE462" s="1474"/>
      <c r="BF462" s="1474"/>
      <c r="BG462" s="1474"/>
      <c r="BH462" s="1474"/>
      <c r="BI462" s="1474"/>
      <c r="BJ462" s="1474"/>
      <c r="BK462" s="1474"/>
      <c r="BL462" s="1474"/>
    </row>
    <row r="463" spans="52:64">
      <c r="AZ463" s="1698"/>
      <c r="BA463" s="1474"/>
      <c r="BB463" s="1474"/>
      <c r="BC463" s="1474"/>
      <c r="BD463" s="1474"/>
      <c r="BE463" s="1474"/>
      <c r="BF463" s="1474"/>
      <c r="BG463" s="1474"/>
      <c r="BH463" s="1474"/>
      <c r="BI463" s="1474"/>
      <c r="BJ463" s="1474"/>
      <c r="BK463" s="1474"/>
      <c r="BL463" s="1474"/>
    </row>
    <row r="464" spans="52:64">
      <c r="AZ464" s="1698"/>
      <c r="BA464" s="1474"/>
      <c r="BB464" s="1474"/>
      <c r="BC464" s="1474"/>
      <c r="BD464" s="1474"/>
      <c r="BE464" s="1474"/>
      <c r="BF464" s="1474"/>
      <c r="BG464" s="1474"/>
      <c r="BH464" s="1474"/>
      <c r="BI464" s="1474"/>
      <c r="BJ464" s="1474"/>
      <c r="BK464" s="1474"/>
      <c r="BL464" s="1474"/>
    </row>
    <row r="465" spans="52:64">
      <c r="AZ465" s="1698"/>
      <c r="BA465" s="1474"/>
      <c r="BB465" s="1474"/>
      <c r="BC465" s="1474"/>
      <c r="BD465" s="1474"/>
      <c r="BE465" s="1474"/>
      <c r="BF465" s="1474"/>
      <c r="BG465" s="1474"/>
      <c r="BH465" s="1474"/>
      <c r="BI465" s="1474"/>
      <c r="BJ465" s="1474"/>
      <c r="BK465" s="1474"/>
      <c r="BL465" s="1474"/>
    </row>
    <row r="466" spans="52:64">
      <c r="AZ466" s="1698"/>
      <c r="BA466" s="1474"/>
      <c r="BB466" s="1474"/>
      <c r="BC466" s="1474"/>
      <c r="BD466" s="1474"/>
      <c r="BE466" s="1474"/>
      <c r="BF466" s="1474"/>
      <c r="BG466" s="1474"/>
      <c r="BH466" s="1474"/>
      <c r="BI466" s="1474"/>
      <c r="BJ466" s="1474"/>
      <c r="BK466" s="1474"/>
      <c r="BL466" s="1474"/>
    </row>
    <row r="467" spans="52:64">
      <c r="AZ467" s="1698"/>
      <c r="BA467" s="1474"/>
      <c r="BB467" s="1474"/>
      <c r="BC467" s="1474"/>
      <c r="BD467" s="1474"/>
      <c r="BE467" s="1474"/>
      <c r="BF467" s="1474"/>
      <c r="BG467" s="1474"/>
      <c r="BH467" s="1474"/>
      <c r="BI467" s="1474"/>
      <c r="BJ467" s="1474"/>
      <c r="BK467" s="1474"/>
      <c r="BL467" s="1474"/>
    </row>
    <row r="468" spans="52:64">
      <c r="AZ468" s="1698"/>
      <c r="BA468" s="1474"/>
      <c r="BB468" s="1474"/>
      <c r="BC468" s="1474"/>
      <c r="BD468" s="1474"/>
      <c r="BE468" s="1474"/>
      <c r="BF468" s="1474"/>
      <c r="BG468" s="1474"/>
      <c r="BH468" s="1474"/>
      <c r="BI468" s="1474"/>
      <c r="BJ468" s="1474"/>
      <c r="BK468" s="1474"/>
      <c r="BL468" s="1474"/>
    </row>
    <row r="469" spans="52:64">
      <c r="AZ469" s="1698"/>
      <c r="BA469" s="1474"/>
      <c r="BB469" s="1474"/>
      <c r="BC469" s="1474"/>
      <c r="BD469" s="1474"/>
      <c r="BE469" s="1474"/>
      <c r="BF469" s="1474"/>
      <c r="BG469" s="1474"/>
      <c r="BH469" s="1474"/>
      <c r="BI469" s="1474"/>
      <c r="BJ469" s="1474"/>
      <c r="BK469" s="1474"/>
      <c r="BL469" s="1474"/>
    </row>
    <row r="470" spans="52:64">
      <c r="AZ470" s="1698"/>
      <c r="BA470" s="1474"/>
      <c r="BB470" s="1474"/>
      <c r="BC470" s="1474"/>
      <c r="BD470" s="1474"/>
      <c r="BE470" s="1474"/>
      <c r="BF470" s="1474"/>
      <c r="BG470" s="1474"/>
      <c r="BH470" s="1474"/>
      <c r="BI470" s="1474"/>
      <c r="BJ470" s="1474"/>
      <c r="BK470" s="1474"/>
      <c r="BL470" s="1474"/>
    </row>
    <row r="471" spans="52:64">
      <c r="AZ471" s="1698"/>
      <c r="BA471" s="1474"/>
      <c r="BB471" s="1474"/>
      <c r="BC471" s="1474"/>
      <c r="BD471" s="1474"/>
      <c r="BE471" s="1474"/>
      <c r="BF471" s="1474"/>
      <c r="BG471" s="1474"/>
      <c r="BH471" s="1474"/>
      <c r="BI471" s="1474"/>
      <c r="BJ471" s="1474"/>
      <c r="BK471" s="1474"/>
      <c r="BL471" s="1474"/>
    </row>
    <row r="472" spans="52:64">
      <c r="AZ472" s="1698"/>
      <c r="BA472" s="1474"/>
      <c r="BB472" s="1474"/>
      <c r="BC472" s="1474"/>
      <c r="BD472" s="1474"/>
      <c r="BE472" s="1474"/>
      <c r="BF472" s="1474"/>
      <c r="BG472" s="1474"/>
      <c r="BH472" s="1474"/>
      <c r="BI472" s="1474"/>
      <c r="BJ472" s="1474"/>
      <c r="BK472" s="1474"/>
      <c r="BL472" s="1474"/>
    </row>
    <row r="473" spans="52:64">
      <c r="AZ473" s="1698"/>
      <c r="BA473" s="1474"/>
      <c r="BB473" s="1474"/>
      <c r="BC473" s="1474"/>
      <c r="BD473" s="1474"/>
      <c r="BE473" s="1474"/>
      <c r="BF473" s="1474"/>
      <c r="BG473" s="1474"/>
      <c r="BH473" s="1474"/>
      <c r="BI473" s="1474"/>
      <c r="BJ473" s="1474"/>
      <c r="BK473" s="1474"/>
      <c r="BL473" s="1474"/>
    </row>
    <row r="474" spans="52:64">
      <c r="AZ474" s="1698"/>
      <c r="BA474" s="1474"/>
      <c r="BB474" s="1474"/>
      <c r="BC474" s="1474"/>
      <c r="BD474" s="1474"/>
      <c r="BE474" s="1474"/>
      <c r="BF474" s="1474"/>
      <c r="BG474" s="1474"/>
      <c r="BH474" s="1474"/>
      <c r="BI474" s="1474"/>
      <c r="BJ474" s="1474"/>
      <c r="BK474" s="1474"/>
      <c r="BL474" s="1474"/>
    </row>
    <row r="475" spans="52:64">
      <c r="AZ475" s="1698"/>
      <c r="BA475" s="1474"/>
      <c r="BB475" s="1474"/>
      <c r="BC475" s="1474"/>
      <c r="BD475" s="1474"/>
      <c r="BE475" s="1474"/>
      <c r="BF475" s="1474"/>
      <c r="BG475" s="1474"/>
      <c r="BH475" s="1474"/>
      <c r="BI475" s="1474"/>
      <c r="BJ475" s="1474"/>
      <c r="BK475" s="1474"/>
      <c r="BL475" s="1474"/>
    </row>
    <row r="476" spans="52:64">
      <c r="AZ476" s="1698"/>
      <c r="BA476" s="1474"/>
      <c r="BB476" s="1474"/>
      <c r="BC476" s="1474"/>
      <c r="BD476" s="1474"/>
      <c r="BE476" s="1474"/>
      <c r="BF476" s="1474"/>
      <c r="BG476" s="1474"/>
      <c r="BH476" s="1474"/>
      <c r="BI476" s="1474"/>
      <c r="BJ476" s="1474"/>
      <c r="BK476" s="1474"/>
      <c r="BL476" s="1474"/>
    </row>
    <row r="477" spans="52:64">
      <c r="AZ477" s="1698"/>
      <c r="BA477" s="1474"/>
      <c r="BB477" s="1474"/>
      <c r="BC477" s="1474"/>
      <c r="BD477" s="1474"/>
      <c r="BE477" s="1474"/>
      <c r="BF477" s="1474"/>
      <c r="BG477" s="1474"/>
      <c r="BH477" s="1474"/>
      <c r="BI477" s="1474"/>
      <c r="BJ477" s="1474"/>
      <c r="BK477" s="1474"/>
      <c r="BL477" s="1474"/>
    </row>
    <row r="478" spans="52:64">
      <c r="AZ478" s="1698"/>
      <c r="BA478" s="1474"/>
      <c r="BB478" s="1474"/>
      <c r="BC478" s="1474"/>
      <c r="BD478" s="1474"/>
      <c r="BE478" s="1474"/>
      <c r="BF478" s="1474"/>
      <c r="BG478" s="1474"/>
      <c r="BH478" s="1474"/>
      <c r="BI478" s="1474"/>
      <c r="BJ478" s="1474"/>
      <c r="BK478" s="1474"/>
      <c r="BL478" s="1474"/>
    </row>
    <row r="479" spans="52:64">
      <c r="AZ479" s="1698"/>
      <c r="BA479" s="1474"/>
      <c r="BB479" s="1474"/>
      <c r="BC479" s="1474"/>
      <c r="BD479" s="1474"/>
      <c r="BE479" s="1474"/>
      <c r="BF479" s="1474"/>
      <c r="BG479" s="1474"/>
      <c r="BH479" s="1474"/>
      <c r="BI479" s="1474"/>
      <c r="BJ479" s="1474"/>
      <c r="BK479" s="1474"/>
      <c r="BL479" s="1474"/>
    </row>
    <row r="480" spans="52:64">
      <c r="AZ480" s="1698"/>
      <c r="BA480" s="1474"/>
      <c r="BB480" s="1474"/>
      <c r="BC480" s="1474"/>
      <c r="BD480" s="1474"/>
      <c r="BE480" s="1474"/>
      <c r="BF480" s="1474"/>
      <c r="BG480" s="1474"/>
      <c r="BH480" s="1474"/>
      <c r="BI480" s="1474"/>
      <c r="BJ480" s="1474"/>
      <c r="BK480" s="1474"/>
      <c r="BL480" s="1474"/>
    </row>
    <row r="481" spans="52:64">
      <c r="AZ481" s="1698"/>
      <c r="BA481" s="1474"/>
      <c r="BB481" s="1474"/>
      <c r="BC481" s="1474"/>
      <c r="BD481" s="1474"/>
      <c r="BE481" s="1474"/>
      <c r="BF481" s="1474"/>
      <c r="BG481" s="1474"/>
      <c r="BH481" s="1474"/>
      <c r="BI481" s="1474"/>
      <c r="BJ481" s="1474"/>
      <c r="BK481" s="1474"/>
      <c r="BL481" s="1474"/>
    </row>
    <row r="482" spans="52:64">
      <c r="AZ482" s="1698"/>
      <c r="BA482" s="1474"/>
      <c r="BB482" s="1474"/>
      <c r="BC482" s="1474"/>
      <c r="BD482" s="1474"/>
      <c r="BE482" s="1474"/>
      <c r="BF482" s="1474"/>
      <c r="BG482" s="1474"/>
      <c r="BH482" s="1474"/>
      <c r="BI482" s="1474"/>
      <c r="BJ482" s="1474"/>
      <c r="BK482" s="1474"/>
      <c r="BL482" s="1474"/>
    </row>
    <row r="483" spans="52:64">
      <c r="AZ483" s="1698"/>
      <c r="BA483" s="1474"/>
      <c r="BB483" s="1474"/>
      <c r="BC483" s="1474"/>
      <c r="BD483" s="1474"/>
      <c r="BE483" s="1474"/>
      <c r="BF483" s="1474"/>
      <c r="BG483" s="1474"/>
      <c r="BH483" s="1474"/>
      <c r="BI483" s="1474"/>
      <c r="BJ483" s="1474"/>
      <c r="BK483" s="1474"/>
      <c r="BL483" s="1474"/>
    </row>
    <row r="484" spans="52:64">
      <c r="AZ484" s="1698"/>
      <c r="BA484" s="1474"/>
      <c r="BB484" s="1474"/>
      <c r="BC484" s="1474"/>
      <c r="BD484" s="1474"/>
      <c r="BE484" s="1474"/>
      <c r="BF484" s="1474"/>
      <c r="BG484" s="1474"/>
      <c r="BH484" s="1474"/>
      <c r="BI484" s="1474"/>
      <c r="BJ484" s="1474"/>
      <c r="BK484" s="1474"/>
      <c r="BL484" s="1474"/>
    </row>
    <row r="485" spans="52:64">
      <c r="AZ485" s="1698"/>
      <c r="BA485" s="1474"/>
      <c r="BB485" s="1474"/>
      <c r="BC485" s="1474"/>
      <c r="BD485" s="1474"/>
      <c r="BE485" s="1474"/>
      <c r="BF485" s="1474"/>
      <c r="BG485" s="1474"/>
      <c r="BH485" s="1474"/>
      <c r="BI485" s="1474"/>
      <c r="BJ485" s="1474"/>
      <c r="BK485" s="1474"/>
      <c r="BL485" s="1474"/>
    </row>
    <row r="486" spans="52:64">
      <c r="AZ486" s="1698"/>
      <c r="BA486" s="1474"/>
      <c r="BB486" s="1474"/>
      <c r="BC486" s="1474"/>
      <c r="BD486" s="1474"/>
      <c r="BE486" s="1474"/>
      <c r="BF486" s="1474"/>
      <c r="BG486" s="1474"/>
      <c r="BH486" s="1474"/>
      <c r="BI486" s="1474"/>
      <c r="BJ486" s="1474"/>
      <c r="BK486" s="1474"/>
      <c r="BL486" s="1474"/>
    </row>
    <row r="487" spans="52:64">
      <c r="AZ487" s="1698"/>
      <c r="BA487" s="1474"/>
      <c r="BB487" s="1474"/>
      <c r="BC487" s="1474"/>
      <c r="BD487" s="1474"/>
      <c r="BE487" s="1474"/>
      <c r="BF487" s="1474"/>
      <c r="BG487" s="1474"/>
      <c r="BH487" s="1474"/>
      <c r="BI487" s="1474"/>
      <c r="BJ487" s="1474"/>
      <c r="BK487" s="1474"/>
      <c r="BL487" s="1474"/>
    </row>
    <row r="488" spans="52:64">
      <c r="AZ488" s="1698"/>
      <c r="BA488" s="1474"/>
      <c r="BB488" s="1474"/>
      <c r="BC488" s="1474"/>
      <c r="BD488" s="1474"/>
      <c r="BE488" s="1474"/>
      <c r="BF488" s="1474"/>
      <c r="BG488" s="1474"/>
      <c r="BH488" s="1474"/>
      <c r="BI488" s="1474"/>
      <c r="BJ488" s="1474"/>
      <c r="BK488" s="1474"/>
      <c r="BL488" s="1474"/>
    </row>
    <row r="489" spans="52:64">
      <c r="AZ489" s="1698"/>
      <c r="BA489" s="1474"/>
      <c r="BB489" s="1474"/>
      <c r="BC489" s="1474"/>
      <c r="BD489" s="1474"/>
      <c r="BE489" s="1474"/>
      <c r="BF489" s="1474"/>
      <c r="BG489" s="1474"/>
      <c r="BH489" s="1474"/>
      <c r="BI489" s="1474"/>
      <c r="BJ489" s="1474"/>
      <c r="BK489" s="1474"/>
      <c r="BL489" s="1474"/>
    </row>
    <row r="490" spans="52:64">
      <c r="AZ490" s="1698"/>
      <c r="BA490" s="1474"/>
      <c r="BB490" s="1474"/>
      <c r="BC490" s="1474"/>
      <c r="BD490" s="1474"/>
      <c r="BE490" s="1474"/>
      <c r="BF490" s="1474"/>
      <c r="BG490" s="1474"/>
      <c r="BH490" s="1474"/>
      <c r="BI490" s="1474"/>
      <c r="BJ490" s="1474"/>
      <c r="BK490" s="1474"/>
      <c r="BL490" s="1474"/>
    </row>
    <row r="491" spans="52:64">
      <c r="AZ491" s="1698"/>
      <c r="BA491" s="1474"/>
      <c r="BB491" s="1474"/>
      <c r="BC491" s="1474"/>
      <c r="BD491" s="1474"/>
      <c r="BE491" s="1474"/>
      <c r="BF491" s="1474"/>
      <c r="BG491" s="1474"/>
      <c r="BH491" s="1474"/>
      <c r="BI491" s="1474"/>
      <c r="BJ491" s="1474"/>
      <c r="BK491" s="1474"/>
      <c r="BL491" s="1474"/>
    </row>
    <row r="492" spans="52:64">
      <c r="AZ492" s="1698"/>
      <c r="BA492" s="1474"/>
      <c r="BB492" s="1474"/>
      <c r="BC492" s="1474"/>
      <c r="BD492" s="1474"/>
      <c r="BE492" s="1474"/>
      <c r="BF492" s="1474"/>
      <c r="BG492" s="1474"/>
      <c r="BH492" s="1474"/>
      <c r="BI492" s="1474"/>
      <c r="BJ492" s="1474"/>
      <c r="BK492" s="1474"/>
      <c r="BL492" s="1474"/>
    </row>
    <row r="493" spans="52:64">
      <c r="AZ493" s="1698"/>
      <c r="BA493" s="1474"/>
      <c r="BB493" s="1474"/>
      <c r="BC493" s="1474"/>
      <c r="BD493" s="1474"/>
      <c r="BE493" s="1474"/>
      <c r="BF493" s="1474"/>
      <c r="BG493" s="1474"/>
      <c r="BH493" s="1474"/>
      <c r="BI493" s="1474"/>
      <c r="BJ493" s="1474"/>
      <c r="BK493" s="1474"/>
      <c r="BL493" s="1474"/>
    </row>
    <row r="494" spans="52:64">
      <c r="AZ494" s="1698"/>
      <c r="BA494" s="1474"/>
      <c r="BB494" s="1474"/>
      <c r="BC494" s="1474"/>
      <c r="BD494" s="1474"/>
      <c r="BE494" s="1474"/>
      <c r="BF494" s="1474"/>
      <c r="BG494" s="1474"/>
      <c r="BH494" s="1474"/>
      <c r="BI494" s="1474"/>
      <c r="BJ494" s="1474"/>
      <c r="BK494" s="1474"/>
      <c r="BL494" s="1474"/>
    </row>
    <row r="495" spans="52:64">
      <c r="AZ495" s="1698"/>
      <c r="BA495" s="1474"/>
      <c r="BB495" s="1474"/>
      <c r="BC495" s="1474"/>
      <c r="BD495" s="1474"/>
      <c r="BE495" s="1474"/>
      <c r="BF495" s="1474"/>
      <c r="BG495" s="1474"/>
      <c r="BH495" s="1474"/>
      <c r="BI495" s="1474"/>
      <c r="BJ495" s="1474"/>
      <c r="BK495" s="1474"/>
      <c r="BL495" s="1474"/>
    </row>
    <row r="496" spans="52:64">
      <c r="AZ496" s="1698"/>
      <c r="BA496" s="1474"/>
      <c r="BB496" s="1474"/>
      <c r="BC496" s="1474"/>
      <c r="BD496" s="1474"/>
      <c r="BE496" s="1474"/>
      <c r="BF496" s="1474"/>
      <c r="BG496" s="1474"/>
      <c r="BH496" s="1474"/>
      <c r="BI496" s="1474"/>
      <c r="BJ496" s="1474"/>
      <c r="BK496" s="1474"/>
      <c r="BL496" s="1474"/>
    </row>
    <row r="497" spans="52:64">
      <c r="AZ497" s="1698"/>
      <c r="BA497" s="1474"/>
      <c r="BB497" s="1474"/>
      <c r="BC497" s="1474"/>
      <c r="BD497" s="1474"/>
      <c r="BE497" s="1474"/>
      <c r="BF497" s="1474"/>
      <c r="BG497" s="1474"/>
      <c r="BH497" s="1474"/>
      <c r="BI497" s="1474"/>
      <c r="BJ497" s="1474"/>
      <c r="BK497" s="1474"/>
      <c r="BL497" s="1474"/>
    </row>
    <row r="498" spans="52:64">
      <c r="AZ498" s="1698"/>
      <c r="BA498" s="1474"/>
      <c r="BB498" s="1474"/>
      <c r="BC498" s="1474"/>
      <c r="BD498" s="1474"/>
      <c r="BE498" s="1474"/>
      <c r="BF498" s="1474"/>
      <c r="BG498" s="1474"/>
      <c r="BH498" s="1474"/>
      <c r="BI498" s="1474"/>
      <c r="BJ498" s="1474"/>
      <c r="BK498" s="1474"/>
      <c r="BL498" s="1474"/>
    </row>
    <row r="499" spans="52:64">
      <c r="AZ499" s="1698"/>
      <c r="BA499" s="1474"/>
      <c r="BB499" s="1474"/>
      <c r="BC499" s="1474"/>
      <c r="BD499" s="1474"/>
      <c r="BE499" s="1474"/>
      <c r="BF499" s="1474"/>
      <c r="BG499" s="1474"/>
      <c r="BH499" s="1474"/>
      <c r="BI499" s="1474"/>
      <c r="BJ499" s="1474"/>
      <c r="BK499" s="1474"/>
      <c r="BL499" s="1474"/>
    </row>
    <row r="500" spans="52:64">
      <c r="AZ500" s="1698"/>
      <c r="BA500" s="1474"/>
      <c r="BB500" s="1474"/>
      <c r="BC500" s="1474"/>
      <c r="BD500" s="1474"/>
      <c r="BE500" s="1474"/>
      <c r="BF500" s="1474"/>
      <c r="BG500" s="1474"/>
      <c r="BH500" s="1474"/>
      <c r="BI500" s="1474"/>
      <c r="BJ500" s="1474"/>
      <c r="BK500" s="1474"/>
      <c r="BL500" s="1474"/>
    </row>
    <row r="501" spans="52:64">
      <c r="AZ501" s="1698"/>
      <c r="BA501" s="1474"/>
      <c r="BB501" s="1474"/>
      <c r="BC501" s="1474"/>
      <c r="BD501" s="1474"/>
      <c r="BE501" s="1474"/>
      <c r="BF501" s="1474"/>
      <c r="BG501" s="1474"/>
      <c r="BH501" s="1474"/>
      <c r="BI501" s="1474"/>
      <c r="BJ501" s="1474"/>
      <c r="BK501" s="1474"/>
      <c r="BL501" s="1474"/>
    </row>
    <row r="502" spans="52:64">
      <c r="AZ502" s="1698"/>
      <c r="BA502" s="1474"/>
      <c r="BB502" s="1474"/>
      <c r="BC502" s="1474"/>
      <c r="BD502" s="1474"/>
      <c r="BE502" s="1474"/>
      <c r="BF502" s="1474"/>
      <c r="BG502" s="1474"/>
      <c r="BH502" s="1474"/>
      <c r="BI502" s="1474"/>
      <c r="BJ502" s="1474"/>
      <c r="BK502" s="1474"/>
      <c r="BL502" s="1474"/>
    </row>
    <row r="503" spans="52:64">
      <c r="AZ503" s="1698"/>
      <c r="BA503" s="1474"/>
      <c r="BB503" s="1474"/>
      <c r="BC503" s="1474"/>
      <c r="BD503" s="1474"/>
      <c r="BE503" s="1474"/>
      <c r="BF503" s="1474"/>
      <c r="BG503" s="1474"/>
      <c r="BH503" s="1474"/>
      <c r="BI503" s="1474"/>
      <c r="BJ503" s="1474"/>
      <c r="BK503" s="1474"/>
      <c r="BL503" s="1474"/>
    </row>
    <row r="504" spans="52:64">
      <c r="AZ504" s="1698"/>
      <c r="BA504" s="1474"/>
      <c r="BB504" s="1474"/>
      <c r="BC504" s="1474"/>
      <c r="BD504" s="1474"/>
      <c r="BE504" s="1474"/>
      <c r="BF504" s="1474"/>
      <c r="BG504" s="1474"/>
      <c r="BH504" s="1474"/>
      <c r="BI504" s="1474"/>
      <c r="BJ504" s="1474"/>
      <c r="BK504" s="1474"/>
      <c r="BL504" s="1474"/>
    </row>
    <row r="505" spans="52:64">
      <c r="AZ505" s="1698"/>
      <c r="BA505" s="1474"/>
      <c r="BB505" s="1474"/>
      <c r="BC505" s="1474"/>
      <c r="BD505" s="1474"/>
      <c r="BE505" s="1474"/>
      <c r="BF505" s="1474"/>
      <c r="BG505" s="1474"/>
      <c r="BH505" s="1474"/>
      <c r="BI505" s="1474"/>
      <c r="BJ505" s="1474"/>
      <c r="BK505" s="1474"/>
      <c r="BL505" s="1474"/>
    </row>
    <row r="506" spans="52:64">
      <c r="AZ506" s="1698"/>
      <c r="BA506" s="1474"/>
      <c r="BB506" s="1474"/>
      <c r="BC506" s="1474"/>
      <c r="BD506" s="1474"/>
      <c r="BE506" s="1474"/>
      <c r="BF506" s="1474"/>
      <c r="BG506" s="1474"/>
      <c r="BH506" s="1474"/>
      <c r="BI506" s="1474"/>
      <c r="BJ506" s="1474"/>
      <c r="BK506" s="1474"/>
      <c r="BL506" s="1474"/>
    </row>
    <row r="507" spans="52:64">
      <c r="AZ507" s="1698"/>
      <c r="BA507" s="1474"/>
      <c r="BB507" s="1474"/>
      <c r="BC507" s="1474"/>
      <c r="BD507" s="1474"/>
      <c r="BE507" s="1474"/>
      <c r="BF507" s="1474"/>
      <c r="BG507" s="1474"/>
      <c r="BH507" s="1474"/>
      <c r="BI507" s="1474"/>
      <c r="BJ507" s="1474"/>
      <c r="BK507" s="1474"/>
      <c r="BL507" s="1474"/>
    </row>
    <row r="508" spans="52:64">
      <c r="AZ508" s="1698"/>
      <c r="BA508" s="1474"/>
      <c r="BB508" s="1474"/>
      <c r="BC508" s="1474"/>
      <c r="BD508" s="1474"/>
      <c r="BE508" s="1474"/>
      <c r="BF508" s="1474"/>
      <c r="BG508" s="1474"/>
      <c r="BH508" s="1474"/>
      <c r="BI508" s="1474"/>
      <c r="BJ508" s="1474"/>
      <c r="BK508" s="1474"/>
      <c r="BL508" s="1474"/>
    </row>
    <row r="509" spans="52:64">
      <c r="AZ509" s="1698"/>
      <c r="BA509" s="1474"/>
      <c r="BB509" s="1474"/>
      <c r="BC509" s="1474"/>
      <c r="BD509" s="1474"/>
      <c r="BE509" s="1474"/>
      <c r="BF509" s="1474"/>
      <c r="BG509" s="1474"/>
      <c r="BH509" s="1474"/>
      <c r="BI509" s="1474"/>
      <c r="BJ509" s="1474"/>
      <c r="BK509" s="1474"/>
      <c r="BL509" s="1474"/>
    </row>
    <row r="510" spans="52:64">
      <c r="AZ510" s="1698"/>
      <c r="BA510" s="1474"/>
      <c r="BB510" s="1474"/>
      <c r="BC510" s="1474"/>
      <c r="BD510" s="1474"/>
      <c r="BE510" s="1474"/>
      <c r="BF510" s="1474"/>
      <c r="BG510" s="1474"/>
      <c r="BH510" s="1474"/>
      <c r="BI510" s="1474"/>
      <c r="BJ510" s="1474"/>
      <c r="BK510" s="1474"/>
      <c r="BL510" s="1474"/>
    </row>
    <row r="511" spans="52:64">
      <c r="AZ511" s="1698"/>
      <c r="BA511" s="1474"/>
      <c r="BB511" s="1474"/>
      <c r="BC511" s="1474"/>
      <c r="BD511" s="1474"/>
      <c r="BE511" s="1474"/>
      <c r="BF511" s="1474"/>
      <c r="BG511" s="1474"/>
      <c r="BH511" s="1474"/>
      <c r="BI511" s="1474"/>
      <c r="BJ511" s="1474"/>
      <c r="BK511" s="1474"/>
      <c r="BL511" s="1474"/>
    </row>
    <row r="512" spans="52:64">
      <c r="AZ512" s="1698"/>
      <c r="BA512" s="1474"/>
      <c r="BB512" s="1474"/>
      <c r="BC512" s="1474"/>
      <c r="BD512" s="1474"/>
      <c r="BE512" s="1474"/>
      <c r="BF512" s="1474"/>
      <c r="BG512" s="1474"/>
      <c r="BH512" s="1474"/>
      <c r="BI512" s="1474"/>
      <c r="BJ512" s="1474"/>
      <c r="BK512" s="1474"/>
      <c r="BL512" s="1474"/>
    </row>
    <row r="513" spans="52:64">
      <c r="AZ513" s="1698"/>
      <c r="BA513" s="1474"/>
      <c r="BB513" s="1474"/>
      <c r="BC513" s="1474"/>
      <c r="BD513" s="1474"/>
      <c r="BE513" s="1474"/>
      <c r="BF513" s="1474"/>
      <c r="BG513" s="1474"/>
      <c r="BH513" s="1474"/>
      <c r="BI513" s="1474"/>
      <c r="BJ513" s="1474"/>
      <c r="BK513" s="1474"/>
      <c r="BL513" s="1474"/>
    </row>
    <row r="514" spans="52:64">
      <c r="AZ514" s="1698"/>
      <c r="BA514" s="1474"/>
      <c r="BB514" s="1474"/>
      <c r="BC514" s="1474"/>
      <c r="BD514" s="1474"/>
      <c r="BE514" s="1474"/>
      <c r="BF514" s="1474"/>
      <c r="BG514" s="1474"/>
      <c r="BH514" s="1474"/>
      <c r="BI514" s="1474"/>
      <c r="BJ514" s="1474"/>
      <c r="BK514" s="1474"/>
      <c r="BL514" s="1474"/>
    </row>
    <row r="515" spans="52:64">
      <c r="AZ515" s="1698"/>
      <c r="BA515" s="1474"/>
      <c r="BB515" s="1474"/>
      <c r="BC515" s="1474"/>
      <c r="BD515" s="1474"/>
      <c r="BE515" s="1474"/>
      <c r="BF515" s="1474"/>
      <c r="BG515" s="1474"/>
      <c r="BH515" s="1474"/>
      <c r="BI515" s="1474"/>
      <c r="BJ515" s="1474"/>
      <c r="BK515" s="1474"/>
      <c r="BL515" s="1474"/>
    </row>
    <row r="516" spans="52:64">
      <c r="AZ516" s="1698"/>
      <c r="BA516" s="1474"/>
      <c r="BB516" s="1474"/>
      <c r="BC516" s="1474"/>
      <c r="BD516" s="1474"/>
      <c r="BE516" s="1474"/>
      <c r="BF516" s="1474"/>
      <c r="BG516" s="1474"/>
      <c r="BH516" s="1474"/>
      <c r="BI516" s="1474"/>
      <c r="BJ516" s="1474"/>
      <c r="BK516" s="1474"/>
      <c r="BL516" s="1474"/>
    </row>
    <row r="517" spans="52:64">
      <c r="AZ517" s="1698"/>
      <c r="BA517" s="1474"/>
      <c r="BB517" s="1474"/>
      <c r="BC517" s="1474"/>
      <c r="BD517" s="1474"/>
      <c r="BE517" s="1474"/>
      <c r="BF517" s="1474"/>
      <c r="BG517" s="1474"/>
      <c r="BH517" s="1474"/>
      <c r="BI517" s="1474"/>
      <c r="BJ517" s="1474"/>
      <c r="BK517" s="1474"/>
      <c r="BL517" s="1474"/>
    </row>
    <row r="518" spans="52:64">
      <c r="AZ518" s="1698"/>
      <c r="BA518" s="1474"/>
      <c r="BB518" s="1474"/>
      <c r="BC518" s="1474"/>
      <c r="BD518" s="1474"/>
      <c r="BE518" s="1474"/>
      <c r="BF518" s="1474"/>
      <c r="BG518" s="1474"/>
      <c r="BH518" s="1474"/>
      <c r="BI518" s="1474"/>
      <c r="BJ518" s="1474"/>
      <c r="BK518" s="1474"/>
      <c r="BL518" s="1474"/>
    </row>
    <row r="519" spans="52:64">
      <c r="AZ519" s="1698"/>
      <c r="BA519" s="1474"/>
      <c r="BB519" s="1474"/>
      <c r="BC519" s="1474"/>
      <c r="BD519" s="1474"/>
      <c r="BE519" s="1474"/>
      <c r="BF519" s="1474"/>
      <c r="BG519" s="1474"/>
      <c r="BH519" s="1474"/>
      <c r="BI519" s="1474"/>
      <c r="BJ519" s="1474"/>
      <c r="BK519" s="1474"/>
      <c r="BL519" s="1474"/>
    </row>
    <row r="520" spans="52:64">
      <c r="AZ520" s="1698"/>
      <c r="BA520" s="1474"/>
      <c r="BB520" s="1474"/>
      <c r="BC520" s="1474"/>
      <c r="BD520" s="1474"/>
      <c r="BE520" s="1474"/>
      <c r="BF520" s="1474"/>
      <c r="BG520" s="1474"/>
      <c r="BH520" s="1474"/>
      <c r="BI520" s="1474"/>
      <c r="BJ520" s="1474"/>
      <c r="BK520" s="1474"/>
      <c r="BL520" s="1474"/>
    </row>
    <row r="521" spans="52:64">
      <c r="AZ521" s="1698"/>
      <c r="BA521" s="1474"/>
      <c r="BB521" s="1474"/>
      <c r="BC521" s="1474"/>
      <c r="BD521" s="1474"/>
      <c r="BE521" s="1474"/>
      <c r="BF521" s="1474"/>
      <c r="BG521" s="1474"/>
      <c r="BH521" s="1474"/>
      <c r="BI521" s="1474"/>
      <c r="BJ521" s="1474"/>
      <c r="BK521" s="1474"/>
      <c r="BL521" s="1474"/>
    </row>
    <row r="522" spans="52:64">
      <c r="AZ522" s="1698"/>
      <c r="BA522" s="1474"/>
      <c r="BB522" s="1474"/>
      <c r="BC522" s="1474"/>
      <c r="BD522" s="1474"/>
      <c r="BE522" s="1474"/>
      <c r="BF522" s="1474"/>
      <c r="BG522" s="1474"/>
      <c r="BH522" s="1474"/>
      <c r="BI522" s="1474"/>
      <c r="BJ522" s="1474"/>
      <c r="BK522" s="1474"/>
      <c r="BL522" s="1474"/>
    </row>
    <row r="523" spans="52:64">
      <c r="AZ523" s="1698"/>
      <c r="BA523" s="1474"/>
      <c r="BB523" s="1474"/>
      <c r="BC523" s="1474"/>
      <c r="BD523" s="1474"/>
      <c r="BE523" s="1474"/>
      <c r="BF523" s="1474"/>
      <c r="BG523" s="1474"/>
      <c r="BH523" s="1474"/>
      <c r="BI523" s="1474"/>
      <c r="BJ523" s="1474"/>
      <c r="BK523" s="1474"/>
      <c r="BL523" s="1474"/>
    </row>
    <row r="524" spans="52:64">
      <c r="AZ524" s="1698"/>
      <c r="BA524" s="1474"/>
      <c r="BB524" s="1474"/>
      <c r="BC524" s="1474"/>
      <c r="BD524" s="1474"/>
      <c r="BE524" s="1474"/>
      <c r="BF524" s="1474"/>
      <c r="BG524" s="1474"/>
      <c r="BH524" s="1474"/>
      <c r="BI524" s="1474"/>
      <c r="BJ524" s="1474"/>
      <c r="BK524" s="1474"/>
      <c r="BL524" s="1474"/>
    </row>
    <row r="525" spans="52:64">
      <c r="AZ525" s="1698"/>
      <c r="BA525" s="1474"/>
      <c r="BB525" s="1474"/>
      <c r="BC525" s="1474"/>
      <c r="BD525" s="1474"/>
      <c r="BE525" s="1474"/>
      <c r="BF525" s="1474"/>
      <c r="BG525" s="1474"/>
      <c r="BH525" s="1474"/>
      <c r="BI525" s="1474"/>
      <c r="BJ525" s="1474"/>
      <c r="BK525" s="1474"/>
      <c r="BL525" s="1474"/>
    </row>
    <row r="526" spans="52:64">
      <c r="AZ526" s="1698"/>
      <c r="BA526" s="1474"/>
      <c r="BB526" s="1474"/>
      <c r="BC526" s="1474"/>
      <c r="BD526" s="1474"/>
      <c r="BE526" s="1474"/>
      <c r="BF526" s="1474"/>
      <c r="BG526" s="1474"/>
      <c r="BH526" s="1474"/>
      <c r="BI526" s="1474"/>
      <c r="BJ526" s="1474"/>
      <c r="BK526" s="1474"/>
      <c r="BL526" s="1474"/>
    </row>
    <row r="527" spans="52:64">
      <c r="AZ527" s="1698"/>
      <c r="BA527" s="1474"/>
      <c r="BB527" s="1474"/>
      <c r="BC527" s="1474"/>
      <c r="BD527" s="1474"/>
      <c r="BE527" s="1474"/>
      <c r="BF527" s="1474"/>
      <c r="BG527" s="1474"/>
      <c r="BH527" s="1474"/>
      <c r="BI527" s="1474"/>
      <c r="BJ527" s="1474"/>
      <c r="BK527" s="1474"/>
      <c r="BL527" s="1474"/>
    </row>
    <row r="528" spans="52:64">
      <c r="AZ528" s="1698"/>
      <c r="BA528" s="1474"/>
      <c r="BB528" s="1474"/>
      <c r="BC528" s="1474"/>
      <c r="BD528" s="1474"/>
      <c r="BE528" s="1474"/>
      <c r="BF528" s="1474"/>
      <c r="BG528" s="1474"/>
      <c r="BH528" s="1474"/>
      <c r="BI528" s="1474"/>
      <c r="BJ528" s="1474"/>
      <c r="BK528" s="1474"/>
      <c r="BL528" s="1474"/>
    </row>
    <row r="529" spans="52:64">
      <c r="AZ529" s="1698"/>
      <c r="BA529" s="1474"/>
      <c r="BB529" s="1474"/>
      <c r="BC529" s="1474"/>
      <c r="BD529" s="1474"/>
      <c r="BE529" s="1474"/>
      <c r="BF529" s="1474"/>
      <c r="BG529" s="1474"/>
      <c r="BH529" s="1474"/>
      <c r="BI529" s="1474"/>
      <c r="BJ529" s="1474"/>
      <c r="BK529" s="1474"/>
      <c r="BL529" s="1474"/>
    </row>
    <row r="530" spans="52:64">
      <c r="AZ530" s="1698"/>
      <c r="BA530" s="1474"/>
      <c r="BB530" s="1474"/>
      <c r="BC530" s="1474"/>
      <c r="BD530" s="1474"/>
      <c r="BE530" s="1474"/>
      <c r="BF530" s="1474"/>
      <c r="BG530" s="1474"/>
      <c r="BH530" s="1474"/>
      <c r="BI530" s="1474"/>
      <c r="BJ530" s="1474"/>
      <c r="BK530" s="1474"/>
      <c r="BL530" s="1474"/>
    </row>
    <row r="531" spans="52:64">
      <c r="AZ531" s="1698"/>
      <c r="BA531" s="1474"/>
      <c r="BB531" s="1474"/>
      <c r="BC531" s="1474"/>
      <c r="BD531" s="1474"/>
      <c r="BE531" s="1474"/>
      <c r="BF531" s="1474"/>
      <c r="BG531" s="1474"/>
      <c r="BH531" s="1474"/>
      <c r="BI531" s="1474"/>
      <c r="BJ531" s="1474"/>
      <c r="BK531" s="1474"/>
      <c r="BL531" s="1474"/>
    </row>
    <row r="532" spans="52:64">
      <c r="AZ532" s="1698"/>
      <c r="BA532" s="1474"/>
      <c r="BB532" s="1474"/>
      <c r="BC532" s="1474"/>
      <c r="BD532" s="1474"/>
      <c r="BE532" s="1474"/>
      <c r="BF532" s="1474"/>
      <c r="BG532" s="1474"/>
      <c r="BH532" s="1474"/>
      <c r="BI532" s="1474"/>
      <c r="BJ532" s="1474"/>
      <c r="BK532" s="1474"/>
      <c r="BL532" s="1474"/>
    </row>
    <row r="533" spans="52:64">
      <c r="AZ533" s="1698"/>
      <c r="BA533" s="1474"/>
      <c r="BB533" s="1474"/>
      <c r="BC533" s="1474"/>
      <c r="BD533" s="1474"/>
      <c r="BE533" s="1474"/>
      <c r="BF533" s="1474"/>
      <c r="BG533" s="1474"/>
      <c r="BH533" s="1474"/>
      <c r="BI533" s="1474"/>
      <c r="BJ533" s="1474"/>
      <c r="BK533" s="1474"/>
      <c r="BL533" s="1474"/>
    </row>
    <row r="534" spans="52:64">
      <c r="AZ534" s="1698"/>
      <c r="BA534" s="1474"/>
      <c r="BB534" s="1474"/>
      <c r="BC534" s="1474"/>
      <c r="BD534" s="1474"/>
      <c r="BE534" s="1474"/>
      <c r="BF534" s="1474"/>
      <c r="BG534" s="1474"/>
      <c r="BH534" s="1474"/>
      <c r="BI534" s="1474"/>
      <c r="BJ534" s="1474"/>
      <c r="BK534" s="1474"/>
      <c r="BL534" s="1474"/>
    </row>
    <row r="535" spans="52:64">
      <c r="AZ535" s="1698"/>
      <c r="BA535" s="1474"/>
      <c r="BB535" s="1474"/>
      <c r="BC535" s="1474"/>
      <c r="BD535" s="1474"/>
      <c r="BE535" s="1474"/>
      <c r="BF535" s="1474"/>
      <c r="BG535" s="1474"/>
      <c r="BH535" s="1474"/>
      <c r="BI535" s="1474"/>
      <c r="BJ535" s="1474"/>
      <c r="BK535" s="1474"/>
      <c r="BL535" s="1474"/>
    </row>
    <row r="536" spans="52:64">
      <c r="AZ536" s="1698"/>
      <c r="BA536" s="1474"/>
      <c r="BB536" s="1474"/>
      <c r="BC536" s="1474"/>
      <c r="BD536" s="1474"/>
      <c r="BE536" s="1474"/>
      <c r="BF536" s="1474"/>
      <c r="BG536" s="1474"/>
      <c r="BH536" s="1474"/>
      <c r="BI536" s="1474"/>
      <c r="BJ536" s="1474"/>
      <c r="BK536" s="1474"/>
      <c r="BL536" s="1474"/>
    </row>
    <row r="537" spans="52:64">
      <c r="AZ537" s="1698"/>
      <c r="BA537" s="1474"/>
      <c r="BB537" s="1474"/>
      <c r="BC537" s="1474"/>
      <c r="BD537" s="1474"/>
      <c r="BE537" s="1474"/>
      <c r="BF537" s="1474"/>
      <c r="BG537" s="1474"/>
      <c r="BH537" s="1474"/>
      <c r="BI537" s="1474"/>
      <c r="BJ537" s="1474"/>
      <c r="BK537" s="1474"/>
      <c r="BL537" s="1474"/>
    </row>
    <row r="538" spans="52:64">
      <c r="AZ538" s="1698"/>
      <c r="BA538" s="1474"/>
      <c r="BB538" s="1474"/>
      <c r="BC538" s="1474"/>
      <c r="BD538" s="1474"/>
      <c r="BE538" s="1474"/>
      <c r="BF538" s="1474"/>
      <c r="BG538" s="1474"/>
      <c r="BH538" s="1474"/>
      <c r="BI538" s="1474"/>
      <c r="BJ538" s="1474"/>
      <c r="BK538" s="1474"/>
      <c r="BL538" s="1474"/>
    </row>
    <row r="539" spans="52:64">
      <c r="AZ539" s="1698"/>
      <c r="BA539" s="1474"/>
      <c r="BB539" s="1474"/>
      <c r="BC539" s="1474"/>
      <c r="BD539" s="1474"/>
      <c r="BE539" s="1474"/>
      <c r="BF539" s="1474"/>
      <c r="BG539" s="1474"/>
      <c r="BH539" s="1474"/>
      <c r="BI539" s="1474"/>
      <c r="BJ539" s="1474"/>
      <c r="BK539" s="1474"/>
      <c r="BL539" s="1474"/>
    </row>
    <row r="540" spans="52:64">
      <c r="AZ540" s="1698"/>
      <c r="BA540" s="1474"/>
      <c r="BB540" s="1474"/>
      <c r="BC540" s="1474"/>
      <c r="BD540" s="1474"/>
      <c r="BE540" s="1474"/>
      <c r="BF540" s="1474"/>
      <c r="BG540" s="1474"/>
      <c r="BH540" s="1474"/>
      <c r="BI540" s="1474"/>
      <c r="BJ540" s="1474"/>
      <c r="BK540" s="1474"/>
      <c r="BL540" s="1474"/>
    </row>
    <row r="541" spans="52:64">
      <c r="AZ541" s="1698"/>
      <c r="BA541" s="1474"/>
      <c r="BB541" s="1474"/>
      <c r="BC541" s="1474"/>
      <c r="BD541" s="1474"/>
      <c r="BE541" s="1474"/>
      <c r="BF541" s="1474"/>
      <c r="BG541" s="1474"/>
      <c r="BH541" s="1474"/>
      <c r="BI541" s="1474"/>
      <c r="BJ541" s="1474"/>
      <c r="BK541" s="1474"/>
      <c r="BL541" s="1474"/>
    </row>
    <row r="542" spans="52:64">
      <c r="AZ542" s="1698"/>
      <c r="BA542" s="1474"/>
      <c r="BB542" s="1474"/>
      <c r="BC542" s="1474"/>
      <c r="BD542" s="1474"/>
      <c r="BE542" s="1474"/>
      <c r="BF542" s="1474"/>
      <c r="BG542" s="1474"/>
      <c r="BH542" s="1474"/>
      <c r="BI542" s="1474"/>
      <c r="BJ542" s="1474"/>
      <c r="BK542" s="1474"/>
      <c r="BL542" s="1474"/>
    </row>
    <row r="543" spans="52:64">
      <c r="AZ543" s="1698"/>
      <c r="BA543" s="1474"/>
      <c r="BB543" s="1474"/>
      <c r="BC543" s="1474"/>
      <c r="BD543" s="1474"/>
      <c r="BE543" s="1474"/>
      <c r="BF543" s="1474"/>
      <c r="BG543" s="1474"/>
      <c r="BH543" s="1474"/>
      <c r="BI543" s="1474"/>
      <c r="BJ543" s="1474"/>
      <c r="BK543" s="1474"/>
      <c r="BL543" s="1474"/>
    </row>
  </sheetData>
  <mergeCells count="2">
    <mergeCell ref="U230:U231"/>
    <mergeCell ref="U224:U225"/>
  </mergeCells>
  <phoneticPr fontId="284" type="noConversion"/>
  <pageMargins left="0.7" right="0.7" top="0.75" bottom="0.75" header="0.3" footer="0.3"/>
  <pageSetup orientation="portrait" r:id="rId1"/>
  <ignoredErrors>
    <ignoredError sqref="B178" formula="1"/>
  </ignoredError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783AE-9FD2-41AE-99FF-7B9C4461AB60}">
  <sheetPr>
    <tabColor rgb="FFED7D31"/>
    <pageSetUpPr fitToPage="1"/>
  </sheetPr>
  <dimension ref="B1:AB222"/>
  <sheetViews>
    <sheetView showGridLines="0" zoomScale="115" zoomScaleNormal="115" workbookViewId="0">
      <pane xSplit="1" ySplit="1" topLeftCell="B2" activePane="bottomRight" state="frozen"/>
      <selection activeCell="C19" sqref="C19"/>
      <selection pane="topRight"/>
      <selection pane="bottomLeft"/>
      <selection pane="bottomRight" activeCell="B2" sqref="B2"/>
    </sheetView>
  </sheetViews>
  <sheetFormatPr defaultColWidth="14.42578125" defaultRowHeight="15" outlineLevelRow="1"/>
  <cols>
    <col min="1" max="1" width="3.140625" style="449" customWidth="1"/>
    <col min="2" max="2" width="35.7109375" style="449" customWidth="1"/>
    <col min="3" max="9" width="13.7109375" style="449" customWidth="1"/>
    <col min="10" max="10" width="15" style="449" customWidth="1"/>
    <col min="11" max="11" width="15.85546875" style="449" customWidth="1"/>
    <col min="12" max="12" width="11.140625" style="449" customWidth="1"/>
    <col min="13" max="13" width="12.140625" style="449" customWidth="1"/>
    <col min="14" max="14" width="28.85546875" style="449" hidden="1" customWidth="1"/>
    <col min="15" max="15" width="7.140625" style="449" hidden="1" customWidth="1"/>
    <col min="16" max="16" width="12.140625" style="449" hidden="1" customWidth="1"/>
    <col min="17" max="17" width="12.42578125" style="449" hidden="1" customWidth="1"/>
    <col min="18" max="18" width="20.85546875" style="449" hidden="1" customWidth="1"/>
    <col min="19" max="20" width="8.85546875" style="449" hidden="1" customWidth="1"/>
    <col min="21" max="21" width="20.85546875" style="449" hidden="1" customWidth="1"/>
    <col min="22" max="22" width="10.85546875" style="449" hidden="1" customWidth="1"/>
    <col min="23" max="23" width="14.85546875" style="449" hidden="1" customWidth="1"/>
    <col min="24" max="24" width="8.85546875" style="449" hidden="1" customWidth="1"/>
    <col min="25" max="25" width="14.42578125" style="449" hidden="1" customWidth="1"/>
    <col min="26" max="26" width="0" style="449" hidden="1" customWidth="1"/>
    <col min="27" max="27" width="40.42578125" style="449" customWidth="1"/>
    <col min="28" max="16384" width="14.42578125" style="449"/>
  </cols>
  <sheetData>
    <row r="1" spans="2:26" ht="15.75" thickBot="1">
      <c r="D1" s="448"/>
    </row>
    <row r="2" spans="2:26">
      <c r="B2" s="3332"/>
      <c r="C2" s="3333"/>
      <c r="D2" s="3334"/>
      <c r="E2" s="3333"/>
      <c r="F2" s="3333"/>
      <c r="G2" s="3333"/>
      <c r="H2" s="3333"/>
      <c r="I2" s="3333"/>
      <c r="J2" s="3335"/>
    </row>
    <row r="3" spans="2:26">
      <c r="B3" s="3336" t="s">
        <v>87</v>
      </c>
      <c r="J3" s="3337">
        <v>2026</v>
      </c>
      <c r="R3" s="585">
        <v>2023</v>
      </c>
      <c r="Z3" s="449" t="s">
        <v>164</v>
      </c>
    </row>
    <row r="4" spans="2:26" ht="6" customHeight="1">
      <c r="B4" s="3338"/>
      <c r="C4" s="461"/>
      <c r="D4" s="461"/>
      <c r="E4" s="461"/>
      <c r="F4" s="461"/>
      <c r="G4" s="461"/>
      <c r="H4" s="461"/>
      <c r="I4" s="461"/>
      <c r="J4" s="3339"/>
      <c r="K4" s="461"/>
      <c r="L4" s="461"/>
      <c r="M4" s="461"/>
    </row>
    <row r="5" spans="2:26">
      <c r="B5" s="3340" t="s">
        <v>88</v>
      </c>
      <c r="C5" s="455"/>
      <c r="D5" s="461"/>
      <c r="F5" s="3617" t="s">
        <v>90</v>
      </c>
      <c r="G5" s="3617"/>
      <c r="H5" s="3617"/>
      <c r="I5" s="3617"/>
      <c r="J5" s="3618"/>
      <c r="K5" s="462"/>
      <c r="N5" s="3609" t="s">
        <v>90</v>
      </c>
      <c r="O5" s="3610"/>
      <c r="P5" s="3610"/>
      <c r="Q5" s="3610"/>
      <c r="R5" s="3611"/>
    </row>
    <row r="6" spans="2:26">
      <c r="B6" s="3341" t="s">
        <v>89</v>
      </c>
      <c r="C6" s="464"/>
      <c r="D6" s="461"/>
      <c r="F6" s="3342" t="s">
        <v>1806</v>
      </c>
      <c r="G6" s="462"/>
      <c r="H6" s="462"/>
      <c r="I6" s="466"/>
      <c r="J6" s="3343">
        <f ca="1">D36</f>
        <v>29669.933743912181</v>
      </c>
      <c r="K6" s="462"/>
      <c r="N6" s="465" t="s">
        <v>248</v>
      </c>
      <c r="O6" s="462"/>
      <c r="P6" s="462"/>
      <c r="Q6" s="466"/>
      <c r="R6" s="467" t="e">
        <f ca="1">P36</f>
        <v>#REF!</v>
      </c>
    </row>
    <row r="7" spans="2:26">
      <c r="B7" s="3341" t="s">
        <v>1805</v>
      </c>
      <c r="C7" s="464">
        <v>2.5000000000000001E-2</v>
      </c>
      <c r="D7" s="461"/>
      <c r="F7" s="3342" t="s">
        <v>5</v>
      </c>
      <c r="G7" s="462"/>
      <c r="H7" s="462"/>
      <c r="I7" s="461"/>
      <c r="J7" s="3339">
        <f ca="1">C27</f>
        <v>9.9249688134254693E-2</v>
      </c>
      <c r="K7" s="462"/>
      <c r="N7" s="465" t="s">
        <v>5</v>
      </c>
      <c r="O7" s="462"/>
      <c r="P7" s="462"/>
      <c r="Q7" s="461"/>
      <c r="R7" s="469">
        <f ca="1">C27</f>
        <v>9.9249688134254693E-2</v>
      </c>
    </row>
    <row r="8" spans="2:26">
      <c r="B8" s="3344"/>
      <c r="C8" s="471"/>
      <c r="D8" s="461"/>
      <c r="F8" s="3342" t="s">
        <v>91</v>
      </c>
      <c r="G8" s="462"/>
      <c r="H8" s="462"/>
      <c r="I8" s="461"/>
      <c r="J8" s="3339">
        <f>C7</f>
        <v>2.5000000000000001E-2</v>
      </c>
      <c r="K8" s="462"/>
      <c r="N8" s="465" t="s">
        <v>91</v>
      </c>
      <c r="O8" s="462"/>
      <c r="P8" s="462"/>
      <c r="Q8" s="461"/>
      <c r="R8" s="469">
        <f>C6</f>
        <v>0</v>
      </c>
    </row>
    <row r="9" spans="2:26">
      <c r="B9" s="495"/>
      <c r="C9" s="3345"/>
      <c r="D9" s="461"/>
      <c r="F9" s="3342" t="s">
        <v>1965</v>
      </c>
      <c r="G9" s="462"/>
      <c r="H9" s="462"/>
      <c r="I9" s="466"/>
      <c r="J9" s="3343">
        <f ca="1">G36</f>
        <v>135886.65672227563</v>
      </c>
      <c r="K9" s="472"/>
      <c r="N9" s="465" t="s">
        <v>108</v>
      </c>
      <c r="O9" s="462"/>
      <c r="P9" s="462"/>
      <c r="Q9" s="466"/>
      <c r="R9" s="467">
        <f ca="1">S36</f>
        <v>116282.70540257945</v>
      </c>
    </row>
    <row r="10" spans="2:26">
      <c r="B10" s="3622" t="s">
        <v>5</v>
      </c>
      <c r="C10" s="3617"/>
      <c r="D10" s="461"/>
      <c r="F10" s="3346" t="s">
        <v>109</v>
      </c>
      <c r="G10" s="462"/>
      <c r="H10" s="462"/>
      <c r="I10" s="563"/>
      <c r="J10" s="3347">
        <f ca="1">J9/(J9+J6)</f>
        <v>0.82078675539061807</v>
      </c>
      <c r="K10" s="462"/>
      <c r="N10" s="473" t="s">
        <v>109</v>
      </c>
      <c r="O10" s="474"/>
      <c r="P10" s="474"/>
      <c r="Q10" s="475"/>
      <c r="R10" s="476" t="e">
        <f ca="1">R9/(R9+R6)</f>
        <v>#REF!</v>
      </c>
    </row>
    <row r="11" spans="2:26">
      <c r="B11" s="3341"/>
      <c r="C11" s="3348"/>
      <c r="D11" s="461"/>
      <c r="F11" s="462"/>
      <c r="G11" s="462"/>
      <c r="H11" s="462"/>
      <c r="I11" s="461"/>
      <c r="J11" s="3349"/>
      <c r="K11" s="462"/>
      <c r="N11" s="462"/>
      <c r="O11" s="462"/>
      <c r="P11" s="462"/>
      <c r="Q11" s="461"/>
    </row>
    <row r="12" spans="2:26">
      <c r="B12" s="3350" t="s">
        <v>743</v>
      </c>
      <c r="C12" s="483">
        <f ca="1">BS!Q76</f>
        <v>42945.223022742815</v>
      </c>
      <c r="D12" s="461"/>
      <c r="F12" s="3617" t="s">
        <v>115</v>
      </c>
      <c r="G12" s="3617"/>
      <c r="H12" s="3617"/>
      <c r="I12" s="3617"/>
      <c r="J12" s="3618"/>
      <c r="K12" s="462"/>
      <c r="N12" s="3609" t="s">
        <v>115</v>
      </c>
      <c r="O12" s="3610"/>
      <c r="P12" s="3610"/>
      <c r="Q12" s="3610"/>
      <c r="R12" s="3611"/>
    </row>
    <row r="13" spans="2:26">
      <c r="B13" s="3338" t="s">
        <v>744</v>
      </c>
      <c r="C13" s="483">
        <f ca="1">BS!Q50+BS!Q53</f>
        <v>21486.007440511574</v>
      </c>
      <c r="D13" s="1936"/>
      <c r="F13" s="3351" t="s">
        <v>1026</v>
      </c>
      <c r="G13" s="462"/>
      <c r="H13" s="462"/>
      <c r="I13" s="480"/>
      <c r="J13" s="3352">
        <f ca="1">J6+J9</f>
        <v>165556.5904661878</v>
      </c>
      <c r="K13" s="462"/>
      <c r="N13" s="479" t="s">
        <v>92</v>
      </c>
      <c r="O13" s="462"/>
      <c r="P13" s="462"/>
      <c r="Q13" s="480"/>
      <c r="R13" s="481" t="e">
        <f ca="1">R6+R9</f>
        <v>#REF!</v>
      </c>
    </row>
    <row r="14" spans="2:26">
      <c r="B14" s="3338"/>
      <c r="C14" s="3353"/>
      <c r="D14" s="461"/>
      <c r="F14" s="3354" t="s">
        <v>93</v>
      </c>
      <c r="G14" s="462"/>
      <c r="H14" s="462"/>
      <c r="I14" s="483"/>
      <c r="J14" s="3355">
        <f>BS!O50+BS!O53</f>
        <v>14947.36</v>
      </c>
      <c r="K14" s="462"/>
      <c r="N14" s="482" t="s">
        <v>93</v>
      </c>
      <c r="O14" s="462"/>
      <c r="P14" s="462"/>
      <c r="Q14" s="483"/>
      <c r="R14" s="484">
        <f>BS!V50+BS!V53</f>
        <v>13146.553629564996</v>
      </c>
    </row>
    <row r="15" spans="2:26">
      <c r="B15" s="3341" t="s">
        <v>6</v>
      </c>
      <c r="C15" s="2918">
        <f ca="1">C12/($C$12+$C$13)</f>
        <v>0.66652805966874706</v>
      </c>
      <c r="D15" s="812"/>
      <c r="F15" s="3354" t="s">
        <v>94</v>
      </c>
      <c r="G15" s="462"/>
      <c r="H15" s="462"/>
      <c r="I15" s="483"/>
      <c r="J15" s="3355">
        <f>BS!O6+BS!O7</f>
        <v>31100.65</v>
      </c>
      <c r="K15" s="462"/>
      <c r="N15" s="482" t="s">
        <v>94</v>
      </c>
      <c r="O15" s="462"/>
      <c r="P15" s="462"/>
      <c r="Q15" s="483"/>
      <c r="R15" s="484" t="e">
        <f>BS!V6+BS!V7</f>
        <v>#REF!</v>
      </c>
    </row>
    <row r="16" spans="2:26">
      <c r="B16" s="3341" t="s">
        <v>7</v>
      </c>
      <c r="C16" s="2919">
        <f ca="1">1-C15</f>
        <v>0.33347194033125294</v>
      </c>
      <c r="D16" s="812"/>
      <c r="F16" s="3356" t="s">
        <v>95</v>
      </c>
      <c r="G16" s="472"/>
      <c r="H16" s="472"/>
      <c r="I16" s="480"/>
      <c r="J16" s="3352">
        <f>J14-J15</f>
        <v>-16153.29</v>
      </c>
      <c r="K16" s="462"/>
      <c r="N16" s="486" t="s">
        <v>95</v>
      </c>
      <c r="O16" s="472"/>
      <c r="P16" s="472"/>
      <c r="Q16" s="480"/>
      <c r="R16" s="481" t="e">
        <f>R14-R15</f>
        <v>#REF!</v>
      </c>
    </row>
    <row r="17" spans="2:28">
      <c r="B17" s="3357"/>
      <c r="C17" s="3358"/>
      <c r="D17" s="487"/>
      <c r="F17" s="3356" t="s">
        <v>285</v>
      </c>
      <c r="G17" s="462"/>
      <c r="H17" s="462"/>
      <c r="I17" s="480"/>
      <c r="J17" s="3352">
        <f ca="1">J13-J16</f>
        <v>181709.88046618781</v>
      </c>
      <c r="K17" s="1320"/>
      <c r="N17" s="486" t="s">
        <v>96</v>
      </c>
      <c r="O17" s="462"/>
      <c r="P17" s="462"/>
      <c r="Q17" s="480"/>
      <c r="R17" s="481" t="e">
        <f ca="1">R13-R16</f>
        <v>#REF!</v>
      </c>
    </row>
    <row r="18" spans="2:28">
      <c r="B18" s="3359" t="s">
        <v>680</v>
      </c>
      <c r="C18" s="677">
        <v>0.115</v>
      </c>
      <c r="D18" s="487"/>
      <c r="F18" s="3356"/>
      <c r="G18" s="462"/>
      <c r="H18" s="462"/>
      <c r="I18" s="480"/>
      <c r="J18" s="3352"/>
      <c r="K18" s="1320"/>
      <c r="N18" s="486"/>
      <c r="O18" s="462"/>
      <c r="P18" s="462"/>
      <c r="Q18" s="480"/>
      <c r="R18" s="481"/>
    </row>
    <row r="19" spans="2:28">
      <c r="B19" s="3341" t="s">
        <v>98</v>
      </c>
      <c r="C19" s="3360">
        <f ca="1">PL!W51</f>
        <v>0.15</v>
      </c>
      <c r="D19" s="485"/>
      <c r="F19" s="3361" t="s">
        <v>26</v>
      </c>
      <c r="G19" s="462"/>
      <c r="H19" s="462"/>
      <c r="I19" s="483"/>
      <c r="J19" s="3355">
        <f>PL!Q90</f>
        <v>1703507121</v>
      </c>
      <c r="K19" s="1321"/>
      <c r="N19" s="488" t="s">
        <v>26</v>
      </c>
      <c r="O19" s="462"/>
      <c r="P19" s="462"/>
      <c r="Q19" s="483"/>
      <c r="R19" s="484">
        <f>PL!J90</f>
        <v>613636772</v>
      </c>
    </row>
    <row r="20" spans="2:28" ht="21.75" customHeight="1">
      <c r="B20" s="3362" t="s">
        <v>99</v>
      </c>
      <c r="C20" s="3363">
        <f ca="1">C18*(1-C19)</f>
        <v>9.7750000000000004E-2</v>
      </c>
      <c r="D20" s="461"/>
      <c r="F20" s="462"/>
      <c r="G20" s="462"/>
      <c r="H20" s="462"/>
      <c r="I20" s="483"/>
      <c r="J20" s="3355"/>
      <c r="K20" s="1320"/>
      <c r="N20" s="468"/>
      <c r="O20" s="462"/>
      <c r="P20" s="462"/>
      <c r="Q20" s="483"/>
      <c r="R20" s="484"/>
      <c r="AA20" s="2017" t="s">
        <v>1170</v>
      </c>
    </row>
    <row r="21" spans="2:28">
      <c r="B21" s="3362"/>
      <c r="C21" s="678"/>
      <c r="D21" s="461"/>
      <c r="F21" s="3356" t="s">
        <v>97</v>
      </c>
      <c r="G21" s="462"/>
      <c r="H21" s="462"/>
      <c r="I21" s="489"/>
      <c r="J21" s="3364">
        <f ca="1">J17*10^9/$J$19</f>
        <v>106668.10735696819</v>
      </c>
      <c r="K21" s="1319"/>
      <c r="N21" s="490" t="s">
        <v>97</v>
      </c>
      <c r="O21" s="474"/>
      <c r="P21" s="474"/>
      <c r="Q21" s="491"/>
      <c r="R21" s="492" t="e">
        <f ca="1">R17*10^9/R19</f>
        <v>#REF!</v>
      </c>
    </row>
    <row r="22" spans="2:28">
      <c r="B22" s="3341" t="s">
        <v>100</v>
      </c>
      <c r="C22" s="3365">
        <v>4.2999999999999997E-2</v>
      </c>
      <c r="D22" s="461"/>
      <c r="J22" s="3349"/>
      <c r="K22" s="1320"/>
      <c r="M22" s="449" t="s">
        <v>1173</v>
      </c>
      <c r="AA22" s="2018" t="s">
        <v>84</v>
      </c>
      <c r="AB22" s="257">
        <v>6046.6051369372854</v>
      </c>
    </row>
    <row r="23" spans="2:28">
      <c r="B23" s="3341" t="s">
        <v>101</v>
      </c>
      <c r="C23" s="679">
        <v>1</v>
      </c>
      <c r="D23" s="493"/>
      <c r="E23" s="3366"/>
      <c r="F23" s="3367" t="s">
        <v>1963</v>
      </c>
      <c r="G23" s="462"/>
      <c r="H23" s="462"/>
      <c r="I23" s="483"/>
      <c r="J23" s="3368">
        <v>72200</v>
      </c>
      <c r="K23" s="462"/>
      <c r="M23" s="449" t="s">
        <v>1174</v>
      </c>
      <c r="AA23" s="449" t="s">
        <v>108</v>
      </c>
      <c r="AB23" s="580">
        <v>0.04</v>
      </c>
    </row>
    <row r="24" spans="2:28">
      <c r="B24" s="3341" t="s">
        <v>102</v>
      </c>
      <c r="C24" s="678">
        <f>C22+5.7%</f>
        <v>0.1</v>
      </c>
      <c r="D24" s="461"/>
      <c r="E24" s="3369"/>
      <c r="F24" s="3370" t="s">
        <v>1964</v>
      </c>
      <c r="G24" s="462"/>
      <c r="H24" s="462"/>
      <c r="I24" s="483"/>
      <c r="J24" s="3371">
        <f ca="1">J21/J23-1</f>
        <v>0.477397608822274</v>
      </c>
      <c r="K24" s="462"/>
      <c r="M24" s="449" t="s">
        <v>1175</v>
      </c>
      <c r="AA24" s="449" t="s">
        <v>5</v>
      </c>
      <c r="AB24" s="678">
        <v>8.8200000000000001E-2</v>
      </c>
    </row>
    <row r="25" spans="2:28">
      <c r="B25" s="3359" t="s">
        <v>681</v>
      </c>
      <c r="C25" s="3363">
        <f>C22+C23*(C24-C22)</f>
        <v>0.1</v>
      </c>
      <c r="D25" s="461"/>
      <c r="E25" s="678"/>
      <c r="F25" s="462"/>
      <c r="J25" s="3372"/>
      <c r="K25" s="462"/>
      <c r="M25" s="449" t="s">
        <v>1177</v>
      </c>
      <c r="AA25" s="449" t="s">
        <v>1171</v>
      </c>
      <c r="AB25" s="678">
        <v>0.04</v>
      </c>
    </row>
    <row r="26" spans="2:28">
      <c r="B26" s="3341"/>
      <c r="C26" s="677"/>
      <c r="D26" s="461"/>
      <c r="E26" s="3369"/>
      <c r="F26" s="3373"/>
      <c r="G26" s="2016"/>
      <c r="H26" s="3374"/>
      <c r="I26" s="3375"/>
      <c r="J26" s="3376"/>
      <c r="K26" s="462"/>
      <c r="L26" s="462"/>
      <c r="M26" s="462"/>
      <c r="AA26" s="449" t="s">
        <v>1172</v>
      </c>
      <c r="AB26" s="2019">
        <v>4.4249999999999998</v>
      </c>
    </row>
    <row r="27" spans="2:28" ht="15.75" thickBot="1">
      <c r="B27" s="3377" t="s">
        <v>5</v>
      </c>
      <c r="C27" s="3378">
        <f ca="1">C15*C25+C16*C20</f>
        <v>9.9249688134254693E-2</v>
      </c>
      <c r="D27" s="3379"/>
      <c r="E27" s="3380"/>
      <c r="F27" s="3381"/>
      <c r="G27" s="3382"/>
      <c r="H27" s="3383"/>
      <c r="I27" s="3384"/>
      <c r="J27" s="3385"/>
      <c r="K27" s="462"/>
      <c r="L27" s="462"/>
      <c r="M27" s="462"/>
    </row>
    <row r="28" spans="2:28">
      <c r="D28" s="461"/>
      <c r="J28" s="494"/>
      <c r="K28" s="462"/>
      <c r="L28" s="462"/>
      <c r="M28" s="462"/>
      <c r="AA28" s="2020"/>
    </row>
    <row r="29" spans="2:28" ht="15.75" thickBot="1">
      <c r="B29" s="462"/>
      <c r="C29" s="462"/>
      <c r="D29" s="461"/>
      <c r="E29" s="461"/>
      <c r="F29" s="461"/>
      <c r="G29" s="461"/>
      <c r="H29" s="461"/>
      <c r="I29" s="461"/>
      <c r="J29" s="461"/>
      <c r="K29" s="461"/>
      <c r="L29" s="461"/>
      <c r="M29" s="461"/>
      <c r="AB29" s="2020">
        <f>((AB22*(1+AB23))/(AB24-AB25))/(1+AB24)^AB26</f>
        <v>89755.654220283672</v>
      </c>
    </row>
    <row r="30" spans="2:28" ht="15.75" thickBot="1">
      <c r="B30" s="3624" t="s">
        <v>247</v>
      </c>
      <c r="C30" s="3625"/>
      <c r="D30" s="3625"/>
      <c r="E30" s="3625"/>
      <c r="F30" s="3625"/>
      <c r="G30" s="3625"/>
      <c r="H30" s="3625"/>
      <c r="I30" s="3625"/>
      <c r="J30" s="3625"/>
      <c r="K30" s="3625"/>
      <c r="L30" s="3626"/>
      <c r="M30" s="461"/>
      <c r="N30" s="3619" t="s">
        <v>247</v>
      </c>
      <c r="O30" s="3619"/>
      <c r="P30" s="3619"/>
      <c r="Q30" s="3619"/>
      <c r="R30" s="3619"/>
      <c r="S30" s="3619"/>
      <c r="T30" s="3619"/>
      <c r="U30" s="3619"/>
      <c r="V30" s="3619"/>
      <c r="W30" s="3619"/>
      <c r="X30" s="3619"/>
    </row>
    <row r="31" spans="2:28">
      <c r="B31" s="495"/>
      <c r="C31" s="462"/>
      <c r="D31" s="462"/>
      <c r="E31" s="462"/>
      <c r="F31" s="462"/>
      <c r="G31" s="462"/>
      <c r="H31" s="462"/>
      <c r="I31" s="462"/>
      <c r="J31" s="462"/>
      <c r="K31" s="462"/>
      <c r="L31" s="496"/>
      <c r="M31" s="461"/>
      <c r="N31" s="497"/>
      <c r="O31" s="462"/>
      <c r="P31" s="462"/>
      <c r="Q31" s="462"/>
      <c r="R31" s="462"/>
      <c r="S31" s="462"/>
      <c r="T31" s="462"/>
      <c r="U31" s="462"/>
      <c r="V31" s="462"/>
      <c r="W31" s="462"/>
      <c r="X31" s="498"/>
    </row>
    <row r="32" spans="2:28">
      <c r="B32" s="499"/>
      <c r="C32" s="500"/>
      <c r="D32" s="501" t="s">
        <v>90</v>
      </c>
      <c r="E32" s="502"/>
      <c r="F32" s="3620" t="s">
        <v>103</v>
      </c>
      <c r="G32" s="3620"/>
      <c r="H32" s="3620"/>
      <c r="I32" s="502"/>
      <c r="J32" s="3620" t="s">
        <v>104</v>
      </c>
      <c r="K32" s="3620"/>
      <c r="L32" s="3623"/>
      <c r="M32" s="461"/>
      <c r="N32" s="505"/>
      <c r="O32" s="500"/>
      <c r="P32" s="501" t="s">
        <v>90</v>
      </c>
      <c r="Q32" s="502"/>
      <c r="R32" s="3620" t="s">
        <v>103</v>
      </c>
      <c r="S32" s="3620"/>
      <c r="T32" s="3620"/>
      <c r="U32" s="502"/>
      <c r="V32" s="3620" t="s">
        <v>104</v>
      </c>
      <c r="W32" s="3620"/>
      <c r="X32" s="3621"/>
    </row>
    <row r="33" spans="2:24">
      <c r="B33" s="499"/>
      <c r="C33" s="507" t="s">
        <v>5</v>
      </c>
      <c r="D33" s="2804" t="s">
        <v>1804</v>
      </c>
      <c r="E33" s="508"/>
      <c r="F33" s="509">
        <f>G33-1%</f>
        <v>1.5000000000000001E-2</v>
      </c>
      <c r="G33" s="503">
        <f>C7</f>
        <v>2.5000000000000001E-2</v>
      </c>
      <c r="H33" s="503">
        <f>G33+1%</f>
        <v>3.5000000000000003E-2</v>
      </c>
      <c r="I33" s="508"/>
      <c r="J33" s="509">
        <f>F33</f>
        <v>1.5000000000000001E-2</v>
      </c>
      <c r="K33" s="503">
        <f>G33</f>
        <v>2.5000000000000001E-2</v>
      </c>
      <c r="L33" s="504">
        <f>H33</f>
        <v>3.5000000000000003E-2</v>
      </c>
      <c r="M33" s="461"/>
      <c r="N33" s="505"/>
      <c r="O33" s="507" t="s">
        <v>5</v>
      </c>
      <c r="P33" s="503" t="s">
        <v>170</v>
      </c>
      <c r="Q33" s="508"/>
      <c r="R33" s="509">
        <f>F33</f>
        <v>1.5000000000000001E-2</v>
      </c>
      <c r="S33" s="509">
        <f>G33</f>
        <v>2.5000000000000001E-2</v>
      </c>
      <c r="T33" s="509">
        <f>H33</f>
        <v>3.5000000000000003E-2</v>
      </c>
      <c r="U33" s="508"/>
      <c r="V33" s="509">
        <f>R33</f>
        <v>1.5000000000000001E-2</v>
      </c>
      <c r="W33" s="503">
        <f>S33</f>
        <v>2.5000000000000001E-2</v>
      </c>
      <c r="X33" s="506">
        <f>T33</f>
        <v>3.5000000000000003E-2</v>
      </c>
    </row>
    <row r="34" spans="2:24">
      <c r="B34" s="499"/>
      <c r="C34" s="510">
        <f ca="1">C35-0.5%</f>
        <v>8.9249688134254684E-2</v>
      </c>
      <c r="D34" s="511">
        <f>SUM(CF!Q44:U44)</f>
        <v>0</v>
      </c>
      <c r="E34" s="512"/>
      <c r="F34" s="513">
        <f ca="1">((CF!$M$23*(1+Valuation!F$33))/(Valuation!$C34-Valuation!F$33))/((1+Valuation!$C34)^CF!$M$37)</f>
        <v>111009.69196666736</v>
      </c>
      <c r="G34" s="513">
        <f ca="1">((CF!$M$23*(1+Valuation!G$33))/(Valuation!$C34-Valuation!G$33))/((1+Valuation!$C34)^CF!$M$37)</f>
        <v>129551.46563905929</v>
      </c>
      <c r="H34" s="513">
        <f ca="1">((CF!$M$23*(1+Valuation!H$33))/(Valuation!$C34-Valuation!H$33))/((1+Valuation!$C34)^CF!$M$37)</f>
        <v>154928.95553769221</v>
      </c>
      <c r="I34" s="512"/>
      <c r="J34" s="513">
        <f t="shared" ref="J34:L35" ca="1" si="0">F34+$D34</f>
        <v>111009.69196666736</v>
      </c>
      <c r="K34" s="513">
        <f ca="1">G34+$D34</f>
        <v>129551.46563905929</v>
      </c>
      <c r="L34" s="514">
        <f t="shared" ca="1" si="0"/>
        <v>154928.95553769221</v>
      </c>
      <c r="M34" s="461"/>
      <c r="N34" s="505"/>
      <c r="O34" s="510">
        <f t="shared" ref="O34:O39" ca="1" si="1">C34</f>
        <v>8.9249688134254684E-2</v>
      </c>
      <c r="P34" s="511">
        <f>SUM(CF!Q44:T44)</f>
        <v>0</v>
      </c>
      <c r="Q34" s="512"/>
      <c r="R34" s="513">
        <f ca="1">((CF!$L$23*(1+Valuation!R$33))/(Valuation!$C34-Valuation!R$33))/((1+Valuation!$C34)^4)</f>
        <v>119435.36235910984</v>
      </c>
      <c r="S34" s="513">
        <f ca="1">((CF!$L$23*(1+Valuation!S$33))/(Valuation!$C34-Valuation!S$33))/((1+Valuation!$C34)^4)</f>
        <v>139384.46246117741</v>
      </c>
      <c r="T34" s="513">
        <f ca="1">((CF!$L$23*(1+Valuation!T$33))/(Valuation!$C34-Valuation!T$33))/((1+Valuation!$C34)^4)</f>
        <v>166688.11179224637</v>
      </c>
      <c r="U34" s="512"/>
      <c r="V34" s="513">
        <f t="shared" ref="V34:V39" ca="1" si="2">R34+$P34</f>
        <v>119435.36235910984</v>
      </c>
      <c r="W34" s="513">
        <f t="shared" ref="W34:W39" ca="1" si="3">S34+$P34</f>
        <v>139384.46246117741</v>
      </c>
      <c r="X34" s="515">
        <f t="shared" ref="X34:X39" ca="1" si="4">T34+$P34</f>
        <v>166688.11179224637</v>
      </c>
    </row>
    <row r="35" spans="2:24">
      <c r="B35" s="495"/>
      <c r="C35" s="510">
        <f ca="1">C36-0.5%</f>
        <v>9.4249688134254689E-2</v>
      </c>
      <c r="D35" s="511">
        <f>SUM(CF!Q45:U45)</f>
        <v>0</v>
      </c>
      <c r="E35" s="516"/>
      <c r="F35" s="513">
        <f ca="1">((CF!$M$23*(1+Valuation!F$33))/(Valuation!$C35-Valuation!F$33))/((1+Valuation!$C35)^CF!$M$37)</f>
        <v>103328.02722915226</v>
      </c>
      <c r="G35" s="513">
        <f ca="1">((CF!$M$23*(1+Valuation!G$33))/(Valuation!$C35-Valuation!G$33))/((1+Valuation!$C35)^CF!$M$37)</f>
        <v>119414.12504229738</v>
      </c>
      <c r="H35" s="513">
        <f ca="1">((CF!$M$23*(1+Valuation!H$33))/(Valuation!$C35-Valuation!H$33))/((1+Valuation!$C35)^CF!$M$37)</f>
        <v>140930.15787103126</v>
      </c>
      <c r="I35" s="516"/>
      <c r="J35" s="513">
        <f ca="1">F35+$D35</f>
        <v>103328.02722915226</v>
      </c>
      <c r="K35" s="513">
        <f t="shared" ca="1" si="0"/>
        <v>119414.12504229738</v>
      </c>
      <c r="L35" s="514">
        <f t="shared" ca="1" si="0"/>
        <v>140930.15787103126</v>
      </c>
      <c r="M35" s="461"/>
      <c r="N35" s="497"/>
      <c r="O35" s="510">
        <f t="shared" ca="1" si="1"/>
        <v>9.4249688134254689E-2</v>
      </c>
      <c r="P35" s="511" t="e">
        <f ca="1">NPV($C35,CF!$Q$23:$T$23)</f>
        <v>#REF!</v>
      </c>
      <c r="Q35" s="516"/>
      <c r="R35" s="513">
        <f ca="1">((CF!$L$23*(1+Valuation!R$33))/(Valuation!$C35-Valuation!R$33))/((1+Valuation!$C35)^4)</f>
        <v>109868.71738054555</v>
      </c>
      <c r="S35" s="513">
        <f ca="1">((CF!$L$23*(1+Valuation!S$33))/(Valuation!$C35-Valuation!S$33))/((1+Valuation!$C35)^4)</f>
        <v>126973.06923726639</v>
      </c>
      <c r="T35" s="513">
        <f ca="1">((CF!$L$23*(1+Valuation!T$33))/(Valuation!$C35-Valuation!T$33))/((1+Valuation!$C35)^4)</f>
        <v>149851.07236383489</v>
      </c>
      <c r="U35" s="516"/>
      <c r="V35" s="513" t="e">
        <f t="shared" ca="1" si="2"/>
        <v>#REF!</v>
      </c>
      <c r="W35" s="513" t="e">
        <f t="shared" ca="1" si="3"/>
        <v>#REF!</v>
      </c>
      <c r="X35" s="515" t="e">
        <f t="shared" ca="1" si="4"/>
        <v>#REF!</v>
      </c>
    </row>
    <row r="36" spans="2:24" s="448" customFormat="1" ht="18">
      <c r="B36" s="517"/>
      <c r="C36" s="518">
        <f ca="1">C27</f>
        <v>9.9249688134254693E-2</v>
      </c>
      <c r="D36" s="519">
        <f ca="1">SUM(CF!L$38:N$38)</f>
        <v>29669.933743912181</v>
      </c>
      <c r="E36" s="1396" t="s">
        <v>8</v>
      </c>
      <c r="F36" s="520">
        <f ca="1">((CF!$M$23*(1+Valuation!F$33))/(Valuation!$C36-Valuation!F$33))/((1+Valuation!$C36)^CF!$M$37)</f>
        <v>96565.170699687485</v>
      </c>
      <c r="G36" s="520">
        <f ca="1">((CF!$N$23*(1+Valuation!G$33))/(Valuation!$C36-Valuation!G$33))/((1+Valuation!$C36)^CF!$N$37)</f>
        <v>135886.65672227563</v>
      </c>
      <c r="H36" s="520">
        <f ca="1">((CF!$M$23*(1+Valuation!H$33))/(Valuation!$C36-Valuation!H$33))/((1+Valuation!$C36)^CF!$M$37)</f>
        <v>129119.57802051819</v>
      </c>
      <c r="I36" s="1396" t="s">
        <v>9</v>
      </c>
      <c r="J36" s="521">
        <f t="shared" ref="J36:L39" ca="1" si="5">F36+$D36</f>
        <v>126235.10444359967</v>
      </c>
      <c r="K36" s="521">
        <f t="shared" ca="1" si="5"/>
        <v>165556.5904661878</v>
      </c>
      <c r="L36" s="522">
        <f t="shared" ca="1" si="5"/>
        <v>158789.51176443038</v>
      </c>
      <c r="M36" s="523"/>
      <c r="N36" s="524"/>
      <c r="O36" s="518">
        <f t="shared" ca="1" si="1"/>
        <v>9.9249688134254693E-2</v>
      </c>
      <c r="P36" s="525" t="e">
        <f ca="1">NPV($C36,CF!$Q$23:$T$23)</f>
        <v>#REF!</v>
      </c>
      <c r="Q36" s="521" t="s">
        <v>8</v>
      </c>
      <c r="R36" s="521">
        <f ca="1">((CF!$L$23*(1+Valuation!R$33))/(Valuation!$C36-Valuation!R$33))/((1+Valuation!$C36)^4)</f>
        <v>101480.74250906857</v>
      </c>
      <c r="S36" s="521">
        <f ca="1">((CF!$L$23*(1+Valuation!S$33))/(Valuation!$C36-Valuation!S$33))/((1+Valuation!$C36)^4)</f>
        <v>116282.70540257945</v>
      </c>
      <c r="T36" s="521">
        <f ca="1">((CF!$L$23*(1+Valuation!T$33))/(Valuation!$C36-Valuation!T$33))/((1+Valuation!$C36)^4)</f>
        <v>135692.30556977825</v>
      </c>
      <c r="U36" s="521" t="s">
        <v>9</v>
      </c>
      <c r="V36" s="521" t="e">
        <f t="shared" ca="1" si="2"/>
        <v>#REF!</v>
      </c>
      <c r="W36" s="521" t="e">
        <f t="shared" ca="1" si="3"/>
        <v>#REF!</v>
      </c>
      <c r="X36" s="525" t="e">
        <f t="shared" ca="1" si="4"/>
        <v>#REF!</v>
      </c>
    </row>
    <row r="37" spans="2:24">
      <c r="B37" s="526"/>
      <c r="C37" s="527">
        <f ca="1">C36+0.5%</f>
        <v>0.1042496881342547</v>
      </c>
      <c r="D37" s="511">
        <f>SUM(CF!Q47:U47)</f>
        <v>0</v>
      </c>
      <c r="E37" s="516"/>
      <c r="F37" s="513">
        <f ca="1">((CF!$M$23*(1+Valuation!F$33))/(Valuation!$C37-Valuation!F$33))/((1+Valuation!$C37)^CF!$M$37)</f>
        <v>90566.597325845723</v>
      </c>
      <c r="G37" s="513">
        <f ca="1">((CF!$M$23*(1+Valuation!G$33))/(Valuation!$C37-Valuation!G$33))/((1+Valuation!$C37)^CF!$M$37)</f>
        <v>102999.47705202994</v>
      </c>
      <c r="H37" s="513">
        <f ca="1">((CF!$M$23*(1+Valuation!H$33))/(Valuation!$C37-Valuation!H$33))/((1+Valuation!$C37)^CF!$M$37)</f>
        <v>119023.09633564884</v>
      </c>
      <c r="I37" s="516"/>
      <c r="J37" s="513">
        <f t="shared" ca="1" si="5"/>
        <v>90566.597325845723</v>
      </c>
      <c r="K37" s="513">
        <f t="shared" ca="1" si="5"/>
        <v>102999.47705202994</v>
      </c>
      <c r="L37" s="514">
        <f t="shared" ca="1" si="5"/>
        <v>119023.09633564884</v>
      </c>
      <c r="M37" s="461"/>
      <c r="N37" s="528"/>
      <c r="O37" s="527">
        <f t="shared" ca="1" si="1"/>
        <v>0.1042496881342547</v>
      </c>
      <c r="P37" s="511" t="e">
        <f ca="1">NPV($C37,CF!$Q$23:$T$23)</f>
        <v>#REF!</v>
      </c>
      <c r="Q37" s="516"/>
      <c r="R37" s="513">
        <f ca="1">((CF!$L$23*(1+Valuation!R$33))/(Valuation!$C37-Valuation!R$33))/((1+Valuation!$C37)^4)</f>
        <v>94072.241895109401</v>
      </c>
      <c r="S37" s="513">
        <f ca="1">((CF!$L$23*(1+Valuation!S$33))/(Valuation!$C37-Valuation!S$33))/((1+Valuation!$C37)^4)</f>
        <v>106986.37253034115</v>
      </c>
      <c r="T37" s="513">
        <f ca="1">((CF!$L$23*(1+Valuation!T$33))/(Valuation!$C37-Valuation!T$33))/((1+Valuation!$C37)^4)</f>
        <v>123630.23278116193</v>
      </c>
      <c r="U37" s="516"/>
      <c r="V37" s="513" t="e">
        <f t="shared" ca="1" si="2"/>
        <v>#REF!</v>
      </c>
      <c r="W37" s="513" t="e">
        <f t="shared" ca="1" si="3"/>
        <v>#REF!</v>
      </c>
      <c r="X37" s="515" t="e">
        <f t="shared" ca="1" si="4"/>
        <v>#REF!</v>
      </c>
    </row>
    <row r="38" spans="2:24">
      <c r="B38" s="529"/>
      <c r="C38" s="527">
        <f ca="1">C37+0.5%</f>
        <v>0.1092496881342547</v>
      </c>
      <c r="D38" s="511">
        <f>SUM(CF!Q48:U48)</f>
        <v>0</v>
      </c>
      <c r="E38" s="516"/>
      <c r="F38" s="513">
        <f ca="1">((CF!$M$23*(1+Valuation!F$33))/(Valuation!$C38-Valuation!F$33))/((1+Valuation!$C38)^CF!$M$37)</f>
        <v>85210.574569877863</v>
      </c>
      <c r="G38" s="513">
        <f ca="1">((CF!$M$23*(1+Valuation!G$33))/(Valuation!$C38-Valuation!G$33))/((1+Valuation!$C38)^CF!$M$37)</f>
        <v>96263.785679184453</v>
      </c>
      <c r="H38" s="513">
        <f ca="1">((CF!$M$23*(1+Valuation!H$33))/(Valuation!$C38-Valuation!H$33))/((1+Valuation!$C38)^CF!$M$37)</f>
        <v>110294.30521551656</v>
      </c>
      <c r="I38" s="516"/>
      <c r="J38" s="513">
        <f t="shared" ca="1" si="5"/>
        <v>85210.574569877863</v>
      </c>
      <c r="K38" s="513">
        <f t="shared" ca="1" si="5"/>
        <v>96263.785679184453</v>
      </c>
      <c r="L38" s="514">
        <f t="shared" ca="1" si="5"/>
        <v>110294.30521551656</v>
      </c>
      <c r="M38" s="461"/>
      <c r="N38" s="530"/>
      <c r="O38" s="527">
        <f t="shared" ca="1" si="1"/>
        <v>0.1092496881342547</v>
      </c>
      <c r="P38" s="511" t="e">
        <f ca="1">NPV($C38,CF!$Q$23:$T$23)</f>
        <v>#REF!</v>
      </c>
      <c r="Q38" s="516"/>
      <c r="R38" s="513">
        <f ca="1">((CF!$L$23*(1+Valuation!R$33))/(Valuation!$C38-Valuation!R$33))/((1+Valuation!$C38)^4)</f>
        <v>87486.322130509565</v>
      </c>
      <c r="S38" s="513">
        <f ca="1">((CF!$L$23*(1+Valuation!S$33))/(Valuation!$C38-Valuation!S$33))/((1+Valuation!$C38)^4)</f>
        <v>98834.735077688078</v>
      </c>
      <c r="T38" s="513">
        <f ca="1">((CF!$L$23*(1+Valuation!T$33))/(Valuation!$C38-Valuation!T$33))/((1+Valuation!$C38)^4)</f>
        <v>113239.97243244093</v>
      </c>
      <c r="U38" s="516"/>
      <c r="V38" s="513" t="e">
        <f t="shared" ca="1" si="2"/>
        <v>#REF!</v>
      </c>
      <c r="W38" s="513" t="e">
        <f t="shared" ca="1" si="3"/>
        <v>#REF!</v>
      </c>
      <c r="X38" s="515" t="e">
        <f t="shared" ca="1" si="4"/>
        <v>#REF!</v>
      </c>
    </row>
    <row r="39" spans="2:24">
      <c r="B39" s="495"/>
      <c r="C39" s="527">
        <f ca="1">C38+0.5%</f>
        <v>0.11424968813425471</v>
      </c>
      <c r="D39" s="511">
        <f>SUM(CF!Q49:U49)</f>
        <v>0</v>
      </c>
      <c r="E39" s="516"/>
      <c r="F39" s="513">
        <f ca="1">((CF!$M$23*(1+Valuation!F$33))/(Valuation!$C39-Valuation!F$33))/((1+Valuation!$C39)^CF!$M$37)</f>
        <v>80399.902258571004</v>
      </c>
      <c r="G39" s="513">
        <f ca="1">((CF!$M$23*(1+Valuation!G$33))/(Valuation!$C39-Valuation!G$33))/((1+Valuation!$C39)^CF!$M$37)</f>
        <v>90289.196354917716</v>
      </c>
      <c r="H39" s="513">
        <f ca="1">((CF!$M$23*(1+Valuation!H$33))/(Valuation!$C39-Valuation!H$33))/((1+Valuation!$C39)^CF!$M$37)</f>
        <v>102674.22118009545</v>
      </c>
      <c r="I39" s="516"/>
      <c r="J39" s="513">
        <f t="shared" ca="1" si="5"/>
        <v>80399.902258571004</v>
      </c>
      <c r="K39" s="513">
        <f t="shared" ca="1" si="5"/>
        <v>90289.196354917716</v>
      </c>
      <c r="L39" s="514">
        <f t="shared" ca="1" si="5"/>
        <v>102674.22118009545</v>
      </c>
      <c r="M39" s="461"/>
      <c r="N39" s="497"/>
      <c r="O39" s="527">
        <f t="shared" ca="1" si="1"/>
        <v>0.11424968813425471</v>
      </c>
      <c r="P39" s="511" t="e">
        <f ca="1">NPV($C39,CF!$Q$23:$T$23)</f>
        <v>#REF!</v>
      </c>
      <c r="Q39" s="516"/>
      <c r="R39" s="513">
        <f ca="1">((CF!$L$23*(1+Valuation!R$33))/(Valuation!$C39-Valuation!R$33))/((1+Valuation!$C39)^4)</f>
        <v>81597.735583523914</v>
      </c>
      <c r="S39" s="513">
        <f ca="1">((CF!$L$23*(1+Valuation!S$33))/(Valuation!$C39-Valuation!S$33))/((1+Valuation!$C39)^4)</f>
        <v>91634.364759840842</v>
      </c>
      <c r="T39" s="513">
        <f ca="1">((CF!$L$23*(1+Valuation!T$33))/(Valuation!$C39-Valuation!T$33))/((1+Valuation!$C39)^4)</f>
        <v>104203.90716587652</v>
      </c>
      <c r="U39" s="516"/>
      <c r="V39" s="513" t="e">
        <f t="shared" ca="1" si="2"/>
        <v>#REF!</v>
      </c>
      <c r="W39" s="513" t="e">
        <f t="shared" ca="1" si="3"/>
        <v>#REF!</v>
      </c>
      <c r="X39" s="515" t="e">
        <f t="shared" ca="1" si="4"/>
        <v>#REF!</v>
      </c>
    </row>
    <row r="40" spans="2:24" ht="7.5" customHeight="1">
      <c r="B40" s="495"/>
      <c r="C40" s="531"/>
      <c r="D40" s="532"/>
      <c r="E40" s="533"/>
      <c r="F40" s="532"/>
      <c r="G40" s="532"/>
      <c r="H40" s="532"/>
      <c r="I40" s="533"/>
      <c r="J40" s="532"/>
      <c r="K40" s="532"/>
      <c r="L40" s="534"/>
      <c r="M40" s="461"/>
      <c r="N40" s="497"/>
      <c r="O40" s="531"/>
      <c r="P40" s="532"/>
      <c r="Q40" s="533"/>
      <c r="R40" s="532"/>
      <c r="S40" s="532"/>
      <c r="T40" s="532"/>
      <c r="U40" s="533"/>
      <c r="V40" s="532"/>
      <c r="W40" s="532"/>
      <c r="X40" s="535"/>
    </row>
    <row r="41" spans="2:24" ht="18.75" customHeight="1">
      <c r="B41" s="495"/>
      <c r="C41" s="501"/>
      <c r="D41" s="3616" t="s">
        <v>1176</v>
      </c>
      <c r="E41" s="3604"/>
      <c r="F41" s="3604"/>
      <c r="G41" s="536"/>
      <c r="H41" s="3604" t="s">
        <v>106</v>
      </c>
      <c r="I41" s="3604"/>
      <c r="J41" s="3604"/>
      <c r="K41" s="533"/>
      <c r="L41" s="537"/>
      <c r="M41" s="461"/>
      <c r="N41" s="497"/>
      <c r="O41" s="501"/>
      <c r="P41" s="3604" t="s">
        <v>105</v>
      </c>
      <c r="Q41" s="3604"/>
      <c r="R41" s="3604"/>
      <c r="S41" s="536"/>
      <c r="T41" s="3604" t="s">
        <v>106</v>
      </c>
      <c r="U41" s="3604"/>
      <c r="V41" s="3604"/>
      <c r="W41" s="533"/>
      <c r="X41" s="538"/>
    </row>
    <row r="42" spans="2:24">
      <c r="B42" s="499"/>
      <c r="C42" s="507" t="s">
        <v>5</v>
      </c>
      <c r="D42" s="509">
        <f>F33</f>
        <v>1.5000000000000001E-2</v>
      </c>
      <c r="E42" s="509">
        <f>G33</f>
        <v>2.5000000000000001E-2</v>
      </c>
      <c r="F42" s="509">
        <f>H33</f>
        <v>3.5000000000000003E-2</v>
      </c>
      <c r="G42" s="539"/>
      <c r="H42" s="509">
        <f>J33</f>
        <v>1.5000000000000001E-2</v>
      </c>
      <c r="I42" s="509">
        <f>K33</f>
        <v>2.5000000000000001E-2</v>
      </c>
      <c r="J42" s="509">
        <f>L33</f>
        <v>3.5000000000000003E-2</v>
      </c>
      <c r="K42" s="533"/>
      <c r="L42" s="537"/>
      <c r="M42" s="461"/>
      <c r="N42" s="505"/>
      <c r="O42" s="507" t="s">
        <v>5</v>
      </c>
      <c r="P42" s="509">
        <f>R33</f>
        <v>1.5000000000000001E-2</v>
      </c>
      <c r="Q42" s="509">
        <f>S33</f>
        <v>2.5000000000000001E-2</v>
      </c>
      <c r="R42" s="509">
        <f>T33</f>
        <v>3.5000000000000003E-2</v>
      </c>
      <c r="S42" s="539"/>
      <c r="T42" s="509">
        <f>V33</f>
        <v>1.5000000000000001E-2</v>
      </c>
      <c r="U42" s="509">
        <f>W33</f>
        <v>2.5000000000000001E-2</v>
      </c>
      <c r="V42" s="509">
        <f>X33</f>
        <v>3.5000000000000003E-2</v>
      </c>
      <c r="W42" s="533"/>
      <c r="X42" s="538"/>
    </row>
    <row r="43" spans="2:24">
      <c r="B43" s="499"/>
      <c r="C43" s="540">
        <f t="shared" ref="C43:C48" ca="1" si="6">C34</f>
        <v>8.9249688134254684E-2</v>
      </c>
      <c r="D43" s="513">
        <f ca="1">J34-$J$16</f>
        <v>127162.98196666737</v>
      </c>
      <c r="E43" s="513">
        <f t="shared" ref="D43:E48" ca="1" si="7">K34-$J$16</f>
        <v>145704.75563905929</v>
      </c>
      <c r="F43" s="513">
        <f t="shared" ref="F43:F48" ca="1" si="8">L34-$J$16</f>
        <v>171082.24553769222</v>
      </c>
      <c r="G43" s="536"/>
      <c r="H43" s="513">
        <f t="shared" ref="H43:H48" ca="1" si="9">D43*10^9/$J$19</f>
        <v>74647.754857648979</v>
      </c>
      <c r="I43" s="513">
        <f t="shared" ref="I43:I48" ca="1" si="10">E43*10^9/$J$19</f>
        <v>85532.225749386387</v>
      </c>
      <c r="J43" s="513">
        <f t="shared" ref="J43:J48" ca="1" si="11">F43*10^9/$J$19</f>
        <v>100429.4278718734</v>
      </c>
      <c r="K43" s="532"/>
      <c r="L43" s="537"/>
      <c r="M43" s="461"/>
      <c r="N43" s="505"/>
      <c r="O43" s="540">
        <f t="shared" ref="O43:O48" ca="1" si="12">O34</f>
        <v>8.9249688134254684E-2</v>
      </c>
      <c r="P43" s="513" t="e">
        <f t="shared" ref="P43:R48" ca="1" si="13">V34-$R$16</f>
        <v>#REF!</v>
      </c>
      <c r="Q43" s="513" t="e">
        <f t="shared" ca="1" si="13"/>
        <v>#REF!</v>
      </c>
      <c r="R43" s="513" t="e">
        <f t="shared" ca="1" si="13"/>
        <v>#REF!</v>
      </c>
      <c r="S43" s="536"/>
      <c r="T43" s="513" t="e">
        <f t="shared" ref="T43:T48" ca="1" si="14">P43*1000000/$J$19</f>
        <v>#REF!</v>
      </c>
      <c r="U43" s="513" t="e">
        <f t="shared" ref="U43:U48" ca="1" si="15">Q43*1000000/$J$19</f>
        <v>#REF!</v>
      </c>
      <c r="V43" s="513" t="e">
        <f t="shared" ref="V43:V48" ca="1" si="16">R43*1000000/$J$19</f>
        <v>#REF!</v>
      </c>
      <c r="W43" s="532"/>
      <c r="X43" s="538"/>
    </row>
    <row r="44" spans="2:24">
      <c r="B44" s="495"/>
      <c r="C44" s="540">
        <f t="shared" ca="1" si="6"/>
        <v>9.4249688134254689E-2</v>
      </c>
      <c r="D44" s="513">
        <f t="shared" ca="1" si="7"/>
        <v>119481.31722915225</v>
      </c>
      <c r="E44" s="513">
        <f t="shared" ca="1" si="7"/>
        <v>135567.41504229739</v>
      </c>
      <c r="F44" s="513">
        <f t="shared" ca="1" si="8"/>
        <v>157083.44787103127</v>
      </c>
      <c r="G44" s="536"/>
      <c r="H44" s="513">
        <f t="shared" ca="1" si="9"/>
        <v>70138.431331601256</v>
      </c>
      <c r="I44" s="513">
        <f t="shared" ca="1" si="10"/>
        <v>79581.360929513481</v>
      </c>
      <c r="J44" s="513">
        <f t="shared" ca="1" si="11"/>
        <v>92211.794089137402</v>
      </c>
      <c r="K44" s="533"/>
      <c r="L44" s="537"/>
      <c r="M44" s="461"/>
      <c r="N44" s="497"/>
      <c r="O44" s="540">
        <f t="shared" ca="1" si="12"/>
        <v>9.4249688134254689E-2</v>
      </c>
      <c r="P44" s="513" t="e">
        <f t="shared" ca="1" si="13"/>
        <v>#REF!</v>
      </c>
      <c r="Q44" s="513" t="e">
        <f t="shared" ca="1" si="13"/>
        <v>#REF!</v>
      </c>
      <c r="R44" s="513" t="e">
        <f t="shared" ca="1" si="13"/>
        <v>#REF!</v>
      </c>
      <c r="S44" s="536"/>
      <c r="T44" s="513" t="e">
        <f t="shared" ca="1" si="14"/>
        <v>#REF!</v>
      </c>
      <c r="U44" s="513" t="e">
        <f t="shared" ca="1" si="15"/>
        <v>#REF!</v>
      </c>
      <c r="V44" s="513" t="e">
        <f t="shared" ca="1" si="16"/>
        <v>#REF!</v>
      </c>
      <c r="W44" s="533"/>
      <c r="X44" s="538"/>
    </row>
    <row r="45" spans="2:24">
      <c r="B45" s="529"/>
      <c r="C45" s="518">
        <f t="shared" ca="1" si="6"/>
        <v>9.9249688134254693E-2</v>
      </c>
      <c r="D45" s="521">
        <f t="shared" ca="1" si="7"/>
        <v>142388.39444359968</v>
      </c>
      <c r="E45" s="521">
        <f t="shared" ca="1" si="7"/>
        <v>181709.88046618781</v>
      </c>
      <c r="F45" s="521">
        <f t="shared" ca="1" si="8"/>
        <v>174942.80176443039</v>
      </c>
      <c r="G45" s="501" t="s">
        <v>9</v>
      </c>
      <c r="H45" s="520">
        <f t="shared" ca="1" si="9"/>
        <v>83585.441286570174</v>
      </c>
      <c r="I45" s="520">
        <f t="shared" ca="1" si="10"/>
        <v>106668.10735696819</v>
      </c>
      <c r="J45" s="520">
        <f t="shared" ca="1" si="11"/>
        <v>102695.66801795036</v>
      </c>
      <c r="K45" s="533"/>
      <c r="L45" s="537"/>
      <c r="M45" s="461"/>
      <c r="N45" s="530"/>
      <c r="O45" s="518">
        <f t="shared" ca="1" si="12"/>
        <v>9.9249688134254693E-2</v>
      </c>
      <c r="P45" s="521" t="e">
        <f t="shared" ca="1" si="13"/>
        <v>#REF!</v>
      </c>
      <c r="Q45" s="521" t="e">
        <f ca="1">W36-$R$16</f>
        <v>#REF!</v>
      </c>
      <c r="R45" s="521" t="e">
        <f t="shared" ca="1" si="13"/>
        <v>#REF!</v>
      </c>
      <c r="S45" s="501" t="s">
        <v>9</v>
      </c>
      <c r="T45" s="521" t="e">
        <f t="shared" ca="1" si="14"/>
        <v>#REF!</v>
      </c>
      <c r="U45" s="521" t="e">
        <f ca="1">Q45*1000000/$J$19</f>
        <v>#REF!</v>
      </c>
      <c r="V45" s="521" t="e">
        <f t="shared" ca="1" si="16"/>
        <v>#REF!</v>
      </c>
      <c r="W45" s="533"/>
      <c r="X45" s="538"/>
    </row>
    <row r="46" spans="2:24">
      <c r="B46" s="526"/>
      <c r="C46" s="540">
        <f t="shared" ca="1" si="6"/>
        <v>0.1042496881342547</v>
      </c>
      <c r="D46" s="513">
        <f t="shared" ca="1" si="7"/>
        <v>106719.88732584572</v>
      </c>
      <c r="E46" s="513">
        <f t="shared" ca="1" si="7"/>
        <v>119152.76705202993</v>
      </c>
      <c r="F46" s="513">
        <f t="shared" ca="1" si="8"/>
        <v>135176.38633564883</v>
      </c>
      <c r="G46" s="536"/>
      <c r="H46" s="513">
        <f t="shared" ca="1" si="9"/>
        <v>62647.162439331958</v>
      </c>
      <c r="I46" s="513">
        <f t="shared" ca="1" si="10"/>
        <v>69945.564408374383</v>
      </c>
      <c r="J46" s="513">
        <f t="shared" ca="1" si="11"/>
        <v>79351.817593986343</v>
      </c>
      <c r="K46" s="533"/>
      <c r="L46" s="537"/>
      <c r="M46" s="462"/>
      <c r="N46" s="528"/>
      <c r="O46" s="540">
        <f t="shared" ca="1" si="12"/>
        <v>0.1042496881342547</v>
      </c>
      <c r="P46" s="513" t="e">
        <f t="shared" ca="1" si="13"/>
        <v>#REF!</v>
      </c>
      <c r="Q46" s="513" t="e">
        <f t="shared" ca="1" si="13"/>
        <v>#REF!</v>
      </c>
      <c r="R46" s="513" t="e">
        <f t="shared" ca="1" si="13"/>
        <v>#REF!</v>
      </c>
      <c r="S46" s="536"/>
      <c r="T46" s="513" t="e">
        <f t="shared" ca="1" si="14"/>
        <v>#REF!</v>
      </c>
      <c r="U46" s="513" t="e">
        <f t="shared" ca="1" si="15"/>
        <v>#REF!</v>
      </c>
      <c r="V46" s="513" t="e">
        <f t="shared" ca="1" si="16"/>
        <v>#REF!</v>
      </c>
      <c r="W46" s="533"/>
      <c r="X46" s="538"/>
    </row>
    <row r="47" spans="2:24">
      <c r="B47" s="529"/>
      <c r="C47" s="540">
        <f t="shared" ca="1" si="6"/>
        <v>0.1092496881342547</v>
      </c>
      <c r="D47" s="513">
        <f t="shared" ca="1" si="7"/>
        <v>101363.86456987786</v>
      </c>
      <c r="E47" s="513">
        <f t="shared" ca="1" si="7"/>
        <v>112417.07567918446</v>
      </c>
      <c r="F47" s="513">
        <f t="shared" ca="1" si="8"/>
        <v>126447.59521551657</v>
      </c>
      <c r="G47" s="536"/>
      <c r="H47" s="513">
        <f t="shared" ca="1" si="9"/>
        <v>59503.047166820652</v>
      </c>
      <c r="I47" s="513">
        <f t="shared" ca="1" si="10"/>
        <v>65991.550192753479</v>
      </c>
      <c r="J47" s="513">
        <f t="shared" ca="1" si="11"/>
        <v>74227.805482426615</v>
      </c>
      <c r="K47" s="533"/>
      <c r="L47" s="537"/>
      <c r="M47" s="462"/>
      <c r="N47" s="530"/>
      <c r="O47" s="540">
        <f t="shared" ca="1" si="12"/>
        <v>0.1092496881342547</v>
      </c>
      <c r="P47" s="513" t="e">
        <f t="shared" ca="1" si="13"/>
        <v>#REF!</v>
      </c>
      <c r="Q47" s="513" t="e">
        <f t="shared" ca="1" si="13"/>
        <v>#REF!</v>
      </c>
      <c r="R47" s="513" t="e">
        <f t="shared" ca="1" si="13"/>
        <v>#REF!</v>
      </c>
      <c r="S47" s="536"/>
      <c r="T47" s="513" t="e">
        <f t="shared" ca="1" si="14"/>
        <v>#REF!</v>
      </c>
      <c r="U47" s="513" t="e">
        <f t="shared" ca="1" si="15"/>
        <v>#REF!</v>
      </c>
      <c r="V47" s="513" t="e">
        <f t="shared" ca="1" si="16"/>
        <v>#REF!</v>
      </c>
      <c r="W47" s="533"/>
      <c r="X47" s="538"/>
    </row>
    <row r="48" spans="2:24" ht="15.75" thickBot="1">
      <c r="B48" s="541"/>
      <c r="C48" s="542">
        <f t="shared" ca="1" si="6"/>
        <v>0.11424968813425471</v>
      </c>
      <c r="D48" s="543">
        <f t="shared" ca="1" si="7"/>
        <v>96553.192258571013</v>
      </c>
      <c r="E48" s="543">
        <f t="shared" ca="1" si="7"/>
        <v>106442.48635491772</v>
      </c>
      <c r="F48" s="543">
        <f t="shared" ca="1" si="8"/>
        <v>118827.51118009546</v>
      </c>
      <c r="G48" s="544"/>
      <c r="H48" s="543">
        <f t="shared" ca="1" si="9"/>
        <v>56679.065833251079</v>
      </c>
      <c r="I48" s="543">
        <f t="shared" ca="1" si="10"/>
        <v>62484.32134080743</v>
      </c>
      <c r="J48" s="543">
        <f t="shared" ca="1" si="11"/>
        <v>69754.631322198897</v>
      </c>
      <c r="K48" s="545"/>
      <c r="L48" s="546"/>
      <c r="M48" s="462"/>
      <c r="N48" s="547"/>
      <c r="O48" s="548">
        <f t="shared" ca="1" si="12"/>
        <v>0.11424968813425471</v>
      </c>
      <c r="P48" s="549" t="e">
        <f t="shared" ca="1" si="13"/>
        <v>#REF!</v>
      </c>
      <c r="Q48" s="549" t="e">
        <f t="shared" ca="1" si="13"/>
        <v>#REF!</v>
      </c>
      <c r="R48" s="549" t="e">
        <f t="shared" ca="1" si="13"/>
        <v>#REF!</v>
      </c>
      <c r="S48" s="550"/>
      <c r="T48" s="549" t="e">
        <f t="shared" ca="1" si="14"/>
        <v>#REF!</v>
      </c>
      <c r="U48" s="549" t="e">
        <f t="shared" ca="1" si="15"/>
        <v>#REF!</v>
      </c>
      <c r="V48" s="549" t="e">
        <f t="shared" ca="1" si="16"/>
        <v>#REF!</v>
      </c>
      <c r="W48" s="551"/>
      <c r="X48" s="552"/>
    </row>
    <row r="49" spans="2:13">
      <c r="B49" s="462"/>
      <c r="C49" s="553"/>
      <c r="D49" s="532"/>
      <c r="E49" s="532"/>
      <c r="F49" s="532"/>
      <c r="G49" s="533"/>
      <c r="H49" s="554"/>
      <c r="I49" s="554"/>
      <c r="J49" s="554"/>
      <c r="K49" s="533"/>
      <c r="L49" s="533"/>
      <c r="M49" s="462"/>
    </row>
    <row r="50" spans="2:13">
      <c r="B50" s="560" t="s">
        <v>1966</v>
      </c>
      <c r="C50" s="3006"/>
      <c r="D50" s="3007"/>
      <c r="E50" s="3007"/>
      <c r="F50" s="3007"/>
      <c r="G50" s="3008"/>
      <c r="H50" s="3009"/>
      <c r="I50" s="3009"/>
      <c r="J50" s="3009"/>
      <c r="K50" s="533"/>
      <c r="L50" s="533"/>
      <c r="M50" s="462"/>
    </row>
    <row r="51" spans="2:13" hidden="1" outlineLevel="1">
      <c r="B51" s="460" t="s">
        <v>107</v>
      </c>
      <c r="C51" s="553"/>
      <c r="D51" s="532"/>
      <c r="E51" s="532"/>
      <c r="F51" s="532"/>
      <c r="G51" s="533"/>
      <c r="H51" s="554"/>
      <c r="I51" s="554"/>
      <c r="J51" s="554"/>
      <c r="K51" s="533"/>
      <c r="L51" s="533"/>
      <c r="M51" s="462"/>
    </row>
    <row r="52" spans="2:13" hidden="1" outlineLevel="1">
      <c r="B52" s="462"/>
      <c r="C52" s="553"/>
      <c r="D52" s="532"/>
      <c r="E52" s="532"/>
      <c r="F52" s="532"/>
      <c r="G52" s="533"/>
      <c r="H52" s="554"/>
      <c r="I52" s="554"/>
      <c r="J52" s="554"/>
      <c r="K52" s="533"/>
      <c r="L52" s="533"/>
      <c r="M52" s="462"/>
    </row>
    <row r="53" spans="2:13" hidden="1" outlineLevel="1">
      <c r="B53" s="3605" t="s">
        <v>88</v>
      </c>
      <c r="C53" s="3606"/>
      <c r="D53" s="532"/>
      <c r="E53" s="3612" t="str">
        <f>F5</f>
        <v>Present Value</v>
      </c>
      <c r="F53" s="3612"/>
      <c r="G53" s="3612"/>
      <c r="H53" s="3612"/>
      <c r="I53" s="554"/>
      <c r="J53" s="3613" t="str">
        <f>F12</f>
        <v>Intrinsic Value</v>
      </c>
      <c r="K53" s="3614"/>
      <c r="L53" s="3615"/>
      <c r="M53" s="462"/>
    </row>
    <row r="54" spans="2:13" hidden="1" outlineLevel="1">
      <c r="B54" s="463" t="str">
        <f>B6</f>
        <v>Net sales growth rate in long-term</v>
      </c>
      <c r="C54" s="464">
        <f>C6</f>
        <v>0</v>
      </c>
      <c r="D54" s="532"/>
      <c r="E54" s="465" t="str">
        <f>F6</f>
        <v>Present value of first stage (2025-2028 FCFF)</v>
      </c>
      <c r="F54" s="462"/>
      <c r="G54" s="462"/>
      <c r="H54" s="467" t="e">
        <f>D67</f>
        <v>#REF!</v>
      </c>
      <c r="I54" s="554"/>
      <c r="J54" s="477" t="str">
        <f>F17</f>
        <v>Present value of Equity YE</v>
      </c>
      <c r="K54" s="462"/>
      <c r="L54" s="555" t="e">
        <f>H54+H57</f>
        <v>#REF!</v>
      </c>
      <c r="M54" s="462"/>
    </row>
    <row r="55" spans="2:13" hidden="1" outlineLevel="1">
      <c r="B55" s="468" t="str">
        <f>B7</f>
        <v>terminal g</v>
      </c>
      <c r="C55" s="464">
        <f>C7</f>
        <v>2.5000000000000001E-2</v>
      </c>
      <c r="D55" s="532"/>
      <c r="E55" s="465" t="str">
        <f>B56</f>
        <v xml:space="preserve">Cost of equity </v>
      </c>
      <c r="F55" s="462"/>
      <c r="G55" s="462"/>
      <c r="H55" s="469">
        <f>C56</f>
        <v>0.1</v>
      </c>
      <c r="I55" s="554"/>
      <c r="J55" s="477" t="s">
        <v>171</v>
      </c>
      <c r="K55" s="462"/>
      <c r="L55" s="555">
        <f>J15</f>
        <v>31100.65</v>
      </c>
      <c r="M55" s="462"/>
    </row>
    <row r="56" spans="2:13" hidden="1" outlineLevel="1">
      <c r="B56" s="470" t="str">
        <f>B25</f>
        <v xml:space="preserve">Cost of equity </v>
      </c>
      <c r="C56" s="471">
        <f>C25</f>
        <v>0.1</v>
      </c>
      <c r="D56" s="532"/>
      <c r="E56" s="465" t="str">
        <f>F8</f>
        <v>Growth rate to perpeptuity</v>
      </c>
      <c r="F56" s="462"/>
      <c r="G56" s="462"/>
      <c r="H56" s="469">
        <f>C55</f>
        <v>2.5000000000000001E-2</v>
      </c>
      <c r="I56" s="554"/>
      <c r="J56" s="478" t="str">
        <f>F19</f>
        <v>Outstanding number of shares</v>
      </c>
      <c r="K56" s="462"/>
      <c r="L56" s="556">
        <f>J19</f>
        <v>1703507121</v>
      </c>
      <c r="M56" s="462"/>
    </row>
    <row r="57" spans="2:13" hidden="1" outlineLevel="1">
      <c r="B57" s="462"/>
      <c r="C57" s="553"/>
      <c r="D57" s="532"/>
      <c r="E57" s="465" t="str">
        <f>F9</f>
        <v>Terminal value (2028 onwards)</v>
      </c>
      <c r="F57" s="462"/>
      <c r="G57" s="462"/>
      <c r="H57" s="467" t="e">
        <f>G67</f>
        <v>#REF!</v>
      </c>
      <c r="I57" s="554"/>
      <c r="J57" s="557"/>
      <c r="K57" s="462"/>
      <c r="L57" s="558"/>
      <c r="M57" s="462"/>
    </row>
    <row r="58" spans="2:13" hidden="1" outlineLevel="1">
      <c r="B58" s="462"/>
      <c r="C58" s="553"/>
      <c r="D58" s="532"/>
      <c r="E58" s="473" t="str">
        <f>F10</f>
        <v>Terminal value/ Total company value</v>
      </c>
      <c r="F58" s="474"/>
      <c r="G58" s="474"/>
      <c r="H58" s="476" t="e">
        <f>H57/(H57+H54)</f>
        <v>#REF!</v>
      </c>
      <c r="I58" s="554"/>
      <c r="J58" s="559" t="str">
        <f>F21</f>
        <v>Present value per share</v>
      </c>
      <c r="K58" s="560"/>
      <c r="L58" s="561" t="e">
        <f>(L54+L55)*1000000/L56</f>
        <v>#REF!</v>
      </c>
      <c r="M58" s="462"/>
    </row>
    <row r="59" spans="2:13" hidden="1" outlineLevel="1">
      <c r="B59" s="462"/>
      <c r="C59" s="553"/>
      <c r="D59" s="532"/>
      <c r="E59" s="562"/>
      <c r="F59" s="462"/>
      <c r="G59" s="462"/>
      <c r="H59" s="563"/>
      <c r="I59" s="554"/>
      <c r="M59" s="462"/>
    </row>
    <row r="60" spans="2:13" ht="15.75" hidden="1" outlineLevel="1" thickBot="1">
      <c r="B60" s="462"/>
      <c r="C60" s="553"/>
      <c r="D60" s="532"/>
      <c r="I60" s="554"/>
      <c r="M60" s="462"/>
    </row>
    <row r="61" spans="2:13" ht="15.75" hidden="1" outlineLevel="1" thickBot="1">
      <c r="B61" s="564" t="str">
        <f>B30</f>
        <v xml:space="preserve">Sensitivity Analysis </v>
      </c>
      <c r="C61" s="564"/>
      <c r="D61" s="564"/>
      <c r="E61" s="564"/>
      <c r="F61" s="564"/>
      <c r="G61" s="564"/>
      <c r="H61" s="564"/>
      <c r="I61" s="564"/>
      <c r="J61" s="564"/>
      <c r="K61" s="564"/>
      <c r="L61" s="564"/>
      <c r="M61" s="462"/>
    </row>
    <row r="62" spans="2:13" hidden="1" outlineLevel="1">
      <c r="B62" s="497"/>
      <c r="C62" s="462"/>
      <c r="D62" s="462"/>
      <c r="E62" s="462"/>
      <c r="F62" s="462"/>
      <c r="G62" s="462"/>
      <c r="H62" s="462"/>
      <c r="I62" s="462"/>
      <c r="J62" s="462"/>
      <c r="K62" s="462"/>
      <c r="L62" s="498"/>
      <c r="M62" s="462"/>
    </row>
    <row r="63" spans="2:13" hidden="1" outlineLevel="1">
      <c r="B63" s="505"/>
      <c r="C63" s="500"/>
      <c r="D63" s="501" t="str">
        <f>D32</f>
        <v>Present Value</v>
      </c>
      <c r="E63" s="502"/>
      <c r="F63" s="3620" t="str">
        <f>F32</f>
        <v>Terminal Value</v>
      </c>
      <c r="G63" s="3620"/>
      <c r="H63" s="3620"/>
      <c r="I63" s="502"/>
      <c r="J63" s="3620" t="str">
        <f>J32</f>
        <v>Company Value</v>
      </c>
      <c r="K63" s="3620"/>
      <c r="L63" s="3621"/>
      <c r="M63" s="462"/>
    </row>
    <row r="64" spans="2:13" hidden="1" outlineLevel="1">
      <c r="B64" s="505"/>
      <c r="C64" s="565" t="s">
        <v>110</v>
      </c>
      <c r="D64" s="503" t="str">
        <f>D33</f>
        <v>(3-year CF)</v>
      </c>
      <c r="E64" s="508"/>
      <c r="F64" s="509">
        <f>G64-1%</f>
        <v>1.5000000000000001E-2</v>
      </c>
      <c r="G64" s="503">
        <f>C55</f>
        <v>2.5000000000000001E-2</v>
      </c>
      <c r="H64" s="503">
        <f>G64+1%</f>
        <v>3.5000000000000003E-2</v>
      </c>
      <c r="I64" s="566"/>
      <c r="J64" s="509">
        <f>F64</f>
        <v>1.5000000000000001E-2</v>
      </c>
      <c r="K64" s="503">
        <f>G64</f>
        <v>2.5000000000000001E-2</v>
      </c>
      <c r="L64" s="506">
        <f>H64</f>
        <v>3.5000000000000003E-2</v>
      </c>
      <c r="M64" s="462"/>
    </row>
    <row r="65" spans="2:13" hidden="1" outlineLevel="1">
      <c r="B65" s="505"/>
      <c r="C65" s="527">
        <f>C66-0.5%</f>
        <v>0.09</v>
      </c>
      <c r="D65" s="511" t="e">
        <f>NPV($C65,CF!#REF!)+CF!#REF!</f>
        <v>#REF!</v>
      </c>
      <c r="E65" s="567"/>
      <c r="F65" s="513" t="e">
        <f>((CF!#REF!*(1+Valuation!F$64))/(Valuation!$C65-F$64))/((1+Valuation!$C65)^3)</f>
        <v>#REF!</v>
      </c>
      <c r="G65" s="513" t="e">
        <f>((CF!#REF!*(1+Valuation!G$64))/(Valuation!$C65-G$64))/((1+Valuation!$C65)^3)</f>
        <v>#REF!</v>
      </c>
      <c r="H65" s="513" t="e">
        <f>((CF!#REF!*(1+Valuation!H$64))/(Valuation!$C65-H$64))/((1+Valuation!$C65)^3)</f>
        <v>#REF!</v>
      </c>
      <c r="I65" s="567"/>
      <c r="J65" s="513" t="e">
        <f t="shared" ref="J65:L70" si="17">$D65+F65</f>
        <v>#REF!</v>
      </c>
      <c r="K65" s="513" t="e">
        <f t="shared" si="17"/>
        <v>#REF!</v>
      </c>
      <c r="L65" s="515" t="e">
        <f t="shared" si="17"/>
        <v>#REF!</v>
      </c>
      <c r="M65" s="462"/>
    </row>
    <row r="66" spans="2:13" hidden="1" outlineLevel="1">
      <c r="B66" s="497"/>
      <c r="C66" s="527">
        <f>C67-0.5%</f>
        <v>9.5000000000000001E-2</v>
      </c>
      <c r="D66" s="511" t="e">
        <f>NPV($C66,CF!#REF!)+CF!#REF!</f>
        <v>#REF!</v>
      </c>
      <c r="E66" s="568"/>
      <c r="F66" s="513" t="e">
        <f>((CF!#REF!*(1+Valuation!F$64))/(Valuation!$C66-F$64))/((1+Valuation!$C66)^3)</f>
        <v>#REF!</v>
      </c>
      <c r="G66" s="513" t="e">
        <f>((CF!#REF!*(1+Valuation!G$64))/(Valuation!$C66-G$64))/((1+Valuation!$C66)^3)</f>
        <v>#REF!</v>
      </c>
      <c r="H66" s="513" t="e">
        <f>((CF!#REF!*(1+Valuation!H$64))/(Valuation!$C66-H$64))/((1+Valuation!$C66)^3)</f>
        <v>#REF!</v>
      </c>
      <c r="I66" s="568"/>
      <c r="J66" s="513" t="e">
        <f t="shared" si="17"/>
        <v>#REF!</v>
      </c>
      <c r="K66" s="513" t="e">
        <f t="shared" si="17"/>
        <v>#REF!</v>
      </c>
      <c r="L66" s="515" t="e">
        <f t="shared" si="17"/>
        <v>#REF!</v>
      </c>
      <c r="M66" s="462"/>
    </row>
    <row r="67" spans="2:13" s="448" customFormat="1" hidden="1" outlineLevel="1">
      <c r="B67" s="524"/>
      <c r="C67" s="518">
        <f>C56</f>
        <v>0.1</v>
      </c>
      <c r="D67" s="569" t="e">
        <f>NPV($C67,CF!#REF!)+CF!#REF!</f>
        <v>#REF!</v>
      </c>
      <c r="E67" s="570" t="s">
        <v>8</v>
      </c>
      <c r="F67" s="521" t="e">
        <f>((CF!#REF!*(1+Valuation!F$64))/(Valuation!$C67-F$64))/((1+Valuation!$C67)^3)</f>
        <v>#REF!</v>
      </c>
      <c r="G67" s="521" t="e">
        <f>((CF!#REF!*(1+Valuation!G$64))/(Valuation!$C67-G$64))/((1+Valuation!$C67)^3)</f>
        <v>#REF!</v>
      </c>
      <c r="H67" s="521" t="e">
        <f>((CF!#REF!*(1+Valuation!H$64))/(Valuation!$C67-H$64))/((1+Valuation!$C67)^3)</f>
        <v>#REF!</v>
      </c>
      <c r="I67" s="570" t="s">
        <v>9</v>
      </c>
      <c r="J67" s="521" t="e">
        <f t="shared" si="17"/>
        <v>#REF!</v>
      </c>
      <c r="K67" s="521" t="e">
        <f t="shared" si="17"/>
        <v>#REF!</v>
      </c>
      <c r="L67" s="525" t="e">
        <f t="shared" si="17"/>
        <v>#REF!</v>
      </c>
      <c r="M67" s="472"/>
    </row>
    <row r="68" spans="2:13" hidden="1" outlineLevel="1">
      <c r="B68" s="528"/>
      <c r="C68" s="527">
        <f>C67+0.5%</f>
        <v>0.10500000000000001</v>
      </c>
      <c r="D68" s="511" t="e">
        <f>NPV($C68,CF!#REF!)+CF!#REF!</f>
        <v>#REF!</v>
      </c>
      <c r="E68" s="568"/>
      <c r="F68" s="513" t="e">
        <f>((CF!#REF!*(1+Valuation!F$64))/(Valuation!$C68-F$64))/((1+Valuation!$C68)^3)</f>
        <v>#REF!</v>
      </c>
      <c r="G68" s="513" t="e">
        <f>((CF!#REF!*(1+Valuation!G$64))/(Valuation!$C68-G$64))/((1+Valuation!$C68)^3)</f>
        <v>#REF!</v>
      </c>
      <c r="H68" s="513" t="e">
        <f>((CF!#REF!*(1+Valuation!H$64))/(Valuation!$C68-H$64))/((1+Valuation!$C68)^3)</f>
        <v>#REF!</v>
      </c>
      <c r="I68" s="568"/>
      <c r="J68" s="513" t="e">
        <f t="shared" si="17"/>
        <v>#REF!</v>
      </c>
      <c r="K68" s="513" t="e">
        <f t="shared" si="17"/>
        <v>#REF!</v>
      </c>
      <c r="L68" s="515" t="e">
        <f t="shared" si="17"/>
        <v>#REF!</v>
      </c>
      <c r="M68" s="462"/>
    </row>
    <row r="69" spans="2:13" hidden="1" outlineLevel="1">
      <c r="B69" s="530"/>
      <c r="C69" s="527">
        <f>C68+0.5%</f>
        <v>0.11000000000000001</v>
      </c>
      <c r="D69" s="511" t="e">
        <f>NPV($C69,CF!#REF!)+CF!#REF!</f>
        <v>#REF!</v>
      </c>
      <c r="E69" s="568"/>
      <c r="F69" s="513" t="e">
        <f>((CF!#REF!*(1+Valuation!F$64))/(Valuation!$C69-F$64))/((1+Valuation!$C69)^3)</f>
        <v>#REF!</v>
      </c>
      <c r="G69" s="513" t="e">
        <f>((CF!#REF!*(1+Valuation!G$64))/(Valuation!$C69-G$64))/((1+Valuation!$C69)^3)</f>
        <v>#REF!</v>
      </c>
      <c r="H69" s="513" t="e">
        <f>((CF!#REF!*(1+Valuation!H$64))/(Valuation!$C69-H$64))/((1+Valuation!$C69)^3)</f>
        <v>#REF!</v>
      </c>
      <c r="I69" s="568"/>
      <c r="J69" s="513" t="e">
        <f t="shared" si="17"/>
        <v>#REF!</v>
      </c>
      <c r="K69" s="513" t="e">
        <f t="shared" si="17"/>
        <v>#REF!</v>
      </c>
      <c r="L69" s="515" t="e">
        <f t="shared" si="17"/>
        <v>#REF!</v>
      </c>
      <c r="M69" s="462"/>
    </row>
    <row r="70" spans="2:13" hidden="1" outlineLevel="1">
      <c r="B70" s="497"/>
      <c r="C70" s="527">
        <f>C69+0.5%</f>
        <v>0.11500000000000002</v>
      </c>
      <c r="D70" s="511" t="e">
        <f>NPV($C70,CF!#REF!)+CF!#REF!</f>
        <v>#REF!</v>
      </c>
      <c r="E70" s="536"/>
      <c r="F70" s="513" t="e">
        <f>((CF!#REF!*(1+Valuation!F$64))/(Valuation!$C70-F$64))/((1+Valuation!$C70)^3)</f>
        <v>#REF!</v>
      </c>
      <c r="G70" s="513" t="e">
        <f>((CF!#REF!*(1+Valuation!G$64))/(Valuation!$C70-G$64))/((1+Valuation!$C70)^3)</f>
        <v>#REF!</v>
      </c>
      <c r="H70" s="513" t="e">
        <f>((CF!#REF!*(1+Valuation!H$64))/(Valuation!$C70-H$64))/((1+Valuation!$C70)^3)</f>
        <v>#REF!</v>
      </c>
      <c r="I70" s="536"/>
      <c r="J70" s="513" t="e">
        <f t="shared" si="17"/>
        <v>#REF!</v>
      </c>
      <c r="K70" s="513" t="e">
        <f t="shared" si="17"/>
        <v>#REF!</v>
      </c>
      <c r="L70" s="515" t="e">
        <f t="shared" si="17"/>
        <v>#REF!</v>
      </c>
      <c r="M70" s="462"/>
    </row>
    <row r="71" spans="2:13" hidden="1" outlineLevel="1">
      <c r="B71" s="497"/>
      <c r="C71" s="531"/>
      <c r="D71" s="571"/>
      <c r="E71" s="536"/>
      <c r="F71" s="571"/>
      <c r="G71" s="571"/>
      <c r="H71" s="571"/>
      <c r="I71" s="536"/>
      <c r="J71" s="571"/>
      <c r="K71" s="571"/>
      <c r="L71" s="572"/>
      <c r="M71" s="462"/>
    </row>
    <row r="72" spans="2:13" hidden="1" outlineLevel="1">
      <c r="B72" s="497"/>
      <c r="C72" s="501"/>
      <c r="D72" s="3604" t="str">
        <f>H41</f>
        <v>Value per share</v>
      </c>
      <c r="E72" s="3604"/>
      <c r="F72" s="3604"/>
      <c r="G72" s="536"/>
      <c r="H72" s="501"/>
      <c r="I72" s="536"/>
      <c r="J72" s="536"/>
      <c r="K72" s="536"/>
      <c r="L72" s="573"/>
      <c r="M72" s="462"/>
    </row>
    <row r="73" spans="2:13" hidden="1" outlineLevel="1">
      <c r="B73" s="505"/>
      <c r="C73" s="507" t="str">
        <f>C64</f>
        <v>Cost of equity</v>
      </c>
      <c r="D73" s="509">
        <f>F64</f>
        <v>1.5000000000000001E-2</v>
      </c>
      <c r="E73" s="509">
        <f>G64</f>
        <v>2.5000000000000001E-2</v>
      </c>
      <c r="F73" s="509">
        <f>H64</f>
        <v>3.5000000000000003E-2</v>
      </c>
      <c r="G73" s="536"/>
      <c r="H73" s="574"/>
      <c r="I73" s="574"/>
      <c r="J73" s="574"/>
      <c r="K73" s="536"/>
      <c r="L73" s="573"/>
      <c r="M73" s="462"/>
    </row>
    <row r="74" spans="2:13" hidden="1" outlineLevel="1">
      <c r="B74" s="505"/>
      <c r="C74" s="540">
        <f t="shared" ref="C74:C79" si="18">C65</f>
        <v>0.09</v>
      </c>
      <c r="D74" s="513" t="e">
        <f t="shared" ref="D74:F79" si="19">J65*1000000/$L$56</f>
        <v>#REF!</v>
      </c>
      <c r="E74" s="513" t="e">
        <f t="shared" si="19"/>
        <v>#REF!</v>
      </c>
      <c r="F74" s="513" t="e">
        <f t="shared" si="19"/>
        <v>#REF!</v>
      </c>
      <c r="G74" s="501"/>
      <c r="H74" s="575"/>
      <c r="I74" s="575"/>
      <c r="J74" s="575"/>
      <c r="K74" s="571"/>
      <c r="L74" s="573"/>
      <c r="M74" s="462"/>
    </row>
    <row r="75" spans="2:13" hidden="1" outlineLevel="1">
      <c r="B75" s="497"/>
      <c r="C75" s="540">
        <f t="shared" si="18"/>
        <v>9.5000000000000001E-2</v>
      </c>
      <c r="D75" s="513" t="e">
        <f t="shared" si="19"/>
        <v>#REF!</v>
      </c>
      <c r="E75" s="513" t="e">
        <f t="shared" si="19"/>
        <v>#REF!</v>
      </c>
      <c r="F75" s="513" t="e">
        <f t="shared" si="19"/>
        <v>#REF!</v>
      </c>
      <c r="G75" s="536"/>
      <c r="H75" s="576"/>
      <c r="I75" s="576"/>
      <c r="J75" s="576"/>
      <c r="K75" s="536"/>
      <c r="L75" s="573"/>
      <c r="M75" s="462"/>
    </row>
    <row r="76" spans="2:13" hidden="1" outlineLevel="1">
      <c r="B76" s="530"/>
      <c r="C76" s="518">
        <f t="shared" si="18"/>
        <v>0.1</v>
      </c>
      <c r="D76" s="521" t="e">
        <f t="shared" si="19"/>
        <v>#REF!</v>
      </c>
      <c r="E76" s="521" t="e">
        <f t="shared" si="19"/>
        <v>#REF!</v>
      </c>
      <c r="F76" s="521" t="e">
        <f t="shared" si="19"/>
        <v>#REF!</v>
      </c>
      <c r="G76" s="501"/>
      <c r="H76" s="576"/>
      <c r="I76" s="576"/>
      <c r="J76" s="576"/>
      <c r="K76" s="536"/>
      <c r="L76" s="573"/>
      <c r="M76" s="462"/>
    </row>
    <row r="77" spans="2:13" hidden="1" outlineLevel="1">
      <c r="B77" s="528"/>
      <c r="C77" s="540">
        <f t="shared" si="18"/>
        <v>0.10500000000000001</v>
      </c>
      <c r="D77" s="513" t="e">
        <f t="shared" si="19"/>
        <v>#REF!</v>
      </c>
      <c r="E77" s="513" t="e">
        <f t="shared" si="19"/>
        <v>#REF!</v>
      </c>
      <c r="F77" s="513" t="e">
        <f t="shared" si="19"/>
        <v>#REF!</v>
      </c>
      <c r="G77" s="536"/>
      <c r="H77" s="576"/>
      <c r="I77" s="576"/>
      <c r="J77" s="576"/>
      <c r="K77" s="536"/>
      <c r="L77" s="573"/>
      <c r="M77" s="462"/>
    </row>
    <row r="78" spans="2:13" hidden="1" outlineLevel="1">
      <c r="B78" s="530"/>
      <c r="C78" s="540">
        <f t="shared" si="18"/>
        <v>0.11000000000000001</v>
      </c>
      <c r="D78" s="513" t="e">
        <f t="shared" si="19"/>
        <v>#REF!</v>
      </c>
      <c r="E78" s="513" t="e">
        <f t="shared" si="19"/>
        <v>#REF!</v>
      </c>
      <c r="F78" s="513" t="e">
        <f t="shared" si="19"/>
        <v>#REF!</v>
      </c>
      <c r="G78" s="536"/>
      <c r="H78" s="576"/>
      <c r="I78" s="576"/>
      <c r="J78" s="576"/>
      <c r="K78" s="536"/>
      <c r="L78" s="573"/>
      <c r="M78" s="462"/>
    </row>
    <row r="79" spans="2:13" ht="15.75" hidden="1" outlineLevel="1" thickBot="1">
      <c r="B79" s="547"/>
      <c r="C79" s="548">
        <f t="shared" si="18"/>
        <v>0.11500000000000002</v>
      </c>
      <c r="D79" s="549" t="e">
        <f t="shared" si="19"/>
        <v>#REF!</v>
      </c>
      <c r="E79" s="549" t="e">
        <f t="shared" si="19"/>
        <v>#REF!</v>
      </c>
      <c r="F79" s="549" t="e">
        <f t="shared" si="19"/>
        <v>#REF!</v>
      </c>
      <c r="G79" s="550"/>
      <c r="H79" s="577"/>
      <c r="I79" s="577"/>
      <c r="J79" s="577"/>
      <c r="K79" s="550"/>
      <c r="L79" s="578"/>
      <c r="M79" s="462"/>
    </row>
    <row r="80" spans="2:13" collapsed="1">
      <c r="B80" s="462"/>
      <c r="C80" s="553"/>
      <c r="D80" s="532"/>
      <c r="E80" s="532"/>
      <c r="F80" s="532"/>
      <c r="G80" s="533"/>
      <c r="H80" s="554"/>
      <c r="I80" s="554"/>
      <c r="J80" s="554"/>
      <c r="K80" s="533"/>
      <c r="L80" s="533"/>
      <c r="M80" s="462"/>
    </row>
    <row r="81" spans="2:13">
      <c r="B81" s="2994"/>
      <c r="C81" s="2995"/>
      <c r="D81" s="2995"/>
      <c r="E81" s="2995"/>
      <c r="F81" s="2995" t="s">
        <v>1960</v>
      </c>
      <c r="G81" s="2995"/>
      <c r="H81" s="2995"/>
      <c r="I81" s="2995"/>
      <c r="J81" s="2996"/>
      <c r="K81" s="533"/>
      <c r="L81" s="533"/>
      <c r="M81" s="462"/>
    </row>
    <row r="82" spans="2:13">
      <c r="B82" s="2997"/>
      <c r="C82" s="3020">
        <f ca="1">I45</f>
        <v>106668.10735696819</v>
      </c>
      <c r="D82" s="2998">
        <f t="shared" ref="D82:E82" si="20">E82-0.1%</f>
        <v>2.6999999999999996E-2</v>
      </c>
      <c r="E82" s="2998">
        <f t="shared" si="20"/>
        <v>2.7999999999999997E-2</v>
      </c>
      <c r="F82" s="2998">
        <f>G82-0.1%</f>
        <v>2.8999999999999998E-2</v>
      </c>
      <c r="G82" s="2998">
        <v>0.03</v>
      </c>
      <c r="H82" s="2998">
        <f>G82+0.1%</f>
        <v>3.1E-2</v>
      </c>
      <c r="I82" s="2998">
        <f t="shared" ref="I82:J82" si="21">H82+0.1%</f>
        <v>3.2000000000000001E-2</v>
      </c>
      <c r="J82" s="2998">
        <f t="shared" si="21"/>
        <v>3.3000000000000002E-2</v>
      </c>
      <c r="K82" s="533"/>
      <c r="L82" s="533"/>
      <c r="M82" s="462"/>
    </row>
    <row r="83" spans="2:13">
      <c r="B83" s="2997"/>
      <c r="C83" s="2999">
        <f t="shared" ref="C83:C84" ca="1" si="22">C84-0.2%</f>
        <v>9.3249688134254688E-2</v>
      </c>
      <c r="D83" s="3000">
        <f t="dataTable" ref="D83:J89" dt2D="1" dtr="1" r1="G33" r2="C36" ca="1"/>
        <v>117673.25223672652</v>
      </c>
      <c r="E83" s="3000">
        <v>119154.17194689241</v>
      </c>
      <c r="F83" s="3000">
        <v>120681.19054884031</v>
      </c>
      <c r="G83" s="3000">
        <v>122256.49456205245</v>
      </c>
      <c r="H83" s="3000">
        <v>123882.4110059587</v>
      </c>
      <c r="I83" s="3000">
        <v>125561.41886937851</v>
      </c>
      <c r="J83" s="3001">
        <v>127296.16172215391</v>
      </c>
      <c r="K83" s="533"/>
      <c r="L83" s="533"/>
      <c r="M83" s="462"/>
    </row>
    <row r="84" spans="2:13">
      <c r="B84" s="2997"/>
      <c r="C84" s="2999">
        <f t="shared" ca="1" si="22"/>
        <v>9.524968813425469E-2</v>
      </c>
      <c r="D84" s="3000">
        <v>114623.07395515514</v>
      </c>
      <c r="E84" s="3000">
        <v>116014.20970096753</v>
      </c>
      <c r="F84" s="3000">
        <v>117447.34219529272</v>
      </c>
      <c r="G84" s="3000">
        <v>118924.4023323486</v>
      </c>
      <c r="H84" s="3000">
        <v>120447.44121824973</v>
      </c>
      <c r="I84" s="3000">
        <v>122018.639673971</v>
      </c>
      <c r="J84" s="3001">
        <v>123640.31865426397</v>
      </c>
      <c r="K84" s="533"/>
      <c r="L84" s="533"/>
      <c r="M84" s="462"/>
    </row>
    <row r="85" spans="2:13">
      <c r="B85" s="2997"/>
      <c r="C85" s="2999">
        <f ca="1">C86-0.2%</f>
        <v>9.7249688134254691E-2</v>
      </c>
      <c r="D85" s="3000">
        <v>111748.93707858569</v>
      </c>
      <c r="E85" s="3000">
        <v>113058.0194224435</v>
      </c>
      <c r="F85" s="3000">
        <v>114405.46332895875</v>
      </c>
      <c r="G85" s="3000">
        <v>115792.98010254295</v>
      </c>
      <c r="H85" s="3000">
        <v>117222.38437213385</v>
      </c>
      <c r="I85" s="3000">
        <v>118695.6020088216</v>
      </c>
      <c r="J85" s="3001">
        <v>120214.67878286763</v>
      </c>
      <c r="K85" s="533"/>
      <c r="L85" s="533"/>
      <c r="M85" s="462"/>
    </row>
    <row r="86" spans="2:13">
      <c r="B86" s="2997" t="s">
        <v>5</v>
      </c>
      <c r="C86" s="2998">
        <f ca="1">C27</f>
        <v>9.9249688134254693E-2</v>
      </c>
      <c r="D86" s="3000">
        <v>109036.20368749832</v>
      </c>
      <c r="E86" s="3000">
        <v>110270.10673057144</v>
      </c>
      <c r="F86" s="3000">
        <v>111539.13884185377</v>
      </c>
      <c r="G86" s="3000">
        <v>112844.8218650889</v>
      </c>
      <c r="H86" s="3000">
        <v>114188.76683673517</v>
      </c>
      <c r="I86" s="3000">
        <v>115572.68061742523</v>
      </c>
      <c r="J86" s="3001">
        <v>116998.37312401316</v>
      </c>
      <c r="K86" s="533"/>
      <c r="L86" s="533"/>
      <c r="M86" s="462"/>
    </row>
    <row r="87" spans="2:13">
      <c r="B87" s="2997"/>
      <c r="C87" s="2999">
        <f ca="1">C86+0.2%</f>
        <v>0.1012496881342547</v>
      </c>
      <c r="D87" s="3000">
        <v>106471.813195806</v>
      </c>
      <c r="E87" s="3000">
        <v>107636.66965069024</v>
      </c>
      <c r="F87" s="3000">
        <v>108833.77140614155</v>
      </c>
      <c r="G87" s="3000">
        <v>110064.4761649687</v>
      </c>
      <c r="H87" s="3000">
        <v>111330.21893724511</v>
      </c>
      <c r="I87" s="3000">
        <v>112632.517622086</v>
      </c>
      <c r="J87" s="3001">
        <v>113972.97908013339</v>
      </c>
      <c r="K87" s="533"/>
      <c r="L87" s="533"/>
      <c r="M87" s="462"/>
    </row>
    <row r="88" spans="2:13">
      <c r="B88" s="2997"/>
      <c r="C88" s="2999">
        <f t="shared" ref="C88:C89" ca="1" si="23">C87+0.2%</f>
        <v>0.1032496881342547</v>
      </c>
      <c r="D88" s="3000">
        <v>104044.0754845991</v>
      </c>
      <c r="E88" s="3000">
        <v>105145.37370679376</v>
      </c>
      <c r="F88" s="3000">
        <v>106276.33665216413</v>
      </c>
      <c r="G88" s="3000">
        <v>107438.17926335096</v>
      </c>
      <c r="H88" s="3000">
        <v>108632.18374654552</v>
      </c>
      <c r="I88" s="3000">
        <v>109859.70429175976</v>
      </c>
      <c r="J88" s="3001">
        <v>111122.17219625243</v>
      </c>
      <c r="K88" s="533"/>
      <c r="L88" s="533"/>
      <c r="M88" s="462"/>
    </row>
    <row r="89" spans="2:13">
      <c r="B89" s="3002"/>
      <c r="C89" s="3003">
        <f t="shared" ca="1" si="23"/>
        <v>0.1052496881342547</v>
      </c>
      <c r="D89" s="3004">
        <v>101742.49575994103</v>
      </c>
      <c r="E89" s="3004">
        <v>102785.16195134284</v>
      </c>
      <c r="F89" s="3004">
        <v>103855.17687601592</v>
      </c>
      <c r="G89" s="3004">
        <v>104953.63085342673</v>
      </c>
      <c r="H89" s="3004">
        <v>106081.6729410374</v>
      </c>
      <c r="I89" s="3004">
        <v>107240.5149437424</v>
      </c>
      <c r="J89" s="3005">
        <v>108431.43575627012</v>
      </c>
      <c r="K89" s="533"/>
      <c r="L89" s="533"/>
      <c r="M89" s="462"/>
    </row>
    <row r="90" spans="2:13">
      <c r="B90" s="462"/>
      <c r="C90" s="3010"/>
      <c r="D90" s="3011"/>
      <c r="E90" s="3011"/>
      <c r="F90" s="3011"/>
      <c r="G90" s="3012"/>
      <c r="H90" s="3013"/>
      <c r="I90" s="3014"/>
      <c r="J90" s="3014"/>
      <c r="K90" s="533"/>
      <c r="L90" s="533"/>
      <c r="M90" s="462"/>
    </row>
    <row r="91" spans="2:13">
      <c r="B91" s="560" t="s">
        <v>1950</v>
      </c>
      <c r="C91" s="3015"/>
      <c r="D91" s="3016"/>
      <c r="E91" s="3016"/>
      <c r="F91" s="3016"/>
      <c r="G91" s="3017"/>
      <c r="H91" s="3018"/>
      <c r="I91" s="3018"/>
      <c r="J91" s="3018"/>
      <c r="K91" s="533"/>
      <c r="L91" s="533"/>
      <c r="M91" s="462"/>
    </row>
    <row r="92" spans="2:13">
      <c r="B92" s="3021"/>
      <c r="C92" s="2995"/>
      <c r="D92" s="2995"/>
      <c r="E92" s="2995"/>
      <c r="F92" s="2995" t="s">
        <v>1960</v>
      </c>
      <c r="G92" s="2995"/>
      <c r="H92" s="2995"/>
      <c r="I92" s="2995"/>
      <c r="J92" s="2996"/>
      <c r="K92" s="533"/>
      <c r="L92" s="533"/>
      <c r="M92" s="462"/>
    </row>
    <row r="93" spans="2:13">
      <c r="B93" s="3022"/>
      <c r="C93" s="3025"/>
      <c r="D93" s="2998"/>
      <c r="E93" s="2998"/>
      <c r="F93" s="2998"/>
      <c r="G93" s="2998"/>
      <c r="H93" s="2998"/>
      <c r="I93" s="2998"/>
      <c r="J93" s="3019"/>
      <c r="K93" s="533"/>
      <c r="L93" s="533"/>
      <c r="M93" s="462"/>
    </row>
    <row r="94" spans="2:13">
      <c r="B94" s="3022"/>
      <c r="C94" s="2999"/>
      <c r="D94" s="369"/>
      <c r="E94" s="369"/>
      <c r="F94" s="369"/>
      <c r="G94" s="369"/>
      <c r="H94" s="369"/>
      <c r="I94" s="369"/>
      <c r="J94" s="1494"/>
      <c r="K94" s="533"/>
      <c r="L94" s="533"/>
      <c r="M94" s="462"/>
    </row>
    <row r="95" spans="2:13">
      <c r="B95" s="3022"/>
      <c r="C95" s="2999"/>
      <c r="D95" s="369"/>
      <c r="E95" s="369"/>
      <c r="F95" s="369"/>
      <c r="G95" s="369"/>
      <c r="H95" s="369"/>
      <c r="I95" s="369"/>
      <c r="J95" s="1494"/>
      <c r="K95" s="533"/>
      <c r="L95" s="533"/>
      <c r="M95" s="462"/>
    </row>
    <row r="96" spans="2:13">
      <c r="B96" s="3022"/>
      <c r="C96" s="2999"/>
      <c r="D96" s="369"/>
      <c r="E96" s="369"/>
      <c r="F96" s="369"/>
      <c r="G96" s="369"/>
      <c r="H96" s="369"/>
      <c r="I96" s="369"/>
      <c r="J96" s="1494"/>
      <c r="K96" s="533"/>
      <c r="L96" s="533"/>
      <c r="M96" s="462"/>
    </row>
    <row r="97" spans="2:13">
      <c r="B97" s="3022" t="s">
        <v>5</v>
      </c>
      <c r="C97" s="2998"/>
      <c r="D97" s="369"/>
      <c r="E97" s="369"/>
      <c r="F97" s="369"/>
      <c r="G97" s="369"/>
      <c r="H97" s="369"/>
      <c r="I97" s="369"/>
      <c r="J97" s="1494"/>
      <c r="K97" s="533"/>
      <c r="L97" s="533"/>
      <c r="M97" s="462"/>
    </row>
    <row r="98" spans="2:13">
      <c r="B98" s="3022"/>
      <c r="C98" s="2999"/>
      <c r="D98" s="369"/>
      <c r="E98" s="369"/>
      <c r="F98" s="369"/>
      <c r="G98" s="369"/>
      <c r="H98" s="369"/>
      <c r="I98" s="369"/>
      <c r="J98" s="1494"/>
      <c r="K98" s="533"/>
      <c r="L98" s="533"/>
      <c r="M98" s="462"/>
    </row>
    <row r="99" spans="2:13">
      <c r="B99" s="3022"/>
      <c r="C99" s="2999"/>
      <c r="D99" s="369"/>
      <c r="E99" s="369"/>
      <c r="F99" s="369"/>
      <c r="G99" s="369"/>
      <c r="H99" s="369"/>
      <c r="I99" s="369"/>
      <c r="J99" s="1494"/>
      <c r="K99" s="533"/>
      <c r="L99" s="533"/>
      <c r="M99" s="462"/>
    </row>
    <row r="100" spans="2:13">
      <c r="B100" s="3024"/>
      <c r="C100" s="3003"/>
      <c r="D100" s="2987"/>
      <c r="E100" s="2987"/>
      <c r="F100" s="2987"/>
      <c r="G100" s="2987"/>
      <c r="H100" s="2987"/>
      <c r="I100" s="2987"/>
      <c r="J100" s="2639"/>
      <c r="K100" s="533"/>
      <c r="L100" s="533"/>
      <c r="M100" s="462"/>
    </row>
    <row r="101" spans="2:13">
      <c r="B101" s="462"/>
      <c r="C101" s="3010"/>
      <c r="D101" s="3011"/>
      <c r="E101" s="3011"/>
      <c r="F101" s="3011"/>
      <c r="G101" s="3012"/>
      <c r="H101" s="3013"/>
      <c r="I101" s="3014"/>
      <c r="J101" s="3014"/>
      <c r="K101" s="533"/>
      <c r="L101" s="533"/>
      <c r="M101" s="462"/>
    </row>
    <row r="102" spans="2:13">
      <c r="B102" s="462" t="s">
        <v>1961</v>
      </c>
      <c r="C102" s="3010"/>
      <c r="D102" s="3011"/>
      <c r="E102" s="3011"/>
      <c r="F102" s="3011"/>
      <c r="G102" s="3012"/>
      <c r="H102" s="3013"/>
      <c r="I102" s="3014"/>
      <c r="J102" s="3014"/>
      <c r="K102" s="533"/>
      <c r="L102" s="533"/>
      <c r="M102" s="462"/>
    </row>
    <row r="103" spans="2:13">
      <c r="B103" s="3021"/>
      <c r="C103" s="2995"/>
      <c r="D103" s="2995"/>
      <c r="E103" s="2995"/>
      <c r="F103" s="2995" t="s">
        <v>1960</v>
      </c>
      <c r="G103" s="2995"/>
      <c r="H103" s="2995"/>
      <c r="I103" s="2995"/>
      <c r="J103" s="2996"/>
      <c r="K103" s="533"/>
      <c r="L103" s="533"/>
      <c r="M103" s="462"/>
    </row>
    <row r="104" spans="2:13">
      <c r="B104" s="3022"/>
      <c r="C104" s="3025"/>
      <c r="D104" s="2998">
        <f t="shared" ref="D104:E104" si="24">E104-0.25%</f>
        <v>3.2499999999999994E-2</v>
      </c>
      <c r="E104" s="2998">
        <f t="shared" si="24"/>
        <v>3.4999999999999996E-2</v>
      </c>
      <c r="F104" s="2998">
        <f>G104-0.25%</f>
        <v>3.7499999999999999E-2</v>
      </c>
      <c r="G104" s="2998">
        <v>0.04</v>
      </c>
      <c r="H104" s="2998">
        <f>G104+0.25%</f>
        <v>4.2500000000000003E-2</v>
      </c>
      <c r="I104" s="2998">
        <f t="shared" ref="I104:J104" si="25">H104+0.25%</f>
        <v>4.5000000000000005E-2</v>
      </c>
      <c r="J104" s="3019">
        <f t="shared" si="25"/>
        <v>4.7500000000000007E-2</v>
      </c>
      <c r="K104" s="533"/>
      <c r="L104" s="533"/>
      <c r="M104" s="462"/>
    </row>
    <row r="105" spans="2:13">
      <c r="B105" s="3022"/>
      <c r="C105" s="2999">
        <v>8.4933991764879591E-2</v>
      </c>
      <c r="D105" s="369"/>
      <c r="E105" s="369"/>
      <c r="F105" s="369"/>
      <c r="G105" s="369"/>
      <c r="H105" s="369"/>
      <c r="I105" s="369"/>
      <c r="J105" s="1494"/>
      <c r="K105" s="533"/>
      <c r="L105" s="533"/>
      <c r="M105" s="462"/>
    </row>
    <row r="106" spans="2:13">
      <c r="B106" s="3022"/>
      <c r="C106" s="2999">
        <v>8.6933991764879592E-2</v>
      </c>
      <c r="D106" s="369"/>
      <c r="E106" s="369"/>
      <c r="F106" s="369"/>
      <c r="G106" s="369"/>
      <c r="H106" s="369"/>
      <c r="I106" s="369"/>
      <c r="J106" s="1494"/>
      <c r="K106" s="533"/>
      <c r="L106" s="533"/>
      <c r="M106" s="462"/>
    </row>
    <row r="107" spans="2:13">
      <c r="B107" s="3022"/>
      <c r="C107" s="2999">
        <v>8.8933991764879594E-2</v>
      </c>
      <c r="D107" s="369"/>
      <c r="E107" s="369"/>
      <c r="F107" s="369"/>
      <c r="G107" s="369"/>
      <c r="H107" s="369"/>
      <c r="I107" s="369"/>
      <c r="J107" s="1494"/>
      <c r="K107" s="533"/>
      <c r="L107" s="533"/>
      <c r="M107" s="462"/>
    </row>
    <row r="108" spans="2:13">
      <c r="B108" s="3022" t="s">
        <v>5</v>
      </c>
      <c r="C108" s="2998">
        <v>9.0933991764879596E-2</v>
      </c>
      <c r="D108" s="369"/>
      <c r="E108" s="369"/>
      <c r="F108" s="369"/>
      <c r="G108" s="369"/>
      <c r="H108" s="369"/>
      <c r="I108" s="369"/>
      <c r="J108" s="1494"/>
      <c r="K108" s="533"/>
      <c r="L108" s="533"/>
      <c r="M108" s="462"/>
    </row>
    <row r="109" spans="2:13">
      <c r="B109" s="3022"/>
      <c r="C109" s="2999">
        <v>9.2933991764879598E-2</v>
      </c>
      <c r="D109" s="369"/>
      <c r="E109" s="369"/>
      <c r="F109" s="369"/>
      <c r="G109" s="369"/>
      <c r="H109" s="369"/>
      <c r="I109" s="369"/>
      <c r="J109" s="1494"/>
      <c r="K109" s="533"/>
      <c r="L109" s="533"/>
      <c r="M109" s="462"/>
    </row>
    <row r="110" spans="2:13">
      <c r="B110" s="3022"/>
      <c r="C110" s="2999">
        <v>9.4933991764879599E-2</v>
      </c>
      <c r="D110" s="369"/>
      <c r="E110" s="369"/>
      <c r="F110" s="369"/>
      <c r="G110" s="369"/>
      <c r="H110" s="369"/>
      <c r="I110" s="369"/>
      <c r="J110" s="1494"/>
      <c r="K110" s="533"/>
      <c r="L110" s="533"/>
      <c r="M110" s="462"/>
    </row>
    <row r="111" spans="2:13">
      <c r="B111" s="3024"/>
      <c r="C111" s="3003">
        <v>9.6933991764879601E-2</v>
      </c>
      <c r="D111" s="2987"/>
      <c r="E111" s="2987"/>
      <c r="F111" s="2987"/>
      <c r="G111" s="2987"/>
      <c r="H111" s="2987"/>
      <c r="I111" s="2987"/>
      <c r="J111" s="2639"/>
      <c r="K111" s="533"/>
      <c r="L111" s="533"/>
      <c r="M111" s="462"/>
    </row>
    <row r="112" spans="2:13">
      <c r="B112" s="462"/>
      <c r="C112" s="3010"/>
      <c r="D112" s="3011"/>
      <c r="E112" s="3011"/>
      <c r="F112" s="3011"/>
      <c r="G112" s="3012"/>
      <c r="H112" s="3013"/>
      <c r="I112" s="3014"/>
      <c r="J112" s="3014"/>
      <c r="K112" s="533"/>
      <c r="L112" s="533"/>
      <c r="M112" s="462"/>
    </row>
    <row r="113" spans="2:13">
      <c r="B113" s="462" t="s">
        <v>1962</v>
      </c>
      <c r="C113" s="3010"/>
      <c r="D113" s="3011"/>
      <c r="E113" s="3011"/>
      <c r="F113" s="3011"/>
      <c r="G113" s="3012"/>
      <c r="H113" s="3013"/>
      <c r="I113" s="3014"/>
      <c r="J113" s="3014"/>
      <c r="K113" s="533"/>
      <c r="L113" s="533"/>
      <c r="M113" s="462"/>
    </row>
    <row r="114" spans="2:13">
      <c r="B114" s="3021"/>
      <c r="C114" s="2995"/>
      <c r="D114" s="2995"/>
      <c r="E114" s="2995"/>
      <c r="F114" s="2995" t="s">
        <v>1960</v>
      </c>
      <c r="G114" s="2995"/>
      <c r="H114" s="2995"/>
      <c r="I114" s="2995"/>
      <c r="J114" s="2996"/>
      <c r="K114" s="533"/>
      <c r="L114" s="533"/>
      <c r="M114" s="462"/>
    </row>
    <row r="115" spans="2:13">
      <c r="B115" s="3022"/>
      <c r="C115" s="3023">
        <f ca="1">J24</f>
        <v>0.477397608822274</v>
      </c>
      <c r="D115" s="2998">
        <v>3.2499999999999994E-2</v>
      </c>
      <c r="E115" s="2998">
        <v>3.4999999999999996E-2</v>
      </c>
      <c r="F115" s="2998">
        <v>3.7499999999999999E-2</v>
      </c>
      <c r="G115" s="2998">
        <v>0.04</v>
      </c>
      <c r="H115" s="2998">
        <f>G115+0.25%</f>
        <v>4.2500000000000003E-2</v>
      </c>
      <c r="I115" s="2998">
        <v>4.5000000000000005E-2</v>
      </c>
      <c r="J115" s="3019">
        <v>4.7500000000000007E-2</v>
      </c>
      <c r="K115" s="533"/>
      <c r="L115" s="533"/>
      <c r="M115" s="462"/>
    </row>
    <row r="116" spans="2:13">
      <c r="B116" s="3022"/>
      <c r="C116" s="2999">
        <v>8.4933991764879591E-2</v>
      </c>
      <c r="D116" s="1333">
        <f t="dataTable" ref="D116:J122" dt2D="1" dtr="1" r1="C7" r2="C27" ca="1"/>
        <v>1.0038418008057488</v>
      </c>
      <c r="E116" s="1333">
        <v>1.0894315931771623</v>
      </c>
      <c r="F116" s="1333">
        <v>1.1840433747578825</v>
      </c>
      <c r="G116" s="1333">
        <v>1.2891830193065505</v>
      </c>
      <c r="H116" s="1333">
        <v>1.4067112749869781</v>
      </c>
      <c r="I116" s="1333">
        <v>1.5389548459271971</v>
      </c>
      <c r="J116" s="1666">
        <v>1.6888619847512314</v>
      </c>
      <c r="K116" s="533"/>
      <c r="L116" s="533"/>
      <c r="M116" s="462"/>
    </row>
    <row r="117" spans="2:13">
      <c r="B117" s="3022"/>
      <c r="C117" s="2999">
        <v>8.6933991764879592E-2</v>
      </c>
      <c r="D117" s="1333">
        <v>0.93645551587047238</v>
      </c>
      <c r="E117" s="1333">
        <v>1.0155174213595126</v>
      </c>
      <c r="F117" s="1333">
        <v>1.1025760415246686</v>
      </c>
      <c r="G117" s="1333">
        <v>1.1989092425310712</v>
      </c>
      <c r="H117" s="1333">
        <v>1.3060824780673612</v>
      </c>
      <c r="I117" s="1333">
        <v>1.4260345156000365</v>
      </c>
      <c r="J117" s="1666">
        <v>1.5611957713939359</v>
      </c>
      <c r="K117" s="533"/>
      <c r="L117" s="533"/>
      <c r="M117" s="462"/>
    </row>
    <row r="118" spans="2:13">
      <c r="B118" s="3022"/>
      <c r="C118" s="2999">
        <v>8.8933991764879594E-2</v>
      </c>
      <c r="D118" s="1333">
        <v>0.87384734029411604</v>
      </c>
      <c r="E118" s="1333">
        <v>0.94708693209744643</v>
      </c>
      <c r="F118" s="1333">
        <v>1.0274462893798137</v>
      </c>
      <c r="G118" s="1333">
        <v>1.1160166421669495</v>
      </c>
      <c r="H118" s="1333">
        <v>1.2141242272079498</v>
      </c>
      <c r="I118" s="1333">
        <v>1.3233971515568417</v>
      </c>
      <c r="J118" s="1666">
        <v>1.4458564622149477</v>
      </c>
      <c r="K118" s="533"/>
      <c r="L118" s="533"/>
      <c r="M118" s="462"/>
    </row>
    <row r="119" spans="2:13">
      <c r="B119" s="3022" t="s">
        <v>5</v>
      </c>
      <c r="C119" s="2998">
        <v>9.0933991764879596E-2</v>
      </c>
      <c r="D119" s="1333">
        <v>0.81552663972537354</v>
      </c>
      <c r="E119" s="1333">
        <v>0.88355187578891825</v>
      </c>
      <c r="F119" s="1333">
        <v>0.95794246411389183</v>
      </c>
      <c r="G119" s="1333">
        <v>1.039635699035697</v>
      </c>
      <c r="H119" s="1333">
        <v>1.1297623948333251</v>
      </c>
      <c r="I119" s="1333">
        <v>1.2296995482392257</v>
      </c>
      <c r="J119" s="1666">
        <v>1.3411411880329882</v>
      </c>
      <c r="K119" s="533"/>
      <c r="L119" s="533"/>
      <c r="M119" s="462"/>
    </row>
    <row r="120" spans="2:13">
      <c r="B120" s="3022"/>
      <c r="C120" s="2999">
        <v>9.2933991764879598E-2</v>
      </c>
      <c r="D120" s="1333">
        <v>0.76106772810839596</v>
      </c>
      <c r="E120" s="1333">
        <v>0.82440523332373461</v>
      </c>
      <c r="F120" s="1333">
        <v>0.89345561462816847</v>
      </c>
      <c r="G120" s="1333">
        <v>0.96902830598349965</v>
      </c>
      <c r="H120" s="1333">
        <v>1.0520932350847185</v>
      </c>
      <c r="I120" s="1333">
        <v>1.1438226761578032</v>
      </c>
      <c r="J120" s="1666">
        <v>1.2456469204288747</v>
      </c>
      <c r="K120" s="533"/>
      <c r="L120" s="533"/>
      <c r="M120" s="462"/>
    </row>
    <row r="121" spans="2:13">
      <c r="B121" s="3022"/>
      <c r="C121" s="2999">
        <v>9.4933991764879599E-2</v>
      </c>
      <c r="D121" s="1333">
        <v>0.71009946496718679</v>
      </c>
      <c r="E121" s="1333">
        <v>0.76920766275597585</v>
      </c>
      <c r="F121" s="1333">
        <v>0.83346161099432137</v>
      </c>
      <c r="G121" s="1333">
        <v>0.9035638460742057</v>
      </c>
      <c r="H121" s="1333">
        <v>0.98035088930242087</v>
      </c>
      <c r="I121" s="1333">
        <v>1.0648267874082689</v>
      </c>
      <c r="J121" s="1666">
        <v>1.1582072595297923</v>
      </c>
      <c r="K121" s="533"/>
      <c r="L121" s="533"/>
      <c r="M121" s="462"/>
    </row>
    <row r="122" spans="2:13">
      <c r="B122" s="3024"/>
      <c r="C122" s="3003">
        <v>9.6933991764879601E-2</v>
      </c>
      <c r="D122" s="1994">
        <v>0.66229679006166187</v>
      </c>
      <c r="E122" s="1994">
        <v>0.71757657199694891</v>
      </c>
      <c r="F122" s="1994">
        <v>0.77750687296131149</v>
      </c>
      <c r="G122" s="1994">
        <v>0.84270031279110325</v>
      </c>
      <c r="H122" s="1994">
        <v>0.9138820549404636</v>
      </c>
      <c r="I122" s="1994">
        <v>0.99191689462097599</v>
      </c>
      <c r="J122" s="2246">
        <v>1.077844566429194</v>
      </c>
      <c r="K122" s="533"/>
      <c r="L122" s="533"/>
      <c r="M122" s="462"/>
    </row>
    <row r="123" spans="2:13">
      <c r="B123" s="462"/>
      <c r="C123" s="553"/>
      <c r="D123" s="532"/>
      <c r="E123" s="532"/>
      <c r="F123" s="532"/>
      <c r="G123" s="533"/>
      <c r="H123" s="579"/>
      <c r="I123" s="554"/>
      <c r="J123" s="554"/>
      <c r="K123" s="533"/>
      <c r="L123" s="533"/>
      <c r="M123" s="462"/>
    </row>
    <row r="124" spans="2:13">
      <c r="B124" s="462"/>
      <c r="C124" s="553"/>
      <c r="D124" s="532"/>
      <c r="E124" s="532"/>
      <c r="F124" s="532"/>
      <c r="G124" s="533"/>
      <c r="H124" s="579"/>
      <c r="I124" s="554"/>
      <c r="J124" s="554"/>
      <c r="K124" s="533"/>
      <c r="L124" s="533"/>
      <c r="M124" s="462"/>
    </row>
    <row r="125" spans="2:13">
      <c r="B125" s="462"/>
      <c r="C125" s="553"/>
      <c r="D125" s="532"/>
      <c r="E125" s="532"/>
      <c r="F125" s="532"/>
      <c r="G125" s="533"/>
      <c r="H125" s="579"/>
      <c r="I125" s="554"/>
      <c r="J125" s="554"/>
      <c r="K125" s="533"/>
      <c r="L125" s="533"/>
      <c r="M125" s="462"/>
    </row>
    <row r="126" spans="2:13">
      <c r="B126" s="462"/>
      <c r="C126" s="553"/>
      <c r="D126" s="532"/>
      <c r="E126" s="532"/>
      <c r="F126" s="532"/>
      <c r="G126" s="533"/>
      <c r="H126" s="579"/>
      <c r="I126" s="554"/>
      <c r="J126" s="554"/>
      <c r="K126" s="533"/>
      <c r="L126" s="533"/>
      <c r="M126" s="462"/>
    </row>
    <row r="127" spans="2:13">
      <c r="B127" s="460" t="s">
        <v>10</v>
      </c>
      <c r="C127" s="553"/>
      <c r="D127" s="532"/>
      <c r="E127" s="532"/>
      <c r="F127" s="532"/>
      <c r="G127" s="533"/>
      <c r="H127" s="554"/>
      <c r="I127" s="554"/>
      <c r="J127" s="554"/>
      <c r="K127" s="533"/>
      <c r="L127" s="533"/>
      <c r="M127" s="462"/>
    </row>
    <row r="128" spans="2:13" ht="12.75" customHeight="1">
      <c r="B128" s="3039"/>
      <c r="C128" s="3607" t="s">
        <v>200</v>
      </c>
      <c r="D128" s="3607"/>
      <c r="E128" s="3607"/>
      <c r="F128" s="3607"/>
      <c r="G128" s="3607"/>
      <c r="H128" s="3607"/>
      <c r="I128" s="3608"/>
      <c r="J128" s="3608"/>
      <c r="K128" s="3037"/>
      <c r="L128" s="3037"/>
      <c r="M128" s="3038"/>
    </row>
    <row r="129" spans="2:26">
      <c r="B129" s="3034"/>
      <c r="C129" s="3035">
        <f>CF!C5</f>
        <v>2017</v>
      </c>
      <c r="D129" s="3035">
        <f>CF!D5</f>
        <v>2018</v>
      </c>
      <c r="E129" s="3035">
        <f>CF!E5</f>
        <v>2019</v>
      </c>
      <c r="F129" s="3035">
        <f>CF!F5</f>
        <v>2020</v>
      </c>
      <c r="G129" s="3035">
        <f>CF!G5</f>
        <v>2021</v>
      </c>
      <c r="H129" s="3035">
        <f>CF!H5</f>
        <v>2022</v>
      </c>
      <c r="I129" s="3035">
        <f>CF!I5</f>
        <v>2023</v>
      </c>
      <c r="J129" s="3035">
        <f>CF!J5</f>
        <v>2024</v>
      </c>
      <c r="K129" s="3035" t="e">
        <f>CF!#REF!</f>
        <v>#REF!</v>
      </c>
      <c r="L129" s="3035">
        <f>CF!L5</f>
        <v>2026</v>
      </c>
      <c r="M129" s="3036">
        <f>CF!M5</f>
        <v>2027</v>
      </c>
      <c r="N129" s="2812">
        <f>CF!N5</f>
        <v>2028</v>
      </c>
      <c r="O129" s="2812">
        <f>CF!O5</f>
        <v>0</v>
      </c>
      <c r="P129" s="2812" t="e">
        <f>CF!#REF!</f>
        <v>#REF!</v>
      </c>
      <c r="Q129" s="2812">
        <f>CF!P5</f>
        <v>0</v>
      </c>
      <c r="R129" s="2812">
        <f>CF!Q5</f>
        <v>2023</v>
      </c>
      <c r="S129" s="2812" t="e">
        <f>CF!#REF!</f>
        <v>#REF!</v>
      </c>
      <c r="T129" s="2812">
        <f>CF!R5</f>
        <v>0</v>
      </c>
      <c r="U129" s="2812">
        <f>CF!S5</f>
        <v>0</v>
      </c>
      <c r="V129" s="2812">
        <f>CF!T5</f>
        <v>0</v>
      </c>
      <c r="W129" s="2812">
        <f>CF!U5</f>
        <v>0</v>
      </c>
      <c r="X129" s="2812">
        <f>CF!V5</f>
        <v>0</v>
      </c>
      <c r="Y129" s="2812">
        <f>CF!W5</f>
        <v>0</v>
      </c>
      <c r="Z129" s="2812">
        <f>CF!X5</f>
        <v>0</v>
      </c>
    </row>
    <row r="130" spans="2:26">
      <c r="B130" s="2805" t="s">
        <v>198</v>
      </c>
      <c r="C130" s="2813">
        <f>PL!H29</f>
        <v>4206.0553353639953</v>
      </c>
      <c r="D130" s="2813">
        <f>PL!I29</f>
        <v>4286.4492999910017</v>
      </c>
      <c r="E130" s="2813">
        <f>PL!J29</f>
        <v>5501.4506648439983</v>
      </c>
      <c r="F130" s="2813">
        <f>PL!K29</f>
        <v>6095.3371554799987</v>
      </c>
      <c r="G130" s="2813">
        <f>PL!L29</f>
        <v>7058.9432015550001</v>
      </c>
      <c r="H130" s="2813">
        <f>PL!M29</f>
        <v>8627.6217949970014</v>
      </c>
      <c r="I130" s="2813">
        <f>PL!N29</f>
        <v>10738.142058050997</v>
      </c>
      <c r="J130" s="2813">
        <f>PL!O29</f>
        <v>13043.640000000003</v>
      </c>
      <c r="K130" s="2813">
        <f ca="1">PL!W29</f>
        <v>10266.834449999998</v>
      </c>
      <c r="L130" s="2813">
        <f ca="1">PL!Q29</f>
        <v>12455.330662171225</v>
      </c>
      <c r="M130" s="3026">
        <f ca="1">PL!R29</f>
        <v>13502.971749592678</v>
      </c>
      <c r="N130" s="2813">
        <f ca="1">PL!S29</f>
        <v>14995.330980579267</v>
      </c>
      <c r="O130" s="2813">
        <f>PL!U29</f>
        <v>0</v>
      </c>
      <c r="P130" s="2813">
        <f>PL!V29</f>
        <v>9082.3781109344927</v>
      </c>
      <c r="Q130" s="2813" t="e">
        <f>PL!#REF!</f>
        <v>#REF!</v>
      </c>
      <c r="R130" s="2813">
        <f>PL!X29</f>
        <v>0</v>
      </c>
      <c r="S130" s="2813">
        <f>PL!Y29</f>
        <v>0</v>
      </c>
      <c r="T130" s="2813">
        <f>PL!Z29</f>
        <v>0</v>
      </c>
      <c r="U130" s="2813">
        <f>PL!AA29</f>
        <v>0</v>
      </c>
      <c r="V130" s="2813">
        <f>PL!AB29</f>
        <v>0</v>
      </c>
      <c r="W130" s="2813">
        <f>PL!AC29</f>
        <v>0</v>
      </c>
      <c r="X130" s="2813">
        <f>PL!AD29</f>
        <v>0</v>
      </c>
      <c r="Y130" s="2813">
        <f>PL!AE29</f>
        <v>0</v>
      </c>
      <c r="Z130" s="2813">
        <f>PL!AF29</f>
        <v>0</v>
      </c>
    </row>
    <row r="131" spans="2:26">
      <c r="B131" s="2805" t="s">
        <v>0</v>
      </c>
      <c r="C131" s="2814">
        <f>PL!H94</f>
        <v>4969.0603538761934</v>
      </c>
      <c r="D131" s="2814">
        <f>PL!I94</f>
        <v>3896.8323625592666</v>
      </c>
      <c r="E131" s="2814">
        <f>PL!J94</f>
        <v>4214.3727606448792</v>
      </c>
      <c r="F131" s="2814">
        <f>PL!K94</f>
        <v>4114.9824409595221</v>
      </c>
      <c r="G131" s="2814">
        <f>PL!L94</f>
        <v>4341.5676497790164</v>
      </c>
      <c r="H131" s="2814">
        <f>PL!M94</f>
        <v>4419.7695071036078</v>
      </c>
      <c r="I131" s="2814">
        <f>PL!N94</f>
        <v>4648.3798543374169</v>
      </c>
      <c r="J131" s="2814">
        <f>PL!O94</f>
        <v>4876.6811591306641</v>
      </c>
      <c r="K131" s="2814">
        <f ca="1">PL!W94</f>
        <v>4593.3401882526814</v>
      </c>
      <c r="L131" s="2814">
        <f ca="1">PL!Q94</f>
        <v>6139.6016415160148</v>
      </c>
      <c r="M131" s="3027">
        <f ca="1">PL!R94</f>
        <v>6936.1467464204525</v>
      </c>
      <c r="N131" s="2814">
        <f ca="1">PL!S94</f>
        <v>7859.1752458918472</v>
      </c>
      <c r="O131" s="2814">
        <f>PL!U94</f>
        <v>0</v>
      </c>
      <c r="P131" s="2814">
        <f>PL!V94</f>
        <v>4284.4189970799362</v>
      </c>
      <c r="Q131" s="2814" t="e">
        <f>PL!#REF!</f>
        <v>#REF!</v>
      </c>
      <c r="R131" s="2814">
        <f>PL!X94</f>
        <v>0</v>
      </c>
      <c r="S131" s="2814">
        <f>PL!Y94</f>
        <v>0</v>
      </c>
      <c r="T131" s="2814">
        <f>PL!Z94</f>
        <v>0</v>
      </c>
      <c r="U131" s="2814">
        <f>PL!AA94</f>
        <v>0</v>
      </c>
      <c r="V131" s="2814">
        <f>PL!AB94</f>
        <v>0</v>
      </c>
      <c r="W131" s="2814">
        <f>PL!AC94</f>
        <v>0</v>
      </c>
      <c r="X131" s="2814">
        <f>PL!AD94</f>
        <v>0</v>
      </c>
      <c r="Y131" s="2814">
        <f>PL!AE94</f>
        <v>0</v>
      </c>
      <c r="Z131" s="2814">
        <f>PL!AF94</f>
        <v>0</v>
      </c>
    </row>
    <row r="132" spans="2:26">
      <c r="B132" s="2805" t="s">
        <v>11</v>
      </c>
      <c r="C132" s="2814">
        <f>BS!H76*10^9/(PL!H90)</f>
        <v>24876.636582946063</v>
      </c>
      <c r="D132" s="2814">
        <f>BS!I76*10^9/(PL!I90)</f>
        <v>23491.587836577972</v>
      </c>
      <c r="E132" s="2814">
        <f>BS!J76*10^9/(PL!J90)</f>
        <v>22756.463738527389</v>
      </c>
      <c r="F132" s="2814">
        <f>BS!K76*10^9/(PL!K90)</f>
        <v>23211.279747483681</v>
      </c>
      <c r="G132" s="2814">
        <f>BS!L76*10^9/(PL!L90)</f>
        <v>22884.222531072392</v>
      </c>
      <c r="H132" s="2814">
        <f>BS!M76*10^9/(PL!M90)</f>
        <v>23190.380886646377</v>
      </c>
      <c r="I132" s="2814">
        <f>BS!N76*10^9/(PL!N90)</f>
        <v>22765.315807269249</v>
      </c>
      <c r="J132" s="2814">
        <f>BS!O76*10^9/(PL!O90)</f>
        <v>23460.590717233128</v>
      </c>
      <c r="K132" s="2814">
        <f>BS!X76*10^9/(PL!W90)</f>
        <v>0</v>
      </c>
      <c r="L132" s="2814">
        <f ca="1">BS!Q76*10^9/(PL!Q90)</f>
        <v>25209.887586224428</v>
      </c>
      <c r="M132" s="3027">
        <f ca="1">BS!R76*10^9/(PL!R90)</f>
        <v>29797.937309339271</v>
      </c>
      <c r="N132" s="2814">
        <f ca="1">BS!S76*10^9/(PL!S90)</f>
        <v>35309.015531925521</v>
      </c>
      <c r="O132" s="2814" t="e">
        <f>BS!T76*10^9/(PL!U90)</f>
        <v>#DIV/0!</v>
      </c>
      <c r="P132" s="2814">
        <f>BS!U76*10^9/(PL!V90)</f>
        <v>0</v>
      </c>
      <c r="Q132" s="2814" t="e">
        <f>BS!V76*10^9/(PL!#REF!)</f>
        <v>#REF!</v>
      </c>
      <c r="R132" s="2814" t="e">
        <f>BS!W76*10^9/(PL!X90)</f>
        <v>#REF!</v>
      </c>
      <c r="S132" s="2814" t="e">
        <f>BS!#REF!*10^9/(PL!Y90)</f>
        <v>#REF!</v>
      </c>
      <c r="T132" s="2814" t="e">
        <f>BS!Y76*10^9/(PL!Z90)</f>
        <v>#DIV/0!</v>
      </c>
      <c r="U132" s="2814" t="e">
        <f>BS!Z76*10^9/(PL!AA90)</f>
        <v>#DIV/0!</v>
      </c>
      <c r="V132" s="2814" t="e">
        <f>BS!AA76*10^9/(PL!AB90)</f>
        <v>#DIV/0!</v>
      </c>
      <c r="W132" s="2814" t="e">
        <f>BS!AB76*10^9/(PL!AC90)</f>
        <v>#DIV/0!</v>
      </c>
      <c r="X132" s="2814" t="e">
        <f>BS!AC76*10^9/(PL!AD90)</f>
        <v>#DIV/0!</v>
      </c>
      <c r="Y132" s="2814" t="e">
        <f>BS!AD76*10^9/(PL!AE90)</f>
        <v>#DIV/0!</v>
      </c>
      <c r="Z132" s="2814" t="e">
        <f>BS!AE76*10^9/(PL!AF90)</f>
        <v>#DIV/0!</v>
      </c>
    </row>
    <row r="133" spans="2:26">
      <c r="B133" s="2805" t="s">
        <v>12</v>
      </c>
      <c r="C133" s="2815">
        <f>C143/C131</f>
        <v>0</v>
      </c>
      <c r="D133" s="2815">
        <f t="shared" ref="D133:Z133" si="26">D143/D131</f>
        <v>0</v>
      </c>
      <c r="E133" s="2815">
        <f t="shared" si="26"/>
        <v>0</v>
      </c>
      <c r="F133" s="2815">
        <f t="shared" si="26"/>
        <v>0</v>
      </c>
      <c r="G133" s="2815">
        <f t="shared" si="26"/>
        <v>0</v>
      </c>
      <c r="H133" s="2815">
        <f t="shared" si="26"/>
        <v>0</v>
      </c>
      <c r="I133" s="2815">
        <f t="shared" si="26"/>
        <v>0</v>
      </c>
      <c r="J133" s="2815">
        <f t="shared" si="26"/>
        <v>0</v>
      </c>
      <c r="K133" s="2815">
        <f t="shared" ca="1" si="26"/>
        <v>0</v>
      </c>
      <c r="L133" s="2815">
        <f t="shared" ca="1" si="26"/>
        <v>0</v>
      </c>
      <c r="M133" s="3028">
        <f t="shared" ca="1" si="26"/>
        <v>0</v>
      </c>
      <c r="N133" s="2815">
        <f t="shared" ca="1" si="26"/>
        <v>0</v>
      </c>
      <c r="O133" s="2815" t="e">
        <f t="shared" si="26"/>
        <v>#DIV/0!</v>
      </c>
      <c r="P133" s="2815">
        <f t="shared" si="26"/>
        <v>0</v>
      </c>
      <c r="Q133" s="2815" t="e">
        <f t="shared" si="26"/>
        <v>#REF!</v>
      </c>
      <c r="R133" s="2815" t="e">
        <f t="shared" si="26"/>
        <v>#DIV/0!</v>
      </c>
      <c r="S133" s="2815" t="e">
        <f t="shared" si="26"/>
        <v>#DIV/0!</v>
      </c>
      <c r="T133" s="2815" t="e">
        <f t="shared" si="26"/>
        <v>#DIV/0!</v>
      </c>
      <c r="U133" s="2815" t="e">
        <f t="shared" si="26"/>
        <v>#DIV/0!</v>
      </c>
      <c r="V133" s="2815" t="e">
        <f t="shared" si="26"/>
        <v>#DIV/0!</v>
      </c>
      <c r="W133" s="2815" t="e">
        <f t="shared" si="26"/>
        <v>#DIV/0!</v>
      </c>
      <c r="X133" s="2815" t="e">
        <f t="shared" si="26"/>
        <v>#DIV/0!</v>
      </c>
      <c r="Y133" s="2815" t="e">
        <f t="shared" si="26"/>
        <v>#DIV/0!</v>
      </c>
      <c r="Z133" s="2815" t="e">
        <f t="shared" si="26"/>
        <v>#DIV/0!</v>
      </c>
    </row>
    <row r="134" spans="2:26">
      <c r="B134" s="2805" t="s">
        <v>13</v>
      </c>
      <c r="C134" s="2815">
        <f>C133/(Ratios!H64*100)</f>
        <v>0</v>
      </c>
      <c r="D134" s="2815">
        <f>D133/(Ratios!I64*100)</f>
        <v>0</v>
      </c>
      <c r="E134" s="2815">
        <f>E133/(Ratios!J64*100)</f>
        <v>0</v>
      </c>
      <c r="F134" s="2815">
        <f>F133/(Ratios!K64*100)</f>
        <v>0</v>
      </c>
      <c r="G134" s="2815">
        <f>G133/(Ratios!L64*100)</f>
        <v>0</v>
      </c>
      <c r="H134" s="2815">
        <f>H133/(Ratios!M64*100)</f>
        <v>0</v>
      </c>
      <c r="I134" s="2815">
        <f>I133/(Ratios!N64*100)</f>
        <v>0</v>
      </c>
      <c r="J134" s="2815">
        <f>J133/(Ratios!O64*100)</f>
        <v>0</v>
      </c>
      <c r="K134" s="2815">
        <f ca="1">K133/(Ratios!P64*100)</f>
        <v>0</v>
      </c>
      <c r="L134" s="2815">
        <f ca="1">L133/(Ratios!Q64*100)</f>
        <v>0</v>
      </c>
      <c r="M134" s="3028">
        <f ca="1">M133/(Ratios!R64*100)</f>
        <v>0</v>
      </c>
      <c r="N134" s="2815">
        <f ca="1">N133/(Ratios!S64*100)</f>
        <v>0</v>
      </c>
      <c r="O134" s="2815" t="e">
        <f>O133/(Ratios!T64*100)</f>
        <v>#DIV/0!</v>
      </c>
      <c r="P134" s="2815" t="e">
        <f>P133/(Ratios!U64*100)</f>
        <v>#DIV/0!</v>
      </c>
      <c r="Q134" s="2815" t="e">
        <f>Q133/(Ratios!V64*100)</f>
        <v>#REF!</v>
      </c>
      <c r="R134" s="2815" t="e">
        <f>R133/(Ratios!W64*100)</f>
        <v>#DIV/0!</v>
      </c>
      <c r="S134" s="2815" t="e">
        <f>S133/(Ratios!X64*100)</f>
        <v>#DIV/0!</v>
      </c>
      <c r="T134" s="2815" t="e">
        <f>T133/(Ratios!Y64*100)</f>
        <v>#DIV/0!</v>
      </c>
      <c r="U134" s="2815" t="e">
        <f>U133/(Ratios!Z64*100)</f>
        <v>#DIV/0!</v>
      </c>
      <c r="V134" s="2815" t="e">
        <f>V133/(Ratios!AA64*100)</f>
        <v>#DIV/0!</v>
      </c>
      <c r="W134" s="2815" t="e">
        <f>W133/(Ratios!AB64*100)</f>
        <v>#DIV/0!</v>
      </c>
      <c r="X134" s="2815" t="e">
        <f>X133/(Ratios!AC64*100)</f>
        <v>#DIV/0!</v>
      </c>
      <c r="Y134" s="2815" t="e">
        <f>Y133/(Ratios!AD64*100)</f>
        <v>#DIV/0!</v>
      </c>
      <c r="Z134" s="2815" t="e">
        <f>Z133/(Ratios!AE64*100)</f>
        <v>#DIV/0!</v>
      </c>
    </row>
    <row r="135" spans="2:26">
      <c r="B135" s="2805" t="s">
        <v>2</v>
      </c>
      <c r="C135" s="2815">
        <f>C143/C132</f>
        <v>0</v>
      </c>
      <c r="D135" s="2815">
        <f t="shared" ref="D135:Z135" si="27">D143/D132</f>
        <v>0</v>
      </c>
      <c r="E135" s="2815">
        <f t="shared" si="27"/>
        <v>0</v>
      </c>
      <c r="F135" s="2815">
        <f t="shared" si="27"/>
        <v>0</v>
      </c>
      <c r="G135" s="2815">
        <f t="shared" si="27"/>
        <v>0</v>
      </c>
      <c r="H135" s="2815">
        <f t="shared" si="27"/>
        <v>0</v>
      </c>
      <c r="I135" s="2815">
        <f t="shared" si="27"/>
        <v>0</v>
      </c>
      <c r="J135" s="2815">
        <f t="shared" si="27"/>
        <v>0</v>
      </c>
      <c r="K135" s="2815" t="e">
        <f t="shared" si="27"/>
        <v>#DIV/0!</v>
      </c>
      <c r="L135" s="2815">
        <f t="shared" ca="1" si="27"/>
        <v>0</v>
      </c>
      <c r="M135" s="3028">
        <f t="shared" ca="1" si="27"/>
        <v>0</v>
      </c>
      <c r="N135" s="2815">
        <f t="shared" ca="1" si="27"/>
        <v>0</v>
      </c>
      <c r="O135" s="2815" t="e">
        <f t="shared" si="27"/>
        <v>#DIV/0!</v>
      </c>
      <c r="P135" s="2815" t="e">
        <f t="shared" si="27"/>
        <v>#DIV/0!</v>
      </c>
      <c r="Q135" s="2815" t="e">
        <f t="shared" si="27"/>
        <v>#REF!</v>
      </c>
      <c r="R135" s="2815" t="e">
        <f t="shared" si="27"/>
        <v>#REF!</v>
      </c>
      <c r="S135" s="2815" t="e">
        <f t="shared" si="27"/>
        <v>#REF!</v>
      </c>
      <c r="T135" s="2815" t="e">
        <f t="shared" si="27"/>
        <v>#DIV/0!</v>
      </c>
      <c r="U135" s="2815" t="e">
        <f t="shared" si="27"/>
        <v>#DIV/0!</v>
      </c>
      <c r="V135" s="2815" t="e">
        <f t="shared" si="27"/>
        <v>#DIV/0!</v>
      </c>
      <c r="W135" s="2815" t="e">
        <f t="shared" si="27"/>
        <v>#DIV/0!</v>
      </c>
      <c r="X135" s="2815" t="e">
        <f t="shared" si="27"/>
        <v>#DIV/0!</v>
      </c>
      <c r="Y135" s="2815" t="e">
        <f t="shared" si="27"/>
        <v>#DIV/0!</v>
      </c>
      <c r="Z135" s="2815" t="e">
        <f t="shared" si="27"/>
        <v>#DIV/0!</v>
      </c>
    </row>
    <row r="136" spans="2:26">
      <c r="B136" s="2805" t="s">
        <v>782</v>
      </c>
      <c r="C136" s="2815">
        <f>(C143*PL!H90)/(PL!H29*10^9)</f>
        <v>0</v>
      </c>
      <c r="D136" s="2815">
        <f>(D143*PL!I90)/(PL!I29*10^9)</f>
        <v>0</v>
      </c>
      <c r="E136" s="2815">
        <f>(E143*PL!J90)/(PL!J29*10^9)</f>
        <v>0</v>
      </c>
      <c r="F136" s="2815">
        <f>(F143*PL!K90)/(PL!K29*10^9)</f>
        <v>0</v>
      </c>
      <c r="G136" s="2815">
        <f>(G143*PL!L90)/(PL!L29*10^9)</f>
        <v>0</v>
      </c>
      <c r="H136" s="2815">
        <f>(H143*PL!M90)/(PL!M29*10^9)</f>
        <v>0</v>
      </c>
      <c r="I136" s="2815">
        <f>(I143*PL!N90)/(PL!N29*10^9)</f>
        <v>0</v>
      </c>
      <c r="J136" s="2815">
        <f>(J143*PL!O90)/(PL!O29*10^9)</f>
        <v>0</v>
      </c>
      <c r="K136" s="2815">
        <f ca="1">(K143*PL!W90)/(PL!W29*10^9)</f>
        <v>0</v>
      </c>
      <c r="L136" s="2815">
        <f ca="1">(L143*PL!Q90)/(PL!Q29*10^9)</f>
        <v>0</v>
      </c>
      <c r="M136" s="3028">
        <f ca="1">(M143*PL!R90)/(PL!R29*10^9)</f>
        <v>0</v>
      </c>
      <c r="N136" s="2815">
        <f ca="1">(N143*PL!S90)/(PL!S29*10^9)</f>
        <v>0</v>
      </c>
      <c r="O136" s="2815" t="e">
        <f>(O143*PL!U90)/(PL!U29*10^9)</f>
        <v>#DIV/0!</v>
      </c>
      <c r="P136" s="2815">
        <f>(P143*PL!V90)/(PL!V29*10^9)</f>
        <v>0</v>
      </c>
      <c r="Q136" s="2815" t="e">
        <f>(Q143*PL!#REF!)/(PL!#REF!*10^9)</f>
        <v>#REF!</v>
      </c>
      <c r="R136" s="2815" t="e">
        <f>(R143*PL!X90)/(PL!X29*10^9)</f>
        <v>#DIV/0!</v>
      </c>
      <c r="S136" s="2815" t="e">
        <f>(S143*PL!Y90)/(PL!Y29*10^9)</f>
        <v>#DIV/0!</v>
      </c>
      <c r="T136" s="2815" t="e">
        <f>(T143*PL!Z90)/(PL!Z29*10^9)</f>
        <v>#DIV/0!</v>
      </c>
      <c r="U136" s="2815" t="e">
        <f>(U143*PL!AA90)/(PL!AA29*10^9)</f>
        <v>#DIV/0!</v>
      </c>
      <c r="V136" s="2815" t="e">
        <f>(V143*PL!AB90)/(PL!AB29*10^9)</f>
        <v>#DIV/0!</v>
      </c>
      <c r="W136" s="2815" t="e">
        <f>(W143*PL!AC90)/(PL!AC29*10^9)</f>
        <v>#DIV/0!</v>
      </c>
      <c r="X136" s="2815" t="e">
        <f>(X143*PL!AD90)/(PL!AD29*10^9)</f>
        <v>#DIV/0!</v>
      </c>
      <c r="Y136" s="2815" t="e">
        <f>(Y143*PL!AE90)/(PL!AE29*10^9)</f>
        <v>#DIV/0!</v>
      </c>
      <c r="Z136" s="2815" t="e">
        <f>(Z143*PL!AF90)/(PL!AF29*10^9)</f>
        <v>#DIV/0!</v>
      </c>
    </row>
    <row r="137" spans="2:26">
      <c r="B137" s="2805" t="s">
        <v>619</v>
      </c>
      <c r="C137" s="2816"/>
      <c r="D137" s="2816"/>
      <c r="E137" s="2816"/>
      <c r="F137" s="2816"/>
      <c r="G137" s="2816"/>
      <c r="H137" s="2816"/>
      <c r="I137" s="2816"/>
      <c r="J137" s="2816"/>
      <c r="K137" s="2816"/>
      <c r="L137" s="2816"/>
      <c r="M137" s="3029"/>
      <c r="N137" s="2816"/>
      <c r="O137" s="2816"/>
      <c r="P137" s="2816"/>
      <c r="Q137" s="2816"/>
      <c r="R137" s="2816"/>
      <c r="S137" s="2816"/>
      <c r="T137" s="2816"/>
      <c r="U137" s="2816"/>
      <c r="V137" s="2816"/>
      <c r="W137" s="2816"/>
      <c r="X137" s="2816"/>
      <c r="Y137" s="2816"/>
      <c r="Z137" s="2816"/>
    </row>
    <row r="138" spans="2:26">
      <c r="B138" s="2805" t="s">
        <v>229</v>
      </c>
      <c r="C138" s="2816"/>
      <c r="D138" s="2816"/>
      <c r="E138" s="2816"/>
      <c r="F138" s="2816"/>
      <c r="G138" s="2816"/>
      <c r="H138" s="2816"/>
      <c r="I138" s="2816"/>
      <c r="J138" s="2816"/>
      <c r="K138" s="2816"/>
      <c r="L138" s="2816"/>
      <c r="M138" s="3029"/>
      <c r="N138" s="2816"/>
      <c r="O138" s="2816"/>
      <c r="P138" s="2816"/>
      <c r="Q138" s="2816"/>
      <c r="R138" s="2816"/>
      <c r="S138" s="2816"/>
      <c r="T138" s="2816"/>
      <c r="U138" s="2816"/>
      <c r="V138" s="2816"/>
      <c r="W138" s="2816"/>
      <c r="X138" s="2816"/>
      <c r="Y138" s="2816"/>
      <c r="Z138" s="2816"/>
    </row>
    <row r="139" spans="2:26">
      <c r="B139" s="2806" t="str">
        <f>F14</f>
        <v>- Debt</v>
      </c>
      <c r="C139" s="2816"/>
      <c r="D139" s="2816"/>
      <c r="E139" s="2816"/>
      <c r="F139" s="2816"/>
      <c r="G139" s="2816"/>
      <c r="H139" s="2816"/>
      <c r="I139" s="2816"/>
      <c r="J139" s="2816"/>
      <c r="K139" s="2816"/>
      <c r="L139" s="2816"/>
      <c r="M139" s="3029"/>
      <c r="N139" s="2816"/>
      <c r="O139" s="2816"/>
      <c r="P139" s="2816"/>
      <c r="Q139" s="2816"/>
      <c r="R139" s="2816"/>
      <c r="S139" s="2816"/>
      <c r="T139" s="2816"/>
      <c r="U139" s="2816"/>
      <c r="V139" s="2816"/>
      <c r="W139" s="2816"/>
      <c r="X139" s="2816"/>
      <c r="Y139" s="2816"/>
      <c r="Z139" s="2816"/>
    </row>
    <row r="140" spans="2:26">
      <c r="B140" s="2806" t="str">
        <f>F15</f>
        <v>+ Cash and cash equivalent</v>
      </c>
      <c r="C140" s="2816"/>
      <c r="D140" s="2816"/>
      <c r="E140" s="2816"/>
      <c r="F140" s="2816"/>
      <c r="G140" s="2816"/>
      <c r="H140" s="2816"/>
      <c r="I140" s="2816"/>
      <c r="J140" s="2816"/>
      <c r="K140" s="2816"/>
      <c r="L140" s="2816"/>
      <c r="M140" s="3029"/>
      <c r="N140" s="2816"/>
      <c r="O140" s="2816"/>
      <c r="P140" s="2816"/>
      <c r="Q140" s="2816"/>
      <c r="R140" s="2816"/>
      <c r="S140" s="2816"/>
      <c r="T140" s="2816"/>
      <c r="U140" s="2816"/>
      <c r="V140" s="2816"/>
      <c r="W140" s="2816"/>
      <c r="X140" s="2816"/>
      <c r="Y140" s="2816"/>
      <c r="Z140" s="2816"/>
    </row>
    <row r="141" spans="2:26">
      <c r="B141" s="2807" t="s">
        <v>105</v>
      </c>
      <c r="C141" s="2816"/>
      <c r="D141" s="2816"/>
      <c r="E141" s="2816"/>
      <c r="F141" s="2816"/>
      <c r="G141" s="2816"/>
      <c r="H141" s="2816"/>
      <c r="I141" s="2816"/>
      <c r="J141" s="2816"/>
      <c r="K141" s="2816"/>
      <c r="L141" s="2816"/>
      <c r="M141" s="3029"/>
      <c r="N141" s="2816"/>
      <c r="O141" s="2816"/>
      <c r="P141" s="2816"/>
      <c r="Q141" s="2816"/>
      <c r="R141" s="2816"/>
      <c r="S141" s="2816"/>
      <c r="T141" s="2816"/>
      <c r="U141" s="2816"/>
      <c r="V141" s="2816"/>
      <c r="W141" s="2816"/>
      <c r="X141" s="2816"/>
      <c r="Y141" s="2816"/>
      <c r="Z141" s="2816"/>
    </row>
    <row r="142" spans="2:26">
      <c r="B142" s="2807" t="s">
        <v>620</v>
      </c>
      <c r="C142" s="2816"/>
      <c r="D142" s="2816"/>
      <c r="E142" s="2816"/>
      <c r="F142" s="2816"/>
      <c r="G142" s="2816"/>
      <c r="H142" s="2816"/>
      <c r="I142" s="2816"/>
      <c r="J142" s="2816"/>
      <c r="K142" s="2816"/>
      <c r="L142" s="2816"/>
      <c r="M142" s="3029"/>
      <c r="N142" s="2816"/>
      <c r="O142" s="2816"/>
      <c r="P142" s="2816"/>
      <c r="Q142" s="2816"/>
      <c r="R142" s="2816"/>
      <c r="S142" s="2816"/>
      <c r="T142" s="2816"/>
      <c r="U142" s="2816"/>
      <c r="V142" s="2816"/>
      <c r="W142" s="2816"/>
      <c r="X142" s="2816"/>
      <c r="Y142" s="2816"/>
      <c r="Z142" s="2816"/>
    </row>
    <row r="143" spans="2:26">
      <c r="B143" s="2808" t="s">
        <v>781</v>
      </c>
      <c r="C143" s="2817"/>
      <c r="D143" s="2817"/>
      <c r="E143" s="2817"/>
      <c r="F143" s="2817"/>
      <c r="G143" s="2817"/>
      <c r="H143" s="2817"/>
      <c r="I143" s="2817"/>
      <c r="J143" s="2817"/>
      <c r="K143" s="2817"/>
      <c r="L143" s="2817"/>
      <c r="M143" s="3030"/>
      <c r="N143" s="2817"/>
      <c r="O143" s="2817"/>
      <c r="P143" s="2817"/>
      <c r="Q143" s="2817"/>
      <c r="R143" s="2817"/>
      <c r="S143" s="2817"/>
      <c r="T143" s="2817"/>
      <c r="U143" s="2817"/>
      <c r="V143" s="2817"/>
      <c r="W143" s="2817"/>
      <c r="X143" s="2817"/>
      <c r="Y143" s="2817"/>
      <c r="Z143" s="2817"/>
    </row>
    <row r="144" spans="2:26">
      <c r="B144" s="2809" t="s">
        <v>111</v>
      </c>
      <c r="C144" s="2818"/>
      <c r="D144" s="2818"/>
      <c r="E144" s="2818"/>
      <c r="F144" s="2818"/>
      <c r="G144" s="2818"/>
      <c r="H144" s="2818"/>
      <c r="I144" s="2818"/>
      <c r="J144" s="2818"/>
      <c r="K144" s="2818"/>
      <c r="L144" s="2818"/>
      <c r="M144" s="3031"/>
      <c r="N144" s="2818"/>
      <c r="O144" s="2818"/>
      <c r="P144" s="2818"/>
      <c r="Q144" s="2818"/>
      <c r="R144" s="2818"/>
      <c r="S144" s="2818"/>
      <c r="T144" s="2818"/>
      <c r="U144" s="2818"/>
      <c r="V144" s="2818"/>
      <c r="W144" s="2818"/>
      <c r="X144" s="2818"/>
      <c r="Y144" s="2818"/>
      <c r="Z144" s="2818"/>
    </row>
    <row r="145" spans="2:26">
      <c r="B145" s="2810" t="s">
        <v>112</v>
      </c>
      <c r="C145" s="2818"/>
      <c r="D145" s="2818"/>
      <c r="E145" s="2818"/>
      <c r="F145" s="2818"/>
      <c r="G145" s="2818"/>
      <c r="H145" s="2818"/>
      <c r="I145" s="2818"/>
      <c r="J145" s="2818"/>
      <c r="K145" s="2818"/>
      <c r="L145" s="2818"/>
      <c r="M145" s="3031"/>
      <c r="N145" s="2818"/>
      <c r="O145" s="2818"/>
      <c r="P145" s="2818"/>
      <c r="Q145" s="2818"/>
      <c r="R145" s="2818"/>
      <c r="S145" s="2818"/>
      <c r="T145" s="2818"/>
      <c r="U145" s="2818"/>
      <c r="V145" s="2818"/>
      <c r="W145" s="2818"/>
      <c r="X145" s="2818"/>
      <c r="Y145" s="2818"/>
      <c r="Z145" s="2818"/>
    </row>
    <row r="146" spans="2:26">
      <c r="B146" s="2811" t="s">
        <v>289</v>
      </c>
      <c r="C146" s="3032"/>
      <c r="D146" s="3032"/>
      <c r="E146" s="3032"/>
      <c r="F146" s="3032"/>
      <c r="G146" s="3032"/>
      <c r="H146" s="3032"/>
      <c r="I146" s="3032"/>
      <c r="J146" s="3032"/>
      <c r="K146" s="3032"/>
      <c r="L146" s="3032"/>
      <c r="M146" s="3033"/>
      <c r="N146" s="2818"/>
      <c r="O146" s="2818"/>
      <c r="P146" s="2818"/>
      <c r="Q146" s="2818"/>
      <c r="R146" s="2818"/>
      <c r="S146" s="2818"/>
      <c r="T146" s="2818"/>
      <c r="U146" s="2818"/>
      <c r="V146" s="2818"/>
      <c r="W146" s="2818"/>
      <c r="X146" s="2818"/>
      <c r="Y146" s="2818"/>
      <c r="Z146" s="2818"/>
    </row>
    <row r="147" spans="2:26">
      <c r="H147" s="582"/>
      <c r="I147" s="582"/>
      <c r="J147" s="582"/>
      <c r="K147" s="583"/>
      <c r="L147" s="533"/>
    </row>
    <row r="148" spans="2:26">
      <c r="B148" s="1326"/>
      <c r="C148" s="1327"/>
      <c r="D148" s="1327"/>
      <c r="E148" s="1328"/>
      <c r="F148" s="1328"/>
      <c r="G148" s="1328"/>
      <c r="H148" s="581"/>
      <c r="I148" s="584"/>
      <c r="J148" s="584"/>
      <c r="K148" s="583"/>
      <c r="L148" s="533"/>
    </row>
    <row r="149" spans="2:26" ht="12.75" customHeight="1">
      <c r="B149" s="1326"/>
      <c r="C149" s="1329"/>
      <c r="D149" s="1327"/>
      <c r="E149" s="1327"/>
      <c r="F149" s="1327"/>
      <c r="G149" s="1327"/>
      <c r="H149" s="584"/>
      <c r="I149" s="584"/>
      <c r="J149" s="584"/>
      <c r="K149" s="584"/>
      <c r="L149" s="533"/>
    </row>
    <row r="150" spans="2:26">
      <c r="B150" s="1326"/>
      <c r="C150" s="1329"/>
      <c r="D150" s="1327"/>
      <c r="E150" s="1327"/>
      <c r="F150" s="1327"/>
      <c r="G150" s="1327"/>
      <c r="H150" s="581"/>
      <c r="I150" s="581"/>
      <c r="J150" s="581"/>
      <c r="K150" s="581"/>
      <c r="L150" s="533"/>
    </row>
    <row r="151" spans="2:26">
      <c r="L151" s="533"/>
    </row>
    <row r="152" spans="2:26">
      <c r="L152" s="533"/>
    </row>
    <row r="153" spans="2:26">
      <c r="L153" s="533"/>
    </row>
    <row r="154" spans="2:26">
      <c r="L154" s="533"/>
    </row>
    <row r="155" spans="2:26">
      <c r="L155" s="782"/>
    </row>
    <row r="158" spans="2:26" s="448" customFormat="1">
      <c r="L158" s="677"/>
    </row>
    <row r="159" spans="2:26">
      <c r="L159" s="678"/>
    </row>
    <row r="160" spans="2:26">
      <c r="L160" s="678"/>
    </row>
    <row r="161" spans="2:12">
      <c r="L161" s="678"/>
    </row>
    <row r="162" spans="2:12">
      <c r="L162" s="678"/>
    </row>
    <row r="163" spans="2:12">
      <c r="L163" s="678"/>
    </row>
    <row r="164" spans="2:12">
      <c r="L164" s="678"/>
    </row>
    <row r="165" spans="2:12">
      <c r="L165" s="678"/>
    </row>
    <row r="167" spans="2:12">
      <c r="L167" s="678"/>
    </row>
    <row r="168" spans="2:12">
      <c r="L168" s="678"/>
    </row>
    <row r="169" spans="2:12">
      <c r="L169" s="678"/>
    </row>
    <row r="170" spans="2:12">
      <c r="L170" s="678"/>
    </row>
    <row r="171" spans="2:12">
      <c r="L171" s="678"/>
    </row>
    <row r="172" spans="2:12">
      <c r="L172" s="678"/>
    </row>
    <row r="173" spans="2:12">
      <c r="L173" s="678"/>
    </row>
    <row r="175" spans="2:12">
      <c r="B175" s="448"/>
    </row>
    <row r="176" spans="2:12">
      <c r="G176" s="448"/>
    </row>
    <row r="177" spans="2:27" ht="45.75" thickBot="1">
      <c r="B177" s="2964" t="s">
        <v>1918</v>
      </c>
      <c r="C177" s="2972" t="s">
        <v>1944</v>
      </c>
      <c r="E177" s="2964" t="s">
        <v>1919</v>
      </c>
      <c r="F177" s="2964" t="s">
        <v>1920</v>
      </c>
      <c r="G177" s="2964" t="s">
        <v>1921</v>
      </c>
      <c r="H177" s="2964" t="s">
        <v>1922</v>
      </c>
      <c r="I177" s="2964" t="s">
        <v>1923</v>
      </c>
      <c r="AA177" s="2964" t="s">
        <v>1924</v>
      </c>
    </row>
    <row r="178" spans="2:27" ht="18.75" thickBot="1">
      <c r="B178" s="2965" t="s">
        <v>1925</v>
      </c>
      <c r="C178" s="9">
        <f ca="1">Revenue!N117</f>
        <v>4890.4160000000002</v>
      </c>
      <c r="E178" s="2966">
        <f>Revenue!J117</f>
        <v>0</v>
      </c>
      <c r="F178" s="2965">
        <v>23</v>
      </c>
      <c r="G178" s="2966">
        <f>E178*F178</f>
        <v>0</v>
      </c>
      <c r="H178" s="2967">
        <v>1</v>
      </c>
      <c r="I178" s="2966">
        <f>G178*H178</f>
        <v>0</v>
      </c>
      <c r="AA178" s="2974" t="s">
        <v>1926</v>
      </c>
    </row>
    <row r="179" spans="2:27" ht="18.75" thickBot="1">
      <c r="B179" s="2965" t="s">
        <v>1927</v>
      </c>
      <c r="C179" s="9">
        <f ca="1">Revenue!N118</f>
        <v>501.40000000000003</v>
      </c>
      <c r="E179" s="2984">
        <f>Revenue!J118</f>
        <v>0</v>
      </c>
      <c r="F179" s="2965">
        <v>17.5</v>
      </c>
      <c r="G179" s="2966">
        <f t="shared" ref="G179:G184" si="28">E179*F179</f>
        <v>0</v>
      </c>
      <c r="H179" s="2967">
        <v>1</v>
      </c>
      <c r="I179" s="2966">
        <f t="shared" ref="I179:I184" si="29">G179*H179</f>
        <v>0</v>
      </c>
      <c r="AA179" s="2975" t="s">
        <v>1928</v>
      </c>
    </row>
    <row r="180" spans="2:27" ht="18.75" thickBot="1">
      <c r="B180" s="2965" t="s">
        <v>897</v>
      </c>
      <c r="C180" s="9">
        <f>Revenue!N120</f>
        <v>3880.9980362001652</v>
      </c>
      <c r="E180" s="2966">
        <f>Revenue!J120</f>
        <v>0</v>
      </c>
      <c r="F180" s="2965">
        <v>14</v>
      </c>
      <c r="G180" s="2966">
        <f t="shared" si="28"/>
        <v>0</v>
      </c>
      <c r="H180" s="2969">
        <v>0.45700000000000002</v>
      </c>
      <c r="I180" s="2966">
        <f t="shared" si="29"/>
        <v>0</v>
      </c>
      <c r="AA180" s="2975" t="s">
        <v>1929</v>
      </c>
    </row>
    <row r="181" spans="2:27" ht="18.75" thickBot="1">
      <c r="B181" s="2965" t="s">
        <v>1933</v>
      </c>
      <c r="C181" s="9">
        <f>Revenue!N121</f>
        <v>190.38000000000002</v>
      </c>
      <c r="E181" s="2984">
        <f>Revenue!J121</f>
        <v>0</v>
      </c>
      <c r="F181" s="2965">
        <v>8.6</v>
      </c>
      <c r="G181" s="2966">
        <f t="shared" si="28"/>
        <v>0</v>
      </c>
      <c r="H181" s="2969">
        <v>0.495</v>
      </c>
      <c r="I181" s="2966">
        <f t="shared" si="29"/>
        <v>0</v>
      </c>
      <c r="AA181" s="2975" t="s">
        <v>1934</v>
      </c>
    </row>
    <row r="182" spans="2:27" ht="18.75" thickBot="1">
      <c r="B182" s="2965" t="s">
        <v>1227</v>
      </c>
      <c r="C182" s="9">
        <f>Revenue!N121</f>
        <v>190.38000000000002</v>
      </c>
      <c r="E182" s="2966">
        <f>Revenue!J122</f>
        <v>0</v>
      </c>
      <c r="F182" s="2965">
        <v>21.3</v>
      </c>
      <c r="G182" s="2966">
        <f t="shared" si="28"/>
        <v>0</v>
      </c>
      <c r="H182" s="2967">
        <v>1</v>
      </c>
      <c r="I182" s="2966">
        <f t="shared" si="29"/>
        <v>0</v>
      </c>
      <c r="AA182" s="2975" t="s">
        <v>1930</v>
      </c>
    </row>
    <row r="183" spans="2:27" ht="18.75" thickBot="1">
      <c r="B183" s="2965" t="s">
        <v>1945</v>
      </c>
      <c r="E183" s="2965">
        <v>600</v>
      </c>
      <c r="F183" s="2965">
        <v>30</v>
      </c>
      <c r="G183" s="2966">
        <f t="shared" si="28"/>
        <v>18000</v>
      </c>
      <c r="H183" s="2969">
        <v>0.46539999999999998</v>
      </c>
      <c r="I183" s="2966">
        <f t="shared" si="29"/>
        <v>8377.1999999999989</v>
      </c>
      <c r="AA183" s="2975" t="s">
        <v>1931</v>
      </c>
    </row>
    <row r="184" spans="2:27" ht="18.75" thickBot="1">
      <c r="B184" s="2965" t="s">
        <v>1946</v>
      </c>
      <c r="E184" s="2965">
        <v>650</v>
      </c>
      <c r="F184" s="2965">
        <v>18</v>
      </c>
      <c r="G184" s="2966">
        <f t="shared" si="28"/>
        <v>11700</v>
      </c>
      <c r="H184" s="2969">
        <v>0.17899999999999999</v>
      </c>
      <c r="I184" s="2966">
        <f t="shared" si="29"/>
        <v>2094.2999999999997</v>
      </c>
      <c r="AA184" s="2975" t="s">
        <v>1932</v>
      </c>
    </row>
    <row r="185" spans="2:27">
      <c r="I185" s="2968"/>
    </row>
    <row r="186" spans="2:27">
      <c r="B186" s="2970" t="s">
        <v>1935</v>
      </c>
      <c r="C186" s="2970"/>
      <c r="D186" s="2970"/>
      <c r="E186" s="2970"/>
      <c r="F186" s="2970" t="s">
        <v>1681</v>
      </c>
      <c r="G186" s="2973">
        <f>SUM(I178:I184)</f>
        <v>10471.499999999998</v>
      </c>
      <c r="H186" s="2971"/>
    </row>
    <row r="188" spans="2:27">
      <c r="B188" s="2964" t="s">
        <v>1936</v>
      </c>
      <c r="C188" s="3603"/>
      <c r="D188" s="3603"/>
      <c r="E188" s="3603"/>
      <c r="F188" s="3603"/>
      <c r="G188" s="3603"/>
      <c r="H188" s="3603"/>
    </row>
    <row r="189" spans="2:27">
      <c r="B189" s="2976" t="s">
        <v>1937</v>
      </c>
      <c r="C189" s="2978" t="s">
        <v>1938</v>
      </c>
      <c r="D189" s="2965"/>
      <c r="E189" s="2965"/>
      <c r="F189" s="2965"/>
      <c r="G189" s="2964"/>
      <c r="H189" s="2965"/>
    </row>
    <row r="190" spans="2:27">
      <c r="B190" s="2977" t="s">
        <v>1939</v>
      </c>
      <c r="C190" s="2979">
        <v>1978</v>
      </c>
      <c r="D190" s="2965"/>
      <c r="E190" s="2965"/>
      <c r="F190" s="2965"/>
      <c r="G190" s="2964"/>
      <c r="H190" s="2965"/>
    </row>
    <row r="191" spans="2:27">
      <c r="B191" s="2977" t="s">
        <v>1940</v>
      </c>
      <c r="C191" s="2979">
        <v>8862</v>
      </c>
      <c r="D191" s="2965"/>
      <c r="E191" s="2965"/>
      <c r="F191" s="2965"/>
      <c r="G191" s="2964"/>
      <c r="H191" s="2965"/>
    </row>
    <row r="192" spans="2:27">
      <c r="B192" s="2982" t="s">
        <v>1941</v>
      </c>
      <c r="C192" s="2983">
        <f>G186+C190+C191</f>
        <v>21311.5</v>
      </c>
      <c r="D192" s="2965"/>
      <c r="E192" s="2965"/>
      <c r="F192" s="2965"/>
      <c r="G192" s="2964"/>
      <c r="H192" s="2965"/>
    </row>
    <row r="193" spans="2:8">
      <c r="B193" s="2977" t="s">
        <v>1948</v>
      </c>
      <c r="C193" s="2979">
        <f>5%*C192</f>
        <v>1065.575</v>
      </c>
      <c r="D193" s="2965"/>
      <c r="E193" s="2965"/>
      <c r="F193" s="2965"/>
      <c r="G193" s="2964"/>
      <c r="H193" s="2965"/>
    </row>
    <row r="194" spans="2:8">
      <c r="B194" s="2977" t="s">
        <v>1942</v>
      </c>
      <c r="C194" s="2979">
        <f>C192-C193</f>
        <v>20245.924999999999</v>
      </c>
      <c r="D194" s="2965"/>
      <c r="E194" s="2965"/>
      <c r="F194" s="2965"/>
      <c r="G194" s="2964"/>
      <c r="H194" s="2965"/>
    </row>
    <row r="195" spans="2:8">
      <c r="B195" s="2977" t="s">
        <v>1943</v>
      </c>
      <c r="C195" s="2979">
        <v>1471</v>
      </c>
      <c r="D195" s="2965"/>
      <c r="E195" s="2965"/>
      <c r="F195" s="2965"/>
      <c r="G195" s="2964"/>
      <c r="H195" s="2965"/>
    </row>
    <row r="196" spans="2:8">
      <c r="B196" s="2980" t="s">
        <v>1947</v>
      </c>
      <c r="C196" s="2981">
        <f>C194/C195</f>
        <v>13.76337525492862</v>
      </c>
      <c r="D196" s="2965"/>
      <c r="E196" s="2965"/>
      <c r="F196" s="2965"/>
      <c r="G196" s="2964"/>
      <c r="H196" s="2965"/>
    </row>
    <row r="210" spans="2:10" ht="15.75" thickBot="1"/>
    <row r="211" spans="2:10" ht="15.75" thickBot="1">
      <c r="B211" s="3042" t="s">
        <v>1971</v>
      </c>
      <c r="C211" s="3597"/>
      <c r="D211" s="3598"/>
      <c r="E211" s="3599"/>
      <c r="F211" s="3597"/>
      <c r="G211" s="3598"/>
      <c r="H211" s="3599"/>
      <c r="I211" s="3597"/>
      <c r="J211" s="3599"/>
    </row>
    <row r="212" spans="2:10" ht="16.5" thickTop="1" thickBot="1">
      <c r="B212" s="3046"/>
      <c r="C212" s="3600" t="s">
        <v>1143</v>
      </c>
      <c r="D212" s="3601"/>
      <c r="E212" s="3602"/>
      <c r="F212" s="3600" t="s">
        <v>22</v>
      </c>
      <c r="G212" s="3601"/>
      <c r="H212" s="3602"/>
      <c r="I212" s="3600" t="s">
        <v>1967</v>
      </c>
      <c r="J212" s="3602"/>
    </row>
    <row r="213" spans="2:10" ht="15.75" thickBot="1">
      <c r="B213" s="3052"/>
      <c r="C213" s="2939" t="s">
        <v>1968</v>
      </c>
      <c r="D213" s="2939" t="s">
        <v>1969</v>
      </c>
      <c r="E213" s="2939" t="s">
        <v>1970</v>
      </c>
      <c r="F213" s="2939" t="s">
        <v>1968</v>
      </c>
      <c r="G213" s="2939" t="s">
        <v>1969</v>
      </c>
      <c r="H213" s="2939" t="s">
        <v>1970</v>
      </c>
      <c r="I213" s="2939" t="s">
        <v>1968</v>
      </c>
      <c r="J213" s="2939" t="s">
        <v>1969</v>
      </c>
    </row>
    <row r="214" spans="2:10" ht="15.75" thickBot="1">
      <c r="B214" s="3044" t="s">
        <v>1904</v>
      </c>
      <c r="C214" s="2944">
        <v>16058</v>
      </c>
      <c r="D214" s="2944">
        <v>14093</v>
      </c>
      <c r="E214" s="3053">
        <f>C214/D214-1</f>
        <v>0.1394309231533386</v>
      </c>
      <c r="F214" s="2944">
        <v>3025</v>
      </c>
      <c r="G214" s="2944">
        <v>2534</v>
      </c>
      <c r="H214" s="3053">
        <f>F214/G214-1</f>
        <v>0.19376479873717445</v>
      </c>
      <c r="I214" s="3054">
        <f>F214/C214</f>
        <v>0.18837962386349483</v>
      </c>
      <c r="J214" s="3055">
        <f>G214/D214</f>
        <v>0.17980557723692614</v>
      </c>
    </row>
    <row r="215" spans="2:10" ht="15.75" thickBot="1">
      <c r="B215" s="3043" t="s">
        <v>921</v>
      </c>
      <c r="C215" s="3045">
        <v>9769</v>
      </c>
      <c r="D215" s="3045">
        <v>8472</v>
      </c>
      <c r="E215" s="3053">
        <f t="shared" ref="E215:E221" si="30">C215/D215-1</f>
        <v>0.15309254013220008</v>
      </c>
      <c r="F215" s="3045">
        <v>1416</v>
      </c>
      <c r="G215" s="3045">
        <v>1155</v>
      </c>
      <c r="H215" s="3053">
        <f t="shared" ref="H215:H221" si="31">F215/G215-1</f>
        <v>0.22597402597402594</v>
      </c>
      <c r="I215" s="3054">
        <f t="shared" ref="I215:J221" si="32">F215/C215</f>
        <v>0.1449483058654929</v>
      </c>
      <c r="J215" s="3055">
        <f t="shared" si="32"/>
        <v>0.1363314447592068</v>
      </c>
    </row>
    <row r="216" spans="2:10" ht="15.75" thickBot="1">
      <c r="B216" s="3050" t="s">
        <v>1972</v>
      </c>
      <c r="C216" s="2944">
        <v>8186</v>
      </c>
      <c r="D216" s="2944">
        <v>6999</v>
      </c>
      <c r="E216" s="3053">
        <f t="shared" si="30"/>
        <v>0.16959565652236042</v>
      </c>
      <c r="F216" s="2944">
        <v>1391</v>
      </c>
      <c r="G216" s="2944">
        <v>1115</v>
      </c>
      <c r="H216" s="3053">
        <f t="shared" si="31"/>
        <v>0.24753363228699543</v>
      </c>
      <c r="I216" s="3054">
        <f t="shared" si="32"/>
        <v>0.16992426093330076</v>
      </c>
      <c r="J216" s="3055">
        <f t="shared" si="32"/>
        <v>0.15930847263894843</v>
      </c>
    </row>
    <row r="217" spans="2:10" ht="15.75" thickBot="1">
      <c r="B217" s="3051" t="s">
        <v>1973</v>
      </c>
      <c r="C217" s="3045">
        <v>1583</v>
      </c>
      <c r="D217" s="3045">
        <v>1472</v>
      </c>
      <c r="E217" s="3053">
        <f t="shared" si="30"/>
        <v>7.5407608695652106E-2</v>
      </c>
      <c r="F217" s="2947">
        <v>24</v>
      </c>
      <c r="G217" s="2947">
        <v>41</v>
      </c>
      <c r="H217" s="3053">
        <f t="shared" si="31"/>
        <v>-0.41463414634146345</v>
      </c>
      <c r="I217" s="3054">
        <f t="shared" si="32"/>
        <v>1.5161086544535692E-2</v>
      </c>
      <c r="J217" s="3055">
        <f t="shared" si="32"/>
        <v>2.7853260869565216E-2</v>
      </c>
    </row>
    <row r="218" spans="2:10" ht="15.75" thickBot="1">
      <c r="B218" s="3044" t="s">
        <v>895</v>
      </c>
      <c r="C218" s="2944">
        <v>4582</v>
      </c>
      <c r="D218" s="2944">
        <v>4012</v>
      </c>
      <c r="E218" s="3053">
        <f t="shared" si="30"/>
        <v>0.14207377866400805</v>
      </c>
      <c r="F218" s="2946">
        <v>967</v>
      </c>
      <c r="G218" s="2946">
        <v>826</v>
      </c>
      <c r="H218" s="3053">
        <f t="shared" si="31"/>
        <v>0.17070217917675534</v>
      </c>
      <c r="I218" s="3054">
        <f t="shared" si="32"/>
        <v>0.21104321257092973</v>
      </c>
      <c r="J218" s="3055">
        <f t="shared" si="32"/>
        <v>0.20588235294117646</v>
      </c>
    </row>
    <row r="219" spans="2:10" ht="15.75" thickBot="1">
      <c r="B219" s="3051" t="s">
        <v>1974</v>
      </c>
      <c r="C219" s="3045">
        <v>4465</v>
      </c>
      <c r="D219" s="3045">
        <v>3885</v>
      </c>
      <c r="E219" s="3053">
        <f t="shared" si="30"/>
        <v>0.14929214929214929</v>
      </c>
      <c r="F219" s="2947">
        <v>943</v>
      </c>
      <c r="G219" s="2947">
        <v>805</v>
      </c>
      <c r="H219" s="3053">
        <f t="shared" si="31"/>
        <v>0.17142857142857149</v>
      </c>
      <c r="I219" s="3054">
        <f t="shared" si="32"/>
        <v>0.21119820828667413</v>
      </c>
      <c r="J219" s="3055">
        <f t="shared" si="32"/>
        <v>0.2072072072072072</v>
      </c>
    </row>
    <row r="220" spans="2:10" ht="15.75" thickBot="1">
      <c r="B220" s="3050" t="s">
        <v>1975</v>
      </c>
      <c r="C220" s="2946">
        <v>117</v>
      </c>
      <c r="D220" s="2946">
        <v>127</v>
      </c>
      <c r="E220" s="3053">
        <f t="shared" si="30"/>
        <v>-7.8740157480314932E-2</v>
      </c>
      <c r="F220" s="2946">
        <v>23</v>
      </c>
      <c r="G220" s="2946">
        <v>20</v>
      </c>
      <c r="H220" s="3053">
        <f t="shared" si="31"/>
        <v>0.14999999999999991</v>
      </c>
      <c r="I220" s="3054">
        <f t="shared" si="32"/>
        <v>0.19658119658119658</v>
      </c>
      <c r="J220" s="3055">
        <f t="shared" si="32"/>
        <v>0.15748031496062992</v>
      </c>
    </row>
    <row r="221" spans="2:10" ht="15.75" thickBot="1">
      <c r="B221" s="3047" t="s">
        <v>1227</v>
      </c>
      <c r="C221" s="3048">
        <v>1707</v>
      </c>
      <c r="D221" s="3048">
        <v>1609</v>
      </c>
      <c r="E221" s="3053">
        <f t="shared" si="30"/>
        <v>6.0907395898073258E-2</v>
      </c>
      <c r="F221" s="3049">
        <v>642</v>
      </c>
      <c r="G221" s="3049">
        <v>553</v>
      </c>
      <c r="H221" s="3053">
        <f t="shared" si="31"/>
        <v>0.16094032549728743</v>
      </c>
      <c r="I221" s="3054">
        <f t="shared" si="32"/>
        <v>0.37609841827768015</v>
      </c>
      <c r="J221" s="3055">
        <f t="shared" si="32"/>
        <v>0.34369173399627095</v>
      </c>
    </row>
    <row r="222" spans="2:10" ht="15.75" thickTop="1"/>
  </sheetData>
  <mergeCells count="30">
    <mergeCell ref="B10:C10"/>
    <mergeCell ref="F63:H63"/>
    <mergeCell ref="H41:J41"/>
    <mergeCell ref="F32:H32"/>
    <mergeCell ref="F12:J12"/>
    <mergeCell ref="J32:L32"/>
    <mergeCell ref="J63:L63"/>
    <mergeCell ref="B30:L30"/>
    <mergeCell ref="N5:R5"/>
    <mergeCell ref="N12:R12"/>
    <mergeCell ref="E53:H53"/>
    <mergeCell ref="J53:L53"/>
    <mergeCell ref="D41:F41"/>
    <mergeCell ref="F5:J5"/>
    <mergeCell ref="N30:X30"/>
    <mergeCell ref="R32:T32"/>
    <mergeCell ref="V32:X32"/>
    <mergeCell ref="P41:R41"/>
    <mergeCell ref="T41:V41"/>
    <mergeCell ref="C188:H188"/>
    <mergeCell ref="D72:F72"/>
    <mergeCell ref="B53:C53"/>
    <mergeCell ref="C128:H128"/>
    <mergeCell ref="I128:J128"/>
    <mergeCell ref="C211:E211"/>
    <mergeCell ref="F211:H211"/>
    <mergeCell ref="I211:J211"/>
    <mergeCell ref="C212:E212"/>
    <mergeCell ref="F212:H212"/>
    <mergeCell ref="I212:J212"/>
  </mergeCells>
  <phoneticPr fontId="24" type="noConversion"/>
  <conditionalFormatting sqref="D83:J89">
    <cfRule type="colorScale" priority="1">
      <colorScale>
        <cfvo type="min"/>
        <cfvo type="max"/>
        <color rgb="FFFCFCFF"/>
        <color rgb="FF63BE7B"/>
      </colorScale>
    </cfRule>
  </conditionalFormatting>
  <printOptions horizontalCentered="1"/>
  <pageMargins left="0.11" right="0.17" top="0" bottom="0" header="0.51180555555555596" footer="0.7"/>
  <pageSetup scale="61" firstPageNumber="0" orientation="portrait" horizontalDpi="300" verticalDpi="300" r:id="rId1"/>
  <headerFooter alignWithMargins="0"/>
  <rowBreaks count="2" manualBreakCount="2">
    <brk id="49" max="16383" man="1"/>
    <brk id="81" max="16383" man="1"/>
  </rowBreaks>
  <ignoredErrors>
    <ignoredError sqref="C67" formula="1"/>
  </ignoredError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42BDB-3D64-4E9C-B8C5-5375766D93C5}">
  <sheetPr>
    <tabColor rgb="FF70AD47"/>
    <pageSetUpPr fitToPage="1"/>
  </sheetPr>
  <dimension ref="A1:FB528"/>
  <sheetViews>
    <sheetView showGridLines="0" tabSelected="1" zoomScale="115" zoomScaleNormal="115" workbookViewId="0">
      <pane xSplit="8" ySplit="4" topLeftCell="I138" activePane="bottomRight" state="frozen"/>
      <selection pane="topRight" activeCell="I1" sqref="I1"/>
      <selection pane="bottomLeft" activeCell="A5" sqref="A5"/>
      <selection pane="bottomRight" activeCell="Q158" sqref="Q158"/>
    </sheetView>
  </sheetViews>
  <sheetFormatPr defaultColWidth="14.42578125" defaultRowHeight="12.75" outlineLevelCol="2"/>
  <cols>
    <col min="1" max="1" width="1.42578125" style="10" bestFit="1" customWidth="1"/>
    <col min="2" max="2" width="41.85546875" style="10" customWidth="1"/>
    <col min="3" max="3" width="13.28515625" style="10" hidden="1" customWidth="1" outlineLevel="1"/>
    <col min="4" max="4" width="13.7109375" style="10" hidden="1" customWidth="1" outlineLevel="1"/>
    <col min="5" max="7" width="15" style="10" hidden="1" customWidth="1" outlineLevel="1"/>
    <col min="8" max="8" width="15.7109375" style="45" hidden="1" customWidth="1" outlineLevel="1"/>
    <col min="9" max="9" width="15.7109375" style="45" hidden="1" customWidth="1" collapsed="1"/>
    <col min="10" max="12" width="15.7109375" style="45" hidden="1" customWidth="1"/>
    <col min="13" max="14" width="15.42578125" style="45" hidden="1" customWidth="1"/>
    <col min="15" max="18" width="15.42578125" style="45" customWidth="1"/>
    <col min="19" max="19" width="15.42578125" style="2101" customWidth="1"/>
    <col min="20" max="21" width="15.42578125" style="2764" customWidth="1"/>
    <col min="22" max="22" width="15" style="45" hidden="1" customWidth="1" outlineLevel="1"/>
    <col min="23" max="23" width="15.42578125" style="45" hidden="1" customWidth="1" collapsed="1"/>
    <col min="24" max="25" width="15" style="45" hidden="1" customWidth="1" outlineLevel="1"/>
    <col min="26" max="26" width="17.7109375" style="45" hidden="1" customWidth="1" outlineLevel="1"/>
    <col min="27" max="27" width="8.140625" style="10" hidden="1" customWidth="1" outlineLevel="2"/>
    <col min="28" max="28" width="9" style="15" hidden="1" customWidth="1" outlineLevel="2"/>
    <col min="29" max="29" width="9" style="10" hidden="1" customWidth="1" outlineLevel="2"/>
    <col min="30" max="41" width="7.85546875" style="10" hidden="1" customWidth="1" outlineLevel="2"/>
    <col min="42" max="42" width="9" style="10" hidden="1" customWidth="1" outlineLevel="2"/>
    <col min="43" max="45" width="7.85546875" style="10" hidden="1" customWidth="1" outlineLevel="1"/>
    <col min="46" max="46" width="9" style="10" hidden="1" customWidth="1" outlineLevel="1"/>
    <col min="47" max="48" width="8.140625" style="10" hidden="1" customWidth="1" outlineLevel="1"/>
    <col min="49" max="50" width="9" style="10" hidden="1" customWidth="1" outlineLevel="1"/>
    <col min="51" max="52" width="8.140625" style="10" hidden="1" customWidth="1" outlineLevel="1"/>
    <col min="53" max="54" width="9" style="10" hidden="1" customWidth="1" outlineLevel="1"/>
    <col min="55" max="58" width="13" style="10" hidden="1" customWidth="1" outlineLevel="1"/>
    <col min="59" max="59" width="11.42578125" style="10" hidden="1" customWidth="1" collapsed="1"/>
    <col min="60" max="66" width="11.42578125" style="10" hidden="1" customWidth="1"/>
    <col min="67" max="76" width="11.7109375" style="10" hidden="1" customWidth="1"/>
    <col min="77" max="77" width="11.7109375" style="314" hidden="1" customWidth="1"/>
    <col min="78" max="78" width="11.7109375" style="2178" hidden="1" customWidth="1"/>
    <col min="79" max="81" width="11.7109375" style="314" hidden="1" customWidth="1"/>
    <col min="82" max="84" width="11.7109375" style="2178" hidden="1" customWidth="1"/>
    <col min="85" max="88" width="11.7109375" style="67" hidden="1" customWidth="1"/>
    <col min="89" max="89" width="11.7109375" style="60" hidden="1" customWidth="1"/>
    <col min="90" max="91" width="11.7109375" style="2762" customWidth="1"/>
    <col min="92" max="95" width="11.7109375" style="2845" customWidth="1"/>
    <col min="96" max="96" width="25.7109375" style="67" customWidth="1"/>
    <col min="97" max="97" width="11.7109375" style="67" customWidth="1"/>
    <col min="98" max="98" width="11.7109375" style="2191" customWidth="1"/>
    <col min="99" max="105" width="11.7109375" style="314" customWidth="1"/>
    <col min="107" max="107" width="11.7109375" style="314" customWidth="1"/>
    <col min="108" max="108" width="11.7109375" style="10" customWidth="1"/>
    <col min="109" max="109" width="11.7109375" style="42" customWidth="1"/>
    <col min="110" max="110" width="11.7109375" style="10" customWidth="1"/>
    <col min="111" max="113" width="11.7109375" style="43" customWidth="1"/>
    <col min="114" max="118" width="9" style="44" customWidth="1"/>
    <col min="119" max="119" width="19.42578125" style="10" customWidth="1"/>
    <col min="120" max="123" width="8.42578125" style="10" customWidth="1" outlineLevel="1"/>
    <col min="124" max="124" width="8" style="10" customWidth="1" outlineLevel="1"/>
    <col min="125" max="128" width="8.42578125" style="10" customWidth="1" outlineLevel="1"/>
    <col min="129" max="129" width="9.7109375" style="10" customWidth="1" outlineLevel="1"/>
    <col min="130" max="130" width="7.140625" style="10" customWidth="1" outlineLevel="1"/>
    <col min="131" max="131" width="7.28515625" style="15" customWidth="1" outlineLevel="1"/>
    <col min="132" max="134" width="7.140625" style="10" customWidth="1" outlineLevel="1"/>
    <col min="135" max="135" width="10.140625" style="10" customWidth="1" outlineLevel="1"/>
    <col min="136" max="136" width="8.42578125" style="10" customWidth="1" outlineLevel="1"/>
    <col min="137" max="138" width="7.140625" style="10" customWidth="1" outlineLevel="1"/>
    <col min="139" max="140" width="9.7109375" style="10" customWidth="1" outlineLevel="1"/>
    <col min="141" max="142" width="8.42578125" style="10" customWidth="1" outlineLevel="1"/>
    <col min="144" max="144" width="8.42578125" style="10" customWidth="1" outlineLevel="1"/>
    <col min="145" max="145" width="7.85546875" style="10" customWidth="1"/>
    <col min="146" max="147" width="8.42578125" style="10" customWidth="1"/>
    <col min="148" max="148" width="19.42578125" style="10" bestFit="1" customWidth="1"/>
    <col min="149" max="149" width="9" style="10" customWidth="1"/>
    <col min="150" max="150" width="15" style="10" bestFit="1" customWidth="1"/>
    <col min="151" max="151" width="14.42578125" style="10" customWidth="1"/>
    <col min="152" max="152" width="15" style="10" customWidth="1"/>
    <col min="153" max="153" width="16.85546875" style="10" customWidth="1"/>
    <col min="154" max="154" width="14.42578125" style="10"/>
    <col min="155" max="155" width="15" style="10" customWidth="1"/>
    <col min="156" max="156" width="16.42578125" style="10" customWidth="1"/>
    <col min="157" max="157" width="14.7109375" style="10" customWidth="1"/>
    <col min="158" max="16384" width="14.42578125" style="10"/>
  </cols>
  <sheetData>
    <row r="1" spans="2:158">
      <c r="B1" s="73">
        <v>89600</v>
      </c>
      <c r="D1" s="3660">
        <f>HYPERLINK("#PL!B486","▼ 1H26 Tracker: actual vs plan vs forecast (row 486)")</f>
      </c>
      <c r="H1" s="41"/>
      <c r="I1" s="41"/>
      <c r="J1" s="41"/>
      <c r="K1" s="41"/>
      <c r="L1" s="41"/>
      <c r="M1" s="214"/>
      <c r="N1" s="214"/>
      <c r="O1" s="214"/>
      <c r="P1" s="214"/>
      <c r="Q1" s="2917"/>
      <c r="R1" s="214"/>
      <c r="S1" s="2181"/>
      <c r="T1" s="2714"/>
      <c r="U1" s="2714"/>
      <c r="V1" s="2450">
        <f>5198/10966</f>
        <v>0.47401057815064745</v>
      </c>
      <c r="W1" s="740"/>
      <c r="X1" s="222"/>
      <c r="Y1" s="41"/>
      <c r="Z1" s="41"/>
      <c r="BG1" s="44"/>
      <c r="BH1" s="44"/>
      <c r="BI1" s="44"/>
      <c r="BJ1" s="44"/>
      <c r="BK1" s="46"/>
      <c r="BY1" s="10"/>
      <c r="BZ1" s="62"/>
      <c r="CA1" s="10"/>
      <c r="CB1" s="10"/>
      <c r="CC1" s="10"/>
      <c r="CD1" s="62"/>
      <c r="CE1" s="62"/>
      <c r="CF1" s="62"/>
      <c r="CT1" s="67"/>
      <c r="CU1" s="10"/>
      <c r="CV1" s="10"/>
      <c r="CW1" s="10"/>
      <c r="CX1" s="10"/>
      <c r="CY1" s="10"/>
      <c r="CZ1" s="10"/>
      <c r="DA1" s="10"/>
      <c r="DC1" s="10"/>
    </row>
    <row r="2" spans="2:158">
      <c r="H2" s="41"/>
      <c r="I2" s="41"/>
      <c r="J2" s="41"/>
      <c r="K2" s="41"/>
      <c r="L2" s="41"/>
      <c r="M2" s="214"/>
      <c r="N2" s="214"/>
      <c r="O2" s="214"/>
      <c r="P2" s="214"/>
      <c r="Q2" s="214"/>
      <c r="R2" s="214"/>
      <c r="S2" s="2181"/>
      <c r="T2" s="2714"/>
      <c r="U2" s="2714"/>
      <c r="V2" s="41"/>
      <c r="W2" s="2875"/>
      <c r="X2" s="41"/>
      <c r="Y2" s="41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4"/>
      <c r="BE2" s="44"/>
      <c r="BF2" s="44"/>
      <c r="BG2" s="2301" t="s">
        <v>1346</v>
      </c>
      <c r="BH2" s="2301" t="s">
        <v>1347</v>
      </c>
      <c r="BI2" s="2301" t="s">
        <v>1348</v>
      </c>
      <c r="BJ2" s="2301" t="s">
        <v>1349</v>
      </c>
      <c r="BK2" s="2301" t="s">
        <v>1350</v>
      </c>
      <c r="BL2" s="2301" t="s">
        <v>1351</v>
      </c>
      <c r="BM2" s="2301" t="s">
        <v>1352</v>
      </c>
      <c r="BN2" s="2301" t="s">
        <v>1353</v>
      </c>
      <c r="BO2" s="2301" t="s">
        <v>1212</v>
      </c>
      <c r="BP2" s="2301" t="s">
        <v>1213</v>
      </c>
      <c r="BQ2" s="2301" t="s">
        <v>1214</v>
      </c>
      <c r="BR2" s="2301" t="s">
        <v>1215</v>
      </c>
      <c r="BS2" s="2301" t="s">
        <v>1020</v>
      </c>
      <c r="BT2" s="2301" t="s">
        <v>1209</v>
      </c>
      <c r="BU2" s="2301" t="s">
        <v>1210</v>
      </c>
      <c r="BV2" s="2301" t="s">
        <v>1211</v>
      </c>
      <c r="BW2" s="2301" t="s">
        <v>1014</v>
      </c>
      <c r="BX2" s="2301" t="s">
        <v>1017</v>
      </c>
      <c r="BY2" s="2301" t="s">
        <v>1018</v>
      </c>
      <c r="BZ2" s="2301" t="s">
        <v>1019</v>
      </c>
      <c r="CA2" s="3108" t="s">
        <v>1015</v>
      </c>
      <c r="CB2" s="3108" t="s">
        <v>1036</v>
      </c>
      <c r="CC2" s="3108" t="s">
        <v>1242</v>
      </c>
      <c r="CD2" s="3108" t="s">
        <v>1354</v>
      </c>
      <c r="CE2" s="3108" t="s">
        <v>1498</v>
      </c>
      <c r="CF2" s="3108" t="s">
        <v>1704</v>
      </c>
      <c r="CG2" s="3108" t="s">
        <v>1789</v>
      </c>
      <c r="CH2" s="3108" t="s">
        <v>1792</v>
      </c>
      <c r="CI2" s="3108" t="s">
        <v>1793</v>
      </c>
      <c r="CJ2" s="3108" t="s">
        <v>1794</v>
      </c>
      <c r="CK2" s="3108" t="s">
        <v>1795</v>
      </c>
      <c r="CL2" s="3108" t="s">
        <v>2078</v>
      </c>
      <c r="CM2" s="3108" t="s">
        <v>2090</v>
      </c>
      <c r="CN2" s="3386"/>
      <c r="CO2" s="3386"/>
      <c r="CP2" s="3386"/>
      <c r="CQ2" s="3386"/>
      <c r="CR2" s="2182"/>
      <c r="CS2" s="2182"/>
      <c r="CT2" s="2190"/>
      <c r="CU2" s="3110"/>
      <c r="CV2" s="3110"/>
      <c r="CW2" s="3110"/>
      <c r="CX2" s="3110"/>
      <c r="CY2" s="3110"/>
      <c r="CZ2" s="3110"/>
      <c r="DA2" s="3110"/>
      <c r="DC2" s="3110"/>
      <c r="DD2" s="44"/>
      <c r="DE2" s="47"/>
      <c r="DF2" s="44"/>
    </row>
    <row r="3" spans="2:158" ht="12.75" customHeight="1">
      <c r="B3" s="2233" t="s">
        <v>1062</v>
      </c>
      <c r="C3" s="2234"/>
      <c r="D3" s="2235"/>
      <c r="E3" s="2235"/>
      <c r="F3" s="1541"/>
      <c r="G3" s="1541"/>
      <c r="H3" s="1541"/>
      <c r="I3" s="2239"/>
      <c r="J3" s="2240"/>
      <c r="K3" s="2240"/>
      <c r="L3" s="2857"/>
      <c r="M3" s="2857"/>
      <c r="N3" s="2857"/>
      <c r="O3" s="2857"/>
      <c r="P3" s="2857" t="s">
        <v>200</v>
      </c>
      <c r="Q3" s="2855"/>
      <c r="R3" s="2855"/>
      <c r="S3" s="3160"/>
      <c r="T3" s="3265"/>
      <c r="U3" s="2743"/>
      <c r="V3" s="2242"/>
      <c r="W3" s="2855" t="s">
        <v>28</v>
      </c>
      <c r="AA3" s="3633">
        <v>2010</v>
      </c>
      <c r="AB3" s="3634"/>
      <c r="AC3" s="3634"/>
      <c r="AD3" s="3635"/>
      <c r="AE3" s="3636">
        <v>2011</v>
      </c>
      <c r="AF3" s="3637"/>
      <c r="AG3" s="3637"/>
      <c r="AH3" s="3638"/>
      <c r="AI3" s="3639">
        <v>2012</v>
      </c>
      <c r="AJ3" s="3640"/>
      <c r="AK3" s="3640"/>
      <c r="AL3" s="3641"/>
      <c r="AM3" s="3642">
        <v>2013</v>
      </c>
      <c r="AN3" s="3643"/>
      <c r="AO3" s="3643"/>
      <c r="AP3" s="3644"/>
      <c r="AQ3" s="3630">
        <v>2014</v>
      </c>
      <c r="AR3" s="3631"/>
      <c r="AS3" s="3631"/>
      <c r="AT3" s="3632"/>
      <c r="AU3" s="3630">
        <v>2015</v>
      </c>
      <c r="AV3" s="3631"/>
      <c r="AW3" s="3631"/>
      <c r="AX3" s="3631"/>
      <c r="AY3" s="3630">
        <v>2016</v>
      </c>
      <c r="AZ3" s="3631"/>
      <c r="BA3" s="3631"/>
      <c r="BB3" s="3632"/>
      <c r="BC3" s="3627">
        <v>2017</v>
      </c>
      <c r="BD3" s="3627"/>
      <c r="BE3" s="3627"/>
      <c r="BF3" s="3627"/>
      <c r="BG3" s="3627">
        <v>2018</v>
      </c>
      <c r="BH3" s="3627"/>
      <c r="BI3" s="3627"/>
      <c r="BJ3" s="3627"/>
      <c r="BK3" s="3627">
        <v>2019</v>
      </c>
      <c r="BL3" s="3627"/>
      <c r="BM3" s="3627"/>
      <c r="BN3" s="3645"/>
      <c r="BO3" s="3646">
        <v>2020</v>
      </c>
      <c r="BP3" s="3646"/>
      <c r="BQ3" s="3646"/>
      <c r="BR3" s="3646"/>
      <c r="BS3" s="3646">
        <v>2021</v>
      </c>
      <c r="BT3" s="3646"/>
      <c r="BU3" s="3646"/>
      <c r="BV3" s="3646"/>
      <c r="BW3" s="3646">
        <v>2022</v>
      </c>
      <c r="BX3" s="3646"/>
      <c r="BY3" s="3646"/>
      <c r="BZ3" s="3646"/>
      <c r="CA3" s="3650">
        <v>2023</v>
      </c>
      <c r="CB3" s="3650"/>
      <c r="CC3" s="3650"/>
      <c r="CD3" s="3650"/>
      <c r="CE3" s="3106"/>
      <c r="CF3" s="3106"/>
      <c r="CG3" s="3106"/>
      <c r="CH3" s="3106"/>
      <c r="CI3" s="3106"/>
      <c r="CJ3" s="3106"/>
      <c r="CK3" s="3106"/>
      <c r="CL3" s="3106"/>
      <c r="CM3" s="3106"/>
      <c r="CN3" s="3387"/>
      <c r="CO3" s="3387"/>
      <c r="CP3" s="3387"/>
      <c r="CQ3" s="3387"/>
      <c r="CR3" s="3112" t="s">
        <v>1062</v>
      </c>
      <c r="CS3" s="2171" t="s">
        <v>1035</v>
      </c>
      <c r="CT3" s="2171" t="s">
        <v>1034</v>
      </c>
      <c r="CU3" s="2171" t="s">
        <v>2059</v>
      </c>
      <c r="CV3" s="2171" t="s">
        <v>1790</v>
      </c>
      <c r="CW3" s="2171" t="s">
        <v>2009</v>
      </c>
      <c r="CX3" s="2171" t="s">
        <v>1678</v>
      </c>
      <c r="CY3" s="3116" t="s">
        <v>625</v>
      </c>
      <c r="CZ3" s="3117" t="str">
        <f>CJ2</f>
        <v>2Q25</v>
      </c>
      <c r="DA3" s="3118" t="str">
        <f>CF2</f>
        <v>2Q24</v>
      </c>
      <c r="DB3" s="3119" t="s">
        <v>625</v>
      </c>
      <c r="DC3" s="3116" t="s">
        <v>625</v>
      </c>
      <c r="DD3" s="48"/>
      <c r="DE3" s="49" t="s">
        <v>909</v>
      </c>
      <c r="DF3" s="776" t="s">
        <v>910</v>
      </c>
      <c r="DG3" s="387" t="s">
        <v>249</v>
      </c>
      <c r="DH3" s="49" t="s">
        <v>260</v>
      </c>
      <c r="DI3" s="49" t="s">
        <v>814</v>
      </c>
    </row>
    <row r="4" spans="2:158" s="6" customFormat="1" ht="13.5" thickBot="1">
      <c r="B4" s="2236" t="str">
        <f>BS!B4</f>
        <v>VND bn</v>
      </c>
      <c r="C4" s="2237">
        <v>2012</v>
      </c>
      <c r="D4" s="2238">
        <v>2013</v>
      </c>
      <c r="E4" s="2238">
        <v>2014</v>
      </c>
      <c r="F4" s="1542">
        <v>2015</v>
      </c>
      <c r="G4" s="1542">
        <v>2016</v>
      </c>
      <c r="H4" s="1542">
        <v>2017</v>
      </c>
      <c r="I4" s="2241">
        <v>2018</v>
      </c>
      <c r="J4" s="2601">
        <v>2019</v>
      </c>
      <c r="K4" s="2601">
        <v>2020</v>
      </c>
      <c r="L4" s="2858">
        <v>2021</v>
      </c>
      <c r="M4" s="2859">
        <v>2022</v>
      </c>
      <c r="N4" s="2859">
        <v>2023</v>
      </c>
      <c r="O4" s="2859">
        <v>2024</v>
      </c>
      <c r="P4" s="2859">
        <v>2025</v>
      </c>
      <c r="Q4" s="2856" t="s">
        <v>263</v>
      </c>
      <c r="R4" s="2856">
        <v>2027</v>
      </c>
      <c r="S4" s="3502">
        <v>2028</v>
      </c>
      <c r="T4" s="1470"/>
      <c r="U4" s="1470"/>
      <c r="V4" s="2243">
        <v>2024</v>
      </c>
      <c r="W4" s="2856" t="s">
        <v>262</v>
      </c>
      <c r="Z4" s="7"/>
      <c r="AA4" s="50" t="s">
        <v>150</v>
      </c>
      <c r="AB4" s="51" t="s">
        <v>184</v>
      </c>
      <c r="AC4" s="51" t="s">
        <v>151</v>
      </c>
      <c r="AD4" s="52" t="s">
        <v>152</v>
      </c>
      <c r="AE4" s="51" t="s">
        <v>179</v>
      </c>
      <c r="AF4" s="51" t="s">
        <v>180</v>
      </c>
      <c r="AG4" s="51" t="s">
        <v>181</v>
      </c>
      <c r="AH4" s="52" t="s">
        <v>182</v>
      </c>
      <c r="AI4" s="50" t="s">
        <v>183</v>
      </c>
      <c r="AJ4" s="51" t="s">
        <v>185</v>
      </c>
      <c r="AK4" s="51" t="s">
        <v>186</v>
      </c>
      <c r="AL4" s="52" t="s">
        <v>187</v>
      </c>
      <c r="AM4" s="50" t="s">
        <v>189</v>
      </c>
      <c r="AN4" s="51" t="s">
        <v>190</v>
      </c>
      <c r="AO4" s="51" t="s">
        <v>191</v>
      </c>
      <c r="AP4" s="52" t="s">
        <v>192</v>
      </c>
      <c r="AQ4" s="50" t="s">
        <v>193</v>
      </c>
      <c r="AR4" s="51" t="s">
        <v>194</v>
      </c>
      <c r="AS4" s="51" t="s">
        <v>195</v>
      </c>
      <c r="AT4" s="52" t="s">
        <v>196</v>
      </c>
      <c r="AU4" s="50" t="s">
        <v>233</v>
      </c>
      <c r="AV4" s="51" t="s">
        <v>234</v>
      </c>
      <c r="AW4" s="51" t="s">
        <v>235</v>
      </c>
      <c r="AX4" s="51" t="s">
        <v>236</v>
      </c>
      <c r="AY4" s="53" t="s">
        <v>243</v>
      </c>
      <c r="AZ4" s="7" t="s">
        <v>244</v>
      </c>
      <c r="BA4" s="7" t="s">
        <v>245</v>
      </c>
      <c r="BB4" s="54" t="s">
        <v>246</v>
      </c>
      <c r="BC4" s="608" t="s">
        <v>243</v>
      </c>
      <c r="BD4" s="609" t="s">
        <v>244</v>
      </c>
      <c r="BE4" s="609" t="s">
        <v>245</v>
      </c>
      <c r="BF4" s="610" t="s">
        <v>246</v>
      </c>
      <c r="BG4" s="608" t="s">
        <v>243</v>
      </c>
      <c r="BH4" s="609" t="s">
        <v>244</v>
      </c>
      <c r="BI4" s="609" t="s">
        <v>245</v>
      </c>
      <c r="BJ4" s="610" t="s">
        <v>246</v>
      </c>
      <c r="BK4" s="608" t="s">
        <v>243</v>
      </c>
      <c r="BL4" s="609" t="s">
        <v>244</v>
      </c>
      <c r="BM4" s="609" t="s">
        <v>245</v>
      </c>
      <c r="BN4" s="3107" t="s">
        <v>246</v>
      </c>
      <c r="BO4" s="399" t="s">
        <v>243</v>
      </c>
      <c r="BP4" s="399" t="s">
        <v>244</v>
      </c>
      <c r="BQ4" s="399" t="s">
        <v>245</v>
      </c>
      <c r="BR4" s="399" t="s">
        <v>246</v>
      </c>
      <c r="BS4" s="399" t="s">
        <v>243</v>
      </c>
      <c r="BT4" s="399" t="s">
        <v>244</v>
      </c>
      <c r="BU4" s="399" t="s">
        <v>245</v>
      </c>
      <c r="BV4" s="399" t="s">
        <v>246</v>
      </c>
      <c r="BW4" s="399" t="s">
        <v>243</v>
      </c>
      <c r="BX4" s="399" t="s">
        <v>244</v>
      </c>
      <c r="BY4" s="399" t="s">
        <v>245</v>
      </c>
      <c r="BZ4" s="399" t="s">
        <v>246</v>
      </c>
      <c r="CA4" s="3102" t="s">
        <v>243</v>
      </c>
      <c r="CB4" s="3102" t="s">
        <v>244</v>
      </c>
      <c r="CC4" s="3102" t="s">
        <v>245</v>
      </c>
      <c r="CD4" s="3102" t="s">
        <v>246</v>
      </c>
      <c r="CE4" s="3102" t="s">
        <v>243</v>
      </c>
      <c r="CF4" s="3102" t="s">
        <v>244</v>
      </c>
      <c r="CG4" s="3102" t="s">
        <v>245</v>
      </c>
      <c r="CH4" s="3102" t="s">
        <v>246</v>
      </c>
      <c r="CI4" s="3102" t="s">
        <v>243</v>
      </c>
      <c r="CJ4" s="3102" t="s">
        <v>244</v>
      </c>
      <c r="CK4" s="3102" t="s">
        <v>245</v>
      </c>
      <c r="CL4" s="3102" t="s">
        <v>246</v>
      </c>
      <c r="CM4" s="3102" t="s">
        <v>243</v>
      </c>
      <c r="CN4" s="1470"/>
      <c r="CO4" s="1470"/>
      <c r="CP4" s="1470"/>
      <c r="CQ4" s="1470"/>
      <c r="CR4" s="2236">
        <f>BS!CM4</f>
        <v>0</v>
      </c>
      <c r="CS4" s="3113" t="s">
        <v>1035</v>
      </c>
      <c r="CT4" s="3113" t="s">
        <v>1034</v>
      </c>
      <c r="CU4" s="2518"/>
      <c r="CV4" s="2518"/>
      <c r="CW4" s="2518"/>
      <c r="CX4" s="2518"/>
      <c r="CY4" s="399"/>
      <c r="CZ4" s="2518"/>
      <c r="DA4" s="953"/>
      <c r="DB4" s="953"/>
      <c r="DC4" s="399"/>
      <c r="DD4" s="55"/>
      <c r="DE4" s="56"/>
      <c r="DF4" s="777"/>
      <c r="DG4" s="57"/>
      <c r="DH4" s="656"/>
      <c r="DI4" s="656"/>
      <c r="DJ4" s="57"/>
      <c r="DK4" s="57"/>
      <c r="DL4" s="57"/>
      <c r="DM4" s="57"/>
      <c r="DN4" s="57"/>
      <c r="DO4" s="3647" t="s">
        <v>1657</v>
      </c>
      <c r="DP4" s="3648"/>
      <c r="DQ4" s="3648"/>
      <c r="DR4" s="3648"/>
      <c r="DS4" s="3648"/>
      <c r="DT4" s="3649"/>
      <c r="DU4" s="862"/>
      <c r="DV4" s="862"/>
      <c r="DW4" s="862"/>
      <c r="DX4" s="862" t="s">
        <v>1119</v>
      </c>
      <c r="DY4" s="862" t="s">
        <v>1118</v>
      </c>
      <c r="DZ4" s="862" t="s">
        <v>625</v>
      </c>
      <c r="EA4" s="2084" t="s">
        <v>885</v>
      </c>
      <c r="EB4" s="862" t="s">
        <v>255</v>
      </c>
      <c r="EC4" s="1345" t="s">
        <v>1012</v>
      </c>
      <c r="ED4" s="1345"/>
      <c r="EE4" s="862" t="s">
        <v>1119</v>
      </c>
      <c r="EF4" s="862">
        <v>2022</v>
      </c>
      <c r="EG4" s="1345" t="s">
        <v>1011</v>
      </c>
      <c r="EH4" s="1345"/>
      <c r="EI4" s="862" t="s">
        <v>656</v>
      </c>
      <c r="EJ4" s="862" t="s">
        <v>815</v>
      </c>
      <c r="EK4" s="862" t="s">
        <v>625</v>
      </c>
      <c r="EL4" s="862">
        <v>2020</v>
      </c>
      <c r="EN4" s="862" t="s">
        <v>625</v>
      </c>
      <c r="EO4" s="862" t="s">
        <v>625</v>
      </c>
      <c r="EP4" s="1344" t="s">
        <v>1011</v>
      </c>
    </row>
    <row r="5" spans="2:158" ht="15" customHeight="1" thickBot="1">
      <c r="B5" s="704"/>
      <c r="C5" s="954"/>
      <c r="D5" s="955"/>
      <c r="E5" s="955"/>
      <c r="F5" s="955"/>
      <c r="G5" s="955"/>
      <c r="H5" s="58"/>
      <c r="I5" s="910"/>
      <c r="J5" s="58"/>
      <c r="K5" s="58"/>
      <c r="L5" s="59"/>
      <c r="M5" s="31"/>
      <c r="N5" s="31"/>
      <c r="O5" s="31"/>
      <c r="P5" s="31"/>
      <c r="Q5" s="400"/>
      <c r="R5" s="400"/>
      <c r="S5" s="3503"/>
      <c r="U5" s="2744"/>
      <c r="V5" s="400"/>
      <c r="W5" s="400"/>
      <c r="AA5" s="60"/>
      <c r="AB5" s="61"/>
      <c r="AC5" s="61"/>
      <c r="AD5" s="62"/>
      <c r="AE5" s="63"/>
      <c r="AF5" s="64"/>
      <c r="AG5" s="64" t="s">
        <v>164</v>
      </c>
      <c r="AH5" s="65"/>
      <c r="AI5" s="63"/>
      <c r="AJ5" s="64"/>
      <c r="AK5" s="64"/>
      <c r="AL5" s="65"/>
      <c r="AM5" s="63"/>
      <c r="AN5" s="64"/>
      <c r="AO5" s="64"/>
      <c r="AP5" s="65"/>
      <c r="AQ5" s="63"/>
      <c r="AR5" s="64"/>
      <c r="AS5" s="64"/>
      <c r="AT5" s="65"/>
      <c r="AU5" s="63"/>
      <c r="AV5" s="64"/>
      <c r="AW5" s="64"/>
      <c r="AX5" s="64"/>
      <c r="AY5" s="60"/>
      <c r="BC5" s="63"/>
      <c r="BD5" s="64"/>
      <c r="BE5" s="64"/>
      <c r="BF5" s="64"/>
      <c r="BG5" s="63"/>
      <c r="BH5" s="64"/>
      <c r="BI5" s="64"/>
      <c r="BJ5" s="64"/>
      <c r="BK5" s="63"/>
      <c r="BL5" s="64"/>
      <c r="BM5" s="64"/>
      <c r="BN5" s="64"/>
      <c r="BO5" s="60"/>
      <c r="BS5" s="60"/>
      <c r="BW5" s="60"/>
      <c r="BY5" s="10"/>
      <c r="BZ5" s="62"/>
      <c r="CA5" s="10"/>
      <c r="CB5" s="204"/>
      <c r="CC5" s="10"/>
      <c r="CD5" s="62"/>
      <c r="CE5" s="62"/>
      <c r="CF5" s="62"/>
      <c r="CG5" s="62"/>
      <c r="CH5" s="62"/>
      <c r="CI5" s="62"/>
      <c r="CJ5" s="62"/>
      <c r="CK5" s="62"/>
      <c r="CL5" s="62"/>
      <c r="CM5" s="62"/>
      <c r="CN5" s="2762"/>
      <c r="CO5" s="2762"/>
      <c r="CP5" s="2762"/>
      <c r="CQ5" s="2762"/>
      <c r="CR5" s="704"/>
      <c r="CS5" s="3114"/>
      <c r="CT5" s="3114"/>
      <c r="CU5" s="3114"/>
      <c r="CV5" s="3114"/>
      <c r="CW5" s="3114"/>
      <c r="CX5" s="3114"/>
      <c r="CY5" s="10"/>
      <c r="CZ5" s="67"/>
      <c r="DA5" s="62"/>
      <c r="DB5" s="62"/>
      <c r="DC5" s="10"/>
      <c r="DE5" s="66"/>
      <c r="DF5" s="62"/>
      <c r="DH5" s="657"/>
      <c r="DI5" s="657"/>
      <c r="DO5" s="2407" t="s">
        <v>462</v>
      </c>
      <c r="DP5" s="2414" t="s">
        <v>1015</v>
      </c>
      <c r="DQ5" s="2414" t="s">
        <v>1498</v>
      </c>
      <c r="DR5" s="2414" t="s">
        <v>625</v>
      </c>
      <c r="DS5" s="2414" t="s">
        <v>1354</v>
      </c>
      <c r="DT5" s="2414" t="s">
        <v>1656</v>
      </c>
      <c r="DU5" s="2414" t="s">
        <v>1658</v>
      </c>
      <c r="DV5" s="596"/>
      <c r="DW5" s="596"/>
      <c r="DX5" s="599">
        <f>CS9</f>
        <v>19826.313935350001</v>
      </c>
      <c r="DY5" s="599">
        <f>CT9</f>
        <v>24165.743148205001</v>
      </c>
      <c r="DZ5" s="1041">
        <f>(DY5/DX5-1)</f>
        <v>0.21887221331232265</v>
      </c>
      <c r="EA5" s="2080">
        <v>52289</v>
      </c>
      <c r="EB5" s="599" t="e">
        <f>#REF!</f>
        <v>#REF!</v>
      </c>
      <c r="EC5" s="1005" t="e">
        <f>DY5/EB5</f>
        <v>#REF!</v>
      </c>
      <c r="ED5" s="1005"/>
      <c r="EE5" s="599">
        <f>DX5</f>
        <v>19826.313935350001</v>
      </c>
      <c r="EF5" s="599">
        <f>M9</f>
        <v>44009.527680911</v>
      </c>
      <c r="EG5" s="1005">
        <f>EE5/EF5</f>
        <v>0.45050049341814691</v>
      </c>
      <c r="EH5" s="1005"/>
      <c r="EI5" s="599">
        <f>DE9</f>
        <v>9730.2538443909998</v>
      </c>
      <c r="EJ5" s="599">
        <f>DF9</f>
        <v>11681.378883303001</v>
      </c>
      <c r="EK5" s="1041">
        <f>(EJ5/EI5-1)</f>
        <v>0.20052149410641795</v>
      </c>
      <c r="EL5" s="599">
        <f>K9</f>
        <v>29830.400526824</v>
      </c>
      <c r="EN5" s="602">
        <f>(EF5/EL5-1)</f>
        <v>0.47532473261084407</v>
      </c>
      <c r="EO5" s="985" t="e">
        <f>(EB5/EF5-1)</f>
        <v>#REF!</v>
      </c>
      <c r="EP5" s="985">
        <f>EI5/EF5</f>
        <v>0.22109425747396666</v>
      </c>
      <c r="EQ5" s="317"/>
      <c r="ER5" s="63" t="s">
        <v>252</v>
      </c>
      <c r="ES5" s="64"/>
      <c r="ET5" s="2143">
        <v>45153</v>
      </c>
      <c r="EU5" s="64"/>
      <c r="EV5" s="2144" t="s">
        <v>2004</v>
      </c>
      <c r="EW5" s="64"/>
      <c r="EX5" s="64"/>
      <c r="EY5" s="64"/>
      <c r="EZ5" s="64"/>
      <c r="FA5" s="2145" t="s">
        <v>253</v>
      </c>
      <c r="FB5" s="2146" t="s">
        <v>254</v>
      </c>
    </row>
    <row r="6" spans="2:158" s="16" customFormat="1">
      <c r="B6" s="939" t="s">
        <v>142</v>
      </c>
      <c r="C6" s="911">
        <f>Data!L333</f>
        <v>24624.085073577</v>
      </c>
      <c r="D6" s="686">
        <f>Data!M333</f>
        <v>27114.701620108</v>
      </c>
      <c r="E6" s="686">
        <f>Data!N333</f>
        <v>32873.026689954997</v>
      </c>
      <c r="F6" s="686">
        <f>Data!O333</f>
        <v>38707.143264487</v>
      </c>
      <c r="G6" s="686">
        <f>Data!P333</f>
        <v>40447.137929383003</v>
      </c>
      <c r="H6" s="686">
        <f>Data!Q333</f>
        <v>43298.396301993002</v>
      </c>
      <c r="I6" s="911">
        <f>Data!R333</f>
        <v>23259.126277266001</v>
      </c>
      <c r="J6" s="686">
        <f>Data!S333</f>
        <v>27791.982176828998</v>
      </c>
      <c r="K6" s="686">
        <f>Data!T333</f>
        <v>29921.698144295999</v>
      </c>
      <c r="L6" s="686">
        <f>Data!U333</f>
        <v>35671.052233609997</v>
      </c>
      <c r="M6" s="686">
        <f>Data!V333</f>
        <v>44023.010881274997</v>
      </c>
      <c r="N6" s="686">
        <f>Data!W333</f>
        <v>52625.174861332998</v>
      </c>
      <c r="O6" s="686">
        <f>Data!X333</f>
        <v>62962.65</v>
      </c>
      <c r="P6" s="686">
        <f>Data!Y333</f>
        <v>70207.69</v>
      </c>
      <c r="Q6" s="779">
        <f ca="1">(1+Q8)*Q9</f>
        <v>57271.884260551531</v>
      </c>
      <c r="R6" s="779">
        <f t="shared" ref="R6" ca="1" si="0">(1+R8)*R9</f>
        <v>66034.12076172157</v>
      </c>
      <c r="S6" s="3504">
        <f t="shared" ref="S6" ca="1" si="1">(1+S8)*S9</f>
        <v>76640.151254722165</v>
      </c>
      <c r="T6" s="3266"/>
      <c r="U6" s="2745">
        <f>CM6*4</f>
        <v>49943.346817407997</v>
      </c>
      <c r="V6" s="779">
        <f>(1+V8)*V9</f>
        <v>55752.315213077716</v>
      </c>
      <c r="W6" s="779">
        <f ca="1">(1+W8)*W9</f>
        <v>66428.140058865058</v>
      </c>
      <c r="Z6" s="194"/>
      <c r="AA6" s="68"/>
      <c r="AB6" s="13"/>
      <c r="AC6" s="13"/>
      <c r="AD6" s="69"/>
      <c r="AE6" s="68"/>
      <c r="AF6" s="13"/>
      <c r="AG6" s="61"/>
      <c r="AH6" s="70"/>
      <c r="AI6" s="71"/>
      <c r="AJ6" s="61"/>
      <c r="AK6" s="61"/>
      <c r="AL6" s="70"/>
      <c r="AM6" s="71"/>
      <c r="AN6" s="61"/>
      <c r="AO6" s="61"/>
      <c r="AP6" s="70"/>
      <c r="AQ6" s="71"/>
      <c r="AR6" s="61"/>
      <c r="AS6" s="61"/>
      <c r="AT6" s="70"/>
      <c r="AU6" s="71"/>
      <c r="AV6" s="61"/>
      <c r="AW6" s="61"/>
      <c r="AX6" s="61"/>
      <c r="AY6" s="71"/>
      <c r="AZ6" s="61"/>
      <c r="BA6" s="61"/>
      <c r="BB6" s="61"/>
      <c r="BC6" s="611" t="e">
        <f>#REF!</f>
        <v>#REF!</v>
      </c>
      <c r="BD6" s="612" t="e">
        <f>#REF!</f>
        <v>#REF!</v>
      </c>
      <c r="BE6" s="612" t="e">
        <f>#REF!</f>
        <v>#REF!</v>
      </c>
      <c r="BF6" s="612" t="e">
        <f>#REF!</f>
        <v>#REF!</v>
      </c>
      <c r="BG6" s="611">
        <f>Data!BA473</f>
        <v>4756.965340838</v>
      </c>
      <c r="BH6" s="612">
        <f>Data!BB473</f>
        <v>5479.3493286399998</v>
      </c>
      <c r="BI6" s="612">
        <f>Data!BC473</f>
        <v>6047.7295579239999</v>
      </c>
      <c r="BJ6" s="612">
        <f>Data!BD473</f>
        <v>6975.0820498639996</v>
      </c>
      <c r="BK6" s="611">
        <f>Data!BE473</f>
        <v>5672.1263634090001</v>
      </c>
      <c r="BL6" s="612">
        <f>Data!BF473</f>
        <v>6834.1813837870004</v>
      </c>
      <c r="BM6" s="612">
        <f>Data!BG473</f>
        <v>7138.8048486150001</v>
      </c>
      <c r="BN6" s="612">
        <f>Data!BH473</f>
        <v>8146.8695811440002</v>
      </c>
      <c r="BO6" s="611">
        <f>Data!BI473</f>
        <v>6645.0143717889996</v>
      </c>
      <c r="BP6" s="612">
        <f>Data!BJ473</f>
        <v>6997.2634889820001</v>
      </c>
      <c r="BQ6" s="612">
        <f>Data!BK473</f>
        <v>7578.6910431959996</v>
      </c>
      <c r="BR6" s="612">
        <f>Data!BL473</f>
        <v>8700.7292403289994</v>
      </c>
      <c r="BS6" s="611">
        <f>Data!BM473</f>
        <v>7605.6746785349997</v>
      </c>
      <c r="BT6" s="612">
        <f>Data!BN473</f>
        <v>8625.5044433010007</v>
      </c>
      <c r="BU6" s="612">
        <f>Data!BO473</f>
        <v>8687.0496143410001</v>
      </c>
      <c r="BV6" s="612">
        <f>Data!BP473</f>
        <v>10714.772437502001</v>
      </c>
      <c r="BW6" s="611">
        <f>Data!BQ473</f>
        <v>9731.8324205999998</v>
      </c>
      <c r="BX6" s="612">
        <f>Data!BR473</f>
        <v>10096.707659064001</v>
      </c>
      <c r="BY6" s="612">
        <f>Data!BS473</f>
        <v>11148.779552747999</v>
      </c>
      <c r="BZ6" s="883">
        <f>Data!BT473</f>
        <v>13053.462794764</v>
      </c>
      <c r="CA6" s="612">
        <f>Data!BU473</f>
        <v>11683.021258544</v>
      </c>
      <c r="CB6" s="612">
        <f>Data!BV473</f>
        <v>12484.515133084</v>
      </c>
      <c r="CC6" s="612">
        <f>Data!BW473</f>
        <v>13761.831884948</v>
      </c>
      <c r="CD6" s="612">
        <f>Data!BX473</f>
        <v>14695.806584757</v>
      </c>
      <c r="CE6" s="612">
        <f>Data!BY473</f>
        <v>14093.297397476001</v>
      </c>
      <c r="CF6" s="612">
        <f>Data!BZ473</f>
        <v>15245.892288520001</v>
      </c>
      <c r="CG6" s="612">
        <f>Data!CA473</f>
        <v>15972.3970697</v>
      </c>
      <c r="CH6" s="612">
        <f>Data!CB473</f>
        <v>17651.07</v>
      </c>
      <c r="CI6" s="612">
        <f>Data!CC473</f>
        <v>16064.980391264</v>
      </c>
      <c r="CJ6" s="612">
        <f>Data!CD473</f>
        <v>16658.335760738999</v>
      </c>
      <c r="CK6" s="612">
        <f>Data!CE473</f>
        <v>17225.507121683</v>
      </c>
      <c r="CL6" s="612">
        <f>Data!CF473</f>
        <v>20258.865670866999</v>
      </c>
      <c r="CM6" s="612">
        <f>Data!CG473</f>
        <v>12485.836704351999</v>
      </c>
      <c r="CN6" s="3388">
        <f>CM6*4</f>
        <v>49943.346817407997</v>
      </c>
      <c r="CO6" s="3556">
        <f ca="1">Q6/CN6</f>
        <v>1.1467370112366826</v>
      </c>
      <c r="CP6" s="3388"/>
      <c r="CQ6" s="3388"/>
      <c r="CR6" s="939" t="s">
        <v>142</v>
      </c>
      <c r="CS6" s="1862">
        <f>BW6+BX6</f>
        <v>19828.540079664002</v>
      </c>
      <c r="CT6" s="1862">
        <f>CA6+CB6</f>
        <v>24167.536391628</v>
      </c>
      <c r="CU6" s="1862"/>
      <c r="CV6" s="1862"/>
      <c r="CW6" s="1862">
        <f>CI6+CJ6</f>
        <v>32723.316152002997</v>
      </c>
      <c r="CX6" s="1862">
        <f>CE6+CF6</f>
        <v>29339.189685996003</v>
      </c>
      <c r="CY6" s="174">
        <f t="shared" ref="CY6:CY26" si="2">CW6/CX6-1</f>
        <v>0.11534491927779045</v>
      </c>
      <c r="CZ6" s="1862">
        <f t="shared" ref="CZ6:CZ32" si="3">CJ6</f>
        <v>16658.335760738999</v>
      </c>
      <c r="DA6" s="883">
        <f t="shared" ref="DA6:DA32" si="4">CF6</f>
        <v>15245.892288520001</v>
      </c>
      <c r="DB6" s="3115">
        <f>CZ6/DA6-1</f>
        <v>9.2644198547995327E-2</v>
      </c>
      <c r="DC6" s="612"/>
      <c r="DD6" s="878"/>
      <c r="DE6" s="1006">
        <f>SUM(BW6)</f>
        <v>9731.8324205999998</v>
      </c>
      <c r="DF6" s="1007">
        <f>SUM(CA6)</f>
        <v>11683.021258544</v>
      </c>
      <c r="DG6" s="43">
        <f>DF6/DE6-1</f>
        <v>0.20049552372210933</v>
      </c>
      <c r="DH6" s="861"/>
      <c r="DI6" s="861"/>
      <c r="DJ6" s="44"/>
      <c r="DK6" s="44"/>
      <c r="DL6" s="44"/>
      <c r="DM6" s="44"/>
      <c r="DN6" s="44"/>
      <c r="DO6" s="2408" t="s">
        <v>163</v>
      </c>
      <c r="DP6" s="2409">
        <f>Data!BU475</f>
        <v>11681.378883302999</v>
      </c>
      <c r="DQ6" s="2409">
        <f>Data!BY475</f>
        <v>14092.928413699001</v>
      </c>
      <c r="DR6" s="2416">
        <f>DQ6/DP6-1</f>
        <v>0.20644390996023554</v>
      </c>
      <c r="DS6" s="2409">
        <f>Data!BX475</f>
        <v>14690.412703323</v>
      </c>
      <c r="DT6" s="2416">
        <f>DQ6/DS6-1</f>
        <v>-4.0671715743482606E-2</v>
      </c>
      <c r="DU6" s="2416">
        <f>DQ6/V292</f>
        <v>0.22785656287306388</v>
      </c>
      <c r="DV6" s="596"/>
      <c r="DW6" s="596"/>
      <c r="DX6" s="597">
        <f>CS11</f>
        <v>12030.304293486999</v>
      </c>
      <c r="DY6" s="597">
        <f>CT11</f>
        <v>14964.039840474001</v>
      </c>
      <c r="DZ6" s="1041">
        <f>(DY6/DX6-1)</f>
        <v>0.24386212313642597</v>
      </c>
      <c r="EA6" s="2080"/>
      <c r="EB6" s="597" t="e">
        <f>#REF!</f>
        <v>#REF!</v>
      </c>
      <c r="EC6" s="1005" t="e">
        <f>DY6/EB6</f>
        <v>#REF!</v>
      </c>
      <c r="ED6" s="1005"/>
      <c r="EE6" s="599">
        <f t="shared" ref="EE6:EE23" si="5">DX6</f>
        <v>12030.304293486999</v>
      </c>
      <c r="EF6" s="597">
        <f>M11</f>
        <v>26842.249039712999</v>
      </c>
      <c r="EG6" s="1005">
        <f>EE6/EF6</f>
        <v>0.44818540636025739</v>
      </c>
      <c r="EH6" s="1005"/>
      <c r="EI6" s="597">
        <f>DE11</f>
        <v>5776.9325518380001</v>
      </c>
      <c r="EJ6" s="597">
        <f>DF11</f>
        <v>7113.4998826090005</v>
      </c>
      <c r="EK6" s="1041">
        <f>(EJ6/EI6-1)</f>
        <v>0.23136280695293143</v>
      </c>
      <c r="EL6" s="597"/>
      <c r="EN6" s="863"/>
      <c r="EO6" s="1041" t="e">
        <f>EB6/EF6-1</f>
        <v>#REF!</v>
      </c>
      <c r="EP6" s="985">
        <f>EI6/EF6</f>
        <v>0.21521790306360142</v>
      </c>
      <c r="EQ6" s="12"/>
      <c r="ER6" s="60" t="s">
        <v>210</v>
      </c>
      <c r="ES6" s="10"/>
      <c r="ET6" s="2147">
        <f ca="1">Valuation!J21</f>
        <v>106668.10735696819</v>
      </c>
      <c r="EU6" s="10"/>
      <c r="EV6" s="28" t="s">
        <v>213</v>
      </c>
      <c r="EW6" s="28"/>
      <c r="EX6" s="28"/>
      <c r="EY6" s="30">
        <v>15804</v>
      </c>
      <c r="FA6" s="2148">
        <f>EY6/EY10</f>
        <v>0.16169098238218985</v>
      </c>
      <c r="FB6" s="2149">
        <f>EY6/EY11</f>
        <v>0.46879449454200284</v>
      </c>
    </row>
    <row r="7" spans="2:158">
      <c r="B7" s="703" t="s">
        <v>143</v>
      </c>
      <c r="C7" s="380">
        <f>-Data!L334</f>
        <v>29.781279167000001</v>
      </c>
      <c r="D7" s="189">
        <f>-Data!M334</f>
        <v>86.812893801000001</v>
      </c>
      <c r="E7" s="189">
        <f>-Data!N334</f>
        <v>228.37033106000001</v>
      </c>
      <c r="F7" s="189">
        <f>-Data!O334</f>
        <v>747.44450846500001</v>
      </c>
      <c r="G7" s="189">
        <f>-Data!P334</f>
        <v>915.66926543900001</v>
      </c>
      <c r="H7" s="189">
        <f>-Data!Q334</f>
        <v>639.78546063900001</v>
      </c>
      <c r="I7" s="380">
        <f>-Data!R334</f>
        <v>45.589419540999998</v>
      </c>
      <c r="J7" s="189">
        <f>-Data!S334</f>
        <v>75.022024553999998</v>
      </c>
      <c r="K7" s="189">
        <f>-Data!T334</f>
        <v>91.297617471999999</v>
      </c>
      <c r="L7" s="189">
        <f>-Data!U334</f>
        <v>13.789688583</v>
      </c>
      <c r="M7" s="189">
        <f>-Data!V334</f>
        <v>13.483200364</v>
      </c>
      <c r="N7" s="189">
        <f>-Data!W334</f>
        <v>7.2740339479999996</v>
      </c>
      <c r="O7" s="189">
        <f>-Data!X334</f>
        <v>113.86</v>
      </c>
      <c r="P7" s="189">
        <f>-Data!Y334</f>
        <v>94.86</v>
      </c>
      <c r="Q7" s="1790">
        <f ca="1">Q6*Q8</f>
        <v>77.381992499054135</v>
      </c>
      <c r="R7" s="1790">
        <f ca="1">R6*R8</f>
        <v>89.220948523686047</v>
      </c>
      <c r="S7" s="3505">
        <f ca="1">S6*S8</f>
        <v>103.55111737792461</v>
      </c>
      <c r="T7" s="1790"/>
      <c r="U7" s="2746"/>
      <c r="V7" s="1790">
        <f>V6*V8</f>
        <v>7.7062781189446046</v>
      </c>
      <c r="W7" s="1790">
        <f ca="1">W6*W8</f>
        <v>120.12690106122241</v>
      </c>
      <c r="Z7" s="45" t="s">
        <v>164</v>
      </c>
      <c r="AA7" s="101"/>
      <c r="AB7" s="102"/>
      <c r="AC7" s="102"/>
      <c r="AD7" s="104"/>
      <c r="AE7" s="114"/>
      <c r="AF7" s="73"/>
      <c r="AG7" s="61"/>
      <c r="AH7" s="70"/>
      <c r="AI7" s="71"/>
      <c r="AJ7" s="61"/>
      <c r="AK7" s="61"/>
      <c r="AL7" s="70"/>
      <c r="AM7" s="71"/>
      <c r="AN7" s="61"/>
      <c r="AO7" s="61"/>
      <c r="AP7" s="70"/>
      <c r="AQ7" s="71"/>
      <c r="AR7" s="61"/>
      <c r="AS7" s="61"/>
      <c r="AT7" s="70"/>
      <c r="AU7" s="71"/>
      <c r="AV7" s="61"/>
      <c r="AW7" s="61"/>
      <c r="AX7" s="61"/>
      <c r="AY7" s="71"/>
      <c r="AZ7" s="61"/>
      <c r="BA7" s="61"/>
      <c r="BB7" s="61"/>
      <c r="BC7" s="611" t="e">
        <f>-#REF!</f>
        <v>#REF!</v>
      </c>
      <c r="BD7" s="612" t="e">
        <f>-#REF!</f>
        <v>#REF!</v>
      </c>
      <c r="BE7" s="612" t="e">
        <f>-#REF!</f>
        <v>#REF!</v>
      </c>
      <c r="BF7" s="612" t="e">
        <f>-#REF!</f>
        <v>#REF!</v>
      </c>
      <c r="BG7" s="611">
        <f>-Data!BA474</f>
        <v>6.196729221</v>
      </c>
      <c r="BH7" s="612">
        <f>-Data!BB474</f>
        <v>5.0866045399999997</v>
      </c>
      <c r="BI7" s="612">
        <f>-Data!BC474</f>
        <v>11.670624489</v>
      </c>
      <c r="BJ7" s="612">
        <f>-Data!BD474</f>
        <v>22.635461290999999</v>
      </c>
      <c r="BK7" s="611">
        <f>-Data!BE474</f>
        <v>5.6467473449999996</v>
      </c>
      <c r="BL7" s="612">
        <f>-Data!BF474</f>
        <v>8.2628591890000003</v>
      </c>
      <c r="BM7" s="612">
        <f>-Data!BG474</f>
        <v>34.430711072000001</v>
      </c>
      <c r="BN7" s="612">
        <f>-Data!BH474</f>
        <v>26.681706947999999</v>
      </c>
      <c r="BO7" s="611">
        <f>-Data!BI474</f>
        <v>14.449460351000001</v>
      </c>
      <c r="BP7" s="612">
        <f>-Data!BJ474</f>
        <v>17.260990645</v>
      </c>
      <c r="BQ7" s="612">
        <f>-Data!BK474</f>
        <v>25.562539124000001</v>
      </c>
      <c r="BR7" s="612">
        <f>-Data!BL474</f>
        <v>34.024627352000003</v>
      </c>
      <c r="BS7" s="611">
        <f>-Data!BM474</f>
        <v>19.347008581000001</v>
      </c>
      <c r="BT7" s="612">
        <f>-Data!BN474</f>
        <v>-16.20284152</v>
      </c>
      <c r="BU7" s="612">
        <f>-Data!BO474</f>
        <v>-38.122342631000002</v>
      </c>
      <c r="BV7" s="612">
        <f>-Data!BP474</f>
        <v>10.716804222</v>
      </c>
      <c r="BW7" s="611">
        <f>-Data!BQ474</f>
        <v>1.578576209</v>
      </c>
      <c r="BX7" s="612">
        <f>-Data!BR474</f>
        <v>0.64756810499999995</v>
      </c>
      <c r="BY7" s="612">
        <f>-Data!BS474</f>
        <v>0.22053239499999999</v>
      </c>
      <c r="BZ7" s="883">
        <f>-Data!BT474</f>
        <v>11.036523655</v>
      </c>
      <c r="CA7" s="612">
        <f>-Data!BU474</f>
        <v>1.6423752410000001</v>
      </c>
      <c r="CB7" s="612">
        <f>-Data!BV474</f>
        <v>0.15086818199999999</v>
      </c>
      <c r="CC7" s="612">
        <f>-Data!BW474</f>
        <v>8.6909090999999994E-2</v>
      </c>
      <c r="CD7" s="612">
        <f>-Data!BX474</f>
        <v>5.3938814339999999</v>
      </c>
      <c r="CE7" s="612">
        <f>-Data!BY474</f>
        <v>0.36898377700000001</v>
      </c>
      <c r="CF7" s="612">
        <f>-Data!BZ474</f>
        <v>0.66587249999999998</v>
      </c>
      <c r="CG7" s="612">
        <f>-Data!CA474</f>
        <v>69.575353942999996</v>
      </c>
      <c r="CH7" s="612">
        <f>-Data!CB474</f>
        <v>43.25</v>
      </c>
      <c r="CI7" s="612">
        <f>-Data!CC474</f>
        <v>6.8394488039999999</v>
      </c>
      <c r="CJ7" s="612">
        <f>-Data!CD474</f>
        <v>33.622720672</v>
      </c>
      <c r="CK7" s="612">
        <f>-Data!CE474</f>
        <v>20.985896381</v>
      </c>
      <c r="CL7" s="612">
        <f>-Data!CF474</f>
        <v>33.415777986000002</v>
      </c>
      <c r="CM7" s="612">
        <f>-Data!CG474</f>
        <v>5.8394975770000004</v>
      </c>
      <c r="CN7" s="3388">
        <f t="shared" ref="CN7:CN67" si="6">CM7*4</f>
        <v>23.357990308000002</v>
      </c>
      <c r="CO7" s="3556">
        <f t="shared" ref="CO7:CO67" ca="1" si="7">Q7/CN7</f>
        <v>3.31287030599337</v>
      </c>
      <c r="CP7" s="3388"/>
      <c r="CQ7" s="3388"/>
      <c r="CR7" s="703" t="s">
        <v>143</v>
      </c>
      <c r="CS7" s="1862">
        <f>BW7+BX7</f>
        <v>2.2261443139999999</v>
      </c>
      <c r="CT7" s="1862">
        <f>CA7+CB7</f>
        <v>1.7932434230000001</v>
      </c>
      <c r="CU7" s="1862"/>
      <c r="CV7" s="1862"/>
      <c r="CW7" s="1862">
        <f>CI7+CJ7</f>
        <v>40.462169476</v>
      </c>
      <c r="CX7" s="1862">
        <f>CE7+CF7</f>
        <v>1.034856277</v>
      </c>
      <c r="CY7" s="174">
        <f t="shared" si="2"/>
        <v>38.099312991846496</v>
      </c>
      <c r="CZ7" s="1862">
        <f t="shared" si="3"/>
        <v>33.622720672</v>
      </c>
      <c r="DA7" s="883">
        <f t="shared" si="4"/>
        <v>0.66587249999999998</v>
      </c>
      <c r="DB7" s="3115">
        <f t="shared" ref="DB7:DB57" si="8">CZ7/DA7-1</f>
        <v>49.494232262182329</v>
      </c>
      <c r="DC7" s="612"/>
      <c r="DD7" s="328"/>
      <c r="DE7" s="1008"/>
      <c r="DF7" s="1009"/>
      <c r="DH7" s="657"/>
      <c r="DI7" s="657"/>
      <c r="DO7" s="2423" t="s">
        <v>921</v>
      </c>
      <c r="DP7" s="2415"/>
      <c r="DQ7" s="2415"/>
      <c r="DR7" s="2416"/>
      <c r="DS7" s="2415"/>
      <c r="DT7" s="2416"/>
      <c r="DU7" s="2421"/>
      <c r="DV7" s="596"/>
      <c r="DW7" s="596"/>
      <c r="DX7" s="599">
        <f>CS13</f>
        <v>7796.0096418630001</v>
      </c>
      <c r="DY7" s="599">
        <f>CT13</f>
        <v>9201.7033077310007</v>
      </c>
      <c r="DZ7" s="1041">
        <f>(DY7/DX7-1)</f>
        <v>0.18030938011155206</v>
      </c>
      <c r="EA7" s="2080"/>
      <c r="EB7" s="599" t="e">
        <f>#REF!</f>
        <v>#REF!</v>
      </c>
      <c r="EC7" s="1005" t="e">
        <f>DY7/EB7</f>
        <v>#REF!</v>
      </c>
      <c r="ED7" s="1005"/>
      <c r="EE7" s="599">
        <f t="shared" si="5"/>
        <v>7796.0096418630001</v>
      </c>
      <c r="EF7" s="599">
        <f>M13</f>
        <v>17167.278641198001</v>
      </c>
      <c r="EG7" s="1005">
        <f>EE7/EF7</f>
        <v>0.45412029505679202</v>
      </c>
      <c r="EH7" s="1005"/>
      <c r="EI7" s="599">
        <f>DE13</f>
        <v>3953.3212925530001</v>
      </c>
      <c r="EJ7" s="599">
        <f>DF13</f>
        <v>4567.8790006939998</v>
      </c>
      <c r="EK7" s="1041">
        <f>(EJ7/EI7-1)</f>
        <v>0.15545351937335883</v>
      </c>
      <c r="EL7" s="599">
        <f>K13</f>
        <v>11813.657474726999</v>
      </c>
      <c r="EN7" s="602">
        <f>(EF7/EL7-1)</f>
        <v>0.45317220157466265</v>
      </c>
      <c r="EO7" s="985" t="e">
        <f>(EB7/EF7-1)</f>
        <v>#REF!</v>
      </c>
      <c r="EP7" s="985">
        <f>EI7/EF7</f>
        <v>0.2302823513952775</v>
      </c>
      <c r="EQ7" s="12"/>
      <c r="ER7" s="60" t="s">
        <v>211</v>
      </c>
      <c r="ET7" s="74">
        <v>1471321000</v>
      </c>
      <c r="EU7" s="215" t="s">
        <v>1013</v>
      </c>
      <c r="EV7" s="10" t="s">
        <v>214</v>
      </c>
      <c r="EY7" s="249">
        <v>5070</v>
      </c>
      <c r="FA7" s="195" t="s">
        <v>785</v>
      </c>
      <c r="FB7" s="2101"/>
    </row>
    <row r="8" spans="2:158" s="28" customFormat="1">
      <c r="B8" s="940" t="s">
        <v>825</v>
      </c>
      <c r="C8" s="909">
        <f>C7/C6</f>
        <v>1.2094369832630636E-3</v>
      </c>
      <c r="D8" s="86">
        <f t="shared" ref="D8:M8" si="9">D7/D6</f>
        <v>3.2016909135603542E-3</v>
      </c>
      <c r="E8" s="86">
        <f t="shared" si="9"/>
        <v>6.9470430336061231E-3</v>
      </c>
      <c r="F8" s="86">
        <f t="shared" si="9"/>
        <v>1.9310247293572936E-2</v>
      </c>
      <c r="G8" s="86">
        <f t="shared" si="9"/>
        <v>2.2638666474687891E-2</v>
      </c>
      <c r="H8" s="86">
        <f t="shared" si="9"/>
        <v>1.477619300670383E-2</v>
      </c>
      <c r="I8" s="909">
        <f t="shared" si="9"/>
        <v>1.960065868233414E-3</v>
      </c>
      <c r="J8" s="86">
        <f t="shared" si="9"/>
        <v>2.6994125167706853E-3</v>
      </c>
      <c r="K8" s="86">
        <f t="shared" si="9"/>
        <v>3.0512177828852321E-3</v>
      </c>
      <c r="L8" s="1520">
        <f t="shared" si="9"/>
        <v>3.8657924898573845E-4</v>
      </c>
      <c r="M8" s="1520">
        <f t="shared" si="9"/>
        <v>3.0627619724517806E-4</v>
      </c>
      <c r="N8" s="1520">
        <f t="shared" ref="N8:O8" si="10">N7/N6</f>
        <v>1.3822346371612128E-4</v>
      </c>
      <c r="O8" s="1520">
        <f t="shared" si="10"/>
        <v>1.8083736945633641E-3</v>
      </c>
      <c r="P8" s="1520">
        <f t="shared" ref="P8" si="11">P7/P6</f>
        <v>1.3511340424389407E-3</v>
      </c>
      <c r="Q8" s="1791">
        <f>P8</f>
        <v>1.3511340424389407E-3</v>
      </c>
      <c r="R8" s="1791">
        <f>Q8</f>
        <v>1.3511340424389407E-3</v>
      </c>
      <c r="S8" s="3506">
        <f>R8</f>
        <v>1.3511340424389407E-3</v>
      </c>
      <c r="T8" s="1791"/>
      <c r="U8" s="2715"/>
      <c r="V8" s="1791">
        <f>N8</f>
        <v>1.3822346371612128E-4</v>
      </c>
      <c r="W8" s="1791">
        <f>O8</f>
        <v>1.8083736945633641E-3</v>
      </c>
      <c r="Z8" s="152"/>
      <c r="AA8" s="153"/>
      <c r="AB8" s="154"/>
      <c r="AC8" s="154"/>
      <c r="AD8" s="155"/>
      <c r="AE8" s="713"/>
      <c r="AF8" s="714"/>
      <c r="AG8" s="714"/>
      <c r="AH8" s="715"/>
      <c r="AI8" s="713"/>
      <c r="AJ8" s="714"/>
      <c r="AK8" s="714"/>
      <c r="AL8" s="715"/>
      <c r="AM8" s="713"/>
      <c r="AN8" s="714"/>
      <c r="AO8" s="714"/>
      <c r="AP8" s="715"/>
      <c r="AQ8" s="713"/>
      <c r="AR8" s="714"/>
      <c r="AS8" s="714"/>
      <c r="AT8" s="715"/>
      <c r="AU8" s="713"/>
      <c r="AV8" s="714"/>
      <c r="AW8" s="714"/>
      <c r="AX8" s="714"/>
      <c r="AY8" s="713"/>
      <c r="AZ8" s="714"/>
      <c r="BA8" s="714"/>
      <c r="BB8" s="714"/>
      <c r="BC8" s="716" t="e">
        <f>BC7/BC6</f>
        <v>#REF!</v>
      </c>
      <c r="BD8" s="717" t="e">
        <f>BD7/BD6</f>
        <v>#REF!</v>
      </c>
      <c r="BE8" s="717" t="e">
        <f>BE7/BE6</f>
        <v>#REF!</v>
      </c>
      <c r="BF8" s="717" t="e">
        <f>BF7/BF6</f>
        <v>#REF!</v>
      </c>
      <c r="BG8" s="716">
        <f>BG7/BG6</f>
        <v>1.3026643620464907E-3</v>
      </c>
      <c r="BH8" s="717">
        <f t="shared" ref="BH8:CB8" si="12">BH7/BH6</f>
        <v>9.2832273230196091E-4</v>
      </c>
      <c r="BI8" s="717">
        <f t="shared" si="12"/>
        <v>1.929753038263531E-3</v>
      </c>
      <c r="BJ8" s="717">
        <f t="shared" si="12"/>
        <v>3.2451892507044194E-3</v>
      </c>
      <c r="BK8" s="716">
        <f t="shared" si="12"/>
        <v>9.9552566061068023E-4</v>
      </c>
      <c r="BL8" s="717">
        <f t="shared" si="12"/>
        <v>1.2090488567661241E-3</v>
      </c>
      <c r="BM8" s="717">
        <f t="shared" si="12"/>
        <v>4.8230357604858616E-3</v>
      </c>
      <c r="BN8" s="717">
        <f t="shared" si="12"/>
        <v>3.2750870358542426E-3</v>
      </c>
      <c r="BO8" s="716">
        <f t="shared" si="12"/>
        <v>2.174481429618015E-3</v>
      </c>
      <c r="BP8" s="717">
        <f t="shared" si="12"/>
        <v>2.466820160792776E-3</v>
      </c>
      <c r="BQ8" s="717">
        <f t="shared" si="12"/>
        <v>3.3729490987694437E-3</v>
      </c>
      <c r="BR8" s="717">
        <f t="shared" si="12"/>
        <v>3.9105489220709775E-3</v>
      </c>
      <c r="BS8" s="716">
        <f t="shared" si="12"/>
        <v>2.5437596792828652E-3</v>
      </c>
      <c r="BT8" s="717">
        <f t="shared" si="12"/>
        <v>-1.8784804560136698E-3</v>
      </c>
      <c r="BU8" s="717">
        <f t="shared" si="12"/>
        <v>-4.388410832610626E-3</v>
      </c>
      <c r="BV8" s="717">
        <f t="shared" si="12"/>
        <v>1.0001896246056416E-3</v>
      </c>
      <c r="BW8" s="716">
        <f t="shared" si="12"/>
        <v>1.6220750016805935E-4</v>
      </c>
      <c r="BX8" s="717">
        <f t="shared" si="12"/>
        <v>6.413656083413152E-5</v>
      </c>
      <c r="BY8" s="717">
        <f t="shared" si="12"/>
        <v>1.9780855290626158E-5</v>
      </c>
      <c r="BZ8" s="884">
        <f t="shared" si="12"/>
        <v>8.4548627659374541E-4</v>
      </c>
      <c r="CA8" s="717">
        <f t="shared" si="12"/>
        <v>1.4057795536397762E-4</v>
      </c>
      <c r="CB8" s="717">
        <f t="shared" si="12"/>
        <v>1.2084424616555502E-5</v>
      </c>
      <c r="CC8" s="717">
        <f t="shared" ref="CC8:CH8" si="13">CC7/CC6</f>
        <v>6.3152269063144704E-6</v>
      </c>
      <c r="CD8" s="717">
        <f t="shared" si="13"/>
        <v>3.6703541264585784E-4</v>
      </c>
      <c r="CE8" s="717">
        <f t="shared" si="13"/>
        <v>2.6181507889422819E-5</v>
      </c>
      <c r="CF8" s="717">
        <f t="shared" si="13"/>
        <v>4.3675534852190651E-5</v>
      </c>
      <c r="CG8" s="717">
        <f t="shared" si="13"/>
        <v>4.3559744751766796E-3</v>
      </c>
      <c r="CH8" s="717">
        <f t="shared" si="13"/>
        <v>2.4502763855109065E-3</v>
      </c>
      <c r="CI8" s="717">
        <f t="shared" ref="CI8:CJ8" si="14">CI7/CI6</f>
        <v>4.2573651740771711E-4</v>
      </c>
      <c r="CJ8" s="717">
        <f t="shared" si="14"/>
        <v>2.0183721324217338E-3</v>
      </c>
      <c r="CK8" s="717">
        <f t="shared" ref="CK8:CL8" si="15">CK7/CK6</f>
        <v>1.2183035444328675E-3</v>
      </c>
      <c r="CL8" s="717">
        <f t="shared" si="15"/>
        <v>1.6494397331462212E-3</v>
      </c>
      <c r="CM8" s="717">
        <f t="shared" ref="CM8" si="16">CM7/CM6</f>
        <v>4.676897283915795E-4</v>
      </c>
      <c r="CN8" s="3388">
        <f t="shared" si="6"/>
        <v>1.870758913566318E-3</v>
      </c>
      <c r="CO8" s="3556">
        <f t="shared" si="7"/>
        <v>0.72223846303274253</v>
      </c>
      <c r="CP8" s="3388"/>
      <c r="CQ8" s="3388"/>
      <c r="CR8" s="940" t="s">
        <v>825</v>
      </c>
      <c r="CS8" s="1034">
        <f>CS7/CS6</f>
        <v>1.1226970342022892E-4</v>
      </c>
      <c r="CT8" s="1034">
        <f>CT7/CT6</f>
        <v>7.4200505750400219E-5</v>
      </c>
      <c r="CU8" s="1034"/>
      <c r="CV8" s="1034"/>
      <c r="CW8" s="1034">
        <f>CW7/CW6</f>
        <v>1.2364935536499197E-3</v>
      </c>
      <c r="CX8" s="1034">
        <f t="shared" ref="CX8" si="17">CX7/CX6</f>
        <v>3.5272149233690357E-5</v>
      </c>
      <c r="CY8" s="174">
        <f t="shared" si="2"/>
        <v>34.055804097950379</v>
      </c>
      <c r="CZ8" s="1862">
        <f t="shared" si="3"/>
        <v>2.0183721324217338E-3</v>
      </c>
      <c r="DA8" s="883">
        <f t="shared" si="4"/>
        <v>4.3675534852190651E-5</v>
      </c>
      <c r="DB8" s="3115">
        <f t="shared" si="8"/>
        <v>45.212877283642413</v>
      </c>
      <c r="DC8" s="717"/>
      <c r="DD8" s="718"/>
      <c r="DE8" s="1010"/>
      <c r="DF8" s="1011"/>
      <c r="DG8" s="92"/>
      <c r="DH8" s="719"/>
      <c r="DI8" s="719"/>
      <c r="DJ8" s="93"/>
      <c r="DK8" s="93"/>
      <c r="DL8" s="93"/>
      <c r="DM8" s="93"/>
      <c r="DN8" s="93"/>
      <c r="DO8" s="2426" t="s">
        <v>854</v>
      </c>
      <c r="DP8" s="2409">
        <f>5435</f>
        <v>5435</v>
      </c>
      <c r="DQ8" s="2409">
        <f>6999</f>
        <v>6999</v>
      </c>
      <c r="DR8" s="2416">
        <f t="shared" ref="DR8:DR13" si="18">DQ8/DP8-1</f>
        <v>0.28776448942042321</v>
      </c>
      <c r="DS8" s="2409"/>
      <c r="DT8" s="2416"/>
      <c r="DU8" s="2424"/>
      <c r="DV8" s="604"/>
      <c r="DW8" s="604"/>
      <c r="DX8" s="600">
        <f>DX7/DX5</f>
        <v>0.39321528284502949</v>
      </c>
      <c r="DY8" s="600">
        <f>DY7/DY5</f>
        <v>0.38077468800765973</v>
      </c>
      <c r="DZ8" s="1041"/>
      <c r="EA8" s="2080"/>
      <c r="EB8" s="600" t="e">
        <f>EB7/EB5</f>
        <v>#REF!</v>
      </c>
      <c r="EC8" s="1005"/>
      <c r="ED8" s="1005"/>
      <c r="EE8" s="1876">
        <f t="shared" si="5"/>
        <v>0.39321528284502949</v>
      </c>
      <c r="EF8" s="600">
        <f>EF7/EF5</f>
        <v>0.39008095623448957</v>
      </c>
      <c r="EG8" s="1005"/>
      <c r="EH8" s="1005"/>
      <c r="EI8" s="600">
        <f>EI7/EI5</f>
        <v>0.40629169143741201</v>
      </c>
      <c r="EJ8" s="600">
        <f>EJ7/EJ5</f>
        <v>0.39103936669866807</v>
      </c>
      <c r="EK8" s="1041"/>
      <c r="EL8" s="600">
        <f>EL7/EL5</f>
        <v>0.39602745072443657</v>
      </c>
      <c r="EN8" s="602"/>
      <c r="EO8" s="985"/>
      <c r="EP8" s="985"/>
      <c r="EQ8" s="319"/>
      <c r="ER8" s="118" t="s">
        <v>212</v>
      </c>
      <c r="ET8" s="30">
        <f ca="1">ET7*ET6/10^9</f>
        <v>156943.02638456179</v>
      </c>
      <c r="EU8" s="29">
        <f ca="1">ET8/ET10</f>
        <v>6.588708076597892</v>
      </c>
      <c r="EV8" s="327" t="s">
        <v>216</v>
      </c>
      <c r="EW8" s="10"/>
      <c r="EX8" s="10"/>
      <c r="EY8" s="74">
        <v>23728</v>
      </c>
      <c r="EZ8" s="29"/>
      <c r="FA8" s="215">
        <f>(EY8+EY9)/EY10</f>
        <v>0.38241492909905672</v>
      </c>
      <c r="FB8" s="2150"/>
    </row>
    <row r="9" spans="2:158">
      <c r="B9" s="1607" t="s">
        <v>140</v>
      </c>
      <c r="C9" s="1608">
        <f>C6-C7</f>
        <v>24594.30379441</v>
      </c>
      <c r="D9" s="1609">
        <f t="shared" ref="D9:M9" si="19">D6-D7</f>
        <v>27027.888726306999</v>
      </c>
      <c r="E9" s="1609">
        <f t="shared" si="19"/>
        <v>32644.656358894998</v>
      </c>
      <c r="F9" s="1609">
        <f t="shared" si="19"/>
        <v>37959.698756022</v>
      </c>
      <c r="G9" s="1609">
        <f t="shared" si="19"/>
        <v>39531.468663944004</v>
      </c>
      <c r="H9" s="1609">
        <f t="shared" si="19"/>
        <v>42658.610841353999</v>
      </c>
      <c r="I9" s="1608">
        <f t="shared" si="19"/>
        <v>23213.536857725001</v>
      </c>
      <c r="J9" s="1609">
        <f t="shared" si="19"/>
        <v>27716.960152274998</v>
      </c>
      <c r="K9" s="1609">
        <f t="shared" si="19"/>
        <v>29830.400526824</v>
      </c>
      <c r="L9" s="1609">
        <f t="shared" si="19"/>
        <v>35657.262545026999</v>
      </c>
      <c r="M9" s="1609">
        <f t="shared" si="19"/>
        <v>44009.527680911</v>
      </c>
      <c r="N9" s="1609">
        <f t="shared" ref="N9:O9" si="20">N6-N7</f>
        <v>52617.900827384998</v>
      </c>
      <c r="O9" s="1609">
        <f t="shared" si="20"/>
        <v>62848.79</v>
      </c>
      <c r="P9" s="1610">
        <f>P6</f>
        <v>70207.69</v>
      </c>
      <c r="Q9" s="1610">
        <f ca="1">Revenue!J2</f>
        <v>57194.606680421704</v>
      </c>
      <c r="R9" s="1610">
        <f ca="1">Revenue!K2</f>
        <v>65945.020200000014</v>
      </c>
      <c r="S9" s="3507">
        <f ca="1">Revenue!L2</f>
        <v>76536.739860000016</v>
      </c>
      <c r="T9" s="2745"/>
      <c r="U9" s="2745"/>
      <c r="V9" s="1610">
        <f>Revenue!O3</f>
        <v>55744.610000000008</v>
      </c>
      <c r="W9" s="1610">
        <f ca="1">Revenue!N3</f>
        <v>66308.23</v>
      </c>
      <c r="Z9" s="41"/>
      <c r="AA9" s="68"/>
      <c r="AB9" s="13"/>
      <c r="AC9" s="13"/>
      <c r="AD9" s="69"/>
      <c r="AE9" s="68"/>
      <c r="AF9" s="13"/>
      <c r="AG9" s="94"/>
      <c r="AH9" s="95"/>
      <c r="AI9" s="96"/>
      <c r="AJ9" s="94"/>
      <c r="AK9" s="94"/>
      <c r="AL9" s="95"/>
      <c r="AM9" s="96"/>
      <c r="AN9" s="94"/>
      <c r="AO9" s="94"/>
      <c r="AP9" s="95"/>
      <c r="AQ9" s="96"/>
      <c r="AR9" s="94"/>
      <c r="AS9" s="94"/>
      <c r="AT9" s="94"/>
      <c r="AU9" s="96"/>
      <c r="AV9" s="94"/>
      <c r="AW9" s="94"/>
      <c r="AX9" s="94"/>
      <c r="AY9" s="96"/>
      <c r="AZ9" s="94"/>
      <c r="BA9" s="94"/>
      <c r="BB9" s="94"/>
      <c r="BC9" s="615" t="e">
        <f>BC6-BC7</f>
        <v>#REF!</v>
      </c>
      <c r="BD9" s="616" t="e">
        <f>BD6-BD7</f>
        <v>#REF!</v>
      </c>
      <c r="BE9" s="616" t="e">
        <f>BE6-BE7</f>
        <v>#REF!</v>
      </c>
      <c r="BF9" s="616" t="e">
        <f>BF6-BF7</f>
        <v>#REF!</v>
      </c>
      <c r="BG9" s="615">
        <f>BG6-BG7</f>
        <v>4750.7686116169998</v>
      </c>
      <c r="BH9" s="616">
        <f t="shared" ref="BH9:CB9" si="21">BH6-BH7</f>
        <v>5474.2627241</v>
      </c>
      <c r="BI9" s="616">
        <f t="shared" si="21"/>
        <v>6036.0589334349997</v>
      </c>
      <c r="BJ9" s="616">
        <f t="shared" si="21"/>
        <v>6952.4465885729996</v>
      </c>
      <c r="BK9" s="615">
        <f t="shared" si="21"/>
        <v>5666.4796160639999</v>
      </c>
      <c r="BL9" s="616">
        <f t="shared" si="21"/>
        <v>6825.9185245980007</v>
      </c>
      <c r="BM9" s="616">
        <f t="shared" si="21"/>
        <v>7104.374137543</v>
      </c>
      <c r="BN9" s="616">
        <f t="shared" si="21"/>
        <v>8120.1878741959999</v>
      </c>
      <c r="BO9" s="615">
        <f t="shared" si="21"/>
        <v>6630.5649114379994</v>
      </c>
      <c r="BP9" s="616">
        <f t="shared" si="21"/>
        <v>6980.0024983370004</v>
      </c>
      <c r="BQ9" s="616">
        <f t="shared" si="21"/>
        <v>7553.1285040719995</v>
      </c>
      <c r="BR9" s="616">
        <f t="shared" si="21"/>
        <v>8666.7046129769988</v>
      </c>
      <c r="BS9" s="615">
        <f t="shared" si="21"/>
        <v>7586.3276699539992</v>
      </c>
      <c r="BT9" s="616">
        <f t="shared" si="21"/>
        <v>8641.7072848210009</v>
      </c>
      <c r="BU9" s="616">
        <f t="shared" si="21"/>
        <v>8725.1719569720008</v>
      </c>
      <c r="BV9" s="616">
        <f t="shared" si="21"/>
        <v>10704.055633280001</v>
      </c>
      <c r="BW9" s="615">
        <f t="shared" si="21"/>
        <v>9730.2538443909998</v>
      </c>
      <c r="BX9" s="616">
        <f t="shared" si="21"/>
        <v>10096.060090959001</v>
      </c>
      <c r="BY9" s="616">
        <f t="shared" si="21"/>
        <v>11148.559020352999</v>
      </c>
      <c r="BZ9" s="885">
        <f t="shared" si="21"/>
        <v>13042.426271109</v>
      </c>
      <c r="CA9" s="616">
        <f t="shared" si="21"/>
        <v>11681.378883303001</v>
      </c>
      <c r="CB9" s="616">
        <f t="shared" si="21"/>
        <v>12484.364264902</v>
      </c>
      <c r="CC9" s="616">
        <f t="shared" ref="CC9:CH9" si="22">CC6-CC7</f>
        <v>13761.744975857</v>
      </c>
      <c r="CD9" s="616">
        <f t="shared" si="22"/>
        <v>14690.412703323</v>
      </c>
      <c r="CE9" s="616">
        <f t="shared" si="22"/>
        <v>14092.928413699001</v>
      </c>
      <c r="CF9" s="616">
        <f t="shared" si="22"/>
        <v>15245.226416020001</v>
      </c>
      <c r="CG9" s="616">
        <f t="shared" si="22"/>
        <v>15902.821715757</v>
      </c>
      <c r="CH9" s="616">
        <f t="shared" si="22"/>
        <v>17607.82</v>
      </c>
      <c r="CI9" s="616">
        <f t="shared" ref="CI9:CJ9" si="23">CI6-CI7</f>
        <v>16058.140942460001</v>
      </c>
      <c r="CJ9" s="616">
        <f t="shared" si="23"/>
        <v>16624.713040066999</v>
      </c>
      <c r="CK9" s="616">
        <f t="shared" ref="CK9:CL9" si="24">CK6-CK7</f>
        <v>17204.521225302</v>
      </c>
      <c r="CL9" s="616">
        <f t="shared" si="24"/>
        <v>20225.449892880999</v>
      </c>
      <c r="CM9" s="616">
        <f t="shared" ref="CM9" si="25">CM6-CM7</f>
        <v>12479.997206774999</v>
      </c>
      <c r="CN9" s="3388">
        <f t="shared" si="6"/>
        <v>49919.988827099995</v>
      </c>
      <c r="CO9" s="3556">
        <f t="shared" ca="1" si="7"/>
        <v>1.1457255505107915</v>
      </c>
      <c r="CP9" s="3388"/>
      <c r="CQ9" s="3388"/>
      <c r="CR9" s="1607" t="s">
        <v>140</v>
      </c>
      <c r="CS9" s="1862">
        <f>BW9+BX9</f>
        <v>19826.313935350001</v>
      </c>
      <c r="CT9" s="1863">
        <f>CA9+CB9</f>
        <v>24165.743148205001</v>
      </c>
      <c r="CU9" s="1862">
        <f>CK9+CJ9+CI9</f>
        <v>49887.375207828998</v>
      </c>
      <c r="CV9" s="1862">
        <f>CG9+CF9+CE9</f>
        <v>45240.976545476005</v>
      </c>
      <c r="CW9" s="1863">
        <f>CI9+CJ9</f>
        <v>32682.853982526998</v>
      </c>
      <c r="CX9" s="1863">
        <f>CE9+CF9</f>
        <v>29338.154829719002</v>
      </c>
      <c r="CY9" s="174">
        <f t="shared" si="2"/>
        <v>0.11400509582899465</v>
      </c>
      <c r="CZ9" s="1862">
        <f t="shared" si="3"/>
        <v>16624.713040066999</v>
      </c>
      <c r="DA9" s="883">
        <f t="shared" si="4"/>
        <v>15245.226416020001</v>
      </c>
      <c r="DB9" s="3115">
        <f t="shared" si="8"/>
        <v>9.0486463526537442E-2</v>
      </c>
      <c r="DC9" s="616"/>
      <c r="DD9" s="174">
        <f>CT9/CS9-1</f>
        <v>0.21887221331232265</v>
      </c>
      <c r="DE9" s="1006">
        <f>SUM(BW9)</f>
        <v>9730.2538443909998</v>
      </c>
      <c r="DF9" s="1007">
        <f>SUM(CA9)</f>
        <v>11681.378883303001</v>
      </c>
      <c r="DG9" s="43">
        <f>DF9/DE9-1</f>
        <v>0.20052149410641795</v>
      </c>
      <c r="DH9" s="861">
        <v>42420</v>
      </c>
      <c r="DI9" s="861">
        <v>52289</v>
      </c>
      <c r="DJ9" s="44">
        <f>DF9/DI9</f>
        <v>0.22340031140972291</v>
      </c>
      <c r="DO9" s="2426" t="s">
        <v>855</v>
      </c>
      <c r="DP9" s="2409">
        <v>1407</v>
      </c>
      <c r="DQ9" s="2409">
        <f>1472</f>
        <v>1472</v>
      </c>
      <c r="DR9" s="2416">
        <f t="shared" si="18"/>
        <v>4.6197583511016438E-2</v>
      </c>
      <c r="DS9" s="2409"/>
      <c r="DT9" s="2416"/>
      <c r="DU9" s="2419"/>
      <c r="DV9" s="596"/>
      <c r="DW9" s="596"/>
      <c r="DX9" s="599">
        <f>CS17</f>
        <v>2020.9155539000001</v>
      </c>
      <c r="DY9" s="599">
        <f>CT17</f>
        <v>2340.168068255</v>
      </c>
      <c r="DZ9" s="1041">
        <f>(DY9/DX9-1)</f>
        <v>0.15797419824836356</v>
      </c>
      <c r="EA9" s="2080"/>
      <c r="EB9" s="983" t="e">
        <f>#REF!</f>
        <v>#REF!</v>
      </c>
      <c r="EC9" s="1005" t="e">
        <f>DY9/EB9</f>
        <v>#REF!</v>
      </c>
      <c r="ED9" s="1005"/>
      <c r="EE9" s="2086">
        <f t="shared" si="5"/>
        <v>2020.9155539000001</v>
      </c>
      <c r="EF9" s="2087">
        <f>M17</f>
        <v>4526.4406918149998</v>
      </c>
      <c r="EG9" s="1005">
        <f>EE9/EF9</f>
        <v>0.44646902312325643</v>
      </c>
      <c r="EH9" s="1005"/>
      <c r="EI9" s="599">
        <f>DE17</f>
        <v>1007.092497146</v>
      </c>
      <c r="EJ9" s="599">
        <f>DF17</f>
        <v>1101.871534159</v>
      </c>
      <c r="EK9" s="1041">
        <f>(EJ9/EI9-1)</f>
        <v>9.4111551105379387E-2</v>
      </c>
      <c r="EL9" s="983">
        <f>K17</f>
        <v>2713.561338553</v>
      </c>
      <c r="EN9" s="602">
        <f>IFERROR((EF9/EL9-1)*100,0)</f>
        <v>66.808121397716903</v>
      </c>
      <c r="EO9" s="985">
        <f>IFERROR((EB9/EF9-1),0)</f>
        <v>0</v>
      </c>
      <c r="EP9" s="985">
        <f>EI9/EF9</f>
        <v>0.22249104002778369</v>
      </c>
      <c r="EQ9" s="317"/>
      <c r="ER9" s="60" t="s">
        <v>217</v>
      </c>
      <c r="ET9" s="74">
        <f ca="1">ET8+EY6+EY7-EY8-EY9</f>
        <v>140439.02638456179</v>
      </c>
      <c r="EV9" s="327" t="s">
        <v>215</v>
      </c>
      <c r="EY9" s="249">
        <v>13650</v>
      </c>
      <c r="FA9" s="110">
        <f>EY9+EY8</f>
        <v>37378</v>
      </c>
      <c r="FB9" s="2101"/>
    </row>
    <row r="10" spans="2:158" s="28" customFormat="1">
      <c r="B10" s="940" t="s">
        <v>14</v>
      </c>
      <c r="C10" s="720" t="e">
        <f>C9/B9-1</f>
        <v>#VALUE!</v>
      </c>
      <c r="D10" s="709">
        <f t="shared" ref="D10:P10" si="26">D9/C9-1</f>
        <v>9.8949128718582635E-2</v>
      </c>
      <c r="E10" s="709">
        <f t="shared" si="26"/>
        <v>0.20781377670543089</v>
      </c>
      <c r="F10" s="709">
        <f t="shared" si="26"/>
        <v>0.16281508185270765</v>
      </c>
      <c r="G10" s="709">
        <f t="shared" si="26"/>
        <v>4.1406279802804091E-2</v>
      </c>
      <c r="H10" s="709">
        <f t="shared" si="26"/>
        <v>7.9105135303566554E-2</v>
      </c>
      <c r="I10" s="720">
        <f t="shared" si="26"/>
        <v>-0.45582998602426605</v>
      </c>
      <c r="J10" s="709">
        <f t="shared" si="26"/>
        <v>0.19399987697485854</v>
      </c>
      <c r="K10" s="709">
        <f t="shared" si="26"/>
        <v>7.6250799616477183E-2</v>
      </c>
      <c r="L10" s="709">
        <f t="shared" si="26"/>
        <v>0.19533301314420459</v>
      </c>
      <c r="M10" s="709">
        <f t="shared" si="26"/>
        <v>0.23423741868397752</v>
      </c>
      <c r="N10" s="709">
        <f t="shared" si="26"/>
        <v>0.19560248882670583</v>
      </c>
      <c r="O10" s="709">
        <f t="shared" si="26"/>
        <v>0.19443742550995746</v>
      </c>
      <c r="P10" s="709">
        <f t="shared" si="26"/>
        <v>0.11708896861817064</v>
      </c>
      <c r="Q10" s="709">
        <f ca="1">Q9/P9-1</f>
        <v>-0.18535125311170753</v>
      </c>
      <c r="R10" s="709">
        <f ca="1">R9/Q9-1</f>
        <v>0.15299368292663984</v>
      </c>
      <c r="S10" s="3508">
        <f ca="1">S9/R9-1</f>
        <v>0.16061439708225311</v>
      </c>
      <c r="T10" s="2716"/>
      <c r="U10" s="2716"/>
      <c r="V10" s="709">
        <f>V9/N9-1</f>
        <v>5.9422917361760641E-2</v>
      </c>
      <c r="W10" s="3239">
        <f ca="1">W9/O9-1</f>
        <v>5.5043860032945702E-2</v>
      </c>
      <c r="Z10" s="99"/>
      <c r="AA10" s="87"/>
      <c r="AB10" s="88"/>
      <c r="AC10" s="88"/>
      <c r="AD10" s="89"/>
      <c r="AE10" s="87"/>
      <c r="AF10" s="88"/>
      <c r="AG10" s="88"/>
      <c r="AH10" s="89"/>
      <c r="AI10" s="87"/>
      <c r="AJ10" s="88"/>
      <c r="AK10" s="88"/>
      <c r="AL10" s="89"/>
      <c r="AM10" s="87"/>
      <c r="AN10" s="88"/>
      <c r="AO10" s="88"/>
      <c r="AP10" s="89"/>
      <c r="AQ10" s="87"/>
      <c r="AR10" s="88"/>
      <c r="AS10" s="88"/>
      <c r="AT10" s="89"/>
      <c r="AU10" s="87"/>
      <c r="AV10" s="88"/>
      <c r="AW10" s="88"/>
      <c r="AX10" s="88"/>
      <c r="AY10" s="87"/>
      <c r="AZ10" s="88"/>
      <c r="BA10" s="88"/>
      <c r="BB10" s="88"/>
      <c r="BC10" s="613"/>
      <c r="BD10" s="614"/>
      <c r="BE10" s="614"/>
      <c r="BF10" s="614"/>
      <c r="BG10" s="613"/>
      <c r="BH10" s="614"/>
      <c r="BI10" s="614"/>
      <c r="BJ10" s="614"/>
      <c r="BK10" s="716">
        <f>BK9/BG9-1</f>
        <v>0.19275007463167593</v>
      </c>
      <c r="BL10" s="717">
        <f t="shared" ref="BL10:BZ10" si="27">BL9/BH9-1</f>
        <v>0.2469110213778094</v>
      </c>
      <c r="BM10" s="717">
        <f t="shared" si="27"/>
        <v>0.17698886241656409</v>
      </c>
      <c r="BN10" s="717">
        <f t="shared" si="27"/>
        <v>0.16796120196626796</v>
      </c>
      <c r="BO10" s="716">
        <f t="shared" si="27"/>
        <v>0.17013831526736589</v>
      </c>
      <c r="BP10" s="717">
        <f t="shared" si="27"/>
        <v>2.2573368431477725E-2</v>
      </c>
      <c r="BQ10" s="717">
        <f t="shared" si="27"/>
        <v>6.3165925363863007E-2</v>
      </c>
      <c r="BR10" s="717">
        <f t="shared" si="27"/>
        <v>6.7303459876550065E-2</v>
      </c>
      <c r="BS10" s="716">
        <f t="shared" si="27"/>
        <v>0.14414499688665594</v>
      </c>
      <c r="BT10" s="717">
        <f t="shared" si="27"/>
        <v>0.23806650311083777</v>
      </c>
      <c r="BU10" s="717">
        <f t="shared" si="27"/>
        <v>0.15517324407603228</v>
      </c>
      <c r="BV10" s="717">
        <f t="shared" si="27"/>
        <v>0.23507793461108561</v>
      </c>
      <c r="BW10" s="716">
        <f t="shared" si="27"/>
        <v>0.28260395117496961</v>
      </c>
      <c r="BX10" s="717">
        <f t="shared" si="27"/>
        <v>0.16829461565917003</v>
      </c>
      <c r="BY10" s="717">
        <f t="shared" si="27"/>
        <v>0.27774662497563152</v>
      </c>
      <c r="BZ10" s="884">
        <f t="shared" si="27"/>
        <v>0.21845651012488809</v>
      </c>
      <c r="CA10" s="717">
        <f>CA9/BW9-1</f>
        <v>0.20052149410641795</v>
      </c>
      <c r="CB10" s="717">
        <f>CB9/BX9-1</f>
        <v>0.23655803872262204</v>
      </c>
      <c r="CC10" s="717">
        <f>CC9/BY9-1</f>
        <v>0.23439674586942805</v>
      </c>
      <c r="CD10" s="717">
        <f>CD9/CA9-1</f>
        <v>0.25759234847874146</v>
      </c>
      <c r="CE10" s="717">
        <f t="shared" ref="CE10:CM10" si="28">CE9/CA9-1</f>
        <v>0.20644390996023532</v>
      </c>
      <c r="CF10" s="717">
        <f t="shared" si="28"/>
        <v>0.2211455940035143</v>
      </c>
      <c r="CG10" s="717">
        <f t="shared" si="28"/>
        <v>0.15558177714063226</v>
      </c>
      <c r="CH10" s="717">
        <f t="shared" si="28"/>
        <v>0.19859260291694025</v>
      </c>
      <c r="CI10" s="717">
        <f t="shared" si="28"/>
        <v>0.13944671193041169</v>
      </c>
      <c r="CJ10" s="717">
        <f t="shared" si="28"/>
        <v>9.0486463526537442E-2</v>
      </c>
      <c r="CK10" s="717">
        <f t="shared" si="28"/>
        <v>8.1853367459640003E-2</v>
      </c>
      <c r="CL10" s="717">
        <f t="shared" si="28"/>
        <v>0.14866291754919114</v>
      </c>
      <c r="CM10" s="717">
        <f t="shared" si="28"/>
        <v>-0.22282428261816301</v>
      </c>
      <c r="CN10" s="3388">
        <f t="shared" si="6"/>
        <v>-0.89129713047265202</v>
      </c>
      <c r="CO10" s="3556">
        <f t="shared" ca="1" si="7"/>
        <v>0.20795674840040868</v>
      </c>
      <c r="CP10" s="3388"/>
      <c r="CQ10" s="3388"/>
      <c r="CR10" s="940" t="s">
        <v>14</v>
      </c>
      <c r="CS10" s="1034"/>
      <c r="CT10" s="1034"/>
      <c r="CU10" s="1862"/>
      <c r="CV10" s="1862"/>
      <c r="CW10" s="1034"/>
      <c r="CX10" s="1034"/>
      <c r="CY10" s="174" t="e">
        <f t="shared" si="2"/>
        <v>#DIV/0!</v>
      </c>
      <c r="CZ10" s="1862">
        <f t="shared" si="3"/>
        <v>9.0486463526537442E-2</v>
      </c>
      <c r="DA10" s="883">
        <f t="shared" si="4"/>
        <v>0.2211455940035143</v>
      </c>
      <c r="DB10" s="3115">
        <f t="shared" si="8"/>
        <v>-0.59082854924480444</v>
      </c>
      <c r="DC10" s="717"/>
      <c r="DD10" s="91"/>
      <c r="DE10" s="1012"/>
      <c r="DF10" s="1013"/>
      <c r="DG10" s="83"/>
      <c r="DH10" s="658"/>
      <c r="DI10" s="658"/>
      <c r="DJ10" s="84"/>
      <c r="DK10" s="84"/>
      <c r="DL10" s="84"/>
      <c r="DM10" s="84"/>
      <c r="DN10" s="84"/>
      <c r="DO10" s="2423" t="s">
        <v>897</v>
      </c>
      <c r="DP10" s="2409">
        <f>3695+95</f>
        <v>3790</v>
      </c>
      <c r="DQ10" s="2425">
        <f>3885+127</f>
        <v>4012</v>
      </c>
      <c r="DR10" s="2416">
        <f t="shared" si="18"/>
        <v>5.8575197889181974E-2</v>
      </c>
      <c r="DS10" s="2425"/>
      <c r="DT10" s="2416"/>
      <c r="DU10" s="2421"/>
      <c r="DV10" s="596"/>
      <c r="DW10" s="596"/>
      <c r="DX10" s="599">
        <f>CS20</f>
        <v>2778.7324517329998</v>
      </c>
      <c r="DY10" s="599">
        <f>CT20</f>
        <v>3068.0512225749999</v>
      </c>
      <c r="DZ10" s="1041">
        <f>(DY10/DX10-1)</f>
        <v>0.10411897362107014</v>
      </c>
      <c r="EA10" s="2080"/>
      <c r="EB10" s="599" t="e">
        <f>#REF!</f>
        <v>#REF!</v>
      </c>
      <c r="EC10" s="1005" t="e">
        <f>DY10/EB10</f>
        <v>#REF!</v>
      </c>
      <c r="ED10" s="1005"/>
      <c r="EE10" s="2088">
        <f t="shared" si="5"/>
        <v>2778.7324517329998</v>
      </c>
      <c r="EF10" s="2089">
        <f>M20</f>
        <v>5846.2806535139998</v>
      </c>
      <c r="EG10" s="1005">
        <f>EE10/EF10</f>
        <v>0.47529918873511462</v>
      </c>
      <c r="EH10" s="1005"/>
      <c r="EI10" s="599">
        <f>DE20</f>
        <v>1530.5722349919999</v>
      </c>
      <c r="EJ10" s="599">
        <f>DF20</f>
        <v>1592.4924646300001</v>
      </c>
      <c r="EK10" s="1041">
        <f>(EJ10/EI10-1)</f>
        <v>4.0455607531861393E-2</v>
      </c>
      <c r="EL10" s="599">
        <f>K20</f>
        <v>4495.3664575860003</v>
      </c>
      <c r="EN10" s="602">
        <f>(EF10/EL10-1)</f>
        <v>0.30051258527506941</v>
      </c>
      <c r="EO10" s="985" t="e">
        <f>(EB10/EF10-1)</f>
        <v>#REF!</v>
      </c>
      <c r="EP10" s="985">
        <f>EI10/EF10</f>
        <v>0.26180272992402875</v>
      </c>
      <c r="EQ10" s="318"/>
      <c r="ER10" s="118" t="s">
        <v>169</v>
      </c>
      <c r="ET10" s="30">
        <v>23820</v>
      </c>
      <c r="EV10" s="10" t="s">
        <v>43</v>
      </c>
      <c r="EW10" s="10"/>
      <c r="EX10" s="10"/>
      <c r="EY10" s="249">
        <v>97742</v>
      </c>
      <c r="EZ10" s="2151"/>
      <c r="FA10" s="669"/>
      <c r="FB10" s="2150"/>
    </row>
    <row r="11" spans="2:158" s="16" customFormat="1">
      <c r="B11" s="939" t="s">
        <v>147</v>
      </c>
      <c r="C11" s="911">
        <f>-Data!L336</f>
        <v>19902.158833280999</v>
      </c>
      <c r="D11" s="686">
        <f>-Data!M336</f>
        <v>21488.735997741001</v>
      </c>
      <c r="E11" s="686">
        <f>-Data!N336</f>
        <v>26456.135040231002</v>
      </c>
      <c r="F11" s="686">
        <f>-Data!O336</f>
        <v>30465.878878610001</v>
      </c>
      <c r="G11" s="686">
        <f>-Data!P336</f>
        <v>31093.333588720001</v>
      </c>
      <c r="H11" s="686">
        <f>-Data!Q336</f>
        <v>32976.206156753004</v>
      </c>
      <c r="I11" s="911">
        <f>-Data!R336</f>
        <v>14490.657872235999</v>
      </c>
      <c r="J11" s="686">
        <f>-Data!S336</f>
        <v>17004.910529153</v>
      </c>
      <c r="K11" s="686">
        <f>-Data!T336</f>
        <v>18016.743052097001</v>
      </c>
      <c r="L11" s="686">
        <f>-Data!U336</f>
        <v>22025.298308248999</v>
      </c>
      <c r="M11" s="686">
        <f>-Data!V336</f>
        <v>26842.249039712999</v>
      </c>
      <c r="N11" s="686">
        <f>-Data!W336</f>
        <v>32298.347382702999</v>
      </c>
      <c r="O11" s="686">
        <f>-Data!X336</f>
        <v>39150.449999999997</v>
      </c>
      <c r="P11" s="686">
        <f>-Data!Y336</f>
        <v>44217.42</v>
      </c>
      <c r="Q11" s="1199">
        <f ca="1">Revenue!J5</f>
        <v>37370.88195262997</v>
      </c>
      <c r="R11" s="1199">
        <f ca="1">Revenue!K5</f>
        <v>43668.412058185721</v>
      </c>
      <c r="S11" s="3509">
        <f ca="1">Revenue!L5</f>
        <v>50958.990178573622</v>
      </c>
      <c r="T11" s="3267"/>
      <c r="U11" s="2745"/>
      <c r="V11" s="1199">
        <f>Revenue!O5</f>
        <v>36150.136095566661</v>
      </c>
      <c r="W11" s="1199">
        <f ca="1">Revenue!N5</f>
        <v>41453.584949999997</v>
      </c>
      <c r="Z11" s="100"/>
      <c r="AA11" s="68"/>
      <c r="AB11" s="13"/>
      <c r="AC11" s="13"/>
      <c r="AD11" s="69"/>
      <c r="AE11" s="68"/>
      <c r="AF11" s="13"/>
      <c r="AG11" s="13"/>
      <c r="AH11" s="69"/>
      <c r="AI11" s="68"/>
      <c r="AJ11" s="13"/>
      <c r="AK11" s="13"/>
      <c r="AL11" s="69"/>
      <c r="AM11" s="68"/>
      <c r="AN11" s="13"/>
      <c r="AO11" s="13"/>
      <c r="AP11" s="95"/>
      <c r="AQ11" s="68"/>
      <c r="AR11" s="13"/>
      <c r="AS11" s="13"/>
      <c r="AT11" s="95"/>
      <c r="AU11" s="68"/>
      <c r="AV11" s="13"/>
      <c r="AW11" s="13"/>
      <c r="AX11" s="94"/>
      <c r="AY11" s="96"/>
      <c r="AZ11" s="94"/>
      <c r="BA11" s="94"/>
      <c r="BB11" s="13"/>
      <c r="BC11" s="619" t="e">
        <f>-#REF!</f>
        <v>#REF!</v>
      </c>
      <c r="BD11" s="620" t="e">
        <f>-#REF!</f>
        <v>#REF!</v>
      </c>
      <c r="BE11" s="620" t="e">
        <f>-#REF!</f>
        <v>#REF!</v>
      </c>
      <c r="BF11" s="620" t="e">
        <f>-#REF!</f>
        <v>#REF!</v>
      </c>
      <c r="BG11" s="619">
        <f>-Data!BA476</f>
        <v>2895.2082848129999</v>
      </c>
      <c r="BH11" s="620">
        <f>-Data!BB476</f>
        <v>3473.590126697</v>
      </c>
      <c r="BI11" s="620">
        <f>-Data!BC476</f>
        <v>3740.3886906460002</v>
      </c>
      <c r="BJ11" s="620">
        <f>-Data!BD476</f>
        <v>4381.2358411169998</v>
      </c>
      <c r="BK11" s="619">
        <f>-Data!BE476</f>
        <v>3387.1493163959999</v>
      </c>
      <c r="BL11" s="620">
        <f>-Data!BF476</f>
        <v>4247.7889824780004</v>
      </c>
      <c r="BM11" s="620">
        <f>-Data!BG476</f>
        <v>4321.6488683110001</v>
      </c>
      <c r="BN11" s="620">
        <f>-Data!BH476</f>
        <v>5049.1595966790001</v>
      </c>
      <c r="BO11" s="619">
        <f>-Data!BI476</f>
        <v>4006.1865329120001</v>
      </c>
      <c r="BP11" s="620">
        <f>-Data!BJ476</f>
        <v>4258.2478243859996</v>
      </c>
      <c r="BQ11" s="620">
        <f>-Data!BK476</f>
        <v>4554.3503122940001</v>
      </c>
      <c r="BR11" s="620">
        <f>-Data!BL476</f>
        <v>5195.7836627340002</v>
      </c>
      <c r="BS11" s="619">
        <f>-Data!BM476</f>
        <v>4691.800715286</v>
      </c>
      <c r="BT11" s="620">
        <f>-Data!BN476</f>
        <v>5201.5261419159997</v>
      </c>
      <c r="BU11" s="620">
        <f>-Data!BO476</f>
        <v>5474.2432229469996</v>
      </c>
      <c r="BV11" s="620">
        <f>-Data!BP476</f>
        <v>6609.6874579409996</v>
      </c>
      <c r="BW11" s="619">
        <f>-Data!BQ476</f>
        <v>5776.9325518380001</v>
      </c>
      <c r="BX11" s="620">
        <f>-Data!BR476</f>
        <v>6253.3717416489999</v>
      </c>
      <c r="BY11" s="620">
        <f>-Data!BS476</f>
        <v>6789.0733280960003</v>
      </c>
      <c r="BZ11" s="888">
        <f>-Data!BT476</f>
        <v>7801.1524869470004</v>
      </c>
      <c r="CA11" s="620">
        <f>-Data!BU476</f>
        <v>7113.4998826090005</v>
      </c>
      <c r="CB11" s="620">
        <f>-Data!BV476</f>
        <v>7850.5399578650004</v>
      </c>
      <c r="CC11" s="620">
        <f>-Data!BW476</f>
        <v>8265.3760088409999</v>
      </c>
      <c r="CD11" s="620">
        <f>-Data!BX476</f>
        <v>9058.5491431619994</v>
      </c>
      <c r="CE11" s="620">
        <f>-Data!BY476</f>
        <v>8582.4627336119993</v>
      </c>
      <c r="CF11" s="620">
        <f>-Data!BZ476</f>
        <v>9593.8690931220008</v>
      </c>
      <c r="CG11" s="620">
        <f>-Data!CA476</f>
        <v>9743.8660513510004</v>
      </c>
      <c r="CH11" s="620">
        <f>-Data!CB476</f>
        <v>11230.25</v>
      </c>
      <c r="CI11" s="620">
        <f>-Data!CC476</f>
        <v>9756.7930381940005</v>
      </c>
      <c r="CJ11" s="620">
        <f>-Data!CD476</f>
        <v>10603.672997092001</v>
      </c>
      <c r="CK11" s="620">
        <f>-Data!CE476</f>
        <v>10685.654746292001</v>
      </c>
      <c r="CL11" s="620">
        <f>-Data!CF476</f>
        <v>13178.174806719</v>
      </c>
      <c r="CM11" s="620">
        <f>-Data!CG476</f>
        <v>8235.1073160870001</v>
      </c>
      <c r="CN11" s="3388">
        <f t="shared" si="6"/>
        <v>32940.429264348</v>
      </c>
      <c r="CO11" s="3556">
        <f t="shared" ca="1" si="7"/>
        <v>1.134498936025619</v>
      </c>
      <c r="CP11" s="3388"/>
      <c r="CQ11" s="3388"/>
      <c r="CR11" s="939" t="s">
        <v>147</v>
      </c>
      <c r="CS11" s="1863">
        <f>BW11+BX11</f>
        <v>12030.304293486999</v>
      </c>
      <c r="CT11" s="1863">
        <f>CA11+CB11</f>
        <v>14964.039840474001</v>
      </c>
      <c r="CU11" s="1862">
        <f t="shared" ref="CU11:CU55" si="29">CK11+CJ11+CI11</f>
        <v>31046.120781578</v>
      </c>
      <c r="CV11" s="1862">
        <f t="shared" ref="CV11:CV55" si="30">CG11+CF11+CE11</f>
        <v>27920.197878085</v>
      </c>
      <c r="CW11" s="1863">
        <f>CI11+CJ11</f>
        <v>20360.466035286001</v>
      </c>
      <c r="CX11" s="1863">
        <f>CE11+CF11</f>
        <v>18176.331826734</v>
      </c>
      <c r="CY11" s="174">
        <f t="shared" si="2"/>
        <v>0.12016364079244779</v>
      </c>
      <c r="CZ11" s="1862">
        <f t="shared" si="3"/>
        <v>10603.672997092001</v>
      </c>
      <c r="DA11" s="883">
        <f t="shared" si="4"/>
        <v>9593.8690931220008</v>
      </c>
      <c r="DB11" s="3115">
        <f t="shared" si="8"/>
        <v>0.10525512639045131</v>
      </c>
      <c r="DC11" s="616"/>
      <c r="DD11" s="174">
        <f>CT11/CS11-1</f>
        <v>0.24386212313642597</v>
      </c>
      <c r="DE11" s="1200">
        <f>SUM(BW11)</f>
        <v>5776.9325518380001</v>
      </c>
      <c r="DF11" s="888">
        <f>SUM(CA11)</f>
        <v>7113.4998826090005</v>
      </c>
      <c r="DG11" s="387">
        <f>DF11/DE11-1</f>
        <v>0.23136280695293143</v>
      </c>
      <c r="DH11" s="665"/>
      <c r="DI11" s="665"/>
      <c r="DJ11" s="388"/>
      <c r="DK11" s="388"/>
      <c r="DL11" s="388"/>
      <c r="DM11" s="388"/>
      <c r="DN11" s="388"/>
      <c r="DO11" s="2423" t="s">
        <v>882</v>
      </c>
      <c r="DP11" s="2409">
        <v>1048</v>
      </c>
      <c r="DQ11" s="2425">
        <v>1609</v>
      </c>
      <c r="DR11" s="2416">
        <f t="shared" si="18"/>
        <v>0.53530534351145032</v>
      </c>
      <c r="DS11" s="2425"/>
      <c r="DT11" s="2416"/>
      <c r="DU11" s="2421"/>
      <c r="DV11" s="1204"/>
      <c r="DW11" s="1204"/>
      <c r="DX11" s="1203">
        <f>(DX9+DX10)/DX5</f>
        <v>0.2420847375504987</v>
      </c>
      <c r="DY11" s="1203">
        <f>(DY9+DY10)/DY5</f>
        <v>0.22379693674894147</v>
      </c>
      <c r="DZ11" s="1203"/>
      <c r="EA11" s="2080"/>
      <c r="EB11" s="1203" t="e">
        <f>(EB9+EB10)/EB5</f>
        <v>#REF!</v>
      </c>
      <c r="EC11" s="1203"/>
      <c r="ED11" s="1203"/>
      <c r="EE11" s="1876">
        <f t="shared" si="5"/>
        <v>0.2420847375504987</v>
      </c>
      <c r="EF11" s="1203">
        <f>(EF9+EF10)/EF5</f>
        <v>0.23569263048074326</v>
      </c>
      <c r="EG11" s="1203"/>
      <c r="EH11" s="1203"/>
      <c r="EI11" s="1203">
        <f>(EI9+EI10)/EI5</f>
        <v>0.26080149323142643</v>
      </c>
      <c r="EJ11" s="1203">
        <f>(EJ9+EJ10)/EJ5</f>
        <v>0.23065461926247766</v>
      </c>
      <c r="EK11" s="1203"/>
      <c r="EL11" s="1203">
        <f>(EL9+EL10)/EL5</f>
        <v>0.24166379494826462</v>
      </c>
      <c r="EN11" s="1203"/>
      <c r="EO11" s="1203"/>
      <c r="EP11" s="985"/>
      <c r="EQ11" s="317"/>
      <c r="ER11" s="384"/>
      <c r="EV11" s="16" t="s">
        <v>49</v>
      </c>
      <c r="EY11" s="1188">
        <v>33712</v>
      </c>
      <c r="EZ11" s="2152"/>
      <c r="FB11" s="392"/>
    </row>
    <row r="12" spans="2:158">
      <c r="B12" s="940" t="s">
        <v>14</v>
      </c>
      <c r="C12" s="380"/>
      <c r="D12" s="86">
        <f t="shared" ref="D12:P12" si="31">D11/C11-1</f>
        <v>7.9718847475324095E-2</v>
      </c>
      <c r="E12" s="86">
        <f t="shared" si="31"/>
        <v>0.23116292382261094</v>
      </c>
      <c r="F12" s="86">
        <f t="shared" si="31"/>
        <v>0.15156196595918159</v>
      </c>
      <c r="G12" s="86">
        <f t="shared" si="31"/>
        <v>2.0595326089559718E-2</v>
      </c>
      <c r="H12" s="86">
        <f t="shared" si="31"/>
        <v>6.0555506622039124E-2</v>
      </c>
      <c r="I12" s="86">
        <f t="shared" si="31"/>
        <v>-0.56057231679853081</v>
      </c>
      <c r="J12" s="86">
        <f t="shared" si="31"/>
        <v>0.17350852384240545</v>
      </c>
      <c r="K12" s="86">
        <f t="shared" si="31"/>
        <v>5.9502372635794165E-2</v>
      </c>
      <c r="L12" s="86">
        <f t="shared" si="31"/>
        <v>0.22249056028389291</v>
      </c>
      <c r="M12" s="86">
        <f t="shared" si="31"/>
        <v>0.21870081685386022</v>
      </c>
      <c r="N12" s="86">
        <f t="shared" si="31"/>
        <v>0.20326532008989728</v>
      </c>
      <c r="O12" s="86">
        <f t="shared" si="31"/>
        <v>0.21215025450393665</v>
      </c>
      <c r="P12" s="86">
        <f t="shared" si="31"/>
        <v>0.12942303345172279</v>
      </c>
      <c r="Q12" s="86">
        <f ca="1">Q11/P11-1</f>
        <v>-0.15483802644681732</v>
      </c>
      <c r="R12" s="86">
        <f ca="1">R11/Q11-1</f>
        <v>0.16851435600418219</v>
      </c>
      <c r="S12" s="3510">
        <f ca="1">S11/R11-1</f>
        <v>0.16695313103379195</v>
      </c>
      <c r="T12" s="2717"/>
      <c r="U12" s="2717"/>
      <c r="V12" s="86">
        <f>V11/N11-1</f>
        <v>0.11925652626197336</v>
      </c>
      <c r="W12" s="86">
        <f ca="1">W11/O11-1</f>
        <v>5.8827802745562208E-2</v>
      </c>
      <c r="Z12" s="100"/>
      <c r="AA12" s="101"/>
      <c r="AB12" s="102"/>
      <c r="AC12" s="102"/>
      <c r="AD12" s="103"/>
      <c r="AE12" s="101"/>
      <c r="AF12" s="102"/>
      <c r="AG12" s="102"/>
      <c r="AH12" s="103"/>
      <c r="AI12" s="101"/>
      <c r="AJ12" s="102"/>
      <c r="AK12" s="102"/>
      <c r="AL12" s="103"/>
      <c r="AM12" s="101"/>
      <c r="AN12" s="102"/>
      <c r="AO12" s="102"/>
      <c r="AP12" s="70"/>
      <c r="AQ12" s="101"/>
      <c r="AR12" s="102"/>
      <c r="AS12" s="102"/>
      <c r="AT12" s="70"/>
      <c r="AU12" s="101"/>
      <c r="AV12" s="102"/>
      <c r="AW12" s="102"/>
      <c r="AX12" s="61"/>
      <c r="AY12" s="71"/>
      <c r="AZ12" s="61"/>
      <c r="BA12" s="61"/>
      <c r="BB12" s="102"/>
      <c r="BC12" s="617"/>
      <c r="BD12" s="618"/>
      <c r="BE12" s="618"/>
      <c r="BF12" s="618"/>
      <c r="BG12" s="617"/>
      <c r="BH12" s="618"/>
      <c r="BI12" s="618"/>
      <c r="BJ12" s="618"/>
      <c r="BK12" s="1201">
        <f>BK11/BG11-1</f>
        <v>0.16991559265822365</v>
      </c>
      <c r="BL12" s="1202">
        <f t="shared" ref="BL12:BZ12" si="32">BL11/BH11-1</f>
        <v>0.22288146486562543</v>
      </c>
      <c r="BM12" s="1202">
        <f t="shared" si="32"/>
        <v>0.15540100929045719</v>
      </c>
      <c r="BN12" s="1202">
        <f t="shared" si="32"/>
        <v>0.1524509932320175</v>
      </c>
      <c r="BO12" s="1201">
        <f t="shared" si="32"/>
        <v>0.18276053362025069</v>
      </c>
      <c r="BP12" s="1202">
        <f t="shared" si="32"/>
        <v>2.4621849039916377E-3</v>
      </c>
      <c r="BQ12" s="1202">
        <f t="shared" si="32"/>
        <v>5.3845523103302151E-2</v>
      </c>
      <c r="BR12" s="1202">
        <f t="shared" si="32"/>
        <v>2.9039301144578644E-2</v>
      </c>
      <c r="BS12" s="1201">
        <f t="shared" si="32"/>
        <v>0.17113885655135563</v>
      </c>
      <c r="BT12" s="1202">
        <f t="shared" si="32"/>
        <v>0.22151794738860975</v>
      </c>
      <c r="BU12" s="1202">
        <f t="shared" si="32"/>
        <v>0.20198114935731737</v>
      </c>
      <c r="BV12" s="1202">
        <f t="shared" si="32"/>
        <v>0.27212522440994191</v>
      </c>
      <c r="BW12" s="1201">
        <f t="shared" si="32"/>
        <v>0.23128259327311462</v>
      </c>
      <c r="BX12" s="1202">
        <f t="shared" si="32"/>
        <v>0.2022186510333579</v>
      </c>
      <c r="BY12" s="1202">
        <f t="shared" si="32"/>
        <v>0.24018481671356495</v>
      </c>
      <c r="BZ12" s="2175">
        <f t="shared" si="32"/>
        <v>0.18026041875467991</v>
      </c>
      <c r="CA12" s="1202">
        <f>CA11/BW11-1</f>
        <v>0.23136280695293143</v>
      </c>
      <c r="CB12" s="1202">
        <f>CB11/BX11-1</f>
        <v>0.25540912682009065</v>
      </c>
      <c r="CC12" s="1202">
        <f>CC11/BY11-1</f>
        <v>0.21745275229764371</v>
      </c>
      <c r="CD12" s="1202">
        <f>CD11/CA11-1</f>
        <v>0.2734307011529209</v>
      </c>
      <c r="CE12" s="1202">
        <f t="shared" ref="CE12:CM12" si="33">CE11/CA11-1</f>
        <v>0.20650353205098115</v>
      </c>
      <c r="CF12" s="1202">
        <f t="shared" si="33"/>
        <v>0.22206487001068753</v>
      </c>
      <c r="CG12" s="1202">
        <f t="shared" si="33"/>
        <v>0.17887752970083204</v>
      </c>
      <c r="CH12" s="1202">
        <f t="shared" si="33"/>
        <v>0.23974047306210688</v>
      </c>
      <c r="CI12" s="1202">
        <f t="shared" si="33"/>
        <v>0.13682905956385949</v>
      </c>
      <c r="CJ12" s="1202">
        <f t="shared" si="33"/>
        <v>0.10525512639045131</v>
      </c>
      <c r="CK12" s="1202">
        <f t="shared" si="33"/>
        <v>9.665451987719198E-2</v>
      </c>
      <c r="CL12" s="1202">
        <f t="shared" si="33"/>
        <v>0.17345337875105193</v>
      </c>
      <c r="CM12" s="1202">
        <f t="shared" si="33"/>
        <v>-0.15596166856775584</v>
      </c>
      <c r="CN12" s="3388">
        <f t="shared" si="6"/>
        <v>-0.62384667427102336</v>
      </c>
      <c r="CO12" s="3556">
        <f t="shared" ca="1" si="7"/>
        <v>0.24819884890425759</v>
      </c>
      <c r="CP12" s="3388"/>
      <c r="CQ12" s="3388"/>
      <c r="CR12" s="940" t="s">
        <v>14</v>
      </c>
      <c r="CS12" s="1862"/>
      <c r="CT12" s="1862"/>
      <c r="CU12" s="1862"/>
      <c r="CV12" s="1862"/>
      <c r="CW12" s="1862"/>
      <c r="CX12" s="1862"/>
      <c r="CY12" s="174" t="e">
        <f t="shared" si="2"/>
        <v>#DIV/0!</v>
      </c>
      <c r="CZ12" s="1862">
        <f t="shared" si="3"/>
        <v>0.10525512639045131</v>
      </c>
      <c r="DA12" s="883">
        <f t="shared" si="4"/>
        <v>0.22206487001068753</v>
      </c>
      <c r="DB12" s="3115">
        <f t="shared" si="8"/>
        <v>-0.52601631052500286</v>
      </c>
      <c r="DC12" s="612"/>
      <c r="DD12" s="21"/>
      <c r="DE12" s="1014"/>
      <c r="DF12" s="887"/>
      <c r="DH12" s="657"/>
      <c r="DI12" s="657"/>
      <c r="DO12" s="2408" t="s">
        <v>147</v>
      </c>
      <c r="DP12" s="2409">
        <f>-Data!BU476</f>
        <v>7113.4998826090005</v>
      </c>
      <c r="DQ12" s="2409">
        <f>-Data!BY476</f>
        <v>8582.4627336119993</v>
      </c>
      <c r="DR12" s="2416">
        <f t="shared" si="18"/>
        <v>0.20650353205098115</v>
      </c>
      <c r="DS12" s="2409">
        <f>-Data!BX476</f>
        <v>9058.5491431619994</v>
      </c>
      <c r="DT12" s="2416">
        <f>DQ12/DS12-1</f>
        <v>-5.2556585168981762E-2</v>
      </c>
      <c r="DU12" s="2416"/>
      <c r="DV12" s="604"/>
      <c r="DW12" s="604"/>
      <c r="DX12" s="602"/>
      <c r="DY12" s="602"/>
      <c r="DZ12" s="1041"/>
      <c r="EA12" s="2080"/>
      <c r="EB12" s="602"/>
      <c r="EC12" s="1005"/>
      <c r="ED12" s="1005"/>
      <c r="EE12" s="599">
        <f t="shared" si="5"/>
        <v>0</v>
      </c>
      <c r="EF12" s="602"/>
      <c r="EG12" s="1005"/>
      <c r="EH12" s="1005"/>
      <c r="EI12" s="602"/>
      <c r="EJ12" s="602"/>
      <c r="EK12" s="1041"/>
      <c r="EL12" s="602"/>
      <c r="EN12" s="602"/>
      <c r="EO12" s="985"/>
      <c r="EP12" s="985"/>
      <c r="EQ12" s="12"/>
      <c r="ER12" s="60"/>
      <c r="EY12" s="249"/>
      <c r="EZ12" s="2153"/>
      <c r="FB12" s="62"/>
    </row>
    <row r="13" spans="2:158">
      <c r="B13" s="939" t="s">
        <v>141</v>
      </c>
      <c r="C13" s="911">
        <f>C9-C11</f>
        <v>4692.1449611290009</v>
      </c>
      <c r="D13" s="686">
        <f t="shared" ref="D13:M13" si="34">D9-D11</f>
        <v>5539.1527285659977</v>
      </c>
      <c r="E13" s="686">
        <f t="shared" si="34"/>
        <v>6188.5213186639958</v>
      </c>
      <c r="F13" s="686">
        <f t="shared" si="34"/>
        <v>7493.8198774119992</v>
      </c>
      <c r="G13" s="686">
        <f t="shared" si="34"/>
        <v>8438.1350752240032</v>
      </c>
      <c r="H13" s="686">
        <f t="shared" si="34"/>
        <v>9682.4046846009951</v>
      </c>
      <c r="I13" s="911">
        <f t="shared" si="34"/>
        <v>8722.8789854890019</v>
      </c>
      <c r="J13" s="686">
        <f t="shared" si="34"/>
        <v>10712.049623121999</v>
      </c>
      <c r="K13" s="686">
        <f t="shared" si="34"/>
        <v>11813.657474726999</v>
      </c>
      <c r="L13" s="686">
        <f t="shared" si="34"/>
        <v>13631.964236778</v>
      </c>
      <c r="M13" s="686">
        <f t="shared" si="34"/>
        <v>17167.278641198001</v>
      </c>
      <c r="N13" s="686">
        <f t="shared" ref="N13:O13" si="35">N9-N11</f>
        <v>20319.553444681998</v>
      </c>
      <c r="O13" s="686">
        <f t="shared" si="35"/>
        <v>23698.340000000004</v>
      </c>
      <c r="P13" s="686">
        <f t="shared" ref="P13" si="36">P9-P11</f>
        <v>25990.270000000004</v>
      </c>
      <c r="Q13" s="105">
        <f ca="1">Q9-Q11</f>
        <v>19823.724727791734</v>
      </c>
      <c r="R13" s="105">
        <f ca="1">R9-R11</f>
        <v>22276.608141814293</v>
      </c>
      <c r="S13" s="3511">
        <f ca="1">S9-S11</f>
        <v>25577.749681426394</v>
      </c>
      <c r="T13" s="3268"/>
      <c r="U13" s="2745"/>
      <c r="V13" s="105">
        <f>V9-V11</f>
        <v>19594.473904433347</v>
      </c>
      <c r="W13" s="105">
        <f ca="1">W9-W11</f>
        <v>24854.645049999999</v>
      </c>
      <c r="Z13" s="106"/>
      <c r="AA13" s="68"/>
      <c r="AB13" s="13"/>
      <c r="AC13" s="13"/>
      <c r="AD13" s="69"/>
      <c r="AE13" s="68"/>
      <c r="AF13" s="13"/>
      <c r="AG13" s="13"/>
      <c r="AH13" s="69"/>
      <c r="AI13" s="68"/>
      <c r="AJ13" s="13"/>
      <c r="AK13" s="13"/>
      <c r="AL13" s="69"/>
      <c r="AM13" s="68"/>
      <c r="AN13" s="13"/>
      <c r="AO13" s="13"/>
      <c r="AP13" s="69"/>
      <c r="AQ13" s="68"/>
      <c r="AR13" s="13"/>
      <c r="AS13" s="13"/>
      <c r="AT13" s="69"/>
      <c r="AU13" s="68"/>
      <c r="AV13" s="13"/>
      <c r="AW13" s="13"/>
      <c r="AX13" s="13"/>
      <c r="AY13" s="68"/>
      <c r="AZ13" s="13"/>
      <c r="BA13" s="13"/>
      <c r="BB13" s="13"/>
      <c r="BC13" s="619" t="e">
        <f>#REF!</f>
        <v>#REF!</v>
      </c>
      <c r="BD13" s="620" t="e">
        <f>#REF!</f>
        <v>#REF!</v>
      </c>
      <c r="BE13" s="620" t="e">
        <f>#REF!</f>
        <v>#REF!</v>
      </c>
      <c r="BF13" s="620" t="e">
        <f>#REF!</f>
        <v>#REF!</v>
      </c>
      <c r="BG13" s="619">
        <f>Data!BA477</f>
        <v>1855.5603268039999</v>
      </c>
      <c r="BH13" s="620">
        <f>Data!BB477</f>
        <v>2000.6725974030001</v>
      </c>
      <c r="BI13" s="620">
        <f>Data!BC477</f>
        <v>2295.670242789</v>
      </c>
      <c r="BJ13" s="620">
        <f>Data!BD477</f>
        <v>2571.2107474559998</v>
      </c>
      <c r="BK13" s="619">
        <f>Data!BE477</f>
        <v>2279.330299668</v>
      </c>
      <c r="BL13" s="620">
        <f>Data!BF477</f>
        <v>2578.1295421200002</v>
      </c>
      <c r="BM13" s="620">
        <f>Data!BG477</f>
        <v>2782.7252692319998</v>
      </c>
      <c r="BN13" s="620">
        <f>Data!BH477</f>
        <v>3071.0282775169999</v>
      </c>
      <c r="BO13" s="619">
        <f>Data!BI477</f>
        <v>2624.3783785259998</v>
      </c>
      <c r="BP13" s="620">
        <f>Data!BJ477</f>
        <v>2721.7546739509999</v>
      </c>
      <c r="BQ13" s="620">
        <f>Data!BK477</f>
        <v>2998.7781917779998</v>
      </c>
      <c r="BR13" s="620">
        <f>Data!BL477</f>
        <v>3470.9209502429999</v>
      </c>
      <c r="BS13" s="619">
        <f>Data!BM477</f>
        <v>2894.5269546680001</v>
      </c>
      <c r="BT13" s="620">
        <f>Data!BN477</f>
        <v>3440.1811429049999</v>
      </c>
      <c r="BU13" s="620">
        <f>Data!BO477</f>
        <v>3250.9287340249998</v>
      </c>
      <c r="BV13" s="620">
        <f>Data!BP477</f>
        <v>4094.3681753390001</v>
      </c>
      <c r="BW13" s="619">
        <f>Data!BQ477</f>
        <v>3953.3212925530001</v>
      </c>
      <c r="BX13" s="620">
        <f>Data!BR477</f>
        <v>3842.6883493099999</v>
      </c>
      <c r="BY13" s="620">
        <f>Data!BS477</f>
        <v>4359.4856922569998</v>
      </c>
      <c r="BZ13" s="888">
        <f>Data!BT477</f>
        <v>5241.2737841620001</v>
      </c>
      <c r="CA13" s="620">
        <f>Data!BU477</f>
        <v>4567.8790006939998</v>
      </c>
      <c r="CB13" s="620">
        <f>Data!BV477</f>
        <v>4633.8243070369999</v>
      </c>
      <c r="CC13" s="620">
        <f>Data!BW477</f>
        <v>5496.3689670160002</v>
      </c>
      <c r="CD13" s="620">
        <f>Data!BX477</f>
        <v>5631.8635601610004</v>
      </c>
      <c r="CE13" s="620">
        <f>Data!BY477</f>
        <v>5510.4656800869998</v>
      </c>
      <c r="CF13" s="620">
        <f>Data!BZ477</f>
        <v>5651.3573228980003</v>
      </c>
      <c r="CG13" s="620">
        <f>Data!CA477</f>
        <v>6158.9556644060003</v>
      </c>
      <c r="CH13" s="620">
        <f>Data!CB477</f>
        <v>6377.57</v>
      </c>
      <c r="CI13" s="620">
        <f>Data!CC477</f>
        <v>6301.3479042660001</v>
      </c>
      <c r="CJ13" s="620">
        <f>Data!CD477</f>
        <v>6021.0400429749998</v>
      </c>
      <c r="CK13" s="620">
        <f>Data!CE477</f>
        <v>6518.8664790100001</v>
      </c>
      <c r="CL13" s="620">
        <f>Data!CF477</f>
        <v>7047.2750861619998</v>
      </c>
      <c r="CM13" s="620">
        <f>Data!CG477</f>
        <v>4244.8898906880004</v>
      </c>
      <c r="CN13" s="3388">
        <f t="shared" si="6"/>
        <v>16979.559562752002</v>
      </c>
      <c r="CO13" s="3556">
        <f t="shared" ca="1" si="7"/>
        <v>1.1675052379614703</v>
      </c>
      <c r="CP13" s="3388"/>
      <c r="CQ13" s="3388"/>
      <c r="CR13" s="939" t="s">
        <v>141</v>
      </c>
      <c r="CS13" s="1863">
        <f>BW13+BX13</f>
        <v>7796.0096418630001</v>
      </c>
      <c r="CT13" s="1863">
        <f>CA13+CB13</f>
        <v>9201.7033077310007</v>
      </c>
      <c r="CU13" s="1862">
        <f t="shared" si="29"/>
        <v>18841.254426250998</v>
      </c>
      <c r="CV13" s="1862">
        <f t="shared" si="30"/>
        <v>17320.778667391001</v>
      </c>
      <c r="CW13" s="1863">
        <f>CI13+CJ13</f>
        <v>12322.387947241001</v>
      </c>
      <c r="CX13" s="1863">
        <f>CE13+CF13</f>
        <v>11161.823002985</v>
      </c>
      <c r="CY13" s="174">
        <f t="shared" si="2"/>
        <v>0.10397628988970986</v>
      </c>
      <c r="CZ13" s="1862">
        <f t="shared" si="3"/>
        <v>6021.0400429749998</v>
      </c>
      <c r="DA13" s="883">
        <f t="shared" si="4"/>
        <v>5651.3573228980003</v>
      </c>
      <c r="DB13" s="3115">
        <f t="shared" si="8"/>
        <v>6.541485504360689E-2</v>
      </c>
      <c r="DC13" s="616"/>
      <c r="DD13" s="208"/>
      <c r="DE13" s="1006">
        <f>SUM(BW13)</f>
        <v>3953.3212925530001</v>
      </c>
      <c r="DF13" s="1007">
        <f>SUM(CA13)</f>
        <v>4567.8790006939998</v>
      </c>
      <c r="DG13" s="43">
        <f>DF13/DE13-1</f>
        <v>0.15545351937335883</v>
      </c>
      <c r="DH13" s="657"/>
      <c r="DI13" s="657"/>
      <c r="DO13" s="2408" t="s">
        <v>148</v>
      </c>
      <c r="DP13" s="2409">
        <f>Data!BU477</f>
        <v>4567.8790006939998</v>
      </c>
      <c r="DQ13" s="2409">
        <f>Data!BY477</f>
        <v>5510.4656800869998</v>
      </c>
      <c r="DR13" s="2416">
        <f t="shared" si="18"/>
        <v>0.20635106123647162</v>
      </c>
      <c r="DS13" s="2409">
        <f>Data!BX477</f>
        <v>5631.8635601610004</v>
      </c>
      <c r="DT13" s="2416">
        <f>DQ13/DS13-1</f>
        <v>-2.1555543520754283E-2</v>
      </c>
      <c r="DU13" s="2416"/>
      <c r="DV13" s="596"/>
      <c r="DW13" s="596"/>
      <c r="DX13" s="599">
        <f>DX7-DX9-DX10</f>
        <v>2996.3616362299999</v>
      </c>
      <c r="DY13" s="599">
        <f>DY7-DY9-DY10</f>
        <v>3793.4840169010013</v>
      </c>
      <c r="DZ13" s="1041">
        <f>(DY13/DX13-1)</f>
        <v>0.2660300983141457</v>
      </c>
      <c r="EA13" s="2080"/>
      <c r="EB13" s="599" t="e">
        <f>EB7-EB9-EB10</f>
        <v>#REF!</v>
      </c>
      <c r="EC13" s="1005" t="e">
        <f>DY13/EB13</f>
        <v>#REF!</v>
      </c>
      <c r="ED13" s="1005"/>
      <c r="EE13" s="599">
        <f t="shared" si="5"/>
        <v>2996.3616362299999</v>
      </c>
      <c r="EF13" s="599">
        <f>EF7-EF9-EF10</f>
        <v>6794.5572958690018</v>
      </c>
      <c r="EG13" s="1005">
        <f>EE13/EF13</f>
        <v>0.4409943879716412</v>
      </c>
      <c r="EH13" s="1005"/>
      <c r="EI13" s="599">
        <f>EI7-EI9-EI10</f>
        <v>1415.6565604150003</v>
      </c>
      <c r="EJ13" s="599">
        <f>EJ7-EJ9-EJ10</f>
        <v>1873.5150019049997</v>
      </c>
      <c r="EK13" s="1041">
        <f>(EJ13/EI13-1)</f>
        <v>0.32342480110838334</v>
      </c>
      <c r="EL13" s="599">
        <f>EL7-EL9-EL10</f>
        <v>4604.7296785879989</v>
      </c>
      <c r="EN13" s="602">
        <f>(EF13/EL13-1)</f>
        <v>0.47556051497739493</v>
      </c>
      <c r="EO13" s="985" t="e">
        <f>(EB13/EF13-1)</f>
        <v>#REF!</v>
      </c>
      <c r="EP13" s="985">
        <f>EI13/EF13</f>
        <v>0.20835155239263348</v>
      </c>
      <c r="EQ13" s="984"/>
      <c r="ER13" s="60"/>
      <c r="EY13" s="2154"/>
      <c r="FB13" s="62"/>
    </row>
    <row r="14" spans="2:158" s="413" customFormat="1">
      <c r="B14" s="705" t="s">
        <v>15</v>
      </c>
      <c r="C14" s="1502">
        <f>C13/C9</f>
        <v>0.19078177615238984</v>
      </c>
      <c r="D14" s="1503">
        <f t="shared" ref="D14:M14" si="37">D13/D9</f>
        <v>0.20494211681338564</v>
      </c>
      <c r="E14" s="1503">
        <f t="shared" si="37"/>
        <v>0.18957226109619471</v>
      </c>
      <c r="F14" s="1503">
        <f t="shared" si="37"/>
        <v>0.19741515667911261</v>
      </c>
      <c r="G14" s="1503">
        <f t="shared" si="37"/>
        <v>0.21345361962026688</v>
      </c>
      <c r="H14" s="1503">
        <f t="shared" si="37"/>
        <v>0.2269742144349132</v>
      </c>
      <c r="I14" s="1069">
        <f t="shared" si="37"/>
        <v>0.37576690872016782</v>
      </c>
      <c r="J14" s="1074">
        <f t="shared" si="37"/>
        <v>0.38647995899516985</v>
      </c>
      <c r="K14" s="1074">
        <f t="shared" si="37"/>
        <v>0.39602745072443657</v>
      </c>
      <c r="L14" s="1074">
        <f t="shared" si="37"/>
        <v>0.38230540607439883</v>
      </c>
      <c r="M14" s="1074">
        <f t="shared" si="37"/>
        <v>0.39008095623448957</v>
      </c>
      <c r="N14" s="1074">
        <f t="shared" ref="N14:O14" si="38">N13/N9</f>
        <v>0.38617187544864356</v>
      </c>
      <c r="O14" s="1074">
        <f t="shared" si="38"/>
        <v>0.37706915280310094</v>
      </c>
      <c r="P14" s="1074">
        <f t="shared" ref="P14" si="39">P13/P9</f>
        <v>0.37019121409634759</v>
      </c>
      <c r="Q14" s="709">
        <f ca="1">Q13/Q9</f>
        <v>0.3466012947437157</v>
      </c>
      <c r="R14" s="709">
        <f ca="1">R13/R9</f>
        <v>0.33780576720202882</v>
      </c>
      <c r="S14" s="3508">
        <f ca="1">S13/S9</f>
        <v>0.33418917147781407</v>
      </c>
      <c r="T14" s="2716"/>
      <c r="U14" s="2718"/>
      <c r="V14" s="709">
        <f>V13/V9</f>
        <v>0.35150436794576811</v>
      </c>
      <c r="W14" s="709">
        <f ca="1">W13/W9</f>
        <v>0.37483499484151517</v>
      </c>
      <c r="Z14" s="1505"/>
      <c r="AA14" s="1506"/>
      <c r="AB14" s="1507"/>
      <c r="AC14" s="1507"/>
      <c r="AD14" s="1508"/>
      <c r="AE14" s="1506"/>
      <c r="AF14" s="1507"/>
      <c r="AG14" s="1507"/>
      <c r="AH14" s="1508"/>
      <c r="AI14" s="1506"/>
      <c r="AJ14" s="1507"/>
      <c r="AK14" s="1507"/>
      <c r="AL14" s="1508"/>
      <c r="AM14" s="1506"/>
      <c r="AN14" s="1507"/>
      <c r="AO14" s="1507"/>
      <c r="AP14" s="1508"/>
      <c r="AQ14" s="1506"/>
      <c r="AR14" s="1507"/>
      <c r="AS14" s="1507"/>
      <c r="AT14" s="1507"/>
      <c r="AU14" s="1506"/>
      <c r="AV14" s="1507"/>
      <c r="AW14" s="1507"/>
      <c r="AX14" s="1507"/>
      <c r="AY14" s="1506"/>
      <c r="AZ14" s="1507"/>
      <c r="BA14" s="1507"/>
      <c r="BB14" s="1507"/>
      <c r="BC14" s="1509" t="e">
        <f>BC13/BC9</f>
        <v>#REF!</v>
      </c>
      <c r="BD14" s="1510" t="e">
        <f>BD13/BD9</f>
        <v>#REF!</v>
      </c>
      <c r="BE14" s="1510" t="e">
        <f>BE13/BE9</f>
        <v>#REF!</v>
      </c>
      <c r="BF14" s="1510" t="e">
        <f>BF13/BF9</f>
        <v>#REF!</v>
      </c>
      <c r="BG14" s="1509">
        <f>BG13/BG9</f>
        <v>0.3905810782420806</v>
      </c>
      <c r="BH14" s="1510">
        <f t="shared" ref="BH14:CB14" si="40">BH13/BH9</f>
        <v>0.36546886735910578</v>
      </c>
      <c r="BI14" s="1510">
        <f t="shared" si="40"/>
        <v>0.380326015386099</v>
      </c>
      <c r="BJ14" s="1510">
        <f t="shared" si="40"/>
        <v>0.36982819137108175</v>
      </c>
      <c r="BK14" s="1509">
        <f t="shared" si="40"/>
        <v>0.40224803654217473</v>
      </c>
      <c r="BL14" s="1510">
        <f t="shared" si="40"/>
        <v>0.37769708689451931</v>
      </c>
      <c r="BM14" s="1510">
        <f t="shared" si="40"/>
        <v>0.39169182469244035</v>
      </c>
      <c r="BN14" s="1510">
        <f t="shared" si="40"/>
        <v>0.37819670247728965</v>
      </c>
      <c r="BO14" s="1509">
        <f t="shared" si="40"/>
        <v>0.39580011862923448</v>
      </c>
      <c r="BP14" s="1510">
        <f t="shared" si="40"/>
        <v>0.38993606013743742</v>
      </c>
      <c r="BQ14" s="1510">
        <f t="shared" si="40"/>
        <v>0.39702464881423843</v>
      </c>
      <c r="BR14" s="1510">
        <f t="shared" si="40"/>
        <v>0.40048912536442666</v>
      </c>
      <c r="BS14" s="1509">
        <f t="shared" si="40"/>
        <v>0.38154520613865756</v>
      </c>
      <c r="BT14" s="1510">
        <f t="shared" si="40"/>
        <v>0.3980904501298736</v>
      </c>
      <c r="BU14" s="1510">
        <f t="shared" si="40"/>
        <v>0.37259193859523748</v>
      </c>
      <c r="BV14" s="1510">
        <f t="shared" si="40"/>
        <v>0.38250624955733525</v>
      </c>
      <c r="BW14" s="1509">
        <f t="shared" si="40"/>
        <v>0.40629169143741201</v>
      </c>
      <c r="BX14" s="1510">
        <f t="shared" si="40"/>
        <v>0.38061266619749207</v>
      </c>
      <c r="BY14" s="1510">
        <f t="shared" si="40"/>
        <v>0.39103579972068575</v>
      </c>
      <c r="BZ14" s="1511">
        <f t="shared" si="40"/>
        <v>0.40186340142648425</v>
      </c>
      <c r="CA14" s="1510">
        <f t="shared" si="40"/>
        <v>0.39103936669866807</v>
      </c>
      <c r="CB14" s="1510">
        <f t="shared" si="40"/>
        <v>0.37117022610949701</v>
      </c>
      <c r="CC14" s="1510">
        <f t="shared" ref="CC14:CH14" si="41">CC13/CC9</f>
        <v>0.39939476982450905</v>
      </c>
      <c r="CD14" s="1510">
        <f t="shared" si="41"/>
        <v>0.383370002865002</v>
      </c>
      <c r="CE14" s="1510">
        <f t="shared" si="41"/>
        <v>0.39100927204955949</v>
      </c>
      <c r="CF14" s="1510">
        <f t="shared" si="41"/>
        <v>0.37069684428953031</v>
      </c>
      <c r="CG14" s="1510">
        <f t="shared" si="41"/>
        <v>0.38728697173933097</v>
      </c>
      <c r="CH14" s="1510">
        <f t="shared" si="41"/>
        <v>0.36220099932870736</v>
      </c>
      <c r="CI14" s="1510">
        <f t="shared" ref="CI14" si="42">CI13/CI9</f>
        <v>0.39240830721595815</v>
      </c>
      <c r="CJ14" s="1510">
        <f>CJ13/CJ9</f>
        <v>0.36217407352919545</v>
      </c>
      <c r="CK14" s="1510">
        <f>CK13/CK9</f>
        <v>0.37890426554985818</v>
      </c>
      <c r="CL14" s="1510">
        <f>CL13/CL9</f>
        <v>0.34843601123762968</v>
      </c>
      <c r="CM14" s="1510">
        <f>CM13/CM9</f>
        <v>0.34013548403549182</v>
      </c>
      <c r="CN14" s="3388">
        <f t="shared" si="6"/>
        <v>1.3605419361419673</v>
      </c>
      <c r="CO14" s="3556">
        <f t="shared" ca="1" si="7"/>
        <v>0.25475237883997809</v>
      </c>
      <c r="CP14" s="3388"/>
      <c r="CQ14" s="3388"/>
      <c r="CR14" s="705" t="s">
        <v>15</v>
      </c>
      <c r="CS14" s="1512">
        <f>CS13/CS9</f>
        <v>0.39321528284502949</v>
      </c>
      <c r="CT14" s="1512">
        <f>CT13/CT9</f>
        <v>0.38077468800765973</v>
      </c>
      <c r="CU14" s="1862"/>
      <c r="CV14" s="1862"/>
      <c r="CW14" s="1512">
        <f>CW13/CW9</f>
        <v>0.3770291282954919</v>
      </c>
      <c r="CX14" s="1512">
        <f t="shared" ref="CX14" si="43">CX13/CX9</f>
        <v>0.38045415833985174</v>
      </c>
      <c r="CY14" s="174">
        <f t="shared" si="2"/>
        <v>-9.0024776159769448E-3</v>
      </c>
      <c r="CZ14" s="1875">
        <f t="shared" si="3"/>
        <v>0.36217407352919545</v>
      </c>
      <c r="DA14" s="3115">
        <f t="shared" si="4"/>
        <v>0.37069684428953031</v>
      </c>
      <c r="DB14" s="3115">
        <f t="shared" si="8"/>
        <v>-2.2991214766528212E-2</v>
      </c>
      <c r="DC14" s="1510"/>
      <c r="DD14" s="1507"/>
      <c r="DE14" s="1512">
        <f>DE13/DE9</f>
        <v>0.40629169143741201</v>
      </c>
      <c r="DF14" s="1511">
        <f>DF13/DF9</f>
        <v>0.39103936669866807</v>
      </c>
      <c r="DG14" s="1504"/>
      <c r="DH14" s="1513"/>
      <c r="DI14" s="1513"/>
      <c r="DJ14" s="595"/>
      <c r="DK14" s="595"/>
      <c r="DL14" s="595"/>
      <c r="DM14" s="595"/>
      <c r="DN14" s="595"/>
      <c r="DO14" s="2410" t="s">
        <v>165</v>
      </c>
      <c r="DP14" s="2416">
        <f>DP13/DP6</f>
        <v>0.39103936669866812</v>
      </c>
      <c r="DQ14" s="2416">
        <f>DQ13/DQ6</f>
        <v>0.39100927204955949</v>
      </c>
      <c r="DR14" s="2416"/>
      <c r="DS14" s="2416">
        <f>DS13/DS6</f>
        <v>0.383370002865002</v>
      </c>
      <c r="DT14" s="2416"/>
      <c r="DU14" s="2416"/>
      <c r="DV14" s="605"/>
      <c r="DW14" s="605"/>
      <c r="DX14" s="600">
        <f>DX13/DX5</f>
        <v>0.15113054529453077</v>
      </c>
      <c r="DY14" s="600">
        <f>DY13/DY5</f>
        <v>0.15697775125871832</v>
      </c>
      <c r="DZ14" s="1042"/>
      <c r="EA14" s="2082"/>
      <c r="EB14" s="600" t="e">
        <f>EB13/EB5</f>
        <v>#REF!</v>
      </c>
      <c r="EC14" s="1005"/>
      <c r="ED14" s="1005"/>
      <c r="EE14" s="1876">
        <f t="shared" si="5"/>
        <v>0.15113054529453077</v>
      </c>
      <c r="EF14" s="600">
        <f>EF13/EF5</f>
        <v>0.15438832575374628</v>
      </c>
      <c r="EG14" s="1005"/>
      <c r="EH14" s="1005"/>
      <c r="EI14" s="600">
        <f>EI13/EI5</f>
        <v>0.14549019820598563</v>
      </c>
      <c r="EJ14" s="600">
        <f>EJ13/EJ5</f>
        <v>0.16038474743619041</v>
      </c>
      <c r="EK14" s="1042"/>
      <c r="EL14" s="600">
        <f>EL13/EL5</f>
        <v>0.15436365577617198</v>
      </c>
      <c r="EN14" s="864"/>
      <c r="EO14" s="986"/>
      <c r="EP14" s="986"/>
      <c r="EQ14" s="594"/>
      <c r="ER14" s="1514" t="s">
        <v>1</v>
      </c>
      <c r="ES14" s="1515"/>
      <c r="ET14" s="2147">
        <v>100500</v>
      </c>
      <c r="EU14" s="1516" t="s">
        <v>232</v>
      </c>
      <c r="EV14" s="1517">
        <f>ET7</f>
        <v>1471321000</v>
      </c>
      <c r="EW14" s="2155"/>
      <c r="FB14" s="2156"/>
    </row>
    <row r="15" spans="2:158" s="1418" customFormat="1">
      <c r="B15" s="1419"/>
      <c r="C15" s="1420"/>
      <c r="D15" s="1421"/>
      <c r="E15" s="1421"/>
      <c r="F15" s="1421"/>
      <c r="G15" s="1421"/>
      <c r="H15" s="1421"/>
      <c r="I15" s="1420"/>
      <c r="J15" s="1421"/>
      <c r="K15" s="1421"/>
      <c r="L15" s="1421"/>
      <c r="M15" s="2583"/>
      <c r="N15" s="2583"/>
      <c r="O15" s="2583"/>
      <c r="P15" s="2583"/>
      <c r="Q15" s="1422"/>
      <c r="R15" s="1422"/>
      <c r="S15" s="3512"/>
      <c r="T15" s="1422"/>
      <c r="U15" s="2583"/>
      <c r="V15" s="1422"/>
      <c r="W15" s="1422"/>
      <c r="Z15" s="1423"/>
      <c r="AA15" s="1424"/>
      <c r="AB15" s="1425"/>
      <c r="AC15" s="1425"/>
      <c r="AD15" s="1426"/>
      <c r="AE15" s="1424"/>
      <c r="AF15" s="1425"/>
      <c r="AG15" s="1425"/>
      <c r="AH15" s="1426"/>
      <c r="AI15" s="1424"/>
      <c r="AJ15" s="1425"/>
      <c r="AK15" s="1425"/>
      <c r="AL15" s="1426"/>
      <c r="AM15" s="1424"/>
      <c r="AN15" s="1425"/>
      <c r="AO15" s="1425"/>
      <c r="AP15" s="1426"/>
      <c r="AQ15" s="1424"/>
      <c r="AR15" s="1425"/>
      <c r="AS15" s="1425"/>
      <c r="AT15" s="1425"/>
      <c r="AU15" s="1424"/>
      <c r="AV15" s="1425"/>
      <c r="AW15" s="1425"/>
      <c r="AX15" s="1425"/>
      <c r="AY15" s="1424"/>
      <c r="AZ15" s="1425"/>
      <c r="BA15" s="1425"/>
      <c r="BB15" s="1425"/>
      <c r="BC15" s="1427"/>
      <c r="BD15" s="1428"/>
      <c r="BE15" s="1428"/>
      <c r="BF15" s="1428"/>
      <c r="BG15" s="1427"/>
      <c r="BH15" s="1428"/>
      <c r="BI15" s="1428"/>
      <c r="BJ15" s="1428"/>
      <c r="BK15" s="1427"/>
      <c r="BL15" s="1428"/>
      <c r="BM15" s="1428"/>
      <c r="BN15" s="1428"/>
      <c r="BO15" s="1427"/>
      <c r="BP15" s="1428"/>
      <c r="BQ15" s="1428"/>
      <c r="BR15" s="1428"/>
      <c r="BS15" s="1427"/>
      <c r="BT15" s="1428"/>
      <c r="BU15" s="1428"/>
      <c r="BV15" s="1428"/>
      <c r="BW15" s="1427"/>
      <c r="BX15" s="1428"/>
      <c r="BY15" s="1428"/>
      <c r="BZ15" s="1429"/>
      <c r="CA15" s="1428"/>
      <c r="CB15" s="1428"/>
      <c r="CC15" s="1428"/>
      <c r="CD15" s="1428"/>
      <c r="CE15" s="1428"/>
      <c r="CF15" s="1428"/>
      <c r="CG15" s="1428"/>
      <c r="CH15" s="1428"/>
      <c r="CI15" s="1428"/>
      <c r="CJ15" s="1428"/>
      <c r="CK15" s="1428"/>
      <c r="CL15" s="1428"/>
      <c r="CM15" s="1428"/>
      <c r="CN15" s="3388">
        <f t="shared" si="6"/>
        <v>0</v>
      </c>
      <c r="CO15" s="3556" t="e">
        <f t="shared" si="7"/>
        <v>#DIV/0!</v>
      </c>
      <c r="CP15" s="3388"/>
      <c r="CQ15" s="3388"/>
      <c r="CR15" s="1419"/>
      <c r="CS15" s="1864"/>
      <c r="CT15" s="1864"/>
      <c r="CU15" s="1862"/>
      <c r="CV15" s="1862"/>
      <c r="CW15" s="1864"/>
      <c r="CX15" s="1864"/>
      <c r="CY15" s="174" t="e">
        <f t="shared" si="2"/>
        <v>#DIV/0!</v>
      </c>
      <c r="CZ15" s="1862">
        <f t="shared" si="3"/>
        <v>0</v>
      </c>
      <c r="DA15" s="883">
        <f t="shared" si="4"/>
        <v>0</v>
      </c>
      <c r="DB15" s="3115" t="e">
        <f t="shared" si="8"/>
        <v>#DIV/0!</v>
      </c>
      <c r="DC15" s="1428"/>
      <c r="DD15" s="1874"/>
      <c r="DE15" s="1430"/>
      <c r="DF15" s="1431"/>
      <c r="DG15" s="1432"/>
      <c r="DH15" s="1433"/>
      <c r="DI15" s="1433"/>
      <c r="DJ15" s="1434"/>
      <c r="DK15" s="1434"/>
      <c r="DL15" s="1434"/>
      <c r="DM15" s="1434"/>
      <c r="DN15" s="1434"/>
      <c r="DO15" s="2408" t="s">
        <v>16</v>
      </c>
      <c r="DP15" s="2409">
        <f>-Data!BU482</f>
        <v>1101.871534159</v>
      </c>
      <c r="DQ15" s="2409">
        <f>-Data!BY482</f>
        <v>1368.9486257430001</v>
      </c>
      <c r="DR15" s="2416">
        <f>DQ15/DP15-1</f>
        <v>0.24238496349562721</v>
      </c>
      <c r="DS15" s="2409">
        <f>-Data!BX482</f>
        <v>1316.1562853949999</v>
      </c>
      <c r="DT15" s="2416">
        <f>DQ15/DS15-1</f>
        <v>4.0110996645171371E-2</v>
      </c>
      <c r="DU15" s="2416"/>
      <c r="DV15" s="1435"/>
      <c r="DW15" s="1435"/>
      <c r="DX15" s="1436"/>
      <c r="DY15" s="1436"/>
      <c r="DZ15" s="1437"/>
      <c r="EA15" s="2083"/>
      <c r="EB15" s="1436"/>
      <c r="EC15" s="1005"/>
      <c r="ED15" s="1005"/>
      <c r="EE15" s="599">
        <f t="shared" si="5"/>
        <v>0</v>
      </c>
      <c r="EF15" s="1436"/>
      <c r="EG15" s="1005"/>
      <c r="EH15" s="1005"/>
      <c r="EI15" s="1436"/>
      <c r="EJ15" s="1436"/>
      <c r="EK15" s="1437"/>
      <c r="EL15" s="1436"/>
      <c r="EN15" s="1438"/>
      <c r="EO15" s="1439"/>
      <c r="EP15" s="1439"/>
      <c r="EQ15" s="1440"/>
      <c r="ER15" s="1441"/>
      <c r="ET15" s="2157"/>
      <c r="EU15" s="2158"/>
      <c r="EV15" s="1442"/>
      <c r="EW15" s="2159"/>
      <c r="FB15" s="2160"/>
    </row>
    <row r="16" spans="2:158">
      <c r="B16" s="1417" t="s">
        <v>1029</v>
      </c>
      <c r="C16" s="912"/>
      <c r="D16" s="687"/>
      <c r="E16" s="687"/>
      <c r="F16" s="687"/>
      <c r="G16" s="687"/>
      <c r="H16" s="687"/>
      <c r="I16" s="912"/>
      <c r="J16" s="687"/>
      <c r="K16" s="687"/>
      <c r="L16" s="687"/>
      <c r="M16" s="687"/>
      <c r="N16" s="687"/>
      <c r="O16" s="687"/>
      <c r="P16" s="687"/>
      <c r="Q16" s="181"/>
      <c r="R16" s="181"/>
      <c r="S16" s="183"/>
      <c r="T16" s="2720"/>
      <c r="U16" s="2747"/>
      <c r="V16" s="181"/>
      <c r="W16" s="181"/>
      <c r="Z16" s="110"/>
      <c r="AA16" s="60"/>
      <c r="AB16" s="10"/>
      <c r="AD16" s="62"/>
      <c r="AE16" s="60"/>
      <c r="AH16" s="62"/>
      <c r="AI16" s="60"/>
      <c r="AL16" s="62"/>
      <c r="AM16" s="60"/>
      <c r="AO16" s="111"/>
      <c r="AP16" s="62"/>
      <c r="AQ16" s="60"/>
      <c r="AS16" s="111"/>
      <c r="AT16" s="62"/>
      <c r="AU16" s="60"/>
      <c r="AW16" s="111"/>
      <c r="AY16" s="112"/>
      <c r="BC16" s="621"/>
      <c r="BD16" s="622"/>
      <c r="BE16" s="622"/>
      <c r="BF16" s="622"/>
      <c r="BG16" s="621"/>
      <c r="BH16" s="622"/>
      <c r="BI16" s="622"/>
      <c r="BJ16" s="622"/>
      <c r="BK16" s="621"/>
      <c r="BL16" s="622"/>
      <c r="BM16" s="622"/>
      <c r="BN16" s="622"/>
      <c r="BO16" s="621"/>
      <c r="BP16" s="622"/>
      <c r="BQ16" s="622"/>
      <c r="BR16" s="622"/>
      <c r="BS16" s="621"/>
      <c r="BT16" s="622"/>
      <c r="BU16" s="622"/>
      <c r="BV16" s="622"/>
      <c r="BW16" s="621"/>
      <c r="BX16" s="622"/>
      <c r="BY16" s="622"/>
      <c r="BZ16" s="889"/>
      <c r="CA16" s="622"/>
      <c r="CB16" s="622"/>
      <c r="CC16" s="622"/>
      <c r="CD16" s="622"/>
      <c r="CE16" s="622"/>
      <c r="CF16" s="622"/>
      <c r="CG16" s="622"/>
      <c r="CH16" s="622"/>
      <c r="CI16" s="622"/>
      <c r="CJ16" s="622"/>
      <c r="CK16" s="622"/>
      <c r="CL16" s="622"/>
      <c r="CM16" s="622"/>
      <c r="CN16" s="3388">
        <f t="shared" si="6"/>
        <v>0</v>
      </c>
      <c r="CO16" s="3556" t="e">
        <f t="shared" si="7"/>
        <v>#DIV/0!</v>
      </c>
      <c r="CP16" s="3388"/>
      <c r="CQ16" s="3388"/>
      <c r="CR16" s="1417" t="s">
        <v>1029</v>
      </c>
      <c r="CS16" s="1015"/>
      <c r="CT16" s="1015"/>
      <c r="CU16" s="1862"/>
      <c r="CV16" s="1862"/>
      <c r="CW16" s="1015"/>
      <c r="CX16" s="1015"/>
      <c r="CY16" s="174" t="e">
        <f t="shared" si="2"/>
        <v>#DIV/0!</v>
      </c>
      <c r="CZ16" s="1862">
        <f t="shared" si="3"/>
        <v>0</v>
      </c>
      <c r="DA16" s="883">
        <f t="shared" si="4"/>
        <v>0</v>
      </c>
      <c r="DB16" s="3115" t="e">
        <f t="shared" si="8"/>
        <v>#DIV/0!</v>
      </c>
      <c r="DC16" s="622"/>
      <c r="DE16" s="1015"/>
      <c r="DF16" s="889"/>
      <c r="DH16" s="657"/>
      <c r="DI16" s="657"/>
      <c r="DO16" s="2408" t="s">
        <v>1343</v>
      </c>
      <c r="DP16" s="2409">
        <f>-Data!BU483</f>
        <v>1592.4924646300001</v>
      </c>
      <c r="DQ16" s="2409">
        <f>-Data!BY483</f>
        <v>1823.4717760139999</v>
      </c>
      <c r="DR16" s="2416">
        <f>DQ16/DP16-1</f>
        <v>0.14504264008411849</v>
      </c>
      <c r="DS16" s="2409">
        <f>-Data!BX483</f>
        <v>1979.944371544</v>
      </c>
      <c r="DT16" s="2416">
        <f>DQ16/DS16-1</f>
        <v>-7.9028783726877938E-2</v>
      </c>
      <c r="DU16" s="2416"/>
      <c r="DV16" s="606"/>
      <c r="DW16" s="606"/>
      <c r="DX16" s="599">
        <f>CS29</f>
        <v>3874.3534103830002</v>
      </c>
      <c r="DY16" s="599">
        <f>CT29</f>
        <v>4813.518016901</v>
      </c>
      <c r="DZ16" s="1042">
        <f>(DY16/DX16-1)</f>
        <v>0.24240550797485416</v>
      </c>
      <c r="EA16" s="2082"/>
      <c r="EB16" s="599" t="e">
        <f>#REF!</f>
        <v>#REF!</v>
      </c>
      <c r="EC16" s="1005" t="e">
        <f>DY16/EB16</f>
        <v>#REF!</v>
      </c>
      <c r="ED16" s="1005"/>
      <c r="EE16" s="599">
        <f t="shared" si="5"/>
        <v>3874.3534103830002</v>
      </c>
      <c r="EF16" s="599">
        <f>M29</f>
        <v>8627.6217949970014</v>
      </c>
      <c r="EG16" s="1005">
        <f>EE16/EF16</f>
        <v>0.4490638906575235</v>
      </c>
      <c r="EH16" s="1005"/>
      <c r="EI16" s="599">
        <f>DE29</f>
        <v>1845.6917583950003</v>
      </c>
      <c r="EJ16" s="599">
        <f>DF29</f>
        <v>2383.5320019049996</v>
      </c>
      <c r="EK16" s="1042">
        <f>(EJ16/EI16-1)</f>
        <v>0.29140306937150817</v>
      </c>
      <c r="EL16" s="599">
        <f>K29</f>
        <v>6095.3371554799987</v>
      </c>
      <c r="EN16" s="864">
        <f>(EF16/EL16-1)</f>
        <v>0.41544619680969697</v>
      </c>
      <c r="EO16" s="986" t="e">
        <f>(EB16/EF16-1)</f>
        <v>#REF!</v>
      </c>
      <c r="EP16" s="985">
        <f>EI16/EF16</f>
        <v>0.21392821825654004</v>
      </c>
      <c r="EQ16" s="984"/>
      <c r="ER16" s="60" t="s">
        <v>220</v>
      </c>
      <c r="ET16" s="74">
        <f ca="1">ET8</f>
        <v>156943.02638456179</v>
      </c>
      <c r="EU16" s="45" t="s">
        <v>218</v>
      </c>
      <c r="EV16" s="113">
        <f ca="1">ET9</f>
        <v>140439.02638456179</v>
      </c>
      <c r="FB16" s="62"/>
    </row>
    <row r="17" spans="2:158">
      <c r="B17" s="1443" t="s">
        <v>16</v>
      </c>
      <c r="C17" s="380">
        <f>-Data!L342</f>
        <v>857.89299494600004</v>
      </c>
      <c r="D17" s="189">
        <f>-Data!M342</f>
        <v>1356.6073643530001</v>
      </c>
      <c r="E17" s="189">
        <f>-Data!N342</f>
        <v>1617.8189523349999</v>
      </c>
      <c r="F17" s="189">
        <f>-Data!O342</f>
        <v>2226.8708059579999</v>
      </c>
      <c r="G17" s="189">
        <f>-Data!P342</f>
        <v>2638.4545151980001</v>
      </c>
      <c r="H17" s="189">
        <f>-Data!Q342</f>
        <v>3074.6374035200001</v>
      </c>
      <c r="I17" s="380">
        <f>-Data!R342</f>
        <v>2047.8335775400001</v>
      </c>
      <c r="J17" s="189">
        <f>-Data!S342</f>
        <v>2345.9576465069999</v>
      </c>
      <c r="K17" s="189">
        <f>-Data!T342</f>
        <v>2713.561338553</v>
      </c>
      <c r="L17" s="189">
        <f>-Data!U342</f>
        <v>3604.6107849810001</v>
      </c>
      <c r="M17" s="189">
        <f>-Data!V342</f>
        <v>4526.4406918149998</v>
      </c>
      <c r="N17" s="189">
        <f>-Data!W342</f>
        <v>5242.5519069600005</v>
      </c>
      <c r="O17" s="189">
        <f>-Data!X342</f>
        <v>6115.96</v>
      </c>
      <c r="P17" s="189">
        <f>-Data!Y342</f>
        <v>7580.84</v>
      </c>
      <c r="Q17" s="1518">
        <f ca="1">Q9*Q19</f>
        <v>4575.5685344337362</v>
      </c>
      <c r="R17" s="1518">
        <f ca="1">R9*R19</f>
        <v>5209.656595800001</v>
      </c>
      <c r="S17" s="3513">
        <f ca="1">S9*S19</f>
        <v>6046.4024489400017</v>
      </c>
      <c r="T17" s="2728"/>
      <c r="U17" s="2746"/>
      <c r="V17" s="1518">
        <f>V9*Assumptions!AG42</f>
        <v>5574.4610000000011</v>
      </c>
      <c r="W17" s="1518">
        <f ca="1">W9*W19</f>
        <v>7028.6723799999991</v>
      </c>
      <c r="Z17" s="110"/>
      <c r="AA17" s="101"/>
      <c r="AB17" s="102"/>
      <c r="AC17" s="102"/>
      <c r="AD17" s="103"/>
      <c r="AE17" s="101"/>
      <c r="AF17" s="102"/>
      <c r="AG17" s="73"/>
      <c r="AH17" s="104"/>
      <c r="AI17" s="114"/>
      <c r="AJ17" s="73"/>
      <c r="AK17" s="73"/>
      <c r="AL17" s="104"/>
      <c r="AM17" s="114"/>
      <c r="AN17" s="73"/>
      <c r="AO17" s="73"/>
      <c r="AP17" s="70"/>
      <c r="AQ17" s="71"/>
      <c r="AR17" s="61"/>
      <c r="AS17" s="61"/>
      <c r="AT17" s="70"/>
      <c r="AU17" s="71"/>
      <c r="AV17" s="61"/>
      <c r="AW17" s="61"/>
      <c r="AX17" s="61"/>
      <c r="AY17" s="71"/>
      <c r="AZ17" s="61"/>
      <c r="BA17" s="61"/>
      <c r="BB17" s="73"/>
      <c r="BC17" s="623" t="e">
        <f>-#REF!</f>
        <v>#REF!</v>
      </c>
      <c r="BD17" s="624" t="e">
        <f>-#REF!</f>
        <v>#REF!</v>
      </c>
      <c r="BE17" s="624" t="e">
        <f>-#REF!</f>
        <v>#REF!</v>
      </c>
      <c r="BF17" s="624" t="e">
        <f>-#REF!</f>
        <v>#REF!</v>
      </c>
      <c r="BG17" s="623">
        <f>-Data!BA482</f>
        <v>422.70740572199998</v>
      </c>
      <c r="BH17" s="624">
        <f>-Data!BB482</f>
        <v>451.95925439600001</v>
      </c>
      <c r="BI17" s="624">
        <f>-Data!BC482</f>
        <v>507.53495844999998</v>
      </c>
      <c r="BJ17" s="624">
        <f>-Data!BD482</f>
        <v>665.49633447099995</v>
      </c>
      <c r="BK17" s="623">
        <f>-Data!BE482</f>
        <v>488.58604888799999</v>
      </c>
      <c r="BL17" s="624">
        <f>-Data!BF482</f>
        <v>566.45549799200001</v>
      </c>
      <c r="BM17" s="624">
        <f>-Data!BG482</f>
        <v>559.02313908400004</v>
      </c>
      <c r="BN17" s="624">
        <f>-Data!BH482</f>
        <v>727.16923425000004</v>
      </c>
      <c r="BO17" s="623">
        <f>-Data!BI482</f>
        <v>620.22056150599997</v>
      </c>
      <c r="BP17" s="624">
        <f>-Data!BJ482</f>
        <v>683.17373726400001</v>
      </c>
      <c r="BQ17" s="624">
        <f>-Data!BK482</f>
        <v>627.45166772799996</v>
      </c>
      <c r="BR17" s="624">
        <f>-Data!BL482</f>
        <v>858.58275423800001</v>
      </c>
      <c r="BS17" s="623">
        <f>-Data!BM482</f>
        <v>852.11492132800004</v>
      </c>
      <c r="BT17" s="624">
        <f>-Data!BN482</f>
        <v>829.919009383</v>
      </c>
      <c r="BU17" s="624">
        <f>-Data!BO482</f>
        <v>804.02383046299997</v>
      </c>
      <c r="BV17" s="624">
        <f>-Data!BP482</f>
        <v>1225.9420203699999</v>
      </c>
      <c r="BW17" s="623">
        <f>-Data!BQ482</f>
        <v>1007.092497146</v>
      </c>
      <c r="BX17" s="624">
        <f>-Data!BR482</f>
        <v>1013.823056754</v>
      </c>
      <c r="BY17" s="624">
        <f>-Data!BS482</f>
        <v>1131.4023728879999</v>
      </c>
      <c r="BZ17" s="890">
        <f>-Data!BT482</f>
        <v>1481.341041915</v>
      </c>
      <c r="CA17" s="624">
        <f>-Data!BU482</f>
        <v>1101.871534159</v>
      </c>
      <c r="CB17" s="624">
        <f>-Data!BV482</f>
        <v>1238.296534096</v>
      </c>
      <c r="CC17" s="624">
        <f>-Data!BW482</f>
        <v>1434.174354947</v>
      </c>
      <c r="CD17" s="624">
        <f>-Data!BX482</f>
        <v>1316.1562853949999</v>
      </c>
      <c r="CE17" s="624">
        <f>-Data!BY482</f>
        <v>1368.9486257430001</v>
      </c>
      <c r="CF17" s="624">
        <f>-Data!BZ482</f>
        <v>1588.212329172</v>
      </c>
      <c r="CG17" s="624">
        <f>-Data!CA482</f>
        <v>1563.862943636</v>
      </c>
      <c r="CH17" s="624">
        <f>-Data!CB482</f>
        <v>1594.94</v>
      </c>
      <c r="CI17" s="624">
        <f>-Data!CC482</f>
        <v>1828.7859292820001</v>
      </c>
      <c r="CJ17" s="624">
        <f>-Data!CD482</f>
        <v>1790.295896888</v>
      </c>
      <c r="CK17" s="624">
        <f>-Data!CE482</f>
        <v>1916.5828326430001</v>
      </c>
      <c r="CL17" s="624">
        <f>-Data!CF482</f>
        <v>2026.9959816410001</v>
      </c>
      <c r="CM17" s="624">
        <f>-Data!CG482</f>
        <v>1002.337155317</v>
      </c>
      <c r="CN17" s="3388">
        <f t="shared" si="6"/>
        <v>4009.348621268</v>
      </c>
      <c r="CO17" s="3556">
        <f t="shared" ca="1" si="7"/>
        <v>1.1412249137334092</v>
      </c>
      <c r="CP17" s="3388"/>
      <c r="CQ17" s="3388"/>
      <c r="CR17" s="1443" t="s">
        <v>16</v>
      </c>
      <c r="CS17" s="1862">
        <f>BW17+BX17</f>
        <v>2020.9155539000001</v>
      </c>
      <c r="CT17" s="1865">
        <f>CA17+CB17</f>
        <v>2340.168068255</v>
      </c>
      <c r="CU17" s="1862">
        <f t="shared" si="29"/>
        <v>5535.6646588130006</v>
      </c>
      <c r="CV17" s="1862">
        <f t="shared" si="30"/>
        <v>4521.0238985509995</v>
      </c>
      <c r="CW17" s="1865">
        <f>CI17+CJ17</f>
        <v>3619.0818261700001</v>
      </c>
      <c r="CX17" s="1865">
        <f>CE17+CF17</f>
        <v>2957.1609549149998</v>
      </c>
      <c r="CY17" s="174">
        <f t="shared" si="2"/>
        <v>0.22383660590230758</v>
      </c>
      <c r="CZ17" s="1862">
        <f t="shared" si="3"/>
        <v>1790.295896888</v>
      </c>
      <c r="DA17" s="883">
        <f t="shared" si="4"/>
        <v>1588.212329172</v>
      </c>
      <c r="DB17" s="3115">
        <f t="shared" si="8"/>
        <v>0.12723964170543534</v>
      </c>
      <c r="DC17" s="624"/>
      <c r="DD17" s="209"/>
      <c r="DE17" s="1006">
        <f>SUM(BW17)</f>
        <v>1007.092497146</v>
      </c>
      <c r="DF17" s="1007">
        <f>SUM(CA17)</f>
        <v>1101.871534159</v>
      </c>
      <c r="DG17" s="43">
        <f>DF17/DE17-1</f>
        <v>9.4111551105379387E-2</v>
      </c>
      <c r="DH17" s="657"/>
      <c r="DI17" s="657"/>
      <c r="DO17" s="2410" t="s">
        <v>166</v>
      </c>
      <c r="DP17" s="2416">
        <f>CA23</f>
        <v>0.23065461926247766</v>
      </c>
      <c r="DQ17" s="2416">
        <f>CE23</f>
        <v>0.22652640445216585</v>
      </c>
      <c r="DR17" s="2416"/>
      <c r="DS17" s="2416">
        <f>CD23</f>
        <v>0.22437086850483212</v>
      </c>
      <c r="DT17" s="2416"/>
      <c r="DU17" s="2416"/>
      <c r="DV17" s="605"/>
      <c r="DW17" s="605"/>
      <c r="DX17" s="600">
        <f>DX16/DX5</f>
        <v>0.19541471112666536</v>
      </c>
      <c r="DY17" s="600">
        <f>DY16/DY5</f>
        <v>0.19918766774025493</v>
      </c>
      <c r="DZ17" s="1042"/>
      <c r="EA17" s="2082"/>
      <c r="EB17" s="600" t="e">
        <f>EB16/EB5</f>
        <v>#REF!</v>
      </c>
      <c r="EC17" s="1005"/>
      <c r="ED17" s="1005"/>
      <c r="EE17" s="1876">
        <f t="shared" si="5"/>
        <v>0.19541471112666536</v>
      </c>
      <c r="EF17" s="600">
        <f>EF16/EF5</f>
        <v>0.19603986340301505</v>
      </c>
      <c r="EG17" s="1005"/>
      <c r="EH17" s="1005"/>
      <c r="EI17" s="600">
        <f>EI16/EI5</f>
        <v>0.18968587951679683</v>
      </c>
      <c r="EJ17" s="600">
        <f>EJ16/EJ5</f>
        <v>0.20404543211178142</v>
      </c>
      <c r="EK17" s="1042"/>
      <c r="EL17" s="600">
        <f>EL16/EL5</f>
        <v>0.20433306451916289</v>
      </c>
      <c r="EN17" s="864"/>
      <c r="EO17" s="986"/>
      <c r="EP17" s="985"/>
      <c r="EQ17" s="317"/>
      <c r="ER17" s="440"/>
      <c r="ES17" s="440">
        <v>2020</v>
      </c>
      <c r="ET17" s="655">
        <v>2021</v>
      </c>
      <c r="EU17" s="655">
        <v>2022</v>
      </c>
      <c r="EV17" s="441">
        <v>2023</v>
      </c>
      <c r="EW17" s="441">
        <v>2024</v>
      </c>
      <c r="EX17" s="441">
        <v>2025</v>
      </c>
      <c r="EY17" s="441" t="s">
        <v>263</v>
      </c>
      <c r="EZ17" s="441" t="s">
        <v>812</v>
      </c>
      <c r="FA17" s="441" t="s">
        <v>948</v>
      </c>
      <c r="FB17" s="441" t="s">
        <v>948</v>
      </c>
    </row>
    <row r="18" spans="2:158" s="28" customFormat="1">
      <c r="B18" s="946" t="s">
        <v>14</v>
      </c>
      <c r="C18" s="913"/>
      <c r="D18" s="688"/>
      <c r="E18" s="688"/>
      <c r="F18" s="688"/>
      <c r="G18" s="688"/>
      <c r="H18" s="688"/>
      <c r="I18" s="709"/>
      <c r="J18" s="709">
        <f t="shared" ref="J18:P18" si="44">J17/I17-1</f>
        <v>0.14558022303996365</v>
      </c>
      <c r="K18" s="709">
        <f t="shared" si="44"/>
        <v>0.15669664479806</v>
      </c>
      <c r="L18" s="709">
        <f t="shared" si="44"/>
        <v>0.32836900856759321</v>
      </c>
      <c r="M18" s="709">
        <f t="shared" si="44"/>
        <v>0.25573632267730639</v>
      </c>
      <c r="N18" s="709">
        <f t="shared" si="44"/>
        <v>0.15820625164490032</v>
      </c>
      <c r="O18" s="709">
        <f t="shared" si="44"/>
        <v>0.16659979882706843</v>
      </c>
      <c r="P18" s="709">
        <f t="shared" si="44"/>
        <v>0.23951759004310036</v>
      </c>
      <c r="Q18" s="709">
        <f ca="1">Q17/P17-1</f>
        <v>-0.39642987657914741</v>
      </c>
      <c r="R18" s="709">
        <f ca="1">R17/Q17-1</f>
        <v>0.13858126189005682</v>
      </c>
      <c r="S18" s="3508">
        <f ca="1">S17/R17-1</f>
        <v>0.16061439708225311</v>
      </c>
      <c r="T18" s="2716"/>
      <c r="U18" s="2716"/>
      <c r="V18" s="709">
        <f>V17/N17-1</f>
        <v>6.3310597382804978E-2</v>
      </c>
      <c r="W18" s="709">
        <f ca="1">W17/O17-1</f>
        <v>0.14923452409760674</v>
      </c>
      <c r="Z18" s="99"/>
      <c r="AA18" s="75"/>
      <c r="AB18" s="76"/>
      <c r="AC18" s="76"/>
      <c r="AD18" s="116"/>
      <c r="AE18" s="75"/>
      <c r="AF18" s="76"/>
      <c r="AG18" s="79"/>
      <c r="AH18" s="77"/>
      <c r="AI18" s="78"/>
      <c r="AJ18" s="79"/>
      <c r="AK18" s="79"/>
      <c r="AL18" s="77"/>
      <c r="AM18" s="78"/>
      <c r="AN18" s="79"/>
      <c r="AO18" s="79"/>
      <c r="AP18" s="81"/>
      <c r="AQ18" s="82"/>
      <c r="AR18" s="80"/>
      <c r="AS18" s="80"/>
      <c r="AT18" s="81"/>
      <c r="AU18" s="82"/>
      <c r="AV18" s="80"/>
      <c r="AW18" s="80"/>
      <c r="AX18" s="80"/>
      <c r="AY18" s="87"/>
      <c r="AZ18" s="117"/>
      <c r="BA18" s="117"/>
      <c r="BB18" s="607"/>
      <c r="BC18" s="625"/>
      <c r="BD18" s="626"/>
      <c r="BE18" s="626"/>
      <c r="BF18" s="626"/>
      <c r="BG18" s="625"/>
      <c r="BH18" s="626"/>
      <c r="BI18" s="626"/>
      <c r="BJ18" s="626"/>
      <c r="BK18" s="1352">
        <f>BK17/BG17-1</f>
        <v>0.15584927605769483</v>
      </c>
      <c r="BL18" s="1353">
        <f t="shared" ref="BL18:BZ18" si="45">BL17/BH17-1</f>
        <v>0.25333311019156635</v>
      </c>
      <c r="BM18" s="1353">
        <f t="shared" si="45"/>
        <v>0.10144755504378211</v>
      </c>
      <c r="BN18" s="1353">
        <f t="shared" si="45"/>
        <v>9.2672035268268838E-2</v>
      </c>
      <c r="BO18" s="1352">
        <f t="shared" si="45"/>
        <v>0.26941930273611825</v>
      </c>
      <c r="BP18" s="1353">
        <f t="shared" si="45"/>
        <v>0.20605014813299305</v>
      </c>
      <c r="BQ18" s="1353">
        <f t="shared" si="45"/>
        <v>0.12240732781853181</v>
      </c>
      <c r="BR18" s="1353">
        <f t="shared" si="45"/>
        <v>0.1807193068660824</v>
      </c>
      <c r="BS18" s="1352">
        <f t="shared" si="45"/>
        <v>0.37389015168881445</v>
      </c>
      <c r="BT18" s="1353">
        <f t="shared" si="45"/>
        <v>0.2147993462200275</v>
      </c>
      <c r="BU18" s="1353">
        <f t="shared" si="45"/>
        <v>0.28141157608898726</v>
      </c>
      <c r="BV18" s="1353">
        <f t="shared" si="45"/>
        <v>0.42786704521922836</v>
      </c>
      <c r="BW18" s="1352">
        <f t="shared" si="45"/>
        <v>0.1818740312356828</v>
      </c>
      <c r="BX18" s="1353">
        <f t="shared" si="45"/>
        <v>0.22159276422373164</v>
      </c>
      <c r="BY18" s="1353">
        <f t="shared" si="45"/>
        <v>0.40717517319912999</v>
      </c>
      <c r="BZ18" s="2176">
        <f t="shared" si="45"/>
        <v>0.20832879312507657</v>
      </c>
      <c r="CA18" s="1353">
        <f>CA17/BW17-1</f>
        <v>9.4111551105379387E-2</v>
      </c>
      <c r="CB18" s="1353">
        <f>CB17/BX17-1</f>
        <v>0.22141287461019687</v>
      </c>
      <c r="CC18" s="1353">
        <f>CC17/BY17-1</f>
        <v>0.26760769582456234</v>
      </c>
      <c r="CD18" s="1353">
        <f>CD17/CA17-1</f>
        <v>0.19447344322181093</v>
      </c>
      <c r="CE18" s="1353">
        <f>CE17/CA17-1</f>
        <v>0.24238496349562721</v>
      </c>
      <c r="CF18" s="1353">
        <f t="shared" ref="CF18:CH18" si="46">CF17/CB17-1</f>
        <v>0.28257835295602352</v>
      </c>
      <c r="CG18" s="1353">
        <f t="shared" si="46"/>
        <v>9.0427351626847674E-2</v>
      </c>
      <c r="CH18" s="1353">
        <f t="shared" si="46"/>
        <v>0.21181657353201988</v>
      </c>
      <c r="CI18" s="1353">
        <f>CI17/CE17-1</f>
        <v>0.33590544954849721</v>
      </c>
      <c r="CJ18" s="1353">
        <f>CJ17/CF17-1</f>
        <v>0.12723964170543534</v>
      </c>
      <c r="CK18" s="1353">
        <f>CK17/CG17-1</f>
        <v>0.2255439905666683</v>
      </c>
      <c r="CL18" s="1353">
        <f>CL17/CH17-1</f>
        <v>0.27089168347461356</v>
      </c>
      <c r="CM18" s="1353">
        <f>CM17/CI17-1</f>
        <v>-0.45191116178888813</v>
      </c>
      <c r="CN18" s="3388">
        <f t="shared" si="6"/>
        <v>-1.8076446471555525</v>
      </c>
      <c r="CO18" s="3556">
        <f t="shared" ca="1" si="7"/>
        <v>0.21930741598076584</v>
      </c>
      <c r="CP18" s="3388"/>
      <c r="CQ18" s="3388"/>
      <c r="CR18" s="946" t="s">
        <v>14</v>
      </c>
      <c r="CS18" s="1866"/>
      <c r="CT18" s="1866"/>
      <c r="CU18" s="1862"/>
      <c r="CV18" s="1862"/>
      <c r="CW18" s="1866"/>
      <c r="CX18" s="1866"/>
      <c r="CY18" s="174" t="e">
        <f t="shared" si="2"/>
        <v>#DIV/0!</v>
      </c>
      <c r="CZ18" s="1875">
        <f t="shared" si="3"/>
        <v>0.12723964170543534</v>
      </c>
      <c r="DA18" s="3115">
        <f t="shared" si="4"/>
        <v>0.28257835295602352</v>
      </c>
      <c r="DB18" s="3115">
        <f t="shared" si="8"/>
        <v>-0.54971907658745145</v>
      </c>
      <c r="DC18" s="1353"/>
      <c r="DD18" s="607"/>
      <c r="DE18" s="1016"/>
      <c r="DF18" s="1017"/>
      <c r="DG18" s="83"/>
      <c r="DH18" s="658"/>
      <c r="DI18" s="658"/>
      <c r="DJ18" s="84"/>
      <c r="DK18" s="84"/>
      <c r="DL18" s="84"/>
      <c r="DM18" s="84"/>
      <c r="DN18" s="84"/>
      <c r="DO18" s="2408" t="s">
        <v>230</v>
      </c>
      <c r="DP18" s="2417">
        <f>Data!BU478+Data!BU479</f>
        <v>179.66120628700003</v>
      </c>
      <c r="DQ18" s="2417">
        <f>Data!BY478+Data!BY479</f>
        <v>123.027706685</v>
      </c>
      <c r="DR18" s="2416">
        <f>DQ18/DP18-1</f>
        <v>-0.31522386369559807</v>
      </c>
      <c r="DS18" s="2417">
        <f>Data!BX478+Data!BX479</f>
        <v>-7.2109139279999681</v>
      </c>
      <c r="DT18" s="2416">
        <f>DQ18/DS18-1</f>
        <v>-18.061319537775038</v>
      </c>
      <c r="DU18" s="2416"/>
      <c r="DV18" s="596"/>
      <c r="DW18" s="596"/>
      <c r="DX18" s="599">
        <f>CS39</f>
        <v>317.52603122699998</v>
      </c>
      <c r="DY18" s="599">
        <f>CT39</f>
        <v>515.20687025100005</v>
      </c>
      <c r="DZ18" s="1041">
        <f>DY18/DX18-1</f>
        <v>0.62256577282848879</v>
      </c>
      <c r="EA18" s="2080"/>
      <c r="EB18" s="599" t="e">
        <f>#REF!</f>
        <v>#REF!</v>
      </c>
      <c r="EC18" s="1005" t="e">
        <f>DY18/EB18</f>
        <v>#REF!</v>
      </c>
      <c r="ED18" s="1005"/>
      <c r="EE18" s="599">
        <f t="shared" si="5"/>
        <v>317.52603122699998</v>
      </c>
      <c r="EF18" s="599">
        <f>M39</f>
        <v>311.13427804100002</v>
      </c>
      <c r="EG18" s="1005"/>
      <c r="EH18" s="1005"/>
      <c r="EI18" s="599">
        <f>DE39</f>
        <v>148.21377647099996</v>
      </c>
      <c r="EJ18" s="599">
        <f>DF39</f>
        <v>179.66120628700003</v>
      </c>
      <c r="EK18" s="1041">
        <f>EJ18/EI18-1</f>
        <v>0.21217615909107601</v>
      </c>
      <c r="EL18" s="599">
        <f>K39</f>
        <v>273.7312131650001</v>
      </c>
      <c r="EN18" s="602"/>
      <c r="EO18" s="985" t="e">
        <f>(EB18/EF18-1)</f>
        <v>#REF!</v>
      </c>
      <c r="EP18" s="985">
        <f>EI18/EF18</f>
        <v>0.47636595171769841</v>
      </c>
      <c r="EQ18" s="318"/>
      <c r="ER18" s="148" t="s">
        <v>144</v>
      </c>
      <c r="ES18" s="653">
        <f t="shared" ref="ES18" si="47">K94</f>
        <v>4114.9824409595221</v>
      </c>
      <c r="ET18" s="653">
        <f>L94</f>
        <v>4341.5676497790164</v>
      </c>
      <c r="EU18" s="653">
        <f>M94</f>
        <v>4419.7695071036078</v>
      </c>
      <c r="EV18" s="653">
        <f t="shared" ref="EV18" si="48">N94</f>
        <v>4648.3798543374169</v>
      </c>
      <c r="EW18" s="653">
        <f t="shared" ref="EW18" si="49">O94</f>
        <v>4876.6811591306641</v>
      </c>
      <c r="EX18" s="653">
        <f t="shared" ref="EX18" si="50">P94</f>
        <v>5072.8437582077886</v>
      </c>
      <c r="EY18" s="653">
        <f ca="1">Q94</f>
        <v>6139.6016415160148</v>
      </c>
      <c r="EZ18" s="653">
        <f ca="1">R94</f>
        <v>6936.1467464204525</v>
      </c>
      <c r="FA18" s="653">
        <f ca="1">S94</f>
        <v>7859.1752458918472</v>
      </c>
      <c r="FB18" s="653">
        <f>T94</f>
        <v>0</v>
      </c>
    </row>
    <row r="19" spans="2:158" s="28" customFormat="1">
      <c r="B19" s="945" t="s">
        <v>816</v>
      </c>
      <c r="C19" s="721">
        <f>C17/C9</f>
        <v>3.4881775963952644E-2</v>
      </c>
      <c r="D19" s="710">
        <f t="shared" ref="D19:M19" si="51">D17/D9</f>
        <v>5.0192872188073508E-2</v>
      </c>
      <c r="E19" s="710">
        <f t="shared" si="51"/>
        <v>4.9558461714184272E-2</v>
      </c>
      <c r="F19" s="710">
        <f t="shared" si="51"/>
        <v>5.8664080035796512E-2</v>
      </c>
      <c r="G19" s="710">
        <f t="shared" si="51"/>
        <v>6.6743144243575511E-2</v>
      </c>
      <c r="H19" s="710">
        <f t="shared" si="51"/>
        <v>7.2075422590634222E-2</v>
      </c>
      <c r="I19" s="721">
        <f t="shared" si="51"/>
        <v>8.8217215243463515E-2</v>
      </c>
      <c r="J19" s="710">
        <f t="shared" si="51"/>
        <v>8.4639788548905665E-2</v>
      </c>
      <c r="K19" s="710">
        <f t="shared" si="51"/>
        <v>9.0966305870178302E-2</v>
      </c>
      <c r="L19" s="710">
        <f t="shared" si="51"/>
        <v>0.10109050801163431</v>
      </c>
      <c r="M19" s="710">
        <f t="shared" si="51"/>
        <v>0.10285138083357186</v>
      </c>
      <c r="N19" s="710">
        <f t="shared" ref="N19:O19" si="52">N17/N9</f>
        <v>9.9634379641224929E-2</v>
      </c>
      <c r="O19" s="710">
        <f t="shared" si="52"/>
        <v>9.7312295113398367E-2</v>
      </c>
      <c r="P19" s="710">
        <f t="shared" ref="P19" si="53">P17/P9</f>
        <v>0.10797734550161101</v>
      </c>
      <c r="Q19" s="1074">
        <v>0.08</v>
      </c>
      <c r="R19" s="1074">
        <v>7.9000000000000001E-2</v>
      </c>
      <c r="S19" s="1080">
        <v>7.9000000000000001E-2</v>
      </c>
      <c r="T19" s="2718"/>
      <c r="U19" s="2719"/>
      <c r="V19" s="1074">
        <f>V17/V9</f>
        <v>0.1</v>
      </c>
      <c r="W19" s="1074">
        <v>0.106</v>
      </c>
      <c r="Z19" s="99"/>
      <c r="AA19" s="87"/>
      <c r="AB19" s="88"/>
      <c r="AC19" s="88"/>
      <c r="AD19" s="89"/>
      <c r="AE19" s="87"/>
      <c r="AF19" s="88"/>
      <c r="AG19" s="88"/>
      <c r="AH19" s="89"/>
      <c r="AI19" s="87"/>
      <c r="AJ19" s="88"/>
      <c r="AK19" s="88"/>
      <c r="AL19" s="89"/>
      <c r="AM19" s="87"/>
      <c r="AN19" s="88"/>
      <c r="AO19" s="88"/>
      <c r="AP19" s="89"/>
      <c r="AQ19" s="87"/>
      <c r="AR19" s="88"/>
      <c r="AS19" s="88"/>
      <c r="AT19" s="88"/>
      <c r="AU19" s="87"/>
      <c r="AV19" s="88"/>
      <c r="AW19" s="88"/>
      <c r="AX19" s="88"/>
      <c r="AY19" s="87"/>
      <c r="AZ19" s="88"/>
      <c r="BA19" s="88"/>
      <c r="BB19" s="88"/>
      <c r="BC19" s="716" t="e">
        <f>BC17/BC9</f>
        <v>#REF!</v>
      </c>
      <c r="BD19" s="717" t="e">
        <f>BD17/BD9</f>
        <v>#REF!</v>
      </c>
      <c r="BE19" s="717" t="e">
        <f>BE17/BE9</f>
        <v>#REF!</v>
      </c>
      <c r="BF19" s="717" t="e">
        <f>BF17/BF9</f>
        <v>#REF!</v>
      </c>
      <c r="BG19" s="716">
        <f>BG17/BG9</f>
        <v>8.8976635209797095E-2</v>
      </c>
      <c r="BH19" s="717">
        <f t="shared" ref="BH19:CB19" si="54">BH17/BH9</f>
        <v>8.2560753324148264E-2</v>
      </c>
      <c r="BI19" s="717">
        <f t="shared" si="54"/>
        <v>8.4083830864979975E-2</v>
      </c>
      <c r="BJ19" s="717">
        <f t="shared" si="54"/>
        <v>9.572117181954419E-2</v>
      </c>
      <c r="BK19" s="716">
        <f t="shared" si="54"/>
        <v>8.6223913609942068E-2</v>
      </c>
      <c r="BL19" s="717">
        <f t="shared" si="54"/>
        <v>8.2985974114796565E-2</v>
      </c>
      <c r="BM19" s="717">
        <f t="shared" si="54"/>
        <v>7.8687176134185757E-2</v>
      </c>
      <c r="BN19" s="717">
        <f t="shared" si="54"/>
        <v>8.955078940485707E-2</v>
      </c>
      <c r="BO19" s="716">
        <f t="shared" si="54"/>
        <v>9.3539625927814049E-2</v>
      </c>
      <c r="BP19" s="717">
        <f t="shared" si="54"/>
        <v>9.7875858558326811E-2</v>
      </c>
      <c r="BQ19" s="717">
        <f t="shared" si="54"/>
        <v>8.3071758595094969E-2</v>
      </c>
      <c r="BR19" s="717">
        <f t="shared" si="54"/>
        <v>9.9066807117483863E-2</v>
      </c>
      <c r="BS19" s="716">
        <f t="shared" si="54"/>
        <v>0.11232245144153745</v>
      </c>
      <c r="BT19" s="717">
        <f t="shared" si="54"/>
        <v>9.6036463864118307E-2</v>
      </c>
      <c r="BU19" s="717">
        <f t="shared" si="54"/>
        <v>9.2149912280013083E-2</v>
      </c>
      <c r="BV19" s="717">
        <f t="shared" si="54"/>
        <v>0.11453060992680393</v>
      </c>
      <c r="BW19" s="716">
        <f t="shared" si="54"/>
        <v>0.10350115354149142</v>
      </c>
      <c r="BX19" s="717">
        <f t="shared" si="54"/>
        <v>0.10041769240873243</v>
      </c>
      <c r="BY19" s="717">
        <f t="shared" si="54"/>
        <v>0.10148418022656493</v>
      </c>
      <c r="BZ19" s="884">
        <f t="shared" si="54"/>
        <v>0.11357864028692273</v>
      </c>
      <c r="CA19" s="717">
        <f t="shared" si="54"/>
        <v>9.4327180478152362E-2</v>
      </c>
      <c r="CB19" s="717">
        <f t="shared" si="54"/>
        <v>9.9187792651748638E-2</v>
      </c>
      <c r="CC19" s="717">
        <f t="shared" ref="CC19:CH19" si="55">CC17/CC9</f>
        <v>0.10421457144156154</v>
      </c>
      <c r="CD19" s="717">
        <f t="shared" si="55"/>
        <v>8.959287339131615E-2</v>
      </c>
      <c r="CE19" s="717">
        <f t="shared" si="55"/>
        <v>9.7137272365076133E-2</v>
      </c>
      <c r="CF19" s="717">
        <f t="shared" si="55"/>
        <v>0.10417768066094928</v>
      </c>
      <c r="CG19" s="717">
        <f t="shared" si="55"/>
        <v>9.8338708160607552E-2</v>
      </c>
      <c r="CH19" s="717">
        <f t="shared" si="55"/>
        <v>9.0581343971031056E-2</v>
      </c>
      <c r="CI19" s="717">
        <f t="shared" ref="CI19:CJ19" si="56">CI17/CI9</f>
        <v>0.11388528322393976</v>
      </c>
      <c r="CJ19" s="717">
        <f t="shared" si="56"/>
        <v>0.10768883003112485</v>
      </c>
      <c r="CK19" s="717">
        <f t="shared" ref="CK19:CL19" si="57">CK17/CK9</f>
        <v>0.11139995164900948</v>
      </c>
      <c r="CL19" s="717">
        <f t="shared" si="57"/>
        <v>0.10022006889223596</v>
      </c>
      <c r="CM19" s="717">
        <f t="shared" ref="CM19" si="58">CM17/CM9</f>
        <v>8.0315495164763551E-2</v>
      </c>
      <c r="CN19" s="3388">
        <f t="shared" si="6"/>
        <v>0.3212619806590542</v>
      </c>
      <c r="CO19" s="3556">
        <f t="shared" si="7"/>
        <v>0.24901795050844072</v>
      </c>
      <c r="CP19" s="3388"/>
      <c r="CQ19" s="3388"/>
      <c r="CR19" s="945" t="s">
        <v>816</v>
      </c>
      <c r="CS19" s="1034">
        <f>CS17/CS9</f>
        <v>0.10193097720987561</v>
      </c>
      <c r="CT19" s="1034">
        <f>CT17/CT9</f>
        <v>9.6838241385877863E-2</v>
      </c>
      <c r="CU19" s="1862"/>
      <c r="CV19" s="1862"/>
      <c r="CW19" s="1034">
        <f>CW17/CW9</f>
        <v>0.11073334746423442</v>
      </c>
      <c r="CX19" s="1034">
        <f t="shared" ref="CX19" si="59">CX17/CX9</f>
        <v>0.1007957375669533</v>
      </c>
      <c r="CY19" s="174">
        <f t="shared" si="2"/>
        <v>9.8591568821847275E-2</v>
      </c>
      <c r="CZ19" s="1875">
        <f t="shared" si="3"/>
        <v>0.10768883003112485</v>
      </c>
      <c r="DA19" s="3115">
        <f t="shared" si="4"/>
        <v>0.10417768066094928</v>
      </c>
      <c r="DB19" s="3115">
        <f t="shared" si="8"/>
        <v>3.3703470339321084E-2</v>
      </c>
      <c r="DC19" s="717"/>
      <c r="DD19" s="88"/>
      <c r="DE19" s="1010">
        <f>DE17/DE9</f>
        <v>0.10350115354149142</v>
      </c>
      <c r="DF19" s="989">
        <f>DF17/DF9</f>
        <v>9.4327180478152362E-2</v>
      </c>
      <c r="DG19" s="659"/>
      <c r="DH19" s="659"/>
      <c r="DI19" s="659"/>
      <c r="DJ19" s="93"/>
      <c r="DK19" s="93"/>
      <c r="DL19" s="93"/>
      <c r="DM19" s="93"/>
      <c r="DN19" s="93"/>
      <c r="DO19" s="2408" t="s">
        <v>1655</v>
      </c>
      <c r="DP19" s="2409">
        <f>Data!BU484</f>
        <v>2096.9332821359999</v>
      </c>
      <c r="DQ19" s="2409">
        <f>Data!BY484</f>
        <v>2515.527123032</v>
      </c>
      <c r="DR19" s="2416">
        <f>DQ19/DP19-1</f>
        <v>0.19962191666375184</v>
      </c>
      <c r="DS19" s="2409">
        <f>Data!BX484</f>
        <v>2386.6982904639999</v>
      </c>
      <c r="DT19" s="2416">
        <f>DQ19/DS19-1</f>
        <v>5.3977845914891187E-2</v>
      </c>
      <c r="DU19" s="2416"/>
      <c r="DV19" s="596"/>
      <c r="DW19" s="596"/>
      <c r="DX19" s="599">
        <f>CS44</f>
        <v>28.021778222999998</v>
      </c>
      <c r="DY19" s="599">
        <f>CT44</f>
        <v>52.076627036000005</v>
      </c>
      <c r="DZ19" s="1041">
        <f>DY19/DX19-1</f>
        <v>0.85843405873707268</v>
      </c>
      <c r="EA19" s="2080"/>
      <c r="EB19" s="599" t="e">
        <f>#REF!</f>
        <v>#REF!</v>
      </c>
      <c r="EC19" s="1005" t="e">
        <f>DY19/EB19</f>
        <v>#REF!</v>
      </c>
      <c r="ED19" s="1005"/>
      <c r="EE19" s="599">
        <f t="shared" si="5"/>
        <v>28.021778222999998</v>
      </c>
      <c r="EF19" s="599">
        <f>M44</f>
        <v>72.993337569000005</v>
      </c>
      <c r="EG19" s="1005"/>
      <c r="EH19" s="1005"/>
      <c r="EI19" s="599">
        <f>DE44</f>
        <v>6.3472675929999998</v>
      </c>
      <c r="EJ19" s="599">
        <f>DF44</f>
        <v>23.710364962</v>
      </c>
      <c r="EK19" s="1041">
        <f>EJ19/EI19-1</f>
        <v>2.7355231388304255</v>
      </c>
      <c r="EL19" s="599">
        <f>K44</f>
        <v>72.802166035999988</v>
      </c>
      <c r="EN19" s="602"/>
      <c r="EO19" s="985" t="e">
        <f>(EB19/EF19-1)</f>
        <v>#REF!</v>
      </c>
      <c r="EP19" s="985">
        <f>EI19/EF19</f>
        <v>8.6956807352451579E-2</v>
      </c>
      <c r="EQ19" s="318"/>
      <c r="ER19" s="148" t="s">
        <v>176</v>
      </c>
      <c r="ES19" s="654">
        <f t="shared" ref="ES19:FA19" si="60">K122</f>
        <v>20083.959957881267</v>
      </c>
      <c r="ET19" s="654">
        <f t="shared" si="60"/>
        <v>19768.510267121997</v>
      </c>
      <c r="EU19" s="654">
        <f t="shared" si="60"/>
        <v>19185.012425217719</v>
      </c>
      <c r="EV19" s="654">
        <f t="shared" si="60"/>
        <v>19665.171999231869</v>
      </c>
      <c r="EW19" s="654">
        <f t="shared" si="60"/>
        <v>20253.448342667816</v>
      </c>
      <c r="EX19" s="654">
        <f t="shared" si="60"/>
        <v>21418.382968014022</v>
      </c>
      <c r="EY19" s="654">
        <f t="shared" ca="1" si="60"/>
        <v>25209.887586224428</v>
      </c>
      <c r="EZ19" s="654">
        <f t="shared" ca="1" si="60"/>
        <v>29797.937309339271</v>
      </c>
      <c r="FA19" s="654">
        <f t="shared" ca="1" si="60"/>
        <v>35309.015531925521</v>
      </c>
      <c r="FB19" s="654">
        <f t="shared" ref="FB19" si="61">U122</f>
        <v>0</v>
      </c>
    </row>
    <row r="20" spans="2:158">
      <c r="B20" s="1443" t="s">
        <v>17</v>
      </c>
      <c r="C20" s="380">
        <f>-Data!L343</f>
        <v>1602.676357135</v>
      </c>
      <c r="D20" s="189">
        <f>-Data!M343</f>
        <v>1846.4736907869999</v>
      </c>
      <c r="E20" s="189">
        <f>-Data!N343</f>
        <v>2236.0335963419998</v>
      </c>
      <c r="F20" s="189">
        <f>-Data!O343</f>
        <v>2331.7894966099998</v>
      </c>
      <c r="G20" s="189">
        <f>-Data!P343</f>
        <v>2751.1584734319999</v>
      </c>
      <c r="H20" s="189">
        <f>-Data!Q343</f>
        <v>3441.1287140589998</v>
      </c>
      <c r="I20" s="380">
        <f>-Data!R343</f>
        <v>3553.288111032</v>
      </c>
      <c r="J20" s="189">
        <f>-Data!S343</f>
        <v>4219.2547706519999</v>
      </c>
      <c r="K20" s="189">
        <f>-Data!T343</f>
        <v>4495.3664575860003</v>
      </c>
      <c r="L20" s="189">
        <f>-Data!U343</f>
        <v>4612.3259355740001</v>
      </c>
      <c r="M20" s="189">
        <f>-Data!V343</f>
        <v>5846.2806535139998</v>
      </c>
      <c r="N20" s="189">
        <f>-Data!W343</f>
        <v>6625.3736383590003</v>
      </c>
      <c r="O20" s="189">
        <f>-Data!X343</f>
        <v>7074.04</v>
      </c>
      <c r="P20" s="189">
        <f>-Data!Y343</f>
        <v>7330.79</v>
      </c>
      <c r="Q20" s="1519">
        <f ca="1">Q9*9.6%</f>
        <v>5490.6822413204836</v>
      </c>
      <c r="R20" s="1519">
        <f ca="1">R9*9.5%</f>
        <v>6264.7769190000017</v>
      </c>
      <c r="S20" s="3514">
        <f ca="1">S9*9.5%</f>
        <v>7270.9902867000019</v>
      </c>
      <c r="T20" s="1705"/>
      <c r="U20" s="2746"/>
      <c r="V20" s="1519">
        <f>V9*Assumptions!AG43</f>
        <v>7135.3100800000011</v>
      </c>
      <c r="W20" s="1519">
        <f ca="1">W9*11.4%</f>
        <v>7559.1382199999998</v>
      </c>
      <c r="Z20" s="110"/>
      <c r="AA20" s="101"/>
      <c r="AB20" s="102"/>
      <c r="AC20" s="102"/>
      <c r="AD20" s="104"/>
      <c r="AE20" s="114"/>
      <c r="AF20" s="73"/>
      <c r="AG20" s="73"/>
      <c r="AH20" s="104"/>
      <c r="AI20" s="114"/>
      <c r="AJ20" s="73"/>
      <c r="AK20" s="73"/>
      <c r="AL20" s="104"/>
      <c r="AM20" s="114"/>
      <c r="AN20" s="73"/>
      <c r="AO20" s="73"/>
      <c r="AP20" s="70"/>
      <c r="AQ20" s="114"/>
      <c r="AR20" s="73"/>
      <c r="AS20" s="73"/>
      <c r="AT20" s="70"/>
      <c r="AU20" s="114"/>
      <c r="AV20" s="73"/>
      <c r="AW20" s="73"/>
      <c r="AX20" s="61"/>
      <c r="AY20" s="71"/>
      <c r="AZ20" s="61"/>
      <c r="BA20" s="61"/>
      <c r="BB20" s="73"/>
      <c r="BC20" s="623" t="e">
        <f>-#REF!</f>
        <v>#REF!</v>
      </c>
      <c r="BD20" s="624" t="e">
        <f>-#REF!</f>
        <v>#REF!</v>
      </c>
      <c r="BE20" s="624" t="e">
        <f>-#REF!</f>
        <v>#REF!</v>
      </c>
      <c r="BF20" s="624" t="e">
        <f>-#REF!</f>
        <v>#REF!</v>
      </c>
      <c r="BG20" s="623">
        <f>-Data!BA483</f>
        <v>770.42648117500005</v>
      </c>
      <c r="BH20" s="624">
        <f>-Data!BB483</f>
        <v>829.76603690399998</v>
      </c>
      <c r="BI20" s="624">
        <f>-Data!BC483</f>
        <v>900.927435586</v>
      </c>
      <c r="BJ20" s="624">
        <f>-Data!BD483</f>
        <v>1057.6961290419999</v>
      </c>
      <c r="BK20" s="623">
        <f>-Data!BE483</f>
        <v>980.58876392299999</v>
      </c>
      <c r="BL20" s="624">
        <f>-Data!BF483</f>
        <v>931.28080750699996</v>
      </c>
      <c r="BM20" s="624">
        <f>-Data!BG483</f>
        <v>1031.084693003</v>
      </c>
      <c r="BN20" s="624">
        <f>-Data!BH483</f>
        <v>1309.1446437960001</v>
      </c>
      <c r="BO20" s="623">
        <f>-Data!BI483</f>
        <v>954.03929000400001</v>
      </c>
      <c r="BP20" s="624">
        <f>-Data!BJ483</f>
        <v>935.99708226099995</v>
      </c>
      <c r="BQ20" s="624">
        <f>-Data!BK483</f>
        <v>1178.990862353</v>
      </c>
      <c r="BR20" s="624">
        <f>-Data!BL483</f>
        <v>1355.121201405</v>
      </c>
      <c r="BS20" s="623">
        <f>-Data!BM483</f>
        <v>961.763590894</v>
      </c>
      <c r="BT20" s="624">
        <f>-Data!BN483</f>
        <v>1115.156026481</v>
      </c>
      <c r="BU20" s="624">
        <f>-Data!BO483</f>
        <v>1071.115122466</v>
      </c>
      <c r="BV20" s="624">
        <f>-Data!BP483</f>
        <v>1406.8719091190001</v>
      </c>
      <c r="BW20" s="623">
        <f>-Data!BQ483</f>
        <v>1530.5722349919999</v>
      </c>
      <c r="BX20" s="624">
        <f>-Data!BR483</f>
        <v>1248.1602167410001</v>
      </c>
      <c r="BY20" s="624">
        <f>-Data!BS483</f>
        <v>1461.418832201</v>
      </c>
      <c r="BZ20" s="890">
        <f>-Data!BT483</f>
        <v>1761.816901184</v>
      </c>
      <c r="CA20" s="624">
        <f>-Data!BU483</f>
        <v>1592.4924646300001</v>
      </c>
      <c r="CB20" s="624">
        <f>-Data!BV483</f>
        <v>1475.558757945</v>
      </c>
      <c r="CC20" s="624">
        <f>-Data!BW483</f>
        <v>1773.5044498520001</v>
      </c>
      <c r="CD20" s="624">
        <f>-Data!BX483</f>
        <v>1979.944371544</v>
      </c>
      <c r="CE20" s="624">
        <f>-Data!BY483</f>
        <v>1823.4717760139999</v>
      </c>
      <c r="CF20" s="624">
        <f>-Data!BZ483</f>
        <v>1712.6580955760001</v>
      </c>
      <c r="CG20" s="624">
        <f>-Data!CA483</f>
        <v>1807.9578649519999</v>
      </c>
      <c r="CH20" s="624">
        <f>-Data!CB483</f>
        <v>1729.95</v>
      </c>
      <c r="CI20" s="624">
        <f>-Data!CC483</f>
        <v>1877.437056836</v>
      </c>
      <c r="CJ20" s="624">
        <f>-Data!CD483</f>
        <v>1913.7066344039999</v>
      </c>
      <c r="CK20" s="624">
        <f>-Data!CE483</f>
        <v>1647.276732839</v>
      </c>
      <c r="CL20" s="624">
        <f>-Data!CF483</f>
        <v>1898.93429655</v>
      </c>
      <c r="CM20" s="624">
        <f>-Data!CG483</f>
        <v>1210.2826629260001</v>
      </c>
      <c r="CN20" s="3388">
        <f t="shared" si="6"/>
        <v>4841.1306517040002</v>
      </c>
      <c r="CO20" s="3556">
        <f t="shared" ca="1" si="7"/>
        <v>1.1341735301830476</v>
      </c>
      <c r="CP20" s="3388"/>
      <c r="CQ20" s="3388"/>
      <c r="CR20" s="1443" t="s">
        <v>17</v>
      </c>
      <c r="CS20" s="1862">
        <f>BW20+BX20</f>
        <v>2778.7324517329998</v>
      </c>
      <c r="CT20" s="1865">
        <f>CA20+CB20</f>
        <v>3068.0512225749999</v>
      </c>
      <c r="CU20" s="1862">
        <f t="shared" si="29"/>
        <v>5438.4204240790004</v>
      </c>
      <c r="CV20" s="1862">
        <f t="shared" si="30"/>
        <v>5344.0877365420001</v>
      </c>
      <c r="CW20" s="1865">
        <f>CI20+CJ20</f>
        <v>3791.14369124</v>
      </c>
      <c r="CX20" s="1865">
        <f>CE20+CF20</f>
        <v>3536.1298715900002</v>
      </c>
      <c r="CY20" s="174">
        <f t="shared" si="2"/>
        <v>7.2116644159150756E-2</v>
      </c>
      <c r="CZ20" s="1862">
        <f t="shared" si="3"/>
        <v>1913.7066344039999</v>
      </c>
      <c r="DA20" s="883">
        <f t="shared" si="4"/>
        <v>1712.6580955760001</v>
      </c>
      <c r="DB20" s="3115">
        <f t="shared" si="8"/>
        <v>0.11738976935754564</v>
      </c>
      <c r="DC20" s="624"/>
      <c r="DD20" s="209"/>
      <c r="DE20" s="1006">
        <f>SUM(BW20)</f>
        <v>1530.5722349919999</v>
      </c>
      <c r="DF20" s="1018">
        <f>SUM(CA20)</f>
        <v>1592.4924646300001</v>
      </c>
      <c r="DG20" s="657">
        <f>DF20/DE20-1</f>
        <v>4.0455607531861393E-2</v>
      </c>
      <c r="DH20" s="657"/>
      <c r="DI20" s="657"/>
      <c r="DO20" s="2410" t="s">
        <v>167</v>
      </c>
      <c r="DP20" s="2416">
        <f>DP19/DP6</f>
        <v>0.17951076692951817</v>
      </c>
      <c r="DQ20" s="2416">
        <f>DQ19/DQ6</f>
        <v>0.17849570005526935</v>
      </c>
      <c r="DR20" s="2416"/>
      <c r="DS20" s="2416">
        <f>DS19/DS6</f>
        <v>0.1624663880221775</v>
      </c>
      <c r="DT20" s="2416"/>
      <c r="DU20" s="2416"/>
      <c r="DV20" s="2069"/>
      <c r="DW20" s="2069"/>
      <c r="DX20" s="2074">
        <f>CS47</f>
        <v>3636.8924730670001</v>
      </c>
      <c r="DY20" s="2074">
        <f>CT47</f>
        <v>4338.7762804449994</v>
      </c>
      <c r="DZ20" s="2070">
        <f>(DY20/DX20-1)</f>
        <v>0.19298998047805882</v>
      </c>
      <c r="EA20" s="2081">
        <v>9055</v>
      </c>
      <c r="EB20" s="2074" t="e">
        <f>#REF!</f>
        <v>#REF!</v>
      </c>
      <c r="EC20" s="2071" t="e">
        <f>DY20/EB20</f>
        <v>#REF!</v>
      </c>
      <c r="ED20" s="1005">
        <f>DY20/EA20</f>
        <v>0.47915806520651566</v>
      </c>
      <c r="EE20" s="2086">
        <f t="shared" si="5"/>
        <v>3636.8924730670001</v>
      </c>
      <c r="EF20" s="2090">
        <f>M47</f>
        <v>7662.2829598800017</v>
      </c>
      <c r="EG20" s="1005">
        <f>EE20/EF20</f>
        <v>0.47464867743855249</v>
      </c>
      <c r="EH20" s="1005"/>
      <c r="EI20" s="603">
        <f>DE47</f>
        <v>1779.04784668</v>
      </c>
      <c r="EJ20" s="603">
        <f>DF47</f>
        <v>2120.6436470979993</v>
      </c>
      <c r="EK20" s="1041">
        <f>(EJ20/EI20-1)</f>
        <v>0.19201046281890277</v>
      </c>
      <c r="EL20" s="603">
        <f>K47</f>
        <v>5263.4566299669987</v>
      </c>
      <c r="EN20" s="602">
        <f>(EF20/EL20-1)</f>
        <v>0.45575113438866577</v>
      </c>
      <c r="EO20" s="985" t="e">
        <f>(EB20/EF20-1)</f>
        <v>#REF!</v>
      </c>
      <c r="EP20" s="985">
        <f>EI20/EF20</f>
        <v>0.23218247825030225</v>
      </c>
      <c r="EQ20" s="984"/>
      <c r="ER20" s="67" t="s">
        <v>177</v>
      </c>
      <c r="ES20" s="120">
        <f t="shared" ref="ES20:FA20" ca="1" si="62">$ET$6/ES18</f>
        <v>25.921886396214017</v>
      </c>
      <c r="ET20" s="120">
        <f t="shared" ca="1" si="62"/>
        <v>24.569030350683938</v>
      </c>
      <c r="EU20" s="120">
        <f t="shared" ca="1" si="62"/>
        <v>24.134314512448555</v>
      </c>
      <c r="EV20" s="120">
        <f t="shared" ca="1" si="62"/>
        <v>22.947373213795313</v>
      </c>
      <c r="EW20" s="120">
        <f ca="1">$ET$6/EW18</f>
        <v>21.873094400943625</v>
      </c>
      <c r="EX20" s="120">
        <f t="shared" ca="1" si="62"/>
        <v>21.027280247766495</v>
      </c>
      <c r="EY20" s="120">
        <f t="shared" ca="1" si="62"/>
        <v>17.373783119034623</v>
      </c>
      <c r="EZ20" s="120">
        <f t="shared" ca="1" si="62"/>
        <v>15.378582843855856</v>
      </c>
      <c r="FA20" s="120">
        <f t="shared" ca="1" si="62"/>
        <v>13.57243018759835</v>
      </c>
      <c r="FB20" s="120" t="e">
        <f t="shared" ref="FB20" si="63">$ET$14/FB18</f>
        <v>#DIV/0!</v>
      </c>
    </row>
    <row r="21" spans="2:158" ht="25.5">
      <c r="B21" s="946" t="s">
        <v>14</v>
      </c>
      <c r="C21" s="720"/>
      <c r="D21" s="709"/>
      <c r="E21" s="709"/>
      <c r="F21" s="709"/>
      <c r="G21" s="709"/>
      <c r="H21" s="709"/>
      <c r="I21" s="720"/>
      <c r="J21" s="709">
        <f t="shared" ref="J21:P21" si="64">J20/I20-1</f>
        <v>0.18742264595779701</v>
      </c>
      <c r="K21" s="709">
        <f t="shared" si="64"/>
        <v>6.5440866205700221E-2</v>
      </c>
      <c r="L21" s="709">
        <f t="shared" si="64"/>
        <v>2.601778499962526E-2</v>
      </c>
      <c r="M21" s="709">
        <f t="shared" si="64"/>
        <v>0.26753415417213677</v>
      </c>
      <c r="N21" s="709">
        <f t="shared" si="64"/>
        <v>0.13326301473000868</v>
      </c>
      <c r="O21" s="709">
        <f t="shared" si="64"/>
        <v>6.7719405143183309E-2</v>
      </c>
      <c r="P21" s="709">
        <f t="shared" si="64"/>
        <v>3.6294677440331213E-2</v>
      </c>
      <c r="Q21" s="709">
        <f ca="1">Q20/P20-1</f>
        <v>-0.25101084039776289</v>
      </c>
      <c r="R21" s="709">
        <f ca="1">R20/Q20-1</f>
        <v>0.14098333206282065</v>
      </c>
      <c r="S21" s="3508">
        <f ca="1">S20/R20-1</f>
        <v>0.16061439708225311</v>
      </c>
      <c r="T21" s="2716"/>
      <c r="U21" s="2716"/>
      <c r="V21" s="709">
        <f>V20/N20-1</f>
        <v>7.6967197546205623E-2</v>
      </c>
      <c r="W21" s="709">
        <f ca="1">W20/O20-1</f>
        <v>6.8574424232828779E-2</v>
      </c>
      <c r="Z21" s="100"/>
      <c r="AA21" s="101"/>
      <c r="AB21" s="102"/>
      <c r="AC21" s="102"/>
      <c r="AD21" s="104"/>
      <c r="AE21" s="114"/>
      <c r="AF21" s="73"/>
      <c r="AG21" s="73"/>
      <c r="AH21" s="104"/>
      <c r="AI21" s="114"/>
      <c r="AJ21" s="73"/>
      <c r="AK21" s="73"/>
      <c r="AL21" s="104"/>
      <c r="AM21" s="114"/>
      <c r="AN21" s="73"/>
      <c r="AO21" s="73"/>
      <c r="AP21" s="70"/>
      <c r="AQ21" s="114"/>
      <c r="AR21" s="73"/>
      <c r="AS21" s="111"/>
      <c r="AT21" s="70"/>
      <c r="AU21" s="114"/>
      <c r="AV21" s="73"/>
      <c r="AW21" s="111"/>
      <c r="AX21" s="61"/>
      <c r="AY21" s="121"/>
      <c r="AZ21" s="123"/>
      <c r="BA21" s="123"/>
      <c r="BB21" s="124"/>
      <c r="BC21" s="627"/>
      <c r="BD21" s="628"/>
      <c r="BE21" s="628"/>
      <c r="BF21" s="628"/>
      <c r="BG21" s="627"/>
      <c r="BH21" s="628"/>
      <c r="BI21" s="628"/>
      <c r="BJ21" s="628"/>
      <c r="BK21" s="1352">
        <f>BK20/BG20-1</f>
        <v>0.27278694058838071</v>
      </c>
      <c r="BL21" s="1353">
        <f t="shared" ref="BL21:BZ21" si="65">BL20/BH20-1</f>
        <v>0.12234143853581791</v>
      </c>
      <c r="BM21" s="1353">
        <f t="shared" si="65"/>
        <v>0.14447030057680554</v>
      </c>
      <c r="BN21" s="1353">
        <f t="shared" si="65"/>
        <v>0.23773228231604437</v>
      </c>
      <c r="BO21" s="1352">
        <f t="shared" si="65"/>
        <v>-2.7075033791723935E-2</v>
      </c>
      <c r="BP21" s="1353">
        <f t="shared" si="65"/>
        <v>5.0642885754568212E-3</v>
      </c>
      <c r="BQ21" s="1353">
        <f t="shared" si="65"/>
        <v>0.1434471584669037</v>
      </c>
      <c r="BR21" s="1353">
        <f t="shared" si="65"/>
        <v>3.5119539943031963E-2</v>
      </c>
      <c r="BS21" s="1352">
        <f t="shared" si="65"/>
        <v>8.096418010171913E-3</v>
      </c>
      <c r="BT21" s="1353">
        <f t="shared" si="65"/>
        <v>0.1914097251107052</v>
      </c>
      <c r="BU21" s="1353">
        <f t="shared" si="65"/>
        <v>-9.1498368080397463E-2</v>
      </c>
      <c r="BV21" s="1353">
        <f t="shared" si="65"/>
        <v>3.8188988306244953E-2</v>
      </c>
      <c r="BW21" s="1352">
        <f t="shared" si="65"/>
        <v>0.59142251742891228</v>
      </c>
      <c r="BX21" s="1353">
        <f t="shared" si="65"/>
        <v>0.11926957941455929</v>
      </c>
      <c r="BY21" s="1353">
        <f t="shared" si="65"/>
        <v>0.36439006559482978</v>
      </c>
      <c r="BZ21" s="2176">
        <f t="shared" si="65"/>
        <v>0.25229375166590029</v>
      </c>
      <c r="CA21" s="1353">
        <f>CA20/BW20-1</f>
        <v>4.0455607531861393E-2</v>
      </c>
      <c r="CB21" s="1353">
        <f>CB20/BX20-1</f>
        <v>0.18218698060874527</v>
      </c>
      <c r="CC21" s="1353">
        <f>CC20/BY20-1</f>
        <v>0.21354974410790728</v>
      </c>
      <c r="CD21" s="1353">
        <f t="shared" ref="CD21:CM21" si="66">CD20/CA20-1</f>
        <v>0.24329905197009549</v>
      </c>
      <c r="CE21" s="1353">
        <f t="shared" si="66"/>
        <v>0.23578391317573555</v>
      </c>
      <c r="CF21" s="1353">
        <f t="shared" si="66"/>
        <v>-3.4308543336938224E-2</v>
      </c>
      <c r="CG21" s="1353">
        <f t="shared" si="66"/>
        <v>-8.6864312484638884E-2</v>
      </c>
      <c r="CH21" s="1353">
        <f t="shared" si="66"/>
        <v>-5.1287756270312457E-2</v>
      </c>
      <c r="CI21" s="1353">
        <f t="shared" si="66"/>
        <v>9.6212409053297643E-2</v>
      </c>
      <c r="CJ21" s="1353">
        <f t="shared" si="66"/>
        <v>5.8490726748660959E-2</v>
      </c>
      <c r="CK21" s="1353">
        <f t="shared" si="66"/>
        <v>-4.7789396896442127E-2</v>
      </c>
      <c r="CL21" s="1353">
        <f t="shared" si="66"/>
        <v>1.1450311815102143E-2</v>
      </c>
      <c r="CM21" s="1353">
        <f t="shared" si="66"/>
        <v>-0.36757147560240988</v>
      </c>
      <c r="CN21" s="3388">
        <f t="shared" si="6"/>
        <v>-1.4702859024096395</v>
      </c>
      <c r="CO21" s="3556">
        <f t="shared" ca="1" si="7"/>
        <v>0.17072246968183757</v>
      </c>
      <c r="CP21" s="3388"/>
      <c r="CQ21" s="3388"/>
      <c r="CR21" s="946" t="s">
        <v>14</v>
      </c>
      <c r="CS21" s="1866"/>
      <c r="CT21" s="1866"/>
      <c r="CU21" s="1862"/>
      <c r="CV21" s="1862"/>
      <c r="CW21" s="1866"/>
      <c r="CX21" s="1866"/>
      <c r="CY21" s="174" t="e">
        <f t="shared" si="2"/>
        <v>#DIV/0!</v>
      </c>
      <c r="CZ21" s="1875">
        <f t="shared" si="3"/>
        <v>5.8490726748660959E-2</v>
      </c>
      <c r="DA21" s="3115">
        <f t="shared" si="4"/>
        <v>-3.4308543336938224E-2</v>
      </c>
      <c r="DB21" s="3115">
        <f t="shared" si="8"/>
        <v>-2.704844364105865</v>
      </c>
      <c r="DC21" s="1353"/>
      <c r="DD21" s="124"/>
      <c r="DE21" s="1019"/>
      <c r="DF21" s="628"/>
      <c r="DG21" s="657"/>
      <c r="DH21" s="657"/>
      <c r="DI21" s="657"/>
      <c r="DO21" s="2412" t="s">
        <v>1653</v>
      </c>
      <c r="DP21" s="2417">
        <f>Data!BU485+Data!BU486</f>
        <v>23.710364962</v>
      </c>
      <c r="DQ21" s="2417">
        <f>Data!BY485+Data!BY486</f>
        <v>18.054931519999997</v>
      </c>
      <c r="DR21" s="2416">
        <f>DQ21/DP21-1</f>
        <v>-0.23852156856563878</v>
      </c>
      <c r="DS21" s="2417">
        <f>Data!BX485+Data!BX486</f>
        <v>112.91308289400001</v>
      </c>
      <c r="DT21" s="2416">
        <f>DQ21/DS21-1</f>
        <v>-0.84009885252225802</v>
      </c>
      <c r="DU21" s="2416"/>
      <c r="DV21" s="596"/>
      <c r="DW21" s="596"/>
      <c r="DX21" s="603">
        <f>CS53</f>
        <v>3111.6437084159998</v>
      </c>
      <c r="DY21" s="603">
        <f>CT53</f>
        <v>3638.2226212549995</v>
      </c>
      <c r="DZ21" s="1041">
        <f>(DY21/DX21-1)</f>
        <v>0.16922853712806907</v>
      </c>
      <c r="EA21" s="61"/>
      <c r="EB21" s="603" t="e">
        <f>#REF!</f>
        <v>#REF!</v>
      </c>
      <c r="EC21" s="2075" t="e">
        <f>DY21/EB21</f>
        <v>#REF!</v>
      </c>
      <c r="ED21" s="1005"/>
      <c r="EE21" s="2091">
        <f t="shared" si="5"/>
        <v>3111.6437084159998</v>
      </c>
      <c r="EF21" s="2092">
        <f>M53</f>
        <v>6491.3434544690017</v>
      </c>
      <c r="EG21" s="1005">
        <f>EE21/EF21</f>
        <v>0.47935280735666069</v>
      </c>
      <c r="EH21" s="1005"/>
      <c r="EI21" s="603">
        <f>DE53</f>
        <v>1562.2197181239999</v>
      </c>
      <c r="EJ21" s="603">
        <f>DF53</f>
        <v>1807.2854053909991</v>
      </c>
      <c r="EK21" s="1041">
        <f>(EJ21/EI21-1)</f>
        <v>0.15687017928648839</v>
      </c>
      <c r="EL21" s="603">
        <f>K53</f>
        <v>4423.7452175979988</v>
      </c>
      <c r="EN21" s="602"/>
      <c r="EO21" s="985" t="e">
        <f>EB21/EF21-1</f>
        <v>#REF!</v>
      </c>
      <c r="EP21" s="985">
        <f>EI21/EF21</f>
        <v>0.2406620030324356</v>
      </c>
      <c r="EQ21" s="12"/>
      <c r="ER21" s="67" t="s">
        <v>178</v>
      </c>
      <c r="ES21" s="120">
        <f t="shared" ref="ES21:FA21" ca="1" si="67">$ET$6/ES19</f>
        <v>5.311109342015488</v>
      </c>
      <c r="ET21" s="120">
        <f t="shared" ca="1" si="67"/>
        <v>5.3958596735725344</v>
      </c>
      <c r="EU21" s="120">
        <f t="shared" ca="1" si="67"/>
        <v>5.5599707205171471</v>
      </c>
      <c r="EV21" s="120">
        <f t="shared" ca="1" si="67"/>
        <v>5.4242143094977608</v>
      </c>
      <c r="EW21" s="120">
        <f ca="1">$ET$6/EW19</f>
        <v>5.2666640046796935</v>
      </c>
      <c r="EX21" s="120">
        <f t="shared" ref="EX21" ca="1" si="68">$ET$6/EX19</f>
        <v>4.9802129094556378</v>
      </c>
      <c r="EY21" s="120">
        <f t="shared" ca="1" si="67"/>
        <v>4.2312012297609529</v>
      </c>
      <c r="EZ21" s="120">
        <f t="shared" ca="1" si="67"/>
        <v>3.5797144698178913</v>
      </c>
      <c r="FA21" s="120">
        <f t="shared" ca="1" si="67"/>
        <v>3.0209878624489424</v>
      </c>
      <c r="FB21" s="120" t="e">
        <f t="shared" ref="FB21" si="69">$ET$14/FB19</f>
        <v>#DIV/0!</v>
      </c>
    </row>
    <row r="22" spans="2:158" ht="25.5">
      <c r="B22" s="2442" t="s">
        <v>1667</v>
      </c>
      <c r="C22" s="1069">
        <f>C20/C9</f>
        <v>6.5164534460181375E-2</v>
      </c>
      <c r="D22" s="1074">
        <f t="shared" ref="D22:M22" si="70">D20/D9</f>
        <v>6.8317348405751557E-2</v>
      </c>
      <c r="E22" s="1074">
        <f t="shared" si="70"/>
        <v>6.8496159731598047E-2</v>
      </c>
      <c r="F22" s="1074">
        <f t="shared" si="70"/>
        <v>6.1428029542517908E-2</v>
      </c>
      <c r="G22" s="1074">
        <f t="shared" si="70"/>
        <v>6.959413769368214E-2</v>
      </c>
      <c r="H22" s="1074">
        <f t="shared" si="70"/>
        <v>8.0666684783910259E-2</v>
      </c>
      <c r="I22" s="1069">
        <f t="shared" si="70"/>
        <v>0.15306965641685646</v>
      </c>
      <c r="J22" s="1074">
        <f t="shared" si="70"/>
        <v>0.15222646161309594</v>
      </c>
      <c r="K22" s="1074">
        <f t="shared" si="70"/>
        <v>0.15069748907808633</v>
      </c>
      <c r="L22" s="1074">
        <f t="shared" si="70"/>
        <v>0.12935165535351131</v>
      </c>
      <c r="M22" s="1074">
        <f t="shared" si="70"/>
        <v>0.13284124964717142</v>
      </c>
      <c r="N22" s="1074">
        <f t="shared" ref="N22:O22" si="71">N20/N9</f>
        <v>0.12591482241174515</v>
      </c>
      <c r="O22" s="1074">
        <f t="shared" si="71"/>
        <v>0.11255650267889007</v>
      </c>
      <c r="P22" s="1074">
        <f>P20/P9</f>
        <v>0.10441576983945776</v>
      </c>
      <c r="Q22" s="1074">
        <f ca="1">Q20/Q9</f>
        <v>9.6000000000000002E-2</v>
      </c>
      <c r="R22" s="1074">
        <f ca="1">R20/R9</f>
        <v>9.5000000000000001E-2</v>
      </c>
      <c r="S22" s="1080">
        <f ca="1">S20/S9</f>
        <v>9.5000000000000001E-2</v>
      </c>
      <c r="T22" s="2718"/>
      <c r="U22" s="2718"/>
      <c r="V22" s="1074">
        <f>V20/V9</f>
        <v>0.128</v>
      </c>
      <c r="W22" s="1074">
        <f ca="1">W20/W9</f>
        <v>0.114</v>
      </c>
      <c r="Z22" s="100"/>
      <c r="AA22" s="125"/>
      <c r="AB22" s="125"/>
      <c r="AC22" s="125"/>
      <c r="AD22" s="125"/>
      <c r="AE22" s="125"/>
      <c r="AF22" s="125"/>
      <c r="AG22" s="125"/>
      <c r="AH22" s="125"/>
      <c r="AI22" s="125"/>
      <c r="AJ22" s="125"/>
      <c r="AK22" s="125"/>
      <c r="AL22" s="125"/>
      <c r="AM22" s="125"/>
      <c r="AN22" s="125"/>
      <c r="AO22" s="125"/>
      <c r="AP22" s="125"/>
      <c r="AQ22" s="125"/>
      <c r="AR22" s="125"/>
      <c r="AS22" s="125"/>
      <c r="AT22" s="125"/>
      <c r="AU22" s="125"/>
      <c r="AV22" s="125"/>
      <c r="AW22" s="125"/>
      <c r="AX22" s="125"/>
      <c r="AY22" s="125"/>
      <c r="AZ22" s="125"/>
      <c r="BA22" s="125"/>
      <c r="BB22" s="125"/>
      <c r="BC22" s="723" t="e">
        <f>BC20/BC9</f>
        <v>#REF!</v>
      </c>
      <c r="BD22" s="724" t="e">
        <f>BD20/BD9</f>
        <v>#REF!</v>
      </c>
      <c r="BE22" s="724" t="e">
        <f>BE20/BE9</f>
        <v>#REF!</v>
      </c>
      <c r="BF22" s="724" t="e">
        <f>BF20/BF9</f>
        <v>#REF!</v>
      </c>
      <c r="BG22" s="716">
        <f>BG20/BG9</f>
        <v>0.16216880765168926</v>
      </c>
      <c r="BH22" s="717">
        <f t="shared" ref="BH22:CB22" si="72">BH20/BH9</f>
        <v>0.15157585207794685</v>
      </c>
      <c r="BI22" s="717">
        <f t="shared" si="72"/>
        <v>0.14925756118708078</v>
      </c>
      <c r="BJ22" s="717">
        <f t="shared" si="72"/>
        <v>0.1521329384652049</v>
      </c>
      <c r="BK22" s="716">
        <f t="shared" si="72"/>
        <v>0.1730507882077458</v>
      </c>
      <c r="BL22" s="717">
        <f t="shared" si="72"/>
        <v>0.1364330388871505</v>
      </c>
      <c r="BM22" s="717">
        <f t="shared" si="72"/>
        <v>0.14513378279928169</v>
      </c>
      <c r="BN22" s="717">
        <f t="shared" si="72"/>
        <v>0.16122097962242304</v>
      </c>
      <c r="BO22" s="716">
        <f t="shared" si="72"/>
        <v>0.14388506903208845</v>
      </c>
      <c r="BP22" s="717">
        <f t="shared" si="72"/>
        <v>0.13409695519220846</v>
      </c>
      <c r="BQ22" s="717">
        <f t="shared" si="72"/>
        <v>0.15609304961743856</v>
      </c>
      <c r="BR22" s="717">
        <f t="shared" si="72"/>
        <v>0.15635945401622706</v>
      </c>
      <c r="BS22" s="716">
        <f t="shared" si="72"/>
        <v>0.12677590960157298</v>
      </c>
      <c r="BT22" s="717">
        <f t="shared" si="72"/>
        <v>0.12904348524275416</v>
      </c>
      <c r="BU22" s="717">
        <f t="shared" si="72"/>
        <v>0.12276149143514666</v>
      </c>
      <c r="BV22" s="717">
        <f t="shared" si="72"/>
        <v>0.13143353858745763</v>
      </c>
      <c r="BW22" s="716">
        <f t="shared" si="72"/>
        <v>0.15730033968993498</v>
      </c>
      <c r="BX22" s="717">
        <f t="shared" si="72"/>
        <v>0.12362844570019198</v>
      </c>
      <c r="BY22" s="717">
        <f t="shared" si="72"/>
        <v>0.13108589455668745</v>
      </c>
      <c r="BZ22" s="884">
        <f t="shared" si="72"/>
        <v>0.13508352392121228</v>
      </c>
      <c r="CA22" s="717">
        <f t="shared" si="72"/>
        <v>0.13632743878432529</v>
      </c>
      <c r="CB22" s="717">
        <f t="shared" si="72"/>
        <v>0.11819254281880591</v>
      </c>
      <c r="CC22" s="717">
        <f t="shared" ref="CC22:CH22" si="73">CC20/CC9</f>
        <v>0.12887206186158501</v>
      </c>
      <c r="CD22" s="717">
        <f t="shared" si="73"/>
        <v>0.13477799511351596</v>
      </c>
      <c r="CE22" s="717">
        <f t="shared" si="73"/>
        <v>0.12938913208708974</v>
      </c>
      <c r="CF22" s="717">
        <f t="shared" si="73"/>
        <v>0.11234061396269611</v>
      </c>
      <c r="CG22" s="717">
        <f t="shared" si="73"/>
        <v>0.11368786604459133</v>
      </c>
      <c r="CH22" s="717">
        <f t="shared" si="73"/>
        <v>9.8248959837163266E-2</v>
      </c>
      <c r="CI22" s="717">
        <f t="shared" ref="CI22:CJ22" si="74">CI20/CI9</f>
        <v>0.11691496939547905</v>
      </c>
      <c r="CJ22" s="717">
        <f t="shared" si="74"/>
        <v>0.11511216041996039</v>
      </c>
      <c r="CK22" s="717">
        <f t="shared" ref="CK22:CL22" si="75">CK20/CK9</f>
        <v>9.5746734899917835E-2</v>
      </c>
      <c r="CL22" s="717">
        <f t="shared" si="75"/>
        <v>9.388835880572384E-2</v>
      </c>
      <c r="CM22" s="717">
        <f t="shared" ref="CM22" si="76">CM20/CM9</f>
        <v>9.6977799183238247E-2</v>
      </c>
      <c r="CN22" s="3388">
        <f t="shared" si="6"/>
        <v>0.38791119673295299</v>
      </c>
      <c r="CO22" s="3556">
        <f t="shared" ca="1" si="7"/>
        <v>0.24747932209363013</v>
      </c>
      <c r="CP22" s="3388"/>
      <c r="CQ22" s="3388"/>
      <c r="CR22" s="2442" t="s">
        <v>1667</v>
      </c>
      <c r="CS22" s="1034">
        <f>CS20/CS9</f>
        <v>0.1401537603406231</v>
      </c>
      <c r="CT22" s="1034">
        <f>CT20/CT9</f>
        <v>0.12695869536306359</v>
      </c>
      <c r="CU22" s="1862"/>
      <c r="CV22" s="1862"/>
      <c r="CW22" s="1034">
        <f>CW20/CW9</f>
        <v>0.1159979386520783</v>
      </c>
      <c r="CX22" s="1034">
        <f t="shared" ref="CX22" si="77">CX20/CX9</f>
        <v>0.12053007055535636</v>
      </c>
      <c r="CY22" s="174">
        <f t="shared" si="2"/>
        <v>-3.7601669711099794E-2</v>
      </c>
      <c r="CZ22" s="1875">
        <f t="shared" si="3"/>
        <v>0.11511216041996039</v>
      </c>
      <c r="DA22" s="3115">
        <f t="shared" si="4"/>
        <v>0.11234061396269611</v>
      </c>
      <c r="DB22" s="3115">
        <f t="shared" si="8"/>
        <v>2.4670921401449775E-2</v>
      </c>
      <c r="DC22" s="717"/>
      <c r="DD22" s="125"/>
      <c r="DE22" s="1020">
        <f>DE20/DE9</f>
        <v>0.15730033968993498</v>
      </c>
      <c r="DF22" s="724">
        <f>DF20/DF9</f>
        <v>0.13632743878432529</v>
      </c>
      <c r="DG22" s="660"/>
      <c r="DH22" s="660"/>
      <c r="DI22" s="660"/>
      <c r="DJ22" s="397"/>
      <c r="DK22" s="397"/>
      <c r="DL22" s="397"/>
      <c r="DM22" s="397"/>
      <c r="DN22" s="397"/>
      <c r="DO22" s="2412" t="s">
        <v>1654</v>
      </c>
      <c r="DP22" s="2417">
        <f>CA45</f>
        <v>43.757073943999998</v>
      </c>
      <c r="DQ22" s="2417">
        <f>CE45</f>
        <v>74.454138017000005</v>
      </c>
      <c r="DR22" s="2416">
        <f>DQ22/DP22-1</f>
        <v>0.70153374771553278</v>
      </c>
      <c r="DS22" s="2417">
        <f>CD45</f>
        <v>58.146301170000001</v>
      </c>
      <c r="DT22" s="2416">
        <f>DQ22/DS22-1</f>
        <v>0.28046215354819282</v>
      </c>
      <c r="DU22" s="2422"/>
      <c r="DV22" s="2076"/>
      <c r="DW22" s="2076"/>
      <c r="DX22" s="2077">
        <f>CS55</f>
        <v>2501.2112063049999</v>
      </c>
      <c r="DY22" s="2077">
        <f>CT55</f>
        <v>2975.6230238579992</v>
      </c>
      <c r="DZ22" s="2072">
        <f>DY22/DX22-1</f>
        <v>0.18967283384830202</v>
      </c>
      <c r="EA22" s="2079"/>
      <c r="EB22" s="2078" t="e">
        <f>#REF!</f>
        <v>#REF!</v>
      </c>
      <c r="EC22" s="2073" t="e">
        <f>DY22/EB22</f>
        <v>#REF!</v>
      </c>
      <c r="ED22" s="1005"/>
      <c r="EE22" s="2088">
        <f t="shared" si="5"/>
        <v>2501.2112063049999</v>
      </c>
      <c r="EF22" s="2093">
        <f>M55</f>
        <v>5310.1085914080013</v>
      </c>
      <c r="EG22" s="1005">
        <f>EE22/EF22</f>
        <v>0.47102825926235747</v>
      </c>
      <c r="EH22" s="1005"/>
      <c r="EI22" s="867">
        <f>DE55</f>
        <v>1262.541028636</v>
      </c>
      <c r="EJ22" s="867">
        <f>DF55</f>
        <v>1491.0485323869991</v>
      </c>
      <c r="EK22" s="1041">
        <f>EJ22/EI22-1</f>
        <v>0.18099016076956298</v>
      </c>
      <c r="EL22" s="868">
        <f>K55</f>
        <v>3538.0077388219988</v>
      </c>
      <c r="EN22" s="866"/>
      <c r="EO22" s="985" t="e">
        <f>EB22/EF22-1</f>
        <v>#REF!</v>
      </c>
      <c r="EP22" s="985">
        <f>EI22/EF22</f>
        <v>0.23776180974506794</v>
      </c>
      <c r="ER22" s="67" t="s">
        <v>219</v>
      </c>
      <c r="ES22" s="321">
        <f ca="1">$EV$16/K29</f>
        <v>23.040403311948118</v>
      </c>
      <c r="ET22" s="321">
        <f ca="1">$EV$16/L29</f>
        <v>19.8951914436179</v>
      </c>
      <c r="EU22" s="321">
        <f ca="1">$EV$16/M29</f>
        <v>16.277837592046488</v>
      </c>
      <c r="EV22" s="321">
        <f ca="1">$EV$16/N29</f>
        <v>13.078521929151297</v>
      </c>
      <c r="EW22" s="439">
        <f ca="1">$EV$16/V29</f>
        <v>15.462803317501599</v>
      </c>
      <c r="EX22" s="439">
        <f ca="1">$EV$16/W29</f>
        <v>13.678902398641657</v>
      </c>
      <c r="EY22" s="439">
        <f ca="1">$EV$16/Q29</f>
        <v>11.275415337715355</v>
      </c>
      <c r="EZ22" s="439">
        <f ca="1">$EV$16/R29</f>
        <v>10.400601363088699</v>
      </c>
      <c r="FA22" s="439">
        <f ca="1">$EV$16/S29</f>
        <v>9.3655169443373403</v>
      </c>
      <c r="FB22" s="439" t="e">
        <f ca="1">$EV$16/U29</f>
        <v>#DIV/0!</v>
      </c>
    </row>
    <row r="23" spans="2:158">
      <c r="B23" s="940" t="s">
        <v>830</v>
      </c>
      <c r="C23" s="380"/>
      <c r="D23" s="189"/>
      <c r="E23" s="189"/>
      <c r="F23" s="189"/>
      <c r="G23" s="189"/>
      <c r="H23" s="189"/>
      <c r="I23" s="86">
        <f t="shared" ref="I23:M23" si="78">(I17+I20)/I9</f>
        <v>0.24128687166032001</v>
      </c>
      <c r="J23" s="86">
        <f t="shared" si="78"/>
        <v>0.23686625016200163</v>
      </c>
      <c r="K23" s="86">
        <f t="shared" si="78"/>
        <v>0.24166379494826462</v>
      </c>
      <c r="L23" s="86">
        <f t="shared" si="78"/>
        <v>0.23044216336514564</v>
      </c>
      <c r="M23" s="86">
        <f t="shared" si="78"/>
        <v>0.23569263048074326</v>
      </c>
      <c r="N23" s="86">
        <f t="shared" ref="N23:O23" si="79">(N17+N20)/N9</f>
        <v>0.2255492020529701</v>
      </c>
      <c r="O23" s="86">
        <f t="shared" si="79"/>
        <v>0.20986879779228845</v>
      </c>
      <c r="P23" s="86">
        <f t="shared" ref="P23" si="80">(P17+P20)/P9</f>
        <v>0.21239311534106878</v>
      </c>
      <c r="Q23" s="86">
        <f ca="1">(Q17+Q20)/Q9</f>
        <v>0.17599999999999999</v>
      </c>
      <c r="R23" s="86">
        <f ca="1">(R17+R20)/R9</f>
        <v>0.17400000000000002</v>
      </c>
      <c r="S23" s="3510">
        <f ca="1">(S17+S20)/S9</f>
        <v>0.17400000000000002</v>
      </c>
      <c r="T23" s="2717"/>
      <c r="U23" s="2717"/>
      <c r="V23" s="86">
        <f>(V17+V20)/V9</f>
        <v>0.22800000000000001</v>
      </c>
      <c r="W23" s="86">
        <f ca="1">(W17+W20)/W9</f>
        <v>0.22</v>
      </c>
      <c r="Z23" s="100"/>
      <c r="AA23" s="121"/>
      <c r="AB23" s="111"/>
      <c r="AC23" s="111"/>
      <c r="AD23" s="126"/>
      <c r="AE23" s="121"/>
      <c r="AF23" s="111"/>
      <c r="AG23" s="111"/>
      <c r="AH23" s="126"/>
      <c r="AI23" s="121"/>
      <c r="AJ23" s="111"/>
      <c r="AK23" s="111"/>
      <c r="AL23" s="126"/>
      <c r="AM23" s="121"/>
      <c r="AN23" s="111"/>
      <c r="AO23" s="111"/>
      <c r="AP23" s="126"/>
      <c r="AQ23" s="121"/>
      <c r="AR23" s="111"/>
      <c r="AS23" s="111"/>
      <c r="AT23" s="111"/>
      <c r="AU23" s="121"/>
      <c r="AV23" s="111"/>
      <c r="AW23" s="111"/>
      <c r="AX23" s="111"/>
      <c r="AY23" s="121"/>
      <c r="AZ23" s="111"/>
      <c r="BA23" s="111"/>
      <c r="BB23" s="111"/>
      <c r="BC23" s="629"/>
      <c r="BD23" s="630"/>
      <c r="BE23" s="630"/>
      <c r="BF23" s="630"/>
      <c r="BG23" s="716">
        <f>(BG17+BG20)/BG9</f>
        <v>0.25114544286148638</v>
      </c>
      <c r="BH23" s="717">
        <f t="shared" ref="BH23:CB23" si="81">(BH17+BH20)/BH9</f>
        <v>0.2341366054020951</v>
      </c>
      <c r="BI23" s="717">
        <f t="shared" si="81"/>
        <v>0.23334139205206075</v>
      </c>
      <c r="BJ23" s="717">
        <f t="shared" si="81"/>
        <v>0.2478541102847491</v>
      </c>
      <c r="BK23" s="716">
        <f t="shared" si="81"/>
        <v>0.25927470181768786</v>
      </c>
      <c r="BL23" s="717">
        <f t="shared" si="81"/>
        <v>0.21941901300194708</v>
      </c>
      <c r="BM23" s="717">
        <f t="shared" si="81"/>
        <v>0.22382095893346746</v>
      </c>
      <c r="BN23" s="717">
        <f t="shared" si="81"/>
        <v>0.25077176902728016</v>
      </c>
      <c r="BO23" s="716">
        <f t="shared" si="81"/>
        <v>0.23742469495990248</v>
      </c>
      <c r="BP23" s="717">
        <f t="shared" si="81"/>
        <v>0.23197281375053527</v>
      </c>
      <c r="BQ23" s="717">
        <f t="shared" si="81"/>
        <v>0.2391648082125335</v>
      </c>
      <c r="BR23" s="717">
        <f t="shared" si="81"/>
        <v>0.25542626113371092</v>
      </c>
      <c r="BS23" s="716">
        <f t="shared" si="81"/>
        <v>0.23909836104311044</v>
      </c>
      <c r="BT23" s="717">
        <f t="shared" si="81"/>
        <v>0.22507994910687248</v>
      </c>
      <c r="BU23" s="717">
        <f t="shared" si="81"/>
        <v>0.21491140371515974</v>
      </c>
      <c r="BV23" s="717">
        <f t="shared" si="81"/>
        <v>0.24596414851426152</v>
      </c>
      <c r="BW23" s="716">
        <f t="shared" si="81"/>
        <v>0.26080149323142643</v>
      </c>
      <c r="BX23" s="717">
        <f t="shared" si="81"/>
        <v>0.22404613810892438</v>
      </c>
      <c r="BY23" s="717">
        <f t="shared" si="81"/>
        <v>0.23257007478325237</v>
      </c>
      <c r="BZ23" s="884">
        <f t="shared" si="81"/>
        <v>0.248662164208135</v>
      </c>
      <c r="CA23" s="717">
        <f t="shared" si="81"/>
        <v>0.23065461926247766</v>
      </c>
      <c r="CB23" s="717">
        <f t="shared" si="81"/>
        <v>0.21738033547055458</v>
      </c>
      <c r="CC23" s="717">
        <f t="shared" ref="CC23:CH23" si="82">(CC17+CC20)/CC9</f>
        <v>0.23308663330314658</v>
      </c>
      <c r="CD23" s="717">
        <f t="shared" si="82"/>
        <v>0.22437086850483212</v>
      </c>
      <c r="CE23" s="717">
        <f t="shared" si="82"/>
        <v>0.22652640445216585</v>
      </c>
      <c r="CF23" s="717">
        <f t="shared" si="82"/>
        <v>0.21651829462364539</v>
      </c>
      <c r="CG23" s="717">
        <f t="shared" si="82"/>
        <v>0.21202657420519888</v>
      </c>
      <c r="CH23" s="717">
        <f t="shared" si="82"/>
        <v>0.18883030380819432</v>
      </c>
      <c r="CI23" s="717">
        <f t="shared" ref="CI23:CJ23" si="83">(CI17+CI20)/CI9</f>
        <v>0.23080025261941881</v>
      </c>
      <c r="CJ23" s="717">
        <f t="shared" si="83"/>
        <v>0.22280099045108523</v>
      </c>
      <c r="CK23" s="717">
        <f t="shared" ref="CK23:CL23" si="84">(CK17+CK20)/CK9</f>
        <v>0.20714668654892732</v>
      </c>
      <c r="CL23" s="717">
        <f t="shared" si="84"/>
        <v>0.1941084276979598</v>
      </c>
      <c r="CM23" s="717">
        <f t="shared" ref="CM23" si="85">(CM17+CM20)/CM9</f>
        <v>0.17729329434800178</v>
      </c>
      <c r="CN23" s="3388">
        <f t="shared" si="6"/>
        <v>0.70917317739200714</v>
      </c>
      <c r="CO23" s="3556">
        <f t="shared" ca="1" si="7"/>
        <v>0.24817633493590677</v>
      </c>
      <c r="CP23" s="3388"/>
      <c r="CQ23" s="3388"/>
      <c r="CR23" s="940" t="s">
        <v>830</v>
      </c>
      <c r="CS23" s="1034">
        <f>(CS17+CS20)/CS9</f>
        <v>0.2420847375504987</v>
      </c>
      <c r="CT23" s="1034">
        <f>(CT17+CT20)/CT9</f>
        <v>0.22379693674894147</v>
      </c>
      <c r="CU23" s="1862"/>
      <c r="CV23" s="1862"/>
      <c r="CW23" s="1034">
        <f>(CW17+CW20)/CW9</f>
        <v>0.22673128611631274</v>
      </c>
      <c r="CX23" s="1034">
        <f t="shared" ref="CX23" si="86">(CX17+CX20)/CX9</f>
        <v>0.22132580812230965</v>
      </c>
      <c r="CY23" s="174">
        <f t="shared" si="2"/>
        <v>2.442317070865907E-2</v>
      </c>
      <c r="CZ23" s="1875">
        <f t="shared" si="3"/>
        <v>0.22280099045108523</v>
      </c>
      <c r="DA23" s="3115">
        <f t="shared" si="4"/>
        <v>0.21651829462364539</v>
      </c>
      <c r="DB23" s="3115">
        <f t="shared" si="8"/>
        <v>2.9016928284792298E-2</v>
      </c>
      <c r="DC23" s="717"/>
      <c r="DD23" s="111"/>
      <c r="DE23" s="1021"/>
      <c r="DF23" s="1022"/>
      <c r="DG23" s="661"/>
      <c r="DH23" s="661"/>
      <c r="DI23" s="661"/>
      <c r="DO23" s="2408" t="s">
        <v>22</v>
      </c>
      <c r="DP23" s="2409">
        <f>Data!BU489</f>
        <v>2120.6436470980002</v>
      </c>
      <c r="DQ23" s="2409">
        <f>Data!BY489</f>
        <v>2533.582054552</v>
      </c>
      <c r="DR23" s="2416">
        <f>DQ23/DP23-1</f>
        <v>0.19472314833238791</v>
      </c>
      <c r="DS23" s="2409">
        <f>Data!BX489</f>
        <v>2435.0927995910001</v>
      </c>
      <c r="DT23" s="2416">
        <f>DQ23/DS23-1</f>
        <v>4.0445791214832605E-2</v>
      </c>
      <c r="DU23" s="2416">
        <f>DQ23/V295</f>
        <v>0.23297306248754024</v>
      </c>
      <c r="DV23" s="605"/>
      <c r="DW23" s="605"/>
      <c r="DX23" s="600">
        <f>DX21/DX5</f>
        <v>0.15694514464778997</v>
      </c>
      <c r="DY23" s="600">
        <f>DY21/DY5</f>
        <v>0.1505528962607236</v>
      </c>
      <c r="DZ23" s="605"/>
      <c r="EA23" s="72"/>
      <c r="EB23" s="600" t="e">
        <f>EB21/EB5</f>
        <v>#REF!</v>
      </c>
      <c r="EC23" s="605"/>
      <c r="ED23" s="605"/>
      <c r="EE23" s="1876">
        <f t="shared" si="5"/>
        <v>0.15694514464778997</v>
      </c>
      <c r="EF23" s="600">
        <f>EF21/EF5</f>
        <v>0.14749859397569956</v>
      </c>
      <c r="EG23" s="605"/>
      <c r="EH23" s="605"/>
      <c r="EI23" s="600">
        <f>EI21/EI5</f>
        <v>0.16055282247590497</v>
      </c>
      <c r="EJ23" s="600">
        <f>EJ21/EJ5</f>
        <v>0.15471507460256054</v>
      </c>
      <c r="EK23" s="1043"/>
      <c r="EL23" s="600">
        <f>EL21/EL5</f>
        <v>0.14829654109471618</v>
      </c>
      <c r="EN23" s="864"/>
      <c r="EO23" s="986"/>
      <c r="EP23" s="986"/>
      <c r="EQ23" s="12"/>
      <c r="ER23" s="322" t="s">
        <v>237</v>
      </c>
      <c r="ES23" s="593">
        <f>K120/$ET$14*100</f>
        <v>1.9900497512437811</v>
      </c>
      <c r="ET23" s="593">
        <f>L120/$ET$14*100</f>
        <v>1.9900497512437811</v>
      </c>
      <c r="EU23" s="593">
        <f>M120/$ET$14*100</f>
        <v>1.9900497512437811</v>
      </c>
      <c r="EV23" s="593">
        <f>N120/$ET$14*100</f>
        <v>1.9900497512437811</v>
      </c>
      <c r="EW23" s="128">
        <f>V120/$ET$14*100</f>
        <v>1.8192614139098586</v>
      </c>
      <c r="EX23" s="128">
        <f ca="1">W120/$ET$14*100</f>
        <v>2.0209272219697807</v>
      </c>
      <c r="EY23" s="128">
        <f>Q120/$ET$14*100</f>
        <v>1.9900497512437811</v>
      </c>
      <c r="EZ23" s="128">
        <f>R120/$ET$14*100</f>
        <v>1.9900497512437811</v>
      </c>
      <c r="FA23" s="128">
        <f>S120/$ET$14*100</f>
        <v>1.9900497512437811</v>
      </c>
      <c r="FB23" s="128">
        <f>U120/$ET$14*100</f>
        <v>0</v>
      </c>
    </row>
    <row r="24" spans="2:158">
      <c r="B24" s="943" t="s">
        <v>912</v>
      </c>
      <c r="C24" s="1070">
        <f>C13-C17-C20</f>
        <v>2231.5756090480008</v>
      </c>
      <c r="D24" s="1075">
        <f t="shared" ref="D24:M24" si="87">D13-D17-D20</f>
        <v>2336.0716734259977</v>
      </c>
      <c r="E24" s="1075">
        <f t="shared" si="87"/>
        <v>2334.6687699869958</v>
      </c>
      <c r="F24" s="1075">
        <f t="shared" si="87"/>
        <v>2935.1595748439991</v>
      </c>
      <c r="G24" s="1075">
        <f t="shared" si="87"/>
        <v>3048.5220865940032</v>
      </c>
      <c r="H24" s="1075">
        <f t="shared" si="87"/>
        <v>3166.6385670219947</v>
      </c>
      <c r="I24" s="1070">
        <f t="shared" si="87"/>
        <v>3121.7572969170019</v>
      </c>
      <c r="J24" s="1075">
        <f t="shared" si="87"/>
        <v>4146.8372059629983</v>
      </c>
      <c r="K24" s="1075">
        <f t="shared" si="87"/>
        <v>4604.7296785879989</v>
      </c>
      <c r="L24" s="1075">
        <f t="shared" si="87"/>
        <v>5415.027516223</v>
      </c>
      <c r="M24" s="1075">
        <f t="shared" si="87"/>
        <v>6794.5572958690018</v>
      </c>
      <c r="N24" s="1075">
        <f t="shared" ref="N24:O24" si="88">N13-N17-N20</f>
        <v>8451.6278993629967</v>
      </c>
      <c r="O24" s="1075">
        <f t="shared" si="88"/>
        <v>10508.340000000004</v>
      </c>
      <c r="P24" s="1075">
        <f t="shared" ref="P24" si="89">P13-P17-P20</f>
        <v>11078.640000000003</v>
      </c>
      <c r="Q24" s="1075">
        <f ca="1">Q13-Q17-Q20</f>
        <v>9757.4739520375151</v>
      </c>
      <c r="R24" s="1075">
        <f ca="1">R13-R17-R20</f>
        <v>10802.174627014292</v>
      </c>
      <c r="S24" s="3515">
        <f ca="1">S13-S17-S20</f>
        <v>12260.356945786389</v>
      </c>
      <c r="T24" s="2751"/>
      <c r="U24" s="2748"/>
      <c r="V24" s="129">
        <f>V13-V17-V20</f>
        <v>6884.7028244333451</v>
      </c>
      <c r="W24" s="1075">
        <f ca="1">W13-W17-W20</f>
        <v>10266.834449999998</v>
      </c>
      <c r="Z24" s="110"/>
      <c r="AA24" s="131"/>
      <c r="AB24" s="132"/>
      <c r="AC24" s="132"/>
      <c r="AD24" s="133"/>
      <c r="AE24" s="131"/>
      <c r="AF24" s="132"/>
      <c r="AG24" s="132"/>
      <c r="AH24" s="133"/>
      <c r="AI24" s="131"/>
      <c r="AJ24" s="132"/>
      <c r="AK24" s="132"/>
      <c r="AL24" s="133"/>
      <c r="AM24" s="131"/>
      <c r="AN24" s="132"/>
      <c r="AO24" s="132"/>
      <c r="AP24" s="133"/>
      <c r="AQ24" s="131"/>
      <c r="AR24" s="132"/>
      <c r="AS24" s="132"/>
      <c r="AT24" s="132"/>
      <c r="AU24" s="131"/>
      <c r="AV24" s="132"/>
      <c r="AW24" s="132"/>
      <c r="AX24" s="132"/>
      <c r="AY24" s="131"/>
      <c r="AZ24" s="132"/>
      <c r="BA24" s="132"/>
      <c r="BB24" s="132"/>
      <c r="BC24" s="631" t="e">
        <f>BC13-BC17-BC20</f>
        <v>#REF!</v>
      </c>
      <c r="BD24" s="632" t="e">
        <f>BD13-BD17-BD20</f>
        <v>#REF!</v>
      </c>
      <c r="BE24" s="632" t="e">
        <f>BE13-BE17-BE20</f>
        <v>#REF!</v>
      </c>
      <c r="BF24" s="632" t="e">
        <f>BF13-BF17-BF20</f>
        <v>#REF!</v>
      </c>
      <c r="BG24" s="631">
        <f>BG13-BG17-BG20</f>
        <v>662.42643990699992</v>
      </c>
      <c r="BH24" s="632">
        <f t="shared" ref="BH24:CB24" si="90">BH13-BH17-BH20</f>
        <v>718.94730610300007</v>
      </c>
      <c r="BI24" s="632">
        <f t="shared" si="90"/>
        <v>887.20784875300001</v>
      </c>
      <c r="BJ24" s="632">
        <f t="shared" si="90"/>
        <v>848.01828394299991</v>
      </c>
      <c r="BK24" s="631">
        <f t="shared" si="90"/>
        <v>810.15548685699991</v>
      </c>
      <c r="BL24" s="632">
        <f t="shared" si="90"/>
        <v>1080.3932366210004</v>
      </c>
      <c r="BM24" s="632">
        <f t="shared" si="90"/>
        <v>1192.6174371449999</v>
      </c>
      <c r="BN24" s="632">
        <f t="shared" si="90"/>
        <v>1034.7143994709998</v>
      </c>
      <c r="BO24" s="631">
        <f t="shared" si="90"/>
        <v>1050.1185270159999</v>
      </c>
      <c r="BP24" s="632">
        <f t="shared" si="90"/>
        <v>1102.583854426</v>
      </c>
      <c r="BQ24" s="632">
        <f t="shared" si="90"/>
        <v>1192.335661697</v>
      </c>
      <c r="BR24" s="632">
        <f t="shared" si="90"/>
        <v>1257.2169946000001</v>
      </c>
      <c r="BS24" s="631">
        <f t="shared" si="90"/>
        <v>1080.648442446</v>
      </c>
      <c r="BT24" s="632">
        <f t="shared" si="90"/>
        <v>1495.1061070410001</v>
      </c>
      <c r="BU24" s="632">
        <f t="shared" si="90"/>
        <v>1375.7897810960001</v>
      </c>
      <c r="BV24" s="632">
        <f t="shared" si="90"/>
        <v>1461.5542458499999</v>
      </c>
      <c r="BW24" s="631">
        <f t="shared" si="90"/>
        <v>1415.6565604150003</v>
      </c>
      <c r="BX24" s="632">
        <f t="shared" si="90"/>
        <v>1580.7050758149999</v>
      </c>
      <c r="BY24" s="632">
        <f t="shared" si="90"/>
        <v>1766.6644871679996</v>
      </c>
      <c r="BZ24" s="891">
        <f t="shared" si="90"/>
        <v>1998.1158410630001</v>
      </c>
      <c r="CA24" s="632">
        <f t="shared" si="90"/>
        <v>1873.5150019049997</v>
      </c>
      <c r="CB24" s="632">
        <f t="shared" si="90"/>
        <v>1919.9690149959999</v>
      </c>
      <c r="CC24" s="632">
        <f t="shared" ref="CC24:CH24" si="91">CC13-CC17-CC20</f>
        <v>2288.6901622169999</v>
      </c>
      <c r="CD24" s="632">
        <f t="shared" si="91"/>
        <v>2335.7629032220002</v>
      </c>
      <c r="CE24" s="632">
        <f t="shared" si="91"/>
        <v>2318.0452783299997</v>
      </c>
      <c r="CF24" s="632">
        <f t="shared" si="91"/>
        <v>2350.4868981500003</v>
      </c>
      <c r="CG24" s="632">
        <f t="shared" si="91"/>
        <v>2787.1348558180007</v>
      </c>
      <c r="CH24" s="632">
        <f t="shared" si="91"/>
        <v>3052.6799999999994</v>
      </c>
      <c r="CI24" s="632">
        <f t="shared" ref="CI24:CJ24" si="92">CI13-CI17-CI20</f>
        <v>2595.1249181479998</v>
      </c>
      <c r="CJ24" s="632">
        <f t="shared" si="92"/>
        <v>2317.0375116829996</v>
      </c>
      <c r="CK24" s="632">
        <f t="shared" ref="CK24:CL24" si="93">CK13-CK17-CK20</f>
        <v>2955.006913528</v>
      </c>
      <c r="CL24" s="632">
        <f t="shared" si="93"/>
        <v>3121.3448079709997</v>
      </c>
      <c r="CM24" s="632">
        <f t="shared" ref="CM24" si="94">CM13-CM17-CM20</f>
        <v>2032.2700724450003</v>
      </c>
      <c r="CN24" s="3388">
        <f t="shared" si="6"/>
        <v>8129.0802897800013</v>
      </c>
      <c r="CO24" s="3556">
        <f t="shared" ca="1" si="7"/>
        <v>1.2003170843698954</v>
      </c>
      <c r="CP24" s="3388"/>
      <c r="CQ24" s="3388"/>
      <c r="CR24" s="943" t="s">
        <v>912</v>
      </c>
      <c r="CS24" s="1863">
        <f>BW24+BX24</f>
        <v>2996.3616362299999</v>
      </c>
      <c r="CT24" s="1873">
        <f>CA24+CB24</f>
        <v>3793.4840169009994</v>
      </c>
      <c r="CU24" s="1862">
        <f t="shared" si="29"/>
        <v>7867.169343358999</v>
      </c>
      <c r="CV24" s="1862">
        <f t="shared" si="30"/>
        <v>7455.6670322980008</v>
      </c>
      <c r="CW24" s="1873">
        <f>CI24+CJ24</f>
        <v>4912.1624298309998</v>
      </c>
      <c r="CX24" s="1873">
        <f>CE24+CF24</f>
        <v>4668.5321764800001</v>
      </c>
      <c r="CY24" s="174">
        <f t="shared" si="2"/>
        <v>5.2185621548975325E-2</v>
      </c>
      <c r="CZ24" s="1862">
        <f t="shared" si="3"/>
        <v>2317.0375116829996</v>
      </c>
      <c r="DA24" s="883">
        <f t="shared" si="4"/>
        <v>2350.4868981500003</v>
      </c>
      <c r="DB24" s="3115">
        <f t="shared" si="8"/>
        <v>-1.4230832979042707E-2</v>
      </c>
      <c r="DC24" s="3111"/>
      <c r="DD24" s="115"/>
      <c r="DE24" s="1006">
        <f>SUM(BW24)</f>
        <v>1415.6565604150003</v>
      </c>
      <c r="DF24" s="1018">
        <f>SUM(CA24)</f>
        <v>1873.5150019049997</v>
      </c>
      <c r="DG24" s="657">
        <f>DF24/DE24-1</f>
        <v>0.32342480110838334</v>
      </c>
      <c r="DH24" s="657"/>
      <c r="DI24" s="657"/>
      <c r="DO24" s="2408" t="s">
        <v>624</v>
      </c>
      <c r="DP24" s="2409">
        <f>Data!BU493</f>
        <v>1809.799453894</v>
      </c>
      <c r="DQ24" s="2409">
        <f>Data!BY493</f>
        <v>2160.265289642</v>
      </c>
      <c r="DR24" s="2416">
        <f>DQ24/DP24-1</f>
        <v>0.19364898966785016</v>
      </c>
      <c r="DS24" s="2409">
        <f>Data!BX493</f>
        <v>2051.240770981</v>
      </c>
      <c r="DT24" s="2416">
        <f>DQ24/DS24-1</f>
        <v>5.3150522456151927E-2</v>
      </c>
      <c r="DU24" s="2416"/>
      <c r="DV24" s="596"/>
      <c r="DW24" s="596"/>
      <c r="DX24" s="596"/>
      <c r="DY24" s="596"/>
      <c r="DZ24" s="596"/>
      <c r="EA24" s="61"/>
      <c r="EB24" s="603">
        <f>M94</f>
        <v>4419.7695071036078</v>
      </c>
      <c r="EC24" s="596"/>
      <c r="ED24" s="596"/>
      <c r="EE24" s="596"/>
      <c r="EF24" s="603">
        <f>L94</f>
        <v>4341.5676497790164</v>
      </c>
      <c r="EG24" s="596"/>
      <c r="EH24" s="596"/>
      <c r="EI24" s="603"/>
      <c r="EJ24" s="601"/>
      <c r="EK24" s="865"/>
      <c r="EL24" s="603">
        <f>K94</f>
        <v>4114.9824409595221</v>
      </c>
      <c r="EN24" s="602">
        <f>(EF24/EL24-1)</f>
        <v>5.5063469181331426E-2</v>
      </c>
      <c r="EO24" s="985">
        <f>(EB24/EF24-1)</f>
        <v>1.8012354898713001E-2</v>
      </c>
      <c r="EP24" s="987"/>
      <c r="EQ24" s="14"/>
      <c r="FB24" s="62"/>
    </row>
    <row r="25" spans="2:158" s="28" customFormat="1">
      <c r="B25" s="940" t="s">
        <v>14</v>
      </c>
      <c r="C25" s="720" t="e">
        <f>C24/B24-1</f>
        <v>#VALUE!</v>
      </c>
      <c r="D25" s="709">
        <f t="shared" ref="D25:P25" si="95">D24/C24-1</f>
        <v>4.6826136633826732E-2</v>
      </c>
      <c r="E25" s="709">
        <f t="shared" si="95"/>
        <v>-6.005395531997193E-4</v>
      </c>
      <c r="F25" s="709">
        <f t="shared" si="95"/>
        <v>0.2572059953756729</v>
      </c>
      <c r="G25" s="709">
        <f t="shared" si="95"/>
        <v>3.8622265283831947E-2</v>
      </c>
      <c r="H25" s="709">
        <f t="shared" si="95"/>
        <v>3.8745489477479467E-2</v>
      </c>
      <c r="I25" s="720">
        <f t="shared" si="95"/>
        <v>-1.4173158431276422E-2</v>
      </c>
      <c r="J25" s="709">
        <f t="shared" si="95"/>
        <v>0.32836630511229981</v>
      </c>
      <c r="K25" s="709">
        <f t="shared" si="95"/>
        <v>0.11041968851986006</v>
      </c>
      <c r="L25" s="709">
        <f t="shared" si="95"/>
        <v>0.17597077226984403</v>
      </c>
      <c r="M25" s="709">
        <f t="shared" si="95"/>
        <v>0.25475951424310184</v>
      </c>
      <c r="N25" s="709">
        <f t="shared" si="95"/>
        <v>0.24388205608354663</v>
      </c>
      <c r="O25" s="709">
        <f t="shared" si="95"/>
        <v>0.24335099996440013</v>
      </c>
      <c r="P25" s="709">
        <f t="shared" si="95"/>
        <v>5.4271178892194127E-2</v>
      </c>
      <c r="Q25" s="709">
        <f ca="1">Q24/P24-1</f>
        <v>-0.11925345060065928</v>
      </c>
      <c r="R25" s="709">
        <f ca="1">R24/Q24-1</f>
        <v>0.10706671420410263</v>
      </c>
      <c r="S25" s="3508">
        <f ca="1">S24/R24-1</f>
        <v>0.13498970060393622</v>
      </c>
      <c r="T25" s="2716"/>
      <c r="U25" s="2716"/>
      <c r="V25" s="709">
        <f>V24/N24-1</f>
        <v>-0.1853992028030188</v>
      </c>
      <c r="W25" s="709">
        <f ca="1">W24/O24-1</f>
        <v>-2.2982274079445975E-2</v>
      </c>
      <c r="Z25" s="99"/>
      <c r="AA25" s="137"/>
      <c r="AB25" s="138"/>
      <c r="AC25" s="138"/>
      <c r="AD25" s="139"/>
      <c r="AE25" s="137"/>
      <c r="AF25" s="138"/>
      <c r="AG25" s="138"/>
      <c r="AH25" s="139"/>
      <c r="AI25" s="137"/>
      <c r="AJ25" s="138"/>
      <c r="AK25" s="138"/>
      <c r="AL25" s="139"/>
      <c r="AM25" s="137"/>
      <c r="AN25" s="138"/>
      <c r="AO25" s="138"/>
      <c r="AP25" s="139"/>
      <c r="AQ25" s="137"/>
      <c r="AR25" s="138"/>
      <c r="AS25" s="138"/>
      <c r="AT25" s="139"/>
      <c r="AU25" s="137"/>
      <c r="AV25" s="138"/>
      <c r="AW25" s="138"/>
      <c r="AX25" s="138"/>
      <c r="AY25" s="137"/>
      <c r="AZ25" s="138"/>
      <c r="BA25" s="138"/>
      <c r="BB25" s="138"/>
      <c r="BC25" s="633"/>
      <c r="BD25" s="634"/>
      <c r="BE25" s="634"/>
      <c r="BF25" s="634"/>
      <c r="BG25" s="98" t="e">
        <f t="shared" ref="BG25:CM25" si="96">BG24/BC24-1</f>
        <v>#REF!</v>
      </c>
      <c r="BH25" s="98" t="e">
        <f t="shared" si="96"/>
        <v>#REF!</v>
      </c>
      <c r="BI25" s="98" t="e">
        <f t="shared" si="96"/>
        <v>#REF!</v>
      </c>
      <c r="BJ25" s="98" t="e">
        <f t="shared" si="96"/>
        <v>#REF!</v>
      </c>
      <c r="BK25" s="98">
        <f t="shared" si="96"/>
        <v>0.22301200261683407</v>
      </c>
      <c r="BL25" s="98">
        <f t="shared" si="96"/>
        <v>0.50274328514726729</v>
      </c>
      <c r="BM25" s="98">
        <f t="shared" si="96"/>
        <v>0.3442367972975704</v>
      </c>
      <c r="BN25" s="98">
        <f t="shared" si="96"/>
        <v>0.22015576676003445</v>
      </c>
      <c r="BO25" s="98">
        <f t="shared" si="96"/>
        <v>0.29619380977093313</v>
      </c>
      <c r="BP25" s="98">
        <f t="shared" si="96"/>
        <v>2.0539389782189055E-2</v>
      </c>
      <c r="BQ25" s="98">
        <f t="shared" si="96"/>
        <v>-2.3626641639129531E-4</v>
      </c>
      <c r="BR25" s="98">
        <f t="shared" si="96"/>
        <v>0.21503769082826651</v>
      </c>
      <c r="BS25" s="98">
        <f t="shared" si="96"/>
        <v>2.9072828108988258E-2</v>
      </c>
      <c r="BT25" s="98">
        <f t="shared" si="96"/>
        <v>0.35600217710365922</v>
      </c>
      <c r="BU25" s="98">
        <f t="shared" si="96"/>
        <v>0.15386113599747375</v>
      </c>
      <c r="BV25" s="98">
        <f t="shared" si="96"/>
        <v>0.16253141035133112</v>
      </c>
      <c r="BW25" s="98">
        <f t="shared" si="96"/>
        <v>0.31000657087953987</v>
      </c>
      <c r="BX25" s="98">
        <f t="shared" si="96"/>
        <v>5.7252771807220215E-2</v>
      </c>
      <c r="BY25" s="98">
        <f t="shared" si="96"/>
        <v>0.28410932501665753</v>
      </c>
      <c r="BZ25" s="98">
        <f t="shared" si="96"/>
        <v>0.3671171266728801</v>
      </c>
      <c r="CA25" s="98">
        <f t="shared" si="96"/>
        <v>0.32342480110838334</v>
      </c>
      <c r="CB25" s="98">
        <f t="shared" si="96"/>
        <v>0.21462823417966059</v>
      </c>
      <c r="CC25" s="98">
        <f t="shared" si="96"/>
        <v>0.29548659569526881</v>
      </c>
      <c r="CD25" s="98">
        <f t="shared" si="96"/>
        <v>0.16898272623641852</v>
      </c>
      <c r="CE25" s="98">
        <f t="shared" si="96"/>
        <v>0.23727073227222584</v>
      </c>
      <c r="CF25" s="98">
        <f t="shared" si="96"/>
        <v>0.22423168279874428</v>
      </c>
      <c r="CG25" s="98">
        <f t="shared" si="96"/>
        <v>0.21778600783522806</v>
      </c>
      <c r="CH25" s="98">
        <f t="shared" si="96"/>
        <v>0.3069305946203138</v>
      </c>
      <c r="CI25" s="98">
        <f t="shared" si="96"/>
        <v>0.11953159086591181</v>
      </c>
      <c r="CJ25" s="98">
        <f t="shared" si="96"/>
        <v>-1.4230832979042707E-2</v>
      </c>
      <c r="CK25" s="98">
        <f t="shared" si="96"/>
        <v>6.0231049588280516E-2</v>
      </c>
      <c r="CL25" s="98">
        <f t="shared" si="96"/>
        <v>2.2493287200427314E-2</v>
      </c>
      <c r="CM25" s="98">
        <f t="shared" si="96"/>
        <v>-0.21688930724177957</v>
      </c>
      <c r="CN25" s="3388">
        <f t="shared" si="6"/>
        <v>-0.86755722896711829</v>
      </c>
      <c r="CO25" s="3556">
        <f t="shared" ca="1" si="7"/>
        <v>0.13745888642140422</v>
      </c>
      <c r="CP25" s="3388"/>
      <c r="CQ25" s="3388"/>
      <c r="CR25" s="940" t="s">
        <v>14</v>
      </c>
      <c r="CS25" s="1867"/>
      <c r="CT25" s="1867"/>
      <c r="CU25" s="1862"/>
      <c r="CV25" s="1862"/>
      <c r="CW25" s="1867"/>
      <c r="CX25" s="1867"/>
      <c r="CY25" s="174" t="e">
        <f t="shared" si="2"/>
        <v>#DIV/0!</v>
      </c>
      <c r="CZ25" s="1875">
        <f t="shared" si="3"/>
        <v>-1.4230832979042707E-2</v>
      </c>
      <c r="DA25" s="3115">
        <f t="shared" si="4"/>
        <v>0.22423168279874428</v>
      </c>
      <c r="DB25" s="3115">
        <f t="shared" si="8"/>
        <v>-1.0634648627768422</v>
      </c>
      <c r="DC25" s="634"/>
      <c r="DD25" s="138"/>
      <c r="DE25" s="1023"/>
      <c r="DF25" s="1024"/>
      <c r="DG25" s="662"/>
      <c r="DH25" s="662"/>
      <c r="DI25" s="662"/>
      <c r="DJ25" s="31"/>
      <c r="DK25" s="31"/>
      <c r="DL25" s="31"/>
      <c r="DM25" s="31"/>
      <c r="DN25" s="31"/>
      <c r="DO25" s="2408" t="s">
        <v>806</v>
      </c>
      <c r="DP25" s="2409">
        <f>Data!BU495</f>
        <v>1493.5625808899999</v>
      </c>
      <c r="DQ25" s="2409">
        <f>Data!BY495</f>
        <v>1798.0308635280001</v>
      </c>
      <c r="DR25" s="2416">
        <f>DQ25/DP25-1</f>
        <v>0.20385371629796079</v>
      </c>
      <c r="DS25" s="2409">
        <f>Data!BX495</f>
        <v>1728.3999613349999</v>
      </c>
      <c r="DT25" s="2416">
        <f>DQ25/DS25-1</f>
        <v>4.0286336351927465E-2</v>
      </c>
      <c r="DU25" s="2416"/>
      <c r="DV25" s="12"/>
      <c r="DW25" s="12"/>
      <c r="DX25" s="12"/>
      <c r="DY25" s="12"/>
      <c r="DZ25" s="12"/>
      <c r="EA25" s="61"/>
      <c r="EB25" s="12"/>
      <c r="EC25" s="12"/>
      <c r="ED25" s="12"/>
      <c r="EE25" s="12"/>
      <c r="EF25" s="11"/>
      <c r="EG25" s="12"/>
      <c r="EH25" s="12"/>
      <c r="EI25" s="11"/>
      <c r="EJ25" s="12"/>
      <c r="EK25" s="12"/>
      <c r="EL25" s="127"/>
      <c r="EN25" s="12"/>
      <c r="EO25" s="12"/>
      <c r="EP25" s="14"/>
      <c r="ET25" s="29"/>
    </row>
    <row r="26" spans="2:158" s="28" customFormat="1" ht="13.5" thickBot="1">
      <c r="B26" s="941" t="s">
        <v>1355</v>
      </c>
      <c r="C26" s="720">
        <f>C24/C9</f>
        <v>9.0735465728255832E-2</v>
      </c>
      <c r="D26" s="709">
        <f t="shared" ref="D26:M26" si="97">D24/D9</f>
        <v>8.6431896219560572E-2</v>
      </c>
      <c r="E26" s="709">
        <f t="shared" si="97"/>
        <v>7.1517639650412385E-2</v>
      </c>
      <c r="F26" s="709">
        <f t="shared" si="97"/>
        <v>7.7323047100798181E-2</v>
      </c>
      <c r="G26" s="709">
        <f t="shared" si="97"/>
        <v>7.7116337683009226E-2</v>
      </c>
      <c r="H26" s="709">
        <f t="shared" si="97"/>
        <v>7.4232107060368702E-2</v>
      </c>
      <c r="I26" s="720">
        <f t="shared" si="97"/>
        <v>0.13448003705984785</v>
      </c>
      <c r="J26" s="709">
        <f t="shared" si="97"/>
        <v>0.14961370883316824</v>
      </c>
      <c r="K26" s="709">
        <f t="shared" si="97"/>
        <v>0.15436365577617198</v>
      </c>
      <c r="L26" s="709">
        <f t="shared" si="97"/>
        <v>0.15186324270925325</v>
      </c>
      <c r="M26" s="709">
        <f t="shared" si="97"/>
        <v>0.15438832575374628</v>
      </c>
      <c r="N26" s="709">
        <f t="shared" ref="N26:O26" si="98">N24/N9</f>
        <v>0.16062267339567346</v>
      </c>
      <c r="O26" s="709">
        <f t="shared" si="98"/>
        <v>0.16720035501081251</v>
      </c>
      <c r="P26" s="709">
        <f t="shared" ref="P26" si="99">P24/P9</f>
        <v>0.15779809875527884</v>
      </c>
      <c r="Q26" s="709">
        <f ca="1">Q24/Q9</f>
        <v>0.17060129474371571</v>
      </c>
      <c r="R26" s="709">
        <f ca="1">R24/R9</f>
        <v>0.16380576720202886</v>
      </c>
      <c r="S26" s="3508">
        <f ca="1">S24/S9</f>
        <v>0.16018917147781406</v>
      </c>
      <c r="T26" s="2716"/>
      <c r="U26" s="2716"/>
      <c r="V26" s="709">
        <f>V24/V9</f>
        <v>0.12350436794576811</v>
      </c>
      <c r="W26" s="709">
        <f ca="1">W24/W9</f>
        <v>0.15483499484151514</v>
      </c>
      <c r="Z26" s="99"/>
      <c r="AA26" s="87"/>
      <c r="AB26" s="88"/>
      <c r="AC26" s="88"/>
      <c r="AD26" s="89"/>
      <c r="AE26" s="87"/>
      <c r="AF26" s="88"/>
      <c r="AG26" s="88"/>
      <c r="AH26" s="89"/>
      <c r="AI26" s="87"/>
      <c r="AJ26" s="88"/>
      <c r="AK26" s="88"/>
      <c r="AL26" s="89"/>
      <c r="AM26" s="87"/>
      <c r="AN26" s="88"/>
      <c r="AO26" s="88"/>
      <c r="AP26" s="89"/>
      <c r="AQ26" s="87"/>
      <c r="AR26" s="88"/>
      <c r="AS26" s="88"/>
      <c r="AT26" s="88"/>
      <c r="AU26" s="87"/>
      <c r="AV26" s="88"/>
      <c r="AW26" s="88"/>
      <c r="AX26" s="88"/>
      <c r="AY26" s="87"/>
      <c r="AZ26" s="88"/>
      <c r="BA26" s="88"/>
      <c r="BB26" s="88"/>
      <c r="BC26" s="716" t="e">
        <f>BC24/BC9</f>
        <v>#REF!</v>
      </c>
      <c r="BD26" s="717" t="e">
        <f>BD24/BD9</f>
        <v>#REF!</v>
      </c>
      <c r="BE26" s="717" t="e">
        <f>BE24/BE9</f>
        <v>#REF!</v>
      </c>
      <c r="BF26" s="717" t="e">
        <f>BF24/BF9</f>
        <v>#REF!</v>
      </c>
      <c r="BG26" s="716">
        <f>BG24/BG9</f>
        <v>0.13943563538059425</v>
      </c>
      <c r="BH26" s="717">
        <f t="shared" ref="BH26:CB26" si="100">BH24/BH9</f>
        <v>0.13133226195701067</v>
      </c>
      <c r="BI26" s="717">
        <f t="shared" si="100"/>
        <v>0.14698462333403822</v>
      </c>
      <c r="BJ26" s="717">
        <f t="shared" si="100"/>
        <v>0.12197408108633266</v>
      </c>
      <c r="BK26" s="716">
        <f t="shared" si="100"/>
        <v>0.14297333472448684</v>
      </c>
      <c r="BL26" s="717">
        <f t="shared" si="100"/>
        <v>0.15827807389257229</v>
      </c>
      <c r="BM26" s="717">
        <f t="shared" si="100"/>
        <v>0.16787086575897292</v>
      </c>
      <c r="BN26" s="717">
        <f t="shared" si="100"/>
        <v>0.12742493345000955</v>
      </c>
      <c r="BO26" s="716">
        <f t="shared" si="100"/>
        <v>0.15837542366933199</v>
      </c>
      <c r="BP26" s="717">
        <f t="shared" si="100"/>
        <v>0.15796324638690212</v>
      </c>
      <c r="BQ26" s="717">
        <f t="shared" si="100"/>
        <v>0.15785984060170494</v>
      </c>
      <c r="BR26" s="717">
        <f t="shared" si="100"/>
        <v>0.14506286423071574</v>
      </c>
      <c r="BS26" s="716">
        <f t="shared" si="100"/>
        <v>0.14244684509554709</v>
      </c>
      <c r="BT26" s="717">
        <f t="shared" si="100"/>
        <v>0.17301050102300114</v>
      </c>
      <c r="BU26" s="717">
        <f t="shared" si="100"/>
        <v>0.15768053488007777</v>
      </c>
      <c r="BV26" s="717">
        <f t="shared" si="100"/>
        <v>0.13654210104307368</v>
      </c>
      <c r="BW26" s="716">
        <f t="shared" si="100"/>
        <v>0.14549019820598563</v>
      </c>
      <c r="BX26" s="717">
        <f t="shared" si="100"/>
        <v>0.15656652808856769</v>
      </c>
      <c r="BY26" s="717">
        <f t="shared" si="100"/>
        <v>0.15846572493743333</v>
      </c>
      <c r="BZ26" s="884">
        <f t="shared" si="100"/>
        <v>0.15320123721834925</v>
      </c>
      <c r="CA26" s="717">
        <f t="shared" si="100"/>
        <v>0.16038474743619041</v>
      </c>
      <c r="CB26" s="717">
        <f t="shared" si="100"/>
        <v>0.15378989063894247</v>
      </c>
      <c r="CC26" s="717">
        <f t="shared" ref="CC26:CH26" si="101">CC24/CC9</f>
        <v>0.16630813652136245</v>
      </c>
      <c r="CD26" s="717">
        <f t="shared" si="101"/>
        <v>0.15899913436016988</v>
      </c>
      <c r="CE26" s="717">
        <f t="shared" si="101"/>
        <v>0.16448286759739367</v>
      </c>
      <c r="CF26" s="717">
        <f t="shared" si="101"/>
        <v>0.1541785496658849</v>
      </c>
      <c r="CG26" s="717">
        <f t="shared" si="101"/>
        <v>0.17526039753413211</v>
      </c>
      <c r="CH26" s="717">
        <f t="shared" si="101"/>
        <v>0.17337069552051301</v>
      </c>
      <c r="CI26" s="717">
        <f t="shared" ref="CI26:CJ26" si="102">CI24/CI9</f>
        <v>0.16160805459653935</v>
      </c>
      <c r="CJ26" s="717">
        <f t="shared" si="102"/>
        <v>0.13937308307811019</v>
      </c>
      <c r="CK26" s="717">
        <f t="shared" ref="CK26:CL26" si="103">CK24/CK9</f>
        <v>0.17175757900093086</v>
      </c>
      <c r="CL26" s="717">
        <f t="shared" si="103"/>
        <v>0.15432758353966988</v>
      </c>
      <c r="CM26" s="717">
        <f t="shared" ref="CM26" si="104">CM24/CM9</f>
        <v>0.16284218968749006</v>
      </c>
      <c r="CN26" s="3388">
        <f t="shared" si="6"/>
        <v>0.65136875874996025</v>
      </c>
      <c r="CO26" s="3556">
        <f t="shared" ca="1" si="7"/>
        <v>0.26191200061715597</v>
      </c>
      <c r="CP26" s="3388"/>
      <c r="CQ26" s="3388"/>
      <c r="CR26" s="941" t="s">
        <v>1355</v>
      </c>
      <c r="CS26" s="1034">
        <f>CS24/CS9</f>
        <v>0.15113054529453077</v>
      </c>
      <c r="CT26" s="1034">
        <f>CT24/CT9</f>
        <v>0.15697775125871824</v>
      </c>
      <c r="CU26" s="1862">
        <f t="shared" si="29"/>
        <v>0.47273871667558043</v>
      </c>
      <c r="CV26" s="1862">
        <f t="shared" si="30"/>
        <v>0.49392181479741065</v>
      </c>
      <c r="CW26" s="1034">
        <f>CW24/CW9</f>
        <v>0.15029784217917916</v>
      </c>
      <c r="CX26" s="1034">
        <f t="shared" ref="CX26" si="105">CX24/CX9</f>
        <v>0.15912835021754212</v>
      </c>
      <c r="CY26" s="174">
        <f t="shared" si="2"/>
        <v>-5.549299057201873E-2</v>
      </c>
      <c r="CZ26" s="1875">
        <f t="shared" si="3"/>
        <v>0.13937308307811019</v>
      </c>
      <c r="DA26" s="3115">
        <f t="shared" si="4"/>
        <v>0.1541785496658849</v>
      </c>
      <c r="DB26" s="3115">
        <f t="shared" si="8"/>
        <v>-9.6028057209379236E-2</v>
      </c>
      <c r="DC26" s="717"/>
      <c r="DD26" s="88"/>
      <c r="DE26" s="1010">
        <f>DE24/DE9</f>
        <v>0.14549019820598563</v>
      </c>
      <c r="DF26" s="989">
        <f>DF24/DF9</f>
        <v>0.16038474743619041</v>
      </c>
      <c r="DG26" s="659"/>
      <c r="DH26" s="659"/>
      <c r="DI26" s="659"/>
      <c r="DJ26" s="93"/>
      <c r="DK26" s="93"/>
      <c r="DL26" s="93"/>
      <c r="DM26" s="93"/>
      <c r="DN26" s="93"/>
      <c r="DO26" s="2411" t="s">
        <v>168</v>
      </c>
      <c r="DP26" s="2418">
        <f>DP25/DP6</f>
        <v>0.12785841430285699</v>
      </c>
      <c r="DQ26" s="2418">
        <f>DQ25/DQ6</f>
        <v>0.12758390667621841</v>
      </c>
      <c r="DR26" s="2418"/>
      <c r="DS26" s="2418">
        <f>DS25/DS6</f>
        <v>0.11765496288229074</v>
      </c>
      <c r="DT26" s="2418"/>
      <c r="DU26" s="2420"/>
      <c r="DV26" s="14"/>
      <c r="DW26" s="14"/>
      <c r="DX26" s="14"/>
      <c r="DY26" s="14"/>
      <c r="DZ26" s="14"/>
      <c r="EA26" s="61"/>
      <c r="EB26" s="14"/>
      <c r="EC26" s="14"/>
      <c r="ED26" s="14"/>
      <c r="EE26" s="14"/>
      <c r="EF26" s="11"/>
      <c r="EG26" s="14"/>
      <c r="EH26" s="14"/>
      <c r="EI26" s="13"/>
      <c r="EJ26" s="14"/>
      <c r="EK26" s="14"/>
      <c r="EL26" s="127"/>
      <c r="EN26" s="14"/>
      <c r="EO26" s="14"/>
    </row>
    <row r="27" spans="2:158">
      <c r="B27" s="944"/>
      <c r="C27" s="914"/>
      <c r="D27" s="689"/>
      <c r="E27" s="689"/>
      <c r="F27" s="689"/>
      <c r="G27" s="689"/>
      <c r="H27" s="689"/>
      <c r="I27" s="914"/>
      <c r="J27" s="689"/>
      <c r="K27" s="689"/>
      <c r="L27" s="689"/>
      <c r="M27" s="689"/>
      <c r="N27" s="689"/>
      <c r="O27" s="689"/>
      <c r="P27" s="689"/>
      <c r="Q27" s="3555"/>
      <c r="R27" s="122"/>
      <c r="S27" s="3516"/>
      <c r="T27" s="3269"/>
      <c r="U27" s="2749"/>
      <c r="V27" s="122"/>
      <c r="W27" s="122"/>
      <c r="Z27" s="100"/>
      <c r="AA27" s="121"/>
      <c r="AB27" s="111"/>
      <c r="AC27" s="111"/>
      <c r="AD27" s="126"/>
      <c r="AE27" s="121"/>
      <c r="AF27" s="111"/>
      <c r="AG27" s="111"/>
      <c r="AH27" s="126"/>
      <c r="AI27" s="121"/>
      <c r="AJ27" s="111"/>
      <c r="AK27" s="111"/>
      <c r="AL27" s="126"/>
      <c r="AM27" s="121"/>
      <c r="AN27" s="111"/>
      <c r="AO27" s="111"/>
      <c r="AP27" s="126"/>
      <c r="AQ27" s="121"/>
      <c r="AR27" s="111"/>
      <c r="AS27" s="111"/>
      <c r="AT27" s="111"/>
      <c r="AU27" s="121"/>
      <c r="AV27" s="111"/>
      <c r="AW27" s="111"/>
      <c r="AX27" s="111"/>
      <c r="AY27" s="121"/>
      <c r="AZ27" s="111"/>
      <c r="BA27" s="111"/>
      <c r="BB27" s="111"/>
      <c r="BC27" s="629"/>
      <c r="BD27" s="630"/>
      <c r="BE27" s="630"/>
      <c r="BF27" s="630"/>
      <c r="BG27" s="629"/>
      <c r="BH27" s="630"/>
      <c r="BI27" s="630"/>
      <c r="BJ27" s="630"/>
      <c r="BK27" s="629"/>
      <c r="BL27" s="630"/>
      <c r="BM27" s="630"/>
      <c r="BN27" s="630"/>
      <c r="BO27" s="629"/>
      <c r="BP27" s="630"/>
      <c r="BQ27" s="630"/>
      <c r="BR27" s="630"/>
      <c r="BS27" s="629"/>
      <c r="BT27" s="630"/>
      <c r="BU27" s="630"/>
      <c r="BV27" s="630"/>
      <c r="BW27" s="629"/>
      <c r="BX27" s="630"/>
      <c r="BY27" s="880"/>
      <c r="BZ27" s="881"/>
      <c r="CA27" s="880"/>
      <c r="CB27" s="880"/>
      <c r="CC27" s="880"/>
      <c r="CD27" s="880"/>
      <c r="CE27" s="880"/>
      <c r="CF27" s="880"/>
      <c r="CG27" s="880"/>
      <c r="CH27" s="880"/>
      <c r="CI27" s="880"/>
      <c r="CJ27" s="880"/>
      <c r="CK27" s="880"/>
      <c r="CL27" s="880"/>
      <c r="CM27" s="880"/>
      <c r="CN27" s="3388">
        <f t="shared" si="6"/>
        <v>0</v>
      </c>
      <c r="CO27" s="3556" t="e">
        <f t="shared" si="7"/>
        <v>#DIV/0!</v>
      </c>
      <c r="CP27" s="3388"/>
      <c r="CQ27" s="3388"/>
      <c r="CR27" s="944"/>
      <c r="CS27" s="1868"/>
      <c r="CT27" s="1868"/>
      <c r="CU27" s="1862"/>
      <c r="CV27" s="1862"/>
      <c r="CW27" s="1868"/>
      <c r="CX27" s="1868"/>
      <c r="CY27" s="174"/>
      <c r="CZ27" s="1862">
        <f t="shared" si="3"/>
        <v>0</v>
      </c>
      <c r="DA27" s="883">
        <f t="shared" si="4"/>
        <v>0</v>
      </c>
      <c r="DB27" s="3115"/>
      <c r="DC27" s="880"/>
      <c r="DD27" s="111"/>
      <c r="DE27" s="1021"/>
      <c r="DF27" s="1022"/>
      <c r="DG27" s="661"/>
      <c r="DH27" s="661"/>
      <c r="DI27" s="661"/>
      <c r="DJ27" s="142"/>
      <c r="DK27" s="142"/>
      <c r="DL27" s="142"/>
      <c r="DM27" s="142"/>
      <c r="DN27" s="142"/>
      <c r="DU27" s="28"/>
      <c r="DV27" s="28"/>
      <c r="DW27" s="28"/>
      <c r="DX27" s="28">
        <f>1/DX28</f>
        <v>2.2397970479665967</v>
      </c>
      <c r="DY27" s="28"/>
      <c r="DZ27" s="28"/>
      <c r="EB27" s="28"/>
      <c r="EC27" s="28"/>
      <c r="ED27" s="28"/>
      <c r="EE27" s="28"/>
      <c r="EF27" s="28"/>
      <c r="EG27" s="28"/>
      <c r="EH27" s="28"/>
      <c r="EI27" s="28"/>
      <c r="EJ27" s="28"/>
      <c r="EK27" s="28"/>
      <c r="EL27" s="28"/>
      <c r="EN27" s="28"/>
      <c r="EO27" s="28"/>
      <c r="EP27" s="28"/>
    </row>
    <row r="28" spans="2:158" s="16" customFormat="1" ht="15" customHeight="1">
      <c r="B28" s="2028" t="s">
        <v>1065</v>
      </c>
      <c r="C28" s="2029">
        <f>Data!L396</f>
        <v>399.55979001999998</v>
      </c>
      <c r="D28" s="2030">
        <f>Data!M396</f>
        <v>442.985954392</v>
      </c>
      <c r="E28" s="2030">
        <f>Data!N396</f>
        <v>547.27364608599999</v>
      </c>
      <c r="F28" s="2030">
        <f>Data!O396</f>
        <v>732.880119304</v>
      </c>
      <c r="G28" s="2030">
        <f>Data!P396</f>
        <v>933.43967711599998</v>
      </c>
      <c r="H28" s="2030">
        <f>Data!Q396</f>
        <v>1039.4167683420001</v>
      </c>
      <c r="I28" s="2029">
        <f>Data!R396</f>
        <v>1164.692003074</v>
      </c>
      <c r="J28" s="2030">
        <f>Data!S396</f>
        <v>1354.613458881</v>
      </c>
      <c r="K28" s="2030">
        <f>Data!T396</f>
        <v>1490.607476892</v>
      </c>
      <c r="L28" s="2030">
        <f>Data!U396</f>
        <v>1643.9156853320001</v>
      </c>
      <c r="M28" s="2030">
        <f>Data!V396</f>
        <v>1833.0644991280001</v>
      </c>
      <c r="N28" s="2030">
        <f>Data!W396</f>
        <v>2286.514158688</v>
      </c>
      <c r="O28" s="2030">
        <f>Data!X396</f>
        <v>2535.3000000000002</v>
      </c>
      <c r="P28" s="2030">
        <f>Data!Y396</f>
        <v>2899.52</v>
      </c>
      <c r="Q28" s="2031">
        <f ca="1">BS!Q230</f>
        <v>2697.8567101337107</v>
      </c>
      <c r="R28" s="2031">
        <f ca="1">BS!R230</f>
        <v>2700.7971225783858</v>
      </c>
      <c r="S28" s="3517">
        <f ca="1">BS!S230</f>
        <v>2734.9740347928778</v>
      </c>
      <c r="T28" s="2751"/>
      <c r="U28" s="2750"/>
      <c r="V28" s="2031">
        <f>BS!Y230</f>
        <v>2197.6752865011476</v>
      </c>
      <c r="W28" s="2031">
        <f>BS!Z230</f>
        <v>0</v>
      </c>
      <c r="Z28" s="129"/>
      <c r="AA28" s="384"/>
      <c r="AC28" s="23"/>
      <c r="AD28" s="392"/>
      <c r="AE28" s="384"/>
      <c r="AH28" s="392"/>
      <c r="AI28" s="384"/>
      <c r="AL28" s="392"/>
      <c r="AM28" s="107"/>
      <c r="AN28" s="108"/>
      <c r="AO28" s="108"/>
      <c r="AP28" s="176"/>
      <c r="AQ28" s="107"/>
      <c r="AR28" s="108"/>
      <c r="AS28" s="108"/>
      <c r="AT28" s="176"/>
      <c r="AU28" s="107"/>
      <c r="AV28" s="108"/>
      <c r="AW28" s="108"/>
      <c r="AX28" s="23"/>
      <c r="AY28" s="97"/>
      <c r="AZ28" s="23"/>
      <c r="BA28" s="23"/>
      <c r="BB28" s="108"/>
      <c r="BC28" s="860">
        <v>311.24389229000002</v>
      </c>
      <c r="BD28" s="815">
        <v>314.28837730700002</v>
      </c>
      <c r="BE28" s="815">
        <v>313.04175100800001</v>
      </c>
      <c r="BF28" s="815">
        <v>361.296133295</v>
      </c>
      <c r="BG28" s="860">
        <v>274.12090569899999</v>
      </c>
      <c r="BH28" s="815">
        <v>286.03137302800002</v>
      </c>
      <c r="BI28" s="815">
        <v>310.65004809499999</v>
      </c>
      <c r="BJ28" s="815">
        <v>293.88967625200002</v>
      </c>
      <c r="BK28" s="860">
        <v>318.40790275000001</v>
      </c>
      <c r="BL28" s="815">
        <v>332.98602324900003</v>
      </c>
      <c r="BM28" s="815">
        <v>346.549618162</v>
      </c>
      <c r="BN28" s="815">
        <v>346.046222543</v>
      </c>
      <c r="BO28" s="860">
        <v>361.75490456099999</v>
      </c>
      <c r="BP28" s="815">
        <v>368.90914174300002</v>
      </c>
      <c r="BQ28" s="815">
        <v>372.22176144600002</v>
      </c>
      <c r="BR28" s="815">
        <v>388.29767097799999</v>
      </c>
      <c r="BS28" s="860">
        <v>386.34368874500001</v>
      </c>
      <c r="BT28" s="815">
        <v>386.729793605</v>
      </c>
      <c r="BU28" s="815">
        <v>412.67769769</v>
      </c>
      <c r="BV28" s="815">
        <v>458.15801270399999</v>
      </c>
      <c r="BW28" s="860">
        <v>430.03519798000002</v>
      </c>
      <c r="BX28" s="815">
        <v>447.95657617299997</v>
      </c>
      <c r="BY28" s="815">
        <v>455.112193671</v>
      </c>
      <c r="BZ28" s="816">
        <v>500.02982730399998</v>
      </c>
      <c r="CA28" s="815">
        <v>510.017</v>
      </c>
      <c r="CB28" s="815">
        <v>510.017</v>
      </c>
      <c r="CC28" s="815">
        <v>511.017</v>
      </c>
      <c r="CD28" s="815">
        <v>513.01700000000005</v>
      </c>
      <c r="CE28" s="815">
        <v>514.01700000000005</v>
      </c>
      <c r="CF28" s="815">
        <v>515.01700000000005</v>
      </c>
      <c r="CG28" s="815">
        <v>516.01700000000005</v>
      </c>
      <c r="CH28" s="815">
        <v>517.01700000000005</v>
      </c>
      <c r="CI28" s="815">
        <v>518.01700000000005</v>
      </c>
      <c r="CJ28" s="815">
        <v>519.01700000000005</v>
      </c>
      <c r="CK28" s="815">
        <v>520.01700000000005</v>
      </c>
      <c r="CL28" s="815">
        <v>521.01700000000005</v>
      </c>
      <c r="CM28" s="815">
        <v>522.01700000000005</v>
      </c>
      <c r="CN28" s="3388">
        <f t="shared" si="6"/>
        <v>2088.0680000000002</v>
      </c>
      <c r="CO28" s="3556">
        <f t="shared" ca="1" si="7"/>
        <v>1.2920348906902028</v>
      </c>
      <c r="CP28" s="3388"/>
      <c r="CQ28" s="3388"/>
      <c r="CR28" s="2028" t="s">
        <v>1065</v>
      </c>
      <c r="CS28" s="1863">
        <f>BW28+BX28</f>
        <v>877.99177415300005</v>
      </c>
      <c r="CT28" s="1873">
        <f>CA28+CB28</f>
        <v>1020.034</v>
      </c>
      <c r="CU28" s="1862">
        <f t="shared" si="29"/>
        <v>1557.0510000000002</v>
      </c>
      <c r="CV28" s="1862">
        <f t="shared" si="30"/>
        <v>1545.0510000000002</v>
      </c>
      <c r="CW28" s="1873">
        <f>CI28+CJ28</f>
        <v>1037.0340000000001</v>
      </c>
      <c r="CX28" s="1873">
        <f>CE28+CF28</f>
        <v>1029.0340000000001</v>
      </c>
      <c r="CY28" s="174">
        <f>CW28/CX28-1</f>
        <v>7.7742815106205398E-3</v>
      </c>
      <c r="CZ28" s="1862">
        <f t="shared" si="3"/>
        <v>519.01700000000005</v>
      </c>
      <c r="DA28" s="883">
        <f t="shared" si="4"/>
        <v>515.01700000000005</v>
      </c>
      <c r="DB28" s="3115">
        <f t="shared" si="8"/>
        <v>7.7667339136378022E-3</v>
      </c>
      <c r="DC28" s="3111"/>
      <c r="DD28" s="393"/>
      <c r="DE28" s="1025">
        <f>SUM(BW28)</f>
        <v>430.03519798000002</v>
      </c>
      <c r="DF28" s="1026">
        <f>SUM(CA28)</f>
        <v>510.017</v>
      </c>
      <c r="DG28" s="394">
        <f>DF28/DE28-1</f>
        <v>0.1859889664745995</v>
      </c>
      <c r="DH28" s="663"/>
      <c r="DI28" s="663"/>
      <c r="DJ28" s="395"/>
      <c r="DK28" s="395"/>
      <c r="DL28" s="395"/>
      <c r="DM28" s="395"/>
      <c r="DN28" s="395"/>
      <c r="DU28" s="28"/>
      <c r="DV28" s="28"/>
      <c r="DW28" s="28"/>
      <c r="DX28" s="46">
        <f>DX9/M17</f>
        <v>0.44646902312325643</v>
      </c>
      <c r="DY28" s="217">
        <f>DY9*DX27</f>
        <v>5241.501531023242</v>
      </c>
      <c r="DZ28" s="28"/>
      <c r="EA28" s="15"/>
      <c r="EB28" s="46" t="e">
        <f>EB22/EF22-1</f>
        <v>#REF!</v>
      </c>
      <c r="EC28" s="28"/>
      <c r="ED28" s="28"/>
      <c r="EE28" s="28"/>
      <c r="EF28" s="30"/>
      <c r="EG28" s="28"/>
      <c r="EH28" s="28"/>
      <c r="EI28" s="28"/>
      <c r="EJ28" s="28"/>
      <c r="EK28" s="28"/>
      <c r="EL28" s="28"/>
      <c r="EN28" s="28"/>
      <c r="EO28" s="28"/>
      <c r="EP28" s="10"/>
    </row>
    <row r="29" spans="2:158">
      <c r="B29" s="1607" t="s">
        <v>198</v>
      </c>
      <c r="C29" s="1611">
        <f>C24+C28</f>
        <v>2631.1353990680009</v>
      </c>
      <c r="D29" s="1612">
        <f t="shared" ref="D29:M29" si="106">D24+D28</f>
        <v>2779.0576278179979</v>
      </c>
      <c r="E29" s="1612">
        <f t="shared" si="106"/>
        <v>2881.9424160729959</v>
      </c>
      <c r="F29" s="1612">
        <f t="shared" si="106"/>
        <v>3668.0396941479989</v>
      </c>
      <c r="G29" s="1612">
        <f t="shared" si="106"/>
        <v>3981.9617637100032</v>
      </c>
      <c r="H29" s="1613">
        <f t="shared" si="106"/>
        <v>4206.0553353639953</v>
      </c>
      <c r="I29" s="1611">
        <f t="shared" si="106"/>
        <v>4286.4492999910017</v>
      </c>
      <c r="J29" s="1612">
        <f t="shared" si="106"/>
        <v>5501.4506648439983</v>
      </c>
      <c r="K29" s="1612">
        <f t="shared" si="106"/>
        <v>6095.3371554799987</v>
      </c>
      <c r="L29" s="1612">
        <f t="shared" si="106"/>
        <v>7058.9432015550001</v>
      </c>
      <c r="M29" s="1612">
        <f t="shared" si="106"/>
        <v>8627.6217949970014</v>
      </c>
      <c r="N29" s="1612">
        <f t="shared" ref="N29:O29" si="107">N24+N28</f>
        <v>10738.142058050997</v>
      </c>
      <c r="O29" s="1612">
        <f t="shared" si="107"/>
        <v>13043.640000000003</v>
      </c>
      <c r="P29" s="1612">
        <f t="shared" ref="P29" si="108">P24+P28</f>
        <v>13978.160000000003</v>
      </c>
      <c r="Q29" s="1612">
        <f ca="1">Q24+Q28</f>
        <v>12455.330662171225</v>
      </c>
      <c r="R29" s="1612">
        <f ca="1">R24+R28</f>
        <v>13502.971749592678</v>
      </c>
      <c r="S29" s="1613">
        <f ca="1">S24+S28</f>
        <v>14995.330980579267</v>
      </c>
      <c r="T29" s="2751"/>
      <c r="U29" s="2751"/>
      <c r="V29" s="1612">
        <f>V24+V28</f>
        <v>9082.3781109344927</v>
      </c>
      <c r="W29" s="1612">
        <f ca="1">W24+W28</f>
        <v>10266.834449999998</v>
      </c>
      <c r="Z29" s="110"/>
      <c r="AA29" s="60"/>
      <c r="AB29" s="10"/>
      <c r="AC29" s="61"/>
      <c r="AD29" s="62"/>
      <c r="AE29" s="60"/>
      <c r="AH29" s="62"/>
      <c r="AI29" s="60"/>
      <c r="AL29" s="62"/>
      <c r="AM29" s="114"/>
      <c r="AN29" s="73"/>
      <c r="AO29" s="73"/>
      <c r="AP29" s="70"/>
      <c r="AQ29" s="114"/>
      <c r="AR29" s="73"/>
      <c r="AS29" s="73"/>
      <c r="AT29" s="73"/>
      <c r="AU29" s="114"/>
      <c r="AV29" s="73"/>
      <c r="AW29" s="73"/>
      <c r="AX29" s="73"/>
      <c r="AY29" s="114"/>
      <c r="AZ29" s="73"/>
      <c r="BA29" s="73"/>
      <c r="BB29" s="73"/>
      <c r="BC29" s="623" t="e">
        <f>BC24+BC28</f>
        <v>#REF!</v>
      </c>
      <c r="BD29" s="624" t="e">
        <f>BD24+BD28</f>
        <v>#REF!</v>
      </c>
      <c r="BE29" s="624" t="e">
        <f>BE24+BE28</f>
        <v>#REF!</v>
      </c>
      <c r="BF29" s="624" t="e">
        <f>BF24+BF28</f>
        <v>#REF!</v>
      </c>
      <c r="BG29" s="623">
        <f>BG24+BG28</f>
        <v>936.54734560599991</v>
      </c>
      <c r="BH29" s="624">
        <f t="shared" ref="BH29:CB29" si="109">BH24+BH28</f>
        <v>1004.978679131</v>
      </c>
      <c r="BI29" s="624">
        <f t="shared" si="109"/>
        <v>1197.8578968480001</v>
      </c>
      <c r="BJ29" s="624">
        <f t="shared" si="109"/>
        <v>1141.907960195</v>
      </c>
      <c r="BK29" s="623">
        <f t="shared" si="109"/>
        <v>1128.5633896069999</v>
      </c>
      <c r="BL29" s="624">
        <f t="shared" si="109"/>
        <v>1413.3792598700004</v>
      </c>
      <c r="BM29" s="624">
        <f t="shared" si="109"/>
        <v>1539.1670553069998</v>
      </c>
      <c r="BN29" s="624">
        <f t="shared" si="109"/>
        <v>1380.7606220139996</v>
      </c>
      <c r="BO29" s="623">
        <f t="shared" si="109"/>
        <v>1411.8734315769998</v>
      </c>
      <c r="BP29" s="624">
        <f t="shared" si="109"/>
        <v>1471.492996169</v>
      </c>
      <c r="BQ29" s="624">
        <f t="shared" si="109"/>
        <v>1564.5574231430001</v>
      </c>
      <c r="BR29" s="624">
        <f t="shared" si="109"/>
        <v>1645.5146655780002</v>
      </c>
      <c r="BS29" s="623">
        <f t="shared" si="109"/>
        <v>1466.992131191</v>
      </c>
      <c r="BT29" s="624">
        <f t="shared" si="109"/>
        <v>1881.835900646</v>
      </c>
      <c r="BU29" s="624">
        <f t="shared" si="109"/>
        <v>1788.4674787860001</v>
      </c>
      <c r="BV29" s="624">
        <f t="shared" si="109"/>
        <v>1919.7122585539998</v>
      </c>
      <c r="BW29" s="623">
        <f t="shared" si="109"/>
        <v>1845.6917583950003</v>
      </c>
      <c r="BX29" s="624">
        <f t="shared" si="109"/>
        <v>2028.6616519879999</v>
      </c>
      <c r="BY29" s="624">
        <f t="shared" si="109"/>
        <v>2221.7766808389997</v>
      </c>
      <c r="BZ29" s="890">
        <f t="shared" si="109"/>
        <v>2498.1456683669999</v>
      </c>
      <c r="CA29" s="624">
        <f t="shared" si="109"/>
        <v>2383.5320019049996</v>
      </c>
      <c r="CB29" s="624">
        <f t="shared" si="109"/>
        <v>2429.986014996</v>
      </c>
      <c r="CC29" s="624">
        <f t="shared" ref="CC29:CH29" si="110">CC24+CC28</f>
        <v>2799.7071622169997</v>
      </c>
      <c r="CD29" s="624">
        <f t="shared" si="110"/>
        <v>2848.779903222</v>
      </c>
      <c r="CE29" s="624">
        <f t="shared" si="110"/>
        <v>2832.0622783299996</v>
      </c>
      <c r="CF29" s="624">
        <f t="shared" si="110"/>
        <v>2865.5038981500002</v>
      </c>
      <c r="CG29" s="624">
        <f t="shared" si="110"/>
        <v>3303.1518558180005</v>
      </c>
      <c r="CH29" s="624">
        <f t="shared" si="110"/>
        <v>3569.6969999999992</v>
      </c>
      <c r="CI29" s="624">
        <f t="shared" ref="CI29:CJ29" si="111">CI24+CI28</f>
        <v>3113.1419181479996</v>
      </c>
      <c r="CJ29" s="624">
        <f t="shared" si="111"/>
        <v>2836.0545116829999</v>
      </c>
      <c r="CK29" s="624">
        <f t="shared" ref="CK29:CL29" si="112">CK24+CK28</f>
        <v>3475.0239135279999</v>
      </c>
      <c r="CL29" s="624">
        <f t="shared" si="112"/>
        <v>3642.3618079709995</v>
      </c>
      <c r="CM29" s="624">
        <f t="shared" ref="CM29" si="113">CM24+CM28</f>
        <v>2554.2870724450004</v>
      </c>
      <c r="CN29" s="3388">
        <f t="shared" si="6"/>
        <v>10217.148289780002</v>
      </c>
      <c r="CO29" s="3556">
        <f t="shared" ca="1" si="7"/>
        <v>1.2190613573290339</v>
      </c>
      <c r="CP29" s="3388"/>
      <c r="CQ29" s="3388"/>
      <c r="CR29" s="1607" t="s">
        <v>198</v>
      </c>
      <c r="CS29" s="1862">
        <f>BW29+BX29</f>
        <v>3874.3534103830002</v>
      </c>
      <c r="CT29" s="1865">
        <f>CA29+CB29</f>
        <v>4813.518016901</v>
      </c>
      <c r="CU29" s="1862">
        <f t="shared" si="29"/>
        <v>9424.2203433590003</v>
      </c>
      <c r="CV29" s="1862">
        <f t="shared" si="30"/>
        <v>9000.7180322980003</v>
      </c>
      <c r="CW29" s="1865">
        <f>CI29+CJ29</f>
        <v>5949.1964298309995</v>
      </c>
      <c r="CX29" s="1865">
        <f>CE29+CF29</f>
        <v>5697.5661764799997</v>
      </c>
      <c r="CY29" s="174">
        <f>CW29/CX29-1</f>
        <v>4.416451613844341E-2</v>
      </c>
      <c r="CZ29" s="1862">
        <f t="shared" si="3"/>
        <v>2836.0545116829999</v>
      </c>
      <c r="DA29" s="883">
        <f t="shared" si="4"/>
        <v>2865.5038981500002</v>
      </c>
      <c r="DB29" s="3115">
        <f t="shared" si="8"/>
        <v>-1.0277210401288595E-2</v>
      </c>
      <c r="DC29" s="624"/>
      <c r="DD29" s="143"/>
      <c r="DE29" s="1006">
        <f>SUM(BW29)</f>
        <v>1845.6917583950003</v>
      </c>
      <c r="DF29" s="1007">
        <f>SUM(CA29)</f>
        <v>2383.5320019049996</v>
      </c>
      <c r="DG29" s="43">
        <f>DF29/DE29-1</f>
        <v>0.29140306937150817</v>
      </c>
      <c r="DH29" s="657"/>
      <c r="DI29" s="657"/>
      <c r="DX29" s="46">
        <f>DX10/M20</f>
        <v>0.47529918873511462</v>
      </c>
      <c r="DY29" s="146">
        <f>DY10*DX30</f>
        <v>6454.9893946585971</v>
      </c>
      <c r="EP29" s="16"/>
    </row>
    <row r="30" spans="2:158" s="28" customFormat="1">
      <c r="B30" s="946" t="s">
        <v>818</v>
      </c>
      <c r="C30" s="721">
        <f>C29/C9</f>
        <v>0.10698149543334613</v>
      </c>
      <c r="D30" s="710">
        <f t="shared" ref="D30:M30" si="114">D29/D9</f>
        <v>0.10282185397311716</v>
      </c>
      <c r="E30" s="710">
        <f t="shared" si="114"/>
        <v>8.8282210245650999E-2</v>
      </c>
      <c r="F30" s="710">
        <f t="shared" si="114"/>
        <v>9.6629842025974827E-2</v>
      </c>
      <c r="G30" s="710">
        <f t="shared" si="114"/>
        <v>0.10072891036658814</v>
      </c>
      <c r="H30" s="722">
        <f t="shared" si="114"/>
        <v>9.8598038060971546E-2</v>
      </c>
      <c r="I30" s="721">
        <f t="shared" si="114"/>
        <v>0.18465300338602031</v>
      </c>
      <c r="J30" s="710">
        <f t="shared" si="114"/>
        <v>0.19848679778083245</v>
      </c>
      <c r="K30" s="710">
        <f t="shared" si="114"/>
        <v>0.20433306451916289</v>
      </c>
      <c r="L30" s="710">
        <f t="shared" si="114"/>
        <v>0.19796649259435334</v>
      </c>
      <c r="M30" s="710">
        <f t="shared" si="114"/>
        <v>0.19603986340301505</v>
      </c>
      <c r="N30" s="710">
        <f t="shared" ref="N30:O30" si="115">N29/N9</f>
        <v>0.20407773569831064</v>
      </c>
      <c r="O30" s="710">
        <f t="shared" si="115"/>
        <v>0.20754003378585337</v>
      </c>
      <c r="P30" s="710">
        <f t="shared" ref="P30" si="116">P29/P9</f>
        <v>0.19909727837506125</v>
      </c>
      <c r="Q30" s="709">
        <f ca="1">Q29/Q9</f>
        <v>0.21777106942558644</v>
      </c>
      <c r="R30" s="709">
        <f ca="1">R29/R9</f>
        <v>0.20476105259563898</v>
      </c>
      <c r="S30" s="3508">
        <f ca="1">S29/S9</f>
        <v>0.19592330438961114</v>
      </c>
      <c r="T30" s="2716"/>
      <c r="U30" s="2719"/>
      <c r="V30" s="709">
        <f>V29/V9</f>
        <v>0.16292836403258523</v>
      </c>
      <c r="W30" s="709">
        <f ca="1">W29/W9</f>
        <v>0.15483499484151514</v>
      </c>
      <c r="Z30" s="99"/>
      <c r="AA30" s="87"/>
      <c r="AB30" s="88"/>
      <c r="AC30" s="88"/>
      <c r="AD30" s="89"/>
      <c r="AE30" s="87"/>
      <c r="AF30" s="88"/>
      <c r="AG30" s="88"/>
      <c r="AH30" s="89"/>
      <c r="AI30" s="87"/>
      <c r="AJ30" s="88"/>
      <c r="AK30" s="88"/>
      <c r="AL30" s="89"/>
      <c r="AM30" s="87"/>
      <c r="AN30" s="88"/>
      <c r="AO30" s="88"/>
      <c r="AP30" s="89"/>
      <c r="AQ30" s="87"/>
      <c r="AR30" s="88"/>
      <c r="AS30" s="88"/>
      <c r="AT30" s="88"/>
      <c r="AU30" s="87"/>
      <c r="AV30" s="88"/>
      <c r="AW30" s="88"/>
      <c r="AX30" s="88"/>
      <c r="AY30" s="87"/>
      <c r="AZ30" s="88"/>
      <c r="BA30" s="88"/>
      <c r="BB30" s="88"/>
      <c r="BC30" s="716" t="e">
        <f>BC29/BC9</f>
        <v>#REF!</v>
      </c>
      <c r="BD30" s="717" t="e">
        <f>BD29/BD9</f>
        <v>#REF!</v>
      </c>
      <c r="BE30" s="717" t="e">
        <f>BE29/BE9</f>
        <v>#REF!</v>
      </c>
      <c r="BF30" s="717" t="e">
        <f>BF29/BF9</f>
        <v>#REF!</v>
      </c>
      <c r="BG30" s="716">
        <f>BG29/BG9</f>
        <v>0.19713596307676856</v>
      </c>
      <c r="BH30" s="717">
        <f t="shared" ref="BH30:CB30" si="117">BH29/BH9</f>
        <v>0.18358247124433077</v>
      </c>
      <c r="BI30" s="717">
        <f t="shared" si="117"/>
        <v>0.19845033159182945</v>
      </c>
      <c r="BJ30" s="717">
        <f t="shared" si="117"/>
        <v>0.16424548475810419</v>
      </c>
      <c r="BK30" s="716">
        <f t="shared" si="117"/>
        <v>0.1991648194423247</v>
      </c>
      <c r="BL30" s="717">
        <f t="shared" si="117"/>
        <v>0.20706066953139302</v>
      </c>
      <c r="BM30" s="717">
        <f t="shared" si="117"/>
        <v>0.21665061911270772</v>
      </c>
      <c r="BN30" s="717">
        <f t="shared" si="117"/>
        <v>0.17004047731478283</v>
      </c>
      <c r="BO30" s="716">
        <f t="shared" si="117"/>
        <v>0.21293410899898735</v>
      </c>
      <c r="BP30" s="717">
        <f t="shared" si="117"/>
        <v>0.21081554004022007</v>
      </c>
      <c r="BQ30" s="717">
        <f t="shared" si="117"/>
        <v>0.20714031573797861</v>
      </c>
      <c r="BR30" s="717">
        <f t="shared" si="117"/>
        <v>0.18986624548321471</v>
      </c>
      <c r="BS30" s="716">
        <f t="shared" si="117"/>
        <v>0.19337315694932214</v>
      </c>
      <c r="BT30" s="717">
        <f t="shared" si="117"/>
        <v>0.2177620507872802</v>
      </c>
      <c r="BU30" s="717">
        <f t="shared" si="117"/>
        <v>0.2049779061783297</v>
      </c>
      <c r="BV30" s="717">
        <f t="shared" si="117"/>
        <v>0.17934438350501641</v>
      </c>
      <c r="BW30" s="716">
        <f t="shared" si="117"/>
        <v>0.18968587951679683</v>
      </c>
      <c r="BX30" s="717">
        <f t="shared" si="117"/>
        <v>0.20093597242003955</v>
      </c>
      <c r="BY30" s="717">
        <f t="shared" si="117"/>
        <v>0.19928823776982177</v>
      </c>
      <c r="BZ30" s="884">
        <f t="shared" si="117"/>
        <v>0.19153994942649441</v>
      </c>
      <c r="CA30" s="717">
        <f t="shared" si="117"/>
        <v>0.20404543211178142</v>
      </c>
      <c r="CB30" s="717">
        <f t="shared" si="117"/>
        <v>0.19464235129918125</v>
      </c>
      <c r="CC30" s="717">
        <f t="shared" ref="CC30:CH30" si="118">CC29/CC9</f>
        <v>0.20344129084855755</v>
      </c>
      <c r="CD30" s="717">
        <f t="shared" si="118"/>
        <v>0.19392102596121077</v>
      </c>
      <c r="CE30" s="717">
        <f t="shared" si="118"/>
        <v>0.20095626651853987</v>
      </c>
      <c r="CF30" s="717">
        <f t="shared" si="118"/>
        <v>0.18796073078579331</v>
      </c>
      <c r="CG30" s="717">
        <f t="shared" si="118"/>
        <v>0.20770853845045228</v>
      </c>
      <c r="CH30" s="717">
        <f t="shared" si="118"/>
        <v>0.20273361495062986</v>
      </c>
      <c r="CI30" s="717">
        <f t="shared" ref="CI30:CJ30" si="119">CI29/CI9</f>
        <v>0.19386689463637793</v>
      </c>
      <c r="CJ30" s="717">
        <f t="shared" si="119"/>
        <v>0.17059268962103963</v>
      </c>
      <c r="CK30" s="717">
        <f t="shared" ref="CK30:CL30" si="120">CK29/CK9</f>
        <v>0.20198318035246582</v>
      </c>
      <c r="CL30" s="717">
        <f t="shared" si="120"/>
        <v>0.18008804883262677</v>
      </c>
      <c r="CM30" s="717">
        <f t="shared" ref="CM30" si="121">CM29/CM9</f>
        <v>0.20467048430574633</v>
      </c>
      <c r="CN30" s="3388">
        <f t="shared" si="6"/>
        <v>0.81868193722298532</v>
      </c>
      <c r="CO30" s="3556">
        <f t="shared" ca="1" si="7"/>
        <v>0.26600204490192858</v>
      </c>
      <c r="CP30" s="3388"/>
      <c r="CQ30" s="3388"/>
      <c r="CR30" s="946" t="s">
        <v>818</v>
      </c>
      <c r="CS30" s="1034">
        <f>CS29/CS9</f>
        <v>0.19541471112666536</v>
      </c>
      <c r="CT30" s="1034">
        <f>CT29/CT9</f>
        <v>0.19918766774025493</v>
      </c>
      <c r="CU30" s="1862">
        <f t="shared" si="29"/>
        <v>0.56644276460988341</v>
      </c>
      <c r="CV30" s="1862">
        <f t="shared" si="30"/>
        <v>0.59662553575478539</v>
      </c>
      <c r="CW30" s="1034">
        <f>CW29/CW9</f>
        <v>0.18202805767854841</v>
      </c>
      <c r="CX30" s="1034">
        <f t="shared" ref="CX30" si="122">CX29/CX9</f>
        <v>0.19420328952345944</v>
      </c>
      <c r="CY30" s="174">
        <f>CW30/CX30-1</f>
        <v>-6.2693231792246729E-2</v>
      </c>
      <c r="CZ30" s="1875">
        <f t="shared" si="3"/>
        <v>0.17059268962103963</v>
      </c>
      <c r="DA30" s="3115">
        <f t="shared" si="4"/>
        <v>0.18796073078579331</v>
      </c>
      <c r="DB30" s="3115">
        <f t="shared" si="8"/>
        <v>-9.240249860779115E-2</v>
      </c>
      <c r="DC30" s="717"/>
      <c r="DD30" s="88"/>
      <c r="DE30" s="1010">
        <f>DE29/DE9</f>
        <v>0.18968587951679683</v>
      </c>
      <c r="DF30" s="1011">
        <f>DF29/DF9</f>
        <v>0.20404543211178142</v>
      </c>
      <c r="DG30" s="92"/>
      <c r="DH30" s="659"/>
      <c r="DI30" s="659"/>
      <c r="DJ30" s="93"/>
      <c r="DK30" s="93"/>
      <c r="DL30" s="93"/>
      <c r="DM30" s="93"/>
      <c r="DN30" s="93"/>
      <c r="DO30" s="396"/>
      <c r="DP30" s="16"/>
      <c r="DQ30" s="16"/>
      <c r="DR30" s="16"/>
      <c r="DS30" s="16"/>
      <c r="DT30" s="16"/>
      <c r="DU30" s="16"/>
      <c r="DV30" s="16"/>
      <c r="DW30" s="16"/>
      <c r="DX30" s="16">
        <f>1/DX29</f>
        <v>2.1039379483504703</v>
      </c>
      <c r="DY30" s="16"/>
      <c r="DZ30" s="16"/>
      <c r="EA30" s="15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N30" s="396"/>
      <c r="EO30" s="16"/>
      <c r="EP30" s="10"/>
      <c r="ER30" s="1358"/>
      <c r="ES30" s="27"/>
    </row>
    <row r="31" spans="2:158" ht="13.5" thickBot="1">
      <c r="B31" s="943"/>
      <c r="C31" s="911"/>
      <c r="D31" s="686"/>
      <c r="E31" s="686"/>
      <c r="F31" s="686"/>
      <c r="G31" s="686"/>
      <c r="H31" s="1079"/>
      <c r="I31" s="911"/>
      <c r="J31" s="686"/>
      <c r="K31" s="686"/>
      <c r="L31" s="686"/>
      <c r="M31" s="686"/>
      <c r="N31" s="686"/>
      <c r="O31" s="686"/>
      <c r="P31" s="686"/>
      <c r="Q31" s="144"/>
      <c r="R31" s="144"/>
      <c r="S31" s="3518"/>
      <c r="T31" s="3270"/>
      <c r="U31" s="2745"/>
      <c r="V31" s="144"/>
      <c r="W31" s="144"/>
      <c r="Z31" s="110"/>
      <c r="AA31" s="60"/>
      <c r="AB31" s="10"/>
      <c r="AC31" s="61"/>
      <c r="AD31" s="62"/>
      <c r="AE31" s="60"/>
      <c r="AH31" s="62"/>
      <c r="AI31" s="60"/>
      <c r="AL31" s="62"/>
      <c r="AM31" s="145"/>
      <c r="AN31" s="14"/>
      <c r="AP31" s="62"/>
      <c r="AQ31" s="60"/>
      <c r="AT31" s="62"/>
      <c r="AU31" s="60"/>
      <c r="AY31" s="60"/>
      <c r="BC31" s="621"/>
      <c r="BD31" s="622"/>
      <c r="BE31" s="622"/>
      <c r="BF31" s="622"/>
      <c r="BG31" s="621"/>
      <c r="BH31" s="622"/>
      <c r="BI31" s="622"/>
      <c r="BJ31" s="622"/>
      <c r="BK31" s="621"/>
      <c r="BL31" s="622"/>
      <c r="BM31" s="622"/>
      <c r="BN31" s="622"/>
      <c r="BO31" s="621"/>
      <c r="BP31" s="622"/>
      <c r="BQ31" s="622"/>
      <c r="BR31" s="622"/>
      <c r="BS31" s="621"/>
      <c r="BT31" s="622"/>
      <c r="BU31" s="622"/>
      <c r="BV31" s="622"/>
      <c r="BW31" s="621"/>
      <c r="BX31" s="622"/>
      <c r="BY31" s="622"/>
      <c r="BZ31" s="889"/>
      <c r="CA31" s="622"/>
      <c r="CB31" s="622"/>
      <c r="CC31" s="622"/>
      <c r="CD31" s="622"/>
      <c r="CE31" s="622"/>
      <c r="CF31" s="622"/>
      <c r="CG31" s="622"/>
      <c r="CH31" s="622"/>
      <c r="CI31" s="622"/>
      <c r="CJ31" s="622"/>
      <c r="CK31" s="622"/>
      <c r="CL31" s="622"/>
      <c r="CM31" s="622"/>
      <c r="CN31" s="3388">
        <f t="shared" si="6"/>
        <v>0</v>
      </c>
      <c r="CO31" s="3556" t="e">
        <f t="shared" si="7"/>
        <v>#DIV/0!</v>
      </c>
      <c r="CP31" s="3388"/>
      <c r="CQ31" s="3388"/>
      <c r="CR31" s="943"/>
      <c r="CS31" s="1015"/>
      <c r="CT31" s="1015"/>
      <c r="CU31" s="1862"/>
      <c r="CV31" s="1862"/>
      <c r="CW31" s="1015"/>
      <c r="CX31" s="1015"/>
      <c r="CY31" s="174"/>
      <c r="CZ31" s="1862">
        <f t="shared" si="3"/>
        <v>0</v>
      </c>
      <c r="DA31" s="883">
        <f t="shared" si="4"/>
        <v>0</v>
      </c>
      <c r="DB31" s="3115" t="e">
        <f t="shared" si="8"/>
        <v>#DIV/0!</v>
      </c>
      <c r="DC31" s="622"/>
      <c r="DE31" s="1015"/>
      <c r="DF31" s="889"/>
      <c r="DH31" s="657"/>
      <c r="DI31" s="657"/>
      <c r="EP31" s="28"/>
    </row>
    <row r="32" spans="2:158" ht="13.5" thickBot="1">
      <c r="B32" s="703" t="s">
        <v>498</v>
      </c>
      <c r="C32" s="380">
        <f>Data!L338</f>
        <v>636.51801740200005</v>
      </c>
      <c r="D32" s="189">
        <f>Data!M338</f>
        <v>385.72136030199999</v>
      </c>
      <c r="E32" s="189">
        <f>Data!N338</f>
        <v>367.64456570800002</v>
      </c>
      <c r="F32" s="189">
        <f>Data!O338</f>
        <v>452.54669021199999</v>
      </c>
      <c r="G32" s="189">
        <f>Data!P338</f>
        <v>574.75970745799998</v>
      </c>
      <c r="H32" s="938">
        <f>Data!Q338</f>
        <v>1583.099974667</v>
      </c>
      <c r="I32" s="380">
        <f>Data!R338</f>
        <v>600.09330969200005</v>
      </c>
      <c r="J32" s="189">
        <f>Data!S338</f>
        <v>650.49454119899997</v>
      </c>
      <c r="K32" s="189">
        <f>Data!T338</f>
        <v>821.89642478200005</v>
      </c>
      <c r="L32" s="189">
        <f>Data!U338</f>
        <v>1270.7893862670001</v>
      </c>
      <c r="M32" s="189">
        <f>Data!V338</f>
        <v>1998.503979865</v>
      </c>
      <c r="N32" s="189">
        <f>Data!W338</f>
        <v>2336.0690898190001</v>
      </c>
      <c r="O32" s="189">
        <f>Data!X338</f>
        <v>1935.75</v>
      </c>
      <c r="P32" s="189">
        <f>Data!Y338</f>
        <v>2977.16</v>
      </c>
      <c r="Q32" s="3466">
        <f ca="1">PL!K390</f>
        <v>1882.0365615655039</v>
      </c>
      <c r="R32" s="3466">
        <f ca="1">PL!L390</f>
        <v>2443.6027689855273</v>
      </c>
      <c r="S32" s="3519">
        <f ca="1">PL!M390</f>
        <v>2553.6584037516691</v>
      </c>
      <c r="T32" s="1705"/>
      <c r="U32" s="2746"/>
      <c r="V32" s="1705">
        <f>PL!I390</f>
        <v>1935.75</v>
      </c>
      <c r="W32" s="2751">
        <f>PL!Q390</f>
        <v>0</v>
      </c>
      <c r="Z32" s="41">
        <f>M32/L32-1</f>
        <v>0.57264767982969533</v>
      </c>
      <c r="AA32" s="112"/>
      <c r="AB32" s="146"/>
      <c r="AC32" s="146"/>
      <c r="AD32" s="104"/>
      <c r="AE32" s="114"/>
      <c r="AF32" s="73"/>
      <c r="AG32" s="61"/>
      <c r="AH32" s="70"/>
      <c r="AI32" s="71"/>
      <c r="AJ32" s="61"/>
      <c r="AK32" s="61"/>
      <c r="AL32" s="70"/>
      <c r="AM32" s="71"/>
      <c r="AN32" s="61"/>
      <c r="AO32" s="61"/>
      <c r="AP32" s="70"/>
      <c r="AQ32" s="71"/>
      <c r="AR32" s="61"/>
      <c r="AS32" s="61"/>
      <c r="AT32" s="70"/>
      <c r="AU32" s="71"/>
      <c r="AV32" s="61"/>
      <c r="AW32" s="61"/>
      <c r="AX32" s="61"/>
      <c r="AY32" s="71"/>
      <c r="AZ32" s="61"/>
      <c r="BA32" s="61"/>
      <c r="BB32" s="61"/>
      <c r="BC32" s="611" t="e">
        <f>#REF!</f>
        <v>#REF!</v>
      </c>
      <c r="BD32" s="612" t="e">
        <f>#REF!</f>
        <v>#REF!</v>
      </c>
      <c r="BE32" s="612" t="e">
        <f>#REF!</f>
        <v>#REF!</v>
      </c>
      <c r="BF32" s="612" t="e">
        <f>#REF!</f>
        <v>#REF!</v>
      </c>
      <c r="BG32" s="611">
        <f>Data!BA478</f>
        <v>153.49256098399999</v>
      </c>
      <c r="BH32" s="612">
        <f>Data!BB478</f>
        <v>112.69987032100001</v>
      </c>
      <c r="BI32" s="612">
        <f>Data!BC478</f>
        <v>124.076383785</v>
      </c>
      <c r="BJ32" s="612">
        <f>Data!BD478</f>
        <v>216.866279123</v>
      </c>
      <c r="BK32" s="611">
        <f>Data!BE478</f>
        <v>153.57769800400001</v>
      </c>
      <c r="BL32" s="612">
        <f>Data!BF478</f>
        <v>164.11505831900001</v>
      </c>
      <c r="BM32" s="612">
        <f>Data!BG478</f>
        <v>165.79390763999999</v>
      </c>
      <c r="BN32" s="612">
        <f>Data!BH478</f>
        <v>206.12338331399999</v>
      </c>
      <c r="BO32" s="611">
        <f>Data!BI478</f>
        <v>178.33969471099999</v>
      </c>
      <c r="BP32" s="612">
        <f>Data!BJ478</f>
        <v>202.24195044999999</v>
      </c>
      <c r="BQ32" s="612">
        <f>Data!BK478</f>
        <v>218.18862756600001</v>
      </c>
      <c r="BR32" s="612">
        <f>Data!BL478</f>
        <v>223.12615205500001</v>
      </c>
      <c r="BS32" s="611">
        <f>Data!BM478</f>
        <v>325.44042327900002</v>
      </c>
      <c r="BT32" s="612">
        <f>Data!BN478</f>
        <v>240.540286743</v>
      </c>
      <c r="BU32" s="612">
        <f>Data!BO478</f>
        <v>332.26654130499998</v>
      </c>
      <c r="BV32" s="612">
        <f>Data!BP478</f>
        <v>372.54213493999998</v>
      </c>
      <c r="BW32" s="611">
        <f>Data!BQ478</f>
        <v>415.78630190299998</v>
      </c>
      <c r="BX32" s="612">
        <f>Data!BR478</f>
        <v>506.15359690700001</v>
      </c>
      <c r="BY32" s="612">
        <f>Data!BS478</f>
        <v>549.70441487599999</v>
      </c>
      <c r="BZ32" s="883">
        <f>Data!BT478</f>
        <v>526.329659816</v>
      </c>
      <c r="CA32" s="612">
        <f>Data!BU478</f>
        <v>676.47654642600003</v>
      </c>
      <c r="CB32" s="612">
        <f>Data!BV478</f>
        <v>623.04411564300005</v>
      </c>
      <c r="CC32" s="612">
        <f>Data!BW478</f>
        <v>516.20304641500002</v>
      </c>
      <c r="CD32" s="612">
        <f>Data!BX478</f>
        <v>520.34547083500001</v>
      </c>
      <c r="CE32" s="612">
        <f>Data!BY478</f>
        <v>457.09297998599999</v>
      </c>
      <c r="CF32" s="612">
        <f>Data!BZ478</f>
        <v>569.29254452299995</v>
      </c>
      <c r="CG32" s="612">
        <f>Data!CA478</f>
        <v>326.68900685599999</v>
      </c>
      <c r="CH32" s="612">
        <f>Data!CB478</f>
        <v>582.66999999999996</v>
      </c>
      <c r="CI32" s="612">
        <f>Data!CC478</f>
        <v>573.33189319099995</v>
      </c>
      <c r="CJ32" s="612">
        <f>Data!CD478</f>
        <v>1236.9930268769999</v>
      </c>
      <c r="CK32" s="612">
        <f>Data!CE478</f>
        <v>613.11047350199999</v>
      </c>
      <c r="CL32" s="612">
        <f>Data!CF478</f>
        <v>553.70192219299997</v>
      </c>
      <c r="CM32" s="612">
        <f>Data!CG478</f>
        <v>415.86386917900001</v>
      </c>
      <c r="CN32" s="3388">
        <f t="shared" si="6"/>
        <v>1663.455476716</v>
      </c>
      <c r="CO32" s="3556">
        <f t="shared" ca="1" si="7"/>
        <v>1.1314018246409741</v>
      </c>
      <c r="CP32" s="3388"/>
      <c r="CQ32" s="3388"/>
      <c r="CR32" s="703" t="s">
        <v>498</v>
      </c>
      <c r="CS32" s="1862">
        <f>BW32+BX32</f>
        <v>921.93989880999993</v>
      </c>
      <c r="CT32" s="1865">
        <f>CA32+CB32</f>
        <v>1299.5206620690001</v>
      </c>
      <c r="CU32" s="1862">
        <f t="shared" si="29"/>
        <v>2423.4353935699996</v>
      </c>
      <c r="CV32" s="1862">
        <f t="shared" si="30"/>
        <v>1353.074531365</v>
      </c>
      <c r="CW32" s="1865">
        <f>CI32+CJ32</f>
        <v>1810.3249200679998</v>
      </c>
      <c r="CX32" s="1865">
        <f>CE32+CF32</f>
        <v>1026.3855245089999</v>
      </c>
      <c r="CY32" s="174">
        <f>CW32/CX32-1</f>
        <v>0.76378648844840158</v>
      </c>
      <c r="CZ32" s="1862">
        <f t="shared" si="3"/>
        <v>1236.9930268769999</v>
      </c>
      <c r="DA32" s="883">
        <f t="shared" si="4"/>
        <v>569.29254452299995</v>
      </c>
      <c r="DB32" s="3115">
        <f t="shared" si="8"/>
        <v>1.1728600502110109</v>
      </c>
      <c r="DC32" s="624"/>
      <c r="DD32" s="115"/>
      <c r="DE32" s="1006">
        <f>SUM(BW32)</f>
        <v>415.78630190299998</v>
      </c>
      <c r="DF32" s="1007">
        <f>SUM(CA32)</f>
        <v>676.47654642600003</v>
      </c>
      <c r="DG32" s="43">
        <f>DF32/DE32-1</f>
        <v>0.62698132028365205</v>
      </c>
      <c r="DH32" s="657"/>
      <c r="DI32" s="657"/>
      <c r="DO32" s="2432" t="s">
        <v>1659</v>
      </c>
      <c r="DP32" s="2433"/>
      <c r="DQ32" s="2433"/>
      <c r="DR32" s="2434"/>
      <c r="DS32" s="28"/>
      <c r="DT32" s="28"/>
      <c r="DU32" s="28"/>
      <c r="DV32" s="28"/>
      <c r="DW32" s="28"/>
      <c r="DX32" s="28"/>
      <c r="DY32" s="28"/>
      <c r="DZ32" s="28"/>
      <c r="EB32" s="28"/>
      <c r="EC32" s="28"/>
      <c r="ED32" s="28"/>
      <c r="EE32" s="28"/>
      <c r="EF32" s="28"/>
      <c r="EG32" s="28"/>
      <c r="EH32" s="28"/>
      <c r="EI32" s="28"/>
      <c r="EJ32" s="28"/>
      <c r="EK32" s="28"/>
      <c r="EL32" s="28"/>
      <c r="EN32" s="29"/>
      <c r="EO32" s="28"/>
      <c r="ER32" s="1359"/>
      <c r="ES32" s="146"/>
    </row>
    <row r="33" spans="1:148" s="28" customFormat="1" ht="13.5" thickBot="1">
      <c r="B33" s="945" t="s">
        <v>819</v>
      </c>
      <c r="C33" s="1072">
        <f>C32/(BS!C7+BS!C6)</f>
        <v>0.2124174898906066</v>
      </c>
      <c r="D33" s="1077">
        <f>D32/(BS!D7+BS!D6)</f>
        <v>9.1754834702086327E-2</v>
      </c>
      <c r="E33" s="1077">
        <f>E32/(BS!E7+BS!E6)</f>
        <v>6.3774462325852127E-2</v>
      </c>
      <c r="F33" s="1077">
        <f>F32/(BS!F7+BS!F6)</f>
        <v>7.2966086304841596E-2</v>
      </c>
      <c r="G33" s="1077">
        <f>G32/(BS!G7+BS!G6)</f>
        <v>6.0593834526972083E-2</v>
      </c>
      <c r="H33" s="1082">
        <f>H32/(BS!H7+BS!H6)</f>
        <v>0.20140950130695306</v>
      </c>
      <c r="I33" s="1072">
        <f>I32/(BS!I7+BS!I6)</f>
        <v>6.3205301120590224E-2</v>
      </c>
      <c r="J33" s="1077">
        <f>J32/(BS!J7+BS!J6)</f>
        <v>6.4010142055292457E-2</v>
      </c>
      <c r="K33" s="1077">
        <f>K32/(BS!K7+BS!K6)</f>
        <v>4.8002054002940907E-2</v>
      </c>
      <c r="L33" s="1077">
        <f>L32/(BS!L7+BS!L6)</f>
        <v>4.8598817421663242E-2</v>
      </c>
      <c r="M33" s="1077">
        <f>M32/(BS!M7+BS!M6)</f>
        <v>0.10255358951764845</v>
      </c>
      <c r="N33" s="1077">
        <f>N32/(BS!N7+BS!N6)</f>
        <v>9.5805864911853778E-2</v>
      </c>
      <c r="O33" s="1077">
        <f>O32/(BS!O7+BS!O6)</f>
        <v>6.2241464406692461E-2</v>
      </c>
      <c r="P33" s="1077">
        <f>P32/(BS!P7+BS!P6)</f>
        <v>7.414508294704085E-2</v>
      </c>
      <c r="Q33" s="1846">
        <f ca="1">Q32/(BS!Q7+BS!Q6)</f>
        <v>3.9686076351631905E-2</v>
      </c>
      <c r="R33" s="1846">
        <f ca="1">R32/(BS!R7+BS!R6)</f>
        <v>4.8901826570833071E-2</v>
      </c>
      <c r="S33" s="3520">
        <f ca="1">S32/(BS!S7+BS!S6)</f>
        <v>4.8945915477225266E-2</v>
      </c>
      <c r="T33" s="1846"/>
      <c r="U33" s="1846"/>
      <c r="V33" s="1846">
        <f>V32/(BS!W7+BS!W6)</f>
        <v>7.9388149867386931E-2</v>
      </c>
      <c r="W33" s="1846" t="e">
        <f>W32/(BS!X7+BS!X6)</f>
        <v>#DIV/0!</v>
      </c>
      <c r="Z33" s="99"/>
      <c r="AA33" s="118"/>
      <c r="AD33" s="147"/>
      <c r="AE33" s="118"/>
      <c r="AH33" s="147"/>
      <c r="AI33" s="118"/>
      <c r="AL33" s="147"/>
      <c r="AM33" s="118"/>
      <c r="AP33" s="147"/>
      <c r="AQ33" s="118"/>
      <c r="AT33" s="147"/>
      <c r="AU33" s="118"/>
      <c r="AY33" s="118"/>
      <c r="BC33" s="635"/>
      <c r="BD33" s="636"/>
      <c r="BE33" s="636"/>
      <c r="BF33" s="636"/>
      <c r="BG33" s="635"/>
      <c r="BH33" s="636"/>
      <c r="BI33" s="636"/>
      <c r="BJ33" s="636"/>
      <c r="BK33" s="635"/>
      <c r="BL33" s="636"/>
      <c r="BM33" s="636"/>
      <c r="BN33" s="636"/>
      <c r="BO33" s="635"/>
      <c r="BP33" s="636"/>
      <c r="BQ33" s="636"/>
      <c r="BR33" s="636"/>
      <c r="BS33" s="635"/>
      <c r="BT33" s="636"/>
      <c r="BU33" s="636"/>
      <c r="BV33" s="636"/>
      <c r="BW33" s="1293">
        <f>83.763/BW9</f>
        <v>8.6085112823942565E-3</v>
      </c>
      <c r="BX33" s="1292"/>
      <c r="BY33" s="1292"/>
      <c r="BZ33" s="2177"/>
      <c r="CA33" s="174">
        <f t="shared" ref="CA33:CF33" si="123">74.302/CA9</f>
        <v>6.36072168724918E-3</v>
      </c>
      <c r="CB33" s="174">
        <f t="shared" si="123"/>
        <v>5.9516046170560262E-3</v>
      </c>
      <c r="CC33" s="174">
        <f t="shared" si="123"/>
        <v>5.3991699548532664E-3</v>
      </c>
      <c r="CD33" s="174">
        <f t="shared" si="123"/>
        <v>5.0578565422598884E-3</v>
      </c>
      <c r="CE33" s="174">
        <f t="shared" si="123"/>
        <v>5.2722896064507719E-3</v>
      </c>
      <c r="CF33" s="174">
        <f t="shared" si="123"/>
        <v>4.8737878974314166E-3</v>
      </c>
      <c r="CG33" s="174">
        <f t="shared" ref="CG33" si="124">74.302/CG9</f>
        <v>4.6722525931595727E-3</v>
      </c>
      <c r="CH33" s="174">
        <f t="shared" ref="CH33:CI33" si="125">74.302/CH9</f>
        <v>4.2198295984397843E-3</v>
      </c>
      <c r="CI33" s="174">
        <f t="shared" si="125"/>
        <v>4.6270611440166771E-3</v>
      </c>
      <c r="CJ33" s="174">
        <f t="shared" ref="CJ33" si="126">74.302/CJ9</f>
        <v>4.4693703777578444E-3</v>
      </c>
      <c r="CK33" s="174">
        <f t="shared" ref="CK33:CL33" si="127">74.302/CK9</f>
        <v>4.3187484863413134E-3</v>
      </c>
      <c r="CL33" s="174">
        <f t="shared" si="127"/>
        <v>3.6736883675528523E-3</v>
      </c>
      <c r="CM33" s="174">
        <f t="shared" ref="CM33" si="128">74.302/CM9</f>
        <v>5.9536872299669891E-3</v>
      </c>
      <c r="CN33" s="3388">
        <f t="shared" si="6"/>
        <v>2.3814748919867956E-2</v>
      </c>
      <c r="CO33" s="3556">
        <f t="shared" ca="1" si="7"/>
        <v>1.6664494967034047</v>
      </c>
      <c r="CP33" s="3388"/>
      <c r="CQ33" s="3388"/>
      <c r="CR33" s="945" t="s">
        <v>819</v>
      </c>
      <c r="CS33" s="1875"/>
      <c r="CT33" s="1875"/>
      <c r="CU33" s="1862"/>
      <c r="CV33" s="1862"/>
      <c r="CW33" s="1875"/>
      <c r="CX33" s="1875"/>
      <c r="CY33" s="174"/>
      <c r="CZ33" s="1862"/>
      <c r="DA33" s="883"/>
      <c r="DB33" s="3115" t="e">
        <f t="shared" si="8"/>
        <v>#DIV/0!</v>
      </c>
      <c r="DC33" s="174"/>
      <c r="DE33" s="1027"/>
      <c r="DF33" s="892"/>
      <c r="DG33" s="83"/>
      <c r="DH33" s="658"/>
      <c r="DI33" s="658"/>
      <c r="DJ33" s="84"/>
      <c r="DK33" s="84"/>
      <c r="DL33" s="84"/>
      <c r="DM33" s="84"/>
      <c r="DN33" s="84"/>
      <c r="DO33" s="2407" t="s">
        <v>462</v>
      </c>
      <c r="DP33" s="2414" t="s">
        <v>1015</v>
      </c>
      <c r="DQ33" s="2414" t="s">
        <v>1498</v>
      </c>
      <c r="DR33" s="2414" t="s">
        <v>625</v>
      </c>
      <c r="DS33" s="2428" t="s">
        <v>1354</v>
      </c>
      <c r="DT33" s="2414" t="s">
        <v>1656</v>
      </c>
      <c r="DU33" s="10"/>
      <c r="DV33" s="10"/>
      <c r="DW33" s="10"/>
      <c r="DX33" s="10"/>
      <c r="DY33" s="10"/>
      <c r="DZ33" s="10"/>
      <c r="EA33" s="15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N33" s="10"/>
      <c r="EO33" s="10"/>
      <c r="EP33" s="10"/>
    </row>
    <row r="34" spans="1:148">
      <c r="B34" s="703" t="s">
        <v>19</v>
      </c>
      <c r="C34" s="380">
        <f>-Data!L339</f>
        <v>549.88837297299995</v>
      </c>
      <c r="D34" s="189">
        <f>-Data!M339</f>
        <v>270.55556720099997</v>
      </c>
      <c r="E34" s="189">
        <f>-Data!N339</f>
        <v>354.076323129</v>
      </c>
      <c r="F34" s="189">
        <f>-Data!O339</f>
        <v>620.41156750799996</v>
      </c>
      <c r="G34" s="189">
        <f>-Data!P339</f>
        <v>694.21395998000003</v>
      </c>
      <c r="H34" s="938">
        <f>-Data!Q339</f>
        <v>600.87183121700002</v>
      </c>
      <c r="I34" s="380">
        <f>-Data!R339</f>
        <v>361.04656570999998</v>
      </c>
      <c r="J34" s="189">
        <f>-Data!S339</f>
        <v>592.38605006099999</v>
      </c>
      <c r="K34" s="189">
        <f>-Data!T339</f>
        <v>548.16521161699995</v>
      </c>
      <c r="L34" s="189">
        <f>-Data!U339</f>
        <v>1144.1874468450001</v>
      </c>
      <c r="M34" s="189">
        <f>-Data!V339</f>
        <v>1687.369701824</v>
      </c>
      <c r="N34" s="189">
        <f>-Data!W339</f>
        <v>1718.2984637100001</v>
      </c>
      <c r="O34" s="189">
        <f>-Data!X339</f>
        <v>1811.55</v>
      </c>
      <c r="P34" s="189">
        <f>-Data!Y339</f>
        <v>1672.05</v>
      </c>
      <c r="Q34" s="1705">
        <f ca="1">PL!K420</f>
        <v>1324.2605667049495</v>
      </c>
      <c r="R34" s="1705">
        <f ca="1">PL!L420</f>
        <v>1439.2748992700413</v>
      </c>
      <c r="S34" s="3521">
        <f ca="1">PL!M420</f>
        <v>1524.2063599370615</v>
      </c>
      <c r="T34" s="1705"/>
      <c r="U34" s="2746"/>
      <c r="V34" s="1705">
        <f>PL!I420</f>
        <v>1811.55</v>
      </c>
      <c r="W34" s="3204">
        <f>PL!Q420</f>
        <v>0</v>
      </c>
      <c r="Z34" s="41">
        <f>M34/L34-1</f>
        <v>0.47473187761042035</v>
      </c>
      <c r="AA34" s="112"/>
      <c r="AB34" s="146"/>
      <c r="AC34" s="146"/>
      <c r="AD34" s="104"/>
      <c r="AE34" s="114"/>
      <c r="AF34" s="73"/>
      <c r="AG34" s="61"/>
      <c r="AH34" s="70"/>
      <c r="AI34" s="71"/>
      <c r="AJ34" s="61"/>
      <c r="AK34" s="61"/>
      <c r="AL34" s="70"/>
      <c r="AM34" s="71"/>
      <c r="AN34" s="61"/>
      <c r="AO34" s="61"/>
      <c r="AP34" s="70"/>
      <c r="AQ34" s="71"/>
      <c r="AR34" s="61"/>
      <c r="AS34" s="61"/>
      <c r="AT34" s="70"/>
      <c r="AU34" s="71"/>
      <c r="AV34" s="61"/>
      <c r="AW34" s="61"/>
      <c r="AX34" s="61"/>
      <c r="AY34" s="71"/>
      <c r="AZ34" s="61"/>
      <c r="BA34" s="61"/>
      <c r="BB34" s="61"/>
      <c r="BC34" s="611" t="e">
        <f>-#REF!</f>
        <v>#REF!</v>
      </c>
      <c r="BD34" s="612" t="e">
        <f>-#REF!</f>
        <v>#REF!</v>
      </c>
      <c r="BE34" s="612" t="e">
        <f>-#REF!</f>
        <v>#REF!</v>
      </c>
      <c r="BF34" s="612" t="e">
        <f>-#REF!</f>
        <v>#REF!</v>
      </c>
      <c r="BG34" s="611">
        <f>-Data!BA479</f>
        <v>142.29539943899999</v>
      </c>
      <c r="BH34" s="612">
        <f>-Data!BB479</f>
        <v>70.016554955999993</v>
      </c>
      <c r="BI34" s="612">
        <f>-Data!BC479</f>
        <v>66.603046663000001</v>
      </c>
      <c r="BJ34" s="612">
        <f>-Data!BD479</f>
        <v>89.173349173000005</v>
      </c>
      <c r="BK34" s="611">
        <f>-Data!BE479</f>
        <v>121.303122605</v>
      </c>
      <c r="BL34" s="612">
        <f>-Data!BF479</f>
        <v>204.22533156599999</v>
      </c>
      <c r="BM34" s="612">
        <f>-Data!BG479</f>
        <v>130.42235565199999</v>
      </c>
      <c r="BN34" s="612">
        <f>-Data!BH479</f>
        <v>171.720224922</v>
      </c>
      <c r="BO34" s="611">
        <f>-Data!BI479</f>
        <v>181.04573445700001</v>
      </c>
      <c r="BP34" s="612">
        <f>-Data!BJ479</f>
        <v>106.159096432</v>
      </c>
      <c r="BQ34" s="612">
        <f>-Data!BK479</f>
        <v>108.899945949</v>
      </c>
      <c r="BR34" s="612">
        <f>-Data!BL479</f>
        <v>152.06043477899999</v>
      </c>
      <c r="BS34" s="611">
        <f>-Data!BM479</f>
        <v>141.136993354</v>
      </c>
      <c r="BT34" s="612">
        <f>-Data!BN479</f>
        <v>361.83017577700002</v>
      </c>
      <c r="BU34" s="612">
        <f>-Data!BO479</f>
        <v>272.888215242</v>
      </c>
      <c r="BV34" s="612">
        <f>-Data!BP479</f>
        <v>366.884116683</v>
      </c>
      <c r="BW34" s="611">
        <f>-Data!BQ479</f>
        <v>267.57252543200002</v>
      </c>
      <c r="BX34" s="612">
        <f>-Data!BR479</f>
        <v>336.84134215099999</v>
      </c>
      <c r="BY34" s="612">
        <f>-Data!BS479</f>
        <v>413.92649221400001</v>
      </c>
      <c r="BZ34" s="883">
        <f>-Data!BT479</f>
        <v>644.38129500800005</v>
      </c>
      <c r="CA34" s="612">
        <f>-Data!BU479</f>
        <v>496.815340139</v>
      </c>
      <c r="CB34" s="612">
        <f>-Data!BV479</f>
        <v>287.49845167900003</v>
      </c>
      <c r="CC34" s="612">
        <f>-Data!BW479</f>
        <v>406.42828712900001</v>
      </c>
      <c r="CD34" s="612">
        <f>-Data!BX479</f>
        <v>527.55638476299998</v>
      </c>
      <c r="CE34" s="612">
        <f>-Data!BY479</f>
        <v>334.06527330099999</v>
      </c>
      <c r="CF34" s="612">
        <f>-Data!BZ479</f>
        <v>337.92790636799998</v>
      </c>
      <c r="CG34" s="612">
        <f>-Data!CA479</f>
        <v>308.17880687899998</v>
      </c>
      <c r="CH34" s="612">
        <f>-Data!CB479</f>
        <v>831.38</v>
      </c>
      <c r="CI34" s="612">
        <f>-Data!CC479</f>
        <v>311.34376936400002</v>
      </c>
      <c r="CJ34" s="612">
        <f>-Data!CD479</f>
        <v>531.36621506999995</v>
      </c>
      <c r="CK34" s="612">
        <f>-Data!CE479</f>
        <v>352.57507987100001</v>
      </c>
      <c r="CL34" s="612">
        <f>-Data!CF479</f>
        <v>476.744596151</v>
      </c>
      <c r="CM34" s="612">
        <f>-Data!CG479</f>
        <v>367.211384721</v>
      </c>
      <c r="CN34" s="3388">
        <f t="shared" si="6"/>
        <v>1468.845538884</v>
      </c>
      <c r="CO34" s="3556">
        <f t="shared" ca="1" si="7"/>
        <v>0.90156557081631383</v>
      </c>
      <c r="CP34" s="3388"/>
      <c r="CQ34" s="3388"/>
      <c r="CR34" s="703" t="s">
        <v>19</v>
      </c>
      <c r="CS34" s="1862">
        <f>BW34+BX34</f>
        <v>604.41386758299996</v>
      </c>
      <c r="CT34" s="1865">
        <f>CA34+CB34</f>
        <v>784.31379181800003</v>
      </c>
      <c r="CU34" s="1862">
        <f t="shared" si="29"/>
        <v>1195.2850643050001</v>
      </c>
      <c r="CV34" s="1862">
        <f t="shared" si="30"/>
        <v>980.17198654799995</v>
      </c>
      <c r="CW34" s="1865">
        <f>CI34+CJ34</f>
        <v>842.70998443400003</v>
      </c>
      <c r="CX34" s="1865">
        <f>CE34+CF34</f>
        <v>671.99317966900003</v>
      </c>
      <c r="CY34" s="174">
        <f>CW34/CX34-1</f>
        <v>0.25404544261757089</v>
      </c>
      <c r="CZ34" s="1862">
        <f>CJ34</f>
        <v>531.36621506999995</v>
      </c>
      <c r="DA34" s="883">
        <f>CF34</f>
        <v>337.92790636799998</v>
      </c>
      <c r="DB34" s="3115">
        <f t="shared" si="8"/>
        <v>0.57242478367959237</v>
      </c>
      <c r="DC34" s="624"/>
      <c r="DD34" s="115"/>
      <c r="DE34" s="1006">
        <f>SUM(BW34)</f>
        <v>267.57252543200002</v>
      </c>
      <c r="DF34" s="1007">
        <f>SUM(CA34)</f>
        <v>496.815340139</v>
      </c>
      <c r="DG34" s="43">
        <f>DF34/DE34-1</f>
        <v>0.85675020010699487</v>
      </c>
      <c r="DH34" s="657"/>
      <c r="DI34" s="657"/>
      <c r="DJ34" s="44">
        <f>0.2*0.3</f>
        <v>0.06</v>
      </c>
      <c r="DO34" s="2408" t="s">
        <v>163</v>
      </c>
      <c r="DP34" s="2409">
        <f>Data!BU503</f>
        <v>0</v>
      </c>
      <c r="DQ34" s="2409">
        <f>Data!BY503</f>
        <v>0</v>
      </c>
      <c r="DR34" s="2416"/>
      <c r="DS34" s="2429">
        <f>Data!BX503</f>
        <v>0</v>
      </c>
      <c r="DT34" s="2416" t="e">
        <f>DQ34/DS34-1</f>
        <v>#DIV/0!</v>
      </c>
      <c r="EP34" s="28"/>
    </row>
    <row r="35" spans="1:148" s="413" customFormat="1">
      <c r="B35" s="1521" t="s">
        <v>784</v>
      </c>
      <c r="C35" s="915">
        <f>-Data!L340</f>
        <v>228.65864086400001</v>
      </c>
      <c r="D35" s="692">
        <f>-Data!M340</f>
        <v>132.49117282200001</v>
      </c>
      <c r="E35" s="692">
        <f>-Data!N340</f>
        <v>166.16528720400001</v>
      </c>
      <c r="F35" s="692">
        <f>-Data!O340</f>
        <v>262.502327611</v>
      </c>
      <c r="G35" s="692">
        <f>-Data!P340</f>
        <v>374.18607880000002</v>
      </c>
      <c r="H35" s="1083">
        <f>-Data!Q340</f>
        <v>368.54567954800001</v>
      </c>
      <c r="I35" s="3183">
        <f>-Data!R340</f>
        <v>238.34443174699999</v>
      </c>
      <c r="J35" s="3184">
        <f>-Data!S340</f>
        <v>358.98753745200003</v>
      </c>
      <c r="K35" s="3184">
        <f>-Data!T340</f>
        <v>385.33775489599998</v>
      </c>
      <c r="L35" s="3184">
        <f>-Data!U340</f>
        <v>483.995846804</v>
      </c>
      <c r="M35" s="3184">
        <f>-Data!V340</f>
        <v>645.72555630800002</v>
      </c>
      <c r="N35" s="3184">
        <f>-Data!W340</f>
        <v>832.64861126100004</v>
      </c>
      <c r="O35" s="3184">
        <f>-Data!X340</f>
        <v>551.64</v>
      </c>
      <c r="P35" s="3184">
        <f>-Data!Y340</f>
        <v>809.76</v>
      </c>
      <c r="Q35" s="2824">
        <f ca="1">PL!K414</f>
        <v>923.89831994199756</v>
      </c>
      <c r="R35" s="2824">
        <f ca="1">PL!L414</f>
        <v>977.65975787004106</v>
      </c>
      <c r="S35" s="3522">
        <f ca="1">PL!M414</f>
        <v>988.44918091706143</v>
      </c>
      <c r="T35" s="2824"/>
      <c r="U35" s="2752"/>
      <c r="V35" s="1847">
        <f>PL!I414</f>
        <v>551.64</v>
      </c>
      <c r="W35" s="3208">
        <f>PL!Q414</f>
        <v>0</v>
      </c>
      <c r="Z35" s="401"/>
      <c r="AA35" s="402"/>
      <c r="AB35" s="403"/>
      <c r="AC35" s="403"/>
      <c r="AD35" s="404"/>
      <c r="AE35" s="405"/>
      <c r="AF35" s="406"/>
      <c r="AG35" s="407"/>
      <c r="AH35" s="408"/>
      <c r="AI35" s="409"/>
      <c r="AJ35" s="407"/>
      <c r="AK35" s="407"/>
      <c r="AL35" s="408"/>
      <c r="AM35" s="409"/>
      <c r="AN35" s="407"/>
      <c r="AO35" s="407"/>
      <c r="AP35" s="408"/>
      <c r="AQ35" s="409"/>
      <c r="AR35" s="407"/>
      <c r="AS35" s="407"/>
      <c r="AT35" s="408"/>
      <c r="AU35" s="409"/>
      <c r="AV35" s="407"/>
      <c r="AW35" s="407"/>
      <c r="AX35" s="407"/>
      <c r="AY35" s="409"/>
      <c r="AZ35" s="407"/>
      <c r="BA35" s="407"/>
      <c r="BB35" s="407"/>
      <c r="BC35" s="637" t="e">
        <f>-#REF!</f>
        <v>#REF!</v>
      </c>
      <c r="BD35" s="638" t="e">
        <f>-#REF!</f>
        <v>#REF!</v>
      </c>
      <c r="BE35" s="638" t="e">
        <f>-#REF!</f>
        <v>#REF!</v>
      </c>
      <c r="BF35" s="638" t="e">
        <f>-#REF!</f>
        <v>#REF!</v>
      </c>
      <c r="BG35" s="637">
        <f>-Data!BA480</f>
        <v>46.408615421999997</v>
      </c>
      <c r="BH35" s="638">
        <f>-Data!BB480</f>
        <v>55.088753336000003</v>
      </c>
      <c r="BI35" s="638">
        <f>-Data!BC480</f>
        <v>62.035657522000001</v>
      </c>
      <c r="BJ35" s="638">
        <f>-Data!BD480</f>
        <v>74.811405467</v>
      </c>
      <c r="BK35" s="637">
        <f>-Data!BE480</f>
        <v>72.702857836000007</v>
      </c>
      <c r="BL35" s="638">
        <f>-Data!BF480</f>
        <v>72.389484922999998</v>
      </c>
      <c r="BM35" s="638">
        <f>-Data!BG480</f>
        <v>100.505919296</v>
      </c>
      <c r="BN35" s="638">
        <f>-Data!BH480</f>
        <v>120.746859238</v>
      </c>
      <c r="BO35" s="637">
        <f>-Data!BI480</f>
        <v>99.625907808999997</v>
      </c>
      <c r="BP35" s="638">
        <f>-Data!BJ480</f>
        <v>101.366297422</v>
      </c>
      <c r="BQ35" s="638">
        <f>-Data!BK480</f>
        <v>85.791923679999996</v>
      </c>
      <c r="BR35" s="638">
        <f>-Data!BL480</f>
        <v>98.553625984999996</v>
      </c>
      <c r="BS35" s="637">
        <f>-Data!BM480</f>
        <v>99.817213604000003</v>
      </c>
      <c r="BT35" s="638">
        <f>-Data!BN480</f>
        <v>124.53044780099999</v>
      </c>
      <c r="BU35" s="638">
        <f>-Data!BO480</f>
        <v>120.148949616</v>
      </c>
      <c r="BV35" s="638">
        <f>-Data!BP480</f>
        <v>138.051289994</v>
      </c>
      <c r="BW35" s="637">
        <f>-Data!BQ480</f>
        <v>145.819741163</v>
      </c>
      <c r="BX35" s="638">
        <f>-Data!BR480</f>
        <v>176.78020233300001</v>
      </c>
      <c r="BY35" s="638">
        <f>-Data!BS480</f>
        <v>166.54232931499999</v>
      </c>
      <c r="BZ35" s="893">
        <f>-Data!BT480</f>
        <v>156.583283497</v>
      </c>
      <c r="CA35" s="638">
        <f>-Data!BU480</f>
        <v>147.98566827400001</v>
      </c>
      <c r="CB35" s="638">
        <f>-Data!BV480</f>
        <v>212.36400535999999</v>
      </c>
      <c r="CC35" s="638">
        <f>-Data!BW480</f>
        <v>265.654864395</v>
      </c>
      <c r="CD35" s="638">
        <f>-Data!BX480</f>
        <v>206.64407323200001</v>
      </c>
      <c r="CE35" s="638">
        <f>-Data!BY480</f>
        <v>137.833720086</v>
      </c>
      <c r="CF35" s="638">
        <f>-Data!BZ480</f>
        <v>150.125422101</v>
      </c>
      <c r="CG35" s="638">
        <f>-Data!CA480</f>
        <v>128.82595060099999</v>
      </c>
      <c r="CH35" s="3168">
        <f>-Data!CB480</f>
        <v>134.85</v>
      </c>
      <c r="CI35" s="3168">
        <f>-Data!CC480</f>
        <v>152.38953833299999</v>
      </c>
      <c r="CJ35" s="3168">
        <f>-Data!CD480</f>
        <v>216.76129570500001</v>
      </c>
      <c r="CK35" s="3168">
        <f>-Data!CE480</f>
        <v>233.58291448099999</v>
      </c>
      <c r="CL35" s="3168">
        <f>-Data!CF480</f>
        <v>207.02585263700001</v>
      </c>
      <c r="CM35" s="3168">
        <f>-Data!CG480</f>
        <v>179.461207664</v>
      </c>
      <c r="CN35" s="3388">
        <f t="shared" si="6"/>
        <v>717.844830656</v>
      </c>
      <c r="CO35" s="3556">
        <f t="shared" ca="1" si="7"/>
        <v>1.2870446097629431</v>
      </c>
      <c r="CP35" s="3388"/>
      <c r="CQ35" s="3388"/>
      <c r="CR35" s="1521" t="s">
        <v>784</v>
      </c>
      <c r="CS35" s="1862">
        <f>BW35+BX35</f>
        <v>322.59994349600004</v>
      </c>
      <c r="CT35" s="1865">
        <f>CA35+CB35</f>
        <v>360.349673634</v>
      </c>
      <c r="CU35" s="1862">
        <f t="shared" si="29"/>
        <v>602.73374851899996</v>
      </c>
      <c r="CV35" s="1862">
        <f t="shared" si="30"/>
        <v>416.78509278799993</v>
      </c>
      <c r="CW35" s="1865">
        <f>CI35+CJ35</f>
        <v>369.15083403799997</v>
      </c>
      <c r="CX35" s="1865">
        <f>CE35+CF35</f>
        <v>287.959142187</v>
      </c>
      <c r="CY35" s="174">
        <f>CW35/CX35-1</f>
        <v>0.28195559701408701</v>
      </c>
      <c r="CZ35" s="1862">
        <f>CJ35</f>
        <v>216.76129570500001</v>
      </c>
      <c r="DA35" s="883">
        <f>CF35</f>
        <v>150.125422101</v>
      </c>
      <c r="DB35" s="3115">
        <f t="shared" si="8"/>
        <v>0.44386801829718991</v>
      </c>
      <c r="DC35" s="624"/>
      <c r="DD35" s="410"/>
      <c r="DE35" s="1037">
        <f>SUM(BW35)</f>
        <v>145.819741163</v>
      </c>
      <c r="DF35" s="1038">
        <f>SUM(CA35)</f>
        <v>147.98566827400001</v>
      </c>
      <c r="DG35" s="411">
        <f>DF35/DE35-1</f>
        <v>1.4853456011685529E-2</v>
      </c>
      <c r="DH35" s="664"/>
      <c r="DI35" s="664"/>
      <c r="DJ35" s="412"/>
      <c r="DK35" s="412"/>
      <c r="DL35" s="412"/>
      <c r="DM35" s="412"/>
      <c r="DN35" s="412"/>
      <c r="DO35" s="2423" t="s">
        <v>921</v>
      </c>
      <c r="DP35" s="2415"/>
      <c r="DQ35" s="2415"/>
      <c r="DR35" s="2416"/>
      <c r="DS35" s="2430"/>
      <c r="DT35" s="2416"/>
      <c r="DU35" s="28"/>
      <c r="DV35" s="28"/>
      <c r="DW35" s="28"/>
      <c r="DX35" s="28"/>
      <c r="DY35" s="28"/>
      <c r="DZ35" s="28"/>
      <c r="EA35" s="15"/>
      <c r="EB35" s="28"/>
      <c r="EC35" s="28"/>
      <c r="ED35" s="28"/>
      <c r="EE35" s="28"/>
      <c r="EF35" s="28"/>
      <c r="EG35" s="28"/>
      <c r="EH35" s="28"/>
      <c r="EI35" s="28"/>
      <c r="EJ35" s="28"/>
      <c r="EK35" s="28"/>
      <c r="EL35" s="28"/>
      <c r="EN35" s="28"/>
      <c r="EO35" s="28"/>
      <c r="EP35" s="10"/>
      <c r="ER35" s="1359"/>
    </row>
    <row r="36" spans="1:148" s="28" customFormat="1">
      <c r="B36" s="946" t="s">
        <v>820</v>
      </c>
      <c r="C36" s="951"/>
      <c r="D36" s="181">
        <f>D35/AVERAGE(BS!C58:D58)</f>
        <v>3.7302914944649733E-2</v>
      </c>
      <c r="E36" s="181">
        <f>E35/AVERAGE(BS!D58:E58)</f>
        <v>2.9975145069345756E-2</v>
      </c>
      <c r="F36" s="181">
        <f>F35/AVERAGE(BS!E58:F58)</f>
        <v>3.3502715986352238E-2</v>
      </c>
      <c r="G36" s="181">
        <f>G35/AVERAGE(BS!F58:G58)</f>
        <v>3.9923735550845316E-2</v>
      </c>
      <c r="H36" s="183">
        <f>H35/AVERAGE(BS!G58:H58)</f>
        <v>5.0411258402163268E-2</v>
      </c>
      <c r="I36" s="182">
        <f>I35/AVERAGE(BS!H58:I58)</f>
        <v>4.0925014116048035E-2</v>
      </c>
      <c r="J36" s="181">
        <f>J35/AVERAGE(BS!I58:J58)</f>
        <v>4.8416739804303013E-2</v>
      </c>
      <c r="K36" s="181">
        <f>K35/AVERAGE(BS!J58:K58)</f>
        <v>3.7404874204815627E-2</v>
      </c>
      <c r="L36" s="181">
        <f>L35/AVERAGE(BS!K58:L58)</f>
        <v>2.9479625030812036E-2</v>
      </c>
      <c r="M36" s="181">
        <f>M35/AVERAGE(BS!L58:M58)</f>
        <v>3.9763966392244408E-2</v>
      </c>
      <c r="N36" s="181">
        <f>N35/AVERAGE(BS!M58:N58)</f>
        <v>6.3012263803293514E-2</v>
      </c>
      <c r="O36" s="181">
        <f>O35/AVERAGE(BS!N58:O58)</f>
        <v>3.8052890789962844E-2</v>
      </c>
      <c r="P36" s="181">
        <f>P35/AVERAGE(BS!O58:P58)</f>
        <v>4.4960630107972868E-2</v>
      </c>
      <c r="Q36" s="2720">
        <f ca="1">Q35/AVERAGE(BS!Q58:Q58)</f>
        <v>4.2999999999999997E-2</v>
      </c>
      <c r="R36" s="181">
        <f ca="1">R35/AVERAGE(BS!Q58:R58)</f>
        <v>4.4999999999999998E-2</v>
      </c>
      <c r="S36" s="183">
        <f ca="1">S35/AVERAGE(BS!R58:S58)</f>
        <v>4.4999999999999998E-2</v>
      </c>
      <c r="T36" s="2720"/>
      <c r="U36" s="2720"/>
      <c r="V36" s="181">
        <f>V35/AVERAGE(BS!V58:W58)</f>
        <v>3.7910929252273226E-2</v>
      </c>
      <c r="W36" s="181">
        <f>W35/AVERAGE(BS!W58:X58)</f>
        <v>0</v>
      </c>
      <c r="Z36" s="151"/>
      <c r="AA36" s="118"/>
      <c r="AC36" s="80"/>
      <c r="AD36" s="147"/>
      <c r="AE36" s="118"/>
      <c r="AH36" s="147"/>
      <c r="AI36" s="118"/>
      <c r="AL36" s="147"/>
      <c r="AM36" s="118"/>
      <c r="AP36" s="147"/>
      <c r="AQ36" s="118"/>
      <c r="AT36" s="147"/>
      <c r="AU36" s="118"/>
      <c r="AY36" s="118"/>
      <c r="BC36" s="635"/>
      <c r="BD36" s="636"/>
      <c r="BE36" s="636"/>
      <c r="BF36" s="636"/>
      <c r="BG36" s="635"/>
      <c r="BH36" s="636"/>
      <c r="BI36" s="636"/>
      <c r="BJ36" s="636"/>
      <c r="BK36" s="635"/>
      <c r="BL36" s="636"/>
      <c r="BM36" s="636"/>
      <c r="BN36" s="636"/>
      <c r="BO36" s="635"/>
      <c r="BP36" s="636"/>
      <c r="BQ36" s="636"/>
      <c r="BR36" s="636"/>
      <c r="BS36" s="635"/>
      <c r="BT36" s="636"/>
      <c r="BU36" s="636"/>
      <c r="BV36" s="636"/>
      <c r="BW36" s="1293">
        <f>BW35/12382.1</f>
        <v>1.1776656719215642E-2</v>
      </c>
      <c r="BX36" s="636"/>
      <c r="BY36" s="636"/>
      <c r="BZ36" s="892"/>
      <c r="CA36" s="174">
        <f t="shared" ref="CA36" si="129">CA35/12356.245</f>
        <v>1.1976589026358736E-2</v>
      </c>
      <c r="CB36" s="174"/>
      <c r="CC36" s="174"/>
      <c r="CD36" s="174"/>
      <c r="CE36" s="174"/>
      <c r="CF36" s="174"/>
      <c r="CG36" s="174"/>
      <c r="CH36" s="174"/>
      <c r="CI36" s="174"/>
      <c r="CJ36" s="174"/>
      <c r="CK36" s="174"/>
      <c r="CL36" s="174"/>
      <c r="CM36" s="174"/>
      <c r="CN36" s="3388">
        <f t="shared" si="6"/>
        <v>0</v>
      </c>
      <c r="CO36" s="3556" t="e">
        <f t="shared" ca="1" si="7"/>
        <v>#DIV/0!</v>
      </c>
      <c r="CP36" s="3388"/>
      <c r="CQ36" s="3388"/>
      <c r="CR36" s="946" t="s">
        <v>820</v>
      </c>
      <c r="CS36" s="1027"/>
      <c r="CT36" s="1027"/>
      <c r="CU36" s="1862"/>
      <c r="CV36" s="1862"/>
      <c r="CW36" s="1027"/>
      <c r="CX36" s="1027"/>
      <c r="CY36" s="174"/>
      <c r="CZ36" s="3126"/>
      <c r="DA36" s="3127"/>
      <c r="DB36" s="3115"/>
      <c r="DC36" s="636"/>
      <c r="DE36" s="1027"/>
      <c r="DF36" s="892"/>
      <c r="DG36" s="83"/>
      <c r="DH36" s="658"/>
      <c r="DI36" s="658"/>
      <c r="DJ36" s="84"/>
      <c r="DK36" s="84"/>
      <c r="DL36" s="84"/>
      <c r="DM36" s="84"/>
      <c r="DN36" s="84"/>
      <c r="DO36" s="2426" t="s">
        <v>854</v>
      </c>
      <c r="DP36" s="2409">
        <f>SUM(DP37:DP40)</f>
        <v>5435</v>
      </c>
      <c r="DQ36" s="2409">
        <f>SUM(DQ37:DQ40)</f>
        <v>7000</v>
      </c>
      <c r="DR36" s="2416">
        <f t="shared" ref="DR36:DR41" si="130">DQ36/DP36-1</f>
        <v>0.28794848206071766</v>
      </c>
      <c r="DS36" s="2429"/>
      <c r="DT36" s="2416"/>
      <c r="DU36" s="10"/>
      <c r="DV36" s="10"/>
      <c r="DW36" s="10"/>
      <c r="DX36" s="10"/>
      <c r="DY36" s="10"/>
      <c r="DZ36" s="10"/>
      <c r="EA36" s="15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N36" s="10"/>
      <c r="EO36" s="10"/>
      <c r="EP36" s="413"/>
    </row>
    <row r="37" spans="1:148">
      <c r="B37" s="945" t="s">
        <v>752</v>
      </c>
      <c r="C37" s="916"/>
      <c r="D37" s="690"/>
      <c r="E37" s="690"/>
      <c r="F37" s="690"/>
      <c r="G37" s="690"/>
      <c r="H37" s="1084"/>
      <c r="I37" s="916"/>
      <c r="J37" s="690"/>
      <c r="K37" s="690"/>
      <c r="L37" s="690"/>
      <c r="M37" s="690"/>
      <c r="N37" s="690"/>
      <c r="O37" s="690"/>
      <c r="P37" s="690"/>
      <c r="Q37" s="2824"/>
      <c r="R37" s="149"/>
      <c r="S37" s="808"/>
      <c r="T37" s="2824"/>
      <c r="U37" s="2753"/>
      <c r="V37" s="149" t="e">
        <f>V38*V11</f>
        <v>#REF!</v>
      </c>
      <c r="W37" s="149"/>
      <c r="Z37" s="110"/>
      <c r="AA37" s="60"/>
      <c r="AB37" s="10"/>
      <c r="AC37" s="61"/>
      <c r="AD37" s="62"/>
      <c r="AE37" s="60"/>
      <c r="AH37" s="62"/>
      <c r="AI37" s="60"/>
      <c r="AL37" s="62"/>
      <c r="AM37" s="71"/>
      <c r="AN37" s="61"/>
      <c r="AO37" s="61"/>
      <c r="AP37" s="70"/>
      <c r="AQ37" s="71"/>
      <c r="AR37" s="61"/>
      <c r="AS37" s="61"/>
      <c r="AT37" s="70"/>
      <c r="AU37" s="71"/>
      <c r="AV37" s="61"/>
      <c r="AW37" s="61"/>
      <c r="AX37" s="61"/>
      <c r="AY37" s="71"/>
      <c r="AZ37" s="61"/>
      <c r="BA37" s="61"/>
      <c r="BB37" s="61"/>
      <c r="BC37" s="611"/>
      <c r="BD37" s="612"/>
      <c r="BE37" s="612"/>
      <c r="BF37" s="612"/>
      <c r="BG37" s="611"/>
      <c r="BH37" s="612"/>
      <c r="BI37" s="612"/>
      <c r="BJ37" s="612"/>
      <c r="BK37" s="611"/>
      <c r="BL37" s="612"/>
      <c r="BM37" s="612"/>
      <c r="BN37" s="612"/>
      <c r="BO37" s="611"/>
      <c r="BP37" s="612"/>
      <c r="BQ37" s="612"/>
      <c r="BR37" s="612"/>
      <c r="BS37" s="611"/>
      <c r="BT37" s="612"/>
      <c r="BU37" s="612"/>
      <c r="BV37" s="612"/>
      <c r="BW37" s="611"/>
      <c r="BX37" s="612"/>
      <c r="BY37" s="612"/>
      <c r="BZ37" s="883"/>
      <c r="CA37" s="612"/>
      <c r="CB37" s="612"/>
      <c r="CC37" s="612"/>
      <c r="CD37" s="612"/>
      <c r="CE37" s="612"/>
      <c r="CF37" s="612"/>
      <c r="CG37" s="612"/>
      <c r="CH37" s="612"/>
      <c r="CI37" s="612"/>
      <c r="CJ37" s="612"/>
      <c r="CK37" s="612"/>
      <c r="CL37" s="612"/>
      <c r="CM37" s="612"/>
      <c r="CN37" s="3388">
        <f t="shared" si="6"/>
        <v>0</v>
      </c>
      <c r="CO37" s="3556" t="e">
        <f t="shared" si="7"/>
        <v>#DIV/0!</v>
      </c>
      <c r="CP37" s="3388"/>
      <c r="CQ37" s="3388"/>
      <c r="CR37" s="945" t="s">
        <v>752</v>
      </c>
      <c r="CS37" s="1862"/>
      <c r="CT37" s="1862"/>
      <c r="CU37" s="1862"/>
      <c r="CV37" s="1862"/>
      <c r="CW37" s="1862"/>
      <c r="CX37" s="1862"/>
      <c r="CY37" s="174"/>
      <c r="CZ37" s="3126"/>
      <c r="DA37" s="3127"/>
      <c r="DB37" s="3115"/>
      <c r="DC37" s="612"/>
      <c r="DD37" s="61"/>
      <c r="DE37" s="1006">
        <f>SUM(BS37:BT37)</f>
        <v>0</v>
      </c>
      <c r="DF37" s="1007">
        <f>SUM(BW37:BX37)</f>
        <v>0</v>
      </c>
      <c r="DG37" s="43" t="e">
        <f>DF37/DE37-1</f>
        <v>#DIV/0!</v>
      </c>
      <c r="DH37" s="657"/>
      <c r="DI37" s="657"/>
      <c r="DO37" s="2427" t="s">
        <v>1660</v>
      </c>
      <c r="DP37" s="2409">
        <v>2019</v>
      </c>
      <c r="DQ37" s="2409">
        <v>2695</v>
      </c>
      <c r="DR37" s="2416">
        <f t="shared" si="130"/>
        <v>0.33481921743437337</v>
      </c>
      <c r="DS37" s="2429"/>
      <c r="DT37" s="2416"/>
      <c r="DU37" s="413"/>
      <c r="DV37" s="413"/>
      <c r="DW37" s="413"/>
      <c r="DX37" s="413"/>
      <c r="DY37" s="413"/>
      <c r="DZ37" s="413"/>
      <c r="EB37" s="413"/>
      <c r="EC37" s="413"/>
      <c r="ED37" s="413"/>
      <c r="EE37" s="413"/>
      <c r="EF37" s="413"/>
      <c r="EG37" s="413"/>
      <c r="EH37" s="413"/>
      <c r="EI37" s="413"/>
      <c r="EJ37" s="413"/>
      <c r="EK37" s="413"/>
      <c r="EL37" s="413"/>
      <c r="EN37" s="413"/>
      <c r="EO37" s="413"/>
      <c r="EP37" s="28"/>
    </row>
    <row r="38" spans="1:148" s="28" customFormat="1">
      <c r="B38" s="945" t="s">
        <v>753</v>
      </c>
      <c r="C38" s="916"/>
      <c r="D38" s="690"/>
      <c r="E38" s="690"/>
      <c r="F38" s="690"/>
      <c r="G38" s="690"/>
      <c r="H38" s="1084"/>
      <c r="I38" s="916"/>
      <c r="J38" s="690"/>
      <c r="K38" s="690"/>
      <c r="L38" s="690"/>
      <c r="M38" s="690"/>
      <c r="N38" s="690"/>
      <c r="O38" s="690"/>
      <c r="P38" s="690"/>
      <c r="Q38" s="2599"/>
      <c r="R38" s="2599"/>
      <c r="S38" s="3523"/>
      <c r="T38" s="2599"/>
      <c r="U38" s="2753"/>
      <c r="V38" s="315" t="e">
        <f>#REF!</f>
        <v>#REF!</v>
      </c>
      <c r="W38" s="2599"/>
      <c r="Z38" s="152"/>
      <c r="AA38" s="118"/>
      <c r="AC38" s="80"/>
      <c r="AD38" s="147"/>
      <c r="AE38" s="118"/>
      <c r="AH38" s="147"/>
      <c r="AI38" s="118"/>
      <c r="AL38" s="147"/>
      <c r="AM38" s="153"/>
      <c r="AN38" s="154"/>
      <c r="AO38" s="154"/>
      <c r="AP38" s="155"/>
      <c r="AQ38" s="156"/>
      <c r="AR38" s="157"/>
      <c r="AS38" s="157"/>
      <c r="AT38" s="157"/>
      <c r="AU38" s="157"/>
      <c r="AV38" s="157"/>
      <c r="AW38" s="157"/>
      <c r="AX38" s="157"/>
      <c r="AY38" s="156"/>
      <c r="AZ38" s="157"/>
      <c r="BA38" s="157"/>
      <c r="BB38" s="157"/>
      <c r="BC38" s="639" t="e">
        <f>BC37/BC9</f>
        <v>#REF!</v>
      </c>
      <c r="BD38" s="640" t="e">
        <f>BD37/BD9</f>
        <v>#REF!</v>
      </c>
      <c r="BE38" s="640" t="e">
        <f>BE37/BE9</f>
        <v>#REF!</v>
      </c>
      <c r="BF38" s="640" t="e">
        <f>BF37/BF9</f>
        <v>#REF!</v>
      </c>
      <c r="BG38" s="639">
        <f>BG37/BG9</f>
        <v>0</v>
      </c>
      <c r="BH38" s="640">
        <f t="shared" ref="BH38:BZ38" si="131">BH37/BH9</f>
        <v>0</v>
      </c>
      <c r="BI38" s="640">
        <f t="shared" si="131"/>
        <v>0</v>
      </c>
      <c r="BJ38" s="640">
        <f t="shared" si="131"/>
        <v>0</v>
      </c>
      <c r="BK38" s="639">
        <f t="shared" si="131"/>
        <v>0</v>
      </c>
      <c r="BL38" s="640">
        <f t="shared" si="131"/>
        <v>0</v>
      </c>
      <c r="BM38" s="640">
        <f t="shared" si="131"/>
        <v>0</v>
      </c>
      <c r="BN38" s="640">
        <f t="shared" si="131"/>
        <v>0</v>
      </c>
      <c r="BO38" s="639">
        <f t="shared" si="131"/>
        <v>0</v>
      </c>
      <c r="BP38" s="640">
        <f t="shared" si="131"/>
        <v>0</v>
      </c>
      <c r="BQ38" s="640">
        <f t="shared" si="131"/>
        <v>0</v>
      </c>
      <c r="BR38" s="640">
        <f t="shared" si="131"/>
        <v>0</v>
      </c>
      <c r="BS38" s="639">
        <f t="shared" si="131"/>
        <v>0</v>
      </c>
      <c r="BT38" s="640">
        <f t="shared" si="131"/>
        <v>0</v>
      </c>
      <c r="BU38" s="640">
        <f t="shared" si="131"/>
        <v>0</v>
      </c>
      <c r="BV38" s="640">
        <f t="shared" si="131"/>
        <v>0</v>
      </c>
      <c r="BW38" s="639">
        <f t="shared" si="131"/>
        <v>0</v>
      </c>
      <c r="BX38" s="640">
        <f t="shared" si="131"/>
        <v>0</v>
      </c>
      <c r="BY38" s="640">
        <f t="shared" si="131"/>
        <v>0</v>
      </c>
      <c r="BZ38" s="894">
        <f t="shared" si="131"/>
        <v>0</v>
      </c>
      <c r="CA38" s="640"/>
      <c r="CB38" s="640"/>
      <c r="CC38" s="640"/>
      <c r="CD38" s="640"/>
      <c r="CE38" s="640"/>
      <c r="CF38" s="640"/>
      <c r="CG38" s="640"/>
      <c r="CH38" s="640"/>
      <c r="CI38" s="640"/>
      <c r="CJ38" s="640"/>
      <c r="CK38" s="640"/>
      <c r="CL38" s="640"/>
      <c r="CM38" s="640"/>
      <c r="CN38" s="3388">
        <f t="shared" si="6"/>
        <v>0</v>
      </c>
      <c r="CO38" s="3556" t="e">
        <f t="shared" si="7"/>
        <v>#DIV/0!</v>
      </c>
      <c r="CP38" s="3388"/>
      <c r="CQ38" s="3388"/>
      <c r="CR38" s="945" t="s">
        <v>753</v>
      </c>
      <c r="CS38" s="1869"/>
      <c r="CT38" s="1869"/>
      <c r="CU38" s="1862"/>
      <c r="CV38" s="1862"/>
      <c r="CW38" s="1869"/>
      <c r="CX38" s="1869"/>
      <c r="CY38" s="174"/>
      <c r="CZ38" s="3126"/>
      <c r="DA38" s="3127"/>
      <c r="DB38" s="3115"/>
      <c r="DC38" s="640"/>
      <c r="DD38" s="157"/>
      <c r="DE38" s="1028"/>
      <c r="DF38" s="1029"/>
      <c r="DG38" s="83"/>
      <c r="DH38" s="658"/>
      <c r="DI38" s="658"/>
      <c r="DJ38" s="84"/>
      <c r="DK38" s="84"/>
      <c r="DL38" s="84"/>
      <c r="DM38" s="84"/>
      <c r="DN38" s="84"/>
      <c r="DO38" s="2427" t="s">
        <v>1661</v>
      </c>
      <c r="DP38" s="2409">
        <v>1606</v>
      </c>
      <c r="DQ38" s="2409">
        <v>1858</v>
      </c>
      <c r="DR38" s="2416">
        <f t="shared" si="130"/>
        <v>0.15691158156911578</v>
      </c>
      <c r="DS38" s="2431"/>
      <c r="DT38" s="2416"/>
      <c r="EA38" s="15"/>
      <c r="EP38" s="10"/>
    </row>
    <row r="39" spans="1:148">
      <c r="A39" s="2521" t="s">
        <v>2031</v>
      </c>
      <c r="B39" s="943" t="s">
        <v>488</v>
      </c>
      <c r="C39" s="1071">
        <f>C32-C34</f>
        <v>86.629644429000109</v>
      </c>
      <c r="D39" s="1076">
        <f t="shared" ref="D39:M39" si="132">D32-D34</f>
        <v>115.16579310100002</v>
      </c>
      <c r="E39" s="1076">
        <f t="shared" si="132"/>
        <v>13.568242579000014</v>
      </c>
      <c r="F39" s="1076">
        <f t="shared" si="132"/>
        <v>-167.86487729599997</v>
      </c>
      <c r="G39" s="1076">
        <f t="shared" si="132"/>
        <v>-119.45425252200005</v>
      </c>
      <c r="H39" s="1081">
        <f t="shared" si="132"/>
        <v>982.22814344999995</v>
      </c>
      <c r="I39" s="1071">
        <f t="shared" si="132"/>
        <v>239.04674398200007</v>
      </c>
      <c r="J39" s="1076">
        <f t="shared" si="132"/>
        <v>58.108491137999977</v>
      </c>
      <c r="K39" s="1076">
        <f t="shared" si="132"/>
        <v>273.7312131650001</v>
      </c>
      <c r="L39" s="1076">
        <f t="shared" si="132"/>
        <v>126.60193942199999</v>
      </c>
      <c r="M39" s="1076">
        <f t="shared" si="132"/>
        <v>311.13427804100002</v>
      </c>
      <c r="N39" s="1076">
        <f t="shared" ref="N39:O39" si="133">N32-N34</f>
        <v>617.77062610899998</v>
      </c>
      <c r="O39" s="1076">
        <f t="shared" si="133"/>
        <v>124.20000000000005</v>
      </c>
      <c r="P39" s="1076">
        <f t="shared" ref="P39" si="134">P32-P34</f>
        <v>1305.1099999999999</v>
      </c>
      <c r="Q39" s="2751">
        <f ca="1">Q32-Q34</f>
        <v>557.77599486055442</v>
      </c>
      <c r="R39" s="129">
        <f ca="1">R32-R34</f>
        <v>1004.327869715486</v>
      </c>
      <c r="S39" s="130">
        <f ca="1">S32-S34</f>
        <v>1029.4520438146076</v>
      </c>
      <c r="T39" s="2751"/>
      <c r="U39" s="2750"/>
      <c r="V39" s="129">
        <f>V32-V34</f>
        <v>124.20000000000005</v>
      </c>
      <c r="W39" s="129">
        <f>W32-W34</f>
        <v>0</v>
      </c>
      <c r="Z39" s="110"/>
      <c r="AA39" s="134"/>
      <c r="AB39" s="135"/>
      <c r="AC39" s="135"/>
      <c r="AD39" s="136"/>
      <c r="AE39" s="134"/>
      <c r="AF39" s="135"/>
      <c r="AG39" s="135"/>
      <c r="AH39" s="136"/>
      <c r="AI39" s="134"/>
      <c r="AJ39" s="135"/>
      <c r="AK39" s="135"/>
      <c r="AL39" s="136"/>
      <c r="AM39" s="134"/>
      <c r="AN39" s="135"/>
      <c r="AO39" s="135"/>
      <c r="AP39" s="136"/>
      <c r="AQ39" s="134"/>
      <c r="AR39" s="135"/>
      <c r="AS39" s="135"/>
      <c r="AT39" s="135"/>
      <c r="AU39" s="134"/>
      <c r="AV39" s="135"/>
      <c r="AW39" s="135"/>
      <c r="AX39" s="135"/>
      <c r="AY39" s="134"/>
      <c r="AZ39" s="135"/>
      <c r="BA39" s="135"/>
      <c r="BB39" s="135"/>
      <c r="BC39" s="631" t="e">
        <f>BC32-BC34</f>
        <v>#REF!</v>
      </c>
      <c r="BD39" s="632" t="e">
        <f>BD32-BD34</f>
        <v>#REF!</v>
      </c>
      <c r="BE39" s="632" t="e">
        <f>BE32-BE34</f>
        <v>#REF!</v>
      </c>
      <c r="BF39" s="632" t="e">
        <f>BF32-BF34</f>
        <v>#REF!</v>
      </c>
      <c r="BG39" s="631">
        <f>BG32-BG34</f>
        <v>11.197161545</v>
      </c>
      <c r="BH39" s="632">
        <f t="shared" ref="BH39:CB39" si="135">BH32-BH34</f>
        <v>42.683315365000013</v>
      </c>
      <c r="BI39" s="632">
        <f t="shared" si="135"/>
        <v>57.473337122000004</v>
      </c>
      <c r="BJ39" s="632">
        <f t="shared" si="135"/>
        <v>127.69292994999999</v>
      </c>
      <c r="BK39" s="631">
        <f t="shared" si="135"/>
        <v>32.274575399000014</v>
      </c>
      <c r="BL39" s="632">
        <f t="shared" si="135"/>
        <v>-40.110273246999981</v>
      </c>
      <c r="BM39" s="632">
        <f t="shared" si="135"/>
        <v>35.371551987999993</v>
      </c>
      <c r="BN39" s="632">
        <f t="shared" si="135"/>
        <v>34.403158391999995</v>
      </c>
      <c r="BO39" s="631">
        <f t="shared" si="135"/>
        <v>-2.7060397460000161</v>
      </c>
      <c r="BP39" s="632">
        <f t="shared" si="135"/>
        <v>96.082854017999992</v>
      </c>
      <c r="BQ39" s="632">
        <f t="shared" si="135"/>
        <v>109.28868161700001</v>
      </c>
      <c r="BR39" s="632">
        <f t="shared" si="135"/>
        <v>71.065717276000015</v>
      </c>
      <c r="BS39" s="631">
        <f t="shared" si="135"/>
        <v>184.30342992500002</v>
      </c>
      <c r="BT39" s="632">
        <f t="shared" si="135"/>
        <v>-121.28988903400003</v>
      </c>
      <c r="BU39" s="632">
        <f t="shared" si="135"/>
        <v>59.378326062999975</v>
      </c>
      <c r="BV39" s="632">
        <f t="shared" si="135"/>
        <v>5.6580182569999806</v>
      </c>
      <c r="BW39" s="631">
        <f t="shared" si="135"/>
        <v>148.21377647099996</v>
      </c>
      <c r="BX39" s="632">
        <f t="shared" si="135"/>
        <v>169.31225475600002</v>
      </c>
      <c r="BY39" s="632">
        <f t="shared" si="135"/>
        <v>135.77792266199998</v>
      </c>
      <c r="BZ39" s="891">
        <f t="shared" si="135"/>
        <v>-118.05163519200005</v>
      </c>
      <c r="CA39" s="632">
        <f t="shared" si="135"/>
        <v>179.66120628700003</v>
      </c>
      <c r="CB39" s="632">
        <f t="shared" si="135"/>
        <v>335.54566396400003</v>
      </c>
      <c r="CC39" s="632">
        <f t="shared" ref="CC39:CH39" si="136">CC32-CC34</f>
        <v>109.77475928600001</v>
      </c>
      <c r="CD39" s="632">
        <f t="shared" si="136"/>
        <v>-7.2109139279999681</v>
      </c>
      <c r="CE39" s="632">
        <f t="shared" si="136"/>
        <v>123.027706685</v>
      </c>
      <c r="CF39" s="632">
        <f t="shared" si="136"/>
        <v>231.36463815499997</v>
      </c>
      <c r="CG39" s="632">
        <f t="shared" si="136"/>
        <v>18.510199977000013</v>
      </c>
      <c r="CH39" s="632">
        <f t="shared" si="136"/>
        <v>-248.71000000000004</v>
      </c>
      <c r="CI39" s="632">
        <f t="shared" ref="CI39:CJ39" si="137">CI32-CI34</f>
        <v>261.98812382699992</v>
      </c>
      <c r="CJ39" s="632">
        <f t="shared" si="137"/>
        <v>705.62681180699997</v>
      </c>
      <c r="CK39" s="632">
        <f t="shared" ref="CK39:CL39" si="138">CK32-CK34</f>
        <v>260.53539363099998</v>
      </c>
      <c r="CL39" s="632">
        <f t="shared" si="138"/>
        <v>76.957326041999977</v>
      </c>
      <c r="CM39" s="632">
        <f t="shared" ref="CM39" si="139">CM32-CM34</f>
        <v>48.652484458000004</v>
      </c>
      <c r="CN39" s="3388">
        <f t="shared" si="6"/>
        <v>194.60993783200001</v>
      </c>
      <c r="CO39" s="3556">
        <f t="shared" ca="1" si="7"/>
        <v>2.8661228767364544</v>
      </c>
      <c r="CP39" s="3388"/>
      <c r="CQ39" s="3388"/>
      <c r="CR39" s="943" t="s">
        <v>488</v>
      </c>
      <c r="CS39" s="1862">
        <f>BW39+BX39</f>
        <v>317.52603122699998</v>
      </c>
      <c r="CT39" s="1873">
        <f>CA39+CB39</f>
        <v>515.20687025100005</v>
      </c>
      <c r="CU39" s="1862">
        <f t="shared" si="29"/>
        <v>1228.150329265</v>
      </c>
      <c r="CV39" s="1862">
        <f t="shared" si="30"/>
        <v>372.90254481699998</v>
      </c>
      <c r="CW39" s="1873">
        <f>CI39+CJ39</f>
        <v>967.61493563399995</v>
      </c>
      <c r="CX39" s="1873">
        <f>CE39+CF39</f>
        <v>354.39234483999996</v>
      </c>
      <c r="CY39" s="174">
        <f>CW39/CX39-1</f>
        <v>1.7303494269066562</v>
      </c>
      <c r="CZ39" s="1862">
        <f>CJ39</f>
        <v>705.62681180699997</v>
      </c>
      <c r="DA39" s="883">
        <f>CF39</f>
        <v>231.36463815499997</v>
      </c>
      <c r="DB39" s="3115">
        <f t="shared" si="8"/>
        <v>2.0498472775873111</v>
      </c>
      <c r="DC39" s="624"/>
      <c r="DD39" s="115"/>
      <c r="DE39" s="1006">
        <f>SUM(BW39)</f>
        <v>148.21377647099996</v>
      </c>
      <c r="DF39" s="1007">
        <f>SUM(CA39)</f>
        <v>179.66120628700003</v>
      </c>
      <c r="DG39" s="43">
        <f>DF39/DE39-1</f>
        <v>0.21217615909107601</v>
      </c>
      <c r="DH39" s="657"/>
      <c r="DI39" s="657"/>
      <c r="DO39" s="2427" t="s">
        <v>1662</v>
      </c>
      <c r="DP39" s="2409">
        <v>384</v>
      </c>
      <c r="DQ39" s="2409">
        <v>552</v>
      </c>
      <c r="DR39" s="2416">
        <f t="shared" si="130"/>
        <v>0.4375</v>
      </c>
      <c r="DS39" s="2431"/>
      <c r="DT39" s="2416"/>
      <c r="EP39" s="28"/>
    </row>
    <row r="40" spans="1:148" ht="10.5" customHeight="1">
      <c r="B40" s="941" t="s">
        <v>2005</v>
      </c>
      <c r="C40" s="911"/>
      <c r="D40" s="686"/>
      <c r="E40" s="686"/>
      <c r="F40" s="686"/>
      <c r="G40" s="686"/>
      <c r="H40" s="1079"/>
      <c r="I40" s="2861">
        <f t="shared" ref="I40:K40" si="140">I39/I9</f>
        <v>1.0297730390983056E-2</v>
      </c>
      <c r="J40" s="2861">
        <f t="shared" si="140"/>
        <v>2.0964958212861757E-3</v>
      </c>
      <c r="K40" s="2861">
        <f t="shared" si="140"/>
        <v>9.176250011087057E-3</v>
      </c>
      <c r="L40" s="2861">
        <f>L39/L47</f>
        <v>1.9977562763895295E-2</v>
      </c>
      <c r="M40" s="2861">
        <f t="shared" ref="M40:S40" si="141">M39/M47</f>
        <v>4.0605949906850305E-2</v>
      </c>
      <c r="N40" s="2861">
        <f t="shared" si="141"/>
        <v>6.7127047346517768E-2</v>
      </c>
      <c r="O40" s="2861">
        <f t="shared" si="141"/>
        <v>1.1219856797769759E-2</v>
      </c>
      <c r="P40" s="2861">
        <f t="shared" si="141"/>
        <v>9.93709322263608E-2</v>
      </c>
      <c r="Q40" s="2861">
        <f t="shared" ca="1" si="141"/>
        <v>4.2027084201031989E-2</v>
      </c>
      <c r="R40" s="2861">
        <f t="shared" ca="1" si="141"/>
        <v>6.6881992618008271E-2</v>
      </c>
      <c r="S40" s="3524">
        <f t="shared" ca="1" si="141"/>
        <v>6.0503585110431773E-2</v>
      </c>
      <c r="T40" s="3271"/>
      <c r="U40" s="2745"/>
      <c r="V40" s="711"/>
      <c r="W40" s="2861">
        <f ca="1">W39/W9</f>
        <v>0</v>
      </c>
      <c r="Z40" s="110"/>
      <c r="AA40" s="60"/>
      <c r="AB40" s="10"/>
      <c r="AC40" s="61"/>
      <c r="AD40" s="62"/>
      <c r="AE40" s="60"/>
      <c r="AH40" s="62"/>
      <c r="AI40" s="60"/>
      <c r="AL40" s="62"/>
      <c r="AM40" s="60"/>
      <c r="AP40" s="62"/>
      <c r="AQ40" s="60"/>
      <c r="AT40" s="62"/>
      <c r="AU40" s="60"/>
      <c r="AY40" s="60"/>
      <c r="BC40" s="621"/>
      <c r="BD40" s="622"/>
      <c r="BE40" s="622"/>
      <c r="BF40" s="622"/>
      <c r="BG40" s="46">
        <f t="shared" ref="BG40:CI40" si="142">BG39/BG47</f>
        <v>1.4341027182074466E-2</v>
      </c>
      <c r="BH40" s="46">
        <f t="shared" si="142"/>
        <v>4.7095493380390388E-2</v>
      </c>
      <c r="BI40" s="46">
        <f t="shared" si="142"/>
        <v>5.4701246120099821E-2</v>
      </c>
      <c r="BJ40" s="46">
        <f t="shared" si="142"/>
        <v>0.11457079293691146</v>
      </c>
      <c r="BK40" s="46">
        <f t="shared" si="142"/>
        <v>3.3606511629979748E-2</v>
      </c>
      <c r="BL40" s="46">
        <f t="shared" si="142"/>
        <v>-3.4031303951130132E-2</v>
      </c>
      <c r="BM40" s="46">
        <f t="shared" si="142"/>
        <v>2.5847497877269143E-2</v>
      </c>
      <c r="BN40" s="46">
        <f t="shared" si="142"/>
        <v>2.973315048997489E-2</v>
      </c>
      <c r="BO40" s="46">
        <f t="shared" si="142"/>
        <v>-2.3689606463714913E-3</v>
      </c>
      <c r="BP40" s="46">
        <f t="shared" si="142"/>
        <v>7.474396666915134E-2</v>
      </c>
      <c r="BQ40" s="46">
        <f t="shared" si="142"/>
        <v>7.8858748732057324E-2</v>
      </c>
      <c r="BR40" s="46">
        <f t="shared" si="142"/>
        <v>4.9101591418758472E-2</v>
      </c>
      <c r="BS40" s="46">
        <f t="shared" si="142"/>
        <v>0.13195150892232327</v>
      </c>
      <c r="BT40" s="46">
        <f t="shared" si="142"/>
        <v>-7.8787063669534321E-2</v>
      </c>
      <c r="BU40" s="46">
        <f t="shared" si="142"/>
        <v>3.6237832754127779E-2</v>
      </c>
      <c r="BV40" s="46">
        <f t="shared" si="142"/>
        <v>3.2140485709162407E-3</v>
      </c>
      <c r="BW40" s="46">
        <f t="shared" si="142"/>
        <v>8.3310730932611834E-2</v>
      </c>
      <c r="BX40" s="46">
        <f t="shared" si="142"/>
        <v>9.1133699961371939E-2</v>
      </c>
      <c r="BY40" s="46">
        <f t="shared" si="142"/>
        <v>6.6950819007771445E-2</v>
      </c>
      <c r="BZ40" s="46">
        <f t="shared" si="142"/>
        <v>-5.9351400657190571E-2</v>
      </c>
      <c r="CA40" s="46">
        <f t="shared" si="142"/>
        <v>8.4720130387233097E-2</v>
      </c>
      <c r="CB40" s="46">
        <f t="shared" si="142"/>
        <v>0.15127394048465267</v>
      </c>
      <c r="CC40" s="46">
        <f t="shared" si="142"/>
        <v>4.5190596918550645E-2</v>
      </c>
      <c r="CD40" s="46">
        <f t="shared" si="142"/>
        <v>-2.9612481007750993E-3</v>
      </c>
      <c r="CE40" s="46">
        <f t="shared" si="142"/>
        <v>4.8558800952967107E-2</v>
      </c>
      <c r="CF40" s="46">
        <f t="shared" si="142"/>
        <v>8.6686910565837508E-2</v>
      </c>
      <c r="CG40" s="46">
        <f t="shared" si="142"/>
        <v>6.3639100144621394E-3</v>
      </c>
      <c r="CH40" s="46">
        <f t="shared" si="142"/>
        <v>-8.4066803992777508E-2</v>
      </c>
      <c r="CI40" s="46">
        <f t="shared" si="142"/>
        <v>8.6616420105805239E-2</v>
      </c>
      <c r="CJ40" s="46">
        <f>CJ39/CJ47</f>
        <v>0.22465013660625655</v>
      </c>
      <c r="CK40" s="46">
        <f>CK39/CK47</f>
        <v>7.720165164153904E-2</v>
      </c>
      <c r="CL40" s="46">
        <f>CL39/CL47</f>
        <v>2.19679224512697E-2</v>
      </c>
      <c r="CM40" s="46">
        <f>CM39/CM47</f>
        <v>1.7352063656301889E-2</v>
      </c>
      <c r="CN40" s="3388">
        <f t="shared" si="6"/>
        <v>6.9408254625207555E-2</v>
      </c>
      <c r="CO40" s="3556">
        <f t="shared" ca="1" si="7"/>
        <v>0.60550556166512037</v>
      </c>
      <c r="CP40" s="3388"/>
      <c r="CQ40" s="3388"/>
      <c r="CR40" s="941" t="s">
        <v>2005</v>
      </c>
      <c r="CS40" s="1015"/>
      <c r="CT40" s="1015"/>
      <c r="CU40" s="1862"/>
      <c r="CV40" s="1862"/>
      <c r="CW40" s="1875">
        <f>CW39/CW9</f>
        <v>2.9606194616642385E-2</v>
      </c>
      <c r="CX40" s="1875">
        <f>CX39/CX9</f>
        <v>1.2079571700978521E-2</v>
      </c>
      <c r="CY40" s="174"/>
      <c r="CZ40" s="1875">
        <f>CZ39/CZ9</f>
        <v>4.244445062638845E-2</v>
      </c>
      <c r="DA40" s="1875">
        <f>DA39/DA9</f>
        <v>1.517620216593682E-2</v>
      </c>
      <c r="DB40" s="3115">
        <f t="shared" si="8"/>
        <v>1.7967768327214015</v>
      </c>
      <c r="DC40" s="622"/>
      <c r="DE40" s="1015"/>
      <c r="DF40" s="889"/>
      <c r="DH40" s="657"/>
      <c r="DI40" s="657"/>
      <c r="DO40" s="2427" t="s">
        <v>1663</v>
      </c>
      <c r="DP40" s="2409">
        <v>1426</v>
      </c>
      <c r="DQ40" s="2409">
        <v>1895</v>
      </c>
      <c r="DR40" s="2416">
        <f t="shared" si="130"/>
        <v>0.32889200561009813</v>
      </c>
      <c r="DS40" s="28"/>
      <c r="DT40" s="28"/>
      <c r="DU40" s="28"/>
      <c r="DV40" s="28"/>
      <c r="DW40" s="28"/>
      <c r="DX40" s="28"/>
      <c r="DY40" s="28"/>
      <c r="DZ40" s="28"/>
      <c r="EB40" s="28"/>
      <c r="EC40" s="28"/>
      <c r="ED40" s="28"/>
      <c r="EE40" s="28"/>
      <c r="EF40" s="28"/>
      <c r="EG40" s="28"/>
      <c r="EH40" s="28"/>
      <c r="EI40" s="28"/>
      <c r="EJ40" s="28"/>
      <c r="EK40" s="28"/>
      <c r="EL40" s="28"/>
      <c r="EN40" s="28"/>
      <c r="EO40" s="28"/>
    </row>
    <row r="41" spans="1:148">
      <c r="B41" s="939"/>
      <c r="C41" s="911"/>
      <c r="D41" s="686"/>
      <c r="E41" s="686"/>
      <c r="F41" s="686"/>
      <c r="G41" s="686"/>
      <c r="H41" s="1079"/>
      <c r="I41" s="911"/>
      <c r="J41" s="686"/>
      <c r="K41" s="686"/>
      <c r="L41" s="686"/>
      <c r="M41" s="686"/>
      <c r="N41" s="686"/>
      <c r="O41" s="686"/>
      <c r="P41" s="686"/>
      <c r="Q41" s="3272"/>
      <c r="R41" s="712"/>
      <c r="S41" s="3525"/>
      <c r="T41" s="3272"/>
      <c r="U41" s="2745"/>
      <c r="V41" s="712"/>
      <c r="W41" s="712"/>
      <c r="Z41" s="100"/>
      <c r="AA41" s="60"/>
      <c r="AB41" s="10"/>
      <c r="AC41" s="61"/>
      <c r="AD41" s="62"/>
      <c r="AE41" s="60"/>
      <c r="AH41" s="62"/>
      <c r="AI41" s="60"/>
      <c r="AL41" s="62"/>
      <c r="AM41" s="60"/>
      <c r="AP41" s="62"/>
      <c r="AQ41" s="60"/>
      <c r="AT41" s="62"/>
      <c r="AU41" s="60"/>
      <c r="AY41" s="60"/>
      <c r="BC41" s="621"/>
      <c r="BD41" s="622"/>
      <c r="BE41" s="622"/>
      <c r="BF41" s="622"/>
      <c r="BG41" s="621"/>
      <c r="BH41" s="622"/>
      <c r="BI41" s="622"/>
      <c r="BJ41" s="622"/>
      <c r="BK41" s="621"/>
      <c r="BL41" s="622"/>
      <c r="BM41" s="622"/>
      <c r="BN41" s="622"/>
      <c r="BO41" s="621"/>
      <c r="BP41" s="622"/>
      <c r="BQ41" s="622"/>
      <c r="BR41" s="622"/>
      <c r="BS41" s="621"/>
      <c r="BT41" s="622"/>
      <c r="BU41" s="622"/>
      <c r="BV41" s="622"/>
      <c r="BW41" s="621"/>
      <c r="BX41" s="622"/>
      <c r="BY41" s="622"/>
      <c r="BZ41" s="889"/>
      <c r="CA41" s="622"/>
      <c r="CB41" s="622"/>
      <c r="CC41" s="622"/>
      <c r="CD41" s="622"/>
      <c r="CE41" s="622"/>
      <c r="CF41" s="622"/>
      <c r="CG41" s="622"/>
      <c r="CH41" s="622"/>
      <c r="CI41" s="622"/>
      <c r="CJ41" s="622"/>
      <c r="CK41" s="622"/>
      <c r="CL41" s="622"/>
      <c r="CM41" s="622"/>
      <c r="CN41" s="3388">
        <f t="shared" si="6"/>
        <v>0</v>
      </c>
      <c r="CO41" s="3556" t="e">
        <f t="shared" si="7"/>
        <v>#DIV/0!</v>
      </c>
      <c r="CP41" s="3388"/>
      <c r="CQ41" s="3388"/>
      <c r="CR41" s="939"/>
      <c r="CS41" s="1015"/>
      <c r="CT41" s="1015"/>
      <c r="CU41" s="1862"/>
      <c r="CV41" s="1862"/>
      <c r="CW41" s="1015"/>
      <c r="CX41" s="1015"/>
      <c r="CY41" s="174"/>
      <c r="CZ41" s="1862">
        <f>CJ41</f>
        <v>0</v>
      </c>
      <c r="DA41" s="883">
        <f>CF41</f>
        <v>0</v>
      </c>
      <c r="DB41" s="3115" t="e">
        <f t="shared" si="8"/>
        <v>#DIV/0!</v>
      </c>
      <c r="DC41" s="622"/>
      <c r="DE41" s="1015"/>
      <c r="DF41" s="889"/>
      <c r="DH41" s="657"/>
      <c r="DI41" s="657"/>
      <c r="DO41" s="2426" t="s">
        <v>855</v>
      </c>
      <c r="DP41" s="2409">
        <v>1407</v>
      </c>
      <c r="DQ41" s="2409">
        <v>1472</v>
      </c>
      <c r="DR41" s="2416">
        <f t="shared" si="130"/>
        <v>4.6197583511016438E-2</v>
      </c>
    </row>
    <row r="42" spans="1:148">
      <c r="B42" s="1444" t="s">
        <v>20</v>
      </c>
      <c r="C42" s="380">
        <f>Data!L345</f>
        <v>167.744037808</v>
      </c>
      <c r="D42" s="189">
        <f>Data!M345</f>
        <v>204.959308306</v>
      </c>
      <c r="E42" s="189">
        <f>Data!N345</f>
        <v>166.75563845900001</v>
      </c>
      <c r="F42" s="189">
        <f>Data!O345</f>
        <v>146.79606667300001</v>
      </c>
      <c r="G42" s="189">
        <f>Data!P345</f>
        <v>99.839840253999995</v>
      </c>
      <c r="H42" s="938">
        <f>Data!Q345</f>
        <v>101.847192667</v>
      </c>
      <c r="I42" s="380">
        <f>Data!R345</f>
        <v>60.448926026999999</v>
      </c>
      <c r="J42" s="189">
        <f>Data!S345</f>
        <v>112.68356307099999</v>
      </c>
      <c r="K42" s="189">
        <f>Data!T345</f>
        <v>131.40118694899999</v>
      </c>
      <c r="L42" s="189">
        <f>Data!U345</f>
        <v>133.21917762199999</v>
      </c>
      <c r="M42" s="189">
        <f>Data!V345</f>
        <v>184.323926142</v>
      </c>
      <c r="N42" s="189">
        <f>Data!W345</f>
        <v>200.95601092000001</v>
      </c>
      <c r="O42" s="189">
        <f>Data!X345</f>
        <v>175.45</v>
      </c>
      <c r="P42" s="189">
        <f>Data!Y345</f>
        <v>142.88999999999999</v>
      </c>
      <c r="Q42" s="1705">
        <f ca="1">Q9*Assumptions!Q50</f>
        <v>171.58382004126511</v>
      </c>
      <c r="R42" s="1705">
        <f ca="1">R9*Assumptions!R50</f>
        <v>197.83506060000005</v>
      </c>
      <c r="S42" s="3521">
        <f ca="1">S9*Assumptions!S50</f>
        <v>229.61021958000006</v>
      </c>
      <c r="T42" s="1705"/>
      <c r="U42" s="2746"/>
      <c r="V42" s="1705">
        <f>V9*Assumptions!AG50</f>
        <v>167.23383000000004</v>
      </c>
      <c r="W42" s="1705">
        <f ca="1">W9*Assumptions!P50</f>
        <v>198.92469</v>
      </c>
      <c r="Z42" s="110"/>
      <c r="AA42" s="112"/>
      <c r="AB42" s="146"/>
      <c r="AC42" s="102"/>
      <c r="AD42" s="104"/>
      <c r="AE42" s="114"/>
      <c r="AF42" s="73"/>
      <c r="AG42" s="61"/>
      <c r="AH42" s="70"/>
      <c r="AI42" s="71"/>
      <c r="AJ42" s="61"/>
      <c r="AK42" s="61"/>
      <c r="AL42" s="70"/>
      <c r="AM42" s="71"/>
      <c r="AN42" s="61"/>
      <c r="AO42" s="61"/>
      <c r="AP42" s="70"/>
      <c r="AQ42" s="71"/>
      <c r="AR42" s="61"/>
      <c r="AS42" s="61"/>
      <c r="AT42" s="70"/>
      <c r="AU42" s="71"/>
      <c r="AV42" s="61"/>
      <c r="AW42" s="61"/>
      <c r="AX42" s="61"/>
      <c r="AY42" s="71"/>
      <c r="AZ42" s="61"/>
      <c r="BA42" s="61"/>
      <c r="BB42" s="61"/>
      <c r="BC42" s="611" t="e">
        <f>#REF!</f>
        <v>#REF!</v>
      </c>
      <c r="BD42" s="612" t="e">
        <f>#REF!</f>
        <v>#REF!</v>
      </c>
      <c r="BE42" s="612" t="e">
        <f>#REF!</f>
        <v>#REF!</v>
      </c>
      <c r="BF42" s="612" t="e">
        <f>#REF!</f>
        <v>#REF!</v>
      </c>
      <c r="BG42" s="611">
        <f>Data!BA485</f>
        <v>33.761809018000001</v>
      </c>
      <c r="BH42" s="612">
        <f>Data!BB485</f>
        <v>27.692097787000002</v>
      </c>
      <c r="BI42" s="612">
        <f>Data!BC485</f>
        <v>13.190925206999999</v>
      </c>
      <c r="BJ42" s="612">
        <f>Data!BD485</f>
        <v>-14.195905985</v>
      </c>
      <c r="BK42" s="611">
        <f>Data!BE485</f>
        <v>34.065047810999999</v>
      </c>
      <c r="BL42" s="612">
        <f>Data!BF485</f>
        <v>9.5434839769999993</v>
      </c>
      <c r="BM42" s="612">
        <f>Data!BG485</f>
        <v>34.369794908000003</v>
      </c>
      <c r="BN42" s="612">
        <f>Data!BH485</f>
        <v>82.751354247999998</v>
      </c>
      <c r="BO42" s="611">
        <f>Data!BI485</f>
        <v>19.137086947</v>
      </c>
      <c r="BP42" s="612">
        <f>Data!BJ485</f>
        <v>28.388165755999999</v>
      </c>
      <c r="BQ42" s="612">
        <f>Data!BK485</f>
        <v>38.544844654999999</v>
      </c>
      <c r="BR42" s="612">
        <f>Data!BL485</f>
        <v>45.331089591000001</v>
      </c>
      <c r="BS42" s="611">
        <f>Data!BM485</f>
        <v>23.250469269</v>
      </c>
      <c r="BT42" s="612">
        <f>Data!BN485</f>
        <v>20.800020851999999</v>
      </c>
      <c r="BU42" s="612">
        <f>Data!BO485</f>
        <v>59.501680278999999</v>
      </c>
      <c r="BV42" s="612">
        <f>Data!BP485</f>
        <v>29.667007221999999</v>
      </c>
      <c r="BW42" s="611">
        <f>Data!BQ485</f>
        <v>31.763099752999999</v>
      </c>
      <c r="BX42" s="612">
        <f>Data!BR485</f>
        <v>39.323957364999998</v>
      </c>
      <c r="BY42" s="612">
        <f>Data!BS485</f>
        <v>46.394199264000001</v>
      </c>
      <c r="BZ42" s="883">
        <f>Data!BT485</f>
        <v>67.004874959999995</v>
      </c>
      <c r="CA42" s="612">
        <f>Data!BU485</f>
        <v>42.879374489</v>
      </c>
      <c r="CB42" s="612">
        <f>Data!BV485</f>
        <v>46.978996702000003</v>
      </c>
      <c r="CC42" s="612">
        <f>Data!BW485</f>
        <v>46.849960697999997</v>
      </c>
      <c r="CD42" s="612">
        <f>Data!BX485</f>
        <v>48.394509126999999</v>
      </c>
      <c r="CE42" s="612">
        <f>Data!BY487</f>
        <v>18.05493152</v>
      </c>
      <c r="CF42" s="612">
        <f>Data!BZ487</f>
        <v>28.515588226999999</v>
      </c>
      <c r="CG42" s="612">
        <f>Data!CA487</f>
        <v>-39.605371196</v>
      </c>
      <c r="CH42" s="612">
        <f>Data!CB485</f>
        <v>37.619999999999997</v>
      </c>
      <c r="CI42" s="612">
        <f>Data!CC485</f>
        <v>30.850132036000002</v>
      </c>
      <c r="CJ42" s="612">
        <f>Data!CD485</f>
        <v>28.751046396</v>
      </c>
      <c r="CK42" s="612">
        <f>Data!CE485</f>
        <v>34.839399620999998</v>
      </c>
      <c r="CL42" s="612">
        <f>Data!CF485</f>
        <v>40.089602923999998</v>
      </c>
      <c r="CM42" s="612">
        <f>Data!CG485</f>
        <v>61.674012142000002</v>
      </c>
      <c r="CN42" s="3388">
        <f t="shared" si="6"/>
        <v>246.69604856800001</v>
      </c>
      <c r="CO42" s="3556">
        <f t="shared" ca="1" si="7"/>
        <v>0.69552723295431806</v>
      </c>
      <c r="CP42" s="3388"/>
      <c r="CQ42" s="3388"/>
      <c r="CR42" s="1444" t="s">
        <v>20</v>
      </c>
      <c r="CS42" s="1862">
        <f>BW42+BX42</f>
        <v>71.08705711799999</v>
      </c>
      <c r="CT42" s="1865">
        <f>CA42+CB42</f>
        <v>89.858371191000003</v>
      </c>
      <c r="CU42" s="1862">
        <f t="shared" si="29"/>
        <v>94.440578052999996</v>
      </c>
      <c r="CV42" s="1862">
        <f t="shared" si="30"/>
        <v>6.9651485509999986</v>
      </c>
      <c r="CW42" s="1865">
        <f>CI42+CJ42</f>
        <v>59.601178431999998</v>
      </c>
      <c r="CX42" s="1865">
        <f>CE42+CF42</f>
        <v>46.570519746999999</v>
      </c>
      <c r="CY42" s="174">
        <f>CW42/CX42-1</f>
        <v>0.27980487990665837</v>
      </c>
      <c r="CZ42" s="1862">
        <f>CJ42</f>
        <v>28.751046396</v>
      </c>
      <c r="DA42" s="883">
        <f>CF42</f>
        <v>28.515588226999999</v>
      </c>
      <c r="DB42" s="3115">
        <f t="shared" si="8"/>
        <v>8.2571738350836199E-3</v>
      </c>
      <c r="DC42" s="624"/>
      <c r="DD42" s="15"/>
      <c r="DE42" s="1008"/>
      <c r="DF42" s="1009"/>
      <c r="DH42" s="657"/>
      <c r="DI42" s="657"/>
      <c r="DO42" s="2423" t="s">
        <v>897</v>
      </c>
      <c r="DP42" s="2409"/>
      <c r="DQ42" s="2425"/>
      <c r="DR42" s="2416"/>
    </row>
    <row r="43" spans="1:148">
      <c r="B43" s="1444" t="s">
        <v>21</v>
      </c>
      <c r="C43" s="380">
        <f>-Data!L346</f>
        <v>112.05054039700001</v>
      </c>
      <c r="D43" s="189">
        <f>-Data!M346</f>
        <v>162.08766890199999</v>
      </c>
      <c r="E43" s="189">
        <f>-Data!N346</f>
        <v>96.627048432999999</v>
      </c>
      <c r="F43" s="189">
        <f>-Data!O346</f>
        <v>97.416623717999997</v>
      </c>
      <c r="G43" s="189">
        <f>-Data!P346</f>
        <v>50.142370454999998</v>
      </c>
      <c r="H43" s="938">
        <f>-Data!Q346</f>
        <v>66.681480754999995</v>
      </c>
      <c r="I43" s="380">
        <f>-Data!R346</f>
        <v>2.6775264089999999</v>
      </c>
      <c r="J43" s="189">
        <f>-Data!S346</f>
        <v>58.026214779</v>
      </c>
      <c r="K43" s="189">
        <f>-Data!T346</f>
        <v>58.599020912999997</v>
      </c>
      <c r="L43" s="189">
        <f>-Data!U346</f>
        <v>24.506873427999999</v>
      </c>
      <c r="M43" s="189">
        <f>-Data!V346</f>
        <v>111.330588573</v>
      </c>
      <c r="N43" s="189">
        <f>-Data!W346</f>
        <v>109.69544678299999</v>
      </c>
      <c r="O43" s="189">
        <f>-Data!X346</f>
        <v>130.86000000000001</v>
      </c>
      <c r="P43" s="189">
        <f>-Data!Y346</f>
        <v>50.94</v>
      </c>
      <c r="Q43" s="1705">
        <f ca="1">Q11*Assumptions!Q51</f>
        <v>74.741763905259944</v>
      </c>
      <c r="R43" s="1705">
        <f ca="1">R11*Assumptions!R51</f>
        <v>87.336824116371446</v>
      </c>
      <c r="S43" s="3521">
        <f ca="1">S11*Assumptions!S51</f>
        <v>101.91798035714724</v>
      </c>
      <c r="T43" s="1705"/>
      <c r="U43" s="2746"/>
      <c r="V43" s="1705">
        <f>V11*Assumptions!AG51</f>
        <v>91.448741683704867</v>
      </c>
      <c r="W43" s="1705">
        <f ca="1">W11*Assumptions!P51</f>
        <v>82.9071699</v>
      </c>
      <c r="Z43" s="110"/>
      <c r="AA43" s="112"/>
      <c r="AB43" s="146"/>
      <c r="AC43" s="102"/>
      <c r="AD43" s="104"/>
      <c r="AE43" s="114"/>
      <c r="AF43" s="73"/>
      <c r="AG43" s="61"/>
      <c r="AH43" s="70"/>
      <c r="AI43" s="71"/>
      <c r="AJ43" s="61"/>
      <c r="AK43" s="61"/>
      <c r="AL43" s="70"/>
      <c r="AM43" s="71"/>
      <c r="AN43" s="61"/>
      <c r="AO43" s="61"/>
      <c r="AP43" s="70"/>
      <c r="AQ43" s="71"/>
      <c r="AR43" s="61"/>
      <c r="AS43" s="61"/>
      <c r="AT43" s="70"/>
      <c r="AU43" s="71"/>
      <c r="AV43" s="61"/>
      <c r="AW43" s="61"/>
      <c r="AX43" s="61"/>
      <c r="AY43" s="71"/>
      <c r="AZ43" s="61"/>
      <c r="BA43" s="61"/>
      <c r="BB43" s="61"/>
      <c r="BC43" s="611" t="e">
        <f>-#REF!</f>
        <v>#REF!</v>
      </c>
      <c r="BD43" s="612" t="e">
        <f>-#REF!</f>
        <v>#REF!</v>
      </c>
      <c r="BE43" s="612" t="e">
        <f>-#REF!</f>
        <v>#REF!</v>
      </c>
      <c r="BF43" s="612" t="e">
        <f>-#REF!</f>
        <v>#REF!</v>
      </c>
      <c r="BG43" s="611">
        <f>-Data!BA486</f>
        <v>24.369541269999999</v>
      </c>
      <c r="BH43" s="612">
        <f>-Data!BB486</f>
        <v>0.92987601099999995</v>
      </c>
      <c r="BI43" s="612">
        <f>-Data!BC486</f>
        <v>19.815203632999999</v>
      </c>
      <c r="BJ43" s="612">
        <f>-Data!BD486</f>
        <v>-42.294318079999996</v>
      </c>
      <c r="BK43" s="611">
        <f>-Data!BE486</f>
        <v>10.932348106999999</v>
      </c>
      <c r="BL43" s="612">
        <f>-Data!BF486</f>
        <v>-4.5496768420000002</v>
      </c>
      <c r="BM43" s="612">
        <f>-Data!BG486</f>
        <v>13.301440288</v>
      </c>
      <c r="BN43" s="612">
        <f>-Data!BH486</f>
        <v>61.262096655999997</v>
      </c>
      <c r="BO43" s="611">
        <f>-Data!BI486</f>
        <v>4.3837037920000004</v>
      </c>
      <c r="BP43" s="612">
        <f>-Data!BJ486</f>
        <v>10.937566638</v>
      </c>
      <c r="BQ43" s="612">
        <f>-Data!BK486</f>
        <v>22.068339874999999</v>
      </c>
      <c r="BR43" s="612">
        <f>-Data!BL486</f>
        <v>21.209410607999999</v>
      </c>
      <c r="BS43" s="611">
        <f>-Data!BM486</f>
        <v>6.5367496669999996</v>
      </c>
      <c r="BT43" s="612">
        <f>-Data!BN486</f>
        <v>4.99519497</v>
      </c>
      <c r="BU43" s="612">
        <f>-Data!BO486</f>
        <v>3.9645026300000001</v>
      </c>
      <c r="BV43" s="612">
        <f>-Data!BP486</f>
        <v>9.0104261609999998</v>
      </c>
      <c r="BW43" s="611">
        <f>-Data!BQ486</f>
        <v>25.415832160000001</v>
      </c>
      <c r="BX43" s="612">
        <f>-Data!BR486</f>
        <v>17.649446735000001</v>
      </c>
      <c r="BY43" s="612">
        <f>-Data!BS486</f>
        <v>12.026921249000001</v>
      </c>
      <c r="BZ43" s="883">
        <f>-Data!BT486</f>
        <v>56.238388428999997</v>
      </c>
      <c r="CA43" s="612">
        <f>-Data!BU486</f>
        <v>19.169009527</v>
      </c>
      <c r="CB43" s="612">
        <f>-Data!BV486</f>
        <v>18.612734627999998</v>
      </c>
      <c r="CC43" s="612">
        <f>-Data!BW486</f>
        <v>56.060532723999998</v>
      </c>
      <c r="CD43" s="612">
        <f>-Data!BX486</f>
        <v>-64.518573767000007</v>
      </c>
      <c r="CE43" s="612">
        <f>-Data!BY485</f>
        <v>-44.782907584999997</v>
      </c>
      <c r="CF43" s="612">
        <f>-Data!BZ485</f>
        <v>-28.515588226999999</v>
      </c>
      <c r="CG43" s="612">
        <f>-Data!CA485</f>
        <v>39.605371196</v>
      </c>
      <c r="CH43" s="612">
        <f>Data!CB486</f>
        <v>68.48</v>
      </c>
      <c r="CI43" s="612">
        <f>Data!CC486</f>
        <v>39.212521539000001</v>
      </c>
      <c r="CJ43" s="612">
        <f>Data!CD486</f>
        <v>-17.127043965999999</v>
      </c>
      <c r="CK43" s="612">
        <f>Data!CE486</f>
        <v>-6.4765342769999998</v>
      </c>
      <c r="CL43" s="612">
        <f>Data!CF486</f>
        <v>-18.969733714</v>
      </c>
      <c r="CM43" s="612">
        <f>Data!CG486</f>
        <v>-5.5935575159999997</v>
      </c>
      <c r="CN43" s="3388">
        <f t="shared" si="6"/>
        <v>-22.374230063999999</v>
      </c>
      <c r="CO43" s="3556">
        <f t="shared" ca="1" si="7"/>
        <v>-3.3405289787164114</v>
      </c>
      <c r="CP43" s="3388"/>
      <c r="CQ43" s="3388"/>
      <c r="CR43" s="1444" t="s">
        <v>21</v>
      </c>
      <c r="CS43" s="1862">
        <f>BW43+BX43</f>
        <v>43.065278895000006</v>
      </c>
      <c r="CT43" s="1865">
        <f>CA43+CB43</f>
        <v>37.781744154999998</v>
      </c>
      <c r="CU43" s="1862">
        <f t="shared" si="29"/>
        <v>15.608943296000003</v>
      </c>
      <c r="CV43" s="1862">
        <f t="shared" si="30"/>
        <v>-33.693124615999992</v>
      </c>
      <c r="CW43" s="1865">
        <f>CI43+CJ43</f>
        <v>22.085477573000002</v>
      </c>
      <c r="CX43" s="1865">
        <f>CE43+CF43</f>
        <v>-73.298495811999999</v>
      </c>
      <c r="CY43" s="174">
        <f>CW43/CX43-1</f>
        <v>-1.3013087421281611</v>
      </c>
      <c r="CZ43" s="1862">
        <f>CJ43</f>
        <v>-17.127043965999999</v>
      </c>
      <c r="DA43" s="883">
        <f>CF43</f>
        <v>-28.515588226999999</v>
      </c>
      <c r="DB43" s="3115">
        <f t="shared" si="8"/>
        <v>-0.39937960144258045</v>
      </c>
      <c r="DC43" s="624"/>
      <c r="DD43" s="15"/>
      <c r="DE43" s="1008"/>
      <c r="DF43" s="1009"/>
      <c r="DH43" s="657"/>
      <c r="DI43" s="657"/>
      <c r="DO43" s="2427" t="s">
        <v>899</v>
      </c>
      <c r="DP43" s="2409">
        <v>3695</v>
      </c>
      <c r="DQ43" s="2409">
        <v>3885</v>
      </c>
      <c r="DR43" s="2416">
        <f>DQ43/DP43-1</f>
        <v>5.1420838971583116E-2</v>
      </c>
    </row>
    <row r="44" spans="1:148">
      <c r="B44" s="943" t="s">
        <v>489</v>
      </c>
      <c r="C44" s="911">
        <f>C42-C43</f>
        <v>55.693497410999996</v>
      </c>
      <c r="D44" s="686">
        <f t="shared" ref="D44:M44" si="143">D42-D43</f>
        <v>42.871639404000007</v>
      </c>
      <c r="E44" s="686">
        <f t="shared" si="143"/>
        <v>70.128590026000012</v>
      </c>
      <c r="F44" s="686">
        <f t="shared" si="143"/>
        <v>49.379442955000016</v>
      </c>
      <c r="G44" s="686">
        <f t="shared" si="143"/>
        <v>49.697469798999997</v>
      </c>
      <c r="H44" s="1079">
        <f t="shared" si="143"/>
        <v>35.165711912000006</v>
      </c>
      <c r="I44" s="911">
        <f t="shared" si="143"/>
        <v>57.771399617999997</v>
      </c>
      <c r="J44" s="686">
        <f t="shared" si="143"/>
        <v>54.657348291999995</v>
      </c>
      <c r="K44" s="686">
        <f t="shared" si="143"/>
        <v>72.802166035999988</v>
      </c>
      <c r="L44" s="686">
        <f t="shared" si="143"/>
        <v>108.71230419399998</v>
      </c>
      <c r="M44" s="686">
        <f t="shared" si="143"/>
        <v>72.993337569000005</v>
      </c>
      <c r="N44" s="686">
        <f t="shared" ref="N44:O44" si="144">N42-N43</f>
        <v>91.260564137000017</v>
      </c>
      <c r="O44" s="686">
        <f t="shared" si="144"/>
        <v>44.589999999999975</v>
      </c>
      <c r="P44" s="686">
        <f t="shared" ref="P44" si="145">P42-P43</f>
        <v>91.949999999999989</v>
      </c>
      <c r="Q44" s="2751">
        <f ca="1">Q42-Q43</f>
        <v>96.842056136005169</v>
      </c>
      <c r="R44" s="129">
        <f ca="1">R42-R43</f>
        <v>110.4982364836286</v>
      </c>
      <c r="S44" s="130">
        <f ca="1">S42-S43</f>
        <v>127.69223922285282</v>
      </c>
      <c r="T44" s="2751"/>
      <c r="U44" s="2745"/>
      <c r="V44" s="129">
        <f>V42-V43</f>
        <v>75.785088316295173</v>
      </c>
      <c r="W44" s="129">
        <f ca="1">W42-W43</f>
        <v>116.0175201</v>
      </c>
      <c r="Z44" s="110"/>
      <c r="AA44" s="131"/>
      <c r="AB44" s="132"/>
      <c r="AC44" s="132"/>
      <c r="AD44" s="133"/>
      <c r="AE44" s="131"/>
      <c r="AF44" s="132"/>
      <c r="AG44" s="132"/>
      <c r="AH44" s="133"/>
      <c r="AI44" s="131"/>
      <c r="AJ44" s="132"/>
      <c r="AK44" s="132"/>
      <c r="AL44" s="133"/>
      <c r="AM44" s="131"/>
      <c r="AN44" s="132"/>
      <c r="AO44" s="132"/>
      <c r="AP44" s="133"/>
      <c r="AQ44" s="131"/>
      <c r="AR44" s="132"/>
      <c r="AS44" s="132"/>
      <c r="AT44" s="132"/>
      <c r="AU44" s="131"/>
      <c r="AV44" s="132"/>
      <c r="AW44" s="132"/>
      <c r="AX44" s="132"/>
      <c r="AY44" s="131"/>
      <c r="AZ44" s="132"/>
      <c r="BA44" s="132"/>
      <c r="BB44" s="132"/>
      <c r="BC44" s="631" t="e">
        <f>BC42-BC43</f>
        <v>#REF!</v>
      </c>
      <c r="BD44" s="632" t="e">
        <f>BD42-BD43</f>
        <v>#REF!</v>
      </c>
      <c r="BE44" s="632" t="e">
        <f>BE42-BE43</f>
        <v>#REF!</v>
      </c>
      <c r="BF44" s="632" t="e">
        <f>BF42-BF43</f>
        <v>#REF!</v>
      </c>
      <c r="BG44" s="632">
        <f>Data!BA487</f>
        <v>9.3922677480000001</v>
      </c>
      <c r="BH44" s="632">
        <f>Data!BB487</f>
        <v>26.762221776000001</v>
      </c>
      <c r="BI44" s="632">
        <f>Data!BC487</f>
        <v>-6.6242784260000001</v>
      </c>
      <c r="BJ44" s="632">
        <f>Data!BD487</f>
        <v>28.098412095</v>
      </c>
      <c r="BK44" s="632">
        <f>Data!BE487</f>
        <v>23.132699704</v>
      </c>
      <c r="BL44" s="632">
        <f>Data!BF487</f>
        <v>14.093160819</v>
      </c>
      <c r="BM44" s="632">
        <f>Data!BG487</f>
        <v>21.068354620000001</v>
      </c>
      <c r="BN44" s="632">
        <f>Data!BH487</f>
        <v>21.489257592000001</v>
      </c>
      <c r="BO44" s="632">
        <f>Data!BI487</f>
        <v>14.753383155</v>
      </c>
      <c r="BP44" s="632">
        <f>Data!BJ487</f>
        <v>17.450599118</v>
      </c>
      <c r="BQ44" s="632">
        <f>Data!BK487</f>
        <v>16.476504779999999</v>
      </c>
      <c r="BR44" s="632">
        <f>Data!BL487</f>
        <v>24.121678982999999</v>
      </c>
      <c r="BS44" s="632">
        <f>Data!BM487</f>
        <v>16.713719602000001</v>
      </c>
      <c r="BT44" s="632">
        <f>Data!BN487</f>
        <v>15.804825881999999</v>
      </c>
      <c r="BU44" s="632">
        <f>Data!BO487</f>
        <v>55.537177649</v>
      </c>
      <c r="BV44" s="632">
        <f>Data!BP487</f>
        <v>20.656581061000001</v>
      </c>
      <c r="BW44" s="632">
        <f>Data!BQ487</f>
        <v>6.3472675929999998</v>
      </c>
      <c r="BX44" s="632">
        <f>Data!BR487</f>
        <v>21.67451063</v>
      </c>
      <c r="BY44" s="632">
        <f>Data!BS487</f>
        <v>34.367278014999997</v>
      </c>
      <c r="BZ44" s="632">
        <f>Data!BT487</f>
        <v>10.766486531</v>
      </c>
      <c r="CA44" s="632">
        <f>Data!BU487</f>
        <v>23.710364962</v>
      </c>
      <c r="CB44" s="632">
        <f>Data!BV487</f>
        <v>28.366262074000002</v>
      </c>
      <c r="CC44" s="632">
        <f>Data!BW487</f>
        <v>-9.2105720259999995</v>
      </c>
      <c r="CD44" s="632">
        <f>Data!BX487</f>
        <v>48.394509126999999</v>
      </c>
      <c r="CE44" s="632">
        <f>Data!BY487</f>
        <v>18.05493152</v>
      </c>
      <c r="CF44" s="632">
        <f>Data!BZ487</f>
        <v>28.515588226999999</v>
      </c>
      <c r="CG44" s="632">
        <f>Data!CA487</f>
        <v>-39.605371196</v>
      </c>
      <c r="CH44" s="632">
        <f>Data!CB487</f>
        <v>37.620496312999997</v>
      </c>
      <c r="CI44" s="632">
        <f>Data!CC487</f>
        <v>30.850132036000002</v>
      </c>
      <c r="CJ44" s="632">
        <f>Data!CD487</f>
        <v>11.624002430000001</v>
      </c>
      <c r="CK44" s="632">
        <f>Data!CE487</f>
        <v>28.362865343999999</v>
      </c>
      <c r="CL44" s="632">
        <f>Data!CF487</f>
        <v>21.119869210000001</v>
      </c>
      <c r="CM44" s="632">
        <f>Data!CG487</f>
        <v>56.080454625999998</v>
      </c>
      <c r="CN44" s="3388">
        <f t="shared" si="6"/>
        <v>224.32181850399999</v>
      </c>
      <c r="CO44" s="3556">
        <f t="shared" ca="1" si="7"/>
        <v>0.43171037388089972</v>
      </c>
      <c r="CP44" s="3388"/>
      <c r="CQ44" s="3388"/>
      <c r="CR44" s="943" t="s">
        <v>489</v>
      </c>
      <c r="CS44" s="1862">
        <f>BW44+BX44</f>
        <v>28.021778222999998</v>
      </c>
      <c r="CT44" s="1873">
        <f>CA44+CB44</f>
        <v>52.076627036000005</v>
      </c>
      <c r="CU44" s="1862">
        <f t="shared" si="29"/>
        <v>70.836999810000009</v>
      </c>
      <c r="CV44" s="1862">
        <f t="shared" si="30"/>
        <v>6.9651485509999986</v>
      </c>
      <c r="CW44" s="1873">
        <f>CI44+CJ44</f>
        <v>42.474134466000002</v>
      </c>
      <c r="CX44" s="3172">
        <f>CE44+CF44</f>
        <v>46.570519746999999</v>
      </c>
      <c r="CY44" s="174">
        <f>CW44/CX44-1</f>
        <v>-8.7960909675350529E-2</v>
      </c>
      <c r="CZ44" s="1862">
        <f>CJ44</f>
        <v>11.624002430000001</v>
      </c>
      <c r="DA44" s="883">
        <f>CF44</f>
        <v>28.515588226999999</v>
      </c>
      <c r="DB44" s="3115">
        <f t="shared" si="8"/>
        <v>-0.59236322472233593</v>
      </c>
      <c r="DC44" s="624"/>
      <c r="DD44" s="132"/>
      <c r="DE44" s="1006">
        <f>SUM(BW44)</f>
        <v>6.3472675929999998</v>
      </c>
      <c r="DF44" s="1007">
        <f>SUM(CA44)</f>
        <v>23.710364962</v>
      </c>
      <c r="DG44" s="43">
        <f>DF44/DE44-1</f>
        <v>2.7355231388304255</v>
      </c>
      <c r="DH44" s="657"/>
      <c r="DI44" s="657"/>
      <c r="DO44" s="2427" t="s">
        <v>1664</v>
      </c>
      <c r="DP44" s="2409">
        <v>95</v>
      </c>
      <c r="DQ44" s="2409">
        <v>127</v>
      </c>
      <c r="DR44" s="2416">
        <f>DQ44/DP44-1</f>
        <v>0.33684210526315783</v>
      </c>
    </row>
    <row r="45" spans="1:148" s="16" customFormat="1">
      <c r="A45" s="2521" t="s">
        <v>2032</v>
      </c>
      <c r="B45" s="943" t="s">
        <v>499</v>
      </c>
      <c r="C45" s="911">
        <f>Data!L341+Data!L348</f>
        <v>32.661858396</v>
      </c>
      <c r="D45" s="686">
        <f>Data!M341+Data!M348</f>
        <v>21.520886280999999</v>
      </c>
      <c r="E45" s="686">
        <f>Data!N341+Data!N348</f>
        <v>40.858599445000003</v>
      </c>
      <c r="F45" s="686">
        <f>Data!O341+Data!O348</f>
        <v>34.474687218</v>
      </c>
      <c r="G45" s="686">
        <f>Data!P341+Data!P348</f>
        <v>35.13336237</v>
      </c>
      <c r="H45" s="1079">
        <f>Data!Q341+Data!Q348</f>
        <v>71.085355122999999</v>
      </c>
      <c r="I45" s="911">
        <f>Data!R341+Data!R348</f>
        <v>439.02711468899997</v>
      </c>
      <c r="J45" s="686">
        <f>Data!S341+Data!S348</f>
        <v>404.92746631300002</v>
      </c>
      <c r="K45" s="686">
        <f>Data!T341+Data!T348</f>
        <v>312.19357217800001</v>
      </c>
      <c r="L45" s="686">
        <f>Data!U341+Data!U348</f>
        <v>686.86468111900001</v>
      </c>
      <c r="M45" s="686">
        <f>Data!V341+Data!V348</f>
        <v>483.59804840100003</v>
      </c>
      <c r="N45" s="686">
        <f>Data!W341+Data!W348</f>
        <v>42.347008961</v>
      </c>
      <c r="O45" s="686">
        <f>Data!X341+Data!X348</f>
        <v>392.53</v>
      </c>
      <c r="P45" s="686">
        <f>Data!Y341+Data!Y348</f>
        <v>658.02</v>
      </c>
      <c r="Q45" s="1845">
        <f ca="1">Q9*Scenarios!H43</f>
        <v>2859.7303340210856</v>
      </c>
      <c r="R45" s="1845">
        <f ca="1">R9*Scenarios!I43</f>
        <v>3099.4159494000005</v>
      </c>
      <c r="S45" s="3526">
        <f ca="1">S9*Scenarios!J43</f>
        <v>3597.2267734200009</v>
      </c>
      <c r="T45" s="1845"/>
      <c r="U45" s="2745"/>
      <c r="V45" s="1845">
        <f>AVERAGE(K45:N45)/3</f>
        <v>127.08360922158333</v>
      </c>
      <c r="W45" s="1845">
        <f ca="1">W9*Scenarios!G43</f>
        <v>663.08229999999992</v>
      </c>
      <c r="Z45" s="129"/>
      <c r="AA45" s="384"/>
      <c r="AC45" s="94"/>
      <c r="AD45" s="385"/>
      <c r="AE45" s="386"/>
      <c r="AG45" s="94"/>
      <c r="AH45" s="95"/>
      <c r="AI45" s="96"/>
      <c r="AJ45" s="94"/>
      <c r="AK45" s="94"/>
      <c r="AL45" s="95"/>
      <c r="AM45" s="96"/>
      <c r="AN45" s="94"/>
      <c r="AO45" s="94"/>
      <c r="AP45" s="95"/>
      <c r="AQ45" s="96"/>
      <c r="AR45" s="94"/>
      <c r="AS45" s="94"/>
      <c r="AT45" s="95"/>
      <c r="AU45" s="96"/>
      <c r="AV45" s="94"/>
      <c r="AW45" s="94"/>
      <c r="AX45" s="94"/>
      <c r="AY45" s="96"/>
      <c r="AZ45" s="94"/>
      <c r="BA45" s="94"/>
      <c r="BB45" s="94"/>
      <c r="BC45" s="615" t="e">
        <f>#REF!+#REF!</f>
        <v>#REF!</v>
      </c>
      <c r="BD45" s="616" t="e">
        <f>#REF!+#REF!</f>
        <v>#REF!</v>
      </c>
      <c r="BE45" s="616" t="e">
        <f>#REF!+#REF!</f>
        <v>#REF!</v>
      </c>
      <c r="BF45" s="616" t="e">
        <f>#REF!+#REF!</f>
        <v>#REF!</v>
      </c>
      <c r="BG45" s="615">
        <f>Data!BA481+Data!BA488</f>
        <v>97.762341652000003</v>
      </c>
      <c r="BH45" s="616">
        <f>Data!BB481+Data!BB488</f>
        <v>117.921377105</v>
      </c>
      <c r="BI45" s="616">
        <f>Data!BC481+Data!BC488</f>
        <v>112.620018554</v>
      </c>
      <c r="BJ45" s="616">
        <f>Data!BD481+Data!BD488</f>
        <v>110.723377378</v>
      </c>
      <c r="BK45" s="615">
        <f>Data!BE481+Data!BE488</f>
        <v>94.803959655</v>
      </c>
      <c r="BL45" s="616">
        <f>Data!BF481+Data!BF488</f>
        <v>124.252626107</v>
      </c>
      <c r="BM45" s="616">
        <f>Data!BG481+Data!BG488</f>
        <v>119.41368411800001</v>
      </c>
      <c r="BN45" s="616">
        <f>Data!BH481+Data!BH488</f>
        <v>66.457196432999993</v>
      </c>
      <c r="BO45" s="615">
        <f>Data!BI481+Data!BI488</f>
        <v>80.123998401999998</v>
      </c>
      <c r="BP45" s="616">
        <f>Data!BJ481+Data!BJ488</f>
        <v>69.375800440999996</v>
      </c>
      <c r="BQ45" s="616">
        <f>Data!BK481+Data!BK488</f>
        <v>67.778123792000002</v>
      </c>
      <c r="BR45" s="616">
        <f>Data!BL481+Data!BL488</f>
        <v>94.915649543000001</v>
      </c>
      <c r="BS45" s="615">
        <f>Data!BM481+Data!BM488</f>
        <v>115.085619364</v>
      </c>
      <c r="BT45" s="616">
        <f>Data!BN481+Data!BN488</f>
        <v>149.843474585</v>
      </c>
      <c r="BU45" s="616">
        <f>Data!BO481+Data!BO488</f>
        <v>147.867487076</v>
      </c>
      <c r="BV45" s="616">
        <f>Data!BP481+Data!BP488</f>
        <v>272.53338029899999</v>
      </c>
      <c r="BW45" s="615">
        <f>Data!BQ481+Data!BQ488</f>
        <v>208.830242201</v>
      </c>
      <c r="BX45" s="616">
        <f>Data!BR481+Data!BR488</f>
        <v>86.152785186000003</v>
      </c>
      <c r="BY45" s="616">
        <f>Data!BS481+Data!BS488</f>
        <v>91.215132079</v>
      </c>
      <c r="BZ45" s="885">
        <f>Data!BT481+Data!BT488</f>
        <v>98.197938511999993</v>
      </c>
      <c r="CA45" s="616">
        <f>Data!BU481+Data!BU488</f>
        <v>43.757073943999998</v>
      </c>
      <c r="CB45" s="616">
        <f>Data!BV481+Data!BV488</f>
        <v>-65.748307686999993</v>
      </c>
      <c r="CC45" s="616">
        <f>Data!BW481+Data!BW488</f>
        <v>39.896110382000003</v>
      </c>
      <c r="CD45" s="616">
        <f>Data!BX481+Data!BX488</f>
        <v>58.146301170000001</v>
      </c>
      <c r="CE45" s="616">
        <f>Data!BY481+Data!BY488</f>
        <v>74.454138017000005</v>
      </c>
      <c r="CF45" s="616">
        <f>Data!BZ481+Data!BZ488</f>
        <v>58.601427291999997</v>
      </c>
      <c r="CG45" s="616">
        <f>Data!CA481+Data!CA488</f>
        <v>142.580948775</v>
      </c>
      <c r="CH45" s="616">
        <f>Data!CB481+Data!CB488</f>
        <v>116.89</v>
      </c>
      <c r="CI45" s="616">
        <f>Data!CC481+Data!CC488</f>
        <v>136.730336838</v>
      </c>
      <c r="CJ45" s="616">
        <f>Data!CD481+Data!CD488</f>
        <v>106.714935715</v>
      </c>
      <c r="CK45" s="616">
        <f>Data!CE481+Data!CE488</f>
        <v>130.83342558699999</v>
      </c>
      <c r="CL45" s="616">
        <f>Data!CF481+Data!CF488</f>
        <v>283.74613717400001</v>
      </c>
      <c r="CM45" s="616">
        <f>Data!CG481+Data!CG488</f>
        <v>666.84127014700005</v>
      </c>
      <c r="CN45" s="3388">
        <f t="shared" si="6"/>
        <v>2667.3650805880002</v>
      </c>
      <c r="CO45" s="3556">
        <f t="shared" ca="1" si="7"/>
        <v>1.0721180819352558</v>
      </c>
      <c r="CP45" s="3585">
        <f>CM45/CL45-1</f>
        <v>1.3501333860910916</v>
      </c>
      <c r="CQ45" s="3388"/>
      <c r="CR45" s="943" t="s">
        <v>499</v>
      </c>
      <c r="CS45" s="1862">
        <f>BW45+BX45</f>
        <v>294.98302738699999</v>
      </c>
      <c r="CT45" s="1865">
        <f>CA45+CB45</f>
        <v>-21.991233742999995</v>
      </c>
      <c r="CU45" s="1862">
        <f t="shared" si="29"/>
        <v>374.27869813999996</v>
      </c>
      <c r="CV45" s="1862">
        <f t="shared" si="30"/>
        <v>275.636514084</v>
      </c>
      <c r="CW45" s="1873">
        <f>CI45+CJ45</f>
        <v>243.445272553</v>
      </c>
      <c r="CX45" s="1873">
        <f>CE45+CF45</f>
        <v>133.055565309</v>
      </c>
      <c r="CY45" s="24">
        <f>CW45/CX45-1</f>
        <v>0.82965118360617063</v>
      </c>
      <c r="CZ45" s="1862">
        <f>CJ45</f>
        <v>106.714935715</v>
      </c>
      <c r="DA45" s="883">
        <f>CF45</f>
        <v>58.601427291999997</v>
      </c>
      <c r="DB45" s="3115">
        <f t="shared" si="8"/>
        <v>0.82102963436810761</v>
      </c>
      <c r="DC45" s="624"/>
      <c r="DD45" s="200"/>
      <c r="DE45" s="1030"/>
      <c r="DF45" s="1031"/>
      <c r="DG45" s="387"/>
      <c r="DH45" s="665"/>
      <c r="DI45" s="665"/>
      <c r="DJ45" s="388"/>
      <c r="DK45" s="388"/>
      <c r="DL45" s="388"/>
      <c r="DM45" s="388"/>
      <c r="DN45" s="388"/>
      <c r="DO45" s="2423" t="s">
        <v>882</v>
      </c>
      <c r="DP45" s="2409">
        <v>1048</v>
      </c>
      <c r="DQ45" s="2409">
        <v>1609</v>
      </c>
      <c r="DR45" s="2416">
        <f>DQ45/DP45-1</f>
        <v>0.53530534351145032</v>
      </c>
      <c r="DS45" s="10"/>
      <c r="DT45" s="10"/>
      <c r="DU45" s="10"/>
      <c r="DV45" s="10"/>
      <c r="DW45" s="10"/>
      <c r="DX45" s="10"/>
      <c r="DY45" s="10"/>
      <c r="DZ45" s="10"/>
      <c r="EA45" s="15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N45" s="10"/>
      <c r="EO45" s="10"/>
      <c r="EP45" s="10"/>
    </row>
    <row r="46" spans="1:148">
      <c r="B46" s="941" t="s">
        <v>2005</v>
      </c>
      <c r="C46" s="380"/>
      <c r="D46" s="86">
        <f>D45/D47</f>
        <v>8.5548694949676013E-3</v>
      </c>
      <c r="E46" s="86">
        <f t="shared" ref="E46:S46" si="146">E45/E47</f>
        <v>1.6614426375259516E-2</v>
      </c>
      <c r="F46" s="86">
        <f t="shared" si="146"/>
        <v>1.2091507424239428E-2</v>
      </c>
      <c r="G46" s="86">
        <f t="shared" si="146"/>
        <v>1.1657114674601537E-2</v>
      </c>
      <c r="H46" s="86">
        <f t="shared" si="146"/>
        <v>1.6705849012867459E-2</v>
      </c>
      <c r="I46" s="86">
        <f t="shared" si="146"/>
        <v>0.11380828076664193</v>
      </c>
      <c r="J46" s="86">
        <f t="shared" si="146"/>
        <v>8.6809908370585928E-2</v>
      </c>
      <c r="K46" s="86">
        <f t="shared" si="146"/>
        <v>5.9313412102714985E-2</v>
      </c>
      <c r="L46" s="86">
        <f t="shared" si="146"/>
        <v>0.10838603531671695</v>
      </c>
      <c r="M46" s="86">
        <f t="shared" si="146"/>
        <v>6.3114094184871183E-2</v>
      </c>
      <c r="N46" s="86">
        <f t="shared" si="146"/>
        <v>4.6014322393614481E-3</v>
      </c>
      <c r="O46" s="86">
        <f t="shared" si="146"/>
        <v>3.5459987027605167E-2</v>
      </c>
      <c r="P46" s="86">
        <f t="shared" si="146"/>
        <v>5.010157061365704E-2</v>
      </c>
      <c r="Q46" s="86">
        <f t="shared" ca="1" si="146"/>
        <v>0.21547382577874544</v>
      </c>
      <c r="R46" s="86">
        <f t="shared" ca="1" si="146"/>
        <v>0.20640183439958917</v>
      </c>
      <c r="S46" s="3510">
        <f t="shared" ca="1" si="146"/>
        <v>0.21141841191617108</v>
      </c>
      <c r="T46" s="2717"/>
      <c r="U46" s="2717">
        <f ca="1">Q45/P45-1</f>
        <v>3.3459626364260746</v>
      </c>
      <c r="V46" s="86">
        <f>V45/N45-1</f>
        <v>2.0010055571722325</v>
      </c>
      <c r="W46" s="86">
        <f ca="1">W45/O45-1</f>
        <v>0.68925254120704138</v>
      </c>
      <c r="Z46" s="110"/>
      <c r="AA46" s="60"/>
      <c r="AB46" s="10"/>
      <c r="AC46" s="61"/>
      <c r="AD46" s="158"/>
      <c r="AE46" s="159"/>
      <c r="AG46" s="61"/>
      <c r="AH46" s="70"/>
      <c r="AI46" s="71"/>
      <c r="AJ46" s="61"/>
      <c r="AK46" s="61"/>
      <c r="AL46" s="70"/>
      <c r="AM46" s="71"/>
      <c r="AN46" s="61"/>
      <c r="AO46" s="61"/>
      <c r="AP46" s="70"/>
      <c r="AQ46" s="71"/>
      <c r="AR46" s="61"/>
      <c r="AS46" s="61"/>
      <c r="AT46" s="70"/>
      <c r="AU46" s="71"/>
      <c r="AV46" s="61"/>
      <c r="AW46" s="61"/>
      <c r="AX46" s="61"/>
      <c r="AY46" s="71"/>
      <c r="AZ46" s="61"/>
      <c r="BA46" s="61"/>
      <c r="BB46" s="61"/>
      <c r="BC46" s="611"/>
      <c r="BD46" s="612"/>
      <c r="BE46" s="612"/>
      <c r="BF46" s="612"/>
      <c r="BG46" s="611"/>
      <c r="BH46" s="612"/>
      <c r="BI46" s="612"/>
      <c r="BJ46" s="612"/>
      <c r="BK46" s="611"/>
      <c r="BL46" s="612"/>
      <c r="BM46" s="612"/>
      <c r="BN46" s="612"/>
      <c r="BO46" s="611"/>
      <c r="BP46" s="612"/>
      <c r="BQ46" s="612"/>
      <c r="BR46" s="612"/>
      <c r="BS46" s="611"/>
      <c r="BT46" s="612"/>
      <c r="BU46" s="612"/>
      <c r="BV46" s="612"/>
      <c r="BW46" s="611"/>
      <c r="BX46" s="612"/>
      <c r="BY46" s="612"/>
      <c r="BZ46" s="883"/>
      <c r="CA46" s="612"/>
      <c r="CB46" s="612"/>
      <c r="CC46" s="612"/>
      <c r="CD46" s="612"/>
      <c r="CE46" s="612"/>
      <c r="CF46" s="612"/>
      <c r="CG46" s="612"/>
      <c r="CH46" s="612"/>
      <c r="CI46" s="612"/>
      <c r="CJ46" s="612"/>
      <c r="CK46" s="612"/>
      <c r="CL46" s="612"/>
      <c r="CM46" s="612"/>
      <c r="CN46" s="3388">
        <f t="shared" si="6"/>
        <v>0</v>
      </c>
      <c r="CO46" s="3556" t="e">
        <f t="shared" ca="1" si="7"/>
        <v>#DIV/0!</v>
      </c>
      <c r="CP46" s="3388"/>
      <c r="CQ46" s="3388"/>
      <c r="CR46" s="941" t="s">
        <v>14</v>
      </c>
      <c r="CS46" s="1862"/>
      <c r="CT46" s="1862"/>
      <c r="CU46" s="3401"/>
      <c r="CV46" s="1862"/>
      <c r="CW46" s="1862"/>
      <c r="CX46" s="1862"/>
      <c r="CY46" s="174"/>
      <c r="CZ46" s="1862"/>
      <c r="DA46" s="883"/>
      <c r="DB46" s="3115"/>
      <c r="DC46" s="612"/>
      <c r="DD46" s="15"/>
      <c r="DE46" s="1008"/>
      <c r="DF46" s="1009"/>
      <c r="DH46" s="657"/>
      <c r="DI46" s="657"/>
      <c r="DO46" s="2408" t="s">
        <v>1665</v>
      </c>
      <c r="DP46" s="2409">
        <f>Data!BU515</f>
        <v>0</v>
      </c>
      <c r="DQ46" s="2409">
        <f>Data!BY515</f>
        <v>0</v>
      </c>
      <c r="DR46" s="2416"/>
      <c r="EP46" s="16"/>
    </row>
    <row r="47" spans="1:148">
      <c r="B47" s="947" t="s">
        <v>22</v>
      </c>
      <c r="C47" s="911">
        <f>C24+C39+C44+C45</f>
        <v>2406.5606092840007</v>
      </c>
      <c r="D47" s="686">
        <f t="shared" ref="D47:L47" si="147">D24+D39+D44+D45</f>
        <v>2515.6299922119974</v>
      </c>
      <c r="E47" s="686">
        <f t="shared" si="147"/>
        <v>2459.2242020369958</v>
      </c>
      <c r="F47" s="686">
        <f t="shared" si="147"/>
        <v>2851.1488277209987</v>
      </c>
      <c r="G47" s="686">
        <f t="shared" si="147"/>
        <v>3013.8986662410034</v>
      </c>
      <c r="H47" s="1079">
        <f t="shared" si="147"/>
        <v>4255.1177775069946</v>
      </c>
      <c r="I47" s="911">
        <f t="shared" si="147"/>
        <v>3857.6025552060019</v>
      </c>
      <c r="J47" s="686">
        <f t="shared" si="147"/>
        <v>4664.5305117059988</v>
      </c>
      <c r="K47" s="686">
        <f t="shared" si="147"/>
        <v>5263.4566299669987</v>
      </c>
      <c r="L47" s="686">
        <f t="shared" si="147"/>
        <v>6337.2064409580007</v>
      </c>
      <c r="M47" s="686">
        <f t="shared" ref="M47" si="148">M24+M39+M44+M45</f>
        <v>7662.2829598800017</v>
      </c>
      <c r="N47" s="686">
        <f t="shared" ref="N47:O47" si="149">N24+N39+N44+N45</f>
        <v>9203.0060985699965</v>
      </c>
      <c r="O47" s="686">
        <f t="shared" si="149"/>
        <v>11069.660000000005</v>
      </c>
      <c r="P47" s="686">
        <f t="shared" ref="P47" si="150">P24+P39+P44+P45</f>
        <v>13133.720000000005</v>
      </c>
      <c r="Q47" s="3273">
        <f ca="1">Q24+Q39+Q44+Q45</f>
        <v>13271.82233705516</v>
      </c>
      <c r="R47" s="160">
        <f ca="1">R24+R39+R44+R45</f>
        <v>15016.416682613406</v>
      </c>
      <c r="S47" s="3527">
        <f ca="1">S24+S39+S44+S45</f>
        <v>17014.72800224385</v>
      </c>
      <c r="T47" s="3273"/>
      <c r="U47" s="2745"/>
      <c r="V47" s="160">
        <f>V24+V39+V44+V45</f>
        <v>7211.7715219712236</v>
      </c>
      <c r="W47" s="160">
        <f ca="1">W24+W39+W44+W45</f>
        <v>11045.934270099999</v>
      </c>
      <c r="Z47" s="41"/>
      <c r="AA47" s="131"/>
      <c r="AB47" s="132"/>
      <c r="AC47" s="132"/>
      <c r="AD47" s="133"/>
      <c r="AE47" s="131"/>
      <c r="AF47" s="132"/>
      <c r="AG47" s="132"/>
      <c r="AH47" s="133"/>
      <c r="AI47" s="131"/>
      <c r="AJ47" s="132"/>
      <c r="AK47" s="132"/>
      <c r="AL47" s="133"/>
      <c r="AM47" s="131"/>
      <c r="AN47" s="132"/>
      <c r="AO47" s="132"/>
      <c r="AP47" s="133"/>
      <c r="AQ47" s="131"/>
      <c r="AR47" s="132"/>
      <c r="AS47" s="132"/>
      <c r="AT47" s="132"/>
      <c r="AU47" s="131"/>
      <c r="AV47" s="132"/>
      <c r="AW47" s="132"/>
      <c r="AX47" s="132"/>
      <c r="AY47" s="131"/>
      <c r="AZ47" s="132"/>
      <c r="BA47" s="132"/>
      <c r="BB47" s="132"/>
      <c r="BC47" s="631" t="e">
        <f>BC24+BC39+BC44+BC45</f>
        <v>#REF!</v>
      </c>
      <c r="BD47" s="632" t="e">
        <f>BD24+BD39+BD44+BD45</f>
        <v>#REF!</v>
      </c>
      <c r="BE47" s="632" t="e">
        <f>BE24+BE39+BE44+BE45</f>
        <v>#REF!</v>
      </c>
      <c r="BF47" s="632" t="e">
        <f>BF24+BF39+BF44+BF45</f>
        <v>#REF!</v>
      </c>
      <c r="BG47" s="631">
        <f>BG24+BG39+BG44+BG45</f>
        <v>780.77821085199992</v>
      </c>
      <c r="BH47" s="632">
        <f t="shared" ref="BH47:CI47" si="151">BH24+BH39+BH44+BH45</f>
        <v>906.31422034900015</v>
      </c>
      <c r="BI47" s="632">
        <f t="shared" si="151"/>
        <v>1050.6769260029998</v>
      </c>
      <c r="BJ47" s="632">
        <f t="shared" si="151"/>
        <v>1114.5330033659998</v>
      </c>
      <c r="BK47" s="631">
        <f t="shared" si="151"/>
        <v>960.36672161499985</v>
      </c>
      <c r="BL47" s="632">
        <f t="shared" si="151"/>
        <v>1178.6287503000005</v>
      </c>
      <c r="BM47" s="632">
        <f t="shared" si="151"/>
        <v>1368.4710278709999</v>
      </c>
      <c r="BN47" s="632">
        <f t="shared" si="151"/>
        <v>1157.0640118879999</v>
      </c>
      <c r="BO47" s="631">
        <f>BO24+BO39+BO44+BO45</f>
        <v>1142.289868827</v>
      </c>
      <c r="BP47" s="632">
        <f t="shared" si="151"/>
        <v>1285.4931080029999</v>
      </c>
      <c r="BQ47" s="632">
        <f t="shared" si="151"/>
        <v>1385.878971886</v>
      </c>
      <c r="BR47" s="632">
        <f t="shared" si="151"/>
        <v>1447.3200404020001</v>
      </c>
      <c r="BS47" s="631">
        <f t="shared" si="151"/>
        <v>1396.7512113370001</v>
      </c>
      <c r="BT47" s="632">
        <f t="shared" si="151"/>
        <v>1539.464518474</v>
      </c>
      <c r="BU47" s="632">
        <f t="shared" si="151"/>
        <v>1638.5727718840003</v>
      </c>
      <c r="BV47" s="632">
        <f t="shared" si="151"/>
        <v>1760.4022254669999</v>
      </c>
      <c r="BW47" s="631">
        <f t="shared" si="151"/>
        <v>1779.04784668</v>
      </c>
      <c r="BX47" s="632">
        <f t="shared" si="151"/>
        <v>1857.8446263870001</v>
      </c>
      <c r="BY47" s="632">
        <f t="shared" si="151"/>
        <v>2028.0248199239995</v>
      </c>
      <c r="BZ47" s="891">
        <f t="shared" si="151"/>
        <v>1989.0286309140001</v>
      </c>
      <c r="CA47" s="632">
        <f t="shared" si="151"/>
        <v>2120.6436470979993</v>
      </c>
      <c r="CB47" s="632">
        <f t="shared" si="151"/>
        <v>2218.1326333470001</v>
      </c>
      <c r="CC47" s="632">
        <f t="shared" si="151"/>
        <v>2429.150459859</v>
      </c>
      <c r="CD47" s="632">
        <f t="shared" si="151"/>
        <v>2435.0927995910001</v>
      </c>
      <c r="CE47" s="632">
        <f t="shared" si="151"/>
        <v>2533.5820545519996</v>
      </c>
      <c r="CF47" s="632">
        <f t="shared" si="151"/>
        <v>2668.9685518240003</v>
      </c>
      <c r="CG47" s="632">
        <f t="shared" si="151"/>
        <v>2908.6206333740006</v>
      </c>
      <c r="CH47" s="632">
        <f t="shared" si="151"/>
        <v>2958.4804963129991</v>
      </c>
      <c r="CI47" s="632">
        <f t="shared" si="151"/>
        <v>3024.6935108489997</v>
      </c>
      <c r="CJ47" s="632">
        <f>CJ24+CJ39+CJ44+CJ45</f>
        <v>3141.0032616349995</v>
      </c>
      <c r="CK47" s="632">
        <f>CK24+CK39+CK44+CK45</f>
        <v>3374.7385980899999</v>
      </c>
      <c r="CL47" s="632">
        <f>CL24+CL39+CL44+CL45</f>
        <v>3503.1681403970001</v>
      </c>
      <c r="CM47" s="632">
        <f>CM24+CM39+CM44+CM45</f>
        <v>2803.8442816760007</v>
      </c>
      <c r="CN47" s="3388">
        <f t="shared" si="6"/>
        <v>11215.377126704003</v>
      </c>
      <c r="CO47" s="3556">
        <f t="shared" ca="1" si="7"/>
        <v>1.1833594347402485</v>
      </c>
      <c r="CP47" s="3388"/>
      <c r="CQ47" s="3388"/>
      <c r="CR47" s="947" t="s">
        <v>22</v>
      </c>
      <c r="CS47" s="1862">
        <f>BW47+BX47</f>
        <v>3636.8924730670001</v>
      </c>
      <c r="CT47" s="1865">
        <f>CA47+CB47</f>
        <v>4338.7762804449994</v>
      </c>
      <c r="CU47" s="1862">
        <f t="shared" si="29"/>
        <v>9540.4353705739995</v>
      </c>
      <c r="CV47" s="1862">
        <f t="shared" si="30"/>
        <v>8111.1712397500014</v>
      </c>
      <c r="CW47" s="1865">
        <f>CI47+CJ47</f>
        <v>6165.6967724839997</v>
      </c>
      <c r="CX47" s="3170">
        <f>CE47+CF47</f>
        <v>5202.5506063760004</v>
      </c>
      <c r="CY47" s="174">
        <f>CW47/CX47-1</f>
        <v>0.18512961025840147</v>
      </c>
      <c r="CZ47" s="1862">
        <f>CJ47</f>
        <v>3141.0032616349995</v>
      </c>
      <c r="DA47" s="883">
        <f>CF47</f>
        <v>2668.9685518240003</v>
      </c>
      <c r="DB47" s="3115">
        <f t="shared" si="8"/>
        <v>0.17686034909943249</v>
      </c>
      <c r="DC47" s="624"/>
      <c r="DD47" s="115"/>
      <c r="DE47" s="1006">
        <f>SUM(BW47)</f>
        <v>1779.04784668</v>
      </c>
      <c r="DF47" s="1007">
        <f>SUM(CA47)</f>
        <v>2120.6436470979993</v>
      </c>
      <c r="DG47" s="43">
        <f>DF47/DE47-1</f>
        <v>0.19201046281890277</v>
      </c>
      <c r="DH47" s="861">
        <v>7618</v>
      </c>
      <c r="DI47" s="861"/>
      <c r="DJ47" s="44" t="e">
        <f>DF47/DI47</f>
        <v>#DIV/0!</v>
      </c>
      <c r="DO47" s="2423" t="s">
        <v>921</v>
      </c>
      <c r="DP47" s="2415"/>
      <c r="DQ47" s="2415"/>
      <c r="DR47" s="2416"/>
      <c r="DS47" s="16"/>
      <c r="DT47" s="16"/>
      <c r="DU47" s="16"/>
      <c r="DV47" s="16"/>
      <c r="DW47" s="16"/>
      <c r="DX47" s="16"/>
      <c r="DY47" s="16"/>
      <c r="DZ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N47" s="16"/>
      <c r="EO47" s="16"/>
    </row>
    <row r="48" spans="1:148" s="28" customFormat="1">
      <c r="B48" s="941" t="s">
        <v>14</v>
      </c>
      <c r="C48" s="1072" t="e">
        <f>C47/B47-1</f>
        <v>#VALUE!</v>
      </c>
      <c r="D48" s="1077">
        <f t="shared" ref="D48:L48" si="152">D47/C47-1</f>
        <v>4.5321685440719905E-2</v>
      </c>
      <c r="E48" s="1077">
        <f t="shared" si="152"/>
        <v>-2.2422132964555641E-2</v>
      </c>
      <c r="F48" s="1077">
        <f t="shared" si="152"/>
        <v>0.1593692130060238</v>
      </c>
      <c r="G48" s="1077">
        <f t="shared" si="152"/>
        <v>5.7082196810502861E-2</v>
      </c>
      <c r="H48" s="1082">
        <f t="shared" si="152"/>
        <v>0.41183173315314714</v>
      </c>
      <c r="I48" s="1072" t="s">
        <v>1082</v>
      </c>
      <c r="J48" s="1077">
        <f t="shared" si="152"/>
        <v>0.20917861416568506</v>
      </c>
      <c r="K48" s="1077">
        <f t="shared" si="152"/>
        <v>0.12840008587315466</v>
      </c>
      <c r="L48" s="1077">
        <f t="shared" si="152"/>
        <v>0.20400088506053371</v>
      </c>
      <c r="M48" s="1077">
        <f t="shared" ref="M48:P48" si="153">M47/L47-1</f>
        <v>0.20909473776298326</v>
      </c>
      <c r="N48" s="1077">
        <f t="shared" si="153"/>
        <v>0.20107886210379844</v>
      </c>
      <c r="O48" s="1077">
        <f t="shared" si="153"/>
        <v>0.20283088823770945</v>
      </c>
      <c r="P48" s="1077">
        <f t="shared" si="153"/>
        <v>0.1864610114493126</v>
      </c>
      <c r="Q48" s="1699">
        <f ca="1">Q47/P47-1</f>
        <v>1.0515096793228151E-2</v>
      </c>
      <c r="R48" s="1699">
        <f ca="1">R47/Q47-1</f>
        <v>0.13145100207432003</v>
      </c>
      <c r="S48" s="3528">
        <f ca="1">S47/R47-1</f>
        <v>0.13307511118442572</v>
      </c>
      <c r="T48" s="1699"/>
      <c r="U48" s="1846">
        <f ca="1">Q47/P47-1</f>
        <v>1.0515096793228151E-2</v>
      </c>
      <c r="V48" s="1699">
        <f>V47/N47-1</f>
        <v>-0.21636784277565346</v>
      </c>
      <c r="W48" s="1699">
        <f ca="1">W47/O47-1</f>
        <v>-2.1433115289906102E-3</v>
      </c>
      <c r="Z48" s="161"/>
      <c r="AA48" s="162"/>
      <c r="AB48" s="163"/>
      <c r="AC48" s="163"/>
      <c r="AD48" s="164"/>
      <c r="AE48" s="162"/>
      <c r="AF48" s="163"/>
      <c r="AG48" s="163"/>
      <c r="AH48" s="164"/>
      <c r="AI48" s="162"/>
      <c r="AJ48" s="163"/>
      <c r="AK48" s="163"/>
      <c r="AL48" s="164"/>
      <c r="AM48" s="162"/>
      <c r="AN48" s="163"/>
      <c r="AO48" s="163"/>
      <c r="AP48" s="164"/>
      <c r="AQ48" s="162"/>
      <c r="AR48" s="163"/>
      <c r="AS48" s="163"/>
      <c r="AT48" s="163"/>
      <c r="AU48" s="162"/>
      <c r="AV48" s="163"/>
      <c r="AW48" s="163"/>
      <c r="AX48" s="163"/>
      <c r="AY48" s="162"/>
      <c r="AZ48" s="163"/>
      <c r="BA48" s="163"/>
      <c r="BB48" s="163"/>
      <c r="BC48" s="641"/>
      <c r="BD48" s="642"/>
      <c r="BE48" s="642"/>
      <c r="BF48" s="642"/>
      <c r="BG48" s="641"/>
      <c r="BH48" s="642"/>
      <c r="BI48" s="642"/>
      <c r="BJ48" s="642"/>
      <c r="BK48" s="641"/>
      <c r="BL48" s="642"/>
      <c r="BM48" s="642"/>
      <c r="BN48" s="642"/>
      <c r="BO48" s="641"/>
      <c r="BP48" s="642"/>
      <c r="BQ48" s="642"/>
      <c r="BR48" s="642"/>
      <c r="BS48" s="641"/>
      <c r="BT48" s="642"/>
      <c r="BU48" s="642"/>
      <c r="BV48" s="642"/>
      <c r="BW48" s="641"/>
      <c r="BX48" s="642"/>
      <c r="BY48" s="642"/>
      <c r="BZ48" s="895"/>
      <c r="CA48" s="642"/>
      <c r="CB48" s="642"/>
      <c r="CC48" s="642"/>
      <c r="CD48" s="642"/>
      <c r="CE48" s="642"/>
      <c r="CF48" s="642"/>
      <c r="CG48" s="642"/>
      <c r="CH48" s="642"/>
      <c r="CI48" s="642"/>
      <c r="CJ48" s="642"/>
      <c r="CK48" s="642"/>
      <c r="CL48" s="642"/>
      <c r="CM48" s="642"/>
      <c r="CN48" s="3388">
        <f t="shared" si="6"/>
        <v>0</v>
      </c>
      <c r="CO48" s="3556" t="e">
        <f t="shared" ca="1" si="7"/>
        <v>#DIV/0!</v>
      </c>
      <c r="CP48" s="3388"/>
      <c r="CQ48" s="3388"/>
      <c r="CR48" s="941" t="s">
        <v>14</v>
      </c>
      <c r="CS48" s="1870"/>
      <c r="CT48" s="1870"/>
      <c r="CU48" s="1862"/>
      <c r="CV48" s="1862"/>
      <c r="CW48" s="1870"/>
      <c r="CX48" s="1870"/>
      <c r="CY48" s="174"/>
      <c r="CZ48" s="1862"/>
      <c r="DA48" s="883"/>
      <c r="DB48" s="3115" t="e">
        <f t="shared" si="8"/>
        <v>#DIV/0!</v>
      </c>
      <c r="DC48" s="642"/>
      <c r="DD48" s="31"/>
      <c r="DE48" s="1032"/>
      <c r="DF48" s="1033"/>
      <c r="DG48" s="83"/>
      <c r="DH48" s="658"/>
      <c r="DI48" s="658"/>
      <c r="DJ48" s="84"/>
      <c r="DK48" s="84"/>
      <c r="DL48" s="84"/>
      <c r="DM48" s="84"/>
      <c r="DN48" s="84"/>
      <c r="DO48" s="2426" t="s">
        <v>854</v>
      </c>
      <c r="DP48" s="2409">
        <v>889</v>
      </c>
      <c r="DQ48" s="2409">
        <v>1115</v>
      </c>
      <c r="DR48" s="2416">
        <f>DQ48/DP48-1</f>
        <v>0.25421822272215966</v>
      </c>
      <c r="DS48" s="10"/>
      <c r="DT48" s="10"/>
      <c r="DU48" s="10"/>
      <c r="DV48" s="10"/>
      <c r="DW48" s="10"/>
      <c r="DX48" s="10"/>
      <c r="DY48" s="10"/>
      <c r="DZ48" s="10"/>
      <c r="EA48" s="15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N48" s="10"/>
      <c r="EO48" s="10"/>
      <c r="EP48" s="10"/>
    </row>
    <row r="49" spans="1:146" s="28" customFormat="1">
      <c r="B49" s="940" t="s">
        <v>821</v>
      </c>
      <c r="C49" s="721">
        <f>C47/C9</f>
        <v>9.7850324587394261E-2</v>
      </c>
      <c r="D49" s="710">
        <f t="shared" ref="D49:M49" si="154">D47/D9</f>
        <v>9.3075342202495623E-2</v>
      </c>
      <c r="E49" s="710">
        <f t="shared" si="154"/>
        <v>7.5333131860856842E-2</v>
      </c>
      <c r="F49" s="710">
        <f t="shared" si="154"/>
        <v>7.5109890783015942E-2</v>
      </c>
      <c r="G49" s="710">
        <f t="shared" si="154"/>
        <v>7.6240493159059647E-2</v>
      </c>
      <c r="H49" s="722">
        <f t="shared" si="154"/>
        <v>9.9748156200670499E-2</v>
      </c>
      <c r="I49" s="721">
        <f t="shared" si="154"/>
        <v>0.16617900920696058</v>
      </c>
      <c r="J49" s="710">
        <f t="shared" si="154"/>
        <v>0.16829156177587301</v>
      </c>
      <c r="K49" s="710">
        <f t="shared" si="154"/>
        <v>0.17644605962410762</v>
      </c>
      <c r="L49" s="710">
        <f t="shared" si="154"/>
        <v>0.17772554561516193</v>
      </c>
      <c r="M49" s="710">
        <f t="shared" si="154"/>
        <v>0.17410509413859249</v>
      </c>
      <c r="N49" s="710">
        <f t="shared" ref="N49:O49" si="155">N47/N9</f>
        <v>0.17490257030132775</v>
      </c>
      <c r="O49" s="710">
        <f t="shared" si="155"/>
        <v>0.17613163276492683</v>
      </c>
      <c r="P49" s="710">
        <f t="shared" ref="P49" si="156">P47/P9</f>
        <v>0.18706953611491853</v>
      </c>
      <c r="Q49" s="2716">
        <f ca="1">Q47/Q9</f>
        <v>0.23204674544249013</v>
      </c>
      <c r="R49" s="709">
        <f ca="1">R47/R9</f>
        <v>0.22771115449007631</v>
      </c>
      <c r="S49" s="3508">
        <f ca="1">S47/S9</f>
        <v>0.22230797958427501</v>
      </c>
      <c r="T49" s="2716"/>
      <c r="U49" s="2719"/>
      <c r="V49" s="709">
        <f>V47/V9</f>
        <v>0.12937163829778739</v>
      </c>
      <c r="W49" s="709">
        <f ca="1">W47/W9</f>
        <v>0.16658466483119816</v>
      </c>
      <c r="Z49" s="99"/>
      <c r="AA49" s="150"/>
      <c r="AB49" s="29"/>
      <c r="AC49" s="29"/>
      <c r="AD49" s="147"/>
      <c r="AE49" s="118"/>
      <c r="AH49" s="147"/>
      <c r="AI49" s="118"/>
      <c r="AL49" s="147"/>
      <c r="AM49" s="118"/>
      <c r="AP49" s="147"/>
      <c r="AQ49" s="118"/>
      <c r="AT49" s="147"/>
      <c r="AU49" s="118"/>
      <c r="AY49" s="118"/>
      <c r="BC49" s="635"/>
      <c r="BD49" s="636"/>
      <c r="BE49" s="636"/>
      <c r="BF49" s="636"/>
      <c r="BG49" s="635"/>
      <c r="BH49" s="636"/>
      <c r="BI49" s="636"/>
      <c r="BJ49" s="636"/>
      <c r="BK49" s="635"/>
      <c r="BL49" s="636"/>
      <c r="BM49" s="636"/>
      <c r="BN49" s="636"/>
      <c r="BO49" s="635"/>
      <c r="BP49" s="636"/>
      <c r="BQ49" s="636"/>
      <c r="BR49" s="636"/>
      <c r="BS49" s="635"/>
      <c r="BT49" s="636"/>
      <c r="BU49" s="636"/>
      <c r="BV49" s="636"/>
      <c r="BW49" s="635"/>
      <c r="BX49" s="636"/>
      <c r="BY49" s="636"/>
      <c r="BZ49" s="46">
        <f t="shared" ref="BZ49:CK49" si="157">BZ47/BZ9</f>
        <v>0.15250449491288348</v>
      </c>
      <c r="CA49" s="46">
        <f t="shared" si="157"/>
        <v>0.18154052430652526</v>
      </c>
      <c r="CB49" s="46">
        <f t="shared" si="157"/>
        <v>0.17767285432250338</v>
      </c>
      <c r="CC49" s="46">
        <f t="shared" si="157"/>
        <v>0.17651471264149965</v>
      </c>
      <c r="CD49" s="46">
        <f t="shared" si="157"/>
        <v>0.165760680027742</v>
      </c>
      <c r="CE49" s="46">
        <f t="shared" si="157"/>
        <v>0.17977683418083898</v>
      </c>
      <c r="CF49" s="46">
        <f t="shared" si="157"/>
        <v>0.17506913173945338</v>
      </c>
      <c r="CG49" s="46">
        <f t="shared" si="157"/>
        <v>0.18289965676292846</v>
      </c>
      <c r="CH49" s="46">
        <f t="shared" si="157"/>
        <v>0.16802082803623614</v>
      </c>
      <c r="CI49" s="46">
        <f t="shared" si="157"/>
        <v>0.18835888423742012</v>
      </c>
      <c r="CJ49" s="46">
        <f t="shared" si="157"/>
        <v>0.18893578818863876</v>
      </c>
      <c r="CK49" s="46">
        <f t="shared" si="157"/>
        <v>0.19615417098192231</v>
      </c>
      <c r="CL49" s="46">
        <f>CL47/CL9</f>
        <v>0.17320594394441893</v>
      </c>
      <c r="CM49" s="46">
        <f>CM47/CM9</f>
        <v>0.22466706003378603</v>
      </c>
      <c r="CN49" s="3388">
        <f t="shared" si="6"/>
        <v>0.89866824013514413</v>
      </c>
      <c r="CO49" s="3556">
        <f t="shared" ca="1" si="7"/>
        <v>0.25821180172962865</v>
      </c>
      <c r="CP49" s="3388"/>
      <c r="CQ49" s="3388"/>
      <c r="CR49" s="940" t="s">
        <v>821</v>
      </c>
      <c r="CS49" s="1027"/>
      <c r="CT49" s="1027"/>
      <c r="CU49" s="1862"/>
      <c r="CV49" s="1862"/>
      <c r="CW49" s="1875">
        <f>CW47/CW9</f>
        <v>0.18865233665885855</v>
      </c>
      <c r="CX49" s="1875">
        <f>CX47/CX9</f>
        <v>0.17733053208601632</v>
      </c>
      <c r="CY49" s="174">
        <f>CW49/CX49-1</f>
        <v>6.3845771169008136E-2</v>
      </c>
      <c r="CZ49" s="1875">
        <f>CZ47/CZ9</f>
        <v>0.18893578818863876</v>
      </c>
      <c r="DA49" s="1875">
        <f>DA47/DA9</f>
        <v>0.17506913173945338</v>
      </c>
      <c r="DB49" s="3115">
        <f t="shared" si="8"/>
        <v>7.9206747137025024E-2</v>
      </c>
      <c r="DC49" s="636"/>
      <c r="DE49" s="1027"/>
      <c r="DF49" s="892"/>
      <c r="DG49" s="165"/>
      <c r="DH49" s="658"/>
      <c r="DI49" s="658"/>
      <c r="DJ49" s="166"/>
      <c r="DK49" s="166"/>
      <c r="DL49" s="166"/>
      <c r="DM49" s="166"/>
      <c r="DN49" s="166"/>
      <c r="DO49" s="2426" t="s">
        <v>855</v>
      </c>
      <c r="DP49" s="2409">
        <v>18</v>
      </c>
      <c r="DQ49" s="2409">
        <v>41</v>
      </c>
      <c r="DR49" s="2416">
        <f>DQ49/DP49-1</f>
        <v>1.2777777777777777</v>
      </c>
      <c r="DS49" s="10"/>
      <c r="DT49" s="10">
        <f>DQ49/DP49</f>
        <v>2.2777777777777777</v>
      </c>
      <c r="DU49" s="10"/>
      <c r="DV49" s="10"/>
      <c r="DW49" s="10"/>
      <c r="DX49" s="10"/>
      <c r="DY49" s="10"/>
      <c r="DZ49" s="10"/>
      <c r="EA49" s="15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N49" s="10"/>
      <c r="EO49" s="10"/>
    </row>
    <row r="50" spans="1:146">
      <c r="B50" s="1444" t="s">
        <v>1030</v>
      </c>
      <c r="C50" s="380">
        <f>-Data!L352</f>
        <v>421.07377596100002</v>
      </c>
      <c r="D50" s="189">
        <f>-Data!M352</f>
        <v>450.31699690300002</v>
      </c>
      <c r="E50" s="189">
        <f>-Data!N352</f>
        <v>380.099403102</v>
      </c>
      <c r="F50" s="189">
        <f>-Data!O352</f>
        <v>413.06406255600001</v>
      </c>
      <c r="G50" s="189">
        <f>-Data!P352</f>
        <v>438.20782096200003</v>
      </c>
      <c r="H50" s="938">
        <f>-Data!Q352</f>
        <v>727.00386312600006</v>
      </c>
      <c r="I50" s="380">
        <f>-Data!R352</f>
        <v>623.605414161</v>
      </c>
      <c r="J50" s="189">
        <f>-Data!S352</f>
        <v>752.81834483299997</v>
      </c>
      <c r="K50" s="189">
        <f>-Data!T352</f>
        <v>839.71141236899996</v>
      </c>
      <c r="L50" s="189">
        <f>-Data!U352</f>
        <v>987.90534146200002</v>
      </c>
      <c r="M50" s="189">
        <f>-Data!V352</f>
        <v>1170.939505411</v>
      </c>
      <c r="N50" s="189">
        <f>-Data!W352</f>
        <v>1414.9563589540001</v>
      </c>
      <c r="O50" s="189">
        <f>-Data!X352</f>
        <v>1642.24</v>
      </c>
      <c r="P50" s="189">
        <f>-Data!Y352</f>
        <v>1813.35</v>
      </c>
      <c r="Q50" s="2724">
        <f ca="1">Q47*15%</f>
        <v>1990.7733505582739</v>
      </c>
      <c r="R50" s="740">
        <f ca="1">R47*15%</f>
        <v>2252.4625023920107</v>
      </c>
      <c r="S50" s="956">
        <f ca="1">S47*15%</f>
        <v>2552.2092003365774</v>
      </c>
      <c r="T50" s="3418"/>
      <c r="U50" s="3418"/>
      <c r="V50" s="740"/>
      <c r="W50" s="3207">
        <f ca="1">W47*Assumptions!P44</f>
        <v>1656.8901405149998</v>
      </c>
      <c r="Z50" s="167"/>
      <c r="AA50" s="101"/>
      <c r="AB50" s="102"/>
      <c r="AC50" s="102"/>
      <c r="AD50" s="168"/>
      <c r="AE50" s="169"/>
      <c r="AF50" s="169"/>
      <c r="AG50" s="61"/>
      <c r="AH50" s="70"/>
      <c r="AI50" s="71"/>
      <c r="AJ50" s="61"/>
      <c r="AK50" s="61"/>
      <c r="AL50" s="70"/>
      <c r="AM50" s="71"/>
      <c r="AN50" s="61"/>
      <c r="AO50" s="61"/>
      <c r="AP50" s="70"/>
      <c r="AQ50" s="71"/>
      <c r="AR50" s="61"/>
      <c r="AS50" s="61"/>
      <c r="AT50" s="70"/>
      <c r="AU50" s="71"/>
      <c r="AV50" s="61"/>
      <c r="AW50" s="61"/>
      <c r="AX50" s="61"/>
      <c r="AY50" s="71"/>
      <c r="AZ50" s="61"/>
      <c r="BA50" s="61"/>
      <c r="BB50" s="132"/>
      <c r="BC50" s="631" t="e">
        <f>-#REF!</f>
        <v>#REF!</v>
      </c>
      <c r="BD50" s="632" t="e">
        <f>-#REF!</f>
        <v>#REF!</v>
      </c>
      <c r="BE50" s="632" t="e">
        <f>-#REF!</f>
        <v>#REF!</v>
      </c>
      <c r="BF50" s="632" t="e">
        <f>-#REF!</f>
        <v>#REF!</v>
      </c>
      <c r="BG50" s="632">
        <f>-Data!BA491-Data!BA492</f>
        <v>149.95684812900001</v>
      </c>
      <c r="BH50" s="632">
        <f>-Data!BB491-Data!BB492</f>
        <v>147.49995765599999</v>
      </c>
      <c r="BI50" s="632">
        <f>-Data!BC491-Data!BC492</f>
        <v>160.62767164299999</v>
      </c>
      <c r="BJ50" s="632">
        <f>-Data!BD491-Data!BD492</f>
        <v>190.11545779300002</v>
      </c>
      <c r="BK50" s="632">
        <f>-Data!BE491-Data!BE492</f>
        <v>164.74281490499999</v>
      </c>
      <c r="BL50" s="632">
        <f>-Data!BF491-Data!BF492</f>
        <v>189.70408623099999</v>
      </c>
      <c r="BM50" s="632">
        <f>-Data!BG491-Data!BG492</f>
        <v>209.92643910499999</v>
      </c>
      <c r="BN50" s="632">
        <f>-Data!BH491-Data!BH492</f>
        <v>179.27373730899998</v>
      </c>
      <c r="BO50" s="632">
        <f>-Data!BI491-Data!BI492</f>
        <v>206.19360717100002</v>
      </c>
      <c r="BP50" s="632">
        <f>-Data!BJ491-Data!BJ492</f>
        <v>216.14719830500002</v>
      </c>
      <c r="BQ50" s="632">
        <f>-Data!BK491-Data!BK492</f>
        <v>235.50319296399999</v>
      </c>
      <c r="BR50" s="632">
        <f>-Data!BL491-Data!BL492</f>
        <v>82.427675847999993</v>
      </c>
      <c r="BS50" s="632">
        <f>-Data!BM491-Data!BM492</f>
        <v>267.57085520999999</v>
      </c>
      <c r="BT50" s="632">
        <f>-Data!BN491-Data!BN492</f>
        <v>283.106231987</v>
      </c>
      <c r="BU50" s="632">
        <f>-Data!BO491-Data!BO492</f>
        <v>289.71418604400003</v>
      </c>
      <c r="BV50" s="632">
        <f>-Data!BP491-Data!BP492</f>
        <v>183.591892269</v>
      </c>
      <c r="BW50" s="632">
        <f>-Data!BQ491-Data!BQ492</f>
        <v>216.82812855600002</v>
      </c>
      <c r="BX50" s="632">
        <f>-Data!BR491-Data!BR492</f>
        <v>308.42063609500002</v>
      </c>
      <c r="BY50" s="632">
        <f>-Data!BS491-Data!BS492</f>
        <v>237.60179477399998</v>
      </c>
      <c r="BZ50" s="632">
        <f>-Data!BT491-Data!BT492</f>
        <v>402.30851915900001</v>
      </c>
      <c r="CA50" s="632">
        <f>-Data!BU491-Data!BU492</f>
        <v>313.35824170700005</v>
      </c>
      <c r="CB50" s="632">
        <f>-Data!BV491-Data!BV492</f>
        <v>387.19541748300003</v>
      </c>
      <c r="CC50" s="632">
        <f>-Data!BW491-Data!BW492</f>
        <v>361.96701148700004</v>
      </c>
      <c r="CD50" s="632">
        <f>-Data!BX491-Data!BX492</f>
        <v>383.85202860999999</v>
      </c>
      <c r="CE50" s="632">
        <f>-Data!BY491-Data!BY492</f>
        <v>373.31676491000002</v>
      </c>
      <c r="CF50" s="632">
        <f>-Data!BZ491-Data!BZ492</f>
        <v>381.25541704000005</v>
      </c>
      <c r="CG50" s="632">
        <f>-Data!CA491-Data!CA492</f>
        <v>430.02301087399997</v>
      </c>
      <c r="CH50" s="632">
        <f>-Data!CB491-Data!CB492</f>
        <v>457.65000000000003</v>
      </c>
      <c r="CI50" s="632">
        <f>-Data!CC491-Data!CC492</f>
        <v>429.13603054000004</v>
      </c>
      <c r="CJ50" s="632">
        <f>-Data!CD491-Data!CD492</f>
        <v>400.76118378199999</v>
      </c>
      <c r="CK50" s="632">
        <f>-Data!CE491-Data!CE492</f>
        <v>356.83206384599998</v>
      </c>
      <c r="CL50" s="632">
        <f>-Data!CF491-Data!CF492</f>
        <v>530.21143115799998</v>
      </c>
      <c r="CM50" s="632">
        <f>-Data!CG491-Data!CG492</f>
        <v>199.43029897700001</v>
      </c>
      <c r="CN50" s="3388">
        <f t="shared" si="6"/>
        <v>797.72119590800003</v>
      </c>
      <c r="CO50" s="3556">
        <f t="shared" ca="1" si="7"/>
        <v>2.495575347339607</v>
      </c>
      <c r="CP50" s="3388"/>
      <c r="CQ50" s="3388"/>
      <c r="CR50" s="1444" t="s">
        <v>1030</v>
      </c>
      <c r="CS50" s="1862">
        <f>BW50+BX50</f>
        <v>525.2487646510001</v>
      </c>
      <c r="CT50" s="1865">
        <f>CA50+CB50</f>
        <v>700.55365919000008</v>
      </c>
      <c r="CU50" s="1862">
        <f t="shared" si="29"/>
        <v>1186.7292781680001</v>
      </c>
      <c r="CV50" s="1862">
        <f t="shared" si="30"/>
        <v>1184.5951928240002</v>
      </c>
      <c r="CW50" s="1865">
        <f>CI50+CJ50</f>
        <v>829.89721432200008</v>
      </c>
      <c r="CX50" s="1865">
        <f>CE50+CF50</f>
        <v>754.57218195000007</v>
      </c>
      <c r="CY50" s="174">
        <f>CW50/CX50-1</f>
        <v>9.9824820174713613E-2</v>
      </c>
      <c r="CZ50" s="1862">
        <f>CJ50</f>
        <v>400.76118378199999</v>
      </c>
      <c r="DA50" s="883">
        <f>CF50</f>
        <v>381.25541704000005</v>
      </c>
      <c r="DB50" s="3115">
        <f t="shared" si="8"/>
        <v>5.1161939923212829E-2</v>
      </c>
      <c r="DC50" s="624"/>
      <c r="DD50" s="20"/>
      <c r="DE50" s="1006">
        <f>SUM(BW50)</f>
        <v>216.82812855600002</v>
      </c>
      <c r="DF50" s="1007">
        <f>SUM(CA50)</f>
        <v>313.35824170700005</v>
      </c>
      <c r="DH50" s="657"/>
      <c r="DI50" s="657"/>
      <c r="DJ50" s="170"/>
      <c r="DK50" s="170"/>
      <c r="DL50" s="170"/>
      <c r="DM50" s="170"/>
      <c r="DN50" s="170"/>
      <c r="DO50" s="2423" t="s">
        <v>897</v>
      </c>
      <c r="DP50" s="2409"/>
      <c r="DQ50" s="2425"/>
      <c r="DR50" s="2416"/>
      <c r="DS50" s="28"/>
      <c r="DT50" s="28"/>
      <c r="DU50" s="28"/>
      <c r="DV50" s="28"/>
      <c r="DW50" s="28"/>
      <c r="DX50" s="28"/>
      <c r="DY50" s="28"/>
      <c r="DZ50" s="28"/>
      <c r="EB50" s="28"/>
      <c r="EC50" s="28"/>
      <c r="ED50" s="28"/>
      <c r="EE50" s="28"/>
      <c r="EF50" s="28"/>
      <c r="EG50" s="28"/>
      <c r="EH50" s="28"/>
      <c r="EI50" s="28"/>
      <c r="EJ50" s="28"/>
      <c r="EK50" s="28"/>
      <c r="EL50" s="28"/>
      <c r="EN50" s="28"/>
      <c r="EO50" s="28"/>
      <c r="EP50" s="28"/>
    </row>
    <row r="51" spans="1:146" s="28" customFormat="1">
      <c r="B51" s="942" t="s">
        <v>497</v>
      </c>
      <c r="C51" s="1069">
        <f>C50/C47</f>
        <v>0.17496911332155385</v>
      </c>
      <c r="D51" s="1074">
        <f t="shared" ref="D51:M51" si="158">D50/D47</f>
        <v>0.17900764353148596</v>
      </c>
      <c r="E51" s="1074">
        <f t="shared" si="158"/>
        <v>0.15456069551818841</v>
      </c>
      <c r="F51" s="1074">
        <f t="shared" si="158"/>
        <v>0.14487635950108343</v>
      </c>
      <c r="G51" s="1074">
        <f t="shared" si="158"/>
        <v>0.1453956716827981</v>
      </c>
      <c r="H51" s="1080">
        <f t="shared" si="158"/>
        <v>0.17085399303610815</v>
      </c>
      <c r="I51" s="1069">
        <f t="shared" si="158"/>
        <v>0.16165621139985442</v>
      </c>
      <c r="J51" s="1074">
        <f t="shared" si="158"/>
        <v>0.16139209357592244</v>
      </c>
      <c r="K51" s="1074">
        <f t="shared" si="158"/>
        <v>0.15953611312918994</v>
      </c>
      <c r="L51" s="1074">
        <f t="shared" si="158"/>
        <v>0.15588972059945352</v>
      </c>
      <c r="M51" s="1074">
        <f t="shared" si="158"/>
        <v>0.15281861966493313</v>
      </c>
      <c r="N51" s="1074">
        <f t="shared" ref="N51:O51" si="159">N50/N47</f>
        <v>0.15374936665247479</v>
      </c>
      <c r="O51" s="1074">
        <f t="shared" si="159"/>
        <v>0.14835505336207247</v>
      </c>
      <c r="P51" s="1074">
        <f t="shared" ref="P51" si="160">P50/P47</f>
        <v>0.13806827007123643</v>
      </c>
      <c r="Q51" s="709">
        <f ca="1">Q50/Q47</f>
        <v>0.15</v>
      </c>
      <c r="R51" s="709">
        <f ca="1">R50/R47</f>
        <v>0.15</v>
      </c>
      <c r="S51" s="3508">
        <f ca="1">S50/S47</f>
        <v>0.15</v>
      </c>
      <c r="T51" s="2716"/>
      <c r="U51" s="2718"/>
      <c r="V51" s="709">
        <f>V50/V47</f>
        <v>0</v>
      </c>
      <c r="W51" s="709">
        <f ca="1">W50/W47</f>
        <v>0.15</v>
      </c>
      <c r="Z51" s="382"/>
      <c r="AA51" s="90"/>
      <c r="AB51" s="91"/>
      <c r="AC51" s="91"/>
      <c r="AD51" s="141"/>
      <c r="AE51" s="91"/>
      <c r="AF51" s="91"/>
      <c r="AG51" s="91"/>
      <c r="AH51" s="141"/>
      <c r="AI51" s="90"/>
      <c r="AJ51" s="91"/>
      <c r="AK51" s="91"/>
      <c r="AL51" s="141"/>
      <c r="AM51" s="90"/>
      <c r="AN51" s="91"/>
      <c r="AO51" s="91"/>
      <c r="AP51" s="141"/>
      <c r="AQ51" s="90"/>
      <c r="AR51" s="91"/>
      <c r="AS51" s="91"/>
      <c r="AT51" s="91"/>
      <c r="AU51" s="90"/>
      <c r="AV51" s="91"/>
      <c r="AW51" s="91"/>
      <c r="AX51" s="91"/>
      <c r="AY51" s="90"/>
      <c r="AZ51" s="91"/>
      <c r="BA51" s="91"/>
      <c r="BB51" s="91"/>
      <c r="BC51" s="716" t="e">
        <f>BC50/BC47</f>
        <v>#REF!</v>
      </c>
      <c r="BD51" s="717" t="e">
        <f>BD50/BD47</f>
        <v>#REF!</v>
      </c>
      <c r="BE51" s="717" t="e">
        <f>BE50/BE47</f>
        <v>#REF!</v>
      </c>
      <c r="BF51" s="717" t="e">
        <f>BF50/BF47</f>
        <v>#REF!</v>
      </c>
      <c r="BG51" s="716">
        <f>BG50/BG47</f>
        <v>0.19206074919196869</v>
      </c>
      <c r="BH51" s="717">
        <f t="shared" ref="BH51:CB51" si="161">BH50/BH47</f>
        <v>0.16274704108603885</v>
      </c>
      <c r="BI51" s="717">
        <f t="shared" si="161"/>
        <v>0.15288017435965026</v>
      </c>
      <c r="BJ51" s="717">
        <f t="shared" si="161"/>
        <v>0.17057858064214568</v>
      </c>
      <c r="BK51" s="716">
        <f t="shared" si="161"/>
        <v>0.17154156969117004</v>
      </c>
      <c r="BL51" s="717">
        <f t="shared" si="161"/>
        <v>0.16095321464262088</v>
      </c>
      <c r="BM51" s="717">
        <f t="shared" si="161"/>
        <v>0.15340218011892676</v>
      </c>
      <c r="BN51" s="717">
        <f t="shared" si="161"/>
        <v>0.1549384783098354</v>
      </c>
      <c r="BO51" s="716">
        <f t="shared" si="161"/>
        <v>0.18050900458632019</v>
      </c>
      <c r="BP51" s="717">
        <f t="shared" si="161"/>
        <v>0.16814341279571887</v>
      </c>
      <c r="BQ51" s="717">
        <f t="shared" si="161"/>
        <v>0.16993056229398656</v>
      </c>
      <c r="BR51" s="717">
        <f t="shared" si="161"/>
        <v>5.6951934297203063E-2</v>
      </c>
      <c r="BS51" s="716">
        <f t="shared" si="161"/>
        <v>0.19156658182087807</v>
      </c>
      <c r="BT51" s="717">
        <f t="shared" si="161"/>
        <v>0.18389916012330712</v>
      </c>
      <c r="BU51" s="717">
        <f t="shared" si="161"/>
        <v>0.17680886135492907</v>
      </c>
      <c r="BV51" s="717">
        <f t="shared" si="161"/>
        <v>0.10428974106772484</v>
      </c>
      <c r="BW51" s="716">
        <f t="shared" si="161"/>
        <v>0.12187875045667686</v>
      </c>
      <c r="BX51" s="717">
        <f t="shared" si="161"/>
        <v>0.16600991908284271</v>
      </c>
      <c r="BY51" s="717">
        <f t="shared" si="161"/>
        <v>0.11715921444339332</v>
      </c>
      <c r="BZ51" s="884">
        <f t="shared" si="161"/>
        <v>0.20226381506340149</v>
      </c>
      <c r="CA51" s="717">
        <f t="shared" si="161"/>
        <v>0.14776562867401885</v>
      </c>
      <c r="CB51" s="717">
        <f t="shared" si="161"/>
        <v>0.17455918174683288</v>
      </c>
      <c r="CC51" s="717">
        <f t="shared" ref="CC51:CH51" si="162">CC50/CC47</f>
        <v>0.14900971243584904</v>
      </c>
      <c r="CD51" s="717">
        <f t="shared" si="162"/>
        <v>0.15763342927812526</v>
      </c>
      <c r="CE51" s="717">
        <f t="shared" si="162"/>
        <v>0.14734741440060117</v>
      </c>
      <c r="CF51" s="717">
        <f t="shared" si="162"/>
        <v>0.14284747445954213</v>
      </c>
      <c r="CG51" s="717">
        <f t="shared" si="162"/>
        <v>0.14784431009662927</v>
      </c>
      <c r="CH51" s="717">
        <f t="shared" si="162"/>
        <v>0.15469089641467826</v>
      </c>
      <c r="CI51" s="717">
        <f t="shared" ref="CI51:CJ51" si="163">CI50/CI47</f>
        <v>0.14187752544208887</v>
      </c>
      <c r="CJ51" s="717">
        <f t="shared" si="163"/>
        <v>0.12759018389983781</v>
      </c>
      <c r="CK51" s="717">
        <f t="shared" ref="CK51:CL51" si="164">CK50/CK47</f>
        <v>0.10573620844232384</v>
      </c>
      <c r="CL51" s="717">
        <f t="shared" si="164"/>
        <v>0.15135197909681641</v>
      </c>
      <c r="CM51" s="717">
        <f t="shared" ref="CM51" si="165">CM50/CM47</f>
        <v>7.1127451791934165E-2</v>
      </c>
      <c r="CN51" s="3388">
        <f t="shared" si="6"/>
        <v>0.28450980716773666</v>
      </c>
      <c r="CO51" s="3556">
        <f t="shared" ca="1" si="7"/>
        <v>0.52722259908448577</v>
      </c>
      <c r="CP51" s="3388"/>
      <c r="CQ51" s="3388"/>
      <c r="CR51" s="942" t="s">
        <v>497</v>
      </c>
      <c r="CS51" s="1034">
        <f>CS50/CS47</f>
        <v>0.14442240691489472</v>
      </c>
      <c r="CT51" s="1034">
        <f>CT50/CT47</f>
        <v>0.16146342053804832</v>
      </c>
      <c r="CU51" s="1862"/>
      <c r="CV51" s="1862"/>
      <c r="CW51" s="1034">
        <f>CW50/CW47</f>
        <v>0.13459909641123269</v>
      </c>
      <c r="CX51" s="1034">
        <f t="shared" ref="CX51" si="166">CX50/CX47</f>
        <v>0.14503889323541266</v>
      </c>
      <c r="CY51" s="174">
        <f>CW51/CX51-1</f>
        <v>-7.1979291838880299E-2</v>
      </c>
      <c r="CZ51" s="1862">
        <f>CJ51</f>
        <v>0.12759018389983781</v>
      </c>
      <c r="DA51" s="883">
        <f>CF51</f>
        <v>0.14284747445954213</v>
      </c>
      <c r="DB51" s="3115">
        <f t="shared" si="8"/>
        <v>-0.10680826257117726</v>
      </c>
      <c r="DC51" s="717"/>
      <c r="DD51" s="91"/>
      <c r="DE51" s="1034">
        <f>DE50/DE47</f>
        <v>0.12187875045667686</v>
      </c>
      <c r="DF51" s="884">
        <f>DF50/DF47</f>
        <v>0.14776562867401885</v>
      </c>
      <c r="DG51" s="161"/>
      <c r="DH51" s="666"/>
      <c r="DI51" s="666"/>
      <c r="DJ51" s="383"/>
      <c r="DK51" s="383"/>
      <c r="DL51" s="383"/>
      <c r="DM51" s="383"/>
      <c r="DN51" s="383"/>
      <c r="DO51" s="2427" t="s">
        <v>899</v>
      </c>
      <c r="DP51" s="2409">
        <v>723</v>
      </c>
      <c r="DQ51" s="2409">
        <v>805</v>
      </c>
      <c r="DR51" s="2416">
        <f>DQ51/DP51-1</f>
        <v>0.11341632088520059</v>
      </c>
      <c r="EA51" s="15"/>
      <c r="EP51" s="10"/>
    </row>
    <row r="52" spans="1:146">
      <c r="B52" s="948"/>
      <c r="C52" s="917"/>
      <c r="D52" s="691"/>
      <c r="E52" s="691"/>
      <c r="F52" s="691"/>
      <c r="G52" s="691"/>
      <c r="H52" s="1085"/>
      <c r="I52" s="917"/>
      <c r="J52" s="691"/>
      <c r="K52" s="691"/>
      <c r="L52" s="691"/>
      <c r="M52" s="691"/>
      <c r="N52" s="691"/>
      <c r="O52" s="691"/>
      <c r="P52" s="691"/>
      <c r="Q52" s="122"/>
      <c r="R52" s="122"/>
      <c r="S52" s="3516"/>
      <c r="T52" s="3269"/>
      <c r="U52" s="2754"/>
      <c r="V52" s="122"/>
      <c r="W52" s="122"/>
      <c r="Z52" s="100"/>
      <c r="AA52" s="171"/>
      <c r="AB52" s="172"/>
      <c r="AC52" s="172"/>
      <c r="AD52" s="173"/>
      <c r="AE52" s="172"/>
      <c r="AF52" s="172"/>
      <c r="AG52" s="172"/>
      <c r="AH52" s="173"/>
      <c r="AI52" s="171"/>
      <c r="AJ52" s="172"/>
      <c r="AK52" s="172"/>
      <c r="AL52" s="173"/>
      <c r="AM52" s="172"/>
      <c r="AN52" s="172"/>
      <c r="AO52" s="172"/>
      <c r="AP52" s="173"/>
      <c r="AQ52" s="172"/>
      <c r="AR52" s="172"/>
      <c r="AS52" s="172"/>
      <c r="AT52" s="173"/>
      <c r="AU52" s="171"/>
      <c r="AV52" s="172"/>
      <c r="AW52" s="172"/>
      <c r="AX52" s="172"/>
      <c r="AY52" s="171"/>
      <c r="AZ52" s="172"/>
      <c r="BA52" s="172"/>
      <c r="BB52" s="172"/>
      <c r="BC52" s="643"/>
      <c r="BD52" s="644"/>
      <c r="BE52" s="644"/>
      <c r="BF52" s="644"/>
      <c r="BG52" s="643"/>
      <c r="BH52" s="644"/>
      <c r="BI52" s="644"/>
      <c r="BJ52" s="644"/>
      <c r="BK52" s="643"/>
      <c r="BL52" s="644"/>
      <c r="BM52" s="644"/>
      <c r="BN52" s="644"/>
      <c r="BO52" s="643"/>
      <c r="BP52" s="644"/>
      <c r="BQ52" s="644"/>
      <c r="BR52" s="644"/>
      <c r="BS52" s="643"/>
      <c r="BT52" s="644"/>
      <c r="BU52" s="644"/>
      <c r="BV52" s="644"/>
      <c r="BW52" s="643"/>
      <c r="BX52" s="644"/>
      <c r="BY52" s="644"/>
      <c r="BZ52" s="896"/>
      <c r="CA52" s="644"/>
      <c r="CB52" s="644"/>
      <c r="CC52" s="644"/>
      <c r="CD52" s="644"/>
      <c r="CE52" s="644"/>
      <c r="CF52" s="644"/>
      <c r="CG52" s="644"/>
      <c r="CH52" s="644"/>
      <c r="CI52" s="644"/>
      <c r="CJ52" s="644"/>
      <c r="CK52" s="644"/>
      <c r="CL52" s="644"/>
      <c r="CM52" s="644"/>
      <c r="CN52" s="3388">
        <f t="shared" si="6"/>
        <v>0</v>
      </c>
      <c r="CO52" s="3556" t="e">
        <f t="shared" si="7"/>
        <v>#DIV/0!</v>
      </c>
      <c r="CP52" s="3388"/>
      <c r="CQ52" s="3388"/>
      <c r="CR52" s="948"/>
      <c r="CS52" s="1871"/>
      <c r="CT52" s="1871"/>
      <c r="CU52" s="1862"/>
      <c r="CV52" s="1862"/>
      <c r="CW52" s="1871"/>
      <c r="CX52" s="1871"/>
      <c r="CY52" s="174"/>
      <c r="CZ52" s="1862"/>
      <c r="DA52" s="883"/>
      <c r="DB52" s="3115"/>
      <c r="DC52" s="644"/>
      <c r="DD52" s="46"/>
      <c r="DE52" s="1035"/>
      <c r="DF52" s="1036"/>
      <c r="DH52" s="657"/>
      <c r="DI52" s="657"/>
      <c r="DO52" s="2427" t="s">
        <v>1664</v>
      </c>
      <c r="DP52" s="2409">
        <v>1</v>
      </c>
      <c r="DQ52" s="2409">
        <v>20</v>
      </c>
      <c r="DR52" s="2416">
        <f>DQ52/DP52-1</f>
        <v>19</v>
      </c>
      <c r="EP52" s="28"/>
    </row>
    <row r="53" spans="1:146" s="16" customFormat="1" ht="13.5" thickBot="1">
      <c r="B53" s="947" t="s">
        <v>23</v>
      </c>
      <c r="C53" s="1073">
        <f>C47-C50</f>
        <v>1985.4868333230006</v>
      </c>
      <c r="D53" s="1078">
        <f t="shared" ref="D53:M53" si="167">D47-D50</f>
        <v>2065.3129953089974</v>
      </c>
      <c r="E53" s="1078">
        <f t="shared" si="167"/>
        <v>2079.1247989349959</v>
      </c>
      <c r="F53" s="1078">
        <f t="shared" si="167"/>
        <v>2438.0847651649988</v>
      </c>
      <c r="G53" s="1078">
        <f t="shared" si="167"/>
        <v>2575.6908452790035</v>
      </c>
      <c r="H53" s="1086">
        <f t="shared" si="167"/>
        <v>3528.1139143809946</v>
      </c>
      <c r="I53" s="1073">
        <f t="shared" si="167"/>
        <v>3233.9971410450016</v>
      </c>
      <c r="J53" s="1078">
        <f t="shared" si="167"/>
        <v>3911.7121668729988</v>
      </c>
      <c r="K53" s="1078">
        <f t="shared" si="167"/>
        <v>4423.7452175979988</v>
      </c>
      <c r="L53" s="1078">
        <f t="shared" si="167"/>
        <v>5349.3010994960005</v>
      </c>
      <c r="M53" s="1078">
        <f t="shared" si="167"/>
        <v>6491.3434544690017</v>
      </c>
      <c r="N53" s="1078">
        <f t="shared" ref="N53:O53" si="168">N47-N50</f>
        <v>7788.0497396159963</v>
      </c>
      <c r="O53" s="1078">
        <f t="shared" si="168"/>
        <v>9427.4200000000055</v>
      </c>
      <c r="P53" s="1078">
        <f t="shared" ref="P53" si="169">P47-P50</f>
        <v>11320.370000000004</v>
      </c>
      <c r="Q53" s="3274">
        <f ca="1">Q47-Q50</f>
        <v>11281.048986496886</v>
      </c>
      <c r="R53" s="3274">
        <f ca="1">R47-R50</f>
        <v>12763.954180221395</v>
      </c>
      <c r="S53" s="3529">
        <f ca="1">S47-S50</f>
        <v>14462.518801907272</v>
      </c>
      <c r="T53" s="3274"/>
      <c r="U53" s="2721"/>
      <c r="V53" s="175">
        <f>V47-V50</f>
        <v>7211.7715219712236</v>
      </c>
      <c r="W53" s="175">
        <f ca="1">W47-W50</f>
        <v>9389.0441295849996</v>
      </c>
      <c r="Z53" s="41"/>
      <c r="AA53" s="68"/>
      <c r="AB53" s="13"/>
      <c r="AC53" s="13"/>
      <c r="AD53" s="69"/>
      <c r="AE53" s="13"/>
      <c r="AF53" s="13"/>
      <c r="AG53" s="94"/>
      <c r="AH53" s="95"/>
      <c r="AI53" s="96"/>
      <c r="AJ53" s="94"/>
      <c r="AK53" s="94"/>
      <c r="AL53" s="95"/>
      <c r="AM53" s="94"/>
      <c r="AN53" s="94"/>
      <c r="AO53" s="94"/>
      <c r="AP53" s="95"/>
      <c r="AQ53" s="94"/>
      <c r="AR53" s="94"/>
      <c r="AS53" s="94"/>
      <c r="AT53" s="94"/>
      <c r="AU53" s="96"/>
      <c r="AV53" s="94"/>
      <c r="AW53" s="94"/>
      <c r="AX53" s="94"/>
      <c r="AY53" s="96"/>
      <c r="AZ53" s="94"/>
      <c r="BA53" s="94"/>
      <c r="BB53" s="94"/>
      <c r="BC53" s="615" t="e">
        <f>BC47-BC50</f>
        <v>#REF!</v>
      </c>
      <c r="BD53" s="616" t="e">
        <f>BD47-BD50</f>
        <v>#REF!</v>
      </c>
      <c r="BE53" s="616" t="e">
        <f>BE47-BE50</f>
        <v>#REF!</v>
      </c>
      <c r="BF53" s="616" t="e">
        <f>BF47-BF50</f>
        <v>#REF!</v>
      </c>
      <c r="BG53" s="615">
        <f>BG47-BG50</f>
        <v>630.82136272299988</v>
      </c>
      <c r="BH53" s="616">
        <f t="shared" ref="BH53:CB53" si="170">BH47-BH50</f>
        <v>758.81426269300016</v>
      </c>
      <c r="BI53" s="616">
        <f t="shared" si="170"/>
        <v>890.04925435999985</v>
      </c>
      <c r="BJ53" s="616">
        <f t="shared" si="170"/>
        <v>924.41754557299976</v>
      </c>
      <c r="BK53" s="615">
        <f t="shared" si="170"/>
        <v>795.6239067099998</v>
      </c>
      <c r="BL53" s="616">
        <f t="shared" si="170"/>
        <v>988.92466406900053</v>
      </c>
      <c r="BM53" s="616">
        <f t="shared" si="170"/>
        <v>1158.5445887659998</v>
      </c>
      <c r="BN53" s="616">
        <f t="shared" si="170"/>
        <v>977.79027457899986</v>
      </c>
      <c r="BO53" s="615">
        <f t="shared" si="170"/>
        <v>936.09626165599991</v>
      </c>
      <c r="BP53" s="616">
        <f t="shared" si="170"/>
        <v>1069.3459096979998</v>
      </c>
      <c r="BQ53" s="616">
        <f t="shared" si="170"/>
        <v>1150.3757789220001</v>
      </c>
      <c r="BR53" s="616">
        <f t="shared" si="170"/>
        <v>1364.8923645540001</v>
      </c>
      <c r="BS53" s="615">
        <f t="shared" si="170"/>
        <v>1129.1803561270001</v>
      </c>
      <c r="BT53" s="616">
        <f t="shared" si="170"/>
        <v>1256.358286487</v>
      </c>
      <c r="BU53" s="616">
        <f t="shared" si="170"/>
        <v>1348.8585858400002</v>
      </c>
      <c r="BV53" s="616">
        <f t="shared" si="170"/>
        <v>1576.8103331979999</v>
      </c>
      <c r="BW53" s="615">
        <f t="shared" si="170"/>
        <v>1562.2197181239999</v>
      </c>
      <c r="BX53" s="616">
        <f t="shared" si="170"/>
        <v>1549.4239902920001</v>
      </c>
      <c r="BY53" s="616">
        <f t="shared" si="170"/>
        <v>1790.4230251499996</v>
      </c>
      <c r="BZ53" s="885">
        <f t="shared" si="170"/>
        <v>1586.7201117550001</v>
      </c>
      <c r="CA53" s="616">
        <f t="shared" si="170"/>
        <v>1807.2854053909991</v>
      </c>
      <c r="CB53" s="616">
        <f t="shared" si="170"/>
        <v>1830.9372158640001</v>
      </c>
      <c r="CC53" s="616">
        <f t="shared" ref="CC53:CH53" si="171">CC47-CC50</f>
        <v>2067.1834483719999</v>
      </c>
      <c r="CD53" s="616">
        <f t="shared" si="171"/>
        <v>2051.240770981</v>
      </c>
      <c r="CE53" s="616">
        <f t="shared" si="171"/>
        <v>2160.2652896419995</v>
      </c>
      <c r="CF53" s="616">
        <f t="shared" si="171"/>
        <v>2287.7131347840004</v>
      </c>
      <c r="CG53" s="616">
        <f t="shared" si="171"/>
        <v>2478.5976225000004</v>
      </c>
      <c r="CH53" s="616">
        <f t="shared" si="171"/>
        <v>2500.830496312999</v>
      </c>
      <c r="CI53" s="616">
        <f t="shared" ref="CI53" si="172">CI47-CI50</f>
        <v>2595.5574803089999</v>
      </c>
      <c r="CJ53" s="616">
        <f>CJ47-CJ50</f>
        <v>2740.2420778529995</v>
      </c>
      <c r="CK53" s="616">
        <f>CK47-CK50</f>
        <v>3017.9065342439999</v>
      </c>
      <c r="CL53" s="616">
        <f>CL47-CL50</f>
        <v>2972.9567092390002</v>
      </c>
      <c r="CM53" s="616">
        <f>CM47-CM50</f>
        <v>2604.4139826990008</v>
      </c>
      <c r="CN53" s="3388">
        <f t="shared" si="6"/>
        <v>10417.655930796003</v>
      </c>
      <c r="CO53" s="3556">
        <f t="shared" ca="1" si="7"/>
        <v>1.0828778624900228</v>
      </c>
      <c r="CP53" s="3388"/>
      <c r="CQ53" s="3388"/>
      <c r="CR53" s="947" t="s">
        <v>23</v>
      </c>
      <c r="CS53" s="1862">
        <f>BW53+BX53</f>
        <v>3111.6437084159998</v>
      </c>
      <c r="CT53" s="1865">
        <f>CA53+CB53</f>
        <v>3638.2226212549995</v>
      </c>
      <c r="CU53" s="1862">
        <f t="shared" si="29"/>
        <v>8353.7060924059988</v>
      </c>
      <c r="CV53" s="1862">
        <f t="shared" si="30"/>
        <v>6926.5760469260003</v>
      </c>
      <c r="CW53" s="1865">
        <f>CI53+CJ53</f>
        <v>5335.7995581619998</v>
      </c>
      <c r="CX53" s="3171">
        <f>CE53+CF53</f>
        <v>4447.9784244259999</v>
      </c>
      <c r="CY53" s="174">
        <f>CW53/CX53-1</f>
        <v>0.19960104322011651</v>
      </c>
      <c r="CZ53" s="1862">
        <f>CJ53</f>
        <v>2740.2420778529995</v>
      </c>
      <c r="DA53" s="883">
        <f>CF53</f>
        <v>2287.7131347840004</v>
      </c>
      <c r="DB53" s="3115">
        <f t="shared" si="8"/>
        <v>0.19780842981946933</v>
      </c>
      <c r="DC53" s="624"/>
      <c r="DD53" s="20"/>
      <c r="DE53" s="1006">
        <f>SUM(BW53)</f>
        <v>1562.2197181239999</v>
      </c>
      <c r="DF53" s="1007">
        <f>SUM(CA53)</f>
        <v>1807.2854053909991</v>
      </c>
      <c r="DG53" s="43">
        <f>DF53/DE53-1</f>
        <v>0.15687017928648839</v>
      </c>
      <c r="DH53" s="657"/>
      <c r="DI53" s="657"/>
      <c r="DJ53" s="44"/>
      <c r="DK53" s="44"/>
      <c r="DL53" s="44"/>
      <c r="DM53" s="44"/>
      <c r="DN53" s="44"/>
      <c r="DO53" s="2435" t="s">
        <v>882</v>
      </c>
      <c r="DP53" s="2436">
        <v>491</v>
      </c>
      <c r="DQ53" s="2436">
        <v>553</v>
      </c>
      <c r="DR53" s="2418">
        <f>DQ53/DP53-1</f>
        <v>0.12627291242362526</v>
      </c>
      <c r="DS53" s="28"/>
      <c r="DT53" s="28"/>
      <c r="DU53" s="28"/>
      <c r="DV53" s="28"/>
      <c r="DW53" s="28"/>
      <c r="DX53" s="28"/>
      <c r="DY53" s="28"/>
      <c r="DZ53" s="28"/>
      <c r="EA53" s="15"/>
      <c r="EB53" s="28"/>
      <c r="EC53" s="28"/>
      <c r="ED53" s="28"/>
      <c r="EE53" s="28"/>
      <c r="EF53" s="28"/>
      <c r="EG53" s="28"/>
      <c r="EH53" s="28"/>
      <c r="EI53" s="28"/>
      <c r="EJ53" s="28"/>
      <c r="EK53" s="28"/>
      <c r="EL53" s="28"/>
      <c r="EN53" s="28"/>
      <c r="EO53" s="28"/>
      <c r="EP53" s="10"/>
    </row>
    <row r="54" spans="1:146">
      <c r="B54" s="949" t="s">
        <v>221</v>
      </c>
      <c r="C54" s="918">
        <f>Data!L354</f>
        <v>445.15993299199999</v>
      </c>
      <c r="D54" s="804">
        <f>Data!M354</f>
        <v>457.604776329</v>
      </c>
      <c r="E54" s="804">
        <f>Data!N354</f>
        <v>447.03971174200001</v>
      </c>
      <c r="F54" s="804">
        <f>Data!O354</f>
        <v>507.18884453599998</v>
      </c>
      <c r="G54" s="804">
        <f>Data!P354</f>
        <v>585.04826688799994</v>
      </c>
      <c r="H54" s="804">
        <f>Data!Q354</f>
        <v>596.58305181900005</v>
      </c>
      <c r="I54" s="918">
        <f>Data!R354</f>
        <v>613.81850905900001</v>
      </c>
      <c r="J54" s="804">
        <f>Data!S354</f>
        <v>776.361790219</v>
      </c>
      <c r="K54" s="804">
        <f>Data!T354</f>
        <v>885.73747877599999</v>
      </c>
      <c r="L54" s="804">
        <f>Data!U354</f>
        <v>1011.889219694</v>
      </c>
      <c r="M54" s="804">
        <f>Data!V354</f>
        <v>1181.2348630609999</v>
      </c>
      <c r="N54" s="804">
        <f>Data!W354</f>
        <v>1322.859306994</v>
      </c>
      <c r="O54" s="804">
        <f>Data!X354</f>
        <v>1570.65</v>
      </c>
      <c r="P54" s="804">
        <f>Data!Y354</f>
        <v>1856.21</v>
      </c>
      <c r="Q54" s="3275">
        <f ca="1">(AVERAGE($P$54)/AVERAGE($P$53))*Q53*1/11</f>
        <v>168.16022749035889</v>
      </c>
      <c r="R54" s="3275">
        <f t="shared" ref="R54:S54" ca="1" si="173">(AVERAGE($P$54)/AVERAGE($P$53))*R53*1/10</f>
        <v>209.29156369331344</v>
      </c>
      <c r="S54" s="3275">
        <f t="shared" ca="1" si="173"/>
        <v>237.14306180176339</v>
      </c>
      <c r="T54" s="3275"/>
      <c r="U54" s="2755"/>
      <c r="V54" s="109">
        <f>(AVERAGE($N$54)/AVERAGE($N$53))*V53</f>
        <v>1224.9740816658307</v>
      </c>
      <c r="W54" s="3206">
        <f ca="1">(AVERAGE($O$54)/AVERAGE($O$53))*W53</f>
        <v>1564.2564097210766</v>
      </c>
      <c r="Z54" s="857"/>
      <c r="AA54" s="101"/>
      <c r="AB54" s="102"/>
      <c r="AC54" s="102"/>
      <c r="AD54" s="103"/>
      <c r="AE54" s="102"/>
      <c r="AF54" s="102"/>
      <c r="AG54" s="61"/>
      <c r="AH54" s="70"/>
      <c r="AI54" s="61"/>
      <c r="AJ54" s="61"/>
      <c r="AK54" s="61"/>
      <c r="AL54" s="70"/>
      <c r="AM54" s="61"/>
      <c r="AN54" s="61"/>
      <c r="AO54" s="61"/>
      <c r="AP54" s="70"/>
      <c r="AQ54" s="61"/>
      <c r="AR54" s="61"/>
      <c r="AS54" s="61"/>
      <c r="AT54" s="70"/>
      <c r="AU54" s="71"/>
      <c r="AV54" s="61"/>
      <c r="AW54" s="61"/>
      <c r="AX54" s="61"/>
      <c r="AY54" s="71"/>
      <c r="AZ54" s="61"/>
      <c r="BA54" s="61"/>
      <c r="BB54" s="61"/>
      <c r="BC54" s="611" t="e">
        <f>#REF!</f>
        <v>#REF!</v>
      </c>
      <c r="BD54" s="612" t="e">
        <f>#REF!</f>
        <v>#REF!</v>
      </c>
      <c r="BE54" s="612" t="e">
        <f>#REF!</f>
        <v>#REF!</v>
      </c>
      <c r="BF54" s="612" t="e">
        <f>#REF!</f>
        <v>#REF!</v>
      </c>
      <c r="BG54" s="611">
        <f>Data!BA494</f>
        <v>143.754710155</v>
      </c>
      <c r="BH54" s="612">
        <f>Data!BB494</f>
        <v>164.74648763600001</v>
      </c>
      <c r="BI54" s="612">
        <f>Data!BC494</f>
        <v>165.34590057599999</v>
      </c>
      <c r="BJ54" s="612">
        <f>Data!BD494</f>
        <v>139.97141069200001</v>
      </c>
      <c r="BK54" s="611">
        <f>Data!BE494</f>
        <v>167.61855243299999</v>
      </c>
      <c r="BL54" s="612">
        <f>Data!BF494</f>
        <v>194.46294902299999</v>
      </c>
      <c r="BM54" s="612">
        <f>Data!BG494</f>
        <v>199.603945404</v>
      </c>
      <c r="BN54" s="612">
        <f>Data!BH494</f>
        <v>214.67634339099999</v>
      </c>
      <c r="BO54" s="611">
        <f>Data!BI494</f>
        <v>189.85743581200001</v>
      </c>
      <c r="BP54" s="612">
        <f>Data!BJ494</f>
        <v>205.51147088299999</v>
      </c>
      <c r="BQ54" s="612">
        <f>Data!BK494</f>
        <v>219.74357147500001</v>
      </c>
      <c r="BR54" s="612">
        <f>Data!BL494</f>
        <v>269.74500956000003</v>
      </c>
      <c r="BS54" s="611">
        <f>Data!BM494</f>
        <v>244.55994232099999</v>
      </c>
      <c r="BT54" s="612">
        <f>Data!BN494</f>
        <v>259.63537390900001</v>
      </c>
      <c r="BU54" s="612">
        <f>Data!BO494</f>
        <v>249.77633751100001</v>
      </c>
      <c r="BV54" s="612">
        <f>Data!BP494</f>
        <v>258.29258026100001</v>
      </c>
      <c r="BW54" s="611">
        <f>Data!BQ494</f>
        <v>299.67868948799997</v>
      </c>
      <c r="BX54" s="612">
        <f>Data!BR494</f>
        <v>310.75381262299999</v>
      </c>
      <c r="BY54" s="612">
        <f>Data!BS494</f>
        <v>302.28118061999999</v>
      </c>
      <c r="BZ54" s="883">
        <f>Data!BT494</f>
        <v>268.29086229199999</v>
      </c>
      <c r="CA54" s="612">
        <f>Data!BU494</f>
        <v>316.23687300400002</v>
      </c>
      <c r="CB54" s="612">
        <f>Data!BV494</f>
        <v>346.36272439300001</v>
      </c>
      <c r="CC54" s="612">
        <f>Data!BW494</f>
        <v>336.52899578099999</v>
      </c>
      <c r="CD54" s="612">
        <f>Data!BX494</f>
        <v>322.84080964600003</v>
      </c>
      <c r="CE54" s="612">
        <f>Data!BY494</f>
        <v>362.23442611399997</v>
      </c>
      <c r="CF54" s="612">
        <f>Data!BZ494</f>
        <v>409.226238163</v>
      </c>
      <c r="CG54" s="612">
        <f>Data!CA494</f>
        <v>389.74541009199999</v>
      </c>
      <c r="CH54" s="612">
        <f>Data!CB494</f>
        <v>406.12</v>
      </c>
      <c r="CI54" s="612">
        <f>Data!CC494</f>
        <v>421.25609378399997</v>
      </c>
      <c r="CJ54" s="612">
        <f>Data!CD494</f>
        <v>482.80881255499997</v>
      </c>
      <c r="CK54" s="612">
        <f>Data!CE494</f>
        <v>466.70431791800002</v>
      </c>
      <c r="CL54" s="612">
        <f>Data!CF494</f>
        <v>485.442596976</v>
      </c>
      <c r="CM54" s="612">
        <f>Data!CG494</f>
        <v>-10.581753618</v>
      </c>
      <c r="CN54" s="3388">
        <f t="shared" si="6"/>
        <v>-42.327014472000002</v>
      </c>
      <c r="CO54" s="3556">
        <f t="shared" ca="1" si="7"/>
        <v>-3.9728818483429671</v>
      </c>
      <c r="CP54" s="3388"/>
      <c r="CQ54" s="3388"/>
      <c r="CR54" s="949" t="s">
        <v>221</v>
      </c>
      <c r="CS54" s="1862">
        <f>BW54+BX54</f>
        <v>610.43250211099996</v>
      </c>
      <c r="CT54" s="1865">
        <f>CA54+CB54</f>
        <v>662.59959739700003</v>
      </c>
      <c r="CU54" s="1862">
        <f t="shared" si="29"/>
        <v>1370.7692242570001</v>
      </c>
      <c r="CV54" s="1862">
        <f t="shared" si="30"/>
        <v>1161.2060743689999</v>
      </c>
      <c r="CW54" s="1865">
        <f>CI54+CJ54</f>
        <v>904.06490633899989</v>
      </c>
      <c r="CX54" s="1865">
        <f>CE54+CF54</f>
        <v>771.46066427699998</v>
      </c>
      <c r="CY54" s="174">
        <f>CW54/CX54-1</f>
        <v>0.17188723703271958</v>
      </c>
      <c r="CZ54" s="1862">
        <f>CJ54</f>
        <v>482.80881255499997</v>
      </c>
      <c r="DA54" s="883">
        <f>CF54</f>
        <v>409.226238163</v>
      </c>
      <c r="DB54" s="3115">
        <f t="shared" si="8"/>
        <v>0.17980903356126232</v>
      </c>
      <c r="DC54" s="624"/>
      <c r="DD54" s="15"/>
      <c r="DE54" s="1008"/>
      <c r="DF54" s="1009"/>
      <c r="DH54" s="657"/>
      <c r="DI54" s="657"/>
      <c r="EP54" s="16"/>
    </row>
    <row r="55" spans="1:146">
      <c r="B55" s="950" t="s">
        <v>25</v>
      </c>
      <c r="C55" s="1049">
        <f>C53-C54</f>
        <v>1540.3269003310006</v>
      </c>
      <c r="D55" s="177">
        <f t="shared" ref="D55:M55" si="174">D53-D54</f>
        <v>1607.7082189799974</v>
      </c>
      <c r="E55" s="177">
        <f t="shared" si="174"/>
        <v>1632.0850871929958</v>
      </c>
      <c r="F55" s="177">
        <f t="shared" si="174"/>
        <v>1930.8959206289987</v>
      </c>
      <c r="G55" s="177">
        <f t="shared" si="174"/>
        <v>1990.6425783910036</v>
      </c>
      <c r="H55" s="177">
        <f t="shared" si="174"/>
        <v>2931.5308625619946</v>
      </c>
      <c r="I55" s="1049">
        <f t="shared" si="174"/>
        <v>2620.1786319860016</v>
      </c>
      <c r="J55" s="177">
        <f t="shared" si="174"/>
        <v>3135.3503766539989</v>
      </c>
      <c r="K55" s="177">
        <f t="shared" si="174"/>
        <v>3538.0077388219988</v>
      </c>
      <c r="L55" s="177">
        <f t="shared" si="174"/>
        <v>4337.4118798020008</v>
      </c>
      <c r="M55" s="177">
        <f t="shared" si="174"/>
        <v>5310.1085914080013</v>
      </c>
      <c r="N55" s="177">
        <f t="shared" ref="N55:O55" si="175">N53-N54</f>
        <v>6465.1904326219965</v>
      </c>
      <c r="O55" s="177">
        <f t="shared" si="175"/>
        <v>7856.7700000000059</v>
      </c>
      <c r="P55" s="177">
        <f t="shared" ref="P55" si="176">P53-P54</f>
        <v>9464.1600000000035</v>
      </c>
      <c r="Q55" s="2756">
        <f ca="1">Q53-Q54</f>
        <v>11112.888759006528</v>
      </c>
      <c r="R55" s="2756">
        <f ca="1">R53-R54</f>
        <v>12554.662616528081</v>
      </c>
      <c r="S55" s="3530">
        <f ca="1">S53-S54</f>
        <v>14225.375740105508</v>
      </c>
      <c r="T55" s="2756"/>
      <c r="U55" s="2756"/>
      <c r="V55" s="177">
        <f>V53-V54</f>
        <v>5986.7974403053931</v>
      </c>
      <c r="W55" s="3240">
        <f ca="1">W53-W54</f>
        <v>7824.7877198639235</v>
      </c>
      <c r="Z55" s="41">
        <f ca="1">(R55/M55)^(1/5)-1</f>
        <v>0.18779181642050435</v>
      </c>
      <c r="AA55" s="68"/>
      <c r="AB55" s="13"/>
      <c r="AC55" s="13"/>
      <c r="AD55" s="69"/>
      <c r="AE55" s="13"/>
      <c r="AF55" s="13"/>
      <c r="AG55" s="61"/>
      <c r="AH55" s="70"/>
      <c r="AI55" s="61"/>
      <c r="AJ55" s="61"/>
      <c r="AK55" s="61"/>
      <c r="AL55" s="70"/>
      <c r="AM55" s="61"/>
      <c r="AN55" s="61"/>
      <c r="AO55" s="61"/>
      <c r="AP55" s="70"/>
      <c r="AQ55" s="61"/>
      <c r="AR55" s="61"/>
      <c r="AS55" s="61"/>
      <c r="AT55" s="70"/>
      <c r="AU55" s="61"/>
      <c r="AV55" s="61"/>
      <c r="AW55" s="61"/>
      <c r="AX55" s="61"/>
      <c r="AY55" s="71"/>
      <c r="AZ55" s="61"/>
      <c r="BA55" s="61"/>
      <c r="BB55" s="61"/>
      <c r="BC55" s="611" t="e">
        <f>BC53-BC54</f>
        <v>#REF!</v>
      </c>
      <c r="BD55" s="612" t="e">
        <f>BD53-BD54</f>
        <v>#REF!</v>
      </c>
      <c r="BE55" s="612" t="e">
        <f>BE53-BE54</f>
        <v>#REF!</v>
      </c>
      <c r="BF55" s="612" t="e">
        <f>BF53-BF54</f>
        <v>#REF!</v>
      </c>
      <c r="BG55" s="615">
        <f>BG53-BG54</f>
        <v>487.06665256799988</v>
      </c>
      <c r="BH55" s="616">
        <f t="shared" ref="BH55:CB55" si="177">BH53-BH54</f>
        <v>594.06777505700018</v>
      </c>
      <c r="BI55" s="616">
        <f t="shared" si="177"/>
        <v>724.70335378399989</v>
      </c>
      <c r="BJ55" s="616">
        <f t="shared" si="177"/>
        <v>784.44613488099981</v>
      </c>
      <c r="BK55" s="615">
        <f t="shared" si="177"/>
        <v>628.00535427699981</v>
      </c>
      <c r="BL55" s="616">
        <f t="shared" si="177"/>
        <v>794.46171504600056</v>
      </c>
      <c r="BM55" s="616">
        <f t="shared" si="177"/>
        <v>958.94064336199983</v>
      </c>
      <c r="BN55" s="616">
        <f t="shared" si="177"/>
        <v>763.11393118799992</v>
      </c>
      <c r="BO55" s="615">
        <f t="shared" si="177"/>
        <v>746.23882584399985</v>
      </c>
      <c r="BP55" s="616">
        <f t="shared" si="177"/>
        <v>863.83443881499977</v>
      </c>
      <c r="BQ55" s="616">
        <f t="shared" si="177"/>
        <v>930.63220744700016</v>
      </c>
      <c r="BR55" s="616">
        <f t="shared" si="177"/>
        <v>1095.1473549940001</v>
      </c>
      <c r="BS55" s="615">
        <f t="shared" si="177"/>
        <v>884.6204138060001</v>
      </c>
      <c r="BT55" s="616">
        <f t="shared" si="177"/>
        <v>996.72291257799998</v>
      </c>
      <c r="BU55" s="616">
        <f t="shared" si="177"/>
        <v>1099.0822483290001</v>
      </c>
      <c r="BV55" s="616">
        <f t="shared" si="177"/>
        <v>1318.5177529369998</v>
      </c>
      <c r="BW55" s="615">
        <f t="shared" si="177"/>
        <v>1262.541028636</v>
      </c>
      <c r="BX55" s="616">
        <f t="shared" si="177"/>
        <v>1238.6701776690002</v>
      </c>
      <c r="BY55" s="616">
        <f t="shared" si="177"/>
        <v>1488.1418445299996</v>
      </c>
      <c r="BZ55" s="885">
        <f t="shared" si="177"/>
        <v>1318.4292494630001</v>
      </c>
      <c r="CA55" s="616">
        <f t="shared" si="177"/>
        <v>1491.0485323869991</v>
      </c>
      <c r="CB55" s="616">
        <f t="shared" si="177"/>
        <v>1484.5744914710001</v>
      </c>
      <c r="CC55" s="616">
        <f t="shared" ref="CC55:CH55" si="178">CC53-CC54</f>
        <v>1730.6544525909999</v>
      </c>
      <c r="CD55" s="616">
        <f t="shared" si="178"/>
        <v>1728.3999613349999</v>
      </c>
      <c r="CE55" s="616">
        <f t="shared" si="178"/>
        <v>1798.0308635279996</v>
      </c>
      <c r="CF55" s="616">
        <f t="shared" si="178"/>
        <v>1878.4868966210004</v>
      </c>
      <c r="CG55" s="616">
        <f t="shared" si="178"/>
        <v>2088.8522124080005</v>
      </c>
      <c r="CH55" s="616">
        <f t="shared" si="178"/>
        <v>2094.7104963129991</v>
      </c>
      <c r="CI55" s="616">
        <f t="shared" ref="CI55:CJ55" si="179">CI53-CI54</f>
        <v>2174.301386525</v>
      </c>
      <c r="CJ55" s="616">
        <f t="shared" si="179"/>
        <v>2257.4332652979997</v>
      </c>
      <c r="CK55" s="616">
        <f t="shared" ref="CK55:CL55" si="180">CK53-CK54</f>
        <v>2551.2022163259999</v>
      </c>
      <c r="CL55" s="616">
        <f t="shared" si="180"/>
        <v>2487.5141122630002</v>
      </c>
      <c r="CM55" s="616">
        <f t="shared" ref="CM55" si="181">CM53-CM54</f>
        <v>2614.995736317001</v>
      </c>
      <c r="CN55" s="3388">
        <f t="shared" si="6"/>
        <v>10459.982945268004</v>
      </c>
      <c r="CO55" s="3556">
        <f t="shared" ca="1" si="7"/>
        <v>1.0624193956295016</v>
      </c>
      <c r="CP55" s="3388"/>
      <c r="CQ55" s="3388"/>
      <c r="CR55" s="3120" t="s">
        <v>25</v>
      </c>
      <c r="CS55" s="1862">
        <f>BW55+BX55</f>
        <v>2501.2112063049999</v>
      </c>
      <c r="CT55" s="1865">
        <f>CA55+CB55</f>
        <v>2975.6230238579992</v>
      </c>
      <c r="CU55" s="1862">
        <f t="shared" si="29"/>
        <v>6982.9368681489996</v>
      </c>
      <c r="CV55" s="1862">
        <f t="shared" si="30"/>
        <v>5765.3699725570004</v>
      </c>
      <c r="CW55" s="1865">
        <f>CI55+CJ55</f>
        <v>4431.7346518229997</v>
      </c>
      <c r="CX55" s="1865">
        <f>CE55+CF55</f>
        <v>3676.517760149</v>
      </c>
      <c r="CY55" s="174">
        <f>CW55/CX55-1</f>
        <v>0.20541635888721843</v>
      </c>
      <c r="CZ55" s="1862">
        <f>CJ55</f>
        <v>2257.4332652979997</v>
      </c>
      <c r="DA55" s="883">
        <f>CF55</f>
        <v>1878.4868966210004</v>
      </c>
      <c r="DB55" s="3115">
        <f t="shared" si="8"/>
        <v>0.20172957786324908</v>
      </c>
      <c r="DC55" s="624"/>
      <c r="DD55" s="61"/>
      <c r="DE55" s="1006">
        <f>SUM(BW55)</f>
        <v>1262.541028636</v>
      </c>
      <c r="DF55" s="1007">
        <f>SUM(CA55)</f>
        <v>1491.0485323869991</v>
      </c>
      <c r="DG55" s="43">
        <f>DF55/DE55-1</f>
        <v>0.18099016076956298</v>
      </c>
      <c r="DH55" s="667"/>
      <c r="DI55" s="667"/>
      <c r="DJ55" s="46"/>
      <c r="DK55" s="46"/>
      <c r="DL55" s="46"/>
      <c r="DM55" s="46"/>
      <c r="DN55" s="46"/>
      <c r="DS55" s="28"/>
      <c r="DT55" s="28"/>
      <c r="DU55" s="28"/>
      <c r="DV55" s="28"/>
      <c r="DW55" s="28"/>
      <c r="DX55" s="28"/>
      <c r="DY55" s="28"/>
      <c r="DZ55" s="28"/>
      <c r="EB55" s="28"/>
      <c r="EC55" s="28"/>
      <c r="ED55" s="28"/>
      <c r="EE55" s="28"/>
      <c r="EF55" s="28"/>
      <c r="EG55" s="28"/>
      <c r="EH55" s="28"/>
      <c r="EI55" s="28"/>
      <c r="EJ55" s="28"/>
      <c r="EK55" s="28"/>
      <c r="EL55" s="28"/>
      <c r="EN55" s="28"/>
      <c r="EO55" s="28"/>
    </row>
    <row r="56" spans="1:146">
      <c r="B56" s="3242" t="s">
        <v>2057</v>
      </c>
      <c r="C56" s="3243"/>
      <c r="D56" s="3240"/>
      <c r="E56" s="3240"/>
      <c r="F56" s="3240"/>
      <c r="G56" s="3240"/>
      <c r="H56" s="3240"/>
      <c r="I56" s="3243"/>
      <c r="J56" s="3244">
        <f t="shared" ref="J56:N56" si="182">J55/I55-1</f>
        <v>0.1966170315180058</v>
      </c>
      <c r="K56" s="3244">
        <f t="shared" si="182"/>
        <v>0.12842499682530217</v>
      </c>
      <c r="L56" s="3244">
        <f t="shared" si="182"/>
        <v>0.22594753883895358</v>
      </c>
      <c r="M56" s="3244">
        <f t="shared" si="182"/>
        <v>0.22425740016426654</v>
      </c>
      <c r="N56" s="3244">
        <f t="shared" si="182"/>
        <v>0.21752508848556706</v>
      </c>
      <c r="O56" s="3244">
        <f>O55/N55-1</f>
        <v>0.21524185279313524</v>
      </c>
      <c r="P56" s="3244">
        <f>P55/O55-1</f>
        <v>0.20458661765585551</v>
      </c>
      <c r="Q56" s="3417">
        <f ca="1">Q55/P55-1</f>
        <v>0.17420761684148656</v>
      </c>
      <c r="R56" s="3417">
        <f ca="1">R55/Q55-1</f>
        <v>0.12973889047103593</v>
      </c>
      <c r="S56" s="3531">
        <f t="shared" ref="S56" ca="1" si="183">S55/R55-1</f>
        <v>0.13307511118442572</v>
      </c>
      <c r="T56" s="2756"/>
      <c r="U56" s="2756"/>
      <c r="V56" s="3240"/>
      <c r="W56" s="3245">
        <f ca="1">W55/O55-1</f>
        <v>-4.0706651888857692E-3</v>
      </c>
      <c r="Z56" s="41"/>
      <c r="AA56" s="68"/>
      <c r="AB56" s="13"/>
      <c r="AC56" s="13"/>
      <c r="AD56" s="69"/>
      <c r="AE56" s="13"/>
      <c r="AF56" s="13"/>
      <c r="AG56" s="61"/>
      <c r="AH56" s="70"/>
      <c r="AI56" s="61"/>
      <c r="AJ56" s="61"/>
      <c r="AK56" s="61"/>
      <c r="AL56" s="70"/>
      <c r="AM56" s="61"/>
      <c r="AN56" s="61"/>
      <c r="AO56" s="61"/>
      <c r="AP56" s="70"/>
      <c r="AQ56" s="61"/>
      <c r="AR56" s="61"/>
      <c r="AS56" s="61"/>
      <c r="AT56" s="70"/>
      <c r="AU56" s="61"/>
      <c r="AV56" s="61"/>
      <c r="AW56" s="61"/>
      <c r="AX56" s="61"/>
      <c r="AY56" s="71"/>
      <c r="AZ56" s="61"/>
      <c r="BA56" s="61"/>
      <c r="BB56" s="61"/>
      <c r="BC56" s="611"/>
      <c r="BD56" s="612"/>
      <c r="BE56" s="612"/>
      <c r="BF56" s="612"/>
      <c r="BG56" s="615"/>
      <c r="BH56" s="616"/>
      <c r="BI56" s="616"/>
      <c r="BJ56" s="616"/>
      <c r="BK56" s="615"/>
      <c r="BL56" s="616"/>
      <c r="BM56" s="616"/>
      <c r="BN56" s="616"/>
      <c r="BO56" s="615"/>
      <c r="BP56" s="616"/>
      <c r="BQ56" s="616"/>
      <c r="BR56" s="616"/>
      <c r="BS56" s="615"/>
      <c r="BT56" s="616"/>
      <c r="BU56" s="616"/>
      <c r="BV56" s="616"/>
      <c r="BW56" s="615"/>
      <c r="BX56" s="616"/>
      <c r="BY56" s="616"/>
      <c r="BZ56" s="885"/>
      <c r="CA56" s="616"/>
      <c r="CB56" s="616"/>
      <c r="CC56" s="616"/>
      <c r="CD56" s="616"/>
      <c r="CE56" s="616"/>
      <c r="CF56" s="616"/>
      <c r="CG56" s="616"/>
      <c r="CH56" s="616"/>
      <c r="CI56" s="616"/>
      <c r="CJ56" s="616"/>
      <c r="CK56" s="616"/>
      <c r="CL56" s="616"/>
      <c r="CM56" s="616"/>
      <c r="CN56" s="3388">
        <f t="shared" si="6"/>
        <v>0</v>
      </c>
      <c r="CO56" s="3556" t="e">
        <f t="shared" ca="1" si="7"/>
        <v>#DIV/0!</v>
      </c>
      <c r="CP56" s="3388"/>
      <c r="CQ56" s="3388"/>
      <c r="CR56" s="3120"/>
      <c r="CS56" s="1862"/>
      <c r="CT56" s="1865"/>
      <c r="CU56" s="1865"/>
      <c r="CV56" s="1865"/>
      <c r="CW56" s="1865"/>
      <c r="CX56" s="1865"/>
      <c r="CY56" s="174"/>
      <c r="CZ56" s="1862"/>
      <c r="DA56" s="883"/>
      <c r="DB56" s="3115"/>
      <c r="DC56" s="624"/>
      <c r="DD56" s="61"/>
      <c r="DE56" s="1006"/>
      <c r="DF56" s="1007"/>
      <c r="DH56" s="667"/>
      <c r="DI56" s="667"/>
      <c r="DJ56" s="46"/>
      <c r="DK56" s="46"/>
      <c r="DL56" s="46"/>
      <c r="DM56" s="46"/>
      <c r="DN56" s="46"/>
      <c r="DS56" s="28"/>
      <c r="DT56" s="28"/>
      <c r="DU56" s="28"/>
      <c r="DV56" s="28"/>
      <c r="DW56" s="28"/>
      <c r="DX56" s="28"/>
      <c r="DY56" s="28"/>
      <c r="DZ56" s="28"/>
      <c r="EB56" s="28"/>
      <c r="EC56" s="28"/>
      <c r="ED56" s="28"/>
      <c r="EE56" s="28"/>
      <c r="EF56" s="28"/>
      <c r="EG56" s="28"/>
      <c r="EH56" s="28"/>
      <c r="EI56" s="28"/>
      <c r="EJ56" s="28"/>
      <c r="EK56" s="28"/>
      <c r="EL56" s="28"/>
      <c r="EN56" s="28"/>
      <c r="EO56" s="28"/>
    </row>
    <row r="57" spans="1:146" s="28" customFormat="1" ht="14.25" customHeight="1">
      <c r="B57" s="1373" t="s">
        <v>822</v>
      </c>
      <c r="C57" s="1365">
        <f t="shared" ref="C57:M57" si="184">C53/C9</f>
        <v>8.0729540056111646E-2</v>
      </c>
      <c r="D57" s="1366">
        <f t="shared" si="184"/>
        <v>7.6414144523940214E-2</v>
      </c>
      <c r="E57" s="1366">
        <f t="shared" si="184"/>
        <v>6.3689590604879415E-2</v>
      </c>
      <c r="F57" s="1366">
        <f t="shared" si="184"/>
        <v>6.4228243243848612E-2</v>
      </c>
      <c r="G57" s="1366">
        <f t="shared" si="184"/>
        <v>6.5155455446770399E-2</v>
      </c>
      <c r="H57" s="1366">
        <f t="shared" si="184"/>
        <v>8.2705785415796512E-2</v>
      </c>
      <c r="I57" s="1365">
        <f t="shared" si="184"/>
        <v>0.13931514016438179</v>
      </c>
      <c r="J57" s="1366">
        <f t="shared" si="184"/>
        <v>0.14113063428970318</v>
      </c>
      <c r="K57" s="1366">
        <f t="shared" si="184"/>
        <v>0.14829654109471618</v>
      </c>
      <c r="L57" s="1366">
        <f t="shared" si="184"/>
        <v>0.1500199599658289</v>
      </c>
      <c r="M57" s="1366">
        <f t="shared" si="184"/>
        <v>0.14749859397569956</v>
      </c>
      <c r="N57" s="1366">
        <f t="shared" ref="N57:O57" si="185">N53/N9</f>
        <v>0.14801141089160866</v>
      </c>
      <c r="O57" s="1366">
        <f t="shared" si="185"/>
        <v>0.15000161498733716</v>
      </c>
      <c r="P57" s="1366">
        <f t="shared" ref="P57" si="186">P53/P9</f>
        <v>0.16124116888050302</v>
      </c>
      <c r="Q57" s="2722">
        <f ca="1">Q53/Q9</f>
        <v>0.1972397336261166</v>
      </c>
      <c r="R57" s="2722">
        <f ca="1">R53/R9</f>
        <v>0.19355448131656486</v>
      </c>
      <c r="S57" s="3532">
        <f ca="1">S53/S9</f>
        <v>0.18896178264663374</v>
      </c>
      <c r="T57" s="2722"/>
      <c r="U57" s="2722"/>
      <c r="V57" s="1368">
        <f>V53/V9</f>
        <v>0.12937163829778739</v>
      </c>
      <c r="W57" s="1366">
        <f ca="1">W53/W9</f>
        <v>0.14159696510651845</v>
      </c>
      <c r="Z57" s="382"/>
      <c r="AA57" s="90"/>
      <c r="AB57" s="91"/>
      <c r="AC57" s="91"/>
      <c r="AD57" s="141"/>
      <c r="AE57" s="91"/>
      <c r="AF57" s="91"/>
      <c r="AG57" s="91"/>
      <c r="AH57" s="141"/>
      <c r="AI57" s="91"/>
      <c r="AJ57" s="91"/>
      <c r="AK57" s="91"/>
      <c r="AL57" s="141"/>
      <c r="AM57" s="91"/>
      <c r="AN57" s="91"/>
      <c r="AO57" s="91"/>
      <c r="AP57" s="141"/>
      <c r="AQ57" s="91"/>
      <c r="AR57" s="91"/>
      <c r="AS57" s="91"/>
      <c r="AT57" s="141"/>
      <c r="AU57" s="91"/>
      <c r="AV57" s="91"/>
      <c r="AW57" s="91"/>
      <c r="AX57" s="91"/>
      <c r="AY57" s="90"/>
      <c r="AZ57" s="91"/>
      <c r="BA57" s="91"/>
      <c r="BB57" s="91"/>
      <c r="BC57" s="716" t="e">
        <f t="shared" ref="BC57:CB57" si="187">BC55/BC9</f>
        <v>#REF!</v>
      </c>
      <c r="BD57" s="717" t="e">
        <f t="shared" si="187"/>
        <v>#REF!</v>
      </c>
      <c r="BE57" s="717" t="e">
        <f t="shared" si="187"/>
        <v>#REF!</v>
      </c>
      <c r="BF57" s="717" t="e">
        <f t="shared" si="187"/>
        <v>#REF!</v>
      </c>
      <c r="BG57" s="716">
        <f t="shared" si="187"/>
        <v>0.10252375823503199</v>
      </c>
      <c r="BH57" s="717">
        <f t="shared" si="187"/>
        <v>0.10852014325904834</v>
      </c>
      <c r="BI57" s="717">
        <f t="shared" si="187"/>
        <v>0.12006233898243034</v>
      </c>
      <c r="BJ57" s="717">
        <f t="shared" si="187"/>
        <v>0.11283022816317796</v>
      </c>
      <c r="BK57" s="716">
        <f t="shared" si="187"/>
        <v>0.11082813260223449</v>
      </c>
      <c r="BL57" s="717">
        <f t="shared" si="187"/>
        <v>0.11638898298933166</v>
      </c>
      <c r="BM57" s="717">
        <f t="shared" si="187"/>
        <v>0.13497890522044537</v>
      </c>
      <c r="BN57" s="717">
        <f t="shared" si="187"/>
        <v>9.3977373801041236E-2</v>
      </c>
      <c r="BO57" s="716">
        <f t="shared" si="187"/>
        <v>0.11254528623295836</v>
      </c>
      <c r="BP57" s="717">
        <f t="shared" si="187"/>
        <v>0.12375847129292719</v>
      </c>
      <c r="BQ57" s="717">
        <f t="shared" si="187"/>
        <v>0.12321148871560746</v>
      </c>
      <c r="BR57" s="717">
        <f t="shared" si="187"/>
        <v>0.12636260307685954</v>
      </c>
      <c r="BS57" s="716">
        <f t="shared" si="187"/>
        <v>0.11660719814536617</v>
      </c>
      <c r="BT57" s="717">
        <f t="shared" si="187"/>
        <v>0.11533865701847196</v>
      </c>
      <c r="BU57" s="717">
        <f t="shared" si="187"/>
        <v>0.12596682950767055</v>
      </c>
      <c r="BV57" s="717">
        <f t="shared" si="187"/>
        <v>0.12317926943854754</v>
      </c>
      <c r="BW57" s="716">
        <f t="shared" si="187"/>
        <v>0.12975417176436677</v>
      </c>
      <c r="BX57" s="717">
        <f t="shared" si="187"/>
        <v>0.12268847119662317</v>
      </c>
      <c r="BY57" s="717">
        <f t="shared" si="187"/>
        <v>0.13348288705412265</v>
      </c>
      <c r="BZ57" s="884">
        <f t="shared" si="187"/>
        <v>0.10108772877509192</v>
      </c>
      <c r="CA57" s="717">
        <f t="shared" si="187"/>
        <v>0.12764319583180864</v>
      </c>
      <c r="CB57" s="717">
        <f t="shared" si="187"/>
        <v>0.11891470482359029</v>
      </c>
      <c r="CC57" s="717">
        <f t="shared" ref="CC57:CH57" si="188">CC55/CC9</f>
        <v>0.12575835808810468</v>
      </c>
      <c r="CD57" s="717">
        <f t="shared" si="188"/>
        <v>0.11765496288229074</v>
      </c>
      <c r="CE57" s="717">
        <f t="shared" si="188"/>
        <v>0.12758390667621838</v>
      </c>
      <c r="CF57" s="717">
        <f t="shared" si="188"/>
        <v>0.12321803857547482</v>
      </c>
      <c r="CG57" s="717">
        <f t="shared" si="188"/>
        <v>0.13135104258499622</v>
      </c>
      <c r="CH57" s="717">
        <f t="shared" si="188"/>
        <v>0.11896478361960761</v>
      </c>
      <c r="CI57" s="717">
        <f t="shared" ref="CI57:CJ57" si="189">CI55/CI9</f>
        <v>0.13540181234652382</v>
      </c>
      <c r="CJ57" s="717">
        <f t="shared" si="189"/>
        <v>0.13578780336583193</v>
      </c>
      <c r="CK57" s="717">
        <f t="shared" ref="CK57:CL57" si="190">CK55/CK9</f>
        <v>0.14828673131421111</v>
      </c>
      <c r="CL57" s="717">
        <f t="shared" si="190"/>
        <v>0.1229893092829822</v>
      </c>
      <c r="CM57" s="717">
        <f t="shared" ref="CM57" si="191">CM55/CM9</f>
        <v>0.20953496166628963</v>
      </c>
      <c r="CN57" s="3388">
        <f t="shared" si="6"/>
        <v>0.83813984666515851</v>
      </c>
      <c r="CO57" s="3556">
        <f t="shared" ca="1" si="7"/>
        <v>0.235330338261456</v>
      </c>
      <c r="CP57" s="3388"/>
      <c r="CQ57" s="3388"/>
      <c r="CR57" s="3121" t="s">
        <v>822</v>
      </c>
      <c r="CS57" s="3122">
        <f>CS55/CS9</f>
        <v>0.12615613847642049</v>
      </c>
      <c r="CT57" s="3122">
        <f>CT55/CT9</f>
        <v>0.1231339340821813</v>
      </c>
      <c r="CU57" s="3122"/>
      <c r="CV57" s="3122"/>
      <c r="CW57" s="3122">
        <f>CW55/CW9</f>
        <v>0.13559815352087387</v>
      </c>
      <c r="CX57" s="3122">
        <f t="shared" ref="CX57" si="192">CX55/CX9</f>
        <v>0.12531523476809647</v>
      </c>
      <c r="CY57" s="3123">
        <f>CW57/CX57-1</f>
        <v>8.2056413745755341E-2</v>
      </c>
      <c r="CZ57" s="3124">
        <f>CJ57</f>
        <v>0.13578780336583193</v>
      </c>
      <c r="DA57" s="3125">
        <f>CF57</f>
        <v>0.12321803857547482</v>
      </c>
      <c r="DB57" s="3125">
        <f t="shared" si="8"/>
        <v>0.1020123752632025</v>
      </c>
      <c r="DC57" s="717"/>
      <c r="DD57" s="91"/>
      <c r="DE57" s="1369">
        <f>DE55/DE9</f>
        <v>0.12975417176436677</v>
      </c>
      <c r="DF57" s="1370">
        <f>DF55/DF9</f>
        <v>0.12764319583180864</v>
      </c>
      <c r="DG57" s="1371"/>
      <c r="DH57" s="1372"/>
      <c r="DI57" s="1372"/>
      <c r="DJ57" s="1371"/>
      <c r="DK57" s="1371"/>
      <c r="DL57" s="1371"/>
      <c r="DM57" s="1371"/>
      <c r="DN57" s="1371"/>
      <c r="EA57" s="15"/>
      <c r="EP57" s="10"/>
    </row>
    <row r="58" spans="1:146" s="28" customFormat="1" ht="14.25" customHeight="1">
      <c r="A58" s="28" t="s">
        <v>164</v>
      </c>
      <c r="B58" s="1373" t="s">
        <v>823</v>
      </c>
      <c r="C58" s="1366"/>
      <c r="D58" s="1366">
        <f t="shared" ref="D58:P58" si="193">D55/C55-1</f>
        <v>4.3744817177780337E-2</v>
      </c>
      <c r="E58" s="1366">
        <f t="shared" si="193"/>
        <v>1.5162495237142082E-2</v>
      </c>
      <c r="F58" s="1366">
        <f t="shared" si="193"/>
        <v>0.18308532795304444</v>
      </c>
      <c r="G58" s="1366">
        <f t="shared" si="193"/>
        <v>3.0942453771688472E-2</v>
      </c>
      <c r="H58" s="1366">
        <f t="shared" si="193"/>
        <v>0.47265556076445026</v>
      </c>
      <c r="I58" s="1365">
        <f t="shared" si="193"/>
        <v>-0.10620806847105424</v>
      </c>
      <c r="J58" s="1366">
        <f t="shared" si="193"/>
        <v>0.1966170315180058</v>
      </c>
      <c r="K58" s="1366">
        <f t="shared" si="193"/>
        <v>0.12842499682530217</v>
      </c>
      <c r="L58" s="1366">
        <f t="shared" si="193"/>
        <v>0.22594753883895358</v>
      </c>
      <c r="M58" s="1366">
        <f t="shared" si="193"/>
        <v>0.22425740016426654</v>
      </c>
      <c r="N58" s="1366">
        <f t="shared" si="193"/>
        <v>0.21752508848556706</v>
      </c>
      <c r="O58" s="1366">
        <f t="shared" si="193"/>
        <v>0.21524185279313524</v>
      </c>
      <c r="P58" s="1366">
        <f t="shared" si="193"/>
        <v>0.20458661765585551</v>
      </c>
      <c r="Q58" s="2722">
        <f ca="1">Q55/P55-1</f>
        <v>0.17420761684148656</v>
      </c>
      <c r="R58" s="2722">
        <f ca="1">R55/Q55-1</f>
        <v>0.12973889047103593</v>
      </c>
      <c r="S58" s="3532">
        <f ca="1">S55/R55-1</f>
        <v>0.13307511118442572</v>
      </c>
      <c r="T58" s="2722"/>
      <c r="U58" s="2722"/>
      <c r="V58" s="1366">
        <f>V55/N55-1</f>
        <v>-7.3995189670320038E-2</v>
      </c>
      <c r="W58" s="1366">
        <f ca="1">W55/O55-1</f>
        <v>-4.0706651888857692E-3</v>
      </c>
      <c r="Z58" s="1143"/>
      <c r="AD58" s="147"/>
      <c r="AE58" s="91"/>
      <c r="AF58" s="91"/>
      <c r="AG58" s="91"/>
      <c r="AH58" s="141"/>
      <c r="AI58" s="91"/>
      <c r="AJ58" s="91"/>
      <c r="AK58" s="91"/>
      <c r="AL58" s="141"/>
      <c r="AM58" s="91"/>
      <c r="AN58" s="91"/>
      <c r="AO58" s="91"/>
      <c r="AP58" s="141"/>
      <c r="AQ58" s="91"/>
      <c r="AR58" s="91"/>
      <c r="AS58" s="91"/>
      <c r="AT58" s="141"/>
      <c r="AU58" s="91"/>
      <c r="AV58" s="91"/>
      <c r="AW58" s="91"/>
      <c r="AX58" s="91"/>
      <c r="AY58" s="90"/>
      <c r="AZ58" s="91"/>
      <c r="BA58" s="91"/>
      <c r="BB58" s="91"/>
      <c r="BC58" s="613"/>
      <c r="BD58" s="614"/>
      <c r="BE58" s="614"/>
      <c r="BF58" s="614"/>
      <c r="BG58" s="613"/>
      <c r="BH58" s="614"/>
      <c r="BI58" s="614"/>
      <c r="BJ58" s="614"/>
      <c r="BK58" s="613">
        <f t="shared" ref="BK58:BZ58" si="194">BK55/BG55-1</f>
        <v>0.28936224840259062</v>
      </c>
      <c r="BL58" s="614">
        <f t="shared" si="194"/>
        <v>0.3373250467419695</v>
      </c>
      <c r="BM58" s="614">
        <f t="shared" si="194"/>
        <v>0.32321816692987881</v>
      </c>
      <c r="BN58" s="614">
        <f t="shared" si="194"/>
        <v>-2.7193968769106069E-2</v>
      </c>
      <c r="BO58" s="613">
        <f t="shared" si="194"/>
        <v>0.18826825402327674</v>
      </c>
      <c r="BP58" s="614">
        <f t="shared" si="194"/>
        <v>8.7320411361776484E-2</v>
      </c>
      <c r="BQ58" s="614">
        <f t="shared" si="194"/>
        <v>-2.9520529879463298E-2</v>
      </c>
      <c r="BR58" s="614">
        <f t="shared" si="194"/>
        <v>0.43510334464618872</v>
      </c>
      <c r="BS58" s="613">
        <f t="shared" si="194"/>
        <v>0.18543874048028797</v>
      </c>
      <c r="BT58" s="614">
        <f t="shared" si="194"/>
        <v>0.15383558213457604</v>
      </c>
      <c r="BU58" s="614">
        <f t="shared" si="194"/>
        <v>0.18100602959369771</v>
      </c>
      <c r="BV58" s="614">
        <f t="shared" si="194"/>
        <v>0.20396378343462596</v>
      </c>
      <c r="BW58" s="613">
        <f t="shared" si="194"/>
        <v>0.42721217929397559</v>
      </c>
      <c r="BX58" s="614">
        <f t="shared" si="194"/>
        <v>0.24274275431795722</v>
      </c>
      <c r="BY58" s="614">
        <f t="shared" si="194"/>
        <v>0.35398587939393056</v>
      </c>
      <c r="BZ58" s="886">
        <f t="shared" si="194"/>
        <v>-6.7123460266271806E-5</v>
      </c>
      <c r="CA58" s="614">
        <f>CA55/BW55-1</f>
        <v>0.18099016076956298</v>
      </c>
      <c r="CB58" s="614">
        <f>CB55/BX55-1</f>
        <v>0.19852283378998981</v>
      </c>
      <c r="CC58" s="614">
        <f>CC55/BY55-1</f>
        <v>0.1629633686818297</v>
      </c>
      <c r="CD58" s="614">
        <f>CD55/CA55-1</f>
        <v>0.15918424101731166</v>
      </c>
      <c r="CE58" s="614">
        <f>CE55/CB55-1</f>
        <v>0.21114223224084183</v>
      </c>
      <c r="CF58" s="614">
        <f>CF55/CC55-1</f>
        <v>8.5419965729540914E-2</v>
      </c>
      <c r="CG58" s="614">
        <f>CG55/CD55-1</f>
        <v>0.20854678265243098</v>
      </c>
      <c r="CH58" s="614">
        <f>CH55/CE55-1</f>
        <v>0.1650025251529168</v>
      </c>
      <c r="CI58" s="614">
        <f>CI55/CE55-1</f>
        <v>0.20926811137084855</v>
      </c>
      <c r="CJ58" s="614">
        <f>CJ55/CF55-1</f>
        <v>0.20172957786324908</v>
      </c>
      <c r="CK58" s="614">
        <f>CK55/CG55-1</f>
        <v>0.22134165412545315</v>
      </c>
      <c r="CL58" s="614">
        <f>CL55/CH55-1</f>
        <v>0.18752167263275465</v>
      </c>
      <c r="CM58" s="614">
        <f>CM55/CI55-1</f>
        <v>0.20268319402413892</v>
      </c>
      <c r="CN58" s="3388">
        <f t="shared" si="6"/>
        <v>0.8107327760965557</v>
      </c>
      <c r="CO58" s="3556">
        <f t="shared" ca="1" si="7"/>
        <v>0.21487674111344796</v>
      </c>
      <c r="CP58" s="3388"/>
      <c r="CQ58" s="3388"/>
      <c r="CR58" s="1373" t="s">
        <v>823</v>
      </c>
      <c r="CS58" s="1872"/>
      <c r="CT58" s="1872"/>
      <c r="CU58" s="614"/>
      <c r="CV58" s="614"/>
      <c r="CW58" s="614"/>
      <c r="CX58" s="614"/>
      <c r="CY58" s="174"/>
      <c r="CZ58" s="614"/>
      <c r="DA58" s="614"/>
      <c r="DC58" s="614"/>
      <c r="DD58" s="607"/>
      <c r="DE58" s="178"/>
      <c r="DG58" s="161"/>
      <c r="DH58" s="161"/>
      <c r="DI58" s="161"/>
      <c r="DJ58" s="383"/>
      <c r="DK58" s="383"/>
      <c r="DL58" s="383"/>
      <c r="DM58" s="383"/>
      <c r="DN58" s="383"/>
      <c r="EA58" s="15"/>
    </row>
    <row r="59" spans="1:146" s="28" customFormat="1">
      <c r="B59" s="1373" t="s">
        <v>824</v>
      </c>
      <c r="C59" s="1365"/>
      <c r="D59" s="1366">
        <f t="shared" ref="D59:P59" si="195">D47/C47-1</f>
        <v>4.5321685440719905E-2</v>
      </c>
      <c r="E59" s="1366">
        <f t="shared" si="195"/>
        <v>-2.2422132964555641E-2</v>
      </c>
      <c r="F59" s="1366">
        <f t="shared" si="195"/>
        <v>0.1593692130060238</v>
      </c>
      <c r="G59" s="1366">
        <f t="shared" si="195"/>
        <v>5.7082196810502861E-2</v>
      </c>
      <c r="H59" s="1366">
        <f t="shared" si="195"/>
        <v>0.41183173315314714</v>
      </c>
      <c r="I59" s="1365">
        <f t="shared" si="195"/>
        <v>-9.3420498112249839E-2</v>
      </c>
      <c r="J59" s="1366">
        <f t="shared" si="195"/>
        <v>0.20917861416568506</v>
      </c>
      <c r="K59" s="1366">
        <f t="shared" si="195"/>
        <v>0.12840008587315466</v>
      </c>
      <c r="L59" s="1366">
        <f t="shared" si="195"/>
        <v>0.20400088506053371</v>
      </c>
      <c r="M59" s="1366">
        <f t="shared" si="195"/>
        <v>0.20909473776298326</v>
      </c>
      <c r="N59" s="1366">
        <f t="shared" si="195"/>
        <v>0.20107886210379844</v>
      </c>
      <c r="O59" s="1366">
        <f t="shared" si="195"/>
        <v>0.20283088823770945</v>
      </c>
      <c r="P59" s="1366">
        <f t="shared" si="195"/>
        <v>0.1864610114493126</v>
      </c>
      <c r="Q59" s="2722">
        <f ca="1">Q47/P47-1</f>
        <v>1.0515096793228151E-2</v>
      </c>
      <c r="R59" s="2722">
        <f ca="1">R47/Q47-1</f>
        <v>0.13145100207432003</v>
      </c>
      <c r="S59" s="3532">
        <f ca="1">S47/R47-1</f>
        <v>0.13307511118442572</v>
      </c>
      <c r="T59" s="2722"/>
      <c r="U59" s="2722"/>
      <c r="V59" s="1366">
        <f>V47/N47-1</f>
        <v>-0.21636784277565346</v>
      </c>
      <c r="W59" s="3205">
        <f ca="1">W47/O47-1</f>
        <v>-2.1433115289906102E-3</v>
      </c>
      <c r="Z59" s="808"/>
      <c r="AD59" s="147"/>
      <c r="AH59" s="147"/>
      <c r="AL59" s="147"/>
      <c r="AP59" s="147"/>
      <c r="AT59" s="147"/>
      <c r="AX59" s="147"/>
      <c r="BC59" s="635"/>
      <c r="BD59" s="636"/>
      <c r="BE59" s="636"/>
      <c r="BF59" s="636"/>
      <c r="BG59" s="635"/>
      <c r="BH59" s="636"/>
      <c r="BI59" s="636"/>
      <c r="BJ59" s="636"/>
      <c r="BK59" s="635"/>
      <c r="BL59" s="636"/>
      <c r="BM59" s="636"/>
      <c r="BN59" s="636"/>
      <c r="BO59" s="635"/>
      <c r="BP59" s="636"/>
      <c r="BQ59" s="636"/>
      <c r="BR59" s="636"/>
      <c r="BS59" s="635"/>
      <c r="BT59" s="636"/>
      <c r="BU59" s="636"/>
      <c r="BV59" s="636"/>
      <c r="BW59" s="635"/>
      <c r="BX59" s="636"/>
      <c r="BZ59" s="147"/>
      <c r="CD59" s="147"/>
      <c r="CE59" s="147"/>
      <c r="CF59" s="147"/>
      <c r="CG59" s="147"/>
      <c r="CH59" s="147"/>
      <c r="CI59" s="147"/>
      <c r="CJ59" s="147"/>
      <c r="CK59" s="147"/>
      <c r="CL59" s="147"/>
      <c r="CM59" s="147"/>
      <c r="CN59" s="3388">
        <f t="shared" si="6"/>
        <v>0</v>
      </c>
      <c r="CO59" s="3556" t="e">
        <f t="shared" ca="1" si="7"/>
        <v>#DIV/0!</v>
      </c>
      <c r="CP59" s="3388"/>
      <c r="CQ59" s="3388"/>
      <c r="CR59" s="1373" t="s">
        <v>824</v>
      </c>
      <c r="CS59" s="148"/>
      <c r="CT59" s="148"/>
      <c r="CY59" s="174"/>
      <c r="DE59" s="178"/>
      <c r="DG59" s="161"/>
      <c r="DH59" s="161"/>
      <c r="DI59" s="161"/>
      <c r="DJ59" s="383"/>
      <c r="DK59" s="383"/>
      <c r="DL59" s="383"/>
      <c r="DM59" s="383"/>
      <c r="DN59" s="383"/>
      <c r="DO59" s="10"/>
      <c r="DP59" s="10"/>
      <c r="DQ59" s="10"/>
      <c r="DR59" s="10"/>
      <c r="DS59" s="10"/>
      <c r="DT59" s="10"/>
      <c r="DU59" s="10"/>
      <c r="DV59" s="10"/>
      <c r="DW59" s="10"/>
      <c r="DX59" s="10"/>
      <c r="DY59" s="10"/>
      <c r="DZ59" s="10"/>
      <c r="EA59" s="15"/>
      <c r="EB59" s="10"/>
      <c r="EC59" s="10"/>
      <c r="ED59" s="10"/>
      <c r="EE59" s="10"/>
      <c r="EF59" s="10"/>
      <c r="EG59" s="10"/>
      <c r="EH59" s="10"/>
      <c r="EI59" s="10"/>
      <c r="EJ59" s="10"/>
      <c r="EK59" s="10"/>
      <c r="EL59" s="10"/>
      <c r="EN59" s="10"/>
      <c r="EO59" s="10"/>
    </row>
    <row r="60" spans="1:146" s="28" customFormat="1" ht="13.5" thickBot="1">
      <c r="B60" s="1373"/>
      <c r="C60" s="1365"/>
      <c r="D60" s="1366"/>
      <c r="E60" s="1366"/>
      <c r="F60" s="1366"/>
      <c r="G60" s="1366"/>
      <c r="H60" s="1366"/>
      <c r="I60" s="1366"/>
      <c r="J60" s="1366"/>
      <c r="K60" s="1366"/>
      <c r="L60" s="1366"/>
      <c r="M60" s="1366"/>
      <c r="N60" s="1366"/>
      <c r="O60" s="1366"/>
      <c r="P60" s="1366"/>
      <c r="Q60" s="1366"/>
      <c r="R60" s="1366"/>
      <c r="S60" s="1367"/>
      <c r="T60" s="2722"/>
      <c r="U60" s="2722"/>
      <c r="V60" s="1366"/>
      <c r="W60" s="1366"/>
      <c r="Z60" s="808"/>
      <c r="AD60" s="147"/>
      <c r="AH60" s="147"/>
      <c r="AL60" s="147"/>
      <c r="AP60" s="147"/>
      <c r="AT60" s="147"/>
      <c r="AX60" s="147"/>
      <c r="BC60" s="635"/>
      <c r="BD60" s="636"/>
      <c r="BE60" s="636"/>
      <c r="BF60" s="636"/>
      <c r="BG60" s="635"/>
      <c r="BH60" s="636"/>
      <c r="BI60" s="636"/>
      <c r="BJ60" s="636"/>
      <c r="BK60" s="635"/>
      <c r="BL60" s="636"/>
      <c r="BM60" s="636"/>
      <c r="BN60" s="636"/>
      <c r="BO60" s="635"/>
      <c r="BP60" s="636"/>
      <c r="BQ60" s="636"/>
      <c r="BR60" s="636"/>
      <c r="BS60" s="635"/>
      <c r="BT60" s="636"/>
      <c r="BU60" s="636"/>
      <c r="BV60" s="636"/>
      <c r="BW60" s="635"/>
      <c r="BX60" s="636"/>
      <c r="BZ60" s="147"/>
      <c r="CD60" s="147"/>
      <c r="CE60" s="147"/>
      <c r="CF60" s="147"/>
      <c r="CG60" s="147"/>
      <c r="CH60" s="147"/>
      <c r="CI60" s="147"/>
      <c r="CJ60" s="147"/>
      <c r="CK60" s="147"/>
      <c r="CL60" s="147"/>
      <c r="CM60" s="147"/>
      <c r="CN60" s="3388">
        <f t="shared" si="6"/>
        <v>0</v>
      </c>
      <c r="CO60" s="3556" t="e">
        <f t="shared" si="7"/>
        <v>#DIV/0!</v>
      </c>
      <c r="CP60" s="3388"/>
      <c r="CQ60" s="3388"/>
      <c r="CR60" s="148"/>
      <c r="CS60" s="148"/>
      <c r="CT60" s="148"/>
      <c r="CY60" s="174"/>
      <c r="DE60" s="178"/>
      <c r="DG60" s="161"/>
      <c r="DH60" s="161"/>
      <c r="DI60" s="161"/>
      <c r="DJ60" s="383"/>
      <c r="DK60" s="383"/>
      <c r="DL60" s="383"/>
      <c r="DM60" s="383"/>
      <c r="DN60" s="383"/>
      <c r="DO60" s="10"/>
      <c r="DP60" s="10"/>
      <c r="DQ60" s="10"/>
      <c r="DR60" s="10"/>
      <c r="DS60" s="10"/>
      <c r="DT60" s="10"/>
      <c r="DU60" s="10"/>
      <c r="DV60" s="10"/>
      <c r="DW60" s="10"/>
      <c r="DX60" s="10"/>
      <c r="DY60" s="10"/>
      <c r="DZ60" s="10"/>
      <c r="EA60" s="15"/>
      <c r="EB60" s="10"/>
      <c r="EC60" s="10"/>
      <c r="ED60" s="10"/>
      <c r="EE60" s="10"/>
      <c r="EF60" s="10"/>
      <c r="EG60" s="10"/>
      <c r="EH60" s="10"/>
      <c r="EI60" s="10"/>
      <c r="EJ60" s="10"/>
      <c r="EK60" s="10"/>
      <c r="EL60" s="10"/>
      <c r="EN60" s="10"/>
      <c r="EO60" s="10"/>
    </row>
    <row r="61" spans="1:146" s="28" customFormat="1" ht="13.5" thickBot="1">
      <c r="B61" s="3144" t="s">
        <v>2011</v>
      </c>
      <c r="C61" s="3145"/>
      <c r="D61" s="3145"/>
      <c r="E61" s="3145"/>
      <c r="F61" s="3145"/>
      <c r="G61" s="3145"/>
      <c r="H61" s="3145"/>
      <c r="I61" s="3145"/>
      <c r="J61" s="3145"/>
      <c r="K61" s="3145"/>
      <c r="L61" s="3145">
        <f>L14</f>
        <v>0.38230540607439883</v>
      </c>
      <c r="M61" s="3145">
        <f t="shared" ref="M61:R61" si="196">M14</f>
        <v>0.39008095623448957</v>
      </c>
      <c r="N61" s="3145">
        <f t="shared" si="196"/>
        <v>0.38617187544864356</v>
      </c>
      <c r="O61" s="3145">
        <f t="shared" si="196"/>
        <v>0.37706915280310094</v>
      </c>
      <c r="P61" s="3145">
        <f t="shared" ref="P61" si="197">P14</f>
        <v>0.37019121409634759</v>
      </c>
      <c r="Q61" s="3145">
        <f t="shared" ca="1" si="196"/>
        <v>0.3466012947437157</v>
      </c>
      <c r="R61" s="3145">
        <f t="shared" ca="1" si="196"/>
        <v>0.33780576720202882</v>
      </c>
      <c r="S61" s="3533">
        <f t="shared" ref="S61" ca="1" si="198">S14</f>
        <v>0.33418917147781407</v>
      </c>
      <c r="T61" s="2722"/>
      <c r="U61" s="2722"/>
      <c r="V61" s="1366"/>
      <c r="W61" s="3145">
        <f ca="1">W14</f>
        <v>0.37483499484151517</v>
      </c>
      <c r="Z61" s="808"/>
      <c r="AD61" s="147"/>
      <c r="AH61" s="147"/>
      <c r="AL61" s="147"/>
      <c r="AP61" s="147"/>
      <c r="AT61" s="147"/>
      <c r="AX61" s="147"/>
      <c r="BB61" s="147"/>
      <c r="BC61" s="636"/>
      <c r="BD61" s="636"/>
      <c r="BE61" s="636"/>
      <c r="BF61" s="636"/>
      <c r="BG61" s="635"/>
      <c r="BH61" s="636"/>
      <c r="BI61" s="636"/>
      <c r="BJ61" s="636"/>
      <c r="BK61" s="635"/>
      <c r="BL61" s="636"/>
      <c r="BM61" s="636"/>
      <c r="BN61" s="636"/>
      <c r="BO61" s="635"/>
      <c r="BP61" s="636"/>
      <c r="BQ61" s="636"/>
      <c r="BR61" s="636"/>
      <c r="BS61" s="635"/>
      <c r="BT61" s="636"/>
      <c r="BU61" s="636"/>
      <c r="BV61" s="636"/>
      <c r="BW61" s="635"/>
      <c r="BX61" s="636"/>
      <c r="BZ61" s="147"/>
      <c r="CD61" s="1367">
        <f t="shared" ref="CD61:CI61" si="199">CD14</f>
        <v>0.383370002865002</v>
      </c>
      <c r="CE61" s="1367">
        <f t="shared" si="199"/>
        <v>0.39100927204955949</v>
      </c>
      <c r="CF61" s="1367">
        <f t="shared" si="199"/>
        <v>0.37069684428953031</v>
      </c>
      <c r="CG61" s="1367">
        <f t="shared" si="199"/>
        <v>0.38728697173933097</v>
      </c>
      <c r="CH61" s="1367">
        <f t="shared" si="199"/>
        <v>0.36220099932870736</v>
      </c>
      <c r="CI61" s="1367">
        <f t="shared" si="199"/>
        <v>0.39240830721595815</v>
      </c>
      <c r="CJ61" s="1367">
        <f t="shared" ref="CJ61" si="200">CJ14</f>
        <v>0.36217407352919545</v>
      </c>
      <c r="CK61" s="1367">
        <f t="shared" ref="CK61:CL61" si="201">CK14</f>
        <v>0.37890426554985818</v>
      </c>
      <c r="CL61" s="1367">
        <f t="shared" si="201"/>
        <v>0.34843601123762968</v>
      </c>
      <c r="CM61" s="1367">
        <f t="shared" ref="CM61" si="202">CM14</f>
        <v>0.34013548403549182</v>
      </c>
      <c r="CN61" s="3388">
        <f t="shared" si="6"/>
        <v>1.3605419361419673</v>
      </c>
      <c r="CO61" s="3556">
        <f t="shared" ca="1" si="7"/>
        <v>0.25475237883997809</v>
      </c>
      <c r="CP61" s="3388"/>
      <c r="CQ61" s="3388"/>
      <c r="CR61" s="3173" t="s">
        <v>2018</v>
      </c>
      <c r="CS61" s="3176">
        <f>CS14</f>
        <v>0.39321528284502949</v>
      </c>
      <c r="CT61" s="3177">
        <f t="shared" ref="CT61:DA61" si="203">CT14</f>
        <v>0.38077468800765973</v>
      </c>
      <c r="CU61" s="3177"/>
      <c r="CV61" s="3177"/>
      <c r="CW61" s="3177">
        <f t="shared" si="203"/>
        <v>0.3770291282954919</v>
      </c>
      <c r="CX61" s="3177">
        <f t="shared" si="203"/>
        <v>0.38045415833985174</v>
      </c>
      <c r="CY61" s="3177">
        <f t="shared" si="203"/>
        <v>-9.0024776159769448E-3</v>
      </c>
      <c r="CZ61" s="3177">
        <f t="shared" si="203"/>
        <v>0.36217407352919545</v>
      </c>
      <c r="DA61" s="3178">
        <f t="shared" si="203"/>
        <v>0.37069684428953031</v>
      </c>
      <c r="DE61" s="178"/>
      <c r="DG61" s="161"/>
      <c r="DH61" s="161"/>
      <c r="DI61" s="161"/>
      <c r="DJ61" s="383"/>
      <c r="DK61" s="383"/>
      <c r="DL61" s="383"/>
      <c r="DM61" s="383"/>
      <c r="DN61" s="383"/>
      <c r="DO61" s="10"/>
      <c r="DP61" s="10"/>
      <c r="DQ61" s="10"/>
      <c r="DR61" s="10"/>
      <c r="DS61" s="10"/>
      <c r="DT61" s="10"/>
      <c r="DU61" s="10"/>
      <c r="DV61" s="10"/>
      <c r="DW61" s="10"/>
      <c r="DX61" s="10"/>
      <c r="DY61" s="10"/>
      <c r="DZ61" s="10"/>
      <c r="EA61" s="15"/>
      <c r="EB61" s="10"/>
      <c r="EC61" s="10"/>
      <c r="ED61" s="10"/>
      <c r="EE61" s="10"/>
      <c r="EF61" s="10"/>
      <c r="EG61" s="10"/>
      <c r="EH61" s="10"/>
      <c r="EI61" s="10"/>
      <c r="EJ61" s="10"/>
      <c r="EK61" s="10"/>
      <c r="EL61" s="10"/>
      <c r="EN61" s="10"/>
      <c r="EO61" s="10"/>
    </row>
    <row r="62" spans="1:146" s="28" customFormat="1" ht="13.5" thickBot="1">
      <c r="B62" s="943" t="s">
        <v>2012</v>
      </c>
      <c r="C62" s="1366"/>
      <c r="D62" s="1366"/>
      <c r="E62" s="1366"/>
      <c r="F62" s="1366"/>
      <c r="G62" s="1366"/>
      <c r="H62" s="1366"/>
      <c r="I62" s="1366"/>
      <c r="J62" s="1366"/>
      <c r="K62" s="1366"/>
      <c r="L62" s="1366">
        <f>L26</f>
        <v>0.15186324270925325</v>
      </c>
      <c r="M62" s="1366">
        <f t="shared" ref="M62:R62" si="204">M26</f>
        <v>0.15438832575374628</v>
      </c>
      <c r="N62" s="1366">
        <f t="shared" si="204"/>
        <v>0.16062267339567346</v>
      </c>
      <c r="O62" s="1366">
        <f t="shared" si="204"/>
        <v>0.16720035501081251</v>
      </c>
      <c r="P62" s="1366">
        <f t="shared" ref="P62" si="205">P26</f>
        <v>0.15779809875527884</v>
      </c>
      <c r="Q62" s="1366">
        <f ca="1">Q26</f>
        <v>0.17060129474371571</v>
      </c>
      <c r="R62" s="1366">
        <f t="shared" ca="1" si="204"/>
        <v>0.16380576720202886</v>
      </c>
      <c r="S62" s="1367">
        <f t="shared" ref="S62" ca="1" si="206">S26</f>
        <v>0.16018917147781406</v>
      </c>
      <c r="T62" s="2722"/>
      <c r="U62" s="2722"/>
      <c r="V62" s="1366"/>
      <c r="W62" s="1366">
        <f ca="1">W26</f>
        <v>0.15483499484151514</v>
      </c>
      <c r="Z62" s="808"/>
      <c r="AD62" s="147"/>
      <c r="AH62" s="147"/>
      <c r="AL62" s="147"/>
      <c r="AP62" s="147"/>
      <c r="AT62" s="147"/>
      <c r="AX62" s="147"/>
      <c r="BB62" s="147"/>
      <c r="BC62" s="636"/>
      <c r="BD62" s="636"/>
      <c r="BE62" s="636"/>
      <c r="BF62" s="636"/>
      <c r="BG62" s="636"/>
      <c r="BH62" s="636"/>
      <c r="BI62" s="636"/>
      <c r="BJ62" s="636"/>
      <c r="BK62" s="635"/>
      <c r="BL62" s="636"/>
      <c r="BM62" s="636"/>
      <c r="BN62" s="636"/>
      <c r="BO62" s="635"/>
      <c r="BP62" s="636"/>
      <c r="BQ62" s="636"/>
      <c r="BR62" s="636"/>
      <c r="BS62" s="635"/>
      <c r="BT62" s="636"/>
      <c r="BU62" s="636"/>
      <c r="BV62" s="636"/>
      <c r="BW62" s="635"/>
      <c r="BX62" s="636"/>
      <c r="CD62" s="1367">
        <f t="shared" ref="CD62:CI62" si="207">CD26</f>
        <v>0.15899913436016988</v>
      </c>
      <c r="CE62" s="1367">
        <f t="shared" si="207"/>
        <v>0.16448286759739367</v>
      </c>
      <c r="CF62" s="1367">
        <f t="shared" si="207"/>
        <v>0.1541785496658849</v>
      </c>
      <c r="CG62" s="1367">
        <f t="shared" si="207"/>
        <v>0.17526039753413211</v>
      </c>
      <c r="CH62" s="1367">
        <f t="shared" si="207"/>
        <v>0.17337069552051301</v>
      </c>
      <c r="CI62" s="1367">
        <f t="shared" si="207"/>
        <v>0.16160805459653935</v>
      </c>
      <c r="CJ62" s="1367">
        <f t="shared" ref="CJ62" si="208">CJ26</f>
        <v>0.13937308307811019</v>
      </c>
      <c r="CK62" s="1367">
        <f t="shared" ref="CK62:CL62" si="209">CK26</f>
        <v>0.17175757900093086</v>
      </c>
      <c r="CL62" s="1367">
        <f t="shared" si="209"/>
        <v>0.15432758353966988</v>
      </c>
      <c r="CM62" s="1367">
        <f t="shared" ref="CM62" si="210">CM26</f>
        <v>0.16284218968749006</v>
      </c>
      <c r="CN62" s="3388">
        <f t="shared" si="6"/>
        <v>0.65136875874996025</v>
      </c>
      <c r="CO62" s="3556">
        <f t="shared" ca="1" si="7"/>
        <v>0.26191200061715597</v>
      </c>
      <c r="CP62" s="3388"/>
      <c r="CQ62" s="3388"/>
      <c r="CR62" s="3174" t="s">
        <v>2019</v>
      </c>
      <c r="CS62" s="153">
        <f>CS19</f>
        <v>0.10193097720987561</v>
      </c>
      <c r="CT62" s="154">
        <f t="shared" ref="CT62:DA62" si="211">CT19</f>
        <v>9.6838241385877863E-2</v>
      </c>
      <c r="CU62" s="154"/>
      <c r="CV62" s="154"/>
      <c r="CW62" s="154">
        <f t="shared" si="211"/>
        <v>0.11073334746423442</v>
      </c>
      <c r="CX62" s="154">
        <f t="shared" si="211"/>
        <v>0.1007957375669533</v>
      </c>
      <c r="CY62" s="154">
        <f t="shared" si="211"/>
        <v>9.8591568821847275E-2</v>
      </c>
      <c r="CZ62" s="154">
        <f t="shared" si="211"/>
        <v>0.10768883003112485</v>
      </c>
      <c r="DA62" s="155">
        <f t="shared" si="211"/>
        <v>0.10417768066094928</v>
      </c>
      <c r="DE62" s="178"/>
      <c r="DG62" s="161"/>
      <c r="DH62" s="161"/>
      <c r="DI62" s="161"/>
      <c r="DJ62" s="383"/>
      <c r="DK62" s="383"/>
      <c r="DL62" s="383"/>
      <c r="DM62" s="383"/>
      <c r="DN62" s="383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5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  <c r="EN62" s="10"/>
      <c r="EO62" s="10"/>
    </row>
    <row r="63" spans="1:146" s="28" customFormat="1" ht="13.5" thickBot="1">
      <c r="B63" s="943" t="s">
        <v>2021</v>
      </c>
      <c r="C63" s="1366">
        <f>C24/C47</f>
        <v>0.92728834687938266</v>
      </c>
      <c r="D63" s="1366">
        <f t="shared" ref="D63:BP63" si="212">D24/D47</f>
        <v>0.92862292175642502</v>
      </c>
      <c r="E63" s="1366">
        <f t="shared" si="212"/>
        <v>0.94935173785829297</v>
      </c>
      <c r="F63" s="1366">
        <f t="shared" si="212"/>
        <v>1.02946557763179</v>
      </c>
      <c r="G63" s="1366">
        <f t="shared" si="212"/>
        <v>1.0114879178722298</v>
      </c>
      <c r="H63" s="1366">
        <f t="shared" si="212"/>
        <v>0.7441952802719547</v>
      </c>
      <c r="I63" s="1366">
        <f t="shared" si="212"/>
        <v>0.80924803741226659</v>
      </c>
      <c r="J63" s="1366">
        <f t="shared" si="212"/>
        <v>0.88901491705460833</v>
      </c>
      <c r="K63" s="1366">
        <f t="shared" si="212"/>
        <v>0.87484898277139789</v>
      </c>
      <c r="L63" s="1366">
        <f t="shared" si="212"/>
        <v>0.8544817920440676</v>
      </c>
      <c r="M63" s="1366">
        <f t="shared" si="212"/>
        <v>0.88675363875825997</v>
      </c>
      <c r="N63" s="1366">
        <f t="shared" si="212"/>
        <v>0.91835513405519176</v>
      </c>
      <c r="O63" s="1366">
        <f t="shared" si="212"/>
        <v>0.94929202884280084</v>
      </c>
      <c r="P63" s="1366">
        <f t="shared" ref="P63" si="213">P24/P47</f>
        <v>0.84352643424711349</v>
      </c>
      <c r="Q63" s="1366">
        <f t="shared" ca="1" si="212"/>
        <v>0.73520227322471587</v>
      </c>
      <c r="R63" s="1366">
        <f t="shared" ca="1" si="212"/>
        <v>0.71935767735597478</v>
      </c>
      <c r="S63" s="1367">
        <f t="shared" ref="S63" ca="1" si="214">S24/S47</f>
        <v>0.72057319659588626</v>
      </c>
      <c r="T63" s="2722"/>
      <c r="U63" s="1366"/>
      <c r="V63" s="1366"/>
      <c r="W63" s="1366">
        <f ca="1">W24/W47</f>
        <v>0.92946727718551347</v>
      </c>
      <c r="X63" s="1366"/>
      <c r="Y63" s="1366"/>
      <c r="Z63" s="1367"/>
      <c r="AA63" s="1366"/>
      <c r="AB63" s="1366"/>
      <c r="AC63" s="1366"/>
      <c r="AD63" s="1367"/>
      <c r="AE63" s="1366"/>
      <c r="AF63" s="1366"/>
      <c r="AG63" s="1366"/>
      <c r="AH63" s="1367"/>
      <c r="AI63" s="1366"/>
      <c r="AJ63" s="1366"/>
      <c r="AK63" s="1366"/>
      <c r="AL63" s="1367"/>
      <c r="AM63" s="1366"/>
      <c r="AN63" s="1366"/>
      <c r="AO63" s="1366"/>
      <c r="AP63" s="1367"/>
      <c r="AQ63" s="1366"/>
      <c r="AR63" s="1366"/>
      <c r="AS63" s="1366"/>
      <c r="AT63" s="1367"/>
      <c r="AU63" s="1366"/>
      <c r="AV63" s="1366"/>
      <c r="AW63" s="1366"/>
      <c r="AX63" s="1367"/>
      <c r="AY63" s="1366"/>
      <c r="AZ63" s="1366"/>
      <c r="BA63" s="1366"/>
      <c r="BB63" s="1367"/>
      <c r="BC63" s="1366"/>
      <c r="BD63" s="1366"/>
      <c r="BE63" s="1366"/>
      <c r="BF63" s="1367"/>
      <c r="BG63" s="1366">
        <f t="shared" si="212"/>
        <v>0.84841819443724953</v>
      </c>
      <c r="BH63" s="1365">
        <f t="shared" si="212"/>
        <v>0.79326495155968146</v>
      </c>
      <c r="BI63" s="1365">
        <f t="shared" si="212"/>
        <v>0.84441546853810601</v>
      </c>
      <c r="BJ63" s="1365">
        <f t="shared" si="212"/>
        <v>0.76087319207408033</v>
      </c>
      <c r="BK63" s="1365">
        <f t="shared" si="212"/>
        <v>0.84358971278659334</v>
      </c>
      <c r="BL63" s="1365">
        <f t="shared" si="212"/>
        <v>0.91665270879062133</v>
      </c>
      <c r="BM63" s="1365">
        <f t="shared" si="212"/>
        <v>0.8714962997794814</v>
      </c>
      <c r="BN63" s="1365">
        <f t="shared" si="212"/>
        <v>0.89425856205020127</v>
      </c>
      <c r="BO63" s="1365">
        <f t="shared" si="212"/>
        <v>0.91931002425360786</v>
      </c>
      <c r="BP63" s="1365">
        <f t="shared" si="212"/>
        <v>0.85771276995708867</v>
      </c>
      <c r="BQ63" s="1365">
        <f t="shared" ref="BQ63:CJ63" si="215">BQ24/BQ47</f>
        <v>0.8603461672229481</v>
      </c>
      <c r="BR63" s="1365">
        <f t="shared" si="215"/>
        <v>0.86865168691425154</v>
      </c>
      <c r="BS63" s="1365">
        <f t="shared" si="215"/>
        <v>0.77368713459827987</v>
      </c>
      <c r="BT63" s="1365">
        <f t="shared" si="215"/>
        <v>0.97118581760041445</v>
      </c>
      <c r="BU63" s="1365">
        <f t="shared" si="215"/>
        <v>0.83962690257213457</v>
      </c>
      <c r="BV63" s="1365">
        <f t="shared" si="215"/>
        <v>0.83023880832818109</v>
      </c>
      <c r="BW63" s="1365">
        <f t="shared" si="215"/>
        <v>0.79573832882395579</v>
      </c>
      <c r="BX63" s="1365">
        <f t="shared" si="215"/>
        <v>0.85082737994567348</v>
      </c>
      <c r="BY63" s="1365">
        <f t="shared" si="215"/>
        <v>0.87112567351823911</v>
      </c>
      <c r="BZ63" s="1365">
        <f t="shared" si="215"/>
        <v>1.0045686673423218</v>
      </c>
      <c r="CA63" s="1365">
        <f t="shared" si="215"/>
        <v>0.88346526511835999</v>
      </c>
      <c r="CB63" s="1365">
        <f t="shared" si="215"/>
        <v>0.86557899475060107</v>
      </c>
      <c r="CC63" s="1365">
        <f t="shared" si="215"/>
        <v>0.94217719323563298</v>
      </c>
      <c r="CD63" s="1365">
        <f t="shared" si="215"/>
        <v>0.95920898933063925</v>
      </c>
      <c r="CE63" s="1365">
        <f t="shared" si="215"/>
        <v>0.91492804591240595</v>
      </c>
      <c r="CF63" s="1365">
        <f t="shared" si="215"/>
        <v>0.88067238429754202</v>
      </c>
      <c r="CG63" s="1365">
        <f t="shared" si="215"/>
        <v>0.95823251194671055</v>
      </c>
      <c r="CH63" s="1365">
        <f t="shared" si="215"/>
        <v>1.0318405018401833</v>
      </c>
      <c r="CI63" s="1365">
        <f t="shared" si="215"/>
        <v>0.85797946431259264</v>
      </c>
      <c r="CJ63" s="1365">
        <f t="shared" si="215"/>
        <v>0.73767434118387465</v>
      </c>
      <c r="CK63" s="1365">
        <f t="shared" ref="CK63:CL63" si="216">CK24/CK47</f>
        <v>0.87562542331439974</v>
      </c>
      <c r="CL63" s="1365">
        <f t="shared" si="216"/>
        <v>0.891006278567397</v>
      </c>
      <c r="CM63" s="1365">
        <f t="shared" ref="CM63" si="217">CM24/CM47</f>
        <v>0.72481559897121284</v>
      </c>
      <c r="CN63" s="3388">
        <f t="shared" si="6"/>
        <v>2.8992623958848514</v>
      </c>
      <c r="CO63" s="3556">
        <f t="shared" ca="1" si="7"/>
        <v>0.25358252301283446</v>
      </c>
      <c r="CP63" s="3388"/>
      <c r="CQ63" s="3388"/>
      <c r="CR63" s="3174" t="s">
        <v>2020</v>
      </c>
      <c r="CS63" s="3179">
        <f>CS22</f>
        <v>0.1401537603406231</v>
      </c>
      <c r="CT63" s="140">
        <f t="shared" ref="CT63:DA63" si="218">CT22</f>
        <v>0.12695869536306359</v>
      </c>
      <c r="CU63" s="140"/>
      <c r="CV63" s="140"/>
      <c r="CW63" s="140">
        <f t="shared" si="218"/>
        <v>0.1159979386520783</v>
      </c>
      <c r="CX63" s="140">
        <f t="shared" si="218"/>
        <v>0.12053007055535636</v>
      </c>
      <c r="CY63" s="140">
        <f t="shared" si="218"/>
        <v>-3.7601669711099794E-2</v>
      </c>
      <c r="CZ63" s="140">
        <f t="shared" si="218"/>
        <v>0.11511216041996039</v>
      </c>
      <c r="DA63" s="2786">
        <f t="shared" si="218"/>
        <v>0.11234061396269611</v>
      </c>
      <c r="DE63" s="178"/>
      <c r="DG63" s="161"/>
      <c r="DH63" s="161"/>
      <c r="DI63" s="161"/>
      <c r="DJ63" s="383"/>
      <c r="DK63" s="383"/>
      <c r="DL63" s="383"/>
      <c r="DM63" s="383"/>
      <c r="DN63" s="383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5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  <c r="EN63" s="10"/>
      <c r="EO63" s="10"/>
    </row>
    <row r="64" spans="1:146" s="28" customFormat="1" ht="13.5" thickBot="1">
      <c r="B64" s="943" t="s">
        <v>2025</v>
      </c>
      <c r="C64" s="1366"/>
      <c r="D64" s="1366"/>
      <c r="E64" s="1366"/>
      <c r="F64" s="1366"/>
      <c r="G64" s="1366"/>
      <c r="H64" s="1366"/>
      <c r="I64" s="1366"/>
      <c r="J64" s="1366"/>
      <c r="K64" s="1366"/>
      <c r="L64" s="1366"/>
      <c r="M64" s="1366"/>
      <c r="N64" s="1366"/>
      <c r="O64" s="1366"/>
      <c r="P64" s="1366"/>
      <c r="Q64" s="1366"/>
      <c r="R64" s="1366"/>
      <c r="S64" s="1367"/>
      <c r="T64" s="2722"/>
      <c r="U64" s="1366"/>
      <c r="V64" s="1366"/>
      <c r="W64" s="1366"/>
      <c r="X64" s="1366"/>
      <c r="Y64" s="1366"/>
      <c r="Z64" s="1367"/>
      <c r="AA64" s="1366"/>
      <c r="AB64" s="1366"/>
      <c r="AC64" s="1366"/>
      <c r="AD64" s="1367"/>
      <c r="AE64" s="1366"/>
      <c r="AF64" s="1366"/>
      <c r="AG64" s="1366"/>
      <c r="AH64" s="1367"/>
      <c r="AI64" s="1366"/>
      <c r="AJ64" s="1366"/>
      <c r="AK64" s="1366"/>
      <c r="AL64" s="1367"/>
      <c r="AM64" s="1366"/>
      <c r="AN64" s="1366"/>
      <c r="AO64" s="1366"/>
      <c r="AP64" s="1367"/>
      <c r="AQ64" s="1366"/>
      <c r="AR64" s="1366"/>
      <c r="AS64" s="1366"/>
      <c r="AT64" s="1367"/>
      <c r="AU64" s="1366"/>
      <c r="AV64" s="1366"/>
      <c r="AW64" s="1366"/>
      <c r="AX64" s="1367"/>
      <c r="AY64" s="1366"/>
      <c r="AZ64" s="1366"/>
      <c r="BA64" s="1366"/>
      <c r="BB64" s="1367"/>
      <c r="BC64" s="1366"/>
      <c r="BD64" s="1366"/>
      <c r="BE64" s="1366"/>
      <c r="BF64" s="1367"/>
      <c r="BG64" s="1366"/>
      <c r="BH64" s="1365"/>
      <c r="BI64" s="1365"/>
      <c r="BJ64" s="1365"/>
      <c r="BK64" s="1365"/>
      <c r="BL64" s="1365"/>
      <c r="BM64" s="1365"/>
      <c r="BN64" s="1365"/>
      <c r="BO64" s="1365"/>
      <c r="BP64" s="1365"/>
      <c r="BQ64" s="1365"/>
      <c r="BR64" s="1365"/>
      <c r="BS64" s="1365"/>
      <c r="BT64" s="1365"/>
      <c r="BU64" s="1365"/>
      <c r="BV64" s="1365"/>
      <c r="BW64" s="1365"/>
      <c r="BX64" s="1365"/>
      <c r="BY64" s="1365"/>
      <c r="BZ64" s="1365"/>
      <c r="CA64" s="1365"/>
      <c r="CB64" s="1365"/>
      <c r="CC64" s="1365"/>
      <c r="CD64" s="1365"/>
      <c r="CE64" s="1365"/>
      <c r="CF64" s="1365"/>
      <c r="CG64" s="1365"/>
      <c r="CH64" s="1365"/>
      <c r="CI64" s="1365"/>
      <c r="CJ64" s="1365"/>
      <c r="CK64" s="1365"/>
      <c r="CL64" s="1365"/>
      <c r="CM64" s="1365"/>
      <c r="CN64" s="3388">
        <f t="shared" si="6"/>
        <v>0</v>
      </c>
      <c r="CO64" s="3556" t="e">
        <f t="shared" si="7"/>
        <v>#DIV/0!</v>
      </c>
      <c r="CP64" s="3388"/>
      <c r="CQ64" s="3388"/>
      <c r="CR64" s="3174"/>
      <c r="CS64" s="3179"/>
      <c r="CT64" s="140"/>
      <c r="CU64" s="140"/>
      <c r="CV64" s="140"/>
      <c r="CW64" s="140"/>
      <c r="CX64" s="140"/>
      <c r="CY64" s="140"/>
      <c r="CZ64" s="140"/>
      <c r="DA64" s="2786"/>
      <c r="DE64" s="178"/>
      <c r="DG64" s="161"/>
      <c r="DH64" s="161"/>
      <c r="DI64" s="161"/>
      <c r="DJ64" s="383"/>
      <c r="DK64" s="383"/>
      <c r="DL64" s="383"/>
      <c r="DM64" s="383"/>
      <c r="DN64" s="383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5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  <c r="EN64" s="10"/>
      <c r="EO64" s="10"/>
    </row>
    <row r="65" spans="2:145" s="28" customFormat="1" ht="13.5" thickBot="1">
      <c r="B65" s="943" t="s">
        <v>269</v>
      </c>
      <c r="C65" s="1366">
        <f>C39/C47</f>
        <v>3.599728346537432E-2</v>
      </c>
      <c r="D65" s="1366">
        <f t="shared" ref="D65:BP65" si="219">D39/D47</f>
        <v>4.5780100196585176E-2</v>
      </c>
      <c r="E65" s="1366">
        <f t="shared" si="219"/>
        <v>5.5172857227744126E-3</v>
      </c>
      <c r="F65" s="1366">
        <f t="shared" si="219"/>
        <v>-5.8876224090406028E-2</v>
      </c>
      <c r="G65" s="1366">
        <f t="shared" si="219"/>
        <v>-3.9634462120448744E-2</v>
      </c>
      <c r="H65" s="1366">
        <f t="shared" si="219"/>
        <v>0.23083453732871095</v>
      </c>
      <c r="I65" s="1366">
        <f t="shared" si="219"/>
        <v>6.1967696402366837E-2</v>
      </c>
      <c r="J65" s="1366">
        <f t="shared" si="219"/>
        <v>1.2457521928985617E-2</v>
      </c>
      <c r="K65" s="1366">
        <f t="shared" si="219"/>
        <v>5.2005978657929282E-2</v>
      </c>
      <c r="L65" s="1366">
        <f t="shared" si="219"/>
        <v>1.9977562763895295E-2</v>
      </c>
      <c r="M65" s="1366">
        <f t="shared" si="219"/>
        <v>4.0605949906850305E-2</v>
      </c>
      <c r="N65" s="1366">
        <f t="shared" si="219"/>
        <v>6.7127047346517768E-2</v>
      </c>
      <c r="O65" s="1366">
        <f t="shared" si="219"/>
        <v>1.1219856797769759E-2</v>
      </c>
      <c r="P65" s="1366">
        <f t="shared" ref="P65" si="220">P39/P47</f>
        <v>9.93709322263608E-2</v>
      </c>
      <c r="Q65" s="1366">
        <f t="shared" ca="1" si="219"/>
        <v>4.2027084201031989E-2</v>
      </c>
      <c r="R65" s="1366">
        <f t="shared" ca="1" si="219"/>
        <v>6.6881992618008271E-2</v>
      </c>
      <c r="S65" s="1367">
        <f t="shared" ref="S65" ca="1" si="221">S39/S47</f>
        <v>6.0503585110431773E-2</v>
      </c>
      <c r="T65" s="2722"/>
      <c r="U65" s="1366"/>
      <c r="V65" s="1366"/>
      <c r="W65" s="1366">
        <f ca="1">W39/W47</f>
        <v>0</v>
      </c>
      <c r="X65" s="1366"/>
      <c r="Y65" s="1366"/>
      <c r="Z65" s="1367"/>
      <c r="AA65" s="1366"/>
      <c r="AB65" s="1366"/>
      <c r="AC65" s="1366"/>
      <c r="AD65" s="1367"/>
      <c r="AE65" s="1366"/>
      <c r="AF65" s="1366"/>
      <c r="AG65" s="1366"/>
      <c r="AH65" s="1367"/>
      <c r="AI65" s="1366"/>
      <c r="AJ65" s="1366"/>
      <c r="AK65" s="1366"/>
      <c r="AL65" s="1367"/>
      <c r="AM65" s="1366"/>
      <c r="AN65" s="1366"/>
      <c r="AO65" s="1366"/>
      <c r="AP65" s="1367"/>
      <c r="AQ65" s="1366"/>
      <c r="AR65" s="1366"/>
      <c r="AS65" s="1366"/>
      <c r="AT65" s="1367"/>
      <c r="AU65" s="1366"/>
      <c r="AV65" s="1366"/>
      <c r="AW65" s="1366"/>
      <c r="AX65" s="1367"/>
      <c r="AY65" s="1366"/>
      <c r="AZ65" s="1366"/>
      <c r="BA65" s="1366"/>
      <c r="BB65" s="1367"/>
      <c r="BC65" s="1366"/>
      <c r="BD65" s="1366"/>
      <c r="BE65" s="1366"/>
      <c r="BF65" s="1367"/>
      <c r="BG65" s="1366">
        <f t="shared" si="219"/>
        <v>1.4341027182074466E-2</v>
      </c>
      <c r="BH65" s="1365">
        <f t="shared" si="219"/>
        <v>4.7095493380390388E-2</v>
      </c>
      <c r="BI65" s="1365">
        <f t="shared" si="219"/>
        <v>5.4701246120099821E-2</v>
      </c>
      <c r="BJ65" s="1365">
        <f t="shared" si="219"/>
        <v>0.11457079293691146</v>
      </c>
      <c r="BK65" s="1365">
        <f t="shared" si="219"/>
        <v>3.3606511629979748E-2</v>
      </c>
      <c r="BL65" s="1365">
        <f t="shared" si="219"/>
        <v>-3.4031303951130132E-2</v>
      </c>
      <c r="BM65" s="1365">
        <f t="shared" si="219"/>
        <v>2.5847497877269143E-2</v>
      </c>
      <c r="BN65" s="1365">
        <f t="shared" si="219"/>
        <v>2.973315048997489E-2</v>
      </c>
      <c r="BO65" s="1365">
        <f t="shared" si="219"/>
        <v>-2.3689606463714913E-3</v>
      </c>
      <c r="BP65" s="1365">
        <f t="shared" si="219"/>
        <v>7.474396666915134E-2</v>
      </c>
      <c r="BQ65" s="1365">
        <f t="shared" ref="BQ65:CJ65" si="222">BQ39/BQ47</f>
        <v>7.8858748732057324E-2</v>
      </c>
      <c r="BR65" s="1365">
        <f t="shared" si="222"/>
        <v>4.9101591418758472E-2</v>
      </c>
      <c r="BS65" s="1365">
        <f t="shared" si="222"/>
        <v>0.13195150892232327</v>
      </c>
      <c r="BT65" s="1365">
        <f t="shared" si="222"/>
        <v>-7.8787063669534321E-2</v>
      </c>
      <c r="BU65" s="1365">
        <f t="shared" si="222"/>
        <v>3.6237832754127779E-2</v>
      </c>
      <c r="BV65" s="1365">
        <f t="shared" si="222"/>
        <v>3.2140485709162407E-3</v>
      </c>
      <c r="BW65" s="1365">
        <f t="shared" si="222"/>
        <v>8.3310730932611834E-2</v>
      </c>
      <c r="BX65" s="1365">
        <f t="shared" si="222"/>
        <v>9.1133699961371939E-2</v>
      </c>
      <c r="BY65" s="1365">
        <f t="shared" si="222"/>
        <v>6.6950819007771445E-2</v>
      </c>
      <c r="BZ65" s="1365">
        <f t="shared" si="222"/>
        <v>-5.9351400657190571E-2</v>
      </c>
      <c r="CA65" s="1365">
        <f t="shared" si="222"/>
        <v>8.4720130387233097E-2</v>
      </c>
      <c r="CB65" s="1365">
        <f t="shared" si="222"/>
        <v>0.15127394048465267</v>
      </c>
      <c r="CC65" s="1365">
        <f t="shared" si="222"/>
        <v>4.5190596918550645E-2</v>
      </c>
      <c r="CD65" s="1365">
        <f t="shared" si="222"/>
        <v>-2.9612481007750993E-3</v>
      </c>
      <c r="CE65" s="1365">
        <f t="shared" si="222"/>
        <v>4.8558800952967107E-2</v>
      </c>
      <c r="CF65" s="1365">
        <f t="shared" si="222"/>
        <v>8.6686910565837508E-2</v>
      </c>
      <c r="CG65" s="1365">
        <f t="shared" si="222"/>
        <v>6.3639100144621394E-3</v>
      </c>
      <c r="CH65" s="1365">
        <f t="shared" si="222"/>
        <v>-8.4066803992777508E-2</v>
      </c>
      <c r="CI65" s="1365">
        <f t="shared" si="222"/>
        <v>8.6616420105805239E-2</v>
      </c>
      <c r="CJ65" s="1365">
        <f t="shared" si="222"/>
        <v>0.22465013660625655</v>
      </c>
      <c r="CK65" s="1365">
        <f t="shared" ref="CK65:CL65" si="223">CK39/CK47</f>
        <v>7.720165164153904E-2</v>
      </c>
      <c r="CL65" s="1365">
        <f t="shared" si="223"/>
        <v>2.19679224512697E-2</v>
      </c>
      <c r="CM65" s="1365">
        <f t="shared" ref="CM65" si="224">CM39/CM47</f>
        <v>1.7352063656301889E-2</v>
      </c>
      <c r="CN65" s="3388">
        <f t="shared" si="6"/>
        <v>6.9408254625207555E-2</v>
      </c>
      <c r="CO65" s="3556">
        <f t="shared" ca="1" si="7"/>
        <v>0.60550556166512037</v>
      </c>
      <c r="CP65" s="3388"/>
      <c r="CQ65" s="3388"/>
      <c r="CR65" s="3174" t="s">
        <v>830</v>
      </c>
      <c r="CS65" s="3179">
        <f>CS62+CS63</f>
        <v>0.2420847375504987</v>
      </c>
      <c r="CT65" s="140">
        <f t="shared" ref="CT65:DA65" si="225">CT62+CT63</f>
        <v>0.22379693674894147</v>
      </c>
      <c r="CU65" s="140"/>
      <c r="CV65" s="140"/>
      <c r="CW65" s="140">
        <f t="shared" si="225"/>
        <v>0.22673128611631271</v>
      </c>
      <c r="CX65" s="140">
        <f t="shared" si="225"/>
        <v>0.22132580812230968</v>
      </c>
      <c r="CY65" s="140">
        <f t="shared" si="225"/>
        <v>6.0989899110747481E-2</v>
      </c>
      <c r="CZ65" s="140">
        <f t="shared" si="225"/>
        <v>0.22280099045108526</v>
      </c>
      <c r="DA65" s="2786">
        <f t="shared" si="225"/>
        <v>0.21651829462364539</v>
      </c>
      <c r="DE65" s="178"/>
      <c r="DG65" s="161"/>
      <c r="DH65" s="161"/>
      <c r="DI65" s="161"/>
      <c r="DJ65" s="383"/>
      <c r="DK65" s="383"/>
      <c r="DL65" s="383"/>
      <c r="DM65" s="383"/>
      <c r="DN65" s="383"/>
      <c r="DO65" s="10"/>
      <c r="DP65" s="10"/>
      <c r="DQ65" s="10"/>
      <c r="DR65" s="10"/>
      <c r="DS65" s="10"/>
      <c r="DT65" s="10"/>
      <c r="DU65" s="10"/>
      <c r="DV65" s="10"/>
      <c r="DW65" s="10"/>
      <c r="DX65" s="10"/>
      <c r="DY65" s="10"/>
      <c r="DZ65" s="10"/>
      <c r="EA65" s="15"/>
      <c r="EB65" s="10"/>
      <c r="EC65" s="10"/>
      <c r="ED65" s="10"/>
      <c r="EE65" s="10"/>
      <c r="EF65" s="10"/>
      <c r="EG65" s="10"/>
      <c r="EH65" s="10"/>
      <c r="EI65" s="10"/>
      <c r="EJ65" s="10"/>
      <c r="EK65" s="10"/>
      <c r="EL65" s="10"/>
      <c r="EN65" s="10"/>
      <c r="EO65" s="10"/>
    </row>
    <row r="66" spans="2:145" s="28" customFormat="1" ht="13.5" thickBot="1">
      <c r="B66" s="943" t="s">
        <v>2006</v>
      </c>
      <c r="C66" s="1366">
        <f>C44/C47</f>
        <v>2.3142362255970737E-2</v>
      </c>
      <c r="D66" s="1366">
        <f t="shared" ref="D66:BP66" si="226">D44/D47</f>
        <v>1.7042108552022352E-2</v>
      </c>
      <c r="E66" s="1366">
        <f t="shared" si="226"/>
        <v>2.8516550043673088E-2</v>
      </c>
      <c r="F66" s="1366">
        <f t="shared" si="226"/>
        <v>1.7319139034376665E-2</v>
      </c>
      <c r="G66" s="1366">
        <f t="shared" si="226"/>
        <v>1.6489429573617254E-2</v>
      </c>
      <c r="H66" s="1366">
        <f t="shared" si="226"/>
        <v>8.2643333864669266E-3</v>
      </c>
      <c r="I66" s="1366">
        <f t="shared" si="226"/>
        <v>1.4975985418724641E-2</v>
      </c>
      <c r="J66" s="1366">
        <f t="shared" si="226"/>
        <v>1.1717652645820018E-2</v>
      </c>
      <c r="K66" s="1366">
        <f t="shared" si="226"/>
        <v>1.3831626467957893E-2</v>
      </c>
      <c r="L66" s="1366">
        <f t="shared" si="226"/>
        <v>1.7154609875320057E-2</v>
      </c>
      <c r="M66" s="1366">
        <f t="shared" si="226"/>
        <v>9.5263171500185821E-3</v>
      </c>
      <c r="N66" s="1366">
        <f t="shared" si="226"/>
        <v>9.9163863589290125E-3</v>
      </c>
      <c r="O66" s="1366">
        <f t="shared" si="226"/>
        <v>4.0281273318240989E-3</v>
      </c>
      <c r="P66" s="1366">
        <f t="shared" ref="P66" si="227">P44/P47</f>
        <v>7.0010629128685513E-3</v>
      </c>
      <c r="Q66" s="1366">
        <f t="shared" ca="1" si="226"/>
        <v>7.2968167955067068E-3</v>
      </c>
      <c r="R66" s="1366">
        <f t="shared" ca="1" si="226"/>
        <v>7.3584956264278268E-3</v>
      </c>
      <c r="S66" s="1367">
        <f t="shared" ref="S66" ca="1" si="228">S44/S47</f>
        <v>7.5048063775108934E-3</v>
      </c>
      <c r="T66" s="2722"/>
      <c r="U66" s="1366"/>
      <c r="V66" s="1366"/>
      <c r="W66" s="1366">
        <f ca="1">W44/W47</f>
        <v>1.0503187622077864E-2</v>
      </c>
      <c r="X66" s="1366"/>
      <c r="Y66" s="1366"/>
      <c r="Z66" s="1367"/>
      <c r="AA66" s="1366"/>
      <c r="AB66" s="1366"/>
      <c r="AC66" s="1366"/>
      <c r="AD66" s="1367"/>
      <c r="AE66" s="1366"/>
      <c r="AF66" s="1366"/>
      <c r="AG66" s="1366"/>
      <c r="AH66" s="1367"/>
      <c r="AI66" s="1366"/>
      <c r="AJ66" s="1366"/>
      <c r="AK66" s="1366"/>
      <c r="AL66" s="1367"/>
      <c r="AM66" s="1366"/>
      <c r="AN66" s="1366"/>
      <c r="AO66" s="1366"/>
      <c r="AP66" s="1367"/>
      <c r="AQ66" s="1366"/>
      <c r="AR66" s="1366"/>
      <c r="AS66" s="1366"/>
      <c r="AT66" s="1367"/>
      <c r="AU66" s="1366"/>
      <c r="AV66" s="1366"/>
      <c r="AW66" s="1366"/>
      <c r="AX66" s="1367"/>
      <c r="AY66" s="1366"/>
      <c r="AZ66" s="1366"/>
      <c r="BA66" s="1366"/>
      <c r="BB66" s="1367"/>
      <c r="BC66" s="1366"/>
      <c r="BD66" s="1366"/>
      <c r="BE66" s="1366"/>
      <c r="BF66" s="1367"/>
      <c r="BG66" s="1366">
        <f t="shared" si="226"/>
        <v>1.2029367133274609E-2</v>
      </c>
      <c r="BH66" s="1365">
        <f t="shared" si="226"/>
        <v>2.9528634964697455E-2</v>
      </c>
      <c r="BI66" s="1365">
        <f t="shared" si="226"/>
        <v>-6.3047719637283504E-3</v>
      </c>
      <c r="BJ66" s="1365">
        <f t="shared" si="226"/>
        <v>2.521092871197176E-2</v>
      </c>
      <c r="BK66" s="1365">
        <f t="shared" si="226"/>
        <v>2.4087360779327001E-2</v>
      </c>
      <c r="BL66" s="1365">
        <f t="shared" si="226"/>
        <v>1.1957251861888502E-2</v>
      </c>
      <c r="BM66" s="1365">
        <f t="shared" si="226"/>
        <v>1.5395543048344337E-2</v>
      </c>
      <c r="BN66" s="1365">
        <f t="shared" si="226"/>
        <v>1.8572228823309122E-2</v>
      </c>
      <c r="BO66" s="1365">
        <f t="shared" si="226"/>
        <v>1.291562112001398E-2</v>
      </c>
      <c r="BP66" s="1365">
        <f t="shared" si="226"/>
        <v>1.3575023474928873E-2</v>
      </c>
      <c r="BQ66" s="1365">
        <f t="shared" ref="BQ66:CJ66" si="229">BQ44/BQ47</f>
        <v>1.1888848243059516E-2</v>
      </c>
      <c r="BR66" s="1365">
        <f t="shared" si="229"/>
        <v>1.6666444400438265E-2</v>
      </c>
      <c r="BS66" s="1365">
        <f t="shared" si="229"/>
        <v>1.1966139328421468E-2</v>
      </c>
      <c r="BT66" s="1365">
        <f t="shared" si="229"/>
        <v>1.0266443748678659E-2</v>
      </c>
      <c r="BU66" s="1365">
        <f t="shared" si="229"/>
        <v>3.3893629017858265E-2</v>
      </c>
      <c r="BV66" s="1365">
        <f t="shared" si="229"/>
        <v>1.1734012126416291E-2</v>
      </c>
      <c r="BW66" s="1365">
        <f t="shared" si="229"/>
        <v>3.5677891434145854E-3</v>
      </c>
      <c r="BX66" s="1365">
        <f t="shared" si="229"/>
        <v>1.1666481858685351E-2</v>
      </c>
      <c r="BY66" s="1365">
        <f t="shared" si="229"/>
        <v>1.6946182155841621E-2</v>
      </c>
      <c r="BZ66" s="1365">
        <f t="shared" si="229"/>
        <v>5.4129369299488542E-3</v>
      </c>
      <c r="CA66" s="1365">
        <f t="shared" si="229"/>
        <v>1.1180739863789238E-2</v>
      </c>
      <c r="CB66" s="1365">
        <f t="shared" si="229"/>
        <v>1.2788352530207981E-2</v>
      </c>
      <c r="CC66" s="1365">
        <f t="shared" si="229"/>
        <v>-3.7916844502644052E-3</v>
      </c>
      <c r="CD66" s="1365">
        <f t="shared" si="229"/>
        <v>1.9873784331803854E-2</v>
      </c>
      <c r="CE66" s="1365">
        <f t="shared" si="229"/>
        <v>7.1262470017741586E-3</v>
      </c>
      <c r="CF66" s="1365">
        <f t="shared" si="229"/>
        <v>1.0684122976088331E-2</v>
      </c>
      <c r="CG66" s="1365">
        <f t="shared" si="229"/>
        <v>-1.3616547562635476E-2</v>
      </c>
      <c r="CH66" s="1365">
        <f t="shared" si="229"/>
        <v>1.2716154918000802E-2</v>
      </c>
      <c r="CI66" s="1365">
        <f t="shared" si="229"/>
        <v>1.0199424148379481E-2</v>
      </c>
      <c r="CJ66" s="1365">
        <f t="shared" si="229"/>
        <v>3.7007291816530336E-3</v>
      </c>
      <c r="CK66" s="1365">
        <f t="shared" ref="CK66:CL66" si="230">CK44/CK47</f>
        <v>8.4044628997494864E-3</v>
      </c>
      <c r="CL66" s="1365">
        <f t="shared" si="230"/>
        <v>6.0287911865990456E-3</v>
      </c>
      <c r="CM66" s="1365">
        <f t="shared" ref="CM66" si="231">CM44/CM47</f>
        <v>2.0001272892543751E-2</v>
      </c>
      <c r="CN66" s="3388">
        <f t="shared" si="6"/>
        <v>8.0005091570175005E-2</v>
      </c>
      <c r="CO66" s="3556">
        <f t="shared" ca="1" si="7"/>
        <v>9.1204405273462338E-2</v>
      </c>
      <c r="CP66" s="3388"/>
      <c r="CQ66" s="3388"/>
      <c r="CR66" s="3174" t="s">
        <v>1355</v>
      </c>
      <c r="CS66" s="3179">
        <f>CS26</f>
        <v>0.15113054529453077</v>
      </c>
      <c r="CT66" s="140">
        <f t="shared" ref="CT66:DA66" si="232">CT26</f>
        <v>0.15697775125871824</v>
      </c>
      <c r="CU66" s="140"/>
      <c r="CV66" s="140"/>
      <c r="CW66" s="140">
        <f t="shared" si="232"/>
        <v>0.15029784217917916</v>
      </c>
      <c r="CX66" s="140">
        <f t="shared" si="232"/>
        <v>0.15912835021754212</v>
      </c>
      <c r="CY66" s="140">
        <f t="shared" si="232"/>
        <v>-5.549299057201873E-2</v>
      </c>
      <c r="CZ66" s="140">
        <f t="shared" si="232"/>
        <v>0.13937308307811019</v>
      </c>
      <c r="DA66" s="2786">
        <f t="shared" si="232"/>
        <v>0.1541785496658849</v>
      </c>
      <c r="DE66" s="178"/>
      <c r="DG66" s="161"/>
      <c r="DH66" s="161"/>
      <c r="DI66" s="161"/>
      <c r="DJ66" s="383"/>
      <c r="DK66" s="383"/>
      <c r="DL66" s="383"/>
      <c r="DM66" s="383"/>
      <c r="DN66" s="383"/>
      <c r="DO66" s="10"/>
      <c r="DP66" s="10"/>
      <c r="DQ66" s="10"/>
      <c r="DR66" s="10"/>
      <c r="DS66" s="10"/>
      <c r="DT66" s="10"/>
      <c r="DU66" s="10"/>
      <c r="DV66" s="10"/>
      <c r="DW66" s="10"/>
      <c r="DX66" s="10"/>
      <c r="DY66" s="10"/>
      <c r="DZ66" s="10"/>
      <c r="EA66" s="15"/>
      <c r="EB66" s="10"/>
      <c r="EC66" s="10"/>
      <c r="ED66" s="10"/>
      <c r="EE66" s="10"/>
      <c r="EF66" s="10"/>
      <c r="EG66" s="10"/>
      <c r="EH66" s="10"/>
      <c r="EI66" s="10"/>
      <c r="EJ66" s="10"/>
      <c r="EK66" s="10"/>
      <c r="EL66" s="10"/>
      <c r="EN66" s="10"/>
      <c r="EO66" s="10"/>
    </row>
    <row r="67" spans="2:145" s="28" customFormat="1" ht="13.5" thickBot="1">
      <c r="B67" s="3146" t="s">
        <v>2007</v>
      </c>
      <c r="C67" s="2621">
        <f>C45/C47</f>
        <v>1.3572007399272419E-2</v>
      </c>
      <c r="D67" s="2621">
        <f t="shared" ref="D67:BP67" si="233">D45/D47</f>
        <v>8.5548694949676013E-3</v>
      </c>
      <c r="E67" s="2621">
        <f t="shared" si="233"/>
        <v>1.6614426375259516E-2</v>
      </c>
      <c r="F67" s="2621">
        <f t="shared" si="233"/>
        <v>1.2091507424239428E-2</v>
      </c>
      <c r="G67" s="2621">
        <f t="shared" si="233"/>
        <v>1.1657114674601537E-2</v>
      </c>
      <c r="H67" s="2621">
        <f t="shared" si="233"/>
        <v>1.6705849012867459E-2</v>
      </c>
      <c r="I67" s="2621">
        <f t="shared" si="233"/>
        <v>0.11380828076664193</v>
      </c>
      <c r="J67" s="2621">
        <f t="shared" si="233"/>
        <v>8.6809908370585928E-2</v>
      </c>
      <c r="K67" s="2621">
        <f t="shared" si="233"/>
        <v>5.9313412102714985E-2</v>
      </c>
      <c r="L67" s="2621">
        <f t="shared" si="233"/>
        <v>0.10838603531671695</v>
      </c>
      <c r="M67" s="2621">
        <f t="shared" si="233"/>
        <v>6.3114094184871183E-2</v>
      </c>
      <c r="N67" s="2621">
        <f t="shared" si="233"/>
        <v>4.6014322393614481E-3</v>
      </c>
      <c r="O67" s="2621">
        <f t="shared" si="233"/>
        <v>3.5459987027605167E-2</v>
      </c>
      <c r="P67" s="2621">
        <f t="shared" ref="P67" si="234">P45/P47</f>
        <v>5.010157061365704E-2</v>
      </c>
      <c r="Q67" s="2621">
        <f t="shared" ca="1" si="233"/>
        <v>0.21547382577874544</v>
      </c>
      <c r="R67" s="2621">
        <f t="shared" ca="1" si="233"/>
        <v>0.20640183439958917</v>
      </c>
      <c r="S67" s="3534">
        <f t="shared" ref="S67" ca="1" si="235">S45/S47</f>
        <v>0.21141841191617108</v>
      </c>
      <c r="T67" s="2722"/>
      <c r="U67" s="1366"/>
      <c r="V67" s="1366"/>
      <c r="W67" s="2621">
        <f ca="1">W45/W47</f>
        <v>6.0029535192408584E-2</v>
      </c>
      <c r="X67" s="1366"/>
      <c r="Y67" s="1366"/>
      <c r="Z67" s="1367"/>
      <c r="AA67" s="1366"/>
      <c r="AB67" s="1366"/>
      <c r="AC67" s="1366"/>
      <c r="AD67" s="1367"/>
      <c r="AE67" s="1366"/>
      <c r="AF67" s="1366"/>
      <c r="AG67" s="1366"/>
      <c r="AH67" s="1367"/>
      <c r="AI67" s="1366"/>
      <c r="AJ67" s="1366"/>
      <c r="AK67" s="1366"/>
      <c r="AL67" s="1367"/>
      <c r="AM67" s="1366"/>
      <c r="AN67" s="1366"/>
      <c r="AO67" s="1366"/>
      <c r="AP67" s="1367"/>
      <c r="AQ67" s="1366"/>
      <c r="AR67" s="1366"/>
      <c r="AS67" s="1366"/>
      <c r="AT67" s="1367"/>
      <c r="AU67" s="1366"/>
      <c r="AV67" s="1366"/>
      <c r="AW67" s="1366"/>
      <c r="AX67" s="1367"/>
      <c r="AY67" s="1366"/>
      <c r="AZ67" s="1366"/>
      <c r="BA67" s="1366"/>
      <c r="BB67" s="1367"/>
      <c r="BC67" s="1366"/>
      <c r="BD67" s="1366"/>
      <c r="BE67" s="1366"/>
      <c r="BF67" s="1367"/>
      <c r="BG67" s="1366">
        <f t="shared" si="233"/>
        <v>0.12521141124740134</v>
      </c>
      <c r="BH67" s="1365">
        <f t="shared" si="233"/>
        <v>0.13011092009523062</v>
      </c>
      <c r="BI67" s="1365">
        <f t="shared" si="233"/>
        <v>0.10718805730552272</v>
      </c>
      <c r="BJ67" s="1365">
        <f t="shared" si="233"/>
        <v>9.9345086277036615E-2</v>
      </c>
      <c r="BK67" s="1365">
        <f t="shared" si="233"/>
        <v>9.8716414804100053E-2</v>
      </c>
      <c r="BL67" s="1365">
        <f t="shared" si="233"/>
        <v>0.10542134329862014</v>
      </c>
      <c r="BM67" s="1365">
        <f t="shared" si="233"/>
        <v>8.7260659294905174E-2</v>
      </c>
      <c r="BN67" s="1365">
        <f t="shared" si="233"/>
        <v>5.7436058636514603E-2</v>
      </c>
      <c r="BO67" s="1365">
        <f t="shared" si="233"/>
        <v>7.0143315272749557E-2</v>
      </c>
      <c r="BP67" s="1365">
        <f t="shared" si="233"/>
        <v>5.3968239898831177E-2</v>
      </c>
      <c r="BQ67" s="1365">
        <f t="shared" ref="BQ67:CJ67" si="236">BQ45/BQ47</f>
        <v>4.8906235801935025E-2</v>
      </c>
      <c r="BR67" s="1365">
        <f t="shared" si="236"/>
        <v>6.5580277266551718E-2</v>
      </c>
      <c r="BS67" s="1365">
        <f t="shared" si="236"/>
        <v>8.2395217150975364E-2</v>
      </c>
      <c r="BT67" s="1365">
        <f t="shared" si="236"/>
        <v>9.7334802320441199E-2</v>
      </c>
      <c r="BU67" s="1365">
        <f t="shared" si="236"/>
        <v>9.0241635655879199E-2</v>
      </c>
      <c r="BV67" s="1365">
        <f t="shared" si="236"/>
        <v>0.1548131309744864</v>
      </c>
      <c r="BW67" s="1365">
        <f t="shared" si="236"/>
        <v>0.11738315110001794</v>
      </c>
      <c r="BX67" s="1365">
        <f t="shared" si="236"/>
        <v>4.6372438234269148E-2</v>
      </c>
      <c r="BY67" s="1365">
        <f t="shared" si="236"/>
        <v>4.4977325318147882E-2</v>
      </c>
      <c r="BZ67" s="1365">
        <f t="shared" si="236"/>
        <v>4.9369796384919805E-2</v>
      </c>
      <c r="CA67" s="1365">
        <f t="shared" si="236"/>
        <v>2.0633864630617921E-2</v>
      </c>
      <c r="CB67" s="1365">
        <f t="shared" si="236"/>
        <v>-2.9641287765461797E-2</v>
      </c>
      <c r="CC67" s="1365">
        <f t="shared" si="236"/>
        <v>1.6423894296080686E-2</v>
      </c>
      <c r="CD67" s="1365">
        <f t="shared" si="236"/>
        <v>2.3878474438331999E-2</v>
      </c>
      <c r="CE67" s="1365">
        <f t="shared" si="236"/>
        <v>2.938690613285282E-2</v>
      </c>
      <c r="CF67" s="1365">
        <f t="shared" si="236"/>
        <v>2.1956582160532083E-2</v>
      </c>
      <c r="CG67" s="1365">
        <f t="shared" si="236"/>
        <v>4.902012560146287E-2</v>
      </c>
      <c r="CH67" s="1365">
        <f t="shared" si="236"/>
        <v>3.9510147234593555E-2</v>
      </c>
      <c r="CI67" s="1365">
        <f t="shared" si="236"/>
        <v>4.5204691433222678E-2</v>
      </c>
      <c r="CJ67" s="1365">
        <f t="shared" si="236"/>
        <v>3.3974793028215843E-2</v>
      </c>
      <c r="CK67" s="1365">
        <f t="shared" ref="CK67" si="237">CK45/CK47</f>
        <v>3.8768462144311788E-2</v>
      </c>
      <c r="CL67" s="1365">
        <f>CL45/CL47</f>
        <v>8.0997007794734108E-2</v>
      </c>
      <c r="CM67" s="1365">
        <f>CM45/CM47</f>
        <v>0.23783106447994146</v>
      </c>
      <c r="CN67" s="3388">
        <f t="shared" si="6"/>
        <v>0.95132425791976583</v>
      </c>
      <c r="CO67" s="3556">
        <f t="shared" ca="1" si="7"/>
        <v>0.22649882412324482</v>
      </c>
      <c r="CP67" s="3388"/>
      <c r="CQ67" s="3388"/>
      <c r="CR67" s="3174" t="s">
        <v>821</v>
      </c>
      <c r="CS67" s="3179">
        <f>CS47/CS9</f>
        <v>0.1834376518462405</v>
      </c>
      <c r="CT67" s="140">
        <f t="shared" ref="CT67:DA67" si="238">CT47/CT9</f>
        <v>0.17954243135979361</v>
      </c>
      <c r="CU67" s="140"/>
      <c r="CV67" s="140"/>
      <c r="CW67" s="140">
        <f t="shared" si="238"/>
        <v>0.18865233665885855</v>
      </c>
      <c r="CX67" s="140">
        <f t="shared" si="238"/>
        <v>0.17733053208601632</v>
      </c>
      <c r="CY67" s="140">
        <f t="shared" si="238"/>
        <v>1.6238713621721976</v>
      </c>
      <c r="CZ67" s="140">
        <f t="shared" si="238"/>
        <v>0.18893578818863876</v>
      </c>
      <c r="DA67" s="2786">
        <f t="shared" si="238"/>
        <v>0.17506913173945338</v>
      </c>
      <c r="DE67" s="178"/>
      <c r="DG67" s="161"/>
      <c r="DH67" s="161"/>
      <c r="DI67" s="161"/>
      <c r="DJ67" s="383"/>
      <c r="DK67" s="383"/>
      <c r="DL67" s="383"/>
      <c r="DM67" s="383"/>
      <c r="DN67" s="383"/>
      <c r="DO67" s="10"/>
      <c r="DP67" s="10"/>
      <c r="DQ67" s="10"/>
      <c r="DR67" s="10"/>
      <c r="DS67" s="10"/>
      <c r="DT67" s="10"/>
      <c r="DU67" s="10"/>
      <c r="DV67" s="10"/>
      <c r="DW67" s="10"/>
      <c r="DX67" s="10"/>
      <c r="DY67" s="10"/>
      <c r="DZ67" s="10"/>
      <c r="EA67" s="15"/>
      <c r="EB67" s="10"/>
      <c r="EC67" s="10"/>
      <c r="ED67" s="10"/>
      <c r="EE67" s="10"/>
      <c r="EF67" s="10"/>
      <c r="EG67" s="10"/>
      <c r="EH67" s="10"/>
      <c r="EI67" s="10"/>
      <c r="EJ67" s="10"/>
      <c r="EK67" s="10"/>
      <c r="EL67" s="10"/>
      <c r="EN67" s="10"/>
      <c r="EO67" s="10"/>
    </row>
    <row r="68" spans="2:145" s="28" customFormat="1" ht="13.5" thickBot="1">
      <c r="B68" s="1373"/>
      <c r="C68" s="1365"/>
      <c r="D68" s="1366"/>
      <c r="E68" s="1366"/>
      <c r="F68" s="1366"/>
      <c r="G68" s="1366"/>
      <c r="H68" s="1366"/>
      <c r="I68" s="1366"/>
      <c r="J68" s="1366"/>
      <c r="K68" s="1366"/>
      <c r="L68" s="1366"/>
      <c r="M68" s="1366"/>
      <c r="N68" s="1366"/>
      <c r="O68" s="1366"/>
      <c r="P68" s="1366"/>
      <c r="Q68" s="1366"/>
      <c r="R68" s="1366"/>
      <c r="S68" s="1367"/>
      <c r="T68" s="2722"/>
      <c r="U68" s="2722"/>
      <c r="V68" s="1366"/>
      <c r="W68" s="1366"/>
      <c r="Z68" s="808"/>
      <c r="AD68" s="147"/>
      <c r="AH68" s="147"/>
      <c r="AL68" s="147"/>
      <c r="AP68" s="147"/>
      <c r="AT68" s="147"/>
      <c r="AX68" s="147"/>
      <c r="BB68" s="147"/>
      <c r="BC68" s="636"/>
      <c r="BD68" s="636"/>
      <c r="BE68" s="636"/>
      <c r="BF68" s="892"/>
      <c r="BG68" s="636"/>
      <c r="BH68" s="636"/>
      <c r="BI68" s="636"/>
      <c r="BJ68" s="636"/>
      <c r="BK68" s="635"/>
      <c r="BL68" s="636"/>
      <c r="BM68" s="636"/>
      <c r="BN68" s="636"/>
      <c r="BO68" s="635"/>
      <c r="BP68" s="636"/>
      <c r="BQ68" s="636"/>
      <c r="BR68" s="636"/>
      <c r="BS68" s="635"/>
      <c r="BT68" s="636"/>
      <c r="BU68" s="636"/>
      <c r="BV68" s="636"/>
      <c r="BW68" s="635"/>
      <c r="BX68" s="636"/>
      <c r="BZ68" s="147"/>
      <c r="CD68" s="147"/>
      <c r="CE68" s="147"/>
      <c r="CF68" s="147"/>
      <c r="CG68" s="147"/>
      <c r="CH68" s="147"/>
      <c r="CI68" s="147"/>
      <c r="CJ68" s="147"/>
      <c r="CK68" s="147"/>
      <c r="CL68" s="147"/>
      <c r="CM68" s="147"/>
      <c r="CN68" s="3389"/>
      <c r="CO68" s="2767"/>
      <c r="CP68" s="2767"/>
      <c r="CQ68" s="2767"/>
      <c r="CR68" s="3175" t="s">
        <v>822</v>
      </c>
      <c r="CS68" s="3180">
        <f>CS57</f>
        <v>0.12615613847642049</v>
      </c>
      <c r="CT68" s="3181">
        <f t="shared" ref="CT68:DA68" si="239">CT57</f>
        <v>0.1231339340821813</v>
      </c>
      <c r="CU68" s="3181"/>
      <c r="CV68" s="3181"/>
      <c r="CW68" s="3181">
        <f t="shared" si="239"/>
        <v>0.13559815352087387</v>
      </c>
      <c r="CX68" s="3181">
        <f t="shared" si="239"/>
        <v>0.12531523476809647</v>
      </c>
      <c r="CY68" s="3181">
        <f t="shared" si="239"/>
        <v>8.2056413745755341E-2</v>
      </c>
      <c r="CZ68" s="3181">
        <f t="shared" si="239"/>
        <v>0.13578780336583193</v>
      </c>
      <c r="DA68" s="3182">
        <f t="shared" si="239"/>
        <v>0.12321803857547482</v>
      </c>
      <c r="DE68" s="178"/>
      <c r="DG68" s="161"/>
      <c r="DH68" s="161"/>
      <c r="DI68" s="161"/>
      <c r="DJ68" s="383"/>
      <c r="DK68" s="383"/>
      <c r="DL68" s="383"/>
      <c r="DM68" s="383"/>
      <c r="DN68" s="383"/>
      <c r="DO68" s="10"/>
      <c r="DP68" s="10"/>
      <c r="DQ68" s="10"/>
      <c r="DR68" s="10"/>
      <c r="DS68" s="10"/>
      <c r="DT68" s="10"/>
      <c r="DU68" s="10"/>
      <c r="DV68" s="10"/>
      <c r="DW68" s="10"/>
      <c r="DX68" s="10"/>
      <c r="DY68" s="10"/>
      <c r="DZ68" s="10"/>
      <c r="EA68" s="15"/>
      <c r="EB68" s="10"/>
      <c r="EC68" s="10"/>
      <c r="ED68" s="10"/>
      <c r="EE68" s="10"/>
      <c r="EF68" s="10"/>
      <c r="EG68" s="10"/>
      <c r="EH68" s="10"/>
      <c r="EI68" s="10"/>
      <c r="EJ68" s="10"/>
      <c r="EK68" s="10"/>
      <c r="EL68" s="10"/>
      <c r="EN68" s="10"/>
      <c r="EO68" s="10"/>
    </row>
    <row r="69" spans="2:145" s="28" customFormat="1">
      <c r="B69" s="1373"/>
      <c r="C69" s="1365"/>
      <c r="D69" s="1366"/>
      <c r="E69" s="1366"/>
      <c r="F69" s="1366"/>
      <c r="G69" s="1366"/>
      <c r="H69" s="1366"/>
      <c r="I69" s="1366"/>
      <c r="J69" s="1366"/>
      <c r="K69" s="1366"/>
      <c r="L69" s="1366"/>
      <c r="M69" s="1366"/>
      <c r="N69" s="1366"/>
      <c r="O69" s="1366"/>
      <c r="P69" s="1366"/>
      <c r="Q69" s="1366"/>
      <c r="R69" s="1366"/>
      <c r="S69" s="1367"/>
      <c r="T69" s="2722"/>
      <c r="U69" s="2722"/>
      <c r="V69" s="1366"/>
      <c r="W69" s="1366"/>
      <c r="Z69" s="808"/>
      <c r="AD69" s="147"/>
      <c r="AH69" s="147"/>
      <c r="AL69" s="147"/>
      <c r="AP69" s="147"/>
      <c r="AT69" s="147"/>
      <c r="AX69" s="147"/>
      <c r="BB69" s="147"/>
      <c r="BC69" s="636"/>
      <c r="BD69" s="636"/>
      <c r="BE69" s="636"/>
      <c r="BF69" s="892"/>
      <c r="BG69" s="636"/>
      <c r="BH69" s="636"/>
      <c r="BI69" s="636"/>
      <c r="BJ69" s="636"/>
      <c r="BK69" s="635"/>
      <c r="BL69" s="636"/>
      <c r="BM69" s="636"/>
      <c r="BN69" s="636"/>
      <c r="BO69" s="635"/>
      <c r="BP69" s="636"/>
      <c r="BQ69" s="636"/>
      <c r="BR69" s="636"/>
      <c r="BS69" s="635"/>
      <c r="BT69" s="636"/>
      <c r="BU69" s="636"/>
      <c r="BV69" s="636"/>
      <c r="BW69" s="635"/>
      <c r="BX69" s="636"/>
      <c r="BZ69" s="147"/>
      <c r="CD69" s="147"/>
      <c r="CE69" s="147"/>
      <c r="CF69" s="147"/>
      <c r="CG69" s="147"/>
      <c r="CH69" s="147"/>
      <c r="CI69" s="147"/>
      <c r="CJ69" s="147"/>
      <c r="CK69" s="147"/>
      <c r="CL69" s="147"/>
      <c r="CM69" s="147"/>
      <c r="CN69" s="3389"/>
      <c r="CO69" s="2767"/>
      <c r="CP69" s="2767"/>
      <c r="CQ69" s="2767"/>
      <c r="CR69" s="3189"/>
      <c r="CS69" s="153"/>
      <c r="CT69" s="154"/>
      <c r="CU69" s="154"/>
      <c r="CV69" s="154"/>
      <c r="CW69" s="154"/>
      <c r="CX69" s="154"/>
      <c r="CY69" s="154"/>
      <c r="CZ69" s="154"/>
      <c r="DA69" s="154"/>
      <c r="DE69" s="178"/>
      <c r="DG69" s="161"/>
      <c r="DH69" s="161"/>
      <c r="DI69" s="161"/>
      <c r="DJ69" s="383"/>
      <c r="DK69" s="383"/>
      <c r="DL69" s="383"/>
      <c r="DM69" s="383"/>
      <c r="DN69" s="383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5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  <c r="EN69" s="10"/>
      <c r="EO69" s="10"/>
    </row>
    <row r="70" spans="2:145" s="28" customFormat="1">
      <c r="B70" s="1366" t="s">
        <v>2022</v>
      </c>
      <c r="C70" s="1365"/>
      <c r="D70" s="1366"/>
      <c r="E70" s="1366"/>
      <c r="F70" s="1366"/>
      <c r="G70" s="1366"/>
      <c r="H70" s="1366"/>
      <c r="I70" s="1366">
        <f>I10</f>
        <v>-0.45582998602426605</v>
      </c>
      <c r="J70" s="1366">
        <f t="shared" ref="J70:R70" si="240">J10</f>
        <v>0.19399987697485854</v>
      </c>
      <c r="K70" s="1366">
        <f t="shared" si="240"/>
        <v>7.6250799616477183E-2</v>
      </c>
      <c r="L70" s="1366">
        <f t="shared" si="240"/>
        <v>0.19533301314420459</v>
      </c>
      <c r="M70" s="1366">
        <f t="shared" si="240"/>
        <v>0.23423741868397752</v>
      </c>
      <c r="N70" s="1366">
        <f t="shared" si="240"/>
        <v>0.19560248882670583</v>
      </c>
      <c r="O70" s="1366">
        <f t="shared" si="240"/>
        <v>0.19443742550995746</v>
      </c>
      <c r="P70" s="1366">
        <f t="shared" ref="P70" si="241">P10</f>
        <v>0.11708896861817064</v>
      </c>
      <c r="Q70" s="1366">
        <f t="shared" ca="1" si="240"/>
        <v>-0.18535125311170753</v>
      </c>
      <c r="R70" s="1366">
        <f t="shared" ca="1" si="240"/>
        <v>0.15299368292663984</v>
      </c>
      <c r="S70" s="1367">
        <f t="shared" ref="S70" ca="1" si="242">S10</f>
        <v>0.16061439708225311</v>
      </c>
      <c r="T70" s="2722"/>
      <c r="U70" s="2722"/>
      <c r="V70" s="1366"/>
      <c r="W70" s="1366">
        <f ca="1">W10</f>
        <v>5.5043860032945702E-2</v>
      </c>
      <c r="Z70" s="808"/>
      <c r="AD70" s="147"/>
      <c r="AH70" s="147"/>
      <c r="AL70" s="147"/>
      <c r="AP70" s="147"/>
      <c r="AT70" s="147"/>
      <c r="AX70" s="147"/>
      <c r="BB70" s="147"/>
      <c r="BC70" s="636"/>
      <c r="BD70" s="636"/>
      <c r="BE70" s="636"/>
      <c r="BF70" s="892"/>
      <c r="BG70" s="636"/>
      <c r="BH70" s="636"/>
      <c r="BI70" s="636"/>
      <c r="BJ70" s="636"/>
      <c r="BK70" s="635"/>
      <c r="BL70" s="636"/>
      <c r="BM70" s="636"/>
      <c r="BN70" s="636"/>
      <c r="BO70" s="635"/>
      <c r="BP70" s="636"/>
      <c r="BQ70" s="636"/>
      <c r="BR70" s="636"/>
      <c r="BS70" s="635"/>
      <c r="BT70" s="636"/>
      <c r="BU70" s="636"/>
      <c r="BV70" s="636"/>
      <c r="BW70" s="635"/>
      <c r="BX70" s="636"/>
      <c r="BZ70" s="147"/>
      <c r="CD70" s="147"/>
      <c r="CE70" s="147"/>
      <c r="CF70" s="147"/>
      <c r="CG70" s="147"/>
      <c r="CH70" s="147"/>
      <c r="CI70" s="147"/>
      <c r="CJ70" s="147"/>
      <c r="CK70" s="147"/>
      <c r="CL70" s="147"/>
      <c r="CM70" s="147"/>
      <c r="CN70" s="3389"/>
      <c r="CO70" s="2767"/>
      <c r="CP70" s="2767"/>
      <c r="CQ70" s="2767"/>
      <c r="CR70" s="3189"/>
      <c r="CS70" s="153"/>
      <c r="CT70" s="154"/>
      <c r="CU70" s="154"/>
      <c r="CV70" s="154"/>
      <c r="CW70" s="154"/>
      <c r="CX70" s="154"/>
      <c r="CY70" s="154"/>
      <c r="CZ70" s="154"/>
      <c r="DA70" s="154"/>
      <c r="DE70" s="178"/>
      <c r="DG70" s="161"/>
      <c r="DH70" s="161"/>
      <c r="DI70" s="161"/>
      <c r="DJ70" s="383"/>
      <c r="DK70" s="383"/>
      <c r="DL70" s="383"/>
      <c r="DM70" s="383"/>
      <c r="DN70" s="383"/>
      <c r="DO70" s="10"/>
      <c r="DP70" s="10"/>
      <c r="DQ70" s="10"/>
      <c r="DR70" s="10"/>
      <c r="DS70" s="10"/>
      <c r="DT70" s="10"/>
      <c r="DU70" s="10"/>
      <c r="DV70" s="10"/>
      <c r="DW70" s="10"/>
      <c r="DX70" s="10"/>
      <c r="DY70" s="10"/>
      <c r="DZ70" s="10"/>
      <c r="EA70" s="15"/>
      <c r="EB70" s="10"/>
      <c r="EC70" s="10"/>
      <c r="ED70" s="10"/>
      <c r="EE70" s="10"/>
      <c r="EF70" s="10"/>
      <c r="EG70" s="10"/>
      <c r="EH70" s="10"/>
      <c r="EI70" s="10"/>
      <c r="EJ70" s="10"/>
      <c r="EK70" s="10"/>
      <c r="EL70" s="10"/>
      <c r="EN70" s="10"/>
      <c r="EO70" s="10"/>
    </row>
    <row r="71" spans="2:145" s="28" customFormat="1">
      <c r="B71" s="1366" t="s">
        <v>2023</v>
      </c>
      <c r="C71" s="1365"/>
      <c r="D71" s="1366"/>
      <c r="E71" s="1366"/>
      <c r="F71" s="1366"/>
      <c r="G71" s="1366"/>
      <c r="H71" s="1366"/>
      <c r="I71" s="1366">
        <f>I8</f>
        <v>1.960065868233414E-3</v>
      </c>
      <c r="J71" s="1366">
        <f t="shared" ref="J71:R71" si="243">J8</f>
        <v>2.6994125167706853E-3</v>
      </c>
      <c r="K71" s="1366">
        <f t="shared" si="243"/>
        <v>3.0512177828852321E-3</v>
      </c>
      <c r="L71" s="1366">
        <f t="shared" si="243"/>
        <v>3.8657924898573845E-4</v>
      </c>
      <c r="M71" s="1366">
        <f t="shared" si="243"/>
        <v>3.0627619724517806E-4</v>
      </c>
      <c r="N71" s="1366">
        <f t="shared" si="243"/>
        <v>1.3822346371612128E-4</v>
      </c>
      <c r="O71" s="1366">
        <f t="shared" si="243"/>
        <v>1.8083736945633641E-3</v>
      </c>
      <c r="P71" s="1366">
        <f t="shared" ref="P71" si="244">P8</f>
        <v>1.3511340424389407E-3</v>
      </c>
      <c r="Q71" s="1366">
        <f>Q8</f>
        <v>1.3511340424389407E-3</v>
      </c>
      <c r="R71" s="1366">
        <f t="shared" si="243"/>
        <v>1.3511340424389407E-3</v>
      </c>
      <c r="S71" s="1367">
        <f t="shared" ref="S71" si="245">S8</f>
        <v>1.3511340424389407E-3</v>
      </c>
      <c r="T71" s="2722"/>
      <c r="U71" s="2722"/>
      <c r="V71" s="1366"/>
      <c r="W71" s="1366">
        <f>W8</f>
        <v>1.8083736945633641E-3</v>
      </c>
      <c r="Z71" s="808"/>
      <c r="AD71" s="147"/>
      <c r="AH71" s="147"/>
      <c r="AL71" s="147"/>
      <c r="AP71" s="147"/>
      <c r="AT71" s="147"/>
      <c r="AX71" s="147"/>
      <c r="BB71" s="147"/>
      <c r="BC71" s="636"/>
      <c r="BD71" s="636"/>
      <c r="BE71" s="636"/>
      <c r="BF71" s="892"/>
      <c r="BG71" s="636"/>
      <c r="BH71" s="636"/>
      <c r="BI71" s="636"/>
      <c r="BJ71" s="636"/>
      <c r="BK71" s="635"/>
      <c r="BL71" s="636"/>
      <c r="BM71" s="636"/>
      <c r="BN71" s="636"/>
      <c r="BO71" s="635"/>
      <c r="BP71" s="636"/>
      <c r="BQ71" s="636"/>
      <c r="BR71" s="636"/>
      <c r="BS71" s="635"/>
      <c r="BT71" s="636"/>
      <c r="BU71" s="636"/>
      <c r="BV71" s="636"/>
      <c r="BW71" s="635"/>
      <c r="BX71" s="636"/>
      <c r="BZ71" s="147"/>
      <c r="CD71" s="147"/>
      <c r="CE71" s="147"/>
      <c r="CF71" s="147"/>
      <c r="CG71" s="147"/>
      <c r="CH71" s="147"/>
      <c r="CI71" s="147"/>
      <c r="CJ71" s="147"/>
      <c r="CK71" s="147"/>
      <c r="CL71" s="147"/>
      <c r="CM71" s="147"/>
      <c r="CN71" s="3389"/>
      <c r="CO71" s="2767"/>
      <c r="CP71" s="2767"/>
      <c r="CQ71" s="2767"/>
      <c r="CR71" s="3189"/>
      <c r="CS71" s="153"/>
      <c r="CT71" s="154"/>
      <c r="CU71" s="154"/>
      <c r="CV71" s="154"/>
      <c r="CW71" s="154"/>
      <c r="CX71" s="154"/>
      <c r="CY71" s="154"/>
      <c r="CZ71" s="154"/>
      <c r="DA71" s="154"/>
      <c r="DE71" s="178"/>
      <c r="DG71" s="161"/>
      <c r="DH71" s="161"/>
      <c r="DI71" s="161"/>
      <c r="DJ71" s="383"/>
      <c r="DK71" s="383"/>
      <c r="DL71" s="383"/>
      <c r="DM71" s="383"/>
      <c r="DN71" s="383"/>
      <c r="DO71" s="10"/>
      <c r="DP71" s="10"/>
      <c r="DQ71" s="10"/>
      <c r="DR71" s="10"/>
      <c r="DS71" s="10"/>
      <c r="DT71" s="10"/>
      <c r="DU71" s="10"/>
      <c r="DV71" s="10"/>
      <c r="DW71" s="10"/>
      <c r="DX71" s="10"/>
      <c r="DY71" s="10"/>
      <c r="DZ71" s="10"/>
      <c r="EA71" s="15"/>
      <c r="EB71" s="10"/>
      <c r="EC71" s="10"/>
      <c r="ED71" s="10"/>
      <c r="EE71" s="10"/>
      <c r="EF71" s="10"/>
      <c r="EG71" s="10"/>
      <c r="EH71" s="10"/>
      <c r="EI71" s="10"/>
      <c r="EJ71" s="10"/>
      <c r="EK71" s="10"/>
      <c r="EL71" s="10"/>
      <c r="EN71" s="10"/>
      <c r="EO71" s="10"/>
    </row>
    <row r="72" spans="2:145" s="28" customFormat="1">
      <c r="B72" s="1366" t="s">
        <v>2024</v>
      </c>
      <c r="C72" s="1365"/>
      <c r="D72" s="1366"/>
      <c r="E72" s="1366"/>
      <c r="F72" s="1366"/>
      <c r="G72" s="1366"/>
      <c r="H72" s="1366"/>
      <c r="I72" s="1366">
        <f>I18</f>
        <v>0</v>
      </c>
      <c r="J72" s="1366">
        <f t="shared" ref="J72:R72" si="246">J25</f>
        <v>0.32836630511229981</v>
      </c>
      <c r="K72" s="1366">
        <f t="shared" si="246"/>
        <v>0.11041968851986006</v>
      </c>
      <c r="L72" s="1366">
        <f t="shared" si="246"/>
        <v>0.17597077226984403</v>
      </c>
      <c r="M72" s="1366">
        <f t="shared" si="246"/>
        <v>0.25475951424310184</v>
      </c>
      <c r="N72" s="1366">
        <f t="shared" si="246"/>
        <v>0.24388205608354663</v>
      </c>
      <c r="O72" s="1366">
        <f t="shared" si="246"/>
        <v>0.24335099996440013</v>
      </c>
      <c r="P72" s="1366">
        <f t="shared" ref="P72" si="247">P25</f>
        <v>5.4271178892194127E-2</v>
      </c>
      <c r="Q72" s="1366">
        <f t="shared" ca="1" si="246"/>
        <v>-0.11925345060065928</v>
      </c>
      <c r="R72" s="1366">
        <f t="shared" ca="1" si="246"/>
        <v>0.10706671420410263</v>
      </c>
      <c r="S72" s="1367">
        <f t="shared" ref="S72" ca="1" si="248">S25</f>
        <v>0.13498970060393622</v>
      </c>
      <c r="T72" s="2722"/>
      <c r="U72" s="2722"/>
      <c r="V72" s="1366"/>
      <c r="W72" s="1366">
        <f ca="1">W25</f>
        <v>-2.2982274079445975E-2</v>
      </c>
      <c r="Z72" s="808"/>
      <c r="AD72" s="147"/>
      <c r="AH72" s="147"/>
      <c r="AL72" s="147"/>
      <c r="AP72" s="147"/>
      <c r="AT72" s="147"/>
      <c r="AX72" s="147"/>
      <c r="BB72" s="147"/>
      <c r="BC72" s="636"/>
      <c r="BD72" s="636"/>
      <c r="BE72" s="636"/>
      <c r="BF72" s="892"/>
      <c r="BG72" s="636"/>
      <c r="BH72" s="636"/>
      <c r="BI72" s="636"/>
      <c r="BJ72" s="636"/>
      <c r="BK72" s="635"/>
      <c r="BL72" s="636"/>
      <c r="BM72" s="636"/>
      <c r="BN72" s="636"/>
      <c r="BO72" s="635"/>
      <c r="BP72" s="636"/>
      <c r="BQ72" s="636"/>
      <c r="BR72" s="636"/>
      <c r="BS72" s="635"/>
      <c r="BT72" s="636"/>
      <c r="BU72" s="636"/>
      <c r="BV72" s="636"/>
      <c r="BW72" s="635"/>
      <c r="BX72" s="636"/>
      <c r="BZ72" s="147"/>
      <c r="CD72" s="147"/>
      <c r="CE72" s="147"/>
      <c r="CF72" s="147"/>
      <c r="CG72" s="147"/>
      <c r="CH72" s="147"/>
      <c r="CI72" s="147"/>
      <c r="CJ72" s="147"/>
      <c r="CK72" s="147"/>
      <c r="CL72" s="147"/>
      <c r="CM72" s="147"/>
      <c r="CN72" s="3389"/>
      <c r="CO72" s="2767"/>
      <c r="CP72" s="2767"/>
      <c r="CQ72" s="2767"/>
      <c r="CR72" s="3189"/>
      <c r="CS72" s="153"/>
      <c r="CT72" s="154"/>
      <c r="CU72" s="154"/>
      <c r="CV72" s="154"/>
      <c r="CW72" s="154"/>
      <c r="CX72" s="154"/>
      <c r="CY72" s="154"/>
      <c r="CZ72" s="154"/>
      <c r="DA72" s="154"/>
      <c r="DE72" s="178"/>
      <c r="DG72" s="161"/>
      <c r="DH72" s="161"/>
      <c r="DI72" s="161"/>
      <c r="DJ72" s="383"/>
      <c r="DK72" s="383"/>
      <c r="DL72" s="383"/>
      <c r="DM72" s="383"/>
      <c r="DN72" s="383"/>
      <c r="DO72" s="10"/>
      <c r="DP72" s="10"/>
      <c r="DQ72" s="10"/>
      <c r="DR72" s="10"/>
      <c r="DS72" s="10"/>
      <c r="DT72" s="10"/>
      <c r="DU72" s="10"/>
      <c r="DV72" s="10"/>
      <c r="DW72" s="10"/>
      <c r="DX72" s="10"/>
      <c r="DY72" s="10"/>
      <c r="DZ72" s="10"/>
      <c r="EA72" s="15"/>
      <c r="EB72" s="10"/>
      <c r="EC72" s="10"/>
      <c r="ED72" s="10"/>
      <c r="EE72" s="10"/>
      <c r="EF72" s="10"/>
      <c r="EG72" s="10"/>
      <c r="EH72" s="10"/>
      <c r="EI72" s="10"/>
      <c r="EJ72" s="10"/>
      <c r="EK72" s="10"/>
      <c r="EL72" s="10"/>
      <c r="EN72" s="10"/>
      <c r="EO72" s="10"/>
    </row>
    <row r="73" spans="2:145" s="28" customFormat="1">
      <c r="B73" s="1366"/>
      <c r="C73" s="1365"/>
      <c r="D73" s="1366"/>
      <c r="E73" s="1366"/>
      <c r="F73" s="1366"/>
      <c r="G73" s="1366"/>
      <c r="H73" s="1366"/>
      <c r="I73" s="1366"/>
      <c r="J73" s="1366"/>
      <c r="K73" s="1366"/>
      <c r="L73" s="1366"/>
      <c r="M73" s="1366"/>
      <c r="N73" s="1366"/>
      <c r="O73" s="1366"/>
      <c r="P73" s="1366"/>
      <c r="Q73" s="1366"/>
      <c r="R73" s="1366"/>
      <c r="S73" s="1367"/>
      <c r="T73" s="2722"/>
      <c r="U73" s="2722"/>
      <c r="V73" s="1366"/>
      <c r="W73" s="1366"/>
      <c r="Z73" s="808"/>
      <c r="AD73" s="147"/>
      <c r="AH73" s="147"/>
      <c r="AL73" s="147"/>
      <c r="AP73" s="147"/>
      <c r="AT73" s="147"/>
      <c r="AX73" s="147"/>
      <c r="BB73" s="147"/>
      <c r="BC73" s="636"/>
      <c r="BD73" s="636"/>
      <c r="BE73" s="636"/>
      <c r="BF73" s="892"/>
      <c r="BG73" s="636"/>
      <c r="BH73" s="636"/>
      <c r="BI73" s="636"/>
      <c r="BJ73" s="636"/>
      <c r="BK73" s="635"/>
      <c r="BL73" s="636"/>
      <c r="BM73" s="636"/>
      <c r="BN73" s="636"/>
      <c r="BO73" s="635"/>
      <c r="BP73" s="636"/>
      <c r="BQ73" s="636"/>
      <c r="BR73" s="636"/>
      <c r="BS73" s="635"/>
      <c r="BT73" s="636"/>
      <c r="BU73" s="636"/>
      <c r="BV73" s="636"/>
      <c r="BW73" s="635"/>
      <c r="BX73" s="636"/>
      <c r="BZ73" s="147"/>
      <c r="CD73" s="147"/>
      <c r="CE73" s="147"/>
      <c r="CF73" s="147"/>
      <c r="CG73" s="147"/>
      <c r="CH73" s="147"/>
      <c r="CI73" s="147"/>
      <c r="CJ73" s="147"/>
      <c r="CK73" s="147"/>
      <c r="CL73" s="147"/>
      <c r="CM73" s="147"/>
      <c r="CN73" s="3389"/>
      <c r="CO73" s="2767"/>
      <c r="CP73" s="2767"/>
      <c r="CQ73" s="2767"/>
      <c r="CR73" s="3189"/>
      <c r="CS73" s="153"/>
      <c r="CT73" s="154"/>
      <c r="CU73" s="154"/>
      <c r="CV73" s="154"/>
      <c r="CW73" s="154"/>
      <c r="CX73" s="154"/>
      <c r="CY73" s="154"/>
      <c r="CZ73" s="154"/>
      <c r="DA73" s="154"/>
      <c r="DE73" s="178"/>
      <c r="DG73" s="161"/>
      <c r="DH73" s="161"/>
      <c r="DI73" s="161"/>
      <c r="DJ73" s="383"/>
      <c r="DK73" s="383"/>
      <c r="DL73" s="383"/>
      <c r="DM73" s="383"/>
      <c r="DN73" s="383"/>
      <c r="DO73" s="10"/>
      <c r="DP73" s="10"/>
      <c r="DQ73" s="10"/>
      <c r="DR73" s="10"/>
      <c r="DS73" s="10"/>
      <c r="DT73" s="10"/>
      <c r="DU73" s="10"/>
      <c r="DV73" s="10"/>
      <c r="DW73" s="10"/>
      <c r="DX73" s="10"/>
      <c r="DY73" s="10"/>
      <c r="DZ73" s="10"/>
      <c r="EA73" s="15"/>
      <c r="EB73" s="10"/>
      <c r="EC73" s="10"/>
      <c r="ED73" s="10"/>
      <c r="EE73" s="10"/>
      <c r="EF73" s="10"/>
      <c r="EG73" s="10"/>
      <c r="EH73" s="10"/>
      <c r="EI73" s="10"/>
      <c r="EJ73" s="10"/>
      <c r="EK73" s="10"/>
      <c r="EL73" s="10"/>
      <c r="EN73" s="10"/>
      <c r="EO73" s="10"/>
    </row>
    <row r="74" spans="2:145" s="28" customFormat="1">
      <c r="B74" s="1366" t="s">
        <v>2022</v>
      </c>
      <c r="C74" s="1365"/>
      <c r="D74" s="1366"/>
      <c r="E74" s="1366"/>
      <c r="F74" s="1366"/>
      <c r="G74" s="1366"/>
      <c r="H74" s="1366"/>
      <c r="I74" s="1366"/>
      <c r="J74" s="1366"/>
      <c r="K74" s="1366"/>
      <c r="L74" s="1366"/>
      <c r="M74" s="1366"/>
      <c r="N74" s="1366"/>
      <c r="O74" s="1366"/>
      <c r="P74" s="1366"/>
      <c r="Q74" s="1366"/>
      <c r="R74" s="1366"/>
      <c r="S74" s="1367"/>
      <c r="T74" s="2767"/>
      <c r="U74" s="2722"/>
      <c r="V74" s="1366"/>
      <c r="W74" s="1366"/>
      <c r="Z74" s="808"/>
      <c r="AD74" s="147"/>
      <c r="AH74" s="147"/>
      <c r="AL74" s="147"/>
      <c r="AP74" s="147"/>
      <c r="AT74" s="147"/>
      <c r="AX74" s="147"/>
      <c r="BB74" s="147"/>
      <c r="BC74" s="636"/>
      <c r="BD74" s="636"/>
      <c r="BE74" s="636"/>
      <c r="BF74" s="892"/>
      <c r="BG74" s="636"/>
      <c r="BH74" s="636"/>
      <c r="BI74" s="636"/>
      <c r="BJ74" s="636"/>
      <c r="BK74" s="635"/>
      <c r="BL74" s="636"/>
      <c r="BM74" s="636"/>
      <c r="BN74" s="636"/>
      <c r="BO74" s="635"/>
      <c r="BP74" s="636"/>
      <c r="BQ74" s="636"/>
      <c r="BR74" s="636"/>
      <c r="BS74" s="635"/>
      <c r="BT74" s="636"/>
      <c r="BU74" s="636"/>
      <c r="BV74" s="636"/>
      <c r="BW74" s="635"/>
      <c r="BX74" s="636"/>
      <c r="BZ74" s="147"/>
      <c r="CD74" s="147"/>
      <c r="CE74" s="147"/>
      <c r="CF74" s="147"/>
      <c r="CG74" s="147"/>
      <c r="CH74" s="147"/>
      <c r="CI74" s="147"/>
      <c r="CJ74" s="147"/>
      <c r="CK74" s="147"/>
      <c r="CL74" s="147"/>
      <c r="CM74" s="147"/>
      <c r="CN74" s="3389"/>
      <c r="CO74" s="2767"/>
      <c r="CP74" s="2767"/>
      <c r="CQ74" s="2767"/>
      <c r="CR74" s="3189"/>
      <c r="CS74" s="153"/>
      <c r="CT74" s="154"/>
      <c r="CU74" s="154"/>
      <c r="CV74" s="154"/>
      <c r="CW74" s="154"/>
      <c r="CX74" s="154"/>
      <c r="CY74" s="154"/>
      <c r="CZ74" s="154"/>
      <c r="DA74" s="154"/>
      <c r="DE74" s="178"/>
      <c r="DG74" s="161"/>
      <c r="DH74" s="161"/>
      <c r="DI74" s="161"/>
      <c r="DJ74" s="383"/>
      <c r="DK74" s="383"/>
      <c r="DL74" s="383"/>
      <c r="DM74" s="383"/>
      <c r="DN74" s="383"/>
      <c r="DO74" s="10"/>
      <c r="DP74" s="10"/>
      <c r="DQ74" s="10"/>
      <c r="DR74" s="10"/>
      <c r="DS74" s="10"/>
      <c r="DT74" s="10"/>
      <c r="DU74" s="10"/>
      <c r="DV74" s="10"/>
      <c r="DW74" s="10"/>
      <c r="DX74" s="10"/>
      <c r="DY74" s="10"/>
      <c r="DZ74" s="10"/>
      <c r="EA74" s="15"/>
      <c r="EB74" s="10"/>
      <c r="EC74" s="10"/>
      <c r="ED74" s="10"/>
      <c r="EE74" s="10"/>
      <c r="EF74" s="10"/>
      <c r="EG74" s="10"/>
      <c r="EH74" s="10"/>
      <c r="EI74" s="10"/>
      <c r="EJ74" s="10"/>
      <c r="EK74" s="10"/>
      <c r="EL74" s="10"/>
      <c r="EN74" s="10"/>
      <c r="EO74" s="10"/>
    </row>
    <row r="75" spans="2:145" s="28" customFormat="1">
      <c r="B75" s="1366" t="s">
        <v>2023</v>
      </c>
      <c r="C75" s="1365"/>
      <c r="D75" s="1366"/>
      <c r="E75" s="1366"/>
      <c r="F75" s="1366"/>
      <c r="G75" s="1366"/>
      <c r="H75" s="1366"/>
      <c r="I75" s="1366"/>
      <c r="J75" s="1366"/>
      <c r="K75" s="1366"/>
      <c r="L75" s="1366"/>
      <c r="M75" s="1366"/>
      <c r="N75" s="1366"/>
      <c r="O75" s="1366"/>
      <c r="P75" s="1366"/>
      <c r="S75" s="147"/>
      <c r="T75" s="2767"/>
      <c r="U75" s="2722"/>
      <c r="V75" s="1366"/>
      <c r="Z75" s="808"/>
      <c r="AD75" s="147"/>
      <c r="AH75" s="147"/>
      <c r="AL75" s="147"/>
      <c r="AP75" s="147"/>
      <c r="AT75" s="147"/>
      <c r="AX75" s="147"/>
      <c r="BB75" s="147"/>
      <c r="BC75" s="636"/>
      <c r="BD75" s="636"/>
      <c r="BE75" s="636"/>
      <c r="BF75" s="892"/>
      <c r="BG75" s="636"/>
      <c r="BH75" s="636"/>
      <c r="BI75" s="636"/>
      <c r="BJ75" s="636"/>
      <c r="BK75" s="635"/>
      <c r="BL75" s="636"/>
      <c r="BM75" s="636"/>
      <c r="BN75" s="636"/>
      <c r="BO75" s="635"/>
      <c r="BP75" s="636"/>
      <c r="BQ75" s="636"/>
      <c r="BR75" s="636"/>
      <c r="BS75" s="635"/>
      <c r="BT75" s="636"/>
      <c r="BU75" s="636"/>
      <c r="BV75" s="636"/>
      <c r="BW75" s="635"/>
      <c r="BX75" s="636"/>
      <c r="BZ75" s="147"/>
      <c r="CD75" s="147"/>
      <c r="CE75" s="147"/>
      <c r="CF75" s="147"/>
      <c r="CG75" s="147"/>
      <c r="CH75" s="147"/>
      <c r="CI75" s="147"/>
      <c r="CJ75" s="147"/>
      <c r="CK75" s="147"/>
      <c r="CL75" s="147"/>
      <c r="CM75" s="147"/>
      <c r="CN75" s="3389"/>
      <c r="CO75" s="2767"/>
      <c r="CP75" s="2767"/>
      <c r="CQ75" s="2767"/>
      <c r="CR75" s="3189"/>
      <c r="CS75" s="153"/>
      <c r="CT75" s="154"/>
      <c r="CU75" s="154"/>
      <c r="CV75" s="154"/>
      <c r="CW75" s="154"/>
      <c r="CX75" s="154"/>
      <c r="CY75" s="154"/>
      <c r="CZ75" s="154"/>
      <c r="DA75" s="154"/>
      <c r="DE75" s="178"/>
      <c r="DG75" s="161"/>
      <c r="DH75" s="161"/>
      <c r="DI75" s="161"/>
      <c r="DJ75" s="383"/>
      <c r="DK75" s="383"/>
      <c r="DL75" s="383"/>
      <c r="DM75" s="383"/>
      <c r="DN75" s="383"/>
      <c r="DO75" s="10"/>
      <c r="DP75" s="10"/>
      <c r="DQ75" s="10"/>
      <c r="DR75" s="10"/>
      <c r="DS75" s="10"/>
      <c r="DT75" s="10"/>
      <c r="DU75" s="10"/>
      <c r="DV75" s="10"/>
      <c r="DW75" s="10"/>
      <c r="DX75" s="10"/>
      <c r="DY75" s="10"/>
      <c r="DZ75" s="10"/>
      <c r="EA75" s="15"/>
      <c r="EB75" s="10"/>
      <c r="EC75" s="10"/>
      <c r="ED75" s="10"/>
      <c r="EE75" s="10"/>
      <c r="EF75" s="10"/>
      <c r="EG75" s="10"/>
      <c r="EH75" s="10"/>
      <c r="EI75" s="10"/>
      <c r="EJ75" s="10"/>
      <c r="EK75" s="10"/>
      <c r="EL75" s="10"/>
      <c r="EN75" s="10"/>
      <c r="EO75" s="10"/>
    </row>
    <row r="76" spans="2:145" s="28" customFormat="1">
      <c r="B76" s="1373"/>
      <c r="C76" s="1365"/>
      <c r="D76" s="1366"/>
      <c r="E76" s="1366"/>
      <c r="F76" s="1366"/>
      <c r="G76" s="1366"/>
      <c r="H76" s="1366"/>
      <c r="I76" s="1366"/>
      <c r="J76" s="1366"/>
      <c r="K76" s="1366"/>
      <c r="L76" s="1366"/>
      <c r="M76" s="1366"/>
      <c r="N76" s="1366"/>
      <c r="O76" s="1366"/>
      <c r="P76" s="1366"/>
      <c r="Q76" s="1366"/>
      <c r="R76" s="1366"/>
      <c r="S76" s="1367"/>
      <c r="T76" s="2722"/>
      <c r="U76" s="2722"/>
      <c r="V76" s="1366"/>
      <c r="W76" s="1366"/>
      <c r="Z76" s="808"/>
      <c r="AD76" s="147"/>
      <c r="AH76" s="147"/>
      <c r="AL76" s="147"/>
      <c r="AP76" s="147"/>
      <c r="AT76" s="147"/>
      <c r="AX76" s="147"/>
      <c r="BB76" s="147"/>
      <c r="BC76" s="636"/>
      <c r="BD76" s="636"/>
      <c r="BE76" s="636"/>
      <c r="BF76" s="892"/>
      <c r="BG76" s="636"/>
      <c r="BH76" s="636"/>
      <c r="BI76" s="636"/>
      <c r="BJ76" s="636"/>
      <c r="BK76" s="635"/>
      <c r="BL76" s="636"/>
      <c r="BM76" s="636"/>
      <c r="BN76" s="636"/>
      <c r="BO76" s="635"/>
      <c r="BP76" s="636"/>
      <c r="BQ76" s="636"/>
      <c r="BR76" s="636"/>
      <c r="BS76" s="635"/>
      <c r="BT76" s="636"/>
      <c r="BU76" s="636"/>
      <c r="BV76" s="636"/>
      <c r="BW76" s="635"/>
      <c r="BX76" s="636"/>
      <c r="BZ76" s="147"/>
      <c r="CD76" s="147"/>
      <c r="CE76" s="147"/>
      <c r="CF76" s="147"/>
      <c r="CG76" s="147"/>
      <c r="CH76" s="147"/>
      <c r="CI76" s="147"/>
      <c r="CJ76" s="147"/>
      <c r="CK76" s="147"/>
      <c r="CL76" s="147"/>
      <c r="CM76" s="147"/>
      <c r="CN76" s="3389"/>
      <c r="CO76" s="2767"/>
      <c r="CP76" s="2767"/>
      <c r="CQ76" s="2767"/>
      <c r="CR76" s="3189"/>
      <c r="CS76" s="153"/>
      <c r="CT76" s="154"/>
      <c r="CU76" s="154"/>
      <c r="CV76" s="154"/>
      <c r="CW76" s="154"/>
      <c r="CX76" s="154"/>
      <c r="CY76" s="154"/>
      <c r="CZ76" s="154"/>
      <c r="DA76" s="154"/>
      <c r="DE76" s="178"/>
      <c r="DG76" s="161"/>
      <c r="DH76" s="161"/>
      <c r="DI76" s="161"/>
      <c r="DJ76" s="383"/>
      <c r="DK76" s="383"/>
      <c r="DL76" s="383"/>
      <c r="DM76" s="383"/>
      <c r="DN76" s="383"/>
      <c r="DO76" s="10"/>
      <c r="DP76" s="10"/>
      <c r="DQ76" s="10"/>
      <c r="DR76" s="10"/>
      <c r="DS76" s="10"/>
      <c r="DT76" s="10"/>
      <c r="DU76" s="10"/>
      <c r="DV76" s="10"/>
      <c r="DW76" s="10"/>
      <c r="DX76" s="10"/>
      <c r="DY76" s="10"/>
      <c r="DZ76" s="10"/>
      <c r="EA76" s="15"/>
      <c r="EB76" s="10"/>
      <c r="EC76" s="10"/>
      <c r="ED76" s="10"/>
      <c r="EE76" s="10"/>
      <c r="EF76" s="10"/>
      <c r="EG76" s="10"/>
      <c r="EH76" s="10"/>
      <c r="EI76" s="10"/>
      <c r="EJ76" s="10"/>
      <c r="EK76" s="10"/>
      <c r="EL76" s="10"/>
      <c r="EN76" s="10"/>
      <c r="EO76" s="10"/>
    </row>
    <row r="77" spans="2:145" s="28" customFormat="1">
      <c r="B77" s="1373"/>
      <c r="C77" s="1365"/>
      <c r="D77" s="1366"/>
      <c r="E77" s="1366"/>
      <c r="F77" s="1366"/>
      <c r="G77" s="1366"/>
      <c r="H77" s="1366"/>
      <c r="I77" s="1366"/>
      <c r="J77" s="1366"/>
      <c r="K77" s="1366"/>
      <c r="L77" s="1366"/>
      <c r="M77" s="1366"/>
      <c r="N77" s="1366"/>
      <c r="O77" s="1366"/>
      <c r="P77" s="1366"/>
      <c r="R77" s="1366"/>
      <c r="S77" s="1367"/>
      <c r="T77" s="2722"/>
      <c r="U77" s="2722"/>
      <c r="V77" s="1366"/>
      <c r="W77" s="3203"/>
      <c r="Z77" s="808"/>
      <c r="AD77" s="147"/>
      <c r="AH77" s="147"/>
      <c r="AL77" s="147"/>
      <c r="AP77" s="147"/>
      <c r="AT77" s="147"/>
      <c r="AX77" s="147"/>
      <c r="BB77" s="147"/>
      <c r="BC77" s="636"/>
      <c r="BD77" s="636"/>
      <c r="BE77" s="636"/>
      <c r="BF77" s="892"/>
      <c r="BG77" s="636"/>
      <c r="BH77" s="636"/>
      <c r="BI77" s="636"/>
      <c r="BJ77" s="636"/>
      <c r="BK77" s="635"/>
      <c r="BL77" s="636"/>
      <c r="BM77" s="636"/>
      <c r="BN77" s="636"/>
      <c r="BO77" s="635"/>
      <c r="BP77" s="636"/>
      <c r="BQ77" s="636"/>
      <c r="BR77" s="636"/>
      <c r="BS77" s="635"/>
      <c r="BT77" s="636"/>
      <c r="BU77" s="636"/>
      <c r="BV77" s="636"/>
      <c r="BW77" s="635"/>
      <c r="BX77" s="636"/>
      <c r="BZ77" s="147"/>
      <c r="CD77" s="147"/>
      <c r="CE77" s="147"/>
      <c r="CF77" s="147"/>
      <c r="CG77" s="147"/>
      <c r="CH77" s="147"/>
      <c r="CI77" s="147"/>
      <c r="CJ77" s="147"/>
      <c r="CK77" s="147"/>
      <c r="CL77" s="147"/>
      <c r="CM77" s="147"/>
      <c r="CN77" s="3389"/>
      <c r="CO77" s="3389"/>
      <c r="CP77" s="3389"/>
      <c r="CQ77" s="3389"/>
      <c r="CR77" s="148"/>
      <c r="CS77" s="148"/>
      <c r="CT77" s="148"/>
      <c r="CY77" s="174"/>
      <c r="DE77" s="178"/>
      <c r="DG77" s="161"/>
      <c r="DH77" s="161"/>
      <c r="DI77" s="161"/>
      <c r="DJ77" s="383"/>
      <c r="DK77" s="383"/>
      <c r="DL77" s="383"/>
      <c r="DM77" s="383"/>
      <c r="DN77" s="383"/>
      <c r="DO77" s="10"/>
      <c r="DP77" s="10"/>
      <c r="DQ77" s="10"/>
      <c r="DR77" s="10"/>
      <c r="DS77" s="10"/>
      <c r="DT77" s="10"/>
      <c r="DU77" s="10"/>
      <c r="DV77" s="10"/>
      <c r="DW77" s="10"/>
      <c r="DX77" s="10"/>
      <c r="DY77" s="10"/>
      <c r="DZ77" s="10"/>
      <c r="EA77" s="15"/>
      <c r="EB77" s="10"/>
      <c r="EC77" s="10"/>
      <c r="ED77" s="10"/>
      <c r="EE77" s="10"/>
      <c r="EF77" s="10"/>
      <c r="EG77" s="10"/>
      <c r="EH77" s="10"/>
      <c r="EI77" s="10"/>
      <c r="EJ77" s="10"/>
      <c r="EK77" s="10"/>
      <c r="EL77" s="10"/>
      <c r="EN77" s="10"/>
      <c r="EO77" s="10"/>
    </row>
    <row r="78" spans="2:145" s="28" customFormat="1">
      <c r="B78" s="1373"/>
      <c r="C78" s="1365"/>
      <c r="D78" s="1366"/>
      <c r="E78" s="1366"/>
      <c r="F78" s="1366"/>
      <c r="G78" s="1366"/>
      <c r="H78" s="1366"/>
      <c r="I78" s="1366"/>
      <c r="J78" s="1366"/>
      <c r="K78" s="1366"/>
      <c r="L78" s="1366"/>
      <c r="M78" s="1366"/>
      <c r="N78" s="1366"/>
      <c r="O78" s="1366"/>
      <c r="P78" s="1366"/>
      <c r="Q78" s="1366"/>
      <c r="R78" s="1366"/>
      <c r="S78" s="1367"/>
      <c r="T78" s="2722"/>
      <c r="U78" s="2722"/>
      <c r="V78" s="1366"/>
      <c r="W78" s="1366"/>
      <c r="Z78" s="808"/>
      <c r="AD78" s="147"/>
      <c r="AH78" s="147"/>
      <c r="AL78" s="147"/>
      <c r="AP78" s="147"/>
      <c r="AT78" s="147"/>
      <c r="AX78" s="147"/>
      <c r="BB78" s="147"/>
      <c r="BC78" s="636"/>
      <c r="BD78" s="636"/>
      <c r="BE78" s="636"/>
      <c r="BF78" s="636"/>
      <c r="BG78" s="635"/>
      <c r="BH78" s="636"/>
      <c r="BI78" s="636"/>
      <c r="BJ78" s="636"/>
      <c r="BK78" s="635"/>
      <c r="BL78" s="636"/>
      <c r="BM78" s="636"/>
      <c r="BN78" s="636"/>
      <c r="BO78" s="635"/>
      <c r="BP78" s="636"/>
      <c r="BQ78" s="636"/>
      <c r="BR78" s="636"/>
      <c r="BS78" s="635"/>
      <c r="BT78" s="636"/>
      <c r="BU78" s="636"/>
      <c r="BV78" s="636"/>
      <c r="BW78" s="635"/>
      <c r="BX78" s="636"/>
      <c r="BZ78" s="147"/>
      <c r="CD78" s="147"/>
      <c r="CE78" s="147"/>
      <c r="CF78" s="147"/>
      <c r="CG78" s="147"/>
      <c r="CH78" s="147"/>
      <c r="CI78" s="147"/>
      <c r="CJ78" s="147"/>
      <c r="CK78" s="147"/>
      <c r="CL78" s="147"/>
      <c r="CM78" s="147"/>
      <c r="CN78" s="3389"/>
      <c r="CO78" s="3389"/>
      <c r="CP78" s="3389"/>
      <c r="CQ78" s="3389"/>
      <c r="CR78" s="148"/>
      <c r="CS78" s="148"/>
      <c r="CT78" s="148"/>
      <c r="CY78" s="174"/>
      <c r="DE78" s="178"/>
      <c r="DG78" s="161"/>
      <c r="DH78" s="161"/>
      <c r="DI78" s="161"/>
      <c r="DJ78" s="383"/>
      <c r="DK78" s="383"/>
      <c r="DL78" s="383"/>
      <c r="DM78" s="383"/>
      <c r="DN78" s="383"/>
      <c r="DO78" s="10"/>
      <c r="DP78" s="10"/>
      <c r="DQ78" s="10"/>
      <c r="DR78" s="10"/>
      <c r="DS78" s="10"/>
      <c r="DT78" s="10"/>
      <c r="DU78" s="10"/>
      <c r="DV78" s="10"/>
      <c r="DW78" s="10"/>
      <c r="DX78" s="10"/>
      <c r="DY78" s="10"/>
      <c r="DZ78" s="10"/>
      <c r="EA78" s="15"/>
      <c r="EB78" s="10"/>
      <c r="EC78" s="10"/>
      <c r="ED78" s="10"/>
      <c r="EE78" s="10"/>
      <c r="EF78" s="10"/>
      <c r="EG78" s="10"/>
      <c r="EH78" s="10"/>
      <c r="EI78" s="10"/>
      <c r="EJ78" s="10"/>
      <c r="EK78" s="10"/>
      <c r="EL78" s="10"/>
      <c r="EN78" s="10"/>
      <c r="EO78" s="10"/>
    </row>
    <row r="79" spans="2:145" s="28" customFormat="1">
      <c r="B79" s="1373"/>
      <c r="C79" s="1365"/>
      <c r="D79" s="1366"/>
      <c r="E79" s="1366"/>
      <c r="F79" s="1366"/>
      <c r="G79" s="1366"/>
      <c r="H79" s="1366"/>
      <c r="I79" s="1366"/>
      <c r="J79" s="1366"/>
      <c r="K79" s="1366"/>
      <c r="L79" s="1366"/>
      <c r="M79" s="1366"/>
      <c r="N79" s="1366"/>
      <c r="O79" s="1366"/>
      <c r="P79" s="1366"/>
      <c r="Q79" s="1366"/>
      <c r="R79" s="1366"/>
      <c r="S79" s="1367"/>
      <c r="T79" s="2722"/>
      <c r="U79" s="2722"/>
      <c r="V79" s="1366"/>
      <c r="W79" s="1366"/>
      <c r="Z79" s="808"/>
      <c r="AD79" s="147"/>
      <c r="AH79" s="147"/>
      <c r="AI79" s="118"/>
      <c r="AL79" s="147"/>
      <c r="AM79" s="118"/>
      <c r="AP79" s="147"/>
      <c r="AT79" s="147"/>
      <c r="AY79" s="118"/>
      <c r="BB79" s="147"/>
      <c r="BC79" s="636"/>
      <c r="BD79" s="636"/>
      <c r="BE79" s="636"/>
      <c r="BF79" s="636"/>
      <c r="BG79" s="635"/>
      <c r="BH79" s="636"/>
      <c r="BI79" s="636"/>
      <c r="BJ79" s="636"/>
      <c r="BK79" s="635"/>
      <c r="BL79" s="636"/>
      <c r="BM79" s="636"/>
      <c r="BN79" s="636"/>
      <c r="BO79" s="635"/>
      <c r="BP79" s="636"/>
      <c r="BQ79" s="636"/>
      <c r="BR79" s="636"/>
      <c r="BS79" s="635"/>
      <c r="BT79" s="636"/>
      <c r="BU79" s="636"/>
      <c r="BV79" s="636"/>
      <c r="BW79" s="635"/>
      <c r="BX79" s="636"/>
      <c r="BZ79" s="147"/>
      <c r="CD79" s="147"/>
      <c r="CE79" s="147"/>
      <c r="CF79" s="147"/>
      <c r="CG79" s="147"/>
      <c r="CH79" s="147"/>
      <c r="CI79" s="147"/>
      <c r="CJ79" s="147"/>
      <c r="CK79" s="147"/>
      <c r="CL79" s="147"/>
      <c r="CM79" s="147"/>
      <c r="CN79" s="3389"/>
      <c r="CO79" s="3389"/>
      <c r="CP79" s="3389"/>
      <c r="CQ79" s="3389"/>
      <c r="CR79" s="148"/>
      <c r="CS79" s="148"/>
      <c r="CT79" s="148"/>
      <c r="CY79" s="174"/>
      <c r="DE79" s="178"/>
      <c r="DG79" s="161"/>
      <c r="DH79" s="161"/>
      <c r="DI79" s="161"/>
      <c r="DJ79" s="383"/>
      <c r="DK79" s="383"/>
      <c r="DL79" s="383"/>
      <c r="DM79" s="383"/>
      <c r="DN79" s="383"/>
      <c r="DO79" s="10"/>
      <c r="DP79" s="10"/>
      <c r="DQ79" s="10"/>
      <c r="DR79" s="10"/>
      <c r="DS79" s="10"/>
      <c r="DT79" s="10"/>
      <c r="DU79" s="10"/>
      <c r="DV79" s="10"/>
      <c r="DW79" s="10"/>
      <c r="DX79" s="10"/>
      <c r="DY79" s="10"/>
      <c r="DZ79" s="10"/>
      <c r="EA79" s="15"/>
      <c r="EB79" s="10"/>
      <c r="EC79" s="10"/>
      <c r="ED79" s="10"/>
      <c r="EE79" s="10"/>
      <c r="EF79" s="10"/>
      <c r="EG79" s="10"/>
      <c r="EH79" s="10"/>
      <c r="EI79" s="10"/>
      <c r="EJ79" s="10"/>
      <c r="EK79" s="10"/>
      <c r="EL79" s="10"/>
      <c r="EN79" s="10"/>
      <c r="EO79" s="10"/>
    </row>
    <row r="80" spans="2:145" s="28" customFormat="1">
      <c r="B80" s="1373"/>
      <c r="C80" s="1365"/>
      <c r="D80" s="1366"/>
      <c r="E80" s="1366"/>
      <c r="F80" s="1366"/>
      <c r="G80" s="1366"/>
      <c r="H80" s="1366"/>
      <c r="I80" s="1366"/>
      <c r="J80" s="1366"/>
      <c r="K80" s="1366"/>
      <c r="L80" s="1366"/>
      <c r="M80" s="1366"/>
      <c r="N80" s="1366"/>
      <c r="O80" s="1366"/>
      <c r="P80" s="1366"/>
      <c r="Q80" s="1366"/>
      <c r="R80" s="1366"/>
      <c r="S80" s="1367"/>
      <c r="T80" s="2722"/>
      <c r="U80" s="2722"/>
      <c r="V80" s="1366"/>
      <c r="W80" s="1366"/>
      <c r="Z80" s="808"/>
      <c r="AD80" s="147"/>
      <c r="AH80" s="147"/>
      <c r="AI80" s="118"/>
      <c r="AL80" s="147"/>
      <c r="AM80" s="118"/>
      <c r="AP80" s="147"/>
      <c r="AT80" s="147"/>
      <c r="AY80" s="118"/>
      <c r="BC80" s="635"/>
      <c r="BD80" s="636"/>
      <c r="BE80" s="636"/>
      <c r="BF80" s="636"/>
      <c r="BG80" s="635"/>
      <c r="BH80" s="636"/>
      <c r="BI80" s="636"/>
      <c r="BJ80" s="636"/>
      <c r="BK80" s="635"/>
      <c r="BL80" s="636"/>
      <c r="BM80" s="636"/>
      <c r="BN80" s="636"/>
      <c r="BO80" s="635"/>
      <c r="BP80" s="636"/>
      <c r="BQ80" s="636"/>
      <c r="BR80" s="636"/>
      <c r="BS80" s="635"/>
      <c r="BT80" s="636"/>
      <c r="BU80" s="636"/>
      <c r="BV80" s="636"/>
      <c r="BW80" s="635"/>
      <c r="BX80" s="636"/>
      <c r="BZ80" s="147"/>
      <c r="CD80" s="147"/>
      <c r="CE80" s="147"/>
      <c r="CF80" s="147"/>
      <c r="CG80" s="147"/>
      <c r="CH80" s="147"/>
      <c r="CI80" s="147"/>
      <c r="CJ80" s="147"/>
      <c r="CK80" s="147"/>
      <c r="CL80" s="147"/>
      <c r="CM80" s="147"/>
      <c r="CN80" s="3389"/>
      <c r="CO80" s="3389"/>
      <c r="CP80" s="3389"/>
      <c r="CQ80" s="3389"/>
      <c r="CR80" s="148"/>
      <c r="CS80" s="148"/>
      <c r="CT80" s="148"/>
      <c r="CY80" s="174"/>
      <c r="DE80" s="178"/>
      <c r="DG80" s="161"/>
      <c r="DH80" s="161"/>
      <c r="DI80" s="161"/>
      <c r="DJ80" s="383"/>
      <c r="DK80" s="383"/>
      <c r="DL80" s="383"/>
      <c r="DM80" s="383"/>
      <c r="DN80" s="383"/>
      <c r="DO80" s="10"/>
      <c r="DP80" s="10"/>
      <c r="DQ80" s="10"/>
      <c r="DR80" s="10"/>
      <c r="DS80" s="10"/>
      <c r="DT80" s="10"/>
      <c r="DU80" s="10"/>
      <c r="DV80" s="10"/>
      <c r="DW80" s="10"/>
      <c r="DX80" s="10"/>
      <c r="DY80" s="10"/>
      <c r="DZ80" s="10"/>
      <c r="EA80" s="15"/>
      <c r="EB80" s="10"/>
      <c r="EC80" s="10"/>
      <c r="ED80" s="10"/>
      <c r="EE80" s="10"/>
      <c r="EF80" s="10"/>
      <c r="EG80" s="10"/>
      <c r="EH80" s="10"/>
      <c r="EI80" s="10"/>
      <c r="EJ80" s="10"/>
      <c r="EK80" s="10"/>
      <c r="EL80" s="10"/>
      <c r="EN80" s="10"/>
      <c r="EO80" s="10"/>
    </row>
    <row r="81" spans="2:146" s="28" customFormat="1" ht="13.5" thickBot="1">
      <c r="B81" s="2619"/>
      <c r="C81" s="2620"/>
      <c r="D81" s="2621"/>
      <c r="E81" s="2621"/>
      <c r="F81" s="2621"/>
      <c r="G81" s="2621"/>
      <c r="H81" s="2621"/>
      <c r="I81" s="2621"/>
      <c r="J81" s="2621"/>
      <c r="K81" s="2621"/>
      <c r="L81" s="2621"/>
      <c r="M81" s="2621"/>
      <c r="N81" s="2621"/>
      <c r="O81" s="2621"/>
      <c r="P81" s="2621"/>
      <c r="Q81" s="2621"/>
      <c r="R81" s="2621"/>
      <c r="S81" s="3534"/>
      <c r="T81" s="2722"/>
      <c r="U81" s="2722"/>
      <c r="V81" s="1366"/>
      <c r="W81" s="2621"/>
      <c r="Z81" s="3109"/>
      <c r="AD81" s="147"/>
      <c r="AH81" s="147"/>
      <c r="AI81" s="118"/>
      <c r="AL81" s="147"/>
      <c r="AM81" s="118"/>
      <c r="AP81" s="147"/>
      <c r="AT81" s="147"/>
      <c r="AU81" s="118"/>
      <c r="AY81" s="118"/>
      <c r="BC81" s="635"/>
      <c r="BD81" s="636"/>
      <c r="BE81" s="636"/>
      <c r="BF81" s="636"/>
      <c r="BG81" s="635"/>
      <c r="BH81" s="636"/>
      <c r="BI81" s="636"/>
      <c r="BJ81" s="636"/>
      <c r="BK81" s="635"/>
      <c r="BL81" s="636"/>
      <c r="BM81" s="636"/>
      <c r="BN81" s="636"/>
      <c r="BO81" s="635"/>
      <c r="BP81" s="636"/>
      <c r="BQ81" s="636"/>
      <c r="BR81" s="636"/>
      <c r="BS81" s="635"/>
      <c r="BT81" s="636"/>
      <c r="BU81" s="636"/>
      <c r="BV81" s="636"/>
      <c r="BW81" s="635"/>
      <c r="BX81" s="636"/>
      <c r="BZ81" s="147"/>
      <c r="CB81" s="1448"/>
      <c r="CD81" s="147"/>
      <c r="CE81" s="147"/>
      <c r="CF81" s="147"/>
      <c r="CG81" s="147"/>
      <c r="CH81" s="147"/>
      <c r="CI81" s="147"/>
      <c r="CJ81" s="147"/>
      <c r="CK81" s="147"/>
      <c r="CL81" s="147"/>
      <c r="CM81" s="147"/>
      <c r="CN81" s="3389"/>
      <c r="CO81" s="3389"/>
      <c r="CP81" s="3389"/>
      <c r="CQ81" s="3389"/>
      <c r="CR81" s="148"/>
      <c r="CS81" s="148"/>
      <c r="CT81" s="148"/>
      <c r="CY81" s="174"/>
      <c r="DE81" s="178"/>
      <c r="DG81" s="161"/>
      <c r="DH81" s="161"/>
      <c r="DI81" s="161"/>
      <c r="DJ81" s="383"/>
      <c r="DK81" s="383"/>
      <c r="DL81" s="383"/>
      <c r="DM81" s="383"/>
      <c r="DN81" s="383"/>
      <c r="DO81" s="10"/>
      <c r="DP81" s="10"/>
      <c r="DQ81" s="10"/>
      <c r="DR81" s="10"/>
      <c r="DS81" s="10"/>
      <c r="DT81" s="10"/>
      <c r="DU81" s="10"/>
      <c r="DV81" s="10"/>
      <c r="DW81" s="10"/>
      <c r="DX81" s="10"/>
      <c r="DY81" s="10"/>
      <c r="DZ81" s="10"/>
      <c r="EA81" s="15"/>
      <c r="EB81" s="10"/>
      <c r="EC81" s="10"/>
      <c r="ED81" s="10"/>
      <c r="EE81" s="10"/>
      <c r="EF81" s="10"/>
      <c r="EG81" s="10"/>
      <c r="EH81" s="10"/>
      <c r="EI81" s="10"/>
      <c r="EJ81" s="10"/>
      <c r="EK81" s="10"/>
      <c r="EL81" s="10"/>
      <c r="EN81" s="10"/>
      <c r="EO81" s="10"/>
    </row>
    <row r="82" spans="2:146" s="28" customFormat="1">
      <c r="B82" s="2617" t="s">
        <v>1060</v>
      </c>
      <c r="C82" s="2618"/>
      <c r="D82" s="2598"/>
      <c r="E82" s="2598"/>
      <c r="F82" s="2598"/>
      <c r="G82" s="2598"/>
      <c r="H82" s="2598"/>
      <c r="I82" s="2598"/>
      <c r="J82" s="2598"/>
      <c r="K82" s="2598"/>
      <c r="L82" s="2598"/>
      <c r="M82" s="2598"/>
      <c r="N82" s="2598"/>
      <c r="O82" s="2598"/>
      <c r="P82" s="2598"/>
      <c r="Q82" s="2598"/>
      <c r="R82" s="2598"/>
      <c r="S82" s="3535"/>
      <c r="T82" s="2722"/>
      <c r="U82" s="2722"/>
      <c r="V82" s="2021"/>
      <c r="W82" s="2598"/>
      <c r="Z82" s="149"/>
      <c r="AA82" s="118"/>
      <c r="AD82" s="147"/>
      <c r="AH82" s="147"/>
      <c r="AI82" s="118"/>
      <c r="AL82" s="147"/>
      <c r="AM82" s="118"/>
      <c r="AP82" s="147"/>
      <c r="AT82" s="147"/>
      <c r="AU82" s="118"/>
      <c r="AY82" s="118"/>
      <c r="BC82" s="635"/>
      <c r="BD82" s="636"/>
      <c r="BE82" s="636"/>
      <c r="BF82" s="636"/>
      <c r="BG82" s="635"/>
      <c r="BH82" s="636"/>
      <c r="BI82" s="636"/>
      <c r="BJ82" s="636"/>
      <c r="BK82" s="635"/>
      <c r="BL82" s="636"/>
      <c r="BM82" s="636"/>
      <c r="BN82" s="636"/>
      <c r="BO82" s="635"/>
      <c r="BP82" s="636"/>
      <c r="BQ82" s="636"/>
      <c r="BR82" s="636"/>
      <c r="BS82" s="635"/>
      <c r="BT82" s="636"/>
      <c r="BU82" s="636"/>
      <c r="BV82" s="636"/>
      <c r="BW82" s="635"/>
      <c r="BX82" s="636"/>
      <c r="BZ82" s="147"/>
      <c r="CB82" s="1448"/>
      <c r="CD82" s="147"/>
      <c r="CE82" s="147"/>
      <c r="CF82" s="147"/>
      <c r="CG82" s="147"/>
      <c r="CH82" s="147"/>
      <c r="CI82" s="147"/>
      <c r="CJ82" s="147"/>
      <c r="CK82" s="147"/>
      <c r="CL82" s="147"/>
      <c r="CM82" s="147"/>
      <c r="CN82" s="3389"/>
      <c r="CO82" s="3389"/>
      <c r="CP82" s="3389"/>
      <c r="CQ82" s="3389"/>
      <c r="CR82" s="148"/>
      <c r="CS82" s="148"/>
      <c r="CT82" s="148"/>
      <c r="CY82" s="174"/>
      <c r="DE82" s="178"/>
      <c r="DG82" s="161"/>
      <c r="DH82" s="161"/>
      <c r="DI82" s="161"/>
      <c r="DJ82" s="383"/>
      <c r="DK82" s="383"/>
      <c r="DL82" s="383"/>
      <c r="DM82" s="383"/>
      <c r="DN82" s="383"/>
      <c r="DO82" s="10"/>
      <c r="DP82" s="10"/>
      <c r="DQ82" s="10"/>
      <c r="DR82" s="10"/>
      <c r="DS82" s="10"/>
      <c r="DT82" s="10"/>
      <c r="DU82" s="10"/>
      <c r="DV82" s="10"/>
      <c r="DW82" s="10"/>
      <c r="DX82" s="10"/>
      <c r="DY82" s="10"/>
      <c r="DZ82" s="10"/>
      <c r="EA82" s="15"/>
      <c r="EB82" s="10"/>
      <c r="EC82" s="10"/>
      <c r="ED82" s="10"/>
      <c r="EE82" s="10"/>
      <c r="EF82" s="10"/>
      <c r="EG82" s="10"/>
      <c r="EH82" s="10"/>
      <c r="EI82" s="10"/>
      <c r="EJ82" s="10"/>
      <c r="EK82" s="10"/>
      <c r="EL82" s="10"/>
      <c r="EN82" s="10"/>
      <c r="EO82" s="10"/>
    </row>
    <row r="83" spans="2:146" s="28" customFormat="1">
      <c r="B83" s="2104" t="s">
        <v>1191</v>
      </c>
      <c r="C83" s="1365"/>
      <c r="D83" s="1366"/>
      <c r="E83" s="1366"/>
      <c r="F83" s="1366"/>
      <c r="G83" s="1366"/>
      <c r="H83" s="1366"/>
      <c r="I83" s="2100">
        <v>3903</v>
      </c>
      <c r="J83" s="2100">
        <v>4220</v>
      </c>
      <c r="K83" s="2100">
        <v>4120</v>
      </c>
      <c r="L83" s="2100">
        <v>4349</v>
      </c>
      <c r="M83" s="2100">
        <v>4429</v>
      </c>
      <c r="N83" s="2100"/>
      <c r="O83" s="2100"/>
      <c r="P83" s="2100"/>
      <c r="Q83" s="1366"/>
      <c r="R83" s="1366"/>
      <c r="S83" s="1367"/>
      <c r="T83" s="2722"/>
      <c r="U83" s="2723"/>
      <c r="V83" s="1366"/>
      <c r="W83" s="1366"/>
      <c r="Z83" s="149"/>
      <c r="AA83" s="118"/>
      <c r="AD83" s="147"/>
      <c r="AE83" s="118"/>
      <c r="AH83" s="147"/>
      <c r="AI83" s="118"/>
      <c r="AL83" s="147"/>
      <c r="AM83" s="118"/>
      <c r="AP83" s="147"/>
      <c r="AT83" s="147"/>
      <c r="AU83" s="118"/>
      <c r="AY83" s="118"/>
      <c r="BC83" s="635"/>
      <c r="BD83" s="636"/>
      <c r="BE83" s="636"/>
      <c r="BF83" s="636"/>
      <c r="BG83" s="635"/>
      <c r="BH83" s="636"/>
      <c r="BI83" s="636"/>
      <c r="BJ83" s="636"/>
      <c r="BK83" s="635"/>
      <c r="BL83" s="636"/>
      <c r="BM83" s="636"/>
      <c r="BN83" s="636"/>
      <c r="BO83" s="635"/>
      <c r="BP83" s="636"/>
      <c r="BQ83" s="636"/>
      <c r="BR83" s="636"/>
      <c r="BS83" s="635"/>
      <c r="BT83" s="636"/>
      <c r="BU83" s="636"/>
      <c r="BV83" s="636"/>
      <c r="BW83" s="635"/>
      <c r="BX83" s="636"/>
      <c r="BZ83" s="147"/>
      <c r="CB83" s="1448"/>
      <c r="CD83" s="147"/>
      <c r="CE83" s="147"/>
      <c r="CF83" s="147"/>
      <c r="CG83" s="147"/>
      <c r="CH83" s="147"/>
      <c r="CI83" s="147"/>
      <c r="CJ83" s="147"/>
      <c r="CK83" s="147"/>
      <c r="CL83" s="147"/>
      <c r="CM83" s="147"/>
      <c r="CN83" s="3389"/>
      <c r="CO83" s="3389"/>
      <c r="CP83" s="3389"/>
      <c r="CQ83" s="3389"/>
      <c r="CR83" s="148"/>
      <c r="CS83" s="148"/>
      <c r="CT83" s="148"/>
      <c r="CY83" s="174"/>
      <c r="DE83" s="178"/>
      <c r="DG83" s="161"/>
      <c r="DH83" s="161"/>
      <c r="DI83" s="161"/>
      <c r="DJ83" s="383"/>
      <c r="DK83" s="383"/>
      <c r="DL83" s="383"/>
      <c r="DM83" s="383"/>
      <c r="DN83" s="383"/>
      <c r="DO83" s="10"/>
      <c r="DP83" s="10"/>
      <c r="DQ83" s="10"/>
      <c r="DR83" s="10"/>
      <c r="DS83" s="10"/>
      <c r="DT83" s="10"/>
      <c r="DU83" s="10"/>
      <c r="DV83" s="10"/>
      <c r="DW83" s="10"/>
      <c r="DX83" s="10"/>
      <c r="DY83" s="10"/>
      <c r="DZ83" s="10"/>
      <c r="EA83" s="15"/>
      <c r="EB83" s="10"/>
      <c r="EC83" s="10"/>
      <c r="ED83" s="10"/>
      <c r="EE83" s="10"/>
      <c r="EF83" s="10"/>
      <c r="EG83" s="10"/>
      <c r="EH83" s="10"/>
      <c r="EI83" s="10"/>
      <c r="EJ83" s="10"/>
      <c r="EK83" s="10"/>
      <c r="EL83" s="10"/>
      <c r="EN83" s="10"/>
      <c r="EO83" s="10"/>
    </row>
    <row r="84" spans="2:146" s="28" customFormat="1" ht="13.5" thickBot="1">
      <c r="B84" s="2094"/>
      <c r="C84" s="1365"/>
      <c r="D84" s="1366"/>
      <c r="E84" s="1366"/>
      <c r="F84" s="1366"/>
      <c r="G84" s="1366"/>
      <c r="H84" s="1366"/>
      <c r="I84" s="740"/>
      <c r="J84" s="740"/>
      <c r="K84" s="740"/>
      <c r="L84" s="740"/>
      <c r="M84" s="740"/>
      <c r="N84" s="740"/>
      <c r="O84" s="740"/>
      <c r="P84" s="740"/>
      <c r="Q84" s="740"/>
      <c r="R84" s="740"/>
      <c r="S84" s="956"/>
      <c r="T84" s="2724"/>
      <c r="U84" s="2724"/>
      <c r="V84" s="740"/>
      <c r="W84" s="740"/>
      <c r="Z84" s="149"/>
      <c r="AA84" s="118"/>
      <c r="AD84" s="147"/>
      <c r="AE84" s="118"/>
      <c r="AH84" s="147"/>
      <c r="AI84" s="118"/>
      <c r="AL84" s="147"/>
      <c r="AM84" s="118"/>
      <c r="AP84" s="147"/>
      <c r="AQ84" s="118"/>
      <c r="AT84" s="147"/>
      <c r="AU84" s="118"/>
      <c r="AY84" s="118"/>
      <c r="BC84" s="635"/>
      <c r="BD84" s="636"/>
      <c r="BE84" s="636"/>
      <c r="BF84" s="636"/>
      <c r="BG84" s="635"/>
      <c r="BH84" s="636"/>
      <c r="BI84" s="636"/>
      <c r="BJ84" s="636"/>
      <c r="BK84" s="635"/>
      <c r="BL84" s="636"/>
      <c r="BM84" s="636"/>
      <c r="BN84" s="636"/>
      <c r="BO84" s="635"/>
      <c r="BP84" s="636"/>
      <c r="BQ84" s="636"/>
      <c r="BR84" s="636"/>
      <c r="BS84" s="635"/>
      <c r="BT84" s="636"/>
      <c r="BU84" s="636"/>
      <c r="BV84" s="636"/>
      <c r="BW84" s="635"/>
      <c r="BX84" s="636"/>
      <c r="BZ84" s="147"/>
      <c r="CB84" s="1448"/>
      <c r="CD84" s="147"/>
      <c r="CE84" s="147"/>
      <c r="CF84" s="147"/>
      <c r="CG84" s="147"/>
      <c r="CH84" s="147"/>
      <c r="CI84" s="147"/>
      <c r="CJ84" s="147"/>
      <c r="CK84" s="147"/>
      <c r="CL84" s="147"/>
      <c r="CM84" s="147"/>
      <c r="CN84" s="3389"/>
      <c r="CO84" s="3389"/>
      <c r="CP84" s="3389"/>
      <c r="CQ84" s="3389"/>
      <c r="CR84" s="148"/>
      <c r="CS84" s="148"/>
      <c r="CT84" s="148"/>
      <c r="CY84" s="174"/>
      <c r="DE84" s="178"/>
      <c r="DG84" s="161"/>
      <c r="DH84" s="161"/>
      <c r="DI84" s="161"/>
      <c r="DJ84" s="383"/>
      <c r="DK84" s="383"/>
      <c r="DL84" s="383"/>
      <c r="DM84" s="383"/>
      <c r="DN84" s="383"/>
      <c r="DO84" s="10"/>
      <c r="DP84" s="10"/>
      <c r="DQ84" s="10"/>
      <c r="DR84" s="10"/>
      <c r="DS84" s="10"/>
      <c r="DT84" s="10"/>
      <c r="DU84" s="10"/>
      <c r="DV84" s="10"/>
      <c r="DW84" s="10"/>
      <c r="DX84" s="10"/>
      <c r="DY84" s="10"/>
      <c r="DZ84" s="10"/>
      <c r="EA84" s="15"/>
      <c r="EB84" s="10"/>
      <c r="EC84" s="10"/>
      <c r="ED84" s="10"/>
      <c r="EE84" s="10"/>
      <c r="EF84" s="10"/>
      <c r="EG84" s="10"/>
      <c r="EH84" s="10"/>
      <c r="EI84" s="10"/>
      <c r="EJ84" s="10"/>
      <c r="EK84" s="10"/>
      <c r="EL84" s="10"/>
      <c r="EN84" s="10"/>
      <c r="EO84" s="10"/>
    </row>
    <row r="85" spans="2:146" s="28" customFormat="1">
      <c r="B85" s="2406" t="s">
        <v>1192</v>
      </c>
      <c r="C85" s="2105"/>
      <c r="D85" s="2106"/>
      <c r="E85" s="2106"/>
      <c r="F85" s="2106"/>
      <c r="G85" s="2106"/>
      <c r="H85" s="2831"/>
      <c r="I85" s="2832"/>
      <c r="J85" s="2832"/>
      <c r="K85" s="2832"/>
      <c r="L85" s="2832"/>
      <c r="M85" s="2832"/>
      <c r="N85" s="2832"/>
      <c r="O85" s="2832"/>
      <c r="P85" s="2832"/>
      <c r="Q85" s="2832"/>
      <c r="R85" s="2832"/>
      <c r="S85" s="3536"/>
      <c r="T85" s="2724"/>
      <c r="U85" s="2724"/>
      <c r="V85" s="2107"/>
      <c r="W85" s="2832"/>
      <c r="Z85" s="149"/>
      <c r="AA85" s="118"/>
      <c r="AD85" s="147"/>
      <c r="AE85" s="118"/>
      <c r="AH85" s="147"/>
      <c r="AI85" s="118"/>
      <c r="AL85" s="147"/>
      <c r="AM85" s="118"/>
      <c r="AP85" s="147"/>
      <c r="AQ85" s="118"/>
      <c r="AT85" s="147"/>
      <c r="AU85" s="118"/>
      <c r="AY85" s="118"/>
      <c r="BC85" s="635"/>
      <c r="BD85" s="636"/>
      <c r="BE85" s="636"/>
      <c r="BF85" s="636"/>
      <c r="BG85" s="635"/>
      <c r="BH85" s="636"/>
      <c r="BI85" s="636"/>
      <c r="BJ85" s="636"/>
      <c r="BK85" s="635"/>
      <c r="BL85" s="636"/>
      <c r="BM85" s="636"/>
      <c r="BN85" s="636"/>
      <c r="BO85" s="635"/>
      <c r="BP85" s="636"/>
      <c r="BQ85" s="636"/>
      <c r="BR85" s="636"/>
      <c r="BS85" s="635"/>
      <c r="BT85" s="636"/>
      <c r="BU85" s="636"/>
      <c r="BV85" s="636"/>
      <c r="BW85" s="635"/>
      <c r="BX85" s="636"/>
      <c r="BZ85" s="147"/>
      <c r="CB85" s="1448"/>
      <c r="CD85" s="147"/>
      <c r="CE85" s="147"/>
      <c r="CF85" s="147"/>
      <c r="CG85" s="147"/>
      <c r="CH85" s="147"/>
      <c r="CI85" s="147"/>
      <c r="CJ85" s="147"/>
      <c r="CK85" s="147"/>
      <c r="CL85" s="147"/>
      <c r="CM85" s="147"/>
      <c r="CN85" s="3389"/>
      <c r="CO85" s="3389"/>
      <c r="CP85" s="3389"/>
      <c r="CQ85" s="3389"/>
      <c r="CR85" s="148"/>
      <c r="CS85" s="148"/>
      <c r="CT85" s="148"/>
      <c r="CY85" s="174"/>
      <c r="DE85" s="178"/>
      <c r="DG85" s="161"/>
      <c r="DH85" s="161"/>
      <c r="DI85" s="161"/>
      <c r="DJ85" s="383"/>
      <c r="DK85" s="383"/>
      <c r="DL85" s="383"/>
      <c r="DM85" s="383"/>
      <c r="DN85" s="383"/>
      <c r="DO85" s="10"/>
      <c r="DP85" s="10"/>
      <c r="DQ85" s="10"/>
      <c r="DR85" s="10"/>
      <c r="DS85" s="10"/>
      <c r="DT85" s="10"/>
      <c r="DU85" s="10"/>
      <c r="DV85" s="10"/>
      <c r="DW85" s="10"/>
      <c r="DX85" s="10"/>
      <c r="DY85" s="10"/>
      <c r="DZ85" s="10"/>
      <c r="EA85" s="15"/>
      <c r="EB85" s="10"/>
      <c r="EC85" s="10"/>
      <c r="ED85" s="10"/>
      <c r="EE85" s="10"/>
      <c r="EF85" s="10"/>
      <c r="EG85" s="10"/>
      <c r="EH85" s="10"/>
      <c r="EI85" s="10"/>
      <c r="EJ85" s="10"/>
      <c r="EK85" s="10"/>
      <c r="EL85" s="10"/>
      <c r="EN85" s="10"/>
      <c r="EO85" s="10"/>
    </row>
    <row r="86" spans="2:146" s="28" customFormat="1" ht="12.75" customHeight="1">
      <c r="B86" s="2126" t="s">
        <v>1188</v>
      </c>
      <c r="C86" s="740">
        <f t="shared" ref="C86:H86" si="249">C55-C87</f>
        <v>1386.2942102979005</v>
      </c>
      <c r="D86" s="740">
        <f t="shared" si="249"/>
        <v>1446.9373970819977</v>
      </c>
      <c r="E86" s="740">
        <f t="shared" si="249"/>
        <v>1468.8765784736963</v>
      </c>
      <c r="F86" s="740">
        <f t="shared" si="249"/>
        <v>1737.8063285660987</v>
      </c>
      <c r="G86" s="740">
        <f t="shared" si="249"/>
        <v>1791.5783205519033</v>
      </c>
      <c r="H86" s="2833">
        <f t="shared" si="249"/>
        <v>2638.3777763057951</v>
      </c>
      <c r="I86" s="2724">
        <f t="shared" ref="I86:M86" si="250">I55-I87</f>
        <v>2391.2396319860018</v>
      </c>
      <c r="J86" s="2724">
        <f t="shared" si="250"/>
        <v>2858.8563766539987</v>
      </c>
      <c r="K86" s="2724">
        <f t="shared" si="250"/>
        <v>3226.0947388219988</v>
      </c>
      <c r="L86" s="2724">
        <f t="shared" si="250"/>
        <v>3940.1968798020007</v>
      </c>
      <c r="M86" s="2724">
        <f t="shared" si="250"/>
        <v>4848.6045914080014</v>
      </c>
      <c r="N86" s="2724">
        <f t="shared" ref="N86:O86" si="251">N55-N87</f>
        <v>5903.2977341855531</v>
      </c>
      <c r="O86" s="2724">
        <f t="shared" si="251"/>
        <v>7173.9344760811864</v>
      </c>
      <c r="P86" s="2724">
        <f t="shared" ref="P86" si="252">P55-P87</f>
        <v>8641.6254658273683</v>
      </c>
      <c r="Q86" s="2724">
        <f ca="1">Q55-Q87</f>
        <v>10458.855116425821</v>
      </c>
      <c r="R86" s="2724">
        <f ca="1">R55-R87</f>
        <v>11815.775374828223</v>
      </c>
      <c r="S86" s="3537">
        <f ca="1">S55-S87</f>
        <v>13388.160996563687</v>
      </c>
      <c r="T86" s="2724"/>
      <c r="U86" s="2724"/>
      <c r="V86" s="740">
        <f>V55-V87</f>
        <v>5441.0787737502342</v>
      </c>
      <c r="W86" s="2724">
        <f ca="1">W55-W87</f>
        <v>7824.7877198639235</v>
      </c>
      <c r="Z86" s="149"/>
      <c r="AA86" s="118"/>
      <c r="AD86" s="147"/>
      <c r="AE86" s="118"/>
      <c r="AH86" s="147"/>
      <c r="AI86" s="118"/>
      <c r="AL86" s="147"/>
      <c r="AM86" s="118"/>
      <c r="AP86" s="147"/>
      <c r="AQ86" s="118"/>
      <c r="AT86" s="147"/>
      <c r="AU86" s="118"/>
      <c r="AY86" s="118"/>
      <c r="BC86" s="635"/>
      <c r="BD86" s="636"/>
      <c r="BE86" s="636"/>
      <c r="BF86" s="636"/>
      <c r="BG86" s="635"/>
      <c r="BH86" s="636"/>
      <c r="BI86" s="636"/>
      <c r="BJ86" s="636"/>
      <c r="BK86" s="635"/>
      <c r="BL86" s="636"/>
      <c r="BM86" s="636"/>
      <c r="BN86" s="636"/>
      <c r="BO86" s="635"/>
      <c r="BP86" s="636"/>
      <c r="BQ86" s="636"/>
      <c r="BR86" s="636"/>
      <c r="BS86" s="635"/>
      <c r="BT86" s="636"/>
      <c r="BU86" s="636"/>
      <c r="BV86" s="636"/>
      <c r="BW86" s="635"/>
      <c r="BX86" s="636"/>
      <c r="BZ86" s="147"/>
      <c r="CB86" s="1448"/>
      <c r="CD86" s="147"/>
      <c r="CE86" s="147"/>
      <c r="CF86" s="147"/>
      <c r="CG86" s="147"/>
      <c r="CH86" s="147"/>
      <c r="CI86" s="147"/>
      <c r="CJ86" s="147"/>
      <c r="CK86" s="147"/>
      <c r="CL86" s="147"/>
      <c r="CM86" s="147"/>
      <c r="CN86" s="3389"/>
      <c r="CO86" s="3389"/>
      <c r="CP86" s="3389"/>
      <c r="CQ86" s="3389"/>
      <c r="CR86" s="148"/>
      <c r="CS86" s="148"/>
      <c r="CT86" s="148"/>
      <c r="DE86" s="178"/>
      <c r="DG86" s="161"/>
      <c r="DH86" s="161"/>
      <c r="DI86" s="161"/>
      <c r="DJ86" s="383"/>
      <c r="DK86" s="383"/>
      <c r="DL86" s="383"/>
      <c r="DM86" s="383"/>
      <c r="DN86" s="383"/>
      <c r="DO86" s="10"/>
      <c r="DP86" s="10"/>
      <c r="DQ86" s="10"/>
      <c r="DR86" s="10"/>
      <c r="DS86" s="10"/>
      <c r="DT86" s="10"/>
      <c r="DU86" s="10"/>
      <c r="DV86" s="10"/>
      <c r="DW86" s="10"/>
      <c r="DX86" s="10"/>
      <c r="DY86" s="10"/>
      <c r="DZ86" s="10"/>
      <c r="EA86" s="15"/>
      <c r="EB86" s="10"/>
      <c r="EC86" s="10"/>
      <c r="ED86" s="10"/>
      <c r="EE86" s="10"/>
      <c r="EF86" s="10"/>
      <c r="EG86" s="10"/>
      <c r="EH86" s="10"/>
      <c r="EI86" s="10"/>
      <c r="EJ86" s="10"/>
      <c r="EK86" s="10"/>
      <c r="EL86" s="10"/>
      <c r="EN86" s="10"/>
      <c r="EO86" s="10"/>
    </row>
    <row r="87" spans="2:146">
      <c r="B87" s="2127" t="s">
        <v>1190</v>
      </c>
      <c r="C87" s="110">
        <f t="shared" ref="C87:M87" si="253">C55*C88</f>
        <v>154.03269003310007</v>
      </c>
      <c r="D87" s="110">
        <f t="shared" si="253"/>
        <v>160.77082189799975</v>
      </c>
      <c r="E87" s="110">
        <f t="shared" si="253"/>
        <v>163.2085087192996</v>
      </c>
      <c r="F87" s="110">
        <f t="shared" si="253"/>
        <v>193.0895920628999</v>
      </c>
      <c r="G87" s="110">
        <f t="shared" si="253"/>
        <v>199.06425783910038</v>
      </c>
      <c r="H87" s="2834">
        <f t="shared" si="253"/>
        <v>293.15308625619946</v>
      </c>
      <c r="I87" s="1705">
        <f t="shared" si="253"/>
        <v>228.93899999999996</v>
      </c>
      <c r="J87" s="1705">
        <f t="shared" si="253"/>
        <v>276.49400000000003</v>
      </c>
      <c r="K87" s="1705">
        <f t="shared" si="253"/>
        <v>311.91300000000001</v>
      </c>
      <c r="L87" s="1705">
        <f t="shared" si="253"/>
        <v>397.21499999999997</v>
      </c>
      <c r="M87" s="1705">
        <f t="shared" si="253"/>
        <v>461.50400000000002</v>
      </c>
      <c r="N87" s="1705">
        <f t="shared" ref="N87:O87" si="254">N55*N88</f>
        <v>561.8926984364432</v>
      </c>
      <c r="O87" s="1705">
        <f t="shared" si="254"/>
        <v>682.83552391881938</v>
      </c>
      <c r="P87" s="1705">
        <f t="shared" ref="P87" si="255">P55*P88</f>
        <v>822.53453417263461</v>
      </c>
      <c r="Q87" s="1705">
        <f ca="1">Q55*Q88</f>
        <v>654.03364258070803</v>
      </c>
      <c r="R87" s="1705">
        <f ca="1">R55*R88</f>
        <v>738.88724169985915</v>
      </c>
      <c r="S87" s="3521">
        <f ca="1">S55*S88</f>
        <v>837.21474354182146</v>
      </c>
      <c r="T87" s="1705"/>
      <c r="U87" s="1705"/>
      <c r="V87" s="110">
        <f>V55*V88</f>
        <v>545.71866655515873</v>
      </c>
      <c r="W87" s="1705">
        <f ca="1">W55*W88</f>
        <v>0</v>
      </c>
      <c r="Z87" s="857"/>
      <c r="AA87" s="60"/>
      <c r="AB87" s="10"/>
      <c r="AD87" s="62"/>
      <c r="AE87" s="60"/>
      <c r="AH87" s="62"/>
      <c r="AI87" s="60"/>
      <c r="AL87" s="62"/>
      <c r="AM87" s="60"/>
      <c r="AP87" s="62"/>
      <c r="AQ87" s="60"/>
      <c r="AT87" s="62"/>
      <c r="AU87" s="60"/>
      <c r="AY87" s="60"/>
      <c r="BC87" s="60"/>
      <c r="BG87" s="60"/>
      <c r="BK87" s="60"/>
      <c r="BO87" s="60"/>
      <c r="BS87" s="60"/>
      <c r="BW87" s="60"/>
      <c r="BY87" s="10"/>
      <c r="BZ87" s="62"/>
      <c r="CA87" s="10"/>
      <c r="CB87" s="10"/>
      <c r="CC87" s="10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T87" s="67"/>
      <c r="CU87" s="10"/>
      <c r="CV87" s="10"/>
      <c r="CW87" s="10"/>
      <c r="CX87" s="10"/>
      <c r="CY87" s="10"/>
      <c r="CZ87" s="10"/>
      <c r="DA87" s="10"/>
      <c r="DC87" s="10"/>
    </row>
    <row r="88" spans="2:146" s="28" customFormat="1">
      <c r="B88" s="2128" t="s">
        <v>242</v>
      </c>
      <c r="C88" s="140">
        <v>0.1</v>
      </c>
      <c r="D88" s="140">
        <v>0.1</v>
      </c>
      <c r="E88" s="140">
        <v>0.1</v>
      </c>
      <c r="F88" s="140">
        <v>0.1</v>
      </c>
      <c r="G88" s="140">
        <v>0.1</v>
      </c>
      <c r="H88" s="2835">
        <v>0.1</v>
      </c>
      <c r="I88" s="2599">
        <v>8.7375340446339114E-2</v>
      </c>
      <c r="J88" s="2599">
        <v>8.8185997347789397E-2</v>
      </c>
      <c r="K88" s="2599">
        <v>8.8160632487438634E-2</v>
      </c>
      <c r="L88" s="2599">
        <v>9.1578805750431175E-2</v>
      </c>
      <c r="M88" s="2599">
        <v>8.6910463704402321E-2</v>
      </c>
      <c r="N88" s="2584">
        <v>8.6910463704402321E-2</v>
      </c>
      <c r="O88" s="2584">
        <v>8.6910463704400004E-2</v>
      </c>
      <c r="P88" s="2584">
        <v>8.6910463704400004E-2</v>
      </c>
      <c r="Q88" s="2819">
        <f>BS!Q100</f>
        <v>5.8853611942317099E-2</v>
      </c>
      <c r="R88" s="2819">
        <f>BS!R100</f>
        <v>5.8853611942317099E-2</v>
      </c>
      <c r="S88" s="3538">
        <f>BS!S100</f>
        <v>5.8853611942317099E-2</v>
      </c>
      <c r="T88" s="2819"/>
      <c r="U88" s="2584"/>
      <c r="V88" s="2068">
        <f>BS!W100</f>
        <v>9.1153688093933746E-2</v>
      </c>
      <c r="W88" s="2819">
        <f>BS!X100</f>
        <v>0</v>
      </c>
      <c r="Z88" s="149"/>
      <c r="AA88" s="75"/>
      <c r="AB88" s="76"/>
      <c r="AC88" s="76"/>
      <c r="AD88" s="147"/>
      <c r="AE88" s="118"/>
      <c r="AH88" s="147"/>
      <c r="AI88" s="75"/>
      <c r="AJ88" s="76"/>
      <c r="AK88" s="76"/>
      <c r="AL88" s="116"/>
      <c r="AM88" s="75"/>
      <c r="AN88" s="76"/>
      <c r="AO88" s="76"/>
      <c r="AP88" s="116"/>
      <c r="AQ88" s="75"/>
      <c r="AR88" s="76"/>
      <c r="AS88" s="76"/>
      <c r="AT88" s="116"/>
      <c r="AU88" s="75"/>
      <c r="AV88" s="76"/>
      <c r="AW88" s="76"/>
      <c r="AX88" s="76"/>
      <c r="AY88" s="75"/>
      <c r="AZ88" s="76"/>
      <c r="BA88" s="76"/>
      <c r="BC88" s="118"/>
      <c r="BG88" s="118"/>
      <c r="BK88" s="118"/>
      <c r="BO88" s="118"/>
      <c r="BS88" s="118"/>
      <c r="BW88" s="118"/>
      <c r="BZ88" s="147"/>
      <c r="CD88" s="147"/>
      <c r="CE88" s="147"/>
      <c r="CF88" s="147"/>
      <c r="CG88" s="147"/>
      <c r="CH88" s="147"/>
      <c r="CI88" s="147"/>
      <c r="CJ88" s="147"/>
      <c r="CK88" s="147"/>
      <c r="CL88" s="147"/>
      <c r="CM88" s="147"/>
      <c r="CN88" s="3389"/>
      <c r="CO88" s="3389"/>
      <c r="CP88" s="3389"/>
      <c r="CQ88" s="3389"/>
      <c r="CR88" s="148"/>
      <c r="CS88" s="148"/>
      <c r="CT88" s="148"/>
      <c r="DE88" s="178"/>
      <c r="DG88" s="83"/>
      <c r="DH88" s="83"/>
      <c r="DI88" s="83"/>
      <c r="DJ88" s="84"/>
      <c r="DK88" s="84"/>
      <c r="DL88" s="84"/>
      <c r="DM88" s="84"/>
      <c r="DN88" s="84"/>
      <c r="DO88" s="10"/>
      <c r="DP88" s="10"/>
      <c r="DQ88" s="10"/>
      <c r="DR88" s="10"/>
      <c r="DS88" s="10"/>
      <c r="DT88" s="10"/>
      <c r="DU88" s="10"/>
      <c r="DV88" s="10"/>
      <c r="DW88" s="10"/>
      <c r="DX88" s="10"/>
      <c r="DY88" s="10"/>
      <c r="DZ88" s="10"/>
      <c r="EA88" s="15"/>
      <c r="EB88" s="10"/>
      <c r="EC88" s="10"/>
      <c r="ED88" s="10"/>
      <c r="EE88" s="10"/>
      <c r="EF88" s="10"/>
      <c r="EG88" s="10"/>
      <c r="EH88" s="10"/>
      <c r="EI88" s="10"/>
      <c r="EJ88" s="10"/>
      <c r="EK88" s="10"/>
      <c r="EL88" s="10"/>
      <c r="EN88" s="10"/>
      <c r="EO88" s="10"/>
      <c r="EP88" s="10"/>
    </row>
    <row r="89" spans="2:146">
      <c r="B89" s="2108"/>
      <c r="C89" s="110"/>
      <c r="D89" s="110"/>
      <c r="E89" s="110"/>
      <c r="F89" s="110"/>
      <c r="G89" s="110"/>
      <c r="H89" s="2834"/>
      <c r="I89" s="1705"/>
      <c r="J89" s="1705"/>
      <c r="K89" s="1705"/>
      <c r="L89" s="1705"/>
      <c r="M89" s="1705"/>
      <c r="N89" s="1705"/>
      <c r="O89" s="1705"/>
      <c r="P89" s="1705"/>
      <c r="Q89" s="1705"/>
      <c r="R89" s="1705"/>
      <c r="S89" s="3521"/>
      <c r="T89" s="1705"/>
      <c r="U89" s="1705"/>
      <c r="V89" s="110"/>
      <c r="W89" s="1705"/>
      <c r="Z89" s="857"/>
      <c r="AA89" s="60"/>
      <c r="AB89" s="10"/>
      <c r="AD89" s="62"/>
      <c r="AE89" s="60"/>
      <c r="AH89" s="62"/>
      <c r="AI89" s="60"/>
      <c r="AL89" s="62"/>
      <c r="AM89" s="60"/>
      <c r="AP89" s="62"/>
      <c r="AQ89" s="60"/>
      <c r="AT89" s="62"/>
      <c r="AU89" s="60"/>
      <c r="AY89" s="60"/>
      <c r="BC89" s="60"/>
      <c r="BG89" s="60"/>
      <c r="BK89" s="60"/>
      <c r="BO89" s="60"/>
      <c r="BS89" s="60"/>
      <c r="BW89" s="60"/>
      <c r="BY89" s="10"/>
      <c r="BZ89" s="62"/>
      <c r="CA89" s="10"/>
      <c r="CB89" s="10"/>
      <c r="CC89" s="10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T89" s="67"/>
      <c r="CU89" s="10"/>
      <c r="CV89" s="10"/>
      <c r="CW89" s="10"/>
      <c r="CX89" s="10"/>
      <c r="CY89" s="10"/>
      <c r="CZ89" s="10"/>
      <c r="DA89" s="10"/>
      <c r="DC89" s="10"/>
    </row>
    <row r="90" spans="2:146">
      <c r="B90" s="2116" t="s">
        <v>953</v>
      </c>
      <c r="C90" s="110">
        <f>(BS!C66*10^9)/(10^4)</f>
        <v>273848833</v>
      </c>
      <c r="D90" s="110">
        <f>C91</f>
        <v>273848833</v>
      </c>
      <c r="E90" s="110">
        <f t="shared" ref="E90:P90" si="256">D91</f>
        <v>275201755</v>
      </c>
      <c r="F90" s="110">
        <f t="shared" si="256"/>
        <v>343976600</v>
      </c>
      <c r="G90" s="110">
        <f t="shared" si="256"/>
        <v>397531640</v>
      </c>
      <c r="H90" s="2834">
        <f t="shared" si="256"/>
        <v>459426684</v>
      </c>
      <c r="I90" s="1705">
        <f t="shared" si="256"/>
        <v>530961105</v>
      </c>
      <c r="J90" s="1705">
        <f t="shared" si="256"/>
        <v>613636772</v>
      </c>
      <c r="K90" s="1705">
        <f t="shared" si="256"/>
        <v>678358688</v>
      </c>
      <c r="L90" s="1705">
        <f t="shared" si="256"/>
        <v>783987486</v>
      </c>
      <c r="M90" s="1705">
        <f t="shared" si="256"/>
        <v>907551649</v>
      </c>
      <c r="N90" s="1705">
        <f t="shared" si="256"/>
        <v>1097026572</v>
      </c>
      <c r="O90" s="1705">
        <f t="shared" si="256"/>
        <v>1269968875</v>
      </c>
      <c r="P90" s="1705">
        <f t="shared" si="256"/>
        <v>1471069000</v>
      </c>
      <c r="Q90" s="1705">
        <f>W91</f>
        <v>1703507121</v>
      </c>
      <c r="R90" s="1705">
        <f>Q91</f>
        <v>1703507121</v>
      </c>
      <c r="S90" s="3521">
        <f>R91</f>
        <v>1703507121</v>
      </c>
      <c r="T90" s="1705"/>
      <c r="U90" s="1705"/>
      <c r="V90" s="110">
        <f>N91</f>
        <v>1269968875</v>
      </c>
      <c r="W90" s="1705">
        <f>O91</f>
        <v>1471069000</v>
      </c>
      <c r="Z90" s="857"/>
      <c r="AA90" s="60"/>
      <c r="AB90" s="10"/>
      <c r="AD90" s="62"/>
      <c r="AE90" s="60"/>
      <c r="AH90" s="62"/>
      <c r="AI90" s="60"/>
      <c r="AL90" s="62"/>
      <c r="AM90" s="60"/>
      <c r="AP90" s="62"/>
      <c r="AQ90" s="60"/>
      <c r="AT90" s="62"/>
      <c r="AU90" s="60"/>
      <c r="AY90" s="60"/>
      <c r="BC90" s="60"/>
      <c r="BG90" s="60"/>
      <c r="BK90" s="60"/>
      <c r="BO90" s="60"/>
      <c r="BS90" s="60"/>
      <c r="BW90" s="60"/>
      <c r="BY90" s="10"/>
      <c r="BZ90" s="62"/>
      <c r="CA90" s="10"/>
      <c r="CB90" s="10"/>
      <c r="CC90" s="10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T90" s="67"/>
      <c r="CU90" s="10"/>
      <c r="CV90" s="10"/>
      <c r="CW90" s="10"/>
      <c r="CX90" s="10"/>
      <c r="CY90" s="10"/>
      <c r="CZ90" s="10"/>
      <c r="DA90" s="10"/>
      <c r="DC90" s="10"/>
    </row>
    <row r="91" spans="2:146">
      <c r="B91" s="2116" t="s">
        <v>952</v>
      </c>
      <c r="C91" s="110">
        <f>(BS!C66*10^9)/(10^4)</f>
        <v>273848833</v>
      </c>
      <c r="D91" s="110">
        <f>(BS!D66*10^9)/(10^4)</f>
        <v>275201755</v>
      </c>
      <c r="E91" s="110">
        <f>(BS!E66*10^9)/(10^4)</f>
        <v>343976600</v>
      </c>
      <c r="F91" s="110">
        <f>(BS!F66*10^9)/(10^4)</f>
        <v>397531640</v>
      </c>
      <c r="G91" s="110">
        <f>(BS!G66*10^9)/(10^4)</f>
        <v>459426684</v>
      </c>
      <c r="H91" s="2834">
        <f>(BS!H66*10^9)/(10^4)</f>
        <v>530961105</v>
      </c>
      <c r="I91" s="1705">
        <f>(BS!I66*10^9)/(10^4)</f>
        <v>613636772</v>
      </c>
      <c r="J91" s="1705">
        <f>(BS!J66*10^9)/(10^4)</f>
        <v>678358688</v>
      </c>
      <c r="K91" s="1705">
        <f>(BS!K66*10^9)/(10^4)</f>
        <v>783987486</v>
      </c>
      <c r="L91" s="1705">
        <f>(BS!L66*10^9)/(10^4)</f>
        <v>907551649</v>
      </c>
      <c r="M91" s="1705">
        <f>(BS!M66*10^9)/(10^4)</f>
        <v>1097026572</v>
      </c>
      <c r="N91" s="1705">
        <f>(BS!N66*10^9)/(10^4)</f>
        <v>1269968875</v>
      </c>
      <c r="O91" s="1705">
        <f>(BS!O66*10^9)/(10^4)</f>
        <v>1471069000</v>
      </c>
      <c r="P91" s="1705">
        <f>(BS!P66*10^9)/(10^4)</f>
        <v>1703507120.9999998</v>
      </c>
      <c r="Q91" s="1705">
        <f>Q90</f>
        <v>1703507121</v>
      </c>
      <c r="R91" s="1705">
        <f>R90</f>
        <v>1703507121</v>
      </c>
      <c r="S91" s="3521">
        <f>S90</f>
        <v>1703507121</v>
      </c>
      <c r="T91" s="1705"/>
      <c r="U91" s="1705"/>
      <c r="V91" s="2095">
        <f>V90</f>
        <v>1269968875</v>
      </c>
      <c r="W91" s="1705">
        <v>1703507121</v>
      </c>
      <c r="Z91" s="857"/>
      <c r="AA91" s="60"/>
      <c r="AB91" s="10"/>
      <c r="AD91" s="62"/>
      <c r="AE91" s="60"/>
      <c r="AH91" s="62"/>
      <c r="AI91" s="60"/>
      <c r="AL91" s="62"/>
      <c r="AM91" s="60"/>
      <c r="AP91" s="62"/>
      <c r="AQ91" s="60"/>
      <c r="AT91" s="62"/>
      <c r="AU91" s="60"/>
      <c r="AY91" s="60"/>
      <c r="BC91" s="60"/>
      <c r="BG91" s="60"/>
      <c r="BK91" s="60"/>
      <c r="BO91" s="60"/>
      <c r="BS91" s="60"/>
      <c r="BW91" s="60"/>
      <c r="BY91" s="10"/>
      <c r="BZ91" s="62"/>
      <c r="CA91" s="10"/>
      <c r="CB91" s="10"/>
      <c r="CC91" s="10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T91" s="67"/>
      <c r="CU91" s="10"/>
      <c r="CV91" s="10"/>
      <c r="CW91" s="10"/>
      <c r="CX91" s="10"/>
      <c r="CY91" s="10"/>
      <c r="CZ91" s="10"/>
      <c r="DA91" s="10"/>
      <c r="DC91" s="10"/>
    </row>
    <row r="92" spans="2:146">
      <c r="B92" s="2108" t="s">
        <v>27</v>
      </c>
      <c r="C92" s="119">
        <v>10000</v>
      </c>
      <c r="D92" s="110">
        <v>10000</v>
      </c>
      <c r="E92" s="110">
        <v>10000</v>
      </c>
      <c r="F92" s="110">
        <v>10000</v>
      </c>
      <c r="G92" s="110">
        <v>10000</v>
      </c>
      <c r="H92" s="2834">
        <v>10000</v>
      </c>
      <c r="I92" s="1705">
        <v>10000</v>
      </c>
      <c r="J92" s="1705">
        <v>10000</v>
      </c>
      <c r="K92" s="1705">
        <v>10000</v>
      </c>
      <c r="L92" s="1705">
        <v>10000</v>
      </c>
      <c r="M92" s="1705">
        <v>10000</v>
      </c>
      <c r="N92" s="1705">
        <v>10000</v>
      </c>
      <c r="O92" s="1705">
        <v>10000</v>
      </c>
      <c r="P92" s="1705">
        <v>10001</v>
      </c>
      <c r="Q92" s="1705">
        <v>10000</v>
      </c>
      <c r="R92" s="1705">
        <v>10000</v>
      </c>
      <c r="S92" s="3521">
        <v>10001</v>
      </c>
      <c r="T92" s="1705"/>
      <c r="U92" s="1705"/>
      <c r="V92" s="2095">
        <v>10000</v>
      </c>
      <c r="W92" s="1705">
        <v>10000</v>
      </c>
      <c r="Z92" s="857"/>
      <c r="AA92" s="60"/>
      <c r="AB92" s="10"/>
      <c r="AD92" s="62"/>
      <c r="AE92" s="60"/>
      <c r="AH92" s="62"/>
      <c r="AI92" s="60"/>
      <c r="AL92" s="62"/>
      <c r="AM92" s="60"/>
      <c r="AP92" s="62"/>
      <c r="AQ92" s="60"/>
      <c r="AT92" s="62"/>
      <c r="AU92" s="60"/>
      <c r="AY92" s="60"/>
      <c r="BC92" s="60"/>
      <c r="BG92" s="60"/>
      <c r="BK92" s="60"/>
      <c r="BO92" s="60"/>
      <c r="BS92" s="60"/>
      <c r="BW92" s="60"/>
      <c r="BY92" s="10"/>
      <c r="BZ92" s="62"/>
      <c r="CA92" s="10"/>
      <c r="CB92" s="10"/>
      <c r="CC92" s="10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T92" s="67"/>
      <c r="CU92" s="10"/>
      <c r="CV92" s="10"/>
      <c r="CW92" s="10"/>
      <c r="CX92" s="10"/>
      <c r="CY92" s="10"/>
      <c r="CZ92" s="10"/>
      <c r="DA92" s="10"/>
      <c r="DC92" s="10"/>
    </row>
    <row r="93" spans="2:146">
      <c r="B93" s="2108"/>
      <c r="C93" s="110"/>
      <c r="D93" s="110"/>
      <c r="E93" s="110"/>
      <c r="F93" s="110"/>
      <c r="G93" s="110"/>
      <c r="H93" s="2834"/>
      <c r="I93" s="1705"/>
      <c r="J93" s="1705"/>
      <c r="K93" s="1705"/>
      <c r="L93" s="1705"/>
      <c r="M93" s="1705"/>
      <c r="N93" s="1705"/>
      <c r="O93" s="1705"/>
      <c r="P93" s="1705"/>
      <c r="Q93" s="1705"/>
      <c r="R93" s="1705"/>
      <c r="S93" s="3521"/>
      <c r="T93" s="1705"/>
      <c r="U93" s="1705"/>
      <c r="V93" s="2095"/>
      <c r="W93" s="1705"/>
      <c r="Z93" s="857"/>
      <c r="AA93" s="60"/>
      <c r="AB93" s="10"/>
      <c r="AD93" s="62"/>
      <c r="AE93" s="60"/>
      <c r="AH93" s="62"/>
      <c r="AI93" s="60"/>
      <c r="AL93" s="62"/>
      <c r="AM93" s="60"/>
      <c r="AP93" s="62"/>
      <c r="AQ93" s="60"/>
      <c r="AT93" s="62"/>
      <c r="AU93" s="60"/>
      <c r="AY93" s="60"/>
      <c r="BC93" s="60"/>
      <c r="BG93" s="60"/>
      <c r="BK93" s="60"/>
      <c r="BO93" s="60"/>
      <c r="BS93" s="60"/>
      <c r="BW93" s="60"/>
      <c r="BY93" s="10"/>
      <c r="BZ93" s="62"/>
      <c r="CA93" s="10"/>
      <c r="CB93" s="10"/>
      <c r="CC93" s="10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T93" s="67"/>
      <c r="CU93" s="10"/>
      <c r="CV93" s="10"/>
      <c r="CW93" s="10"/>
      <c r="CX93" s="10"/>
      <c r="CY93" s="10"/>
      <c r="CZ93" s="10"/>
      <c r="DA93" s="10"/>
      <c r="DC93" s="10"/>
    </row>
    <row r="94" spans="2:146">
      <c r="B94" s="2109" t="s">
        <v>1189</v>
      </c>
      <c r="C94" s="135">
        <f>(C55-C87)*10^9/C91</f>
        <v>5062.2607922448233</v>
      </c>
      <c r="D94" s="135">
        <f>(D55-D87)*10^9/D91</f>
        <v>5257.7331750010017</v>
      </c>
      <c r="E94" s="135">
        <f>(E55-E87)*10^9/E91</f>
        <v>4270.2805320876369</v>
      </c>
      <c r="F94" s="135">
        <f>(F55-F87)*10^9/F91</f>
        <v>4371.4918605374369</v>
      </c>
      <c r="G94" s="135">
        <f>(G55-G87)*10^9/G91</f>
        <v>3899.5956981721665</v>
      </c>
      <c r="H94" s="2836">
        <f>(H86)*10^9/H91</f>
        <v>4969.0603538761934</v>
      </c>
      <c r="I94" s="2757">
        <f>(I86)*10^9/I91</f>
        <v>3896.8323625592666</v>
      </c>
      <c r="J94" s="2757">
        <f t="shared" ref="J94:M94" si="257">(J86)*10^9/J91</f>
        <v>4214.3727606448792</v>
      </c>
      <c r="K94" s="2757">
        <f t="shared" si="257"/>
        <v>4114.9824409595221</v>
      </c>
      <c r="L94" s="2757">
        <f t="shared" si="257"/>
        <v>4341.5676497790164</v>
      </c>
      <c r="M94" s="2757">
        <f t="shared" si="257"/>
        <v>4419.7695071036078</v>
      </c>
      <c r="N94" s="2757">
        <f t="shared" ref="N94:O94" si="258">(N86)*10^9/N91</f>
        <v>4648.3798543374169</v>
      </c>
      <c r="O94" s="2757">
        <f t="shared" si="258"/>
        <v>4876.6811591306641</v>
      </c>
      <c r="P94" s="2757">
        <f t="shared" ref="P94" si="259">(P86)*10^9/P91</f>
        <v>5072.8437582077886</v>
      </c>
      <c r="Q94" s="2757">
        <f ca="1">(Q86)*10^9/Q91</f>
        <v>6139.6016415160148</v>
      </c>
      <c r="R94" s="2757">
        <f ca="1">(R86)*10^9/R91</f>
        <v>6936.1467464204525</v>
      </c>
      <c r="S94" s="3539">
        <f ca="1">(S86)*10^9/S91</f>
        <v>7859.1752458918472</v>
      </c>
      <c r="T94" s="2757"/>
      <c r="U94" s="2757"/>
      <c r="V94" s="135">
        <f>(V86)*10^9/V91</f>
        <v>4284.4189970799362</v>
      </c>
      <c r="W94" s="2757">
        <f ca="1">(W86)*10^9/W91</f>
        <v>4593.3401882526814</v>
      </c>
      <c r="Z94" s="180"/>
      <c r="AA94" s="60"/>
      <c r="AB94" s="61"/>
      <c r="AD94" s="62"/>
      <c r="AE94" s="60"/>
      <c r="AH94" s="62"/>
      <c r="AI94" s="60"/>
      <c r="AL94" s="62"/>
      <c r="AM94" s="60"/>
      <c r="AP94" s="62"/>
      <c r="AQ94" s="60"/>
      <c r="AT94" s="62"/>
      <c r="AU94" s="60"/>
      <c r="AY94" s="60"/>
      <c r="BC94" s="60"/>
      <c r="BG94" s="60"/>
      <c r="BK94" s="60"/>
      <c r="BO94" s="60"/>
      <c r="BS94" s="60"/>
      <c r="BW94" s="60"/>
      <c r="BY94" s="10"/>
      <c r="BZ94" s="62"/>
      <c r="CA94" s="10"/>
      <c r="CB94" s="10"/>
      <c r="CC94" s="10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T94" s="67"/>
      <c r="CU94" s="10"/>
      <c r="CV94" s="10"/>
      <c r="CW94" s="10"/>
      <c r="CX94" s="10"/>
      <c r="CY94" s="10"/>
      <c r="CZ94" s="10"/>
      <c r="DA94" s="10"/>
      <c r="DC94" s="10"/>
      <c r="DO94" s="28"/>
      <c r="DP94" s="28"/>
      <c r="DQ94" s="28"/>
      <c r="DR94" s="28"/>
      <c r="DS94" s="28"/>
      <c r="DT94" s="28"/>
      <c r="DU94" s="28"/>
      <c r="DV94" s="28"/>
      <c r="DW94" s="28"/>
      <c r="DX94" s="28"/>
      <c r="DY94" s="28"/>
      <c r="DZ94" s="28"/>
      <c r="EB94" s="28"/>
      <c r="EC94" s="28"/>
      <c r="ED94" s="28"/>
      <c r="EE94" s="28"/>
      <c r="EF94" s="28"/>
      <c r="EG94" s="28"/>
      <c r="EH94" s="28"/>
      <c r="EI94" s="28"/>
      <c r="EJ94" s="28"/>
      <c r="EK94" s="28"/>
      <c r="EL94" s="28"/>
      <c r="EN94" s="28"/>
      <c r="EO94" s="28"/>
    </row>
    <row r="95" spans="2:146" s="28" customFormat="1">
      <c r="B95" s="2110" t="s">
        <v>14</v>
      </c>
      <c r="C95" s="2096"/>
      <c r="D95" s="2096">
        <f>D94/C94-1</f>
        <v>3.861365322300947E-2</v>
      </c>
      <c r="E95" s="2096">
        <f>E94/D94-1</f>
        <v>-0.18780957687400646</v>
      </c>
      <c r="F95" s="2096">
        <f t="shared" ref="F95:P95" si="260">F94/E94-1</f>
        <v>2.3701330085759142E-2</v>
      </c>
      <c r="G95" s="2096">
        <f t="shared" si="260"/>
        <v>-0.1079485396336195</v>
      </c>
      <c r="H95" s="2837">
        <f t="shared" si="260"/>
        <v>0.27425013731687886</v>
      </c>
      <c r="I95" s="2820">
        <f t="shared" si="260"/>
        <v>-0.21578083479717014</v>
      </c>
      <c r="J95" s="2820">
        <f t="shared" si="260"/>
        <v>8.1486799672610521E-2</v>
      </c>
      <c r="K95" s="2820">
        <f t="shared" si="260"/>
        <v>-2.3583656532116692E-2</v>
      </c>
      <c r="L95" s="2820">
        <f t="shared" si="260"/>
        <v>5.5063469181331426E-2</v>
      </c>
      <c r="M95" s="2725">
        <f t="shared" si="260"/>
        <v>1.8012354898713001E-2</v>
      </c>
      <c r="N95" s="2725">
        <f t="shared" si="260"/>
        <v>5.1724495330894182E-2</v>
      </c>
      <c r="O95" s="2725">
        <f t="shared" si="260"/>
        <v>4.9114167074839843E-2</v>
      </c>
      <c r="P95" s="2725">
        <f t="shared" si="260"/>
        <v>4.0224610278210893E-2</v>
      </c>
      <c r="Q95" s="2820">
        <f ca="1">Q94/P94-1</f>
        <v>0.21028794383470362</v>
      </c>
      <c r="R95" s="2820">
        <f ca="1">R94/Q94-1</f>
        <v>0.12973889047103571</v>
      </c>
      <c r="S95" s="3540">
        <f ca="1">S94/R94-1</f>
        <v>0.13307511118442572</v>
      </c>
      <c r="T95" s="2820"/>
      <c r="U95" s="2725"/>
      <c r="V95" s="2096">
        <f>V94/N94-1</f>
        <v>-7.8298432714759225E-2</v>
      </c>
      <c r="W95" s="2820">
        <f ca="1">W94/O94-1</f>
        <v>-5.8101188417348237E-2</v>
      </c>
      <c r="Z95" s="152"/>
      <c r="AA95" s="118"/>
      <c r="AB95" s="80"/>
      <c r="AD95" s="147"/>
      <c r="AE95" s="118"/>
      <c r="AH95" s="147"/>
      <c r="AI95" s="118"/>
      <c r="AL95" s="147"/>
      <c r="AM95" s="118"/>
      <c r="AP95" s="147"/>
      <c r="AQ95" s="118"/>
      <c r="AT95" s="147"/>
      <c r="AU95" s="118"/>
      <c r="AY95" s="118"/>
      <c r="BC95" s="118"/>
      <c r="BG95" s="118"/>
      <c r="BK95" s="118"/>
      <c r="BO95" s="118"/>
      <c r="BS95" s="118"/>
      <c r="BW95" s="118"/>
      <c r="BZ95" s="147"/>
      <c r="CD95" s="147"/>
      <c r="CE95" s="147"/>
      <c r="CF95" s="147"/>
      <c r="CG95" s="147"/>
      <c r="CH95" s="147"/>
      <c r="CI95" s="147"/>
      <c r="CJ95" s="147"/>
      <c r="CN95" s="3389"/>
      <c r="CO95" s="3389"/>
      <c r="CP95" s="3389"/>
      <c r="CQ95" s="3389"/>
      <c r="CR95" s="148"/>
      <c r="CS95" s="148"/>
      <c r="CT95" s="148"/>
      <c r="DE95" s="178"/>
      <c r="DG95" s="83"/>
      <c r="DH95" s="83"/>
      <c r="DI95" s="83"/>
      <c r="DJ95" s="84"/>
      <c r="DK95" s="84"/>
      <c r="DL95" s="84"/>
      <c r="DM95" s="84"/>
      <c r="DN95" s="84"/>
      <c r="DO95" s="10"/>
      <c r="DP95" s="10"/>
      <c r="DQ95" s="10"/>
      <c r="DR95" s="10"/>
      <c r="DS95" s="10"/>
      <c r="DT95" s="10"/>
      <c r="DU95" s="10"/>
      <c r="DV95" s="10"/>
      <c r="DW95" s="10"/>
      <c r="DX95" s="10"/>
      <c r="DY95" s="10"/>
      <c r="DZ95" s="10"/>
      <c r="EA95" s="15"/>
      <c r="EB95" s="10"/>
      <c r="EC95" s="10"/>
      <c r="ED95" s="10"/>
      <c r="EE95" s="10"/>
      <c r="EF95" s="10"/>
      <c r="EG95" s="10"/>
      <c r="EH95" s="10"/>
      <c r="EI95" s="10"/>
      <c r="EJ95" s="10"/>
      <c r="EK95" s="10"/>
      <c r="EL95" s="10"/>
      <c r="EN95" s="10"/>
      <c r="EO95" s="10"/>
      <c r="EP95" s="10"/>
    </row>
    <row r="96" spans="2:146" s="28" customFormat="1">
      <c r="B96" s="2110"/>
      <c r="C96" s="2096"/>
      <c r="D96" s="2096"/>
      <c r="E96" s="2096"/>
      <c r="F96" s="2096"/>
      <c r="G96" s="2096"/>
      <c r="H96" s="2837"/>
      <c r="I96" s="2820"/>
      <c r="J96" s="2820"/>
      <c r="K96" s="2820"/>
      <c r="L96" s="2820"/>
      <c r="M96" s="2725"/>
      <c r="N96" s="2725"/>
      <c r="O96" s="2725"/>
      <c r="P96" s="2725"/>
      <c r="Q96" s="2820"/>
      <c r="R96" s="2820"/>
      <c r="S96" s="3540"/>
      <c r="T96" s="2820"/>
      <c r="U96" s="2725"/>
      <c r="V96" s="2096"/>
      <c r="W96" s="2820"/>
      <c r="Z96" s="2449"/>
      <c r="AA96" s="118"/>
      <c r="AB96" s="80"/>
      <c r="AD96" s="147"/>
      <c r="AE96" s="118"/>
      <c r="AH96" s="147"/>
      <c r="AI96" s="118"/>
      <c r="AL96" s="147"/>
      <c r="AM96" s="118"/>
      <c r="AP96" s="147"/>
      <c r="AQ96" s="118"/>
      <c r="AT96" s="147"/>
      <c r="AU96" s="118"/>
      <c r="AY96" s="118"/>
      <c r="BC96" s="118"/>
      <c r="BG96" s="118"/>
      <c r="BK96" s="118"/>
      <c r="BO96" s="118"/>
      <c r="BS96" s="118"/>
      <c r="BW96" s="118"/>
      <c r="BZ96" s="147"/>
      <c r="CD96" s="147"/>
      <c r="CE96" s="147"/>
      <c r="CF96" s="147"/>
      <c r="CG96" s="147"/>
      <c r="CH96" s="147"/>
      <c r="CI96" s="147"/>
      <c r="CJ96" s="147"/>
      <c r="CN96" s="3389"/>
      <c r="CO96" s="3389"/>
      <c r="CP96" s="3389"/>
      <c r="CQ96" s="3389"/>
      <c r="CR96" s="148"/>
      <c r="CS96" s="148"/>
      <c r="CT96" s="148"/>
      <c r="DE96" s="178"/>
      <c r="DG96" s="83"/>
      <c r="DH96" s="83"/>
      <c r="DI96" s="83"/>
      <c r="DJ96" s="84"/>
      <c r="DK96" s="84"/>
      <c r="DL96" s="84"/>
      <c r="DM96" s="84"/>
      <c r="DN96" s="84"/>
      <c r="DO96" s="10"/>
      <c r="DP96" s="10"/>
      <c r="DQ96" s="10"/>
      <c r="DR96" s="10"/>
      <c r="DS96" s="10"/>
      <c r="DT96" s="10"/>
      <c r="DU96" s="10"/>
      <c r="DV96" s="10"/>
      <c r="DW96" s="10"/>
      <c r="DX96" s="10"/>
      <c r="DY96" s="10"/>
      <c r="DZ96" s="10"/>
      <c r="EA96" s="15"/>
      <c r="EB96" s="10"/>
      <c r="EC96" s="10"/>
      <c r="ED96" s="10"/>
      <c r="EE96" s="10"/>
      <c r="EF96" s="10"/>
      <c r="EG96" s="10"/>
      <c r="EH96" s="10"/>
      <c r="EI96" s="10"/>
      <c r="EJ96" s="10"/>
      <c r="EK96" s="10"/>
      <c r="EL96" s="10"/>
      <c r="EN96" s="10"/>
      <c r="EO96" s="10"/>
      <c r="EP96" s="10"/>
    </row>
    <row r="97" spans="2:146" s="28" customFormat="1" hidden="1">
      <c r="B97" s="2111" t="s">
        <v>1193</v>
      </c>
      <c r="C97" s="2097"/>
      <c r="D97" s="2097"/>
      <c r="E97" s="2097"/>
      <c r="F97" s="2097"/>
      <c r="G97" s="2097"/>
      <c r="H97" s="2837"/>
      <c r="I97" s="2820"/>
      <c r="J97" s="2820"/>
      <c r="K97" s="2820"/>
      <c r="L97" s="2820"/>
      <c r="M97" s="2725"/>
      <c r="N97" s="2725"/>
      <c r="O97" s="2725"/>
      <c r="P97" s="2725"/>
      <c r="Q97" s="2820"/>
      <c r="R97" s="2820"/>
      <c r="S97" s="3540"/>
      <c r="T97" s="2820"/>
      <c r="U97" s="2725"/>
      <c r="V97" s="2097"/>
      <c r="W97" s="2820"/>
      <c r="Z97" s="152"/>
      <c r="AA97" s="118"/>
      <c r="AB97" s="80"/>
      <c r="AD97" s="147"/>
      <c r="AE97" s="118"/>
      <c r="AH97" s="147"/>
      <c r="AI97" s="118"/>
      <c r="AL97" s="147"/>
      <c r="AP97" s="147"/>
      <c r="AQ97" s="118"/>
      <c r="AT97" s="147"/>
      <c r="AU97" s="118"/>
      <c r="AY97" s="118"/>
      <c r="BC97" s="118"/>
      <c r="BF97" s="147"/>
      <c r="BK97" s="118"/>
      <c r="BO97" s="118"/>
      <c r="BS97" s="118"/>
      <c r="BW97" s="118"/>
      <c r="BZ97" s="147"/>
      <c r="CD97" s="147"/>
      <c r="CE97" s="147"/>
      <c r="CF97" s="147"/>
      <c r="CG97" s="147"/>
      <c r="CH97" s="147"/>
      <c r="CI97" s="147"/>
      <c r="CJ97" s="147"/>
      <c r="CN97" s="3389"/>
      <c r="CO97" s="3389"/>
      <c r="CP97" s="3389"/>
      <c r="CQ97" s="3389"/>
      <c r="CR97" s="148"/>
      <c r="CS97" s="148"/>
      <c r="CT97" s="148"/>
      <c r="DE97" s="178"/>
      <c r="DG97" s="83"/>
      <c r="DH97" s="83"/>
      <c r="DI97" s="83"/>
      <c r="DJ97" s="84"/>
      <c r="DK97" s="84"/>
      <c r="DL97" s="84"/>
      <c r="DM97" s="84"/>
      <c r="DN97" s="84"/>
      <c r="DO97" s="10"/>
      <c r="DP97" s="10"/>
      <c r="DQ97" s="10"/>
      <c r="DR97" s="10"/>
      <c r="DS97" s="10"/>
      <c r="DT97" s="10"/>
      <c r="DU97" s="10"/>
      <c r="DV97" s="10"/>
      <c r="DW97" s="10"/>
      <c r="DX97" s="10"/>
      <c r="DY97" s="10"/>
      <c r="DZ97" s="10"/>
      <c r="EA97" s="15"/>
      <c r="EB97" s="10"/>
      <c r="EC97" s="10"/>
      <c r="ED97" s="10"/>
      <c r="EE97" s="10"/>
      <c r="EF97" s="10"/>
      <c r="EG97" s="10"/>
      <c r="EH97" s="10"/>
      <c r="EI97" s="10"/>
      <c r="EJ97" s="10"/>
      <c r="EK97" s="10"/>
      <c r="EL97" s="10"/>
      <c r="EN97" s="10"/>
      <c r="EO97" s="10"/>
      <c r="EP97" s="10"/>
    </row>
    <row r="98" spans="2:146" s="28" customFormat="1" ht="13.5" hidden="1" customHeight="1">
      <c r="B98" s="2112" t="s">
        <v>965</v>
      </c>
      <c r="C98" s="16"/>
      <c r="D98" s="16"/>
      <c r="E98" s="16"/>
      <c r="F98" s="16"/>
      <c r="G98" s="16"/>
      <c r="H98" s="2838"/>
      <c r="I98" s="2821"/>
      <c r="J98" s="2764"/>
      <c r="K98" s="2764"/>
      <c r="L98" s="2764"/>
      <c r="M98" s="2822">
        <f>(M99*M101)/10^9</f>
        <v>66.44265</v>
      </c>
      <c r="N98" s="2758">
        <f>(N99*N101)/10^9</f>
        <v>63.496220000000001</v>
      </c>
      <c r="O98" s="2758">
        <f>(O99*O101)/10^9</f>
        <v>63.502579623000003</v>
      </c>
      <c r="P98" s="2758">
        <f>(P99*P101)/10^9</f>
        <v>63.508939247999997</v>
      </c>
      <c r="Q98" s="2764"/>
      <c r="R98" s="2764"/>
      <c r="S98" s="3541"/>
      <c r="T98" s="2764"/>
      <c r="U98" s="2758"/>
      <c r="V98" s="325"/>
      <c r="W98" s="2823"/>
      <c r="Z98" s="149"/>
      <c r="AA98" s="118"/>
      <c r="AD98" s="147"/>
      <c r="AE98" s="118"/>
      <c r="AH98" s="147"/>
      <c r="AI98" s="118"/>
      <c r="AL98" s="147"/>
      <c r="AP98" s="147"/>
      <c r="AQ98" s="118"/>
      <c r="AT98" s="147"/>
      <c r="AU98" s="118"/>
      <c r="AX98" s="147"/>
      <c r="BB98" s="147"/>
      <c r="BC98" s="636"/>
      <c r="BD98" s="636"/>
      <c r="BE98" s="636"/>
      <c r="BF98" s="892"/>
      <c r="BG98" s="636"/>
      <c r="BH98" s="636"/>
      <c r="BI98" s="636"/>
      <c r="BJ98" s="636"/>
      <c r="BK98" s="635"/>
      <c r="BL98" s="636"/>
      <c r="BM98" s="636"/>
      <c r="BN98" s="636"/>
      <c r="BO98" s="635"/>
      <c r="BP98" s="636"/>
      <c r="BQ98" s="636"/>
      <c r="BR98" s="636"/>
      <c r="BS98" s="635"/>
      <c r="BT98" s="636"/>
      <c r="BU98" s="636"/>
      <c r="BV98" s="636"/>
      <c r="BW98" s="635"/>
      <c r="BX98" s="636"/>
      <c r="BZ98" s="147"/>
      <c r="CB98" s="1448"/>
      <c r="CD98" s="147"/>
      <c r="CE98" s="147"/>
      <c r="CF98" s="147"/>
      <c r="CG98" s="147"/>
      <c r="CH98" s="147"/>
      <c r="CI98" s="147"/>
      <c r="CJ98" s="147"/>
      <c r="CN98" s="3389"/>
      <c r="CO98" s="3389"/>
      <c r="CP98" s="3389"/>
      <c r="CQ98" s="3389"/>
      <c r="CR98" s="148"/>
      <c r="CS98" s="148"/>
      <c r="CT98" s="148"/>
      <c r="DE98" s="178"/>
      <c r="DG98" s="161"/>
      <c r="DH98" s="161"/>
      <c r="DI98" s="161"/>
      <c r="DJ98" s="383"/>
      <c r="DK98" s="383"/>
      <c r="DL98" s="383"/>
      <c r="DM98" s="383"/>
      <c r="DN98" s="383"/>
      <c r="DO98" s="10"/>
      <c r="DP98" s="10"/>
      <c r="DQ98" s="10"/>
      <c r="DR98" s="10"/>
      <c r="DS98" s="10"/>
      <c r="DT98" s="10"/>
      <c r="DU98" s="10"/>
      <c r="DV98" s="10"/>
      <c r="DW98" s="10"/>
      <c r="DX98" s="10"/>
      <c r="DY98" s="10"/>
      <c r="DZ98" s="10"/>
      <c r="EA98" s="15"/>
      <c r="EB98" s="10"/>
      <c r="EC98" s="10"/>
      <c r="ED98" s="10"/>
      <c r="EE98" s="10"/>
      <c r="EF98" s="10"/>
      <c r="EG98" s="10"/>
      <c r="EH98" s="10"/>
      <c r="EI98" s="10"/>
      <c r="EJ98" s="10"/>
      <c r="EK98" s="10"/>
      <c r="EL98" s="10"/>
      <c r="EN98" s="10"/>
      <c r="EO98" s="10"/>
    </row>
    <row r="99" spans="2:146" s="28" customFormat="1" hidden="1">
      <c r="B99" s="2113" t="s">
        <v>964</v>
      </c>
      <c r="C99" s="10"/>
      <c r="D99" s="10"/>
      <c r="E99" s="10"/>
      <c r="F99" s="10"/>
      <c r="G99" s="10"/>
      <c r="H99" s="2833"/>
      <c r="I99" s="2724"/>
      <c r="J99" s="2821"/>
      <c r="K99" s="2760"/>
      <c r="L99" s="2760"/>
      <c r="M99" s="2824">
        <f>2107000+4537265</f>
        <v>6644265</v>
      </c>
      <c r="N99" s="2759">
        <v>6349622</v>
      </c>
      <c r="O99" s="2759">
        <v>6349623</v>
      </c>
      <c r="P99" s="2759">
        <v>6349624</v>
      </c>
      <c r="Q99" s="2760"/>
      <c r="R99" s="2760"/>
      <c r="S99" s="3542"/>
      <c r="T99" s="2760"/>
      <c r="U99" s="2759"/>
      <c r="V99" s="167"/>
      <c r="W99" s="2760"/>
      <c r="Z99" s="149"/>
      <c r="AA99" s="118"/>
      <c r="AD99" s="147"/>
      <c r="AE99" s="118"/>
      <c r="AH99" s="147"/>
      <c r="AL99" s="147"/>
      <c r="AP99" s="147"/>
      <c r="AQ99" s="118"/>
      <c r="AT99" s="147"/>
      <c r="AU99" s="118"/>
      <c r="AX99" s="147"/>
      <c r="BB99" s="147"/>
      <c r="BC99" s="636"/>
      <c r="BD99" s="636"/>
      <c r="BE99" s="636"/>
      <c r="BF99" s="892"/>
      <c r="BG99" s="636"/>
      <c r="BH99" s="636"/>
      <c r="BI99" s="636"/>
      <c r="BJ99" s="636"/>
      <c r="BK99" s="635"/>
      <c r="BL99" s="636"/>
      <c r="BM99" s="636"/>
      <c r="BN99" s="636"/>
      <c r="BO99" s="635"/>
      <c r="BP99" s="636"/>
      <c r="BQ99" s="636"/>
      <c r="BR99" s="636"/>
      <c r="BS99" s="635"/>
      <c r="BT99" s="636"/>
      <c r="BU99" s="636"/>
      <c r="BV99" s="892"/>
      <c r="BW99" s="636"/>
      <c r="BX99" s="636"/>
      <c r="BZ99" s="147"/>
      <c r="CB99" s="1448"/>
      <c r="CD99" s="147"/>
      <c r="CE99" s="147"/>
      <c r="CF99" s="147"/>
      <c r="CG99" s="147"/>
      <c r="CH99" s="147"/>
      <c r="CI99" s="147"/>
      <c r="CJ99" s="147"/>
      <c r="CN99" s="3389"/>
      <c r="CO99" s="3389"/>
      <c r="CP99" s="3389"/>
      <c r="CQ99" s="3389"/>
      <c r="CR99" s="148"/>
      <c r="CS99" s="148"/>
      <c r="CT99" s="148"/>
      <c r="DE99" s="178"/>
      <c r="DG99" s="161"/>
      <c r="DH99" s="161"/>
      <c r="DI99" s="161"/>
      <c r="DJ99" s="383"/>
      <c r="DK99" s="383"/>
      <c r="DL99" s="383"/>
      <c r="DM99" s="383"/>
      <c r="DN99" s="383"/>
      <c r="DO99" s="10"/>
      <c r="DP99" s="10"/>
      <c r="DQ99" s="10"/>
      <c r="DR99" s="10"/>
      <c r="DS99" s="10"/>
      <c r="DT99" s="10"/>
      <c r="DU99" s="10"/>
      <c r="DV99" s="10"/>
      <c r="DW99" s="10"/>
      <c r="DX99" s="10"/>
      <c r="DY99" s="10"/>
      <c r="DZ99" s="10"/>
      <c r="EA99" s="15"/>
      <c r="EB99" s="10"/>
      <c r="EC99" s="10"/>
      <c r="ED99" s="10"/>
      <c r="EE99" s="10"/>
      <c r="EF99" s="10"/>
      <c r="EG99" s="10"/>
      <c r="EH99" s="10"/>
      <c r="EI99" s="10"/>
      <c r="EJ99" s="10"/>
      <c r="EK99" s="10"/>
      <c r="EL99" s="10"/>
      <c r="EN99" s="10"/>
      <c r="EO99" s="10"/>
    </row>
    <row r="100" spans="2:146" s="28" customFormat="1" hidden="1">
      <c r="B100" s="2114" t="s">
        <v>963</v>
      </c>
      <c r="H100" s="2839"/>
      <c r="I100" s="2825"/>
      <c r="J100" s="2826"/>
      <c r="K100" s="2827"/>
      <c r="L100" s="2827"/>
      <c r="M100" s="2599">
        <f>M99/L91</f>
        <v>7.3210874635301331E-3</v>
      </c>
      <c r="N100" s="2599">
        <f>N99/K91</f>
        <v>8.0991369293361391E-3</v>
      </c>
      <c r="O100" s="2599">
        <f>O99/L91</f>
        <v>6.9964315606681248E-3</v>
      </c>
      <c r="P100" s="2599">
        <f>P99/M91</f>
        <v>5.7880311763314337E-3</v>
      </c>
      <c r="Q100" s="2827"/>
      <c r="R100" s="2827"/>
      <c r="S100" s="3543"/>
      <c r="T100" s="2827"/>
      <c r="U100" s="2599"/>
      <c r="V100" s="1526"/>
      <c r="W100" s="2599"/>
      <c r="Z100" s="149"/>
      <c r="AA100" s="118"/>
      <c r="AD100" s="147"/>
      <c r="AE100" s="118"/>
      <c r="AH100" s="147"/>
      <c r="AL100" s="147"/>
      <c r="AP100" s="147"/>
      <c r="AQ100" s="118"/>
      <c r="AT100" s="147"/>
      <c r="AU100" s="118"/>
      <c r="AX100" s="147"/>
      <c r="BB100" s="147"/>
      <c r="BC100" s="636"/>
      <c r="BD100" s="636"/>
      <c r="BE100" s="636"/>
      <c r="BF100" s="892"/>
      <c r="BG100" s="636"/>
      <c r="BH100" s="636"/>
      <c r="BI100" s="636"/>
      <c r="BJ100" s="636"/>
      <c r="BK100" s="635"/>
      <c r="BL100" s="636"/>
      <c r="BM100" s="636"/>
      <c r="BN100" s="636"/>
      <c r="BO100" s="635"/>
      <c r="BP100" s="636"/>
      <c r="BQ100" s="636"/>
      <c r="BR100" s="636"/>
      <c r="BS100" s="635"/>
      <c r="BT100" s="636"/>
      <c r="BU100" s="636"/>
      <c r="BV100" s="892"/>
      <c r="BW100" s="636"/>
      <c r="BX100" s="636"/>
      <c r="BZ100" s="147"/>
      <c r="CB100" s="1448"/>
      <c r="CD100" s="147"/>
      <c r="CE100" s="147"/>
      <c r="CF100" s="147"/>
      <c r="CG100" s="147"/>
      <c r="CH100" s="147"/>
      <c r="CI100" s="147"/>
      <c r="CJ100" s="147"/>
      <c r="CN100" s="3389"/>
      <c r="CO100" s="3389"/>
      <c r="CP100" s="3389"/>
      <c r="CQ100" s="3389"/>
      <c r="CR100" s="148"/>
      <c r="CS100" s="148"/>
      <c r="CT100" s="148"/>
      <c r="DE100" s="178"/>
      <c r="DG100" s="161"/>
      <c r="DH100" s="161"/>
      <c r="DI100" s="161"/>
      <c r="DJ100" s="383"/>
      <c r="DK100" s="383"/>
      <c r="DL100" s="383"/>
      <c r="DM100" s="383"/>
      <c r="DN100" s="383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5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  <c r="EN100" s="10"/>
      <c r="EO100" s="10"/>
    </row>
    <row r="101" spans="2:146" s="28" customFormat="1" hidden="1">
      <c r="B101" s="2113" t="s">
        <v>966</v>
      </c>
      <c r="C101" s="10"/>
      <c r="D101" s="10"/>
      <c r="E101" s="10"/>
      <c r="F101" s="10"/>
      <c r="G101" s="10"/>
      <c r="H101" s="2840"/>
      <c r="I101" s="2761"/>
      <c r="J101" s="2761"/>
      <c r="K101" s="2760"/>
      <c r="L101" s="2760"/>
      <c r="M101" s="2760">
        <v>10000</v>
      </c>
      <c r="N101" s="2760">
        <v>10000</v>
      </c>
      <c r="O101" s="2760">
        <v>10001</v>
      </c>
      <c r="P101" s="2760">
        <v>10002</v>
      </c>
      <c r="Q101" s="2760"/>
      <c r="R101" s="2760"/>
      <c r="S101" s="3542"/>
      <c r="T101" s="2760"/>
      <c r="U101" s="2760"/>
      <c r="V101" s="167"/>
      <c r="W101" s="2760"/>
      <c r="Z101" s="149"/>
      <c r="AA101" s="118"/>
      <c r="AD101" s="147"/>
      <c r="AE101" s="118"/>
      <c r="AH101" s="147"/>
      <c r="AL101" s="147"/>
      <c r="AP101" s="147"/>
      <c r="AT101" s="147"/>
      <c r="AX101" s="147"/>
      <c r="BB101" s="147"/>
      <c r="BC101" s="636"/>
      <c r="BD101" s="636"/>
      <c r="BE101" s="636"/>
      <c r="BF101" s="892"/>
      <c r="BG101" s="636"/>
      <c r="BH101" s="636"/>
      <c r="BI101" s="636"/>
      <c r="BJ101" s="636"/>
      <c r="BK101" s="635"/>
      <c r="BL101" s="636"/>
      <c r="BM101" s="636"/>
      <c r="BN101" s="636"/>
      <c r="BO101" s="635"/>
      <c r="BP101" s="636"/>
      <c r="BQ101" s="636"/>
      <c r="BR101" s="636"/>
      <c r="BS101" s="635"/>
      <c r="BT101" s="636"/>
      <c r="BU101" s="636"/>
      <c r="BV101" s="892"/>
      <c r="BW101" s="636"/>
      <c r="BX101" s="636"/>
      <c r="BZ101" s="147"/>
      <c r="CB101" s="1448"/>
      <c r="CD101" s="147"/>
      <c r="CE101" s="147"/>
      <c r="CF101" s="147"/>
      <c r="CG101" s="147"/>
      <c r="CH101" s="147"/>
      <c r="CI101" s="147"/>
      <c r="CJ101" s="147"/>
      <c r="CN101" s="3389"/>
      <c r="CO101" s="3389"/>
      <c r="CP101" s="3389"/>
      <c r="CQ101" s="3389"/>
      <c r="CR101" s="148"/>
      <c r="CS101" s="148"/>
      <c r="CT101" s="148"/>
      <c r="DE101" s="178"/>
      <c r="DG101" s="161"/>
      <c r="DH101" s="161"/>
      <c r="DI101" s="161"/>
      <c r="DJ101" s="383"/>
      <c r="DK101" s="383"/>
      <c r="DL101" s="383"/>
      <c r="DM101" s="383"/>
      <c r="DN101" s="383"/>
      <c r="DO101" s="10"/>
      <c r="DP101" s="10"/>
      <c r="DQ101" s="10"/>
      <c r="DR101" s="10"/>
      <c r="DS101" s="10"/>
      <c r="DT101" s="10"/>
      <c r="DU101" s="10"/>
      <c r="DV101" s="10"/>
      <c r="DW101" s="10"/>
      <c r="DX101" s="10"/>
      <c r="DY101" s="10"/>
      <c r="DZ101" s="10"/>
      <c r="EA101" s="15"/>
      <c r="EB101" s="10"/>
      <c r="EC101" s="10"/>
      <c r="ED101" s="10"/>
      <c r="EE101" s="10"/>
      <c r="EF101" s="10"/>
      <c r="EG101" s="10"/>
      <c r="EH101" s="10"/>
      <c r="EI101" s="10"/>
      <c r="EJ101" s="10"/>
      <c r="EK101" s="10"/>
      <c r="EL101" s="10"/>
      <c r="EN101" s="10"/>
      <c r="EO101" s="10"/>
    </row>
    <row r="102" spans="2:146" s="28" customFormat="1" hidden="1">
      <c r="B102" s="2112"/>
      <c r="C102" s="10"/>
      <c r="D102" s="10"/>
      <c r="E102" s="10"/>
      <c r="F102" s="10"/>
      <c r="G102" s="10"/>
      <c r="H102" s="2840"/>
      <c r="I102" s="2761"/>
      <c r="J102" s="2761"/>
      <c r="K102" s="2760"/>
      <c r="L102" s="2760"/>
      <c r="M102" s="2760"/>
      <c r="N102" s="2760"/>
      <c r="O102" s="2760"/>
      <c r="P102" s="2760"/>
      <c r="Q102" s="2760"/>
      <c r="R102" s="2760"/>
      <c r="S102" s="3542"/>
      <c r="T102" s="2760"/>
      <c r="U102" s="2760"/>
      <c r="V102" s="167"/>
      <c r="W102" s="2760"/>
      <c r="Z102" s="808"/>
      <c r="AD102" s="147"/>
      <c r="AH102" s="147"/>
      <c r="AL102" s="147"/>
      <c r="AP102" s="147"/>
      <c r="AT102" s="147"/>
      <c r="AX102" s="147"/>
      <c r="BB102" s="147"/>
      <c r="BC102" s="636"/>
      <c r="BD102" s="636"/>
      <c r="BE102" s="636"/>
      <c r="BF102" s="892"/>
      <c r="BG102" s="636"/>
      <c r="BH102" s="636"/>
      <c r="BI102" s="636"/>
      <c r="BJ102" s="636"/>
      <c r="BK102" s="635"/>
      <c r="BL102" s="636"/>
      <c r="BM102" s="636"/>
      <c r="BN102" s="636"/>
      <c r="BO102" s="635"/>
      <c r="BP102" s="636"/>
      <c r="BQ102" s="636"/>
      <c r="BR102" s="636"/>
      <c r="BS102" s="635"/>
      <c r="BT102" s="636"/>
      <c r="BU102" s="636"/>
      <c r="BV102" s="892"/>
      <c r="BW102" s="636"/>
      <c r="BX102" s="636"/>
      <c r="BZ102" s="147"/>
      <c r="CB102" s="1448"/>
      <c r="CD102" s="147"/>
      <c r="CE102" s="147"/>
      <c r="CF102" s="147"/>
      <c r="CG102" s="147"/>
      <c r="CH102" s="147"/>
      <c r="CI102" s="147"/>
      <c r="CJ102" s="147"/>
      <c r="CN102" s="3389"/>
      <c r="CO102" s="3389"/>
      <c r="CP102" s="3389"/>
      <c r="CQ102" s="3389"/>
      <c r="CR102" s="148"/>
      <c r="CS102" s="148"/>
      <c r="CT102" s="148"/>
      <c r="DE102" s="178"/>
      <c r="DG102" s="161"/>
      <c r="DH102" s="161"/>
      <c r="DI102" s="161"/>
      <c r="DJ102" s="383"/>
      <c r="DK102" s="383"/>
      <c r="DL102" s="383"/>
      <c r="DM102" s="383"/>
      <c r="DN102" s="383"/>
      <c r="DO102" s="10"/>
      <c r="DP102" s="10"/>
      <c r="DQ102" s="10"/>
      <c r="DR102" s="10"/>
      <c r="DS102" s="10"/>
      <c r="DT102" s="10"/>
      <c r="DU102" s="10"/>
      <c r="DV102" s="10"/>
      <c r="DW102" s="10"/>
      <c r="DX102" s="10"/>
      <c r="DY102" s="10"/>
      <c r="DZ102" s="10"/>
      <c r="EA102" s="15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  <c r="EN102" s="10"/>
      <c r="EO102" s="10"/>
    </row>
    <row r="103" spans="2:146" hidden="1">
      <c r="B103" s="2115" t="s">
        <v>986</v>
      </c>
      <c r="C103" s="192">
        <v>0</v>
      </c>
      <c r="D103" s="192">
        <v>0</v>
      </c>
      <c r="E103" s="192">
        <v>0.25</v>
      </c>
      <c r="F103" s="192">
        <v>0.15</v>
      </c>
      <c r="G103" s="192">
        <v>0.15</v>
      </c>
      <c r="H103" s="2841">
        <v>0.15</v>
      </c>
      <c r="I103" s="2726">
        <v>0.15</v>
      </c>
      <c r="J103" s="2726">
        <v>0.1</v>
      </c>
      <c r="K103" s="2726">
        <v>0.15</v>
      </c>
      <c r="L103" s="2726">
        <v>0.2</v>
      </c>
      <c r="M103" s="2726">
        <v>0.15</v>
      </c>
      <c r="N103" s="2726">
        <v>0.15</v>
      </c>
      <c r="O103" s="2726">
        <v>0.15</v>
      </c>
      <c r="P103" s="2726">
        <v>0.15</v>
      </c>
      <c r="Q103" s="2726">
        <v>0.1</v>
      </c>
      <c r="R103" s="2726">
        <v>0.1</v>
      </c>
      <c r="S103" s="3544">
        <v>1.1000000000000001</v>
      </c>
      <c r="T103" s="2726"/>
      <c r="U103" s="2726"/>
      <c r="V103" s="2103">
        <v>0.1</v>
      </c>
      <c r="W103" s="2726">
        <v>0.1</v>
      </c>
      <c r="Z103" s="3330"/>
      <c r="AA103" s="328" t="e">
        <f>#REF!*20%*10000</f>
        <v>#REF!</v>
      </c>
      <c r="AB103" s="328" t="e">
        <f>#REF!*20%*10000</f>
        <v>#REF!</v>
      </c>
      <c r="AC103" s="72" t="e">
        <f>#REF!*20%*10000</f>
        <v>#REF!</v>
      </c>
      <c r="AD103" s="3330" t="e">
        <f>#REF!*20%*10000</f>
        <v>#REF!</v>
      </c>
      <c r="AE103" s="328" t="e">
        <f>#REF!*20%*10000</f>
        <v>#REF!</v>
      </c>
      <c r="AF103" s="328" t="e">
        <f>#REF!*20%*10000</f>
        <v>#REF!</v>
      </c>
      <c r="AG103" s="328" t="e">
        <f>#REF!*20%*10000</f>
        <v>#REF!</v>
      </c>
      <c r="AH103" s="3330" t="e">
        <f>#REF!*20%*10000</f>
        <v>#REF!</v>
      </c>
      <c r="AI103" s="328" t="e">
        <f>#REF!*20%*10000</f>
        <v>#REF!</v>
      </c>
      <c r="AJ103" s="328" t="e">
        <f>#REF!*20%*10000</f>
        <v>#REF!</v>
      </c>
      <c r="AK103" s="72" t="e">
        <f>#REF!*20%*10000</f>
        <v>#REF!</v>
      </c>
      <c r="AL103" s="3330" t="e">
        <f>#REF!*20%*10000</f>
        <v>#REF!</v>
      </c>
      <c r="AM103" s="328" t="e">
        <f>#REF!*20%*10000</f>
        <v>#REF!</v>
      </c>
      <c r="AN103" s="328" t="e">
        <f>#REF!*20%*10000</f>
        <v>#REF!</v>
      </c>
      <c r="AO103" s="328" t="e">
        <f>#REF!*20%*10000</f>
        <v>#REF!</v>
      </c>
      <c r="AP103" s="3330" t="e">
        <f>#REF!*20%*10000</f>
        <v>#REF!</v>
      </c>
      <c r="AQ103" s="328" t="e">
        <f>#REF!*20%*10000</f>
        <v>#REF!</v>
      </c>
      <c r="AR103" s="328" t="e">
        <f>#REF!*20%*10000</f>
        <v>#REF!</v>
      </c>
      <c r="AS103" s="72" t="e">
        <f>#REF!*20%*10000</f>
        <v>#REF!</v>
      </c>
      <c r="AT103" s="3330" t="e">
        <f>#REF!*20%*10000</f>
        <v>#REF!</v>
      </c>
      <c r="AU103" s="328">
        <f>A113*20%*10000</f>
        <v>0</v>
      </c>
      <c r="AV103" s="328" t="e">
        <f t="shared" ref="AV103:BF103" si="261">B91*20%*10000</f>
        <v>#VALUE!</v>
      </c>
      <c r="AW103" s="72">
        <f t="shared" si="261"/>
        <v>547697666000</v>
      </c>
      <c r="AX103" s="3330">
        <f t="shared" si="261"/>
        <v>550403510000</v>
      </c>
      <c r="AY103" s="328">
        <f t="shared" si="261"/>
        <v>687953200000</v>
      </c>
      <c r="AZ103" s="328">
        <f t="shared" si="261"/>
        <v>795063280000</v>
      </c>
      <c r="BA103" s="72">
        <f t="shared" si="261"/>
        <v>918853368000.00012</v>
      </c>
      <c r="BB103" s="3330">
        <f t="shared" si="261"/>
        <v>1061922210000</v>
      </c>
      <c r="BC103" s="328">
        <f t="shared" si="261"/>
        <v>1227273544000</v>
      </c>
      <c r="BD103" s="328">
        <f t="shared" si="261"/>
        <v>1356717376000</v>
      </c>
      <c r="BE103" s="328">
        <f t="shared" si="261"/>
        <v>1567974972000.0002</v>
      </c>
      <c r="BF103" s="3330">
        <f t="shared" si="261"/>
        <v>1815103298000</v>
      </c>
      <c r="BG103" s="74"/>
      <c r="BH103" s="74"/>
      <c r="BI103" s="74"/>
      <c r="BJ103" s="74"/>
      <c r="BV103" s="62"/>
      <c r="BY103" s="10"/>
      <c r="BZ103" s="62"/>
      <c r="CA103" s="10"/>
      <c r="CB103" s="10"/>
      <c r="CC103" s="10"/>
      <c r="CD103" s="62"/>
      <c r="CE103" s="62"/>
      <c r="CF103" s="62"/>
      <c r="CG103" s="62"/>
      <c r="CH103" s="62"/>
      <c r="CI103" s="62"/>
      <c r="CJ103" s="62"/>
      <c r="CK103" s="10"/>
      <c r="CL103" s="10"/>
      <c r="CM103" s="10"/>
      <c r="CT103" s="67"/>
      <c r="CU103" s="10"/>
      <c r="CV103" s="10"/>
      <c r="CW103" s="10"/>
      <c r="CX103" s="10"/>
      <c r="CY103" s="10"/>
      <c r="CZ103" s="10"/>
      <c r="DA103" s="10"/>
      <c r="DC103" s="10"/>
    </row>
    <row r="104" spans="2:146" s="28" customFormat="1" hidden="1">
      <c r="B104" s="2112" t="s">
        <v>977</v>
      </c>
      <c r="C104" s="10"/>
      <c r="D104" s="10"/>
      <c r="E104" s="10"/>
      <c r="F104" s="10"/>
      <c r="G104" s="10"/>
      <c r="H104" s="2840"/>
      <c r="I104" s="2761"/>
      <c r="J104" s="2761"/>
      <c r="K104" s="2760"/>
      <c r="L104" s="2760"/>
      <c r="M104" s="2760"/>
      <c r="N104" s="2760"/>
      <c r="O104" s="2760"/>
      <c r="P104" s="2760"/>
      <c r="Q104" s="2760">
        <f>(PL!Q105*PL!Q106)/10^9</f>
        <v>1703.5072010000004</v>
      </c>
      <c r="R104" s="2760">
        <f>(PL!R105*PL!R106)/10^9</f>
        <v>1873.8579211000003</v>
      </c>
      <c r="S104" s="3542">
        <f>(PL!S105*PL!S106)/10^9</f>
        <v>2061.2437132099999</v>
      </c>
      <c r="T104" s="2760"/>
      <c r="U104" s="2760"/>
      <c r="V104" s="167">
        <f>(PL!V105*PL!V106)/10^9</f>
        <v>1904.9533100000001</v>
      </c>
      <c r="W104" s="2760">
        <f>(PL!W105*PL!W106)/10^9</f>
        <v>2206.6035000000002</v>
      </c>
      <c r="Z104" s="808"/>
      <c r="AD104" s="147"/>
      <c r="AH104" s="147"/>
      <c r="AL104" s="147"/>
      <c r="AP104" s="147"/>
      <c r="AT104" s="147"/>
      <c r="AX104" s="147"/>
      <c r="BB104" s="147"/>
      <c r="BC104" s="636"/>
      <c r="BD104" s="636"/>
      <c r="BE104" s="636"/>
      <c r="BF104" s="892"/>
      <c r="BG104" s="636"/>
      <c r="BH104" s="636"/>
      <c r="BI104" s="636"/>
      <c r="BJ104" s="636"/>
      <c r="BK104" s="635"/>
      <c r="BL104" s="636"/>
      <c r="BM104" s="636"/>
      <c r="BN104" s="636"/>
      <c r="BO104" s="635"/>
      <c r="BP104" s="636"/>
      <c r="BQ104" s="636"/>
      <c r="BR104" s="636"/>
      <c r="BS104" s="635"/>
      <c r="BT104" s="636"/>
      <c r="BU104" s="636"/>
      <c r="BV104" s="892"/>
      <c r="BW104" s="636"/>
      <c r="BX104" s="636"/>
      <c r="BZ104" s="147"/>
      <c r="CB104" s="1448"/>
      <c r="CD104" s="147"/>
      <c r="CE104" s="147"/>
      <c r="CF104" s="147"/>
      <c r="CG104" s="147"/>
      <c r="CH104" s="147"/>
      <c r="CI104" s="147"/>
      <c r="CJ104" s="147"/>
      <c r="CN104" s="3389"/>
      <c r="CO104" s="3389"/>
      <c r="CP104" s="3389"/>
      <c r="CQ104" s="3389"/>
      <c r="CR104" s="148"/>
      <c r="CS104" s="148"/>
      <c r="CT104" s="148"/>
      <c r="DE104" s="178"/>
      <c r="DG104" s="161"/>
      <c r="DH104" s="161"/>
      <c r="DI104" s="161"/>
      <c r="DJ104" s="383"/>
      <c r="DK104" s="383"/>
      <c r="DL104" s="383"/>
      <c r="DM104" s="383"/>
      <c r="DN104" s="383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5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  <c r="EN104" s="10"/>
      <c r="EO104" s="10"/>
    </row>
    <row r="105" spans="2:146" s="28" customFormat="1" hidden="1">
      <c r="B105" s="2113" t="s">
        <v>969</v>
      </c>
      <c r="C105" s="10"/>
      <c r="D105" s="10"/>
      <c r="E105" s="10"/>
      <c r="F105" s="10"/>
      <c r="G105" s="10"/>
      <c r="H105" s="2840"/>
      <c r="I105" s="2761"/>
      <c r="J105" s="2761"/>
      <c r="K105" s="2761"/>
      <c r="L105" s="2823"/>
      <c r="M105" s="2761"/>
      <c r="N105" s="1705">
        <f t="shared" ref="N105:S105" si="262">N108*M103</f>
        <v>165649755.29999998</v>
      </c>
      <c r="O105" s="1705">
        <f t="shared" si="262"/>
        <v>165649755.29999998</v>
      </c>
      <c r="P105" s="1705">
        <f t="shared" si="262"/>
        <v>220660350</v>
      </c>
      <c r="Q105" s="1705">
        <f>Q108*W103</f>
        <v>170350720.10000002</v>
      </c>
      <c r="R105" s="1705">
        <f t="shared" si="262"/>
        <v>187385792.11000001</v>
      </c>
      <c r="S105" s="3521">
        <f t="shared" si="262"/>
        <v>206124371.32100001</v>
      </c>
      <c r="T105" s="1705"/>
      <c r="U105" s="2761"/>
      <c r="V105" s="110">
        <v>190495331</v>
      </c>
      <c r="W105" s="1705">
        <f>W108*O103</f>
        <v>220660350</v>
      </c>
      <c r="Z105" s="808"/>
      <c r="AD105" s="147"/>
      <c r="AH105" s="147"/>
      <c r="AL105" s="147"/>
      <c r="AP105" s="147"/>
      <c r="AT105" s="147"/>
      <c r="AX105" s="147"/>
      <c r="BB105" s="147"/>
      <c r="BC105" s="636"/>
      <c r="BD105" s="636"/>
      <c r="BE105" s="636"/>
      <c r="BF105" s="892"/>
      <c r="BG105" s="636"/>
      <c r="BH105" s="636"/>
      <c r="BI105" s="636"/>
      <c r="BJ105" s="636"/>
      <c r="BK105" s="635"/>
      <c r="BL105" s="636"/>
      <c r="BM105" s="636"/>
      <c r="BN105" s="636"/>
      <c r="BO105" s="635"/>
      <c r="BP105" s="636"/>
      <c r="BQ105" s="636"/>
      <c r="BR105" s="636"/>
      <c r="BS105" s="635"/>
      <c r="BT105" s="636"/>
      <c r="BU105" s="636"/>
      <c r="BV105" s="892"/>
      <c r="BW105" s="636"/>
      <c r="BX105" s="636"/>
      <c r="BZ105" s="147"/>
      <c r="CB105" s="1448"/>
      <c r="CD105" s="147"/>
      <c r="CE105" s="147"/>
      <c r="CF105" s="147"/>
      <c r="CG105" s="147"/>
      <c r="CH105" s="147"/>
      <c r="CI105" s="147"/>
      <c r="CJ105" s="147"/>
      <c r="CN105" s="3389"/>
      <c r="CO105" s="3389"/>
      <c r="CP105" s="3389"/>
      <c r="CQ105" s="3389"/>
      <c r="CR105" s="148"/>
      <c r="CS105" s="148"/>
      <c r="CT105" s="148"/>
      <c r="DE105" s="178"/>
      <c r="DG105" s="161"/>
      <c r="DH105" s="161"/>
      <c r="DI105" s="161"/>
      <c r="DJ105" s="383"/>
      <c r="DK105" s="383"/>
      <c r="DL105" s="383"/>
      <c r="DM105" s="383"/>
      <c r="DN105" s="383"/>
      <c r="DO105" s="10"/>
      <c r="DP105" s="10"/>
      <c r="DQ105" s="10"/>
      <c r="DR105" s="10"/>
      <c r="DS105" s="10"/>
      <c r="DT105" s="10"/>
      <c r="DU105" s="10"/>
      <c r="DV105" s="10"/>
      <c r="DW105" s="10"/>
      <c r="DX105" s="10"/>
      <c r="DY105" s="10"/>
      <c r="DZ105" s="10"/>
      <c r="EA105" s="15"/>
      <c r="EB105" s="10"/>
      <c r="EC105" s="10"/>
      <c r="ED105" s="10"/>
      <c r="EE105" s="10"/>
      <c r="EF105" s="10"/>
      <c r="EG105" s="10"/>
      <c r="EH105" s="10"/>
      <c r="EI105" s="10"/>
      <c r="EJ105" s="10"/>
      <c r="EK105" s="10"/>
      <c r="EL105" s="10"/>
      <c r="EN105" s="10"/>
      <c r="EO105" s="10"/>
    </row>
    <row r="106" spans="2:146" s="28" customFormat="1" hidden="1">
      <c r="B106" s="2113" t="s">
        <v>966</v>
      </c>
      <c r="C106" s="196"/>
      <c r="D106" s="196"/>
      <c r="E106" s="196"/>
      <c r="F106" s="196"/>
      <c r="G106" s="196"/>
      <c r="H106" s="2842"/>
      <c r="I106" s="2732"/>
      <c r="J106" s="2714"/>
      <c r="K106" s="2727"/>
      <c r="L106" s="2828"/>
      <c r="M106" s="2727"/>
      <c r="N106" s="2727">
        <v>10000</v>
      </c>
      <c r="O106" s="2727">
        <v>10000</v>
      </c>
      <c r="P106" s="2727">
        <v>10000</v>
      </c>
      <c r="Q106" s="2727">
        <f>W106</f>
        <v>10000</v>
      </c>
      <c r="R106" s="2727">
        <f>Q106</f>
        <v>10000</v>
      </c>
      <c r="S106" s="3545">
        <f>R106</f>
        <v>10000</v>
      </c>
      <c r="T106" s="2727"/>
      <c r="U106" s="2727"/>
      <c r="V106" s="2099">
        <f>N106</f>
        <v>10000</v>
      </c>
      <c r="W106" s="2727">
        <f>V106</f>
        <v>10000</v>
      </c>
      <c r="Z106" s="808"/>
      <c r="AD106" s="147"/>
      <c r="AH106" s="147"/>
      <c r="AL106" s="147"/>
      <c r="AP106" s="147"/>
      <c r="AT106" s="147"/>
      <c r="AX106" s="147"/>
      <c r="BB106" s="147"/>
      <c r="BC106" s="636"/>
      <c r="BD106" s="636"/>
      <c r="BE106" s="636"/>
      <c r="BF106" s="892"/>
      <c r="BG106" s="636"/>
      <c r="BH106" s="636"/>
      <c r="BI106" s="636"/>
      <c r="BJ106" s="636"/>
      <c r="BK106" s="635"/>
      <c r="BL106" s="636"/>
      <c r="BM106" s="636"/>
      <c r="BN106" s="636"/>
      <c r="BO106" s="635"/>
      <c r="BP106" s="636"/>
      <c r="BQ106" s="636"/>
      <c r="BR106" s="636"/>
      <c r="BS106" s="635"/>
      <c r="BT106" s="636"/>
      <c r="BU106" s="636"/>
      <c r="BV106" s="892"/>
      <c r="BW106" s="636"/>
      <c r="BX106" s="636"/>
      <c r="BZ106" s="147"/>
      <c r="CB106" s="1448"/>
      <c r="CD106" s="147"/>
      <c r="CE106" s="147"/>
      <c r="CF106" s="147"/>
      <c r="CG106" s="147"/>
      <c r="CH106" s="147"/>
      <c r="CI106" s="147"/>
      <c r="CJ106" s="147"/>
      <c r="CN106" s="3389"/>
      <c r="CO106" s="3389"/>
      <c r="CP106" s="3389"/>
      <c r="CQ106" s="3389"/>
      <c r="CR106" s="148"/>
      <c r="CS106" s="148"/>
      <c r="CT106" s="148"/>
      <c r="DE106" s="178"/>
      <c r="DG106" s="161"/>
      <c r="DH106" s="161"/>
      <c r="DI106" s="161"/>
      <c r="DJ106" s="383"/>
      <c r="DK106" s="383"/>
      <c r="DL106" s="383"/>
      <c r="DM106" s="383"/>
      <c r="DN106" s="383"/>
      <c r="DO106" s="10"/>
      <c r="DP106" s="10"/>
      <c r="DQ106" s="10"/>
      <c r="DR106" s="10"/>
      <c r="DS106" s="10"/>
      <c r="DT106" s="10"/>
      <c r="DU106" s="10"/>
      <c r="DV106" s="10"/>
      <c r="DW106" s="10"/>
      <c r="DX106" s="10"/>
      <c r="DY106" s="10"/>
      <c r="DZ106" s="10"/>
      <c r="EA106" s="15"/>
      <c r="EB106" s="10"/>
      <c r="EC106" s="10"/>
      <c r="ED106" s="10"/>
      <c r="EE106" s="10"/>
      <c r="EF106" s="10"/>
      <c r="EG106" s="10"/>
      <c r="EH106" s="10"/>
      <c r="EI106" s="10"/>
      <c r="EJ106" s="10"/>
      <c r="EK106" s="10"/>
      <c r="EL106" s="10"/>
      <c r="EN106" s="10"/>
      <c r="EO106" s="10"/>
    </row>
    <row r="107" spans="2:146" s="28" customFormat="1" hidden="1">
      <c r="B107" s="2113"/>
      <c r="C107" s="196"/>
      <c r="D107" s="196"/>
      <c r="E107" s="196"/>
      <c r="F107" s="196"/>
      <c r="G107" s="196"/>
      <c r="H107" s="2842"/>
      <c r="I107" s="2732"/>
      <c r="J107" s="2714"/>
      <c r="K107" s="2727"/>
      <c r="L107" s="2828"/>
      <c r="M107" s="2727"/>
      <c r="N107" s="2727"/>
      <c r="O107" s="2727"/>
      <c r="P107" s="2727"/>
      <c r="Q107" s="2727"/>
      <c r="R107" s="2727"/>
      <c r="S107" s="3545"/>
      <c r="T107" s="2727"/>
      <c r="U107" s="2727"/>
      <c r="V107" s="2099"/>
      <c r="W107" s="2727"/>
      <c r="Z107" s="808"/>
      <c r="AD107" s="147"/>
      <c r="AH107" s="147"/>
      <c r="AL107" s="147"/>
      <c r="AP107" s="147"/>
      <c r="AT107" s="147"/>
      <c r="AX107" s="147"/>
      <c r="BB107" s="147"/>
      <c r="BC107" s="636"/>
      <c r="BD107" s="636"/>
      <c r="BE107" s="636"/>
      <c r="BF107" s="892"/>
      <c r="BG107" s="636"/>
      <c r="BH107" s="636"/>
      <c r="BI107" s="636"/>
      <c r="BJ107" s="636"/>
      <c r="BK107" s="636"/>
      <c r="BL107" s="636"/>
      <c r="BM107" s="636"/>
      <c r="BN107" s="636"/>
      <c r="BO107" s="636"/>
      <c r="BP107" s="636"/>
      <c r="BQ107" s="636"/>
      <c r="BR107" s="636"/>
      <c r="BS107" s="636"/>
      <c r="BT107" s="636"/>
      <c r="BU107" s="636"/>
      <c r="BV107" s="892"/>
      <c r="BW107" s="636"/>
      <c r="BX107" s="636"/>
      <c r="BZ107" s="147"/>
      <c r="CB107" s="1448"/>
      <c r="CD107" s="147"/>
      <c r="CE107" s="147"/>
      <c r="CF107" s="147"/>
      <c r="CG107" s="147"/>
      <c r="CH107" s="147"/>
      <c r="CI107" s="147"/>
      <c r="CJ107" s="147"/>
      <c r="CN107" s="3389"/>
      <c r="CO107" s="3389"/>
      <c r="CP107" s="3389"/>
      <c r="CQ107" s="3389"/>
      <c r="CR107" s="148"/>
      <c r="CS107" s="148"/>
      <c r="CT107" s="148"/>
      <c r="DE107" s="178"/>
      <c r="DG107" s="1371"/>
      <c r="DH107" s="1371"/>
      <c r="DI107" s="1371"/>
      <c r="DJ107" s="2102"/>
      <c r="DK107" s="2102"/>
      <c r="DL107" s="2102"/>
      <c r="DM107" s="2102"/>
      <c r="DN107" s="2102"/>
      <c r="DO107" s="10"/>
      <c r="DP107" s="10"/>
      <c r="DQ107" s="10"/>
      <c r="DR107" s="10"/>
      <c r="DS107" s="10"/>
      <c r="DT107" s="10"/>
      <c r="DU107" s="10"/>
      <c r="DV107" s="10"/>
      <c r="DW107" s="10"/>
      <c r="DX107" s="10"/>
      <c r="DY107" s="10"/>
      <c r="DZ107" s="10"/>
      <c r="EA107" s="61"/>
      <c r="EB107" s="10"/>
      <c r="EC107" s="10"/>
      <c r="ED107" s="10"/>
      <c r="EE107" s="10"/>
      <c r="EF107" s="10"/>
      <c r="EG107" s="10"/>
      <c r="EH107" s="10"/>
      <c r="EI107" s="10"/>
      <c r="EJ107" s="10"/>
      <c r="EK107" s="10"/>
      <c r="EL107" s="10"/>
      <c r="EN107" s="10"/>
      <c r="EO107" s="10"/>
    </row>
    <row r="108" spans="2:146" s="28" customFormat="1" hidden="1">
      <c r="B108" s="2116" t="s">
        <v>953</v>
      </c>
      <c r="C108" s="110">
        <v>273848833</v>
      </c>
      <c r="D108" s="110">
        <v>273848833</v>
      </c>
      <c r="E108" s="110">
        <v>275201755</v>
      </c>
      <c r="F108" s="110">
        <v>343976600</v>
      </c>
      <c r="G108" s="110">
        <v>397531640</v>
      </c>
      <c r="H108" s="2834">
        <v>459426684</v>
      </c>
      <c r="I108" s="1705">
        <v>530961105</v>
      </c>
      <c r="J108" s="1705">
        <v>613636772</v>
      </c>
      <c r="K108" s="1705">
        <v>678358688</v>
      </c>
      <c r="L108" s="1705">
        <v>783987486</v>
      </c>
      <c r="M108" s="1705">
        <v>907551649</v>
      </c>
      <c r="N108" s="1705">
        <v>1104331702</v>
      </c>
      <c r="O108" s="1705">
        <v>1104331702</v>
      </c>
      <c r="P108" s="1705">
        <f>O109</f>
        <v>1471069000</v>
      </c>
      <c r="Q108" s="1705">
        <f>P109</f>
        <v>1703507201</v>
      </c>
      <c r="R108" s="1705">
        <f>Q109</f>
        <v>1873857921.0999999</v>
      </c>
      <c r="S108" s="3521">
        <f>R109</f>
        <v>2061243713.21</v>
      </c>
      <c r="T108" s="1705"/>
      <c r="U108" s="1705"/>
      <c r="V108" s="110">
        <f>N109</f>
        <v>1269981457.3</v>
      </c>
      <c r="W108" s="1705">
        <f>O109</f>
        <v>1471069000</v>
      </c>
      <c r="Z108" s="808"/>
      <c r="AD108" s="147"/>
      <c r="AH108" s="147"/>
      <c r="AL108" s="147"/>
      <c r="AP108" s="147"/>
      <c r="AT108" s="147"/>
      <c r="AX108" s="147"/>
      <c r="BB108" s="147"/>
      <c r="BC108" s="636"/>
      <c r="BD108" s="636"/>
      <c r="BE108" s="636"/>
      <c r="BF108" s="892"/>
      <c r="BG108" s="636"/>
      <c r="BH108" s="636"/>
      <c r="BI108" s="636"/>
      <c r="BJ108" s="636"/>
      <c r="BK108" s="635"/>
      <c r="BL108" s="636"/>
      <c r="BM108" s="636"/>
      <c r="BN108" s="636"/>
      <c r="BO108" s="635"/>
      <c r="BP108" s="636"/>
      <c r="BQ108" s="636"/>
      <c r="BR108" s="636"/>
      <c r="BS108" s="635"/>
      <c r="BT108" s="636"/>
      <c r="BU108" s="636"/>
      <c r="BV108" s="892"/>
      <c r="BW108" s="636"/>
      <c r="BX108" s="636"/>
      <c r="BZ108" s="147"/>
      <c r="CB108" s="1448"/>
      <c r="CD108" s="147"/>
      <c r="CE108" s="147"/>
      <c r="CF108" s="147"/>
      <c r="CG108" s="147"/>
      <c r="CH108" s="147"/>
      <c r="CI108" s="147"/>
      <c r="CJ108" s="147"/>
      <c r="CN108" s="3389"/>
      <c r="CO108" s="3389"/>
      <c r="CP108" s="3389"/>
      <c r="CQ108" s="3389"/>
      <c r="CR108" s="148"/>
      <c r="CS108" s="148"/>
      <c r="CT108" s="148"/>
      <c r="DE108" s="178"/>
      <c r="DG108" s="161"/>
      <c r="DH108" s="161"/>
      <c r="DI108" s="161"/>
      <c r="DJ108" s="383"/>
      <c r="DK108" s="383"/>
      <c r="DL108" s="383"/>
      <c r="DM108" s="383"/>
      <c r="DN108" s="383"/>
      <c r="DO108" s="10"/>
      <c r="DP108" s="10"/>
      <c r="DQ108" s="10"/>
      <c r="DR108" s="10"/>
      <c r="DS108" s="10"/>
      <c r="DT108" s="10"/>
      <c r="DU108" s="10"/>
      <c r="DV108" s="10"/>
      <c r="DW108" s="10"/>
      <c r="DX108" s="10"/>
      <c r="DY108" s="10"/>
      <c r="DZ108" s="10"/>
      <c r="EA108" s="15"/>
      <c r="EB108" s="10"/>
      <c r="EC108" s="10"/>
      <c r="ED108" s="10"/>
      <c r="EE108" s="10"/>
      <c r="EF108" s="10"/>
      <c r="EG108" s="10"/>
      <c r="EH108" s="10"/>
      <c r="EI108" s="10"/>
      <c r="EJ108" s="10"/>
      <c r="EK108" s="10"/>
      <c r="EL108" s="10"/>
      <c r="EN108" s="10"/>
      <c r="EO108" s="10"/>
    </row>
    <row r="109" spans="2:146" s="28" customFormat="1" hidden="1">
      <c r="B109" s="2116" t="s">
        <v>952</v>
      </c>
      <c r="C109" s="110">
        <v>273848833</v>
      </c>
      <c r="D109" s="110">
        <v>275201755</v>
      </c>
      <c r="E109" s="110">
        <v>343976600</v>
      </c>
      <c r="F109" s="110">
        <v>397531640</v>
      </c>
      <c r="G109" s="110">
        <v>459426684</v>
      </c>
      <c r="H109" s="2834">
        <v>530961105</v>
      </c>
      <c r="I109" s="1705">
        <v>613636772</v>
      </c>
      <c r="J109" s="1705">
        <v>678358688</v>
      </c>
      <c r="K109" s="1705">
        <v>783987486</v>
      </c>
      <c r="L109" s="1705">
        <v>907551649</v>
      </c>
      <c r="M109" s="1705">
        <v>1097026572</v>
      </c>
      <c r="N109" s="1705">
        <v>1269981457.3</v>
      </c>
      <c r="O109" s="1705">
        <f>O91</f>
        <v>1471069000</v>
      </c>
      <c r="P109" s="1705">
        <v>1703507201</v>
      </c>
      <c r="Q109" s="1705">
        <f>Q108+Q105</f>
        <v>1873857921.0999999</v>
      </c>
      <c r="R109" s="1705">
        <f>R108+R105</f>
        <v>2061243713.21</v>
      </c>
      <c r="S109" s="3521">
        <f>S108+S105</f>
        <v>2267368084.5310001</v>
      </c>
      <c r="T109" s="1705"/>
      <c r="U109" s="1705"/>
      <c r="V109" s="2095">
        <f>V108+V105</f>
        <v>1460476788.3</v>
      </c>
      <c r="W109" s="1705">
        <f>W108+W105</f>
        <v>1691729350</v>
      </c>
      <c r="Z109" s="808"/>
      <c r="AD109" s="147"/>
      <c r="AH109" s="147"/>
      <c r="AL109" s="147"/>
      <c r="AP109" s="147"/>
      <c r="AT109" s="147"/>
      <c r="AX109" s="147"/>
      <c r="BB109" s="147"/>
      <c r="BC109" s="636"/>
      <c r="BD109" s="636"/>
      <c r="BE109" s="636"/>
      <c r="BF109" s="892"/>
      <c r="BG109" s="636"/>
      <c r="BH109" s="636"/>
      <c r="BI109" s="636"/>
      <c r="BJ109" s="636"/>
      <c r="BK109" s="635"/>
      <c r="BL109" s="636"/>
      <c r="BM109" s="636"/>
      <c r="BN109" s="636"/>
      <c r="BO109" s="635"/>
      <c r="BP109" s="636"/>
      <c r="BQ109" s="636"/>
      <c r="BR109" s="636"/>
      <c r="BS109" s="635"/>
      <c r="BT109" s="636"/>
      <c r="BU109" s="636"/>
      <c r="BV109" s="892"/>
      <c r="BW109" s="636"/>
      <c r="BX109" s="636"/>
      <c r="BZ109" s="147"/>
      <c r="CB109" s="1448"/>
      <c r="CD109" s="147"/>
      <c r="CE109" s="147"/>
      <c r="CF109" s="147"/>
      <c r="CG109" s="147"/>
      <c r="CH109" s="147"/>
      <c r="CI109" s="147"/>
      <c r="CJ109" s="147"/>
      <c r="CN109" s="3389"/>
      <c r="CO109" s="3389"/>
      <c r="CP109" s="3389"/>
      <c r="CQ109" s="3389"/>
      <c r="CR109" s="148"/>
      <c r="CS109" s="148"/>
      <c r="CT109" s="148"/>
      <c r="DE109" s="178"/>
      <c r="DG109" s="161"/>
      <c r="DH109" s="161"/>
      <c r="DI109" s="161"/>
      <c r="DJ109" s="383"/>
      <c r="DK109" s="383"/>
      <c r="DL109" s="383"/>
      <c r="DM109" s="383"/>
      <c r="DN109" s="383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5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  <c r="EN109" s="10"/>
      <c r="EO109" s="10"/>
    </row>
    <row r="110" spans="2:146" s="28" customFormat="1" hidden="1">
      <c r="B110" s="2108" t="s">
        <v>27</v>
      </c>
      <c r="C110" s="110">
        <v>10000</v>
      </c>
      <c r="D110" s="110">
        <v>10000</v>
      </c>
      <c r="E110" s="110">
        <v>10000</v>
      </c>
      <c r="F110" s="110">
        <v>10000</v>
      </c>
      <c r="G110" s="110">
        <v>10000</v>
      </c>
      <c r="H110" s="2834">
        <v>10000</v>
      </c>
      <c r="I110" s="1705">
        <v>10000</v>
      </c>
      <c r="J110" s="1705">
        <v>10000</v>
      </c>
      <c r="K110" s="1705">
        <v>10000</v>
      </c>
      <c r="L110" s="1705">
        <v>10000</v>
      </c>
      <c r="M110" s="1705">
        <v>10000</v>
      </c>
      <c r="N110" s="1705">
        <v>10000</v>
      </c>
      <c r="O110" s="1705">
        <v>10000</v>
      </c>
      <c r="P110" s="1705">
        <v>10000</v>
      </c>
      <c r="Q110" s="1705">
        <v>10000</v>
      </c>
      <c r="R110" s="1705">
        <v>10000</v>
      </c>
      <c r="S110" s="3521">
        <v>10001</v>
      </c>
      <c r="T110" s="1705"/>
      <c r="U110" s="1705"/>
      <c r="V110" s="2095">
        <v>10000</v>
      </c>
      <c r="W110" s="1705">
        <v>10000</v>
      </c>
      <c r="Z110" s="808"/>
      <c r="AD110" s="147"/>
      <c r="AH110" s="147"/>
      <c r="AL110" s="147"/>
      <c r="AP110" s="147"/>
      <c r="AT110" s="147"/>
      <c r="AX110" s="147"/>
      <c r="BB110" s="147"/>
      <c r="BC110" s="636"/>
      <c r="BD110" s="636"/>
      <c r="BE110" s="636"/>
      <c r="BF110" s="892"/>
      <c r="BG110" s="636"/>
      <c r="BH110" s="636"/>
      <c r="BI110" s="636"/>
      <c r="BJ110" s="636"/>
      <c r="BK110" s="635"/>
      <c r="BL110" s="636"/>
      <c r="BM110" s="636"/>
      <c r="BN110" s="636"/>
      <c r="BO110" s="635"/>
      <c r="BP110" s="636"/>
      <c r="BQ110" s="636"/>
      <c r="BR110" s="636"/>
      <c r="BS110" s="635"/>
      <c r="BT110" s="636"/>
      <c r="BU110" s="636"/>
      <c r="BV110" s="892"/>
      <c r="BW110" s="636"/>
      <c r="BX110" s="636"/>
      <c r="BZ110" s="147"/>
      <c r="CB110" s="1448"/>
      <c r="CD110" s="147"/>
      <c r="CE110" s="147"/>
      <c r="CF110" s="147"/>
      <c r="CG110" s="147"/>
      <c r="CH110" s="147"/>
      <c r="CI110" s="147"/>
      <c r="CJ110" s="147"/>
      <c r="CN110" s="3389"/>
      <c r="CO110" s="3389"/>
      <c r="CP110" s="3389"/>
      <c r="CQ110" s="3389"/>
      <c r="CR110" s="148"/>
      <c r="CS110" s="148"/>
      <c r="CT110" s="148"/>
      <c r="DE110" s="178"/>
      <c r="DG110" s="161"/>
      <c r="DH110" s="161"/>
      <c r="DI110" s="161"/>
      <c r="DJ110" s="383"/>
      <c r="DK110" s="383"/>
      <c r="DL110" s="383"/>
      <c r="DM110" s="383"/>
      <c r="DN110" s="383"/>
      <c r="DO110" s="10"/>
      <c r="DP110" s="10"/>
      <c r="DQ110" s="10"/>
      <c r="DR110" s="10"/>
      <c r="DS110" s="10"/>
      <c r="DT110" s="10"/>
      <c r="DU110" s="10"/>
      <c r="DV110" s="10"/>
      <c r="DW110" s="10"/>
      <c r="DX110" s="10"/>
      <c r="DY110" s="10"/>
      <c r="DZ110" s="10"/>
      <c r="EA110" s="15"/>
      <c r="EB110" s="10"/>
      <c r="EC110" s="10"/>
      <c r="ED110" s="10"/>
      <c r="EE110" s="10"/>
      <c r="EF110" s="10"/>
      <c r="EG110" s="10"/>
      <c r="EH110" s="10"/>
      <c r="EI110" s="10"/>
      <c r="EJ110" s="10"/>
      <c r="EK110" s="10"/>
      <c r="EL110" s="10"/>
      <c r="EN110" s="10"/>
      <c r="EO110" s="10"/>
    </row>
    <row r="111" spans="2:146" s="28" customFormat="1" hidden="1">
      <c r="B111" s="2117"/>
      <c r="C111" s="1366"/>
      <c r="D111" s="1366"/>
      <c r="E111" s="1366"/>
      <c r="F111" s="1366"/>
      <c r="G111" s="1366"/>
      <c r="H111" s="2843"/>
      <c r="I111" s="2722"/>
      <c r="J111" s="2722"/>
      <c r="K111" s="2722"/>
      <c r="L111" s="2722"/>
      <c r="M111" s="2722"/>
      <c r="N111" s="2722"/>
      <c r="O111" s="2722"/>
      <c r="P111" s="2722"/>
      <c r="Q111" s="2722"/>
      <c r="R111" s="2722"/>
      <c r="S111" s="3532"/>
      <c r="T111" s="2722"/>
      <c r="U111" s="2722"/>
      <c r="V111" s="1366"/>
      <c r="W111" s="2722"/>
      <c r="Z111" s="808"/>
      <c r="AD111" s="147"/>
      <c r="AH111" s="147"/>
      <c r="AL111" s="147"/>
      <c r="AP111" s="147"/>
      <c r="AT111" s="147"/>
      <c r="AX111" s="147"/>
      <c r="BB111" s="147"/>
      <c r="BC111" s="636"/>
      <c r="BD111" s="636"/>
      <c r="BE111" s="636"/>
      <c r="BF111" s="892"/>
      <c r="BG111" s="636"/>
      <c r="BH111" s="636"/>
      <c r="BI111" s="636"/>
      <c r="BJ111" s="636"/>
      <c r="BK111" s="635"/>
      <c r="BL111" s="636"/>
      <c r="BM111" s="636"/>
      <c r="BN111" s="636"/>
      <c r="BO111" s="635"/>
      <c r="BP111" s="636"/>
      <c r="BQ111" s="636"/>
      <c r="BR111" s="636"/>
      <c r="BS111" s="635"/>
      <c r="BT111" s="636"/>
      <c r="BU111" s="636"/>
      <c r="BV111" s="892"/>
      <c r="BW111" s="636"/>
      <c r="BX111" s="636"/>
      <c r="BZ111" s="147"/>
      <c r="CB111" s="1448"/>
      <c r="CD111" s="147"/>
      <c r="CE111" s="147"/>
      <c r="CF111" s="147"/>
      <c r="CG111" s="147"/>
      <c r="CH111" s="147"/>
      <c r="CI111" s="147"/>
      <c r="CJ111" s="147"/>
      <c r="CN111" s="3389"/>
      <c r="CO111" s="3389"/>
      <c r="CP111" s="3389"/>
      <c r="CQ111" s="3389"/>
      <c r="CR111" s="148"/>
      <c r="CS111" s="148"/>
      <c r="CT111" s="148"/>
      <c r="DE111" s="178"/>
      <c r="DG111" s="161"/>
      <c r="DH111" s="161"/>
      <c r="DI111" s="161"/>
      <c r="DJ111" s="383"/>
      <c r="DK111" s="383"/>
      <c r="DL111" s="383"/>
      <c r="DM111" s="383"/>
      <c r="DN111" s="383"/>
      <c r="DO111" s="10"/>
      <c r="DP111" s="10"/>
      <c r="DQ111" s="10"/>
      <c r="DR111" s="10"/>
      <c r="DS111" s="10"/>
      <c r="DT111" s="10"/>
      <c r="DU111" s="10"/>
      <c r="DV111" s="10"/>
      <c r="DW111" s="10"/>
      <c r="DX111" s="10"/>
      <c r="DY111" s="10"/>
      <c r="DZ111" s="10"/>
      <c r="EA111" s="15"/>
      <c r="EB111" s="10"/>
      <c r="EC111" s="10"/>
      <c r="ED111" s="10"/>
      <c r="EE111" s="10"/>
      <c r="EF111" s="10"/>
      <c r="EG111" s="10"/>
      <c r="EH111" s="10"/>
      <c r="EI111" s="10"/>
      <c r="EJ111" s="10"/>
      <c r="EK111" s="10"/>
      <c r="EL111" s="10"/>
      <c r="EN111" s="10"/>
      <c r="EO111" s="10"/>
    </row>
    <row r="112" spans="2:146" hidden="1">
      <c r="B112" s="2118"/>
      <c r="H112" s="2844"/>
      <c r="I112" s="2762"/>
      <c r="J112" s="2762"/>
      <c r="K112" s="2762"/>
      <c r="L112" s="2762"/>
      <c r="M112" s="2762"/>
      <c r="N112" s="2762"/>
      <c r="O112" s="2762"/>
      <c r="P112" s="2762"/>
      <c r="Q112" s="2762"/>
      <c r="R112" s="2762"/>
      <c r="S112" s="2845"/>
      <c r="T112" s="2762"/>
      <c r="U112" s="2762"/>
      <c r="V112" s="10"/>
      <c r="W112" s="2762"/>
      <c r="Z112" s="2781"/>
      <c r="AB112" s="10"/>
      <c r="AD112" s="62"/>
      <c r="AH112" s="62"/>
      <c r="AL112" s="62"/>
      <c r="AP112" s="62"/>
      <c r="AT112" s="62"/>
      <c r="AX112" s="62"/>
      <c r="BB112" s="62"/>
      <c r="BF112" s="62"/>
      <c r="BK112" s="60"/>
      <c r="BO112" s="60"/>
      <c r="BS112" s="60"/>
      <c r="BV112" s="62"/>
      <c r="BY112" s="10"/>
      <c r="BZ112" s="62"/>
      <c r="CA112" s="10"/>
      <c r="CB112" s="10"/>
      <c r="CC112" s="10"/>
      <c r="CD112" s="62"/>
      <c r="CE112" s="62"/>
      <c r="CF112" s="62"/>
      <c r="CG112" s="62"/>
      <c r="CH112" s="62"/>
      <c r="CI112" s="62"/>
      <c r="CJ112" s="62"/>
      <c r="CK112" s="10"/>
      <c r="CL112" s="10"/>
      <c r="CM112" s="10"/>
      <c r="CT112" s="67"/>
      <c r="CU112" s="10"/>
      <c r="CV112" s="10"/>
      <c r="CW112" s="10"/>
      <c r="CX112" s="10"/>
      <c r="CY112" s="10"/>
      <c r="CZ112" s="10"/>
      <c r="DA112" s="10"/>
      <c r="DC112" s="10"/>
      <c r="EP112" s="26"/>
    </row>
    <row r="113" spans="2:146" hidden="1">
      <c r="B113" s="2109" t="s">
        <v>1189</v>
      </c>
      <c r="C113" s="135">
        <f t="shared" ref="C113:H113" si="263">(C86)*10^9/C109</f>
        <v>5062.2607922448233</v>
      </c>
      <c r="D113" s="135">
        <f t="shared" si="263"/>
        <v>5257.7331750010017</v>
      </c>
      <c r="E113" s="135">
        <f t="shared" si="263"/>
        <v>4270.2805320876369</v>
      </c>
      <c r="F113" s="135">
        <f t="shared" si="263"/>
        <v>4371.4918605374369</v>
      </c>
      <c r="G113" s="135">
        <f t="shared" si="263"/>
        <v>3899.5956981721665</v>
      </c>
      <c r="H113" s="2836">
        <f t="shared" si="263"/>
        <v>4969.0603538761934</v>
      </c>
      <c r="I113" s="2757">
        <f t="shared" ref="I113:M113" si="264">(I86)*10^9/I109</f>
        <v>3896.8323625592666</v>
      </c>
      <c r="J113" s="2757">
        <f t="shared" si="264"/>
        <v>4214.3727606448792</v>
      </c>
      <c r="K113" s="2757">
        <f t="shared" si="264"/>
        <v>4114.9824409595221</v>
      </c>
      <c r="L113" s="2757">
        <f t="shared" si="264"/>
        <v>4341.5676497790164</v>
      </c>
      <c r="M113" s="2757">
        <f t="shared" si="264"/>
        <v>4419.7695071036078</v>
      </c>
      <c r="N113" s="2763">
        <f t="shared" ref="N113:O113" si="265">(N86)*10^9/N109</f>
        <v>4648.3338006651329</v>
      </c>
      <c r="O113" s="2763">
        <f t="shared" si="265"/>
        <v>4876.6811591306641</v>
      </c>
      <c r="P113" s="2763">
        <f t="shared" ref="P113" si="266">(P86)*10^9/P109</f>
        <v>5072.8435199772121</v>
      </c>
      <c r="Q113" s="2757">
        <f ca="1">(Q86)*10^9/Q109</f>
        <v>5581.4557756258382</v>
      </c>
      <c r="R113" s="2757">
        <f ca="1">(R86)*10^9/R109</f>
        <v>5732.3524137897166</v>
      </c>
      <c r="S113" s="3539">
        <f ca="1">(S86)*10^9/S109</f>
        <v>5904.7144078209949</v>
      </c>
      <c r="T113" s="2757"/>
      <c r="U113" s="2763"/>
      <c r="V113" s="135">
        <f>(V86)*10^9/V109</f>
        <v>3725.5496405962526</v>
      </c>
      <c r="W113" s="2757">
        <f ca="1">(W86)*10^9/W109</f>
        <v>4625.318890320088</v>
      </c>
      <c r="Z113" s="2781"/>
      <c r="AB113" s="10"/>
      <c r="AD113" s="62"/>
      <c r="AH113" s="62"/>
      <c r="AL113" s="62"/>
      <c r="AP113" s="62"/>
      <c r="AT113" s="62"/>
      <c r="AX113" s="62"/>
      <c r="BB113" s="62"/>
      <c r="BF113" s="62"/>
      <c r="BK113" s="60"/>
      <c r="BO113" s="60"/>
      <c r="BS113" s="60"/>
      <c r="BV113" s="62"/>
      <c r="BY113" s="10"/>
      <c r="BZ113" s="62"/>
      <c r="CA113" s="10"/>
      <c r="CB113" s="10"/>
      <c r="CC113" s="10"/>
      <c r="CD113" s="62"/>
      <c r="CE113" s="62"/>
      <c r="CF113" s="62"/>
      <c r="CG113" s="62"/>
      <c r="CH113" s="62"/>
      <c r="CI113" s="62"/>
      <c r="CJ113" s="62"/>
      <c r="CK113" s="10"/>
      <c r="CL113" s="10"/>
      <c r="CM113" s="10"/>
      <c r="CT113" s="67"/>
      <c r="CU113" s="10"/>
      <c r="CV113" s="10"/>
      <c r="CW113" s="10"/>
      <c r="CX113" s="10"/>
      <c r="CY113" s="10"/>
      <c r="CZ113" s="10"/>
      <c r="DA113" s="10"/>
      <c r="DC113" s="10"/>
    </row>
    <row r="114" spans="2:146" hidden="1">
      <c r="B114" s="2110" t="s">
        <v>14</v>
      </c>
      <c r="C114" s="2096"/>
      <c r="D114" s="2096">
        <f>D113/C113-1</f>
        <v>3.861365322300947E-2</v>
      </c>
      <c r="E114" s="2096">
        <f>E113/D113-1</f>
        <v>-0.18780957687400646</v>
      </c>
      <c r="F114" s="2096">
        <f>F113/E113-1</f>
        <v>2.3701330085759142E-2</v>
      </c>
      <c r="G114" s="2096">
        <f>G113/F113-1</f>
        <v>-0.1079485396336195</v>
      </c>
      <c r="H114" s="2837">
        <f>H113/G113-1</f>
        <v>0.27425013731687886</v>
      </c>
      <c r="I114" s="2820">
        <f t="shared" ref="I114:P114" si="267">I113/H113-1</f>
        <v>-0.21578083479717014</v>
      </c>
      <c r="J114" s="2820">
        <f t="shared" si="267"/>
        <v>8.1486799672610521E-2</v>
      </c>
      <c r="K114" s="2820">
        <f t="shared" si="267"/>
        <v>-2.3583656532116692E-2</v>
      </c>
      <c r="L114" s="2820">
        <f t="shared" si="267"/>
        <v>5.5063469181331426E-2</v>
      </c>
      <c r="M114" s="2725">
        <f t="shared" si="267"/>
        <v>1.8012354898713001E-2</v>
      </c>
      <c r="N114" s="2584">
        <f t="shared" si="267"/>
        <v>5.1714075404649229E-2</v>
      </c>
      <c r="O114" s="2584">
        <f t="shared" si="267"/>
        <v>4.912456124232234E-2</v>
      </c>
      <c r="P114" s="2584">
        <f t="shared" si="267"/>
        <v>4.022456142724673E-2</v>
      </c>
      <c r="Q114" s="2820">
        <f ca="1">Q113/P113-1</f>
        <v>0.10026176712245816</v>
      </c>
      <c r="R114" s="2820">
        <f ca="1">R113/Q113-1</f>
        <v>2.7035354973668824E-2</v>
      </c>
      <c r="S114" s="3540">
        <f ca="1">S113/R113-1</f>
        <v>3.0068282894932574E-2</v>
      </c>
      <c r="T114" s="2820"/>
      <c r="U114" s="2584"/>
      <c r="V114" s="2096">
        <f>V113/N113-1</f>
        <v>-0.19851934040038999</v>
      </c>
      <c r="W114" s="2820">
        <f ca="1">W113/O113-1</f>
        <v>-5.1543716024974873E-2</v>
      </c>
      <c r="Z114" s="2781"/>
      <c r="AB114" s="10"/>
      <c r="AD114" s="62"/>
      <c r="AH114" s="62"/>
      <c r="AL114" s="62"/>
      <c r="AP114" s="62"/>
      <c r="AT114" s="62"/>
      <c r="AX114" s="62"/>
      <c r="BB114" s="62"/>
      <c r="BF114" s="62"/>
      <c r="BK114" s="60"/>
      <c r="BO114" s="60"/>
      <c r="BS114" s="60"/>
      <c r="BV114" s="62"/>
      <c r="BY114" s="10"/>
      <c r="BZ114" s="62"/>
      <c r="CA114" s="10"/>
      <c r="CB114" s="10"/>
      <c r="CC114" s="10"/>
      <c r="CD114" s="62"/>
      <c r="CE114" s="62"/>
      <c r="CF114" s="62"/>
      <c r="CG114" s="62"/>
      <c r="CH114" s="62"/>
      <c r="CI114" s="62"/>
      <c r="CJ114" s="62"/>
      <c r="CK114" s="10"/>
      <c r="CL114" s="10"/>
      <c r="CM114" s="10"/>
      <c r="CT114" s="67"/>
      <c r="CU114" s="10"/>
      <c r="CV114" s="10"/>
      <c r="CW114" s="10"/>
      <c r="CX114" s="10"/>
      <c r="CY114" s="10"/>
      <c r="CZ114" s="10"/>
      <c r="DA114" s="10"/>
      <c r="DC114" s="10"/>
    </row>
    <row r="115" spans="2:146" hidden="1">
      <c r="B115" s="2122"/>
      <c r="C115" s="2123"/>
      <c r="D115" s="2123"/>
      <c r="E115" s="2123"/>
      <c r="F115" s="2123"/>
      <c r="G115" s="2123"/>
      <c r="H115" s="2846"/>
      <c r="I115" s="2764"/>
      <c r="J115" s="2764"/>
      <c r="K115" s="2764"/>
      <c r="L115" s="2764"/>
      <c r="M115" s="2764"/>
      <c r="N115" s="2764"/>
      <c r="O115" s="2764"/>
      <c r="P115" s="2764"/>
      <c r="Q115" s="2764"/>
      <c r="R115" s="2764"/>
      <c r="S115" s="3541"/>
      <c r="V115" s="2124"/>
      <c r="W115" s="2764"/>
      <c r="Z115" s="2101"/>
      <c r="AD115" s="62"/>
      <c r="AH115" s="62"/>
      <c r="AL115" s="62"/>
      <c r="AP115" s="62"/>
      <c r="AT115" s="62"/>
      <c r="AX115" s="62"/>
      <c r="BB115" s="62"/>
      <c r="BF115" s="62"/>
      <c r="BV115" s="62"/>
      <c r="BY115" s="10"/>
      <c r="BZ115" s="62"/>
      <c r="CA115" s="10"/>
      <c r="CB115" s="10"/>
      <c r="CC115" s="10"/>
      <c r="CD115" s="62"/>
      <c r="CE115" s="62"/>
      <c r="CF115" s="62"/>
      <c r="CG115" s="62"/>
      <c r="CH115" s="62"/>
      <c r="CI115" s="62"/>
      <c r="CJ115" s="62"/>
      <c r="CK115" s="10"/>
      <c r="CL115" s="10"/>
      <c r="CM115" s="10"/>
      <c r="CT115" s="67"/>
      <c r="CU115" s="10"/>
      <c r="CV115" s="10"/>
      <c r="CW115" s="10"/>
      <c r="CX115" s="10"/>
      <c r="CY115" s="10"/>
      <c r="CZ115" s="10"/>
      <c r="DA115" s="10"/>
      <c r="DC115" s="10"/>
    </row>
    <row r="116" spans="2:146">
      <c r="B116" s="2118"/>
      <c r="H116" s="2846"/>
      <c r="I116" s="2764"/>
      <c r="J116" s="2764"/>
      <c r="K116" s="2764"/>
      <c r="L116" s="2764"/>
      <c r="M116" s="2764"/>
      <c r="N116" s="2764"/>
      <c r="O116" s="2764"/>
      <c r="P116" s="2764"/>
      <c r="Q116" s="2764"/>
      <c r="R116" s="2764"/>
      <c r="S116" s="3541"/>
      <c r="W116" s="2764"/>
      <c r="Z116" s="2101"/>
      <c r="AD116" s="62"/>
      <c r="AH116" s="62"/>
      <c r="AL116" s="62"/>
      <c r="AP116" s="62"/>
      <c r="AT116" s="62"/>
      <c r="AX116" s="62"/>
      <c r="BB116" s="62"/>
      <c r="BF116" s="62"/>
      <c r="BV116" s="62"/>
      <c r="BY116" s="10"/>
      <c r="BZ116" s="62"/>
      <c r="CA116" s="10"/>
      <c r="CB116" s="10"/>
      <c r="CC116" s="10"/>
      <c r="CD116" s="62"/>
      <c r="CE116" s="62"/>
      <c r="CF116" s="62"/>
      <c r="CG116" s="62"/>
      <c r="CH116" s="62"/>
      <c r="CI116" s="62"/>
      <c r="CJ116" s="62"/>
      <c r="CK116" s="10"/>
      <c r="CL116" s="10"/>
      <c r="CM116" s="10"/>
      <c r="CT116" s="67"/>
      <c r="CU116" s="10"/>
      <c r="CV116" s="10"/>
      <c r="CW116" s="10"/>
      <c r="CX116" s="10"/>
      <c r="CY116" s="10"/>
      <c r="CZ116" s="10"/>
      <c r="DA116" s="10"/>
      <c r="DC116" s="10"/>
    </row>
    <row r="117" spans="2:146">
      <c r="B117" s="2119" t="s">
        <v>979</v>
      </c>
      <c r="C117" s="179">
        <f t="shared" ref="C117:L117" si="268">C55*10^9/C91</f>
        <v>5624.7342136053603</v>
      </c>
      <c r="D117" s="179">
        <f t="shared" si="268"/>
        <v>5841.9257500011117</v>
      </c>
      <c r="E117" s="179">
        <f t="shared" si="268"/>
        <v>4744.7561467640407</v>
      </c>
      <c r="F117" s="179">
        <f t="shared" si="268"/>
        <v>4857.213178374931</v>
      </c>
      <c r="G117" s="179">
        <f t="shared" si="268"/>
        <v>4332.8841090801852</v>
      </c>
      <c r="H117" s="2847">
        <f t="shared" si="268"/>
        <v>5521.1781709735496</v>
      </c>
      <c r="I117" s="2765">
        <f t="shared" si="268"/>
        <v>4269.9178920555323</v>
      </c>
      <c r="J117" s="2765">
        <f t="shared" si="268"/>
        <v>4621.9653881015802</v>
      </c>
      <c r="K117" s="2765">
        <f t="shared" si="268"/>
        <v>4512.8370056942449</v>
      </c>
      <c r="L117" s="2765">
        <f t="shared" si="268"/>
        <v>4779.2452193561066</v>
      </c>
      <c r="M117" s="2765">
        <f t="shared" ref="M117" si="269">M55*10^9/M91</f>
        <v>4840.4557619120287</v>
      </c>
      <c r="N117" s="2765">
        <f t="shared" ref="N117:O117" si="270">N55*10^9/N91</f>
        <v>5090.8258933684465</v>
      </c>
      <c r="O117" s="2765">
        <f t="shared" si="270"/>
        <v>5340.8575668442509</v>
      </c>
      <c r="P117" s="3467">
        <f>P55*10^9/P91</f>
        <v>5555.6914810219951</v>
      </c>
      <c r="Q117" s="2765">
        <f ca="1">Q55*10^9/Q91</f>
        <v>6523.5352538373845</v>
      </c>
      <c r="R117" s="2765">
        <f ca="1">R55*10^9/R91</f>
        <v>7369.8914796189347</v>
      </c>
      <c r="S117" s="3546">
        <f ca="1">S55*10^9/S91</f>
        <v>8350.640607686375</v>
      </c>
      <c r="T117" s="2765"/>
      <c r="U117" s="2765"/>
      <c r="V117" s="179">
        <f>V55*10^9/V91</f>
        <v>4714.129265810072</v>
      </c>
      <c r="W117" s="2765">
        <f ca="1">W55*10^9/W91</f>
        <v>4593.3401882526814</v>
      </c>
      <c r="Z117" s="2781"/>
      <c r="AA117" s="102"/>
      <c r="AB117" s="102"/>
      <c r="AC117" s="102"/>
      <c r="AD117" s="62"/>
      <c r="AH117" s="62"/>
      <c r="AI117" s="102"/>
      <c r="AJ117" s="102"/>
      <c r="AK117" s="102"/>
      <c r="AL117" s="103"/>
      <c r="AM117" s="102"/>
      <c r="AN117" s="102"/>
      <c r="AO117" s="102"/>
      <c r="AP117" s="103"/>
      <c r="AQ117" s="102"/>
      <c r="AR117" s="102"/>
      <c r="AS117" s="102"/>
      <c r="AT117" s="103"/>
      <c r="AU117" s="102"/>
      <c r="AV117" s="102"/>
      <c r="AW117" s="102"/>
      <c r="AX117" s="103"/>
      <c r="AY117" s="102"/>
      <c r="AZ117" s="102"/>
      <c r="BA117" s="102"/>
      <c r="BB117" s="62"/>
      <c r="BF117" s="62"/>
      <c r="BK117" s="60"/>
      <c r="BO117" s="60"/>
      <c r="BS117" s="60"/>
      <c r="BV117" s="62"/>
      <c r="BY117" s="10"/>
      <c r="BZ117" s="62"/>
      <c r="CA117" s="10"/>
      <c r="CB117" s="10"/>
      <c r="CC117" s="10"/>
      <c r="CD117" s="62"/>
      <c r="CE117" s="62"/>
      <c r="CF117" s="62"/>
      <c r="CG117" s="62"/>
      <c r="CH117" s="62"/>
      <c r="CI117" s="62"/>
      <c r="CJ117" s="62"/>
      <c r="CK117" s="10"/>
      <c r="CL117" s="10"/>
      <c r="CM117" s="10"/>
      <c r="CT117" s="67"/>
      <c r="CU117" s="10"/>
      <c r="CV117" s="10"/>
      <c r="CW117" s="10"/>
      <c r="CX117" s="10"/>
      <c r="CY117" s="10"/>
      <c r="CZ117" s="10"/>
      <c r="DA117" s="10"/>
      <c r="DC117" s="10"/>
      <c r="EP117" s="28"/>
    </row>
    <row r="118" spans="2:146" ht="12" customHeight="1">
      <c r="B118" s="2118" t="s">
        <v>988</v>
      </c>
      <c r="C118" s="189">
        <f t="shared" ref="C118:H118" si="271">(C120*C91)/10^9</f>
        <v>547.69766600000003</v>
      </c>
      <c r="D118" s="189">
        <f t="shared" si="271"/>
        <v>825.60526500000003</v>
      </c>
      <c r="E118" s="189">
        <f t="shared" si="271"/>
        <v>687.95320000000004</v>
      </c>
      <c r="F118" s="189">
        <f t="shared" si="271"/>
        <v>795.06327999999996</v>
      </c>
      <c r="G118" s="189">
        <f t="shared" si="271"/>
        <v>918.85336800000005</v>
      </c>
      <c r="H118" s="2848">
        <f t="shared" si="271"/>
        <v>1327.4027625000001</v>
      </c>
      <c r="I118" s="2766">
        <v>1413.854</v>
      </c>
      <c r="J118" s="2766">
        <v>1294.8978999999999</v>
      </c>
      <c r="K118" s="2766">
        <v>1465.5730000000001</v>
      </c>
      <c r="L118" s="2766">
        <v>1696.5840000000001</v>
      </c>
      <c r="M118" s="2766">
        <v>2011.223</v>
      </c>
      <c r="N118" s="2766">
        <v>2374.3000000000002</v>
      </c>
      <c r="O118" s="2766">
        <v>3000</v>
      </c>
      <c r="P118" s="2766">
        <v>3000</v>
      </c>
      <c r="Q118" s="2766">
        <v>4000</v>
      </c>
      <c r="R118" s="2766">
        <v>4000</v>
      </c>
      <c r="S118" s="3547">
        <v>4000</v>
      </c>
      <c r="T118" s="2746"/>
      <c r="U118" s="2766"/>
      <c r="V118" s="189">
        <f>V55*V119</f>
        <v>2321.9573980097825</v>
      </c>
      <c r="W118" s="2746">
        <f ca="1">W55*W119</f>
        <v>2987.7880044333424</v>
      </c>
      <c r="Z118" s="2101"/>
      <c r="AD118" s="62"/>
      <c r="AH118" s="62"/>
      <c r="AL118" s="62"/>
      <c r="AP118" s="62"/>
      <c r="AT118" s="62"/>
      <c r="AX118" s="62"/>
      <c r="BB118" s="62"/>
      <c r="BF118" s="62"/>
      <c r="BV118" s="62"/>
      <c r="BY118" s="10"/>
      <c r="BZ118" s="62"/>
      <c r="CA118" s="10"/>
      <c r="CB118" s="10"/>
      <c r="CC118" s="10"/>
      <c r="CD118" s="62"/>
      <c r="CE118" s="62"/>
      <c r="CF118" s="62"/>
      <c r="CG118" s="62"/>
      <c r="CH118" s="62"/>
      <c r="CI118" s="62"/>
      <c r="CJ118" s="62"/>
      <c r="CK118" s="10"/>
      <c r="CL118" s="10"/>
      <c r="CM118" s="10"/>
      <c r="CT118" s="67"/>
      <c r="CU118" s="10"/>
      <c r="CV118" s="10"/>
      <c r="CW118" s="10"/>
      <c r="CX118" s="10"/>
      <c r="CY118" s="10"/>
      <c r="CZ118" s="10"/>
      <c r="DA118" s="10"/>
      <c r="DC118" s="10"/>
      <c r="DO118" s="17"/>
      <c r="DP118" s="18"/>
      <c r="DQ118" s="15"/>
      <c r="DR118" s="15"/>
      <c r="DS118" s="15"/>
      <c r="DT118" s="15"/>
      <c r="DU118" s="15"/>
      <c r="DV118" s="15"/>
      <c r="DW118" s="15"/>
      <c r="DX118" s="15"/>
      <c r="DY118" s="15"/>
      <c r="DZ118" s="15"/>
      <c r="EB118" s="15"/>
      <c r="EC118" s="15"/>
      <c r="ED118" s="15"/>
      <c r="EE118" s="15"/>
      <c r="EG118" s="15"/>
      <c r="EH118" s="15"/>
      <c r="EI118" s="15"/>
      <c r="EJ118" s="15"/>
      <c r="EK118" s="15"/>
    </row>
    <row r="119" spans="2:146">
      <c r="B119" s="2120" t="s">
        <v>406</v>
      </c>
      <c r="C119" s="86">
        <f t="shared" ref="C119:M119" si="272">C118/C55</f>
        <v>0.35557235667461584</v>
      </c>
      <c r="D119" s="86">
        <f t="shared" si="272"/>
        <v>0.5135292929731996</v>
      </c>
      <c r="E119" s="86">
        <f t="shared" si="272"/>
        <v>0.42151797439875072</v>
      </c>
      <c r="F119" s="86">
        <f t="shared" si="272"/>
        <v>0.41175874448012934</v>
      </c>
      <c r="G119" s="86">
        <f t="shared" si="272"/>
        <v>0.4615863128692298</v>
      </c>
      <c r="H119" s="2849">
        <f t="shared" si="272"/>
        <v>0.4528019061480813</v>
      </c>
      <c r="I119" s="2717">
        <f t="shared" si="272"/>
        <v>0.53960214114422778</v>
      </c>
      <c r="J119" s="2717">
        <f t="shared" si="272"/>
        <v>0.41299942412876245</v>
      </c>
      <c r="K119" s="2717">
        <f t="shared" si="272"/>
        <v>0.41423679883978193</v>
      </c>
      <c r="L119" s="2717">
        <f t="shared" si="272"/>
        <v>0.3911512318902598</v>
      </c>
      <c r="M119" s="2717">
        <f t="shared" si="272"/>
        <v>0.37875364794879163</v>
      </c>
      <c r="N119" s="2717">
        <f t="shared" ref="N119:O119" si="273">N118/N55</f>
        <v>0.36724362951782208</v>
      </c>
      <c r="O119" s="2717">
        <f t="shared" si="273"/>
        <v>0.3818363016863161</v>
      </c>
      <c r="P119" s="2717">
        <f t="shared" ref="P119" si="274">P118/P55</f>
        <v>0.31698534259775818</v>
      </c>
      <c r="Q119" s="2829">
        <f>P119</f>
        <v>0.31698534259775818</v>
      </c>
      <c r="R119" s="2829">
        <f>Q119</f>
        <v>0.31698534259775818</v>
      </c>
      <c r="S119" s="3548">
        <f>R119</f>
        <v>0.31698534259775818</v>
      </c>
      <c r="T119" s="2829"/>
      <c r="U119" s="2717"/>
      <c r="V119" s="1202">
        <f>AVERAGE(K119:N119)</f>
        <v>0.38784632704916389</v>
      </c>
      <c r="W119" s="2829">
        <f>O119</f>
        <v>0.3818363016863161</v>
      </c>
      <c r="Z119" s="3330"/>
      <c r="AA119" s="328" t="e">
        <f>#REF!*20%*10000</f>
        <v>#REF!</v>
      </c>
      <c r="AB119" s="328" t="e">
        <f>#REF!*20%*10000</f>
        <v>#REF!</v>
      </c>
      <c r="AC119" s="72" t="e">
        <f>#REF!*20%*10000</f>
        <v>#REF!</v>
      </c>
      <c r="AD119" s="3330" t="e">
        <f>#REF!*20%*10000</f>
        <v>#REF!</v>
      </c>
      <c r="AE119" s="328" t="e">
        <f>#REF!*20%*10000</f>
        <v>#REF!</v>
      </c>
      <c r="AF119" s="328" t="e">
        <f>#REF!*20%*10000</f>
        <v>#REF!</v>
      </c>
      <c r="AG119" s="328" t="e">
        <f>#REF!*20%*10000</f>
        <v>#REF!</v>
      </c>
      <c r="AH119" s="3330" t="e">
        <f>#REF!*20%*10000</f>
        <v>#REF!</v>
      </c>
      <c r="AI119" s="328" t="e">
        <f>#REF!*20%*10000</f>
        <v>#REF!</v>
      </c>
      <c r="AJ119" s="328" t="e">
        <f>#REF!*20%*10000</f>
        <v>#REF!</v>
      </c>
      <c r="AK119" s="72" t="e">
        <f>#REF!*20%*10000</f>
        <v>#REF!</v>
      </c>
      <c r="AL119" s="3330" t="e">
        <f>#REF!*20%*10000</f>
        <v>#REF!</v>
      </c>
      <c r="AM119" s="328" t="e">
        <f>#REF!*20%*10000</f>
        <v>#REF!</v>
      </c>
      <c r="AN119" s="328" t="e">
        <f>#REF!*20%*10000</f>
        <v>#REF!</v>
      </c>
      <c r="AO119" s="328" t="e">
        <f>#REF!*20%*10000</f>
        <v>#REF!</v>
      </c>
      <c r="AP119" s="3330" t="e">
        <f>#REF!*20%*10000</f>
        <v>#REF!</v>
      </c>
      <c r="AQ119" s="328" t="e">
        <f>#REF!*20%*10000</f>
        <v>#REF!</v>
      </c>
      <c r="AR119" s="328" t="e">
        <f>#REF!*20%*10000</f>
        <v>#REF!</v>
      </c>
      <c r="AS119" s="72" t="e">
        <f>#REF!*20%*10000</f>
        <v>#REF!</v>
      </c>
      <c r="AT119" s="3330" t="e">
        <f>#REF!*20%*10000</f>
        <v>#REF!</v>
      </c>
      <c r="AU119" s="328">
        <f>A112*20%*10000</f>
        <v>0</v>
      </c>
      <c r="AV119" s="328" t="e">
        <f t="shared" ref="AV119:BF119" si="275">B90*20%*10000</f>
        <v>#VALUE!</v>
      </c>
      <c r="AW119" s="72">
        <f t="shared" si="275"/>
        <v>547697666000</v>
      </c>
      <c r="AX119" s="3330">
        <f t="shared" si="275"/>
        <v>547697666000</v>
      </c>
      <c r="AY119" s="328">
        <f t="shared" si="275"/>
        <v>550403510000</v>
      </c>
      <c r="AZ119" s="328">
        <f t="shared" si="275"/>
        <v>687953200000</v>
      </c>
      <c r="BA119" s="72">
        <f t="shared" si="275"/>
        <v>795063280000</v>
      </c>
      <c r="BB119" s="3330">
        <f t="shared" si="275"/>
        <v>918853368000.00012</v>
      </c>
      <c r="BC119" s="328">
        <f t="shared" si="275"/>
        <v>1061922210000</v>
      </c>
      <c r="BD119" s="328">
        <f t="shared" si="275"/>
        <v>1227273544000</v>
      </c>
      <c r="BE119" s="328">
        <f t="shared" si="275"/>
        <v>1356717376000</v>
      </c>
      <c r="BF119" s="3330">
        <f t="shared" si="275"/>
        <v>1567974972000.0002</v>
      </c>
      <c r="BG119" s="74"/>
      <c r="BH119" s="74"/>
      <c r="BI119" s="74"/>
      <c r="BJ119" s="74"/>
      <c r="BV119" s="62"/>
      <c r="BY119" s="10"/>
      <c r="BZ119" s="62"/>
      <c r="CA119" s="10"/>
      <c r="CB119" s="10"/>
      <c r="CC119" s="10"/>
      <c r="CD119" s="62"/>
      <c r="CE119" s="62"/>
      <c r="CF119" s="62"/>
      <c r="CG119" s="62"/>
      <c r="CH119" s="62"/>
      <c r="CI119" s="62"/>
      <c r="CJ119" s="62"/>
      <c r="CK119" s="10"/>
      <c r="CL119" s="10"/>
      <c r="CM119" s="10"/>
      <c r="CT119" s="67"/>
      <c r="CU119" s="10"/>
      <c r="CV119" s="10"/>
      <c r="CW119" s="10"/>
      <c r="CX119" s="10"/>
      <c r="CY119" s="10"/>
      <c r="CZ119" s="10"/>
      <c r="DA119" s="10"/>
      <c r="DC119" s="10"/>
    </row>
    <row r="120" spans="2:146">
      <c r="B120" s="2119" t="s">
        <v>983</v>
      </c>
      <c r="C120" s="803">
        <v>2000</v>
      </c>
      <c r="D120" s="803">
        <v>3000</v>
      </c>
      <c r="E120" s="803">
        <v>2000</v>
      </c>
      <c r="F120" s="803">
        <v>2000</v>
      </c>
      <c r="G120" s="803">
        <v>2000</v>
      </c>
      <c r="H120" s="2850">
        <v>2500</v>
      </c>
      <c r="I120" s="2728">
        <v>2000</v>
      </c>
      <c r="J120" s="2728">
        <v>2000</v>
      </c>
      <c r="K120" s="2728">
        <v>2000</v>
      </c>
      <c r="L120" s="2728">
        <v>2000</v>
      </c>
      <c r="M120" s="2728">
        <v>2000</v>
      </c>
      <c r="N120" s="2728">
        <v>2000</v>
      </c>
      <c r="O120" s="2728">
        <v>2000</v>
      </c>
      <c r="P120" s="2728">
        <v>2000</v>
      </c>
      <c r="Q120" s="2728">
        <v>2000</v>
      </c>
      <c r="R120" s="2728">
        <v>2000</v>
      </c>
      <c r="S120" s="3549">
        <v>2000</v>
      </c>
      <c r="T120" s="2728"/>
      <c r="U120" s="2728"/>
      <c r="V120" s="786">
        <f>(V118*10^9)/V90</f>
        <v>1828.357720979408</v>
      </c>
      <c r="W120" s="2728">
        <f ca="1">(W118*10^9)/W90</f>
        <v>2031.0318580796293</v>
      </c>
      <c r="Z120" s="3331"/>
      <c r="AD120" s="62"/>
      <c r="AH120" s="62"/>
      <c r="AL120" s="62"/>
      <c r="AP120" s="62"/>
      <c r="AT120" s="62"/>
      <c r="AX120" s="62"/>
      <c r="BB120" s="62"/>
      <c r="BF120" s="62"/>
      <c r="BV120" s="62"/>
      <c r="BY120" s="10"/>
      <c r="BZ120" s="62"/>
      <c r="CA120" s="10"/>
      <c r="CB120" s="10"/>
      <c r="CC120" s="10"/>
      <c r="CD120" s="62"/>
      <c r="CE120" s="62"/>
      <c r="CF120" s="62"/>
      <c r="CG120" s="62"/>
      <c r="CH120" s="62"/>
      <c r="CI120" s="62"/>
      <c r="CJ120" s="62"/>
      <c r="CK120" s="10"/>
      <c r="CL120" s="10"/>
      <c r="CM120" s="10"/>
      <c r="CT120" s="67"/>
      <c r="CU120" s="10"/>
      <c r="CV120" s="10"/>
      <c r="CW120" s="10"/>
      <c r="CX120" s="10"/>
      <c r="CY120" s="10"/>
      <c r="CZ120" s="10"/>
      <c r="DA120" s="10"/>
      <c r="DC120" s="10"/>
      <c r="DO120" s="28"/>
      <c r="DP120" s="28"/>
      <c r="DQ120" s="28"/>
      <c r="DR120" s="28"/>
      <c r="DS120" s="28"/>
      <c r="DT120" s="28"/>
      <c r="DU120" s="28"/>
      <c r="DV120" s="28"/>
      <c r="DW120" s="28"/>
      <c r="DX120" s="28"/>
      <c r="DY120" s="28"/>
      <c r="DZ120" s="28"/>
      <c r="EB120" s="28"/>
      <c r="EC120" s="28"/>
      <c r="ED120" s="28"/>
      <c r="EE120" s="28"/>
      <c r="EF120" s="28"/>
      <c r="EG120" s="28"/>
      <c r="EH120" s="28"/>
      <c r="EI120" s="28"/>
      <c r="EJ120" s="28"/>
      <c r="EK120" s="28"/>
      <c r="EL120" s="28"/>
      <c r="EN120" s="28"/>
      <c r="EO120" s="28"/>
      <c r="EP120" s="28"/>
    </row>
    <row r="121" spans="2:146" s="28" customFormat="1">
      <c r="B121" s="2120" t="s">
        <v>984</v>
      </c>
      <c r="C121" s="184">
        <f t="shared" ref="C121:M121" si="276">C120/C94</f>
        <v>0.39508039630512881</v>
      </c>
      <c r="D121" s="184">
        <f t="shared" si="276"/>
        <v>0.57058810330355503</v>
      </c>
      <c r="E121" s="184">
        <f t="shared" si="276"/>
        <v>0.46835330488750077</v>
      </c>
      <c r="F121" s="184">
        <f t="shared" si="276"/>
        <v>0.45750971608903268</v>
      </c>
      <c r="G121" s="184">
        <f t="shared" si="276"/>
        <v>0.51287368096581076</v>
      </c>
      <c r="H121" s="2851">
        <f t="shared" si="276"/>
        <v>0.50311322905342371</v>
      </c>
      <c r="I121" s="2830">
        <f t="shared" si="276"/>
        <v>0.51323737177302864</v>
      </c>
      <c r="J121" s="2830">
        <f t="shared" si="276"/>
        <v>0.47456646898362209</v>
      </c>
      <c r="K121" s="2830">
        <f t="shared" si="276"/>
        <v>0.48602880539476728</v>
      </c>
      <c r="L121" s="2830">
        <f t="shared" si="276"/>
        <v>0.46066309714229581</v>
      </c>
      <c r="M121" s="2716">
        <f t="shared" si="276"/>
        <v>0.45251228526409132</v>
      </c>
      <c r="N121" s="2716">
        <f t="shared" ref="N121:O121" si="277">N120/N94</f>
        <v>0.43025743649882531</v>
      </c>
      <c r="O121" s="2716">
        <f t="shared" si="277"/>
        <v>0.41011498081136138</v>
      </c>
      <c r="P121" s="2716">
        <f t="shared" ref="P121" si="278">P120/P94</f>
        <v>0.39425617963573756</v>
      </c>
      <c r="Q121" s="2830">
        <f ca="1">Q120/Q94</f>
        <v>0.32575403369430206</v>
      </c>
      <c r="R121" s="2830">
        <f ca="1">R120/R94</f>
        <v>0.28834453380504715</v>
      </c>
      <c r="S121" s="3550">
        <f ca="1">S120/S94</f>
        <v>0.2544796288955945</v>
      </c>
      <c r="T121" s="2830"/>
      <c r="U121" s="2716"/>
      <c r="V121" s="184">
        <f>V120/V94</f>
        <v>0.4267457786517922</v>
      </c>
      <c r="W121" s="2830">
        <f ca="1">W120/W94</f>
        <v>0.44216883027168929</v>
      </c>
      <c r="Z121" s="808"/>
      <c r="AA121" s="187"/>
      <c r="AB121" s="186"/>
      <c r="AC121" s="187"/>
      <c r="AD121" s="188"/>
      <c r="AE121" s="187"/>
      <c r="AF121" s="187"/>
      <c r="AG121" s="187"/>
      <c r="AH121" s="188"/>
      <c r="AI121" s="187"/>
      <c r="AJ121" s="187"/>
      <c r="AK121" s="187"/>
      <c r="AL121" s="188"/>
      <c r="AM121" s="187"/>
      <c r="AN121" s="187"/>
      <c r="AO121" s="187"/>
      <c r="AP121" s="188"/>
      <c r="AQ121" s="187"/>
      <c r="AR121" s="187"/>
      <c r="AS121" s="187"/>
      <c r="AT121" s="188"/>
      <c r="AU121" s="187"/>
      <c r="AV121" s="187"/>
      <c r="AW121" s="187"/>
      <c r="AX121" s="188"/>
      <c r="AY121" s="187"/>
      <c r="AZ121" s="187"/>
      <c r="BA121" s="187"/>
      <c r="BB121" s="188"/>
      <c r="BC121" s="187"/>
      <c r="BD121" s="187"/>
      <c r="BE121" s="187"/>
      <c r="BF121" s="188"/>
      <c r="BG121" s="187"/>
      <c r="BH121" s="187"/>
      <c r="BI121" s="187"/>
      <c r="BJ121" s="187"/>
      <c r="BK121" s="185"/>
      <c r="BL121" s="187"/>
      <c r="BM121" s="187"/>
      <c r="BN121" s="187"/>
      <c r="BO121" s="185"/>
      <c r="BP121" s="187"/>
      <c r="BQ121" s="187"/>
      <c r="BR121" s="187"/>
      <c r="BS121" s="185"/>
      <c r="BT121" s="187"/>
      <c r="BU121" s="187"/>
      <c r="BV121" s="188"/>
      <c r="BW121" s="187"/>
      <c r="BX121" s="187"/>
      <c r="BY121" s="187"/>
      <c r="BZ121" s="188"/>
      <c r="CA121" s="187"/>
      <c r="CB121" s="187"/>
      <c r="CC121" s="187"/>
      <c r="CD121" s="188"/>
      <c r="CE121" s="147"/>
      <c r="CF121" s="147"/>
      <c r="CG121" s="147"/>
      <c r="CH121" s="147"/>
      <c r="CI121" s="147"/>
      <c r="CJ121" s="147"/>
      <c r="CN121" s="3389"/>
      <c r="CO121" s="3389"/>
      <c r="CP121" s="3389"/>
      <c r="CQ121" s="3389"/>
      <c r="CR121" s="148"/>
      <c r="CS121" s="2129"/>
      <c r="CT121" s="2129"/>
      <c r="DE121" s="178"/>
      <c r="DG121" s="83"/>
      <c r="DH121" s="83"/>
      <c r="DI121" s="83"/>
      <c r="DJ121" s="84"/>
      <c r="DK121" s="84"/>
      <c r="DL121" s="84"/>
      <c r="DM121" s="84"/>
      <c r="DN121" s="84"/>
      <c r="DO121" s="10"/>
      <c r="DP121" s="10"/>
      <c r="DQ121" s="10"/>
      <c r="DR121" s="10"/>
      <c r="DS121" s="10"/>
      <c r="DT121" s="10"/>
      <c r="DU121" s="10"/>
      <c r="DV121" s="10"/>
      <c r="DW121" s="10"/>
      <c r="DX121" s="10"/>
      <c r="DY121" s="10"/>
      <c r="DZ121" s="10"/>
      <c r="EA121" s="15"/>
      <c r="EB121" s="10"/>
      <c r="EC121" s="10"/>
      <c r="ED121" s="10"/>
      <c r="EE121" s="10"/>
      <c r="EF121" s="10"/>
      <c r="EG121" s="10"/>
      <c r="EH121" s="10"/>
      <c r="EI121" s="10"/>
      <c r="EJ121" s="10"/>
      <c r="EK121" s="10"/>
      <c r="EL121" s="10"/>
      <c r="EN121" s="10"/>
      <c r="EO121" s="10"/>
    </row>
    <row r="122" spans="2:146">
      <c r="B122" s="2118" t="s">
        <v>978</v>
      </c>
      <c r="C122" s="189">
        <f>BS!C76*10^9/PL!$H$91</f>
        <v>11642.589274854699</v>
      </c>
      <c r="D122" s="189">
        <f>BS!D76*10^9/PL!$H$91</f>
        <v>13576.634138713416</v>
      </c>
      <c r="E122" s="189">
        <f>BS!E76*10^9/PL!$H$91</f>
        <v>14903.813042614485</v>
      </c>
      <c r="F122" s="189">
        <f>BS!F76*10^9/PL!$H$91</f>
        <v>16161.217884417352</v>
      </c>
      <c r="G122" s="189">
        <f>BS!G76*10^9/PL!$H$91</f>
        <v>17939.398558915163</v>
      </c>
      <c r="H122" s="2848">
        <f>BS!H76*10^9/H91</f>
        <v>21525.099572738007</v>
      </c>
      <c r="I122" s="2746">
        <f>BS!I76*10^9/I91</f>
        <v>20326.551479731075</v>
      </c>
      <c r="J122" s="2746">
        <f>BS!J76*10^9/J91</f>
        <v>20585.279141652267</v>
      </c>
      <c r="K122" s="2746">
        <f>BS!K76*10^9/K91</f>
        <v>20083.959957881267</v>
      </c>
      <c r="L122" s="2746">
        <f>BS!L76*10^9/L91</f>
        <v>19768.510267121997</v>
      </c>
      <c r="M122" s="2746">
        <f>BS!M76*10^9/M91</f>
        <v>19185.012425217719</v>
      </c>
      <c r="N122" s="2746">
        <f>BS!N76*10^9/N91</f>
        <v>19665.171999231869</v>
      </c>
      <c r="O122" s="2746">
        <f>BS!O76*10^9/O91</f>
        <v>20253.448342667816</v>
      </c>
      <c r="P122" s="2746">
        <f>BS!P76*10^9/P91</f>
        <v>21418.382968014022</v>
      </c>
      <c r="Q122" s="2746">
        <f ca="1">BS!Q76*10^9/Q91</f>
        <v>25209.887586224428</v>
      </c>
      <c r="R122" s="2746">
        <f ca="1">BS!R76*10^9/R91</f>
        <v>29797.937309339271</v>
      </c>
      <c r="S122" s="3551">
        <f ca="1">BS!S76*10^9/S91</f>
        <v>35309.015531925521</v>
      </c>
      <c r="T122" s="2746"/>
      <c r="U122" s="2746"/>
      <c r="V122" s="189" t="e">
        <f>BS!W76*10^9/#REF!</f>
        <v>#REF!</v>
      </c>
      <c r="W122" s="2746">
        <f>BS!X76*10^9/W91</f>
        <v>0</v>
      </c>
      <c r="BY122" s="10"/>
      <c r="BZ122" s="62"/>
      <c r="CA122" s="10"/>
      <c r="CB122" s="10"/>
      <c r="CC122" s="10"/>
      <c r="CD122" s="62"/>
      <c r="CE122" s="62"/>
      <c r="CF122" s="62"/>
      <c r="CG122" s="62"/>
      <c r="CH122" s="62"/>
      <c r="CI122" s="62"/>
      <c r="CJ122" s="62"/>
      <c r="CK122" s="10"/>
      <c r="CL122" s="10"/>
      <c r="CM122" s="10"/>
      <c r="CT122" s="67"/>
      <c r="CU122" s="10"/>
      <c r="CV122" s="10"/>
      <c r="CW122" s="10"/>
      <c r="CX122" s="10"/>
      <c r="CY122" s="10"/>
      <c r="CZ122" s="10"/>
      <c r="DA122" s="10"/>
      <c r="DC122" s="10"/>
      <c r="DO122" s="28"/>
      <c r="DP122" s="28"/>
      <c r="DQ122" s="28"/>
      <c r="DR122" s="28"/>
      <c r="DS122" s="28"/>
      <c r="DT122" s="28"/>
      <c r="DU122" s="28"/>
      <c r="DV122" s="28"/>
      <c r="DW122" s="28"/>
      <c r="DX122" s="28"/>
      <c r="DY122" s="28"/>
      <c r="DZ122" s="28"/>
      <c r="EB122" s="28"/>
      <c r="EC122" s="28"/>
      <c r="ED122" s="28"/>
      <c r="EE122" s="28"/>
      <c r="EF122" s="28"/>
      <c r="EG122" s="28"/>
      <c r="EH122" s="28"/>
      <c r="EI122" s="28"/>
      <c r="EJ122" s="28"/>
      <c r="EK122" s="28"/>
      <c r="EL122" s="28"/>
      <c r="EN122" s="28"/>
      <c r="EO122" s="28"/>
    </row>
    <row r="123" spans="2:146">
      <c r="B123" s="2118"/>
      <c r="H123" s="2846"/>
      <c r="I123" s="2764"/>
      <c r="J123" s="2764"/>
      <c r="K123" s="2764"/>
      <c r="L123" s="2764"/>
      <c r="M123" s="2764"/>
      <c r="N123" s="2764"/>
      <c r="O123" s="2764"/>
      <c r="P123" s="2764"/>
      <c r="Q123" s="2764"/>
      <c r="R123" s="2764"/>
      <c r="S123" s="3541"/>
      <c r="W123" s="2764"/>
      <c r="BY123" s="2762"/>
      <c r="BZ123" s="2845"/>
      <c r="CA123" s="2762"/>
      <c r="CB123" s="2762"/>
      <c r="CC123" s="2762"/>
      <c r="CD123" s="2845"/>
      <c r="CE123" s="2845"/>
      <c r="CF123" s="2845"/>
      <c r="CG123" s="2845"/>
      <c r="CH123" s="2845"/>
      <c r="CI123" s="2845"/>
      <c r="CJ123" s="2845"/>
      <c r="CK123" s="2762"/>
    </row>
    <row r="124" spans="2:146">
      <c r="B124" s="2121" t="s">
        <v>250</v>
      </c>
      <c r="C124" s="192">
        <f t="shared" ref="C124:M124" si="279">1+C103</f>
        <v>1</v>
      </c>
      <c r="D124" s="192">
        <f t="shared" si="279"/>
        <v>1</v>
      </c>
      <c r="E124" s="192">
        <f t="shared" si="279"/>
        <v>1.25</v>
      </c>
      <c r="F124" s="192">
        <f t="shared" si="279"/>
        <v>1.1499999999999999</v>
      </c>
      <c r="G124" s="192">
        <f t="shared" si="279"/>
        <v>1.1499999999999999</v>
      </c>
      <c r="H124" s="2841">
        <f t="shared" si="279"/>
        <v>1.1499999999999999</v>
      </c>
      <c r="I124" s="2726">
        <f t="shared" si="279"/>
        <v>1.1499999999999999</v>
      </c>
      <c r="J124" s="2726">
        <f t="shared" si="279"/>
        <v>1.1000000000000001</v>
      </c>
      <c r="K124" s="2726">
        <f t="shared" si="279"/>
        <v>1.1499999999999999</v>
      </c>
      <c r="L124" s="2726">
        <f t="shared" si="279"/>
        <v>1.2</v>
      </c>
      <c r="M124" s="2726">
        <f t="shared" si="279"/>
        <v>1.1499999999999999</v>
      </c>
      <c r="N124" s="2726">
        <f t="shared" ref="N124:O124" si="280">1+N103</f>
        <v>1.1499999999999999</v>
      </c>
      <c r="O124" s="2726">
        <f t="shared" si="280"/>
        <v>1.1499999999999999</v>
      </c>
      <c r="P124" s="2726">
        <f t="shared" ref="P124" si="281">1+P103</f>
        <v>1.1499999999999999</v>
      </c>
      <c r="Q124" s="2726">
        <f>1+Q103</f>
        <v>1.1000000000000001</v>
      </c>
      <c r="R124" s="2726">
        <f>1+R103</f>
        <v>1.1000000000000001</v>
      </c>
      <c r="S124" s="3544">
        <f>1+S103</f>
        <v>2.1</v>
      </c>
      <c r="T124" s="2726"/>
      <c r="U124" s="2726"/>
      <c r="V124" s="192">
        <f>1+V103</f>
        <v>1.1000000000000001</v>
      </c>
      <c r="W124" s="2726">
        <f>1+W103</f>
        <v>1.1000000000000001</v>
      </c>
      <c r="Z124" s="328"/>
      <c r="AA124" s="328"/>
      <c r="AB124" s="328"/>
      <c r="AC124" s="328"/>
      <c r="AD124" s="328"/>
      <c r="AE124" s="328"/>
      <c r="AF124" s="328"/>
      <c r="AG124" s="328"/>
      <c r="AH124" s="328"/>
      <c r="AI124" s="328"/>
      <c r="AJ124" s="328"/>
      <c r="AK124" s="328"/>
      <c r="AL124" s="328"/>
      <c r="AM124" s="328"/>
      <c r="AN124" s="328"/>
      <c r="AO124" s="328"/>
      <c r="AP124" s="328"/>
      <c r="AQ124" s="328"/>
      <c r="AR124" s="328"/>
      <c r="AS124" s="328"/>
      <c r="AT124" s="328"/>
      <c r="AU124" s="328"/>
      <c r="AV124" s="328"/>
      <c r="AW124" s="328"/>
      <c r="AX124" s="328"/>
      <c r="AY124" s="328"/>
      <c r="AZ124" s="328"/>
      <c r="BA124" s="328"/>
      <c r="BB124" s="328"/>
      <c r="BC124" s="328"/>
      <c r="BD124" s="328"/>
      <c r="BE124" s="328"/>
      <c r="BF124" s="328"/>
      <c r="BG124" s="74"/>
      <c r="BH124" s="74"/>
      <c r="BI124" s="74"/>
      <c r="BJ124" s="74"/>
      <c r="BY124" s="2762"/>
      <c r="BZ124" s="2845"/>
      <c r="CA124" s="2762"/>
      <c r="CB124" s="2762"/>
      <c r="CC124" s="2762"/>
      <c r="CD124" s="2845"/>
      <c r="CE124" s="2845"/>
      <c r="CF124" s="2845"/>
      <c r="CG124" s="2845"/>
      <c r="CH124" s="2845"/>
      <c r="CI124" s="2845"/>
      <c r="CJ124" s="2845"/>
      <c r="CK124" s="2762"/>
      <c r="CT124" s="67"/>
      <c r="CU124" s="10"/>
      <c r="CV124" s="10"/>
      <c r="CW124" s="10"/>
      <c r="CX124" s="10"/>
      <c r="CY124" s="10"/>
      <c r="CZ124" s="10"/>
      <c r="DA124" s="10"/>
      <c r="DC124" s="10"/>
    </row>
    <row r="125" spans="2:146">
      <c r="B125" s="2121" t="s">
        <v>251</v>
      </c>
      <c r="C125" s="193">
        <f>PRODUCT(D124:$V124)</f>
        <v>16.224146438849861</v>
      </c>
      <c r="D125" s="193">
        <f>PRODUCT(E124:$V124)</f>
        <v>16.224146438849861</v>
      </c>
      <c r="E125" s="193">
        <f>PRODUCT(F124:$V124)</f>
        <v>12.979317151079885</v>
      </c>
      <c r="F125" s="193">
        <f>PRODUCT(G124:$V124)</f>
        <v>11.286362740069469</v>
      </c>
      <c r="G125" s="193">
        <f>PRODUCT(H124:$V124)</f>
        <v>9.814228469625629</v>
      </c>
      <c r="H125" s="2852">
        <f>PRODUCT(I124:$V124)</f>
        <v>8.5341117127179373</v>
      </c>
      <c r="I125" s="2729">
        <f>PRODUCT(J124:$V124)</f>
        <v>7.4209667067112504</v>
      </c>
      <c r="J125" s="2729">
        <f>PRODUCT(K124:$V124)</f>
        <v>6.7463333697374992</v>
      </c>
      <c r="K125" s="2729">
        <f>PRODUCT(L124:$V124)</f>
        <v>5.8663768432499994</v>
      </c>
      <c r="L125" s="2729">
        <f>PRODUCT(M124:$V124)</f>
        <v>4.8886473693749997</v>
      </c>
      <c r="M125" s="2729">
        <f>PRODUCT(V124:$Y124)</f>
        <v>1.2100000000000002</v>
      </c>
      <c r="N125" s="2729">
        <f>PRODUCT(V124:$Y124)</f>
        <v>1.2100000000000002</v>
      </c>
      <c r="O125" s="2729">
        <f>PRODUCT(Q124:$R124)</f>
        <v>1.2100000000000002</v>
      </c>
      <c r="P125" s="2729">
        <f>PRODUCT(Q124:$R124)</f>
        <v>1.2100000000000002</v>
      </c>
      <c r="Q125" s="2729">
        <f>PRODUCT(R124:$R124)</f>
        <v>1.1000000000000001</v>
      </c>
      <c r="R125" s="2729">
        <f>PRODUCT($R124:Z124)</f>
        <v>2.795100000000001</v>
      </c>
      <c r="S125" s="3552">
        <f>PRODUCT($R124:AA124)</f>
        <v>2.795100000000001</v>
      </c>
      <c r="T125" s="2729"/>
      <c r="U125" s="2729"/>
      <c r="V125" s="193">
        <f>PRODUCT(Q124:$R124)</f>
        <v>1.2100000000000002</v>
      </c>
      <c r="W125" s="2729">
        <f>PRODUCT(Q124:$R124)</f>
        <v>1.2100000000000002</v>
      </c>
      <c r="Z125" s="328"/>
      <c r="AA125" s="328"/>
      <c r="AB125" s="328"/>
      <c r="AC125" s="328"/>
      <c r="AD125" s="328"/>
      <c r="AE125" s="328"/>
      <c r="AF125" s="328"/>
      <c r="AG125" s="328"/>
      <c r="AH125" s="328"/>
      <c r="AI125" s="328"/>
      <c r="AJ125" s="328"/>
      <c r="AK125" s="328"/>
      <c r="AL125" s="328"/>
      <c r="AM125" s="328"/>
      <c r="AN125" s="328"/>
      <c r="AO125" s="328"/>
      <c r="AP125" s="328"/>
      <c r="AQ125" s="328"/>
      <c r="AR125" s="328"/>
      <c r="AS125" s="328"/>
      <c r="AT125" s="328"/>
      <c r="AU125" s="328"/>
      <c r="AV125" s="328"/>
      <c r="AW125" s="328"/>
      <c r="AX125" s="328"/>
      <c r="AY125" s="328"/>
      <c r="AZ125" s="328"/>
      <c r="BA125" s="328"/>
      <c r="BB125" s="328"/>
      <c r="BC125" s="328"/>
      <c r="BD125" s="328"/>
      <c r="BE125" s="328"/>
      <c r="BF125" s="328"/>
      <c r="BG125" s="74"/>
      <c r="BH125" s="74"/>
      <c r="BI125" s="74"/>
      <c r="BJ125" s="74"/>
      <c r="BY125" s="10"/>
      <c r="BZ125" s="62"/>
      <c r="CA125" s="10"/>
      <c r="CB125" s="10"/>
      <c r="CC125" s="10"/>
      <c r="CD125" s="62"/>
      <c r="CE125" s="62"/>
      <c r="CF125" s="62"/>
      <c r="CG125" s="62"/>
      <c r="CH125" s="62"/>
      <c r="CI125" s="62"/>
      <c r="CJ125" s="62"/>
      <c r="CK125" s="10"/>
      <c r="CL125" s="10"/>
      <c r="CT125" s="67"/>
      <c r="CU125" s="10"/>
      <c r="CV125" s="10"/>
      <c r="CW125" s="10"/>
      <c r="CX125" s="10"/>
      <c r="CY125" s="10"/>
      <c r="CZ125" s="10"/>
      <c r="DA125" s="10"/>
      <c r="DC125" s="10"/>
    </row>
    <row r="126" spans="2:146">
      <c r="B126" s="2121" t="s">
        <v>980</v>
      </c>
      <c r="C126" s="191">
        <f t="shared" ref="C126:M126" si="282">C117/C125</f>
        <v>346.6890683467044</v>
      </c>
      <c r="D126" s="191">
        <f t="shared" si="282"/>
        <v>360.07599980805213</v>
      </c>
      <c r="E126" s="191">
        <f t="shared" si="282"/>
        <v>365.56284830202145</v>
      </c>
      <c r="F126" s="191">
        <f t="shared" si="282"/>
        <v>430.36125014222557</v>
      </c>
      <c r="G126" s="191">
        <f t="shared" si="282"/>
        <v>441.49003892564428</v>
      </c>
      <c r="H126" s="2853">
        <f t="shared" si="282"/>
        <v>646.95405413379206</v>
      </c>
      <c r="I126" s="2730">
        <f t="shared" si="282"/>
        <v>575.38566885012096</v>
      </c>
      <c r="J126" s="2730">
        <f t="shared" si="282"/>
        <v>685.10776666250354</v>
      </c>
      <c r="K126" s="2730">
        <f t="shared" si="282"/>
        <v>769.27158385449252</v>
      </c>
      <c r="L126" s="2730">
        <f t="shared" si="282"/>
        <v>977.62118194405991</v>
      </c>
      <c r="M126" s="2730">
        <f t="shared" si="282"/>
        <v>4000.3766627372133</v>
      </c>
      <c r="N126" s="2730">
        <f t="shared" ref="N126:O126" si="283">N117/N125</f>
        <v>4207.2941267507813</v>
      </c>
      <c r="O126" s="2730">
        <f t="shared" si="283"/>
        <v>4413.931873425</v>
      </c>
      <c r="P126" s="2730">
        <f t="shared" ref="P126" si="284">P117/P125</f>
        <v>4591.4805628280947</v>
      </c>
      <c r="Q126" s="2730">
        <f ca="1">(Q55)/Q91*10^9</f>
        <v>6523.5352538373845</v>
      </c>
      <c r="R126" s="2730">
        <f ca="1">(R55)/R91*10^9</f>
        <v>7369.8914796189347</v>
      </c>
      <c r="S126" s="3553">
        <f ca="1">(S55)/S91*10^9</f>
        <v>8350.640607686375</v>
      </c>
      <c r="T126" s="2730"/>
      <c r="U126" s="2730"/>
      <c r="V126" s="191">
        <f>(V55)/V91*10^9</f>
        <v>4714.129265810072</v>
      </c>
      <c r="W126" s="2730">
        <f ca="1">(W55)/W91*10^9</f>
        <v>4593.3401882526814</v>
      </c>
      <c r="Z126" s="191"/>
      <c r="BJ126" s="146"/>
      <c r="BY126" s="10"/>
      <c r="BZ126" s="62"/>
      <c r="CA126" s="10"/>
      <c r="CB126" s="10"/>
      <c r="CC126" s="10"/>
      <c r="CD126" s="62"/>
      <c r="CE126" s="62"/>
      <c r="CF126" s="62"/>
      <c r="CG126" s="62"/>
      <c r="CH126" s="62"/>
      <c r="CI126" s="62"/>
      <c r="CJ126" s="62"/>
      <c r="CK126" s="10"/>
      <c r="CL126" s="10"/>
      <c r="CT126" s="67"/>
      <c r="CU126" s="10"/>
      <c r="CV126" s="10"/>
      <c r="CW126" s="10"/>
      <c r="CX126" s="10"/>
      <c r="CY126" s="10"/>
      <c r="CZ126" s="10"/>
      <c r="DA126" s="10"/>
      <c r="DC126" s="10"/>
    </row>
    <row r="127" spans="2:146" s="28" customFormat="1">
      <c r="B127" s="2125" t="s">
        <v>14</v>
      </c>
      <c r="C127" s="1318"/>
      <c r="D127" s="1318">
        <f t="shared" ref="D127:K127" si="285">D126/C126-1</f>
        <v>3.8613653223009026E-2</v>
      </c>
      <c r="E127" s="1318">
        <f t="shared" si="285"/>
        <v>1.5238028907492485E-2</v>
      </c>
      <c r="F127" s="1318">
        <f t="shared" si="285"/>
        <v>0.17725652959862281</v>
      </c>
      <c r="G127" s="1318">
        <f t="shared" si="285"/>
        <v>2.5859179421336975E-2</v>
      </c>
      <c r="H127" s="2854">
        <f t="shared" si="285"/>
        <v>0.46538765791441117</v>
      </c>
      <c r="I127" s="2731">
        <f t="shared" si="285"/>
        <v>-0.11062359811547073</v>
      </c>
      <c r="J127" s="2731">
        <f t="shared" si="285"/>
        <v>0.19069313636479102</v>
      </c>
      <c r="K127" s="2731">
        <f t="shared" si="285"/>
        <v>0.12284755959196358</v>
      </c>
      <c r="L127" s="2731">
        <f t="shared" ref="L127:P127" si="286">L126/K126-1</f>
        <v>0.27084010700826378</v>
      </c>
      <c r="M127" s="2731">
        <f t="shared" si="286"/>
        <v>3.0919496596649205</v>
      </c>
      <c r="N127" s="2731">
        <f t="shared" si="286"/>
        <v>5.172449533089396E-2</v>
      </c>
      <c r="O127" s="2731">
        <f t="shared" si="286"/>
        <v>4.9114167074837178E-2</v>
      </c>
      <c r="P127" s="2731">
        <f t="shared" si="286"/>
        <v>4.0224610278211115E-2</v>
      </c>
      <c r="Q127" s="2731">
        <f ca="1">Q126/P126-1</f>
        <v>0.42079121637819861</v>
      </c>
      <c r="R127" s="2731">
        <f ca="1">R126/Q126-1</f>
        <v>0.12973889047103593</v>
      </c>
      <c r="S127" s="3554">
        <f ca="1">S126/R126-1</f>
        <v>0.1330751111844255</v>
      </c>
      <c r="T127" s="2731"/>
      <c r="U127" s="2731"/>
      <c r="V127" s="1318">
        <f>V126/N126-1</f>
        <v>0.12046582049891308</v>
      </c>
      <c r="W127" s="2731">
        <f ca="1">W126/O126-1</f>
        <v>4.0645918417510307E-2</v>
      </c>
      <c r="Z127" s="1318"/>
      <c r="AB127" s="27"/>
      <c r="BZ127" s="147"/>
      <c r="CD127" s="147"/>
      <c r="CE127" s="147"/>
      <c r="CF127" s="147"/>
      <c r="CG127" s="147"/>
      <c r="CH127" s="147"/>
      <c r="CI127" s="147"/>
      <c r="CJ127" s="147"/>
      <c r="CM127" s="2767"/>
      <c r="CN127" s="3389"/>
      <c r="CO127" s="3389"/>
      <c r="CP127" s="3389"/>
      <c r="CQ127" s="3389"/>
      <c r="CR127" s="148"/>
      <c r="CS127" s="148"/>
      <c r="CT127" s="148"/>
      <c r="DE127" s="178"/>
      <c r="DG127" s="83"/>
      <c r="DH127" s="83"/>
      <c r="DI127" s="83"/>
      <c r="DJ127" s="84"/>
      <c r="DK127" s="84"/>
      <c r="DL127" s="84"/>
      <c r="DM127" s="84"/>
      <c r="DN127" s="84"/>
      <c r="EA127" s="15"/>
    </row>
    <row r="128" spans="2:146">
      <c r="B128" s="2118" t="s">
        <v>981</v>
      </c>
      <c r="C128" s="110">
        <f>C122/PL!C125</f>
        <v>717.60873946352581</v>
      </c>
      <c r="D128" s="110">
        <f>D122/PL!D125</f>
        <v>836.81654316206186</v>
      </c>
      <c r="E128" s="110">
        <f>E122/PL!E125</f>
        <v>1148.2740477895236</v>
      </c>
      <c r="F128" s="110">
        <f>F122/PL!F125</f>
        <v>1431.9243725031895</v>
      </c>
      <c r="G128" s="110">
        <f>G122/PL!G125</f>
        <v>1827.8969777844875</v>
      </c>
      <c r="H128" s="2834">
        <f>H122/PL!H125</f>
        <v>2522.2425364622641</v>
      </c>
      <c r="I128" s="1705">
        <f>I122/PL!I125</f>
        <v>2739.070566284644</v>
      </c>
      <c r="J128" s="1705">
        <f>J122/PL!J125</f>
        <v>3051.3284792585405</v>
      </c>
      <c r="K128" s="1705">
        <f>K122/PL!K125</f>
        <v>3423.5713958591623</v>
      </c>
      <c r="L128" s="1705">
        <f>L122/PL!L125</f>
        <v>4043.7586869042975</v>
      </c>
      <c r="M128" s="1705">
        <f>M122/PL!M125</f>
        <v>15855.382169601418</v>
      </c>
      <c r="N128" s="1705">
        <f>N122/PL!N125</f>
        <v>16252.208263827988</v>
      </c>
      <c r="O128" s="1705">
        <f>O122/PL!O125</f>
        <v>16738.387060056044</v>
      </c>
      <c r="P128" s="1705">
        <f>P122/PL!P125</f>
        <v>17701.142948771918</v>
      </c>
      <c r="Q128" s="1705">
        <f ca="1">BS!Q76*10^9/Q91</f>
        <v>25209.887586224428</v>
      </c>
      <c r="R128" s="1705">
        <f ca="1">BS!R76*10^9/R91</f>
        <v>29797.937309339271</v>
      </c>
      <c r="S128" s="3521">
        <f ca="1">BS!S76*10^9/S91</f>
        <v>35309.015531925521</v>
      </c>
      <c r="T128" s="1705"/>
      <c r="U128" s="1705"/>
      <c r="V128" s="110" t="e">
        <f>BS!W76*10^9/V91</f>
        <v>#REF!</v>
      </c>
      <c r="W128" s="1705">
        <f>BS!X76*10^9/W91</f>
        <v>0</v>
      </c>
      <c r="BY128" s="10"/>
      <c r="BZ128" s="62"/>
      <c r="CA128" s="10"/>
      <c r="CB128" s="10"/>
      <c r="CC128" s="10"/>
      <c r="CD128" s="62"/>
      <c r="CE128" s="62"/>
      <c r="CF128" s="62"/>
      <c r="CG128" s="62"/>
      <c r="CH128" s="62"/>
      <c r="CI128" s="62"/>
      <c r="CJ128" s="62"/>
      <c r="CK128" s="10"/>
      <c r="CL128" s="10"/>
      <c r="CT128" s="67"/>
      <c r="CU128" s="10"/>
      <c r="CV128" s="10"/>
      <c r="CW128" s="10"/>
      <c r="CX128" s="10"/>
      <c r="CY128" s="10"/>
      <c r="CZ128" s="10"/>
      <c r="DA128" s="10"/>
      <c r="DC128" s="10"/>
    </row>
    <row r="129" spans="2:131" ht="13.5" thickBot="1">
      <c r="B129" s="2118" t="s">
        <v>982</v>
      </c>
      <c r="C129" s="110">
        <f t="shared" ref="C129:M129" si="287">C120/C125</f>
        <v>123.27304906536465</v>
      </c>
      <c r="D129" s="110">
        <f t="shared" si="287"/>
        <v>184.90957359804696</v>
      </c>
      <c r="E129" s="110">
        <f t="shared" si="287"/>
        <v>154.09131133170587</v>
      </c>
      <c r="F129" s="110">
        <f t="shared" si="287"/>
        <v>177.20500803146166</v>
      </c>
      <c r="G129" s="110">
        <f t="shared" si="287"/>
        <v>203.78575923618084</v>
      </c>
      <c r="H129" s="2834">
        <f t="shared" si="287"/>
        <v>292.94202890201001</v>
      </c>
      <c r="I129" s="1705">
        <f t="shared" si="287"/>
        <v>269.5066665898492</v>
      </c>
      <c r="J129" s="1705">
        <f t="shared" si="287"/>
        <v>296.45733324883412</v>
      </c>
      <c r="K129" s="1705">
        <f t="shared" si="287"/>
        <v>340.92593323615927</v>
      </c>
      <c r="L129" s="1705">
        <f t="shared" si="287"/>
        <v>409.1111198833911</v>
      </c>
      <c r="M129" s="1705">
        <f t="shared" si="287"/>
        <v>1652.8925619834708</v>
      </c>
      <c r="N129" s="1705">
        <f t="shared" ref="N129:O129" si="288">N120/N125</f>
        <v>1652.8925619834708</v>
      </c>
      <c r="O129" s="1705">
        <f t="shared" si="288"/>
        <v>1652.8925619834708</v>
      </c>
      <c r="P129" s="1705">
        <f t="shared" ref="P129" si="289">P120/P125</f>
        <v>1652.8925619834708</v>
      </c>
      <c r="Q129" s="1705">
        <f>Q120/Q125</f>
        <v>1818.181818181818</v>
      </c>
      <c r="R129" s="1705">
        <f>R120/R125</f>
        <v>715.53790562054996</v>
      </c>
      <c r="S129" s="3521">
        <f>S120/S125</f>
        <v>715.53790562054996</v>
      </c>
      <c r="T129" s="1705"/>
      <c r="U129" s="1705"/>
      <c r="V129" s="1723">
        <f>V120/V125</f>
        <v>1511.0394388259567</v>
      </c>
      <c r="W129" s="1705">
        <f ca="1">W120/W125</f>
        <v>1678.5387256856438</v>
      </c>
      <c r="BY129" s="10"/>
      <c r="BZ129" s="62"/>
      <c r="CA129" s="10"/>
      <c r="CB129" s="10"/>
      <c r="CC129" s="10"/>
      <c r="CD129" s="62"/>
      <c r="CE129" s="62"/>
      <c r="CF129" s="62"/>
      <c r="CG129" s="62"/>
      <c r="CH129" s="62"/>
      <c r="CI129" s="62"/>
      <c r="CJ129" s="62"/>
      <c r="CK129" s="10"/>
      <c r="CL129" s="10"/>
      <c r="CT129" s="67"/>
      <c r="CU129" s="10"/>
      <c r="CV129" s="10"/>
      <c r="CW129" s="10"/>
      <c r="CX129" s="10"/>
      <c r="CY129" s="10"/>
      <c r="CZ129" s="10"/>
      <c r="DA129" s="10"/>
      <c r="DC129" s="10"/>
    </row>
    <row r="130" spans="2:131">
      <c r="B130" s="3147"/>
      <c r="C130" s="3148"/>
      <c r="D130" s="3148"/>
      <c r="E130" s="3148"/>
      <c r="F130" s="3148"/>
      <c r="G130" s="3148"/>
      <c r="H130" s="3148"/>
      <c r="I130" s="3148"/>
      <c r="J130" s="3148"/>
      <c r="K130" s="3148"/>
      <c r="L130" s="3148"/>
      <c r="M130" s="3148"/>
      <c r="N130" s="3148"/>
      <c r="O130" s="3148"/>
      <c r="P130" s="3148"/>
      <c r="Q130" s="3148"/>
      <c r="R130" s="3148"/>
      <c r="S130" s="3149"/>
      <c r="T130" s="1705"/>
      <c r="U130" s="1705"/>
      <c r="V130" s="110"/>
      <c r="W130" s="3148"/>
      <c r="BY130" s="10"/>
      <c r="BZ130" s="62"/>
      <c r="CA130" s="10"/>
      <c r="CB130" s="10"/>
      <c r="CC130" s="10"/>
      <c r="CD130" s="62"/>
      <c r="CE130" s="62"/>
      <c r="CF130" s="62"/>
      <c r="CG130" s="62"/>
      <c r="CH130" s="62"/>
      <c r="CI130" s="62"/>
      <c r="CJ130" s="62"/>
      <c r="CK130" s="10"/>
      <c r="CL130" s="10"/>
      <c r="CT130" s="67"/>
      <c r="CU130" s="10"/>
      <c r="CV130" s="10"/>
      <c r="CW130" s="10"/>
      <c r="CX130" s="10"/>
      <c r="CY130" s="10"/>
      <c r="CZ130" s="10"/>
      <c r="DA130" s="10"/>
      <c r="DC130" s="10"/>
    </row>
    <row r="131" spans="2:131">
      <c r="B131" s="60"/>
      <c r="H131" s="110"/>
      <c r="I131" s="110"/>
      <c r="J131" s="110"/>
      <c r="K131" s="110"/>
      <c r="BY131" s="10"/>
      <c r="BZ131" s="62"/>
      <c r="CA131" s="10"/>
      <c r="CB131" s="10"/>
      <c r="CC131" s="10"/>
      <c r="CD131" s="62"/>
      <c r="CE131" s="62"/>
      <c r="CF131" s="62"/>
      <c r="CG131" s="62"/>
      <c r="CH131" s="62"/>
      <c r="CI131" s="62"/>
      <c r="CJ131" s="62"/>
      <c r="CK131" s="10"/>
      <c r="CL131" s="10"/>
      <c r="CT131" s="67"/>
      <c r="CU131" s="10"/>
      <c r="CV131" s="10"/>
      <c r="CW131" s="10"/>
      <c r="CX131" s="10"/>
      <c r="CY131" s="10"/>
      <c r="CZ131" s="10"/>
      <c r="DA131" s="10"/>
      <c r="DC131" s="10"/>
    </row>
    <row r="132" spans="2:131">
      <c r="B132" s="6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62"/>
      <c r="T132" s="2762"/>
      <c r="U132" s="2762"/>
      <c r="V132" s="10"/>
      <c r="W132" s="10"/>
      <c r="Z132" s="195"/>
      <c r="BY132" s="10"/>
      <c r="BZ132" s="62"/>
      <c r="CA132" s="10"/>
      <c r="CB132" s="10"/>
      <c r="CC132" s="10"/>
      <c r="CD132" s="62"/>
      <c r="CE132" s="62"/>
      <c r="CF132" s="62"/>
      <c r="CG132" s="62"/>
      <c r="CH132" s="62"/>
      <c r="CI132" s="62"/>
      <c r="CJ132" s="62"/>
      <c r="CK132" s="10"/>
      <c r="CL132" s="10"/>
      <c r="CT132" s="67"/>
      <c r="CU132" s="10"/>
      <c r="CV132" s="10"/>
      <c r="CW132" s="10"/>
      <c r="CX132" s="10"/>
      <c r="CY132" s="10"/>
      <c r="CZ132" s="10"/>
      <c r="DA132" s="10"/>
      <c r="DC132" s="10"/>
    </row>
    <row r="133" spans="2:131">
      <c r="B133" s="6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62"/>
      <c r="T133" s="2762"/>
      <c r="U133" s="2762"/>
      <c r="V133" s="10"/>
      <c r="W133" s="10"/>
      <c r="Z133" s="194"/>
      <c r="BY133" s="10"/>
      <c r="BZ133" s="62"/>
      <c r="CA133" s="10"/>
      <c r="CB133" s="10"/>
      <c r="CC133" s="10"/>
      <c r="CD133" s="62"/>
      <c r="CE133" s="62"/>
      <c r="CF133" s="62"/>
      <c r="CG133" s="62"/>
      <c r="CH133" s="62"/>
      <c r="CI133" s="62"/>
      <c r="CJ133" s="62"/>
      <c r="CK133" s="10"/>
      <c r="CL133" s="10"/>
      <c r="CT133" s="67"/>
      <c r="CU133" s="10"/>
      <c r="CV133" s="10"/>
      <c r="CW133" s="10"/>
      <c r="CX133" s="10"/>
      <c r="CY133" s="10"/>
      <c r="CZ133" s="10"/>
      <c r="DA133" s="10"/>
      <c r="DC133" s="10"/>
    </row>
    <row r="134" spans="2:131" s="28" customFormat="1">
      <c r="B134" s="118"/>
      <c r="S134" s="147"/>
      <c r="T134" s="2767"/>
      <c r="U134" s="2767"/>
      <c r="Z134" s="99"/>
      <c r="AB134" s="27"/>
      <c r="BD134" s="1316"/>
      <c r="BZ134" s="147"/>
      <c r="CD134" s="147"/>
      <c r="CE134" s="147"/>
      <c r="CF134" s="147"/>
      <c r="CG134" s="147"/>
      <c r="CH134" s="147"/>
      <c r="CI134" s="147"/>
      <c r="CJ134" s="147"/>
      <c r="CM134" s="2767"/>
      <c r="CN134" s="3389"/>
      <c r="CO134" s="3389"/>
      <c r="CP134" s="3389"/>
      <c r="CQ134" s="3389"/>
      <c r="CR134" s="148"/>
      <c r="CS134" s="148"/>
      <c r="CT134" s="148"/>
      <c r="DE134" s="178"/>
      <c r="DG134" s="83"/>
      <c r="DH134" s="83"/>
      <c r="DI134" s="83"/>
      <c r="DJ134" s="84"/>
      <c r="DK134" s="84"/>
      <c r="DL134" s="84"/>
      <c r="DM134" s="84"/>
      <c r="DN134" s="84"/>
      <c r="EA134" s="15"/>
    </row>
    <row r="135" spans="2:131">
      <c r="B135" s="6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62"/>
      <c r="T135" s="2762"/>
      <c r="U135" s="2762"/>
      <c r="V135" s="10"/>
      <c r="W135" s="10"/>
      <c r="Z135" s="100"/>
      <c r="BY135" s="10"/>
      <c r="BZ135" s="62"/>
      <c r="CA135" s="10"/>
      <c r="CB135" s="10"/>
      <c r="CC135" s="10"/>
      <c r="CD135" s="62"/>
      <c r="CE135" s="62"/>
      <c r="CF135" s="62"/>
      <c r="CG135" s="62"/>
      <c r="CH135" s="62"/>
      <c r="CI135" s="62"/>
      <c r="CJ135" s="62"/>
      <c r="CK135" s="10"/>
      <c r="CL135" s="10"/>
      <c r="CT135" s="67"/>
      <c r="CU135" s="10"/>
      <c r="CV135" s="10"/>
      <c r="CW135" s="10"/>
      <c r="CX135" s="10"/>
      <c r="CY135" s="10"/>
      <c r="CZ135" s="10"/>
      <c r="DA135" s="10"/>
      <c r="DC135" s="10"/>
    </row>
    <row r="136" spans="2:131">
      <c r="B136" s="6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62"/>
      <c r="T136" s="2762"/>
      <c r="U136" s="2762"/>
      <c r="V136" s="10"/>
      <c r="W136" s="10"/>
      <c r="Z136" s="194"/>
      <c r="AA136" s="194"/>
      <c r="AB136" s="194"/>
      <c r="AC136" s="194"/>
      <c r="AD136" s="194"/>
      <c r="AE136" s="194"/>
      <c r="AF136" s="194"/>
      <c r="AG136" s="194"/>
      <c r="AH136" s="194"/>
      <c r="AI136" s="194"/>
      <c r="AJ136" s="194"/>
      <c r="AK136" s="194"/>
      <c r="AL136" s="194"/>
      <c r="AM136" s="194"/>
      <c r="AN136" s="194"/>
      <c r="AO136" s="194"/>
      <c r="AP136" s="194"/>
      <c r="AQ136" s="194"/>
      <c r="AR136" s="194"/>
      <c r="AS136" s="194"/>
      <c r="AT136" s="194"/>
      <c r="AU136" s="194"/>
      <c r="AV136" s="194"/>
      <c r="AW136" s="194"/>
      <c r="AX136" s="194"/>
      <c r="AY136" s="194"/>
      <c r="AZ136" s="194"/>
      <c r="BA136" s="194"/>
      <c r="BB136" s="194"/>
      <c r="BC136" s="194"/>
      <c r="BD136" s="194"/>
      <c r="BH136" s="46"/>
      <c r="BI136" s="46"/>
      <c r="BY136" s="10"/>
      <c r="BZ136" s="62"/>
      <c r="CA136" s="10"/>
      <c r="CB136" s="10"/>
      <c r="CC136" s="10"/>
      <c r="CD136" s="62"/>
      <c r="CE136" s="62"/>
      <c r="CF136" s="62"/>
      <c r="CG136" s="62"/>
      <c r="CH136" s="62"/>
      <c r="CI136" s="62"/>
      <c r="CJ136" s="62"/>
      <c r="CK136" s="10"/>
      <c r="CL136" s="10"/>
      <c r="CT136" s="67"/>
      <c r="CU136" s="10"/>
      <c r="CV136" s="10"/>
      <c r="CW136" s="10"/>
      <c r="CX136" s="10"/>
      <c r="CY136" s="10"/>
      <c r="CZ136" s="10"/>
      <c r="DA136" s="10"/>
      <c r="DC136" s="10"/>
    </row>
    <row r="137" spans="2:131">
      <c r="B137" s="60"/>
      <c r="C137" s="2521" t="s">
        <v>1711</v>
      </c>
      <c r="D137" s="2521" t="s">
        <v>1709</v>
      </c>
      <c r="E137" s="2521" t="s">
        <v>1708</v>
      </c>
      <c r="F137" s="2521" t="s">
        <v>1676</v>
      </c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62"/>
      <c r="T137" s="2762"/>
      <c r="U137" s="2762"/>
      <c r="V137" s="10"/>
      <c r="W137" s="10"/>
      <c r="Z137" s="194"/>
      <c r="AA137" s="194"/>
      <c r="AB137" s="194"/>
      <c r="AC137" s="194"/>
      <c r="AD137" s="194"/>
      <c r="AE137" s="194"/>
      <c r="AF137" s="194"/>
      <c r="AG137" s="194"/>
      <c r="AH137" s="194"/>
      <c r="AI137" s="194"/>
      <c r="AJ137" s="194"/>
      <c r="AK137" s="194"/>
      <c r="AL137" s="194"/>
      <c r="AM137" s="194"/>
      <c r="AN137" s="194"/>
      <c r="AO137" s="194"/>
      <c r="AP137" s="194"/>
      <c r="AQ137" s="194"/>
      <c r="AR137" s="194"/>
      <c r="AS137" s="194"/>
      <c r="AT137" s="194"/>
      <c r="AU137" s="194"/>
      <c r="AV137" s="194"/>
      <c r="AW137" s="194"/>
      <c r="AX137" s="194"/>
      <c r="AY137" s="194"/>
      <c r="AZ137" s="194"/>
      <c r="BA137" s="194"/>
      <c r="BB137" s="194"/>
      <c r="BC137" s="194"/>
      <c r="BD137" s="194"/>
      <c r="BH137" s="46"/>
      <c r="BI137" s="46"/>
      <c r="BY137" s="10"/>
      <c r="BZ137" s="62"/>
      <c r="CA137" s="10"/>
      <c r="CB137" s="10"/>
      <c r="CC137" s="10"/>
      <c r="CD137" s="62"/>
      <c r="CE137" s="62"/>
      <c r="CF137" s="62"/>
      <c r="CG137" s="62"/>
      <c r="CH137" s="62"/>
      <c r="CI137" s="62"/>
      <c r="CJ137" s="62"/>
      <c r="CK137" s="10"/>
      <c r="CL137" s="10"/>
      <c r="CT137" s="67"/>
      <c r="CU137" s="10"/>
      <c r="CV137" s="10"/>
      <c r="CW137" s="10"/>
      <c r="CX137" s="10"/>
      <c r="CY137" s="10"/>
      <c r="CZ137" s="10"/>
      <c r="DA137" s="10"/>
      <c r="DC137" s="10"/>
    </row>
    <row r="138" spans="2:131">
      <c r="B138" s="2352" t="s">
        <v>1710</v>
      </c>
      <c r="C138" s="73">
        <v>8342</v>
      </c>
      <c r="D138" s="61">
        <v>11681</v>
      </c>
      <c r="E138" s="61">
        <v>15251</v>
      </c>
      <c r="F138" s="61">
        <v>18671</v>
      </c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62"/>
      <c r="T138" s="2762"/>
      <c r="U138" s="2762"/>
      <c r="V138" s="10"/>
      <c r="W138" s="10"/>
      <c r="BY138" s="10"/>
      <c r="BZ138" s="62"/>
      <c r="CA138" s="10"/>
      <c r="CB138" s="10"/>
      <c r="CC138" s="10"/>
      <c r="CD138" s="62"/>
      <c r="CE138" s="62"/>
      <c r="CF138" s="62"/>
      <c r="CG138" s="62"/>
      <c r="CH138" s="62"/>
      <c r="CI138" s="62"/>
      <c r="CJ138" s="62"/>
      <c r="CK138" s="10"/>
      <c r="CL138" s="10"/>
      <c r="CT138" s="67"/>
      <c r="CU138" s="10"/>
      <c r="CV138" s="10"/>
      <c r="CW138" s="10"/>
      <c r="CX138" s="10"/>
      <c r="CY138" s="10"/>
      <c r="CZ138" s="10"/>
      <c r="DA138" s="10"/>
      <c r="DC138" s="10"/>
    </row>
    <row r="139" spans="2:131">
      <c r="B139" s="2352" t="s">
        <v>1705</v>
      </c>
      <c r="C139" s="10">
        <v>139</v>
      </c>
      <c r="D139" s="10">
        <v>161</v>
      </c>
      <c r="E139" s="10">
        <v>102</v>
      </c>
      <c r="F139" s="10">
        <v>113</v>
      </c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62"/>
      <c r="T139" s="2762"/>
      <c r="U139" s="2762"/>
      <c r="V139" s="10"/>
      <c r="W139" s="10"/>
      <c r="Z139" s="749"/>
      <c r="BY139" s="10"/>
      <c r="BZ139" s="62"/>
      <c r="CA139" s="10"/>
      <c r="CB139" s="10"/>
      <c r="CC139" s="10"/>
      <c r="CD139" s="62"/>
      <c r="CE139" s="62"/>
      <c r="CF139" s="62"/>
      <c r="CG139" s="62"/>
      <c r="CH139" s="62"/>
      <c r="CI139" s="62"/>
      <c r="CJ139" s="62"/>
      <c r="CK139" s="10"/>
      <c r="CL139" s="10"/>
      <c r="CT139" s="67"/>
      <c r="CU139" s="10"/>
      <c r="CV139" s="10"/>
      <c r="CW139" s="10"/>
      <c r="CX139" s="10"/>
      <c r="CY139" s="10"/>
      <c r="CZ139" s="10"/>
      <c r="DA139" s="10"/>
      <c r="DC139" s="10"/>
    </row>
    <row r="140" spans="2:131">
      <c r="B140" s="2352" t="s">
        <v>1707</v>
      </c>
      <c r="C140" s="10">
        <v>50</v>
      </c>
      <c r="D140" s="3150">
        <v>77</v>
      </c>
      <c r="E140" s="3150">
        <v>74</v>
      </c>
      <c r="F140" s="3150">
        <v>112</v>
      </c>
      <c r="G140" s="196"/>
      <c r="H140" s="2098"/>
      <c r="I140" s="2098"/>
      <c r="J140" s="215"/>
      <c r="K140" s="2099"/>
      <c r="L140" s="3151"/>
      <c r="M140" s="2099"/>
      <c r="N140" s="2099"/>
      <c r="O140" s="2099"/>
      <c r="P140" s="2099"/>
      <c r="Q140" s="2099"/>
      <c r="R140" s="2099"/>
      <c r="S140" s="2783"/>
      <c r="T140" s="2727"/>
      <c r="U140" s="2727"/>
      <c r="V140" s="747"/>
      <c r="W140" s="2099"/>
      <c r="Z140" s="749"/>
      <c r="BY140" s="10"/>
      <c r="BZ140" s="62"/>
      <c r="CA140" s="10"/>
      <c r="CB140" s="10"/>
      <c r="CC140" s="10"/>
      <c r="CD140" s="62"/>
      <c r="CE140" s="62"/>
      <c r="CF140" s="62"/>
      <c r="CG140" s="62"/>
      <c r="CH140" s="62"/>
      <c r="CI140" s="62"/>
      <c r="CJ140" s="62"/>
      <c r="CK140" s="10"/>
      <c r="CL140" s="10"/>
      <c r="CT140" s="67"/>
      <c r="CU140" s="10"/>
      <c r="CV140" s="10"/>
      <c r="CW140" s="10"/>
      <c r="CX140" s="10"/>
      <c r="CY140" s="10"/>
      <c r="CZ140" s="10"/>
      <c r="DA140" s="10"/>
      <c r="DC140" s="10"/>
    </row>
    <row r="141" spans="2:131">
      <c r="B141" s="3152" t="s">
        <v>1706</v>
      </c>
      <c r="C141" s="2123">
        <v>11</v>
      </c>
      <c r="D141" s="3153">
        <v>13</v>
      </c>
      <c r="E141" s="3153">
        <v>13</v>
      </c>
      <c r="F141" s="3153">
        <v>27</v>
      </c>
      <c r="G141" s="3154"/>
      <c r="H141" s="3155"/>
      <c r="I141" s="3155"/>
      <c r="J141" s="3156"/>
      <c r="K141" s="3157"/>
      <c r="L141" s="3158"/>
      <c r="M141" s="3157"/>
      <c r="N141" s="3157"/>
      <c r="O141" s="3157"/>
      <c r="P141" s="3157"/>
      <c r="Q141" s="3157"/>
      <c r="R141" s="3157"/>
      <c r="S141" s="3159"/>
      <c r="T141" s="2727"/>
      <c r="U141" s="2727"/>
      <c r="V141" s="747"/>
      <c r="W141" s="3157"/>
      <c r="Z141" s="749"/>
      <c r="BY141" s="10"/>
      <c r="BZ141" s="62"/>
      <c r="CA141" s="10"/>
      <c r="CB141" s="10"/>
      <c r="CC141" s="10"/>
      <c r="CD141" s="62"/>
      <c r="CE141" s="62"/>
      <c r="CF141" s="62"/>
      <c r="CG141" s="62"/>
      <c r="CH141" s="62"/>
      <c r="CI141" s="62"/>
      <c r="CJ141" s="62"/>
      <c r="CK141" s="10"/>
      <c r="CL141" s="10"/>
      <c r="CT141" s="67"/>
      <c r="CU141" s="10"/>
      <c r="CV141" s="10"/>
      <c r="CW141" s="10"/>
      <c r="CX141" s="10"/>
      <c r="CY141" s="10"/>
      <c r="CZ141" s="10"/>
      <c r="DA141" s="10"/>
      <c r="DC141" s="10"/>
    </row>
    <row r="142" spans="2:131">
      <c r="B142" s="327"/>
      <c r="C142" s="196"/>
      <c r="D142" s="196"/>
      <c r="E142" s="196"/>
      <c r="F142" s="196"/>
      <c r="G142" s="196"/>
      <c r="H142" s="43"/>
      <c r="I142" s="43"/>
      <c r="J142" s="98"/>
      <c r="K142" s="747"/>
      <c r="L142" s="748"/>
      <c r="M142" s="2099"/>
      <c r="N142" s="2099"/>
      <c r="O142" s="2099"/>
      <c r="P142" s="2099"/>
      <c r="Q142" s="747"/>
      <c r="R142" s="747"/>
      <c r="S142" s="2783"/>
      <c r="T142" s="2727"/>
      <c r="U142" s="2727"/>
      <c r="V142" s="747"/>
      <c r="W142" s="747"/>
      <c r="Z142" s="749"/>
      <c r="BY142" s="10"/>
      <c r="BZ142" s="62"/>
      <c r="CA142" s="10"/>
      <c r="CB142" s="10"/>
      <c r="CC142" s="10"/>
      <c r="CD142" s="62"/>
      <c r="CE142" s="62"/>
      <c r="CF142" s="62"/>
      <c r="CG142" s="62"/>
      <c r="CH142" s="62"/>
      <c r="CI142" s="62"/>
      <c r="CJ142" s="62"/>
      <c r="CK142" s="10"/>
      <c r="CL142" s="10"/>
      <c r="CT142" s="67"/>
      <c r="CU142" s="10"/>
      <c r="CV142" s="10"/>
      <c r="CW142" s="10"/>
      <c r="CX142" s="10"/>
      <c r="CY142" s="10"/>
      <c r="CZ142" s="10"/>
      <c r="DA142" s="10"/>
      <c r="DC142" s="10"/>
    </row>
    <row r="143" spans="2:131">
      <c r="C143" s="196"/>
      <c r="D143" s="196"/>
      <c r="E143" s="196"/>
      <c r="F143" s="196"/>
      <c r="G143" s="196"/>
      <c r="H143" s="43"/>
      <c r="I143" s="43"/>
      <c r="J143" s="98"/>
      <c r="K143" s="98"/>
      <c r="L143" s="43"/>
      <c r="M143" s="2098"/>
      <c r="N143" s="2098"/>
      <c r="O143" s="2098"/>
      <c r="P143" s="2098"/>
      <c r="Q143" s="43"/>
      <c r="R143" s="43"/>
      <c r="S143" s="2784"/>
      <c r="T143" s="2732"/>
      <c r="U143" s="2732"/>
      <c r="V143" s="43"/>
      <c r="W143" s="43"/>
      <c r="Z143" s="736"/>
      <c r="BY143" s="10"/>
      <c r="BZ143" s="62"/>
      <c r="CA143" s="10"/>
      <c r="CB143" s="10"/>
      <c r="CC143" s="10"/>
      <c r="CD143" s="62"/>
      <c r="CE143" s="62"/>
      <c r="CF143" s="62"/>
      <c r="CG143" s="62"/>
      <c r="CH143" s="62"/>
      <c r="CI143" s="62"/>
      <c r="CJ143" s="62"/>
      <c r="CK143" s="10"/>
      <c r="CL143" s="10"/>
      <c r="CT143" s="67"/>
      <c r="CU143" s="10"/>
      <c r="CV143" s="10"/>
      <c r="CW143" s="10"/>
      <c r="CX143" s="10"/>
      <c r="CY143" s="10"/>
      <c r="CZ143" s="10"/>
      <c r="DA143" s="10"/>
      <c r="DC143" s="10"/>
    </row>
    <row r="144" spans="2:131">
      <c r="B144" s="16"/>
      <c r="C144" s="16"/>
      <c r="D144" s="16"/>
      <c r="E144" s="16"/>
      <c r="F144" s="16"/>
      <c r="G144" s="16"/>
      <c r="BY144" s="10"/>
      <c r="BZ144" s="62"/>
      <c r="CA144" s="10"/>
      <c r="CB144" s="10"/>
      <c r="CC144" s="10"/>
      <c r="CD144" s="62"/>
      <c r="CE144" s="62"/>
      <c r="CF144" s="62"/>
      <c r="CG144" s="62"/>
      <c r="CH144" s="62"/>
      <c r="CI144" s="62"/>
      <c r="CJ144" s="62"/>
      <c r="CK144" s="10"/>
      <c r="CL144" s="10"/>
      <c r="CT144" s="67"/>
      <c r="CU144" s="10"/>
      <c r="CV144" s="10"/>
      <c r="CW144" s="10"/>
      <c r="CX144" s="10"/>
      <c r="CY144" s="10"/>
      <c r="CZ144" s="10"/>
      <c r="DA144" s="10"/>
      <c r="DC144" s="10"/>
    </row>
    <row r="145" spans="2:156">
      <c r="B145" s="197"/>
      <c r="C145" s="197"/>
      <c r="D145" s="197"/>
      <c r="E145" s="197"/>
      <c r="F145" s="197"/>
      <c r="G145" s="197"/>
      <c r="H145" s="43"/>
      <c r="I145" s="43"/>
      <c r="J145" s="43"/>
      <c r="K145" s="43"/>
      <c r="L145" s="198"/>
      <c r="M145" s="2098"/>
      <c r="N145" s="2098"/>
      <c r="O145" s="2098"/>
      <c r="P145" s="2098"/>
      <c r="Q145" s="43"/>
      <c r="R145" s="43"/>
      <c r="S145" s="2784"/>
      <c r="T145" s="2732"/>
      <c r="U145" s="2732"/>
      <c r="V145" s="43"/>
      <c r="W145" s="43"/>
      <c r="Z145" s="194"/>
      <c r="AA145" s="194"/>
      <c r="AB145" s="194"/>
      <c r="AC145" s="194"/>
      <c r="AD145" s="194"/>
      <c r="AE145" s="194"/>
      <c r="AF145" s="194"/>
      <c r="AG145" s="194"/>
      <c r="AH145" s="194"/>
      <c r="AI145" s="194"/>
      <c r="AJ145" s="194"/>
      <c r="AK145" s="194"/>
      <c r="AL145" s="194"/>
      <c r="AM145" s="194"/>
      <c r="AN145" s="194"/>
      <c r="AO145" s="194"/>
      <c r="AP145" s="194"/>
      <c r="AQ145" s="194"/>
      <c r="AR145" s="194"/>
      <c r="AS145" s="194"/>
      <c r="AT145" s="194"/>
      <c r="AU145" s="194"/>
      <c r="AV145" s="194"/>
      <c r="AW145" s="194"/>
      <c r="AX145" s="194"/>
      <c r="AY145" s="194"/>
      <c r="AZ145" s="194"/>
      <c r="BA145" s="194"/>
      <c r="BB145" s="194"/>
      <c r="BC145" s="194"/>
      <c r="BY145" s="10"/>
      <c r="BZ145" s="62"/>
      <c r="CA145" s="10"/>
      <c r="CB145" s="10"/>
      <c r="CC145" s="10"/>
      <c r="CD145" s="62"/>
      <c r="CE145" s="62"/>
      <c r="CF145" s="62"/>
      <c r="CG145" s="62"/>
      <c r="CH145" s="62"/>
      <c r="CI145" s="62"/>
      <c r="CJ145" s="62"/>
      <c r="CK145" s="10"/>
      <c r="CL145" s="10"/>
      <c r="CT145" s="67"/>
      <c r="CU145" s="10"/>
      <c r="CV145" s="10"/>
      <c r="CW145" s="10"/>
      <c r="CX145" s="10"/>
      <c r="CY145" s="10"/>
      <c r="CZ145" s="10"/>
      <c r="DA145" s="10"/>
      <c r="DC145" s="10"/>
    </row>
    <row r="146" spans="2:156">
      <c r="BY146" s="10"/>
      <c r="BZ146" s="62"/>
      <c r="CA146" s="10"/>
      <c r="CB146" s="10"/>
      <c r="CC146" s="10"/>
      <c r="CD146" s="62"/>
      <c r="CE146" s="62"/>
      <c r="CF146" s="62"/>
      <c r="CG146" s="62"/>
      <c r="CH146" s="62"/>
      <c r="CI146" s="62"/>
      <c r="CJ146" s="62"/>
      <c r="CK146" s="10"/>
      <c r="CL146" s="10"/>
      <c r="CT146" s="67"/>
      <c r="CU146" s="10"/>
      <c r="CV146" s="10"/>
      <c r="CW146" s="10"/>
      <c r="CX146" s="10"/>
      <c r="CY146" s="10"/>
      <c r="CZ146" s="10"/>
      <c r="DA146" s="10"/>
      <c r="DC146" s="10"/>
    </row>
    <row r="147" spans="2:156">
      <c r="B147" s="16"/>
      <c r="H147" s="206"/>
      <c r="I147" s="206"/>
      <c r="J147" s="206"/>
      <c r="K147" s="206"/>
      <c r="L147" s="206"/>
      <c r="M147" s="206"/>
      <c r="N147" s="206"/>
      <c r="O147" s="206"/>
      <c r="P147" s="206"/>
      <c r="Q147" s="206"/>
      <c r="R147" s="206"/>
      <c r="S147" s="2785"/>
      <c r="T147" s="2768"/>
      <c r="U147" s="2768"/>
      <c r="V147" s="206"/>
      <c r="W147" s="206"/>
      <c r="BY147" s="10"/>
      <c r="BZ147" s="62"/>
      <c r="CA147" s="10"/>
      <c r="CB147" s="10"/>
      <c r="CC147" s="10"/>
      <c r="CD147" s="62"/>
      <c r="CE147" s="62"/>
      <c r="CF147" s="62"/>
      <c r="CG147" s="62"/>
      <c r="CH147" s="62"/>
      <c r="CI147" s="62"/>
      <c r="CJ147" s="62"/>
      <c r="CK147" s="10"/>
      <c r="CL147" s="10"/>
      <c r="CT147" s="67"/>
      <c r="CU147" s="10"/>
      <c r="CV147" s="10"/>
      <c r="CW147" s="10"/>
      <c r="CX147" s="10"/>
      <c r="CY147" s="10"/>
      <c r="CZ147" s="10"/>
      <c r="DA147" s="10"/>
      <c r="DC147" s="10"/>
    </row>
    <row r="148" spans="2:156">
      <c r="H148" s="167"/>
      <c r="I148" s="167"/>
      <c r="J148" s="167"/>
      <c r="K148" s="167"/>
      <c r="L148" s="167"/>
      <c r="M148" s="167"/>
      <c r="N148" s="167"/>
      <c r="O148" s="167"/>
      <c r="P148" s="167"/>
      <c r="Q148" s="167"/>
      <c r="R148" s="167"/>
      <c r="S148" s="2782"/>
      <c r="T148" s="2760"/>
      <c r="U148" s="2760"/>
      <c r="V148" s="167"/>
      <c r="W148" s="167"/>
      <c r="BY148" s="10"/>
      <c r="BZ148" s="62"/>
      <c r="CA148" s="10"/>
      <c r="CB148" s="10"/>
      <c r="CC148" s="10"/>
      <c r="CD148" s="62"/>
      <c r="CE148" s="62"/>
      <c r="CF148" s="62"/>
      <c r="CG148" s="62"/>
      <c r="CH148" s="62"/>
      <c r="CI148" s="62"/>
      <c r="CJ148" s="62"/>
      <c r="CK148" s="10"/>
      <c r="CL148" s="10"/>
      <c r="CT148" s="67"/>
      <c r="CU148" s="10"/>
      <c r="CV148" s="10"/>
      <c r="CW148" s="10"/>
      <c r="CX148" s="10"/>
      <c r="CY148" s="10"/>
      <c r="CZ148" s="10"/>
      <c r="DA148" s="10"/>
      <c r="DC148" s="10"/>
    </row>
    <row r="149" spans="2:156" s="16" customFormat="1">
      <c r="B149" s="10"/>
      <c r="C149" s="10"/>
      <c r="D149" s="10"/>
      <c r="E149" s="10"/>
      <c r="F149" s="10"/>
      <c r="G149" s="10"/>
      <c r="H149" s="167"/>
      <c r="I149" s="167"/>
      <c r="J149" s="167"/>
      <c r="K149" s="167"/>
      <c r="L149" s="167"/>
      <c r="M149" s="167"/>
      <c r="N149" s="167"/>
      <c r="O149" s="167"/>
      <c r="P149" s="167"/>
      <c r="Q149" s="167"/>
      <c r="R149" s="167"/>
      <c r="S149" s="2782"/>
      <c r="T149" s="2760"/>
      <c r="U149" s="2760"/>
      <c r="V149" s="167"/>
      <c r="W149" s="167"/>
      <c r="Z149" s="45"/>
      <c r="AA149" s="10"/>
      <c r="AB149" s="15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62"/>
      <c r="CA149" s="10"/>
      <c r="CB149" s="10"/>
      <c r="CC149" s="10"/>
      <c r="CD149" s="62"/>
      <c r="CE149" s="62"/>
      <c r="CF149" s="62"/>
      <c r="CG149" s="62"/>
      <c r="CH149" s="62"/>
      <c r="CI149" s="62"/>
      <c r="CJ149" s="62"/>
      <c r="CK149" s="10"/>
      <c r="CL149" s="10"/>
      <c r="CM149" s="2762"/>
      <c r="CN149" s="2845"/>
      <c r="CO149" s="2845"/>
      <c r="CP149" s="2845"/>
      <c r="CQ149" s="2845"/>
      <c r="CR149" s="67"/>
      <c r="CS149" s="67"/>
      <c r="CT149" s="67"/>
      <c r="CU149" s="10"/>
      <c r="CV149" s="10"/>
      <c r="CW149" s="10"/>
      <c r="CX149" s="10"/>
      <c r="CY149" s="10"/>
      <c r="CZ149" s="10"/>
      <c r="DA149" s="10"/>
      <c r="DC149" s="10"/>
      <c r="DD149" s="10"/>
      <c r="DE149" s="42"/>
      <c r="DF149" s="10"/>
      <c r="DG149" s="43"/>
      <c r="DH149" s="43"/>
      <c r="DI149" s="43"/>
      <c r="DJ149" s="44"/>
      <c r="DK149" s="44"/>
      <c r="DL149" s="44"/>
      <c r="DM149" s="44"/>
      <c r="DN149" s="44"/>
      <c r="DO149" s="10"/>
      <c r="DP149" s="10"/>
      <c r="DQ149" s="10"/>
      <c r="DR149" s="10"/>
      <c r="DS149" s="10"/>
      <c r="DT149" s="10"/>
      <c r="DU149" s="10"/>
      <c r="DV149" s="10"/>
      <c r="DW149" s="10"/>
      <c r="DX149" s="10"/>
      <c r="DY149" s="10"/>
      <c r="DZ149" s="10"/>
      <c r="EA149" s="15"/>
      <c r="EB149" s="10"/>
      <c r="EC149" s="10"/>
      <c r="ED149" s="10"/>
      <c r="EE149" s="10"/>
      <c r="EF149" s="10"/>
      <c r="EG149" s="10"/>
      <c r="EH149" s="10"/>
      <c r="EI149" s="10"/>
      <c r="EJ149" s="10"/>
      <c r="EK149" s="10"/>
      <c r="EL149" s="10"/>
      <c r="EN149" s="10"/>
      <c r="EO149" s="10"/>
      <c r="EP149" s="10"/>
      <c r="EQ149" s="10"/>
      <c r="ER149" s="10"/>
      <c r="ES149" s="10"/>
      <c r="ET149" s="10"/>
      <c r="EU149" s="10"/>
      <c r="EV149" s="10"/>
      <c r="EW149" s="10"/>
      <c r="EX149" s="10"/>
      <c r="EY149" s="10"/>
      <c r="EZ149" s="10"/>
    </row>
    <row r="150" spans="2:156">
      <c r="H150" s="167"/>
      <c r="I150" s="167"/>
      <c r="J150" s="167"/>
      <c r="K150" s="167"/>
      <c r="L150" s="167"/>
      <c r="M150" s="167"/>
      <c r="N150" s="167"/>
      <c r="O150" s="167"/>
      <c r="P150" s="167"/>
      <c r="Q150" s="167"/>
      <c r="R150" s="167"/>
      <c r="S150" s="2782"/>
      <c r="T150" s="2760"/>
      <c r="U150" s="2760"/>
      <c r="V150" s="167"/>
      <c r="W150" s="167"/>
      <c r="AA150" s="16"/>
      <c r="AB150" s="200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201"/>
      <c r="AN150" s="201"/>
      <c r="AO150" s="201"/>
      <c r="AP150" s="201"/>
      <c r="AQ150" s="201"/>
      <c r="AR150" s="201"/>
      <c r="AS150" s="201"/>
      <c r="AT150" s="201"/>
      <c r="AU150" s="201"/>
      <c r="AV150" s="201"/>
      <c r="AW150" s="201"/>
      <c r="AX150" s="201"/>
      <c r="AY150" s="201"/>
      <c r="AZ150" s="201"/>
      <c r="BA150" s="201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392"/>
      <c r="CA150" s="16"/>
      <c r="CB150" s="16"/>
      <c r="CC150" s="16"/>
      <c r="CD150" s="392"/>
      <c r="CE150" s="392"/>
      <c r="CF150" s="392"/>
      <c r="CG150" s="392"/>
      <c r="CH150" s="392"/>
      <c r="CI150" s="392"/>
      <c r="CJ150" s="392"/>
      <c r="CK150" s="16"/>
      <c r="CL150" s="16"/>
      <c r="CM150" s="2777"/>
      <c r="CN150" s="3390"/>
      <c r="CO150" s="3390"/>
      <c r="CP150" s="3390"/>
      <c r="CQ150" s="3390"/>
      <c r="CR150" s="2184"/>
      <c r="CS150" s="2184"/>
      <c r="CT150" s="2184"/>
      <c r="CU150" s="16"/>
      <c r="CV150" s="16"/>
      <c r="CW150" s="16"/>
      <c r="CX150" s="16"/>
      <c r="CY150" s="16"/>
      <c r="CZ150" s="16"/>
      <c r="DA150" s="16"/>
      <c r="DC150" s="16"/>
      <c r="DD150" s="16"/>
      <c r="DE150" s="202"/>
      <c r="DF150" s="16"/>
      <c r="ER150" s="16"/>
      <c r="ES150" s="16"/>
      <c r="ET150" s="16"/>
      <c r="EU150" s="16"/>
      <c r="EV150" s="16"/>
      <c r="EW150" s="16"/>
      <c r="EX150" s="16"/>
      <c r="EY150" s="16"/>
      <c r="EZ150" s="16"/>
    </row>
    <row r="151" spans="2:156">
      <c r="H151" s="203"/>
      <c r="I151" s="203"/>
      <c r="J151" s="203"/>
      <c r="K151" s="203"/>
      <c r="L151" s="203"/>
      <c r="M151" s="740"/>
      <c r="N151" s="740"/>
      <c r="O151" s="740"/>
      <c r="P151" s="740"/>
      <c r="Q151" s="190"/>
      <c r="R151" s="190"/>
      <c r="S151" s="956"/>
      <c r="T151" s="2724"/>
      <c r="U151" s="2724"/>
      <c r="V151" s="190"/>
      <c r="W151" s="190"/>
      <c r="AA151" s="16"/>
      <c r="AB151" s="200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08"/>
      <c r="AN151" s="108"/>
      <c r="AO151" s="108"/>
      <c r="AP151" s="108"/>
      <c r="AQ151" s="108"/>
      <c r="AR151" s="108"/>
      <c r="AS151" s="108"/>
      <c r="AT151" s="108"/>
      <c r="AU151" s="108"/>
      <c r="AV151" s="108"/>
      <c r="AW151" s="108"/>
      <c r="AX151" s="108"/>
      <c r="AY151" s="108"/>
      <c r="AZ151" s="108"/>
      <c r="BA151" s="108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203"/>
      <c r="BP151" s="203"/>
      <c r="BQ151" s="203"/>
      <c r="BR151" s="203"/>
      <c r="BS151" s="203"/>
      <c r="BT151" s="203"/>
      <c r="BU151" s="203"/>
      <c r="BV151" s="203"/>
      <c r="BW151" s="203"/>
      <c r="BX151" s="203"/>
      <c r="BY151" s="16"/>
      <c r="BZ151" s="392"/>
      <c r="CA151" s="16"/>
      <c r="CB151" s="16"/>
      <c r="CC151" s="16"/>
      <c r="CD151" s="392"/>
      <c r="CE151" s="392"/>
      <c r="CF151" s="392"/>
      <c r="CG151" s="392"/>
      <c r="CH151" s="392"/>
      <c r="CI151" s="392"/>
      <c r="CJ151" s="392"/>
      <c r="CK151" s="16"/>
      <c r="CL151" s="16"/>
      <c r="CM151" s="2777"/>
      <c r="CN151" s="3390"/>
      <c r="CO151" s="3390"/>
      <c r="CP151" s="3390"/>
      <c r="CQ151" s="3390"/>
      <c r="CR151" s="2184"/>
      <c r="CS151" s="2184"/>
      <c r="CT151" s="2184"/>
      <c r="CU151" s="16"/>
      <c r="CV151" s="16"/>
      <c r="CW151" s="16"/>
      <c r="CX151" s="16"/>
      <c r="CY151" s="16"/>
      <c r="CZ151" s="16"/>
      <c r="DA151" s="16"/>
      <c r="DC151" s="16"/>
      <c r="DD151" s="16"/>
      <c r="DE151" s="202"/>
      <c r="DF151" s="16"/>
      <c r="ER151" s="16"/>
      <c r="ES151" s="16"/>
      <c r="ET151" s="16"/>
      <c r="EU151" s="16"/>
      <c r="EV151" s="16"/>
      <c r="EW151" s="16"/>
      <c r="EX151" s="16"/>
      <c r="EY151" s="16"/>
      <c r="EZ151" s="16"/>
    </row>
    <row r="152" spans="2:156">
      <c r="H152" s="203"/>
      <c r="I152" s="203"/>
      <c r="J152" s="203"/>
      <c r="K152" s="203"/>
      <c r="L152" s="203"/>
      <c r="M152" s="740"/>
      <c r="N152" s="740"/>
      <c r="O152" s="740"/>
      <c r="P152" s="740"/>
      <c r="Q152" s="190"/>
      <c r="R152" s="190"/>
      <c r="S152" s="956"/>
      <c r="T152" s="2724"/>
      <c r="U152" s="2724"/>
      <c r="V152" s="190"/>
      <c r="W152" s="190"/>
      <c r="AA152" s="16"/>
      <c r="AB152" s="200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08"/>
      <c r="AN152" s="108"/>
      <c r="AO152" s="108"/>
      <c r="AP152" s="108"/>
      <c r="AQ152" s="108"/>
      <c r="AR152" s="108"/>
      <c r="AS152" s="108"/>
      <c r="AT152" s="108"/>
      <c r="AU152" s="108"/>
      <c r="AV152" s="108"/>
      <c r="AW152" s="108"/>
      <c r="AX152" s="108"/>
      <c r="AY152" s="108"/>
      <c r="AZ152" s="108"/>
      <c r="BA152" s="108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203"/>
      <c r="BP152" s="203"/>
      <c r="BQ152" s="203"/>
      <c r="BR152" s="203"/>
      <c r="BS152" s="203"/>
      <c r="BT152" s="203"/>
      <c r="BU152" s="203"/>
      <c r="BV152" s="203"/>
      <c r="BW152" s="203"/>
      <c r="BX152" s="203"/>
      <c r="BY152" s="16"/>
      <c r="BZ152" s="392"/>
      <c r="CA152" s="16"/>
      <c r="CB152" s="16"/>
      <c r="CC152" s="16"/>
      <c r="CD152" s="392"/>
      <c r="CE152" s="392"/>
      <c r="CF152" s="392"/>
      <c r="CG152" s="392"/>
      <c r="CH152" s="392"/>
      <c r="CI152" s="392"/>
      <c r="CJ152" s="392"/>
      <c r="CK152" s="16"/>
      <c r="CL152" s="16"/>
      <c r="CM152" s="2777"/>
      <c r="CN152" s="3390"/>
      <c r="CO152" s="3390"/>
      <c r="CP152" s="3390"/>
      <c r="CQ152" s="3390"/>
      <c r="CR152" s="2184"/>
      <c r="CS152" s="2184"/>
      <c r="CT152" s="2184"/>
      <c r="CU152" s="16"/>
      <c r="CV152" s="16"/>
      <c r="CW152" s="16"/>
      <c r="CX152" s="16"/>
      <c r="CY152" s="16"/>
      <c r="CZ152" s="16"/>
      <c r="DA152" s="16"/>
      <c r="DC152" s="16"/>
      <c r="DD152" s="16"/>
      <c r="DE152" s="202"/>
      <c r="DF152" s="16"/>
      <c r="ER152" s="16"/>
      <c r="ES152" s="16"/>
      <c r="ET152" s="16"/>
      <c r="EU152" s="16"/>
      <c r="EV152" s="16"/>
      <c r="EW152" s="16"/>
      <c r="EX152" s="16"/>
      <c r="EY152" s="16"/>
      <c r="EZ152" s="16"/>
    </row>
    <row r="153" spans="2:156">
      <c r="B153" s="28"/>
      <c r="H153" s="85"/>
      <c r="I153" s="85"/>
      <c r="J153" s="85"/>
      <c r="K153" s="85"/>
      <c r="L153" s="85"/>
      <c r="M153" s="140"/>
      <c r="N153" s="140"/>
      <c r="O153" s="140"/>
      <c r="P153" s="140"/>
      <c r="Q153" s="1146"/>
      <c r="R153" s="1146"/>
      <c r="S153" s="2786"/>
      <c r="T153" s="2599"/>
      <c r="U153" s="2599"/>
      <c r="V153" s="1146"/>
      <c r="W153" s="1146"/>
      <c r="AA153" s="16"/>
      <c r="AB153" s="200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08"/>
      <c r="AN153" s="108"/>
      <c r="AO153" s="108"/>
      <c r="AP153" s="108"/>
      <c r="AQ153" s="108"/>
      <c r="AR153" s="108"/>
      <c r="AS153" s="108"/>
      <c r="AT153" s="108"/>
      <c r="AU153" s="108"/>
      <c r="AV153" s="108"/>
      <c r="AW153" s="108"/>
      <c r="AX153" s="108"/>
      <c r="AY153" s="108"/>
      <c r="AZ153" s="108"/>
      <c r="BA153" s="108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203"/>
      <c r="BP153" s="203"/>
      <c r="BQ153" s="203"/>
      <c r="BR153" s="203"/>
      <c r="BS153" s="203"/>
      <c r="BT153" s="203"/>
      <c r="BU153" s="203"/>
      <c r="BV153" s="203"/>
      <c r="BW153" s="203"/>
      <c r="BX153" s="203"/>
      <c r="BY153" s="16"/>
      <c r="BZ153" s="392"/>
      <c r="CA153" s="16"/>
      <c r="CB153" s="16"/>
      <c r="CC153" s="16"/>
      <c r="CD153" s="392"/>
      <c r="CE153" s="392"/>
      <c r="CF153" s="392"/>
      <c r="CG153" s="392"/>
      <c r="CH153" s="392"/>
      <c r="CI153" s="392"/>
      <c r="CJ153" s="392"/>
      <c r="CK153" s="16"/>
      <c r="CL153" s="16"/>
      <c r="CM153" s="2777"/>
      <c r="CN153" s="3390"/>
      <c r="CO153" s="3390"/>
      <c r="CP153" s="3390"/>
      <c r="CQ153" s="3390"/>
      <c r="CR153" s="2184"/>
      <c r="CS153" s="2184"/>
      <c r="CT153" s="2184"/>
      <c r="CU153" s="16"/>
      <c r="CV153" s="16"/>
      <c r="CW153" s="16"/>
      <c r="CX153" s="16"/>
      <c r="CY153" s="16"/>
      <c r="CZ153" s="16"/>
      <c r="DA153" s="16"/>
      <c r="DC153" s="16"/>
      <c r="DD153" s="16"/>
      <c r="DE153" s="202"/>
      <c r="DF153" s="16"/>
      <c r="ER153" s="16"/>
      <c r="ES153" s="16"/>
      <c r="ET153" s="16"/>
      <c r="EU153" s="16"/>
      <c r="EV153" s="16"/>
      <c r="EW153" s="16"/>
      <c r="EX153" s="16"/>
      <c r="EY153" s="16"/>
      <c r="EZ153" s="16"/>
    </row>
    <row r="154" spans="2:156">
      <c r="B154" s="28"/>
      <c r="H154" s="85"/>
      <c r="I154" s="85"/>
      <c r="J154" s="85"/>
      <c r="K154" s="85"/>
      <c r="L154" s="85"/>
      <c r="M154" s="140"/>
      <c r="N154" s="140"/>
      <c r="O154" s="140"/>
      <c r="P154" s="140"/>
      <c r="Q154" s="1146"/>
      <c r="R154" s="1146"/>
      <c r="S154" s="2786"/>
      <c r="T154" s="2599"/>
      <c r="U154" s="2599"/>
      <c r="V154" s="1146"/>
      <c r="W154" s="1146"/>
      <c r="AA154" s="16"/>
      <c r="AB154" s="200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08"/>
      <c r="AN154" s="108"/>
      <c r="AO154" s="108"/>
      <c r="AP154" s="108"/>
      <c r="AQ154" s="108"/>
      <c r="AR154" s="108"/>
      <c r="AS154" s="108"/>
      <c r="AT154" s="108"/>
      <c r="AU154" s="108"/>
      <c r="AV154" s="108"/>
      <c r="AW154" s="108"/>
      <c r="AX154" s="108"/>
      <c r="AY154" s="108"/>
      <c r="AZ154" s="108"/>
      <c r="BA154" s="108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203"/>
      <c r="BP154" s="203"/>
      <c r="BQ154" s="203"/>
      <c r="BR154" s="203"/>
      <c r="BS154" s="203"/>
      <c r="BT154" s="203"/>
      <c r="BU154" s="203"/>
      <c r="BV154" s="203"/>
      <c r="BW154" s="203"/>
      <c r="BX154" s="203"/>
      <c r="BY154" s="16"/>
      <c r="BZ154" s="392"/>
      <c r="CA154" s="16"/>
      <c r="CB154" s="16"/>
      <c r="CC154" s="16"/>
      <c r="CD154" s="392"/>
      <c r="CE154" s="392"/>
      <c r="CF154" s="392"/>
      <c r="CG154" s="392"/>
      <c r="CH154" s="392"/>
      <c r="CI154" s="392"/>
      <c r="CJ154" s="392"/>
      <c r="CK154" s="16"/>
      <c r="CL154" s="16"/>
      <c r="CM154" s="2777"/>
      <c r="CN154" s="3390"/>
      <c r="CO154" s="3390"/>
      <c r="CP154" s="3390"/>
      <c r="CQ154" s="3390"/>
      <c r="CR154" s="2184"/>
      <c r="CS154" s="2184"/>
      <c r="CT154" s="2184"/>
      <c r="CU154" s="16"/>
      <c r="CV154" s="16"/>
      <c r="CW154" s="16"/>
      <c r="CX154" s="16"/>
      <c r="CY154" s="16"/>
      <c r="CZ154" s="16"/>
      <c r="DA154" s="16"/>
      <c r="DC154" s="16"/>
      <c r="DD154" s="16"/>
      <c r="DE154" s="202"/>
      <c r="DF154" s="16"/>
      <c r="ER154" s="16"/>
      <c r="ES154" s="16"/>
      <c r="ET154" s="16"/>
      <c r="EU154" s="16"/>
      <c r="EV154" s="16"/>
      <c r="EW154" s="16"/>
      <c r="EX154" s="16"/>
      <c r="EY154" s="16"/>
      <c r="EZ154" s="16"/>
    </row>
    <row r="155" spans="2:156">
      <c r="B155" s="28"/>
      <c r="H155" s="85"/>
      <c r="I155" s="85"/>
      <c r="J155" s="85"/>
      <c r="K155" s="85"/>
      <c r="L155" s="85"/>
      <c r="M155" s="140"/>
      <c r="N155" s="140"/>
      <c r="O155" s="140"/>
      <c r="P155" s="140"/>
      <c r="Q155" s="1146"/>
      <c r="R155" s="1146"/>
      <c r="S155" s="2786"/>
      <c r="T155" s="2599"/>
      <c r="U155" s="2599"/>
      <c r="V155" s="1146"/>
      <c r="W155" s="1146"/>
      <c r="AA155" s="16"/>
      <c r="AB155" s="200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08"/>
      <c r="AN155" s="108"/>
      <c r="AO155" s="108"/>
      <c r="AP155" s="108"/>
      <c r="AQ155" s="108"/>
      <c r="AR155" s="108"/>
      <c r="AS155" s="108"/>
      <c r="AT155" s="108"/>
      <c r="AU155" s="108"/>
      <c r="AV155" s="108"/>
      <c r="AW155" s="108"/>
      <c r="AX155" s="108"/>
      <c r="AY155" s="108"/>
      <c r="AZ155" s="108"/>
      <c r="BA155" s="108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203"/>
      <c r="BP155" s="203"/>
      <c r="BQ155" s="203"/>
      <c r="BR155" s="203"/>
      <c r="BS155" s="203"/>
      <c r="BT155" s="203"/>
      <c r="BU155" s="203"/>
      <c r="BV155" s="203"/>
      <c r="BW155" s="203"/>
      <c r="BX155" s="203"/>
      <c r="BY155" s="16"/>
      <c r="BZ155" s="392"/>
      <c r="CA155" s="16"/>
      <c r="CB155" s="16"/>
      <c r="CC155" s="16"/>
      <c r="CD155" s="392"/>
      <c r="CE155" s="392"/>
      <c r="CF155" s="392"/>
      <c r="CG155" s="392"/>
      <c r="CH155" s="392"/>
      <c r="CI155" s="392"/>
      <c r="CJ155" s="392"/>
      <c r="CK155" s="16"/>
      <c r="CL155" s="16"/>
      <c r="CM155" s="2777"/>
      <c r="CN155" s="3390"/>
      <c r="CO155" s="3390"/>
      <c r="CP155" s="3390"/>
      <c r="CQ155" s="3390"/>
      <c r="CR155" s="2184"/>
      <c r="CS155" s="2184"/>
      <c r="CT155" s="2184"/>
      <c r="CU155" s="16"/>
      <c r="CV155" s="16"/>
      <c r="CW155" s="16"/>
      <c r="CX155" s="16"/>
      <c r="CY155" s="16"/>
      <c r="CZ155" s="16"/>
      <c r="DA155" s="16"/>
      <c r="DC155" s="16"/>
      <c r="DD155" s="16"/>
      <c r="DE155" s="202"/>
      <c r="DF155" s="16"/>
      <c r="ER155" s="16"/>
      <c r="ES155" s="16"/>
      <c r="ET155" s="16"/>
      <c r="EU155" s="16"/>
      <c r="EV155" s="16"/>
      <c r="EW155" s="16"/>
      <c r="EX155" s="16"/>
      <c r="EY155" s="16"/>
      <c r="EZ155" s="16"/>
    </row>
    <row r="156" spans="2:156">
      <c r="B156" s="28"/>
      <c r="H156" s="85"/>
      <c r="I156" s="85"/>
      <c r="J156" s="85"/>
      <c r="K156" s="85"/>
      <c r="L156" s="85"/>
      <c r="M156" s="140"/>
      <c r="N156" s="140"/>
      <c r="O156" s="140"/>
      <c r="P156" s="140"/>
      <c r="Q156" s="1146"/>
      <c r="R156" s="1146"/>
      <c r="S156" s="2786"/>
      <c r="T156" s="2599"/>
      <c r="U156" s="2599"/>
      <c r="V156" s="1146"/>
      <c r="W156" s="1146"/>
      <c r="AA156" s="16"/>
      <c r="AB156" s="200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08"/>
      <c r="AN156" s="108"/>
      <c r="AO156" s="108"/>
      <c r="AP156" s="108"/>
      <c r="AQ156" s="108"/>
      <c r="AR156" s="108"/>
      <c r="AS156" s="108"/>
      <c r="AT156" s="108"/>
      <c r="AU156" s="108"/>
      <c r="AV156" s="108"/>
      <c r="AW156" s="108"/>
      <c r="AX156" s="108"/>
      <c r="AY156" s="108"/>
      <c r="AZ156" s="108"/>
      <c r="BA156" s="108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203"/>
      <c r="BP156" s="203"/>
      <c r="BQ156" s="203"/>
      <c r="BR156" s="203"/>
      <c r="BS156" s="203"/>
      <c r="BT156" s="203"/>
      <c r="BU156" s="203"/>
      <c r="BV156" s="203"/>
      <c r="BW156" s="203"/>
      <c r="BX156" s="203"/>
      <c r="BY156" s="16"/>
      <c r="BZ156" s="392"/>
      <c r="CA156" s="16"/>
      <c r="CB156" s="16"/>
      <c r="CC156" s="16"/>
      <c r="CD156" s="392"/>
      <c r="CE156" s="392"/>
      <c r="CF156" s="392"/>
      <c r="CG156" s="392"/>
      <c r="CH156" s="392"/>
      <c r="CI156" s="392"/>
      <c r="CJ156" s="392"/>
      <c r="CK156" s="16"/>
      <c r="CL156" s="16"/>
      <c r="CM156" s="2777"/>
      <c r="CN156" s="3390"/>
      <c r="CO156" s="3390"/>
      <c r="CP156" s="3390"/>
      <c r="CQ156" s="3390"/>
      <c r="CR156" s="2184"/>
      <c r="CS156" s="2184"/>
      <c r="CT156" s="2184"/>
      <c r="CU156" s="16"/>
      <c r="CV156" s="16"/>
      <c r="CW156" s="16"/>
      <c r="CX156" s="16"/>
      <c r="CY156" s="16"/>
      <c r="CZ156" s="16"/>
      <c r="DA156" s="16"/>
      <c r="DC156" s="16"/>
      <c r="DD156" s="16"/>
      <c r="DE156" s="202"/>
      <c r="DF156" s="16"/>
      <c r="ER156" s="16"/>
      <c r="ES156" s="16"/>
      <c r="ET156" s="16"/>
      <c r="EU156" s="16"/>
      <c r="EV156" s="16"/>
      <c r="EW156" s="16"/>
      <c r="EX156" s="16"/>
      <c r="EY156" s="16"/>
      <c r="EZ156" s="16"/>
    </row>
    <row r="157" spans="2:156">
      <c r="H157" s="203"/>
      <c r="I157" s="203"/>
      <c r="J157" s="203"/>
      <c r="K157" s="203"/>
      <c r="L157" s="203"/>
      <c r="M157" s="740"/>
      <c r="N157" s="740"/>
      <c r="O157" s="740"/>
      <c r="P157" s="740"/>
      <c r="Q157" s="190"/>
      <c r="R157" s="190"/>
      <c r="S157" s="956"/>
      <c r="T157" s="2724"/>
      <c r="U157" s="2724"/>
      <c r="V157" s="190"/>
      <c r="W157" s="190"/>
      <c r="AA157" s="16"/>
      <c r="AB157" s="200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08"/>
      <c r="AN157" s="108"/>
      <c r="AO157" s="108"/>
      <c r="AP157" s="108"/>
      <c r="AQ157" s="108"/>
      <c r="AR157" s="108"/>
      <c r="AS157" s="108"/>
      <c r="AT157" s="108"/>
      <c r="AU157" s="108"/>
      <c r="AV157" s="108"/>
      <c r="AW157" s="108"/>
      <c r="AX157" s="108"/>
      <c r="AY157" s="108"/>
      <c r="AZ157" s="108"/>
      <c r="BA157" s="108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203"/>
      <c r="BP157" s="203"/>
      <c r="BQ157" s="203"/>
      <c r="BR157" s="203"/>
      <c r="BS157" s="203"/>
      <c r="BT157" s="203"/>
      <c r="BU157" s="203"/>
      <c r="BV157" s="203"/>
      <c r="BW157" s="203"/>
      <c r="BX157" s="203"/>
      <c r="BY157" s="16"/>
      <c r="BZ157" s="392"/>
      <c r="CA157" s="16"/>
      <c r="CB157" s="16"/>
      <c r="CC157" s="16"/>
      <c r="CD157" s="392"/>
      <c r="CE157" s="392"/>
      <c r="CF157" s="392"/>
      <c r="CG157" s="392"/>
      <c r="CH157" s="392"/>
      <c r="CI157" s="392"/>
      <c r="CJ157" s="392"/>
      <c r="CK157" s="16"/>
      <c r="CL157" s="16"/>
      <c r="CM157" s="2777"/>
      <c r="CN157" s="3390"/>
      <c r="CO157" s="3390"/>
      <c r="CP157" s="3390"/>
      <c r="CQ157" s="3390"/>
      <c r="CR157" s="2184"/>
      <c r="CS157" s="2184"/>
      <c r="CT157" s="2184"/>
      <c r="CU157" s="16"/>
      <c r="CV157" s="16"/>
      <c r="CW157" s="16"/>
      <c r="CX157" s="16"/>
      <c r="CY157" s="16"/>
      <c r="CZ157" s="16"/>
      <c r="DA157" s="16"/>
      <c r="DC157" s="16"/>
      <c r="DD157" s="16"/>
      <c r="DE157" s="202"/>
      <c r="DF157" s="16"/>
      <c r="DO157" s="16"/>
      <c r="DP157" s="16"/>
      <c r="DQ157" s="16"/>
      <c r="DR157" s="16"/>
      <c r="DS157" s="16"/>
      <c r="DT157" s="16"/>
      <c r="DU157" s="16"/>
      <c r="DV157" s="16"/>
      <c r="DW157" s="16"/>
      <c r="DX157" s="16"/>
      <c r="DY157" s="16"/>
      <c r="DZ157" s="16"/>
      <c r="EB157" s="16"/>
      <c r="EC157" s="16"/>
      <c r="ED157" s="16"/>
      <c r="EE157" s="16"/>
      <c r="EG157" s="16"/>
      <c r="EH157" s="16"/>
      <c r="EI157" s="16"/>
      <c r="EJ157" s="16"/>
      <c r="EK157" s="16"/>
      <c r="ER157" s="16"/>
      <c r="ES157" s="16"/>
      <c r="ET157" s="16"/>
      <c r="EU157" s="16"/>
      <c r="EV157" s="16"/>
      <c r="EW157" s="16"/>
      <c r="EX157" s="16"/>
      <c r="EY157" s="16"/>
      <c r="EZ157" s="16"/>
    </row>
    <row r="158" spans="2:156">
      <c r="B158" s="16"/>
      <c r="C158" s="16"/>
      <c r="D158" s="16"/>
      <c r="E158" s="16"/>
      <c r="F158" s="16"/>
      <c r="G158" s="16"/>
      <c r="H158" s="199"/>
      <c r="I158" s="199"/>
      <c r="J158" s="199"/>
      <c r="K158" s="199"/>
      <c r="L158" s="199"/>
      <c r="M158" s="2100"/>
      <c r="N158" s="2100"/>
      <c r="O158" s="2100"/>
      <c r="P158" s="2100"/>
      <c r="Q158" s="1310"/>
      <c r="R158" s="1310"/>
      <c r="S158" s="2787"/>
      <c r="T158" s="2723"/>
      <c r="U158" s="2723"/>
      <c r="V158" s="1310"/>
      <c r="W158" s="1310"/>
      <c r="AM158" s="73"/>
      <c r="AN158" s="73"/>
      <c r="AO158" s="73"/>
      <c r="AP158" s="73"/>
      <c r="AQ158" s="73"/>
      <c r="AR158" s="73"/>
      <c r="AS158" s="73"/>
      <c r="AT158" s="73"/>
      <c r="AU158" s="73"/>
      <c r="AV158" s="73"/>
      <c r="AW158" s="73"/>
      <c r="AX158" s="73"/>
      <c r="AY158" s="73"/>
      <c r="AZ158" s="73"/>
      <c r="BA158" s="73"/>
      <c r="BY158" s="10"/>
      <c r="BZ158" s="62"/>
      <c r="CA158" s="10"/>
      <c r="CB158" s="10"/>
      <c r="CC158" s="10"/>
      <c r="CD158" s="62"/>
      <c r="CE158" s="62"/>
      <c r="CF158" s="62"/>
      <c r="CG158" s="62"/>
      <c r="CH158" s="62"/>
      <c r="CI158" s="62"/>
      <c r="CJ158" s="62"/>
      <c r="CK158" s="10"/>
      <c r="CL158" s="10"/>
      <c r="CT158" s="67"/>
      <c r="CU158" s="10"/>
      <c r="CV158" s="10"/>
      <c r="CW158" s="10"/>
      <c r="CX158" s="10"/>
      <c r="CY158" s="10"/>
      <c r="CZ158" s="10"/>
      <c r="DA158" s="10"/>
      <c r="DC158" s="10"/>
    </row>
    <row r="159" spans="2:156">
      <c r="H159" s="203"/>
      <c r="I159" s="203"/>
      <c r="J159" s="203"/>
      <c r="K159" s="203"/>
      <c r="L159" s="325"/>
      <c r="M159" s="740"/>
      <c r="N159" s="740"/>
      <c r="O159" s="740"/>
      <c r="P159" s="740"/>
      <c r="Q159" s="190"/>
      <c r="R159" s="190"/>
      <c r="S159" s="956"/>
      <c r="T159" s="2724"/>
      <c r="U159" s="2724"/>
      <c r="V159" s="190"/>
      <c r="W159" s="190"/>
      <c r="AA159" s="16"/>
      <c r="AB159" s="200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392"/>
      <c r="CA159" s="16"/>
      <c r="CB159" s="16"/>
      <c r="CC159" s="16"/>
      <c r="CD159" s="392"/>
      <c r="CE159" s="392"/>
      <c r="CF159" s="392"/>
      <c r="CG159" s="392"/>
      <c r="CH159" s="392"/>
      <c r="CI159" s="392"/>
      <c r="CJ159" s="392"/>
      <c r="CK159" s="16"/>
      <c r="CL159" s="16"/>
      <c r="CM159" s="2777"/>
      <c r="CN159" s="3390"/>
      <c r="CO159" s="3390"/>
      <c r="CP159" s="3390"/>
      <c r="CQ159" s="3390"/>
      <c r="CR159" s="2184"/>
      <c r="CS159" s="2184"/>
      <c r="CT159" s="2184"/>
      <c r="CU159" s="16"/>
      <c r="CV159" s="16"/>
      <c r="CW159" s="16"/>
      <c r="CX159" s="16"/>
      <c r="CY159" s="16"/>
      <c r="CZ159" s="16"/>
      <c r="DA159" s="16"/>
      <c r="DC159" s="16"/>
      <c r="DD159" s="16"/>
      <c r="DE159" s="202"/>
      <c r="DF159" s="16"/>
      <c r="ER159" s="16"/>
      <c r="ES159" s="16"/>
      <c r="ET159" s="16"/>
      <c r="EU159" s="16"/>
      <c r="EV159" s="16"/>
      <c r="EW159" s="16"/>
      <c r="EX159" s="16"/>
      <c r="EY159" s="16"/>
      <c r="EZ159" s="16"/>
    </row>
    <row r="160" spans="2:156">
      <c r="H160" s="203"/>
      <c r="I160" s="203"/>
      <c r="J160" s="203"/>
      <c r="K160" s="203"/>
      <c r="L160" s="325"/>
      <c r="M160" s="740"/>
      <c r="N160" s="740"/>
      <c r="O160" s="740"/>
      <c r="P160" s="740"/>
      <c r="Q160" s="190"/>
      <c r="R160" s="190"/>
      <c r="S160" s="956"/>
      <c r="T160" s="2724"/>
      <c r="U160" s="2724"/>
      <c r="V160" s="190"/>
      <c r="W160" s="190"/>
      <c r="AA160" s="16"/>
      <c r="AB160" s="200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392"/>
      <c r="CA160" s="16"/>
      <c r="CB160" s="16"/>
      <c r="CC160" s="16"/>
      <c r="CD160" s="392"/>
      <c r="CE160" s="392"/>
      <c r="CF160" s="392"/>
      <c r="CG160" s="392"/>
      <c r="CH160" s="392"/>
      <c r="CI160" s="392"/>
      <c r="CJ160" s="392"/>
      <c r="CK160" s="16"/>
      <c r="CL160" s="16"/>
      <c r="CM160" s="2777"/>
      <c r="CN160" s="3390"/>
      <c r="CO160" s="3390"/>
      <c r="CP160" s="3390"/>
      <c r="CQ160" s="3390"/>
      <c r="CR160" s="2184"/>
      <c r="CS160" s="2184"/>
      <c r="CT160" s="2184"/>
      <c r="CU160" s="16"/>
      <c r="CV160" s="16"/>
      <c r="CW160" s="16"/>
      <c r="CX160" s="16"/>
      <c r="CY160" s="16"/>
      <c r="CZ160" s="16"/>
      <c r="DA160" s="16"/>
      <c r="DC160" s="16"/>
      <c r="DD160" s="16"/>
      <c r="DE160" s="202"/>
      <c r="DF160" s="16"/>
      <c r="ER160" s="16"/>
      <c r="ES160" s="16"/>
      <c r="ET160" s="16"/>
      <c r="EU160" s="16"/>
      <c r="EV160" s="16"/>
      <c r="EW160" s="16"/>
      <c r="EX160" s="16"/>
      <c r="EY160" s="16"/>
      <c r="EZ160" s="16"/>
    </row>
    <row r="161" spans="2:156">
      <c r="H161" s="203"/>
      <c r="I161" s="203"/>
      <c r="J161" s="203"/>
      <c r="K161" s="203"/>
      <c r="L161" s="325"/>
      <c r="M161" s="740"/>
      <c r="N161" s="740"/>
      <c r="O161" s="740"/>
      <c r="P161" s="740"/>
      <c r="Q161" s="190"/>
      <c r="R161" s="190"/>
      <c r="S161" s="956"/>
      <c r="T161" s="2724"/>
      <c r="U161" s="2724"/>
      <c r="V161" s="190"/>
      <c r="W161" s="190"/>
      <c r="AA161" s="16"/>
      <c r="AB161" s="200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392"/>
      <c r="CA161" s="16"/>
      <c r="CB161" s="16"/>
      <c r="CC161" s="16"/>
      <c r="CD161" s="392"/>
      <c r="CE161" s="392"/>
      <c r="CF161" s="392"/>
      <c r="CG161" s="392"/>
      <c r="CH161" s="392"/>
      <c r="CI161" s="392"/>
      <c r="CJ161" s="392"/>
      <c r="CK161" s="16"/>
      <c r="CL161" s="16"/>
      <c r="CM161" s="2777"/>
      <c r="CN161" s="3390"/>
      <c r="CO161" s="3390"/>
      <c r="CP161" s="3390"/>
      <c r="CQ161" s="3390"/>
      <c r="CR161" s="2184"/>
      <c r="CS161" s="2184"/>
      <c r="CT161" s="2184"/>
      <c r="CU161" s="16"/>
      <c r="CV161" s="16"/>
      <c r="CW161" s="16"/>
      <c r="CX161" s="16"/>
      <c r="CY161" s="16"/>
      <c r="CZ161" s="16"/>
      <c r="DA161" s="16"/>
      <c r="DC161" s="16"/>
      <c r="DD161" s="16"/>
      <c r="DE161" s="202"/>
      <c r="DF161" s="16"/>
      <c r="ER161" s="16"/>
      <c r="ES161" s="16"/>
      <c r="ET161" s="16"/>
      <c r="EU161" s="16"/>
      <c r="EV161" s="16"/>
      <c r="EW161" s="16"/>
      <c r="EX161" s="16"/>
      <c r="EY161" s="16"/>
      <c r="EZ161" s="16"/>
    </row>
    <row r="162" spans="2:156">
      <c r="H162" s="203"/>
      <c r="I162" s="203"/>
      <c r="J162" s="203"/>
      <c r="K162" s="203"/>
      <c r="L162" s="325"/>
      <c r="M162" s="740"/>
      <c r="N162" s="740"/>
      <c r="O162" s="740"/>
      <c r="P162" s="740"/>
      <c r="Q162" s="190"/>
      <c r="R162" s="190"/>
      <c r="S162" s="956"/>
      <c r="T162" s="2724"/>
      <c r="U162" s="2724"/>
      <c r="V162" s="190"/>
      <c r="W162" s="190"/>
      <c r="AA162" s="16"/>
      <c r="AB162" s="200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392"/>
      <c r="CA162" s="16"/>
      <c r="CB162" s="16"/>
      <c r="CC162" s="16"/>
      <c r="CD162" s="392"/>
      <c r="CE162" s="392"/>
      <c r="CF162" s="392"/>
      <c r="CG162" s="392"/>
      <c r="CH162" s="392"/>
      <c r="CI162" s="392"/>
      <c r="CJ162" s="392"/>
      <c r="CK162" s="16"/>
      <c r="CL162" s="16"/>
      <c r="CM162" s="2777"/>
      <c r="CN162" s="3390"/>
      <c r="CO162" s="3390"/>
      <c r="CP162" s="3390"/>
      <c r="CQ162" s="3390"/>
      <c r="CR162" s="2184"/>
      <c r="CS162" s="2184"/>
      <c r="CT162" s="2184"/>
      <c r="CU162" s="16"/>
      <c r="CV162" s="16"/>
      <c r="CW162" s="16"/>
      <c r="CX162" s="16"/>
      <c r="CY162" s="16"/>
      <c r="CZ162" s="16"/>
      <c r="DA162" s="16"/>
      <c r="DC162" s="16"/>
      <c r="DD162" s="16"/>
      <c r="DE162" s="202"/>
      <c r="DF162" s="16"/>
      <c r="ER162" s="16"/>
      <c r="ES162" s="16"/>
      <c r="ET162" s="16"/>
      <c r="EU162" s="16"/>
      <c r="EV162" s="16"/>
      <c r="EW162" s="16"/>
      <c r="EX162" s="16"/>
      <c r="EY162" s="16"/>
      <c r="EZ162" s="16"/>
    </row>
    <row r="163" spans="2:156">
      <c r="H163" s="203"/>
      <c r="I163" s="203"/>
      <c r="J163" s="203"/>
      <c r="K163" s="203"/>
      <c r="L163" s="203"/>
      <c r="M163" s="740"/>
      <c r="N163" s="740"/>
      <c r="O163" s="740"/>
      <c r="P163" s="740"/>
      <c r="Q163" s="190"/>
      <c r="R163" s="190"/>
      <c r="S163" s="956"/>
      <c r="T163" s="2724"/>
      <c r="U163" s="2724"/>
      <c r="V163" s="190"/>
      <c r="W163" s="190"/>
      <c r="AA163" s="16"/>
      <c r="AB163" s="200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6"/>
      <c r="BQ163" s="16"/>
      <c r="BR163" s="16"/>
      <c r="BS163" s="16"/>
      <c r="BT163" s="16"/>
      <c r="BU163" s="16"/>
      <c r="BV163" s="16"/>
      <c r="BW163" s="16"/>
      <c r="BX163" s="16"/>
      <c r="BY163" s="16"/>
      <c r="BZ163" s="392"/>
      <c r="CA163" s="16"/>
      <c r="CB163" s="16"/>
      <c r="CC163" s="16"/>
      <c r="CD163" s="392"/>
      <c r="CE163" s="392"/>
      <c r="CF163" s="392"/>
      <c r="CG163" s="392"/>
      <c r="CH163" s="392"/>
      <c r="CI163" s="392"/>
      <c r="CJ163" s="392"/>
      <c r="CK163" s="16"/>
      <c r="CL163" s="16"/>
      <c r="CM163" s="2777"/>
      <c r="CN163" s="3390"/>
      <c r="CO163" s="3390"/>
      <c r="CP163" s="3390"/>
      <c r="CQ163" s="3390"/>
      <c r="CR163" s="2184"/>
      <c r="CS163" s="2184"/>
      <c r="CT163" s="2184"/>
      <c r="CU163" s="16"/>
      <c r="CV163" s="16"/>
      <c r="CW163" s="16"/>
      <c r="CX163" s="16"/>
      <c r="CY163" s="16"/>
      <c r="CZ163" s="16"/>
      <c r="DA163" s="16"/>
      <c r="DC163" s="16"/>
      <c r="DD163" s="16"/>
      <c r="DE163" s="202"/>
      <c r="DF163" s="16"/>
      <c r="ER163" s="16"/>
      <c r="ES163" s="16"/>
      <c r="ET163" s="16"/>
      <c r="EU163" s="16"/>
      <c r="EV163" s="16"/>
      <c r="EW163" s="16"/>
      <c r="EX163" s="16"/>
      <c r="EY163" s="16"/>
      <c r="EZ163" s="16"/>
    </row>
    <row r="164" spans="2:156">
      <c r="H164" s="203"/>
      <c r="I164" s="203"/>
      <c r="J164" s="203"/>
      <c r="K164" s="203"/>
      <c r="M164" s="740"/>
      <c r="N164" s="740"/>
      <c r="O164" s="740"/>
      <c r="P164" s="740"/>
      <c r="Q164" s="190"/>
      <c r="R164" s="190"/>
      <c r="S164" s="956"/>
      <c r="T164" s="2724"/>
      <c r="U164" s="2724"/>
      <c r="V164" s="190"/>
      <c r="W164" s="190"/>
      <c r="AA164" s="16"/>
      <c r="AB164" s="200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392"/>
      <c r="CA164" s="16"/>
      <c r="CB164" s="16"/>
      <c r="CC164" s="16"/>
      <c r="CD164" s="392"/>
      <c r="CE164" s="392"/>
      <c r="CF164" s="392"/>
      <c r="CG164" s="392"/>
      <c r="CH164" s="392"/>
      <c r="CI164" s="392"/>
      <c r="CJ164" s="392"/>
      <c r="CK164" s="16"/>
      <c r="CL164" s="16"/>
      <c r="CM164" s="2777"/>
      <c r="CN164" s="3390"/>
      <c r="CO164" s="3390"/>
      <c r="CP164" s="3390"/>
      <c r="CQ164" s="3390"/>
      <c r="CR164" s="2184"/>
      <c r="CS164" s="2184"/>
      <c r="CT164" s="2184"/>
      <c r="CU164" s="16"/>
      <c r="CV164" s="16"/>
      <c r="CW164" s="16"/>
      <c r="CX164" s="16"/>
      <c r="CY164" s="16"/>
      <c r="CZ164" s="16"/>
      <c r="DA164" s="16"/>
      <c r="DC164" s="16"/>
      <c r="DD164" s="16"/>
      <c r="DE164" s="202"/>
      <c r="DF164" s="16"/>
      <c r="ER164" s="16"/>
      <c r="ES164" s="16"/>
      <c r="ET164" s="16"/>
      <c r="EU164" s="16"/>
      <c r="EV164" s="16"/>
      <c r="EW164" s="16"/>
      <c r="EX164" s="16"/>
      <c r="EY164" s="16"/>
      <c r="EZ164" s="16"/>
    </row>
    <row r="165" spans="2:156">
      <c r="B165" s="16"/>
      <c r="C165" s="16"/>
      <c r="D165" s="16"/>
      <c r="E165" s="16"/>
      <c r="F165" s="16"/>
      <c r="G165" s="16"/>
      <c r="H165" s="199"/>
      <c r="I165" s="199"/>
      <c r="J165" s="199"/>
      <c r="K165" s="199"/>
      <c r="L165" s="199"/>
      <c r="M165" s="2100"/>
      <c r="N165" s="2100"/>
      <c r="O165" s="2100"/>
      <c r="P165" s="2100"/>
      <c r="Q165" s="1310"/>
      <c r="R165" s="1310"/>
      <c r="S165" s="2787"/>
      <c r="T165" s="2723"/>
      <c r="U165" s="2723"/>
      <c r="V165" s="1310"/>
      <c r="W165" s="1310"/>
      <c r="AA165" s="16"/>
      <c r="AB165" s="200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6"/>
      <c r="BQ165" s="16"/>
      <c r="BR165" s="16"/>
      <c r="BS165" s="16"/>
      <c r="BT165" s="16"/>
      <c r="BU165" s="16"/>
      <c r="BV165" s="16"/>
      <c r="BW165" s="16"/>
      <c r="BX165" s="16"/>
      <c r="BY165" s="16"/>
      <c r="BZ165" s="392"/>
      <c r="CA165" s="16"/>
      <c r="CB165" s="16"/>
      <c r="CC165" s="16"/>
      <c r="CD165" s="392"/>
      <c r="CE165" s="392"/>
      <c r="CF165" s="392"/>
      <c r="CG165" s="392"/>
      <c r="CH165" s="392"/>
      <c r="CI165" s="392"/>
      <c r="CJ165" s="392"/>
      <c r="CK165" s="16"/>
      <c r="CL165" s="16"/>
      <c r="CM165" s="2777"/>
      <c r="CN165" s="3390"/>
      <c r="CO165" s="3390"/>
      <c r="CP165" s="3390"/>
      <c r="CQ165" s="3390"/>
      <c r="CR165" s="2184"/>
      <c r="CS165" s="2184"/>
      <c r="CT165" s="2184"/>
      <c r="CU165" s="16"/>
      <c r="CV165" s="16"/>
      <c r="CW165" s="16"/>
      <c r="CX165" s="16"/>
      <c r="CY165" s="16"/>
      <c r="CZ165" s="16"/>
      <c r="DA165" s="16"/>
      <c r="DC165" s="16"/>
      <c r="DD165" s="16"/>
      <c r="DE165" s="202"/>
      <c r="DF165" s="16"/>
      <c r="ER165" s="16"/>
      <c r="ES165" s="16"/>
      <c r="ET165" s="16"/>
      <c r="EU165" s="16"/>
      <c r="EV165" s="16"/>
      <c r="EW165" s="16"/>
      <c r="EX165" s="16"/>
      <c r="EY165" s="16"/>
      <c r="EZ165" s="16"/>
    </row>
    <row r="166" spans="2:156">
      <c r="C166" s="16"/>
      <c r="D166" s="16"/>
      <c r="E166" s="16"/>
      <c r="F166" s="16"/>
      <c r="G166" s="16"/>
      <c r="H166" s="203"/>
      <c r="I166" s="203"/>
      <c r="J166" s="203"/>
      <c r="K166" s="203"/>
      <c r="L166" s="203"/>
      <c r="M166" s="740"/>
      <c r="N166" s="740"/>
      <c r="O166" s="740"/>
      <c r="P166" s="740"/>
      <c r="Q166" s="1310"/>
      <c r="R166" s="1310"/>
      <c r="S166" s="2787"/>
      <c r="T166" s="2723"/>
      <c r="U166" s="2724"/>
      <c r="V166" s="1310"/>
      <c r="W166" s="1310"/>
      <c r="AA166" s="16"/>
      <c r="AB166" s="200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392"/>
      <c r="CA166" s="16"/>
      <c r="CB166" s="16"/>
      <c r="CC166" s="16"/>
      <c r="CD166" s="392"/>
      <c r="CE166" s="392"/>
      <c r="CF166" s="392"/>
      <c r="CG166" s="392"/>
      <c r="CH166" s="392"/>
      <c r="CI166" s="392"/>
      <c r="CJ166" s="392"/>
      <c r="CK166" s="16"/>
      <c r="CL166" s="16"/>
      <c r="CM166" s="2777"/>
      <c r="CN166" s="3390"/>
      <c r="CO166" s="3390"/>
      <c r="CP166" s="3390"/>
      <c r="CQ166" s="3390"/>
      <c r="CR166" s="2184"/>
      <c r="CS166" s="2184"/>
      <c r="CT166" s="2184"/>
      <c r="CU166" s="16"/>
      <c r="CV166" s="16"/>
      <c r="CW166" s="16"/>
      <c r="CX166" s="16"/>
      <c r="CY166" s="16"/>
      <c r="CZ166" s="16"/>
      <c r="DA166" s="16"/>
      <c r="DC166" s="16"/>
      <c r="DD166" s="16"/>
      <c r="DE166" s="202"/>
      <c r="DF166" s="16"/>
      <c r="ER166" s="16"/>
      <c r="ES166" s="16"/>
      <c r="ET166" s="16"/>
      <c r="EU166" s="16"/>
      <c r="EV166" s="16"/>
      <c r="EW166" s="16"/>
      <c r="EX166" s="16"/>
      <c r="EY166" s="16"/>
      <c r="EZ166" s="16"/>
    </row>
    <row r="167" spans="2:156">
      <c r="C167" s="16"/>
      <c r="D167" s="16"/>
      <c r="E167" s="16"/>
      <c r="F167" s="16"/>
      <c r="G167" s="16"/>
      <c r="H167" s="203"/>
      <c r="I167" s="203"/>
      <c r="J167" s="203"/>
      <c r="K167" s="203"/>
      <c r="L167" s="203"/>
      <c r="M167" s="740"/>
      <c r="N167" s="740"/>
      <c r="O167" s="740"/>
      <c r="P167" s="740"/>
      <c r="Q167" s="1310"/>
      <c r="R167" s="1310"/>
      <c r="S167" s="2787"/>
      <c r="T167" s="2723"/>
      <c r="U167" s="2724"/>
      <c r="V167" s="1310"/>
      <c r="W167" s="1310"/>
      <c r="AA167" s="16"/>
      <c r="AB167" s="200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6"/>
      <c r="BQ167" s="16"/>
      <c r="BR167" s="16"/>
      <c r="BS167" s="16"/>
      <c r="BT167" s="16"/>
      <c r="BU167" s="16"/>
      <c r="BV167" s="16"/>
      <c r="BW167" s="16"/>
      <c r="BX167" s="16"/>
      <c r="BY167" s="16"/>
      <c r="BZ167" s="392"/>
      <c r="CA167" s="16"/>
      <c r="CB167" s="16"/>
      <c r="CC167" s="16"/>
      <c r="CD167" s="392"/>
      <c r="CE167" s="392"/>
      <c r="CF167" s="392"/>
      <c r="CG167" s="392"/>
      <c r="CH167" s="392"/>
      <c r="CI167" s="392"/>
      <c r="CJ167" s="392"/>
      <c r="CK167" s="16"/>
      <c r="CL167" s="16"/>
      <c r="CM167" s="2777"/>
      <c r="CN167" s="3390"/>
      <c r="CO167" s="3390"/>
      <c r="CP167" s="3390"/>
      <c r="CQ167" s="3390"/>
      <c r="CR167" s="2184"/>
      <c r="CS167" s="2184"/>
      <c r="CT167" s="2184"/>
      <c r="CU167" s="16"/>
      <c r="CV167" s="16"/>
      <c r="CW167" s="16"/>
      <c r="CX167" s="16"/>
      <c r="CY167" s="16"/>
      <c r="CZ167" s="16"/>
      <c r="DA167" s="16"/>
      <c r="DC167" s="16"/>
      <c r="DD167" s="16"/>
      <c r="DE167" s="202"/>
      <c r="DF167" s="16"/>
      <c r="ER167" s="16"/>
      <c r="ES167" s="16"/>
      <c r="ET167" s="16"/>
      <c r="EU167" s="16"/>
      <c r="EV167" s="16"/>
      <c r="EW167" s="16"/>
      <c r="EX167" s="16"/>
      <c r="EY167" s="16"/>
      <c r="EZ167" s="16"/>
    </row>
    <row r="168" spans="2:156">
      <c r="C168" s="16"/>
      <c r="D168" s="16"/>
      <c r="E168" s="16"/>
      <c r="F168" s="16"/>
      <c r="G168" s="16"/>
      <c r="H168" s="203"/>
      <c r="I168" s="203"/>
      <c r="J168" s="203"/>
      <c r="K168" s="203"/>
      <c r="L168" s="203"/>
      <c r="M168" s="740"/>
      <c r="N168" s="740"/>
      <c r="O168" s="740"/>
      <c r="P168" s="740"/>
      <c r="Q168" s="1310"/>
      <c r="R168" s="1310"/>
      <c r="S168" s="2787"/>
      <c r="T168" s="2723"/>
      <c r="U168" s="2724"/>
      <c r="V168" s="1310"/>
      <c r="W168" s="1310"/>
      <c r="AA168" s="16"/>
      <c r="AB168" s="200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392"/>
      <c r="CA168" s="16"/>
      <c r="CB168" s="16"/>
      <c r="CC168" s="16"/>
      <c r="CD168" s="392"/>
      <c r="CE168" s="392"/>
      <c r="CF168" s="392"/>
      <c r="CG168" s="392"/>
      <c r="CH168" s="392"/>
      <c r="CI168" s="392"/>
      <c r="CJ168" s="392"/>
      <c r="CK168" s="16"/>
      <c r="CL168" s="16"/>
      <c r="CM168" s="2777"/>
      <c r="CN168" s="3390"/>
      <c r="CO168" s="3390"/>
      <c r="CP168" s="3390"/>
      <c r="CQ168" s="3390"/>
      <c r="CR168" s="2184"/>
      <c r="CS168" s="2184"/>
      <c r="CT168" s="2184"/>
      <c r="CU168" s="16"/>
      <c r="CV168" s="16"/>
      <c r="CW168" s="16"/>
      <c r="CX168" s="16"/>
      <c r="CY168" s="16"/>
      <c r="CZ168" s="16"/>
      <c r="DA168" s="16"/>
      <c r="DC168" s="16"/>
      <c r="DD168" s="16"/>
      <c r="DE168" s="202"/>
      <c r="DF168" s="16"/>
      <c r="ER168" s="16"/>
      <c r="ES168" s="16"/>
      <c r="ET168" s="16"/>
      <c r="EU168" s="16"/>
      <c r="EV168" s="16"/>
      <c r="EW168" s="16"/>
      <c r="EX168" s="16"/>
      <c r="EY168" s="16"/>
      <c r="EZ168" s="16"/>
    </row>
    <row r="169" spans="2:156">
      <c r="C169" s="16"/>
      <c r="D169" s="16"/>
      <c r="E169" s="16"/>
      <c r="F169" s="16"/>
      <c r="G169" s="16"/>
      <c r="H169" s="203"/>
      <c r="I169" s="203"/>
      <c r="J169" s="203"/>
      <c r="K169" s="203"/>
      <c r="L169" s="203"/>
      <c r="M169" s="740"/>
      <c r="N169" s="740"/>
      <c r="O169" s="740"/>
      <c r="P169" s="740"/>
      <c r="Q169" s="1310"/>
      <c r="R169" s="1310"/>
      <c r="S169" s="2787"/>
      <c r="T169" s="2723"/>
      <c r="U169" s="2724"/>
      <c r="V169" s="1310"/>
      <c r="W169" s="1310"/>
      <c r="AA169" s="16"/>
      <c r="AB169" s="200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392"/>
      <c r="CA169" s="16"/>
      <c r="CB169" s="16"/>
      <c r="CC169" s="16"/>
      <c r="CD169" s="392"/>
      <c r="CE169" s="392"/>
      <c r="CF169" s="392"/>
      <c r="CG169" s="392"/>
      <c r="CH169" s="392"/>
      <c r="CI169" s="392"/>
      <c r="CJ169" s="392"/>
      <c r="CK169" s="16"/>
      <c r="CL169" s="16"/>
      <c r="CM169" s="2777"/>
      <c r="CN169" s="3390"/>
      <c r="CO169" s="3390"/>
      <c r="CP169" s="3390"/>
      <c r="CQ169" s="3390"/>
      <c r="CR169" s="2184"/>
      <c r="CS169" s="2184"/>
      <c r="CT169" s="2184"/>
      <c r="CU169" s="16"/>
      <c r="CV169" s="16"/>
      <c r="CW169" s="16"/>
      <c r="CX169" s="16"/>
      <c r="CY169" s="16"/>
      <c r="CZ169" s="16"/>
      <c r="DA169" s="16"/>
      <c r="DC169" s="16"/>
      <c r="DD169" s="16"/>
      <c r="DE169" s="202"/>
      <c r="DF169" s="16"/>
      <c r="ER169" s="16"/>
      <c r="ES169" s="16"/>
      <c r="ET169" s="16"/>
      <c r="EU169" s="16"/>
      <c r="EV169" s="16"/>
      <c r="EW169" s="16"/>
      <c r="EX169" s="16"/>
      <c r="EY169" s="16"/>
      <c r="EZ169" s="16"/>
    </row>
    <row r="170" spans="2:156">
      <c r="H170" s="203"/>
      <c r="I170" s="203"/>
      <c r="J170" s="203"/>
      <c r="K170" s="203"/>
      <c r="L170" s="203"/>
      <c r="M170" s="740"/>
      <c r="N170" s="740"/>
      <c r="O170" s="740"/>
      <c r="P170" s="740"/>
      <c r="Q170" s="190"/>
      <c r="R170" s="190"/>
      <c r="S170" s="956"/>
      <c r="T170" s="2724"/>
      <c r="U170" s="2724"/>
      <c r="V170" s="190"/>
      <c r="W170" s="190"/>
      <c r="AA170" s="16"/>
      <c r="AB170" s="200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392"/>
      <c r="CA170" s="16"/>
      <c r="CB170" s="16"/>
      <c r="CC170" s="16"/>
      <c r="CD170" s="392"/>
      <c r="CE170" s="392"/>
      <c r="CF170" s="392"/>
      <c r="CG170" s="392"/>
      <c r="CH170" s="392"/>
      <c r="CI170" s="392"/>
      <c r="CJ170" s="392"/>
      <c r="CK170" s="16"/>
      <c r="CL170" s="16"/>
      <c r="CM170" s="2777"/>
      <c r="CN170" s="3390"/>
      <c r="CO170" s="3390"/>
      <c r="CP170" s="3390"/>
      <c r="CQ170" s="3390"/>
      <c r="CR170" s="2184"/>
      <c r="CS170" s="2184"/>
      <c r="CT170" s="2184"/>
      <c r="CU170" s="16"/>
      <c r="CV170" s="16"/>
      <c r="CW170" s="16"/>
      <c r="CX170" s="16"/>
      <c r="CY170" s="16"/>
      <c r="CZ170" s="16"/>
      <c r="DA170" s="16"/>
      <c r="DC170" s="16"/>
      <c r="DD170" s="16"/>
      <c r="DE170" s="202"/>
      <c r="DF170" s="16"/>
      <c r="ER170" s="16"/>
      <c r="ES170" s="16"/>
      <c r="ET170" s="16"/>
      <c r="EU170" s="16"/>
      <c r="EV170" s="16"/>
      <c r="EW170" s="16"/>
      <c r="EX170" s="16"/>
      <c r="EY170" s="16"/>
      <c r="EZ170" s="16"/>
    </row>
    <row r="171" spans="2:156">
      <c r="H171" s="203"/>
      <c r="I171" s="203"/>
      <c r="J171" s="203"/>
      <c r="K171" s="203"/>
      <c r="M171" s="740"/>
      <c r="N171" s="740"/>
      <c r="O171" s="740"/>
      <c r="P171" s="740"/>
      <c r="Q171" s="190"/>
      <c r="R171" s="190"/>
      <c r="S171" s="956"/>
      <c r="T171" s="2724"/>
      <c r="U171" s="2724"/>
      <c r="V171" s="190"/>
      <c r="W171" s="190"/>
      <c r="AA171" s="16"/>
      <c r="AB171" s="200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392"/>
      <c r="CA171" s="16"/>
      <c r="CB171" s="16"/>
      <c r="CC171" s="16"/>
      <c r="CD171" s="392"/>
      <c r="CE171" s="392"/>
      <c r="CF171" s="392"/>
      <c r="CG171" s="392"/>
      <c r="CH171" s="392"/>
      <c r="CI171" s="392"/>
      <c r="CJ171" s="392"/>
      <c r="CK171" s="16"/>
      <c r="CL171" s="16"/>
      <c r="CM171" s="2777"/>
      <c r="CN171" s="3390"/>
      <c r="CO171" s="3390"/>
      <c r="CP171" s="3390"/>
      <c r="CQ171" s="3390"/>
      <c r="CR171" s="2184"/>
      <c r="CS171" s="2184"/>
      <c r="CT171" s="2184"/>
      <c r="CU171" s="16"/>
      <c r="CV171" s="16"/>
      <c r="CW171" s="16"/>
      <c r="CX171" s="16"/>
      <c r="CY171" s="16"/>
      <c r="CZ171" s="16"/>
      <c r="DA171" s="16"/>
      <c r="DC171" s="16"/>
      <c r="DD171" s="16"/>
      <c r="DE171" s="202"/>
      <c r="DF171" s="16"/>
      <c r="ER171" s="16"/>
      <c r="ES171" s="16"/>
      <c r="ET171" s="16"/>
      <c r="EU171" s="16"/>
      <c r="EV171" s="16"/>
      <c r="EW171" s="16"/>
      <c r="EX171" s="16"/>
      <c r="EY171" s="16"/>
      <c r="EZ171" s="16"/>
    </row>
    <row r="172" spans="2:156" s="16" customFormat="1">
      <c r="H172" s="199"/>
      <c r="I172" s="199"/>
      <c r="J172" s="199"/>
      <c r="K172" s="199"/>
      <c r="L172" s="199"/>
      <c r="M172" s="2100"/>
      <c r="N172" s="2100"/>
      <c r="O172" s="2100"/>
      <c r="P172" s="2100"/>
      <c r="Q172" s="1310"/>
      <c r="R172" s="1310"/>
      <c r="S172" s="2787"/>
      <c r="T172" s="2723"/>
      <c r="U172" s="2723"/>
      <c r="V172" s="1310"/>
      <c r="W172" s="1310"/>
      <c r="Z172" s="45"/>
      <c r="AA172" s="10"/>
      <c r="AB172" s="15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62"/>
      <c r="CA172" s="10"/>
      <c r="CB172" s="10"/>
      <c r="CC172" s="10"/>
      <c r="CD172" s="62"/>
      <c r="CE172" s="62"/>
      <c r="CF172" s="62"/>
      <c r="CG172" s="62"/>
      <c r="CH172" s="62"/>
      <c r="CI172" s="62"/>
      <c r="CJ172" s="62"/>
      <c r="CK172" s="10"/>
      <c r="CL172" s="10"/>
      <c r="CM172" s="2762"/>
      <c r="CN172" s="2845"/>
      <c r="CO172" s="2845"/>
      <c r="CP172" s="2845"/>
      <c r="CQ172" s="2845"/>
      <c r="CR172" s="67"/>
      <c r="CS172" s="67"/>
      <c r="CT172" s="67"/>
      <c r="CU172" s="10"/>
      <c r="CV172" s="10"/>
      <c r="CW172" s="10"/>
      <c r="CX172" s="10"/>
      <c r="CY172" s="10"/>
      <c r="CZ172" s="10"/>
      <c r="DA172" s="10"/>
      <c r="DC172" s="10"/>
      <c r="DD172" s="10"/>
      <c r="DE172" s="42"/>
      <c r="DF172" s="10"/>
      <c r="DG172" s="43"/>
      <c r="DH172" s="43"/>
      <c r="DI172" s="43"/>
      <c r="DJ172" s="44"/>
      <c r="DK172" s="44"/>
      <c r="DL172" s="44"/>
      <c r="DM172" s="44"/>
      <c r="DN172" s="44"/>
      <c r="DO172" s="10"/>
      <c r="DP172" s="10"/>
      <c r="DQ172" s="10"/>
      <c r="DR172" s="10"/>
      <c r="DS172" s="10"/>
      <c r="DT172" s="10"/>
      <c r="DU172" s="10"/>
      <c r="DV172" s="10"/>
      <c r="DW172" s="10"/>
      <c r="DX172" s="10"/>
      <c r="DY172" s="10"/>
      <c r="DZ172" s="10"/>
      <c r="EA172" s="15"/>
      <c r="EB172" s="10"/>
      <c r="EC172" s="10"/>
      <c r="ED172" s="10"/>
      <c r="EE172" s="10"/>
      <c r="EF172" s="10"/>
      <c r="EG172" s="10"/>
      <c r="EH172" s="10"/>
      <c r="EI172" s="10"/>
      <c r="EJ172" s="10"/>
      <c r="EK172" s="10"/>
      <c r="EL172" s="10"/>
      <c r="EN172" s="10"/>
      <c r="EO172" s="10"/>
      <c r="EP172" s="10"/>
      <c r="EQ172" s="10"/>
      <c r="ER172" s="10"/>
      <c r="ES172" s="10"/>
      <c r="ET172" s="10"/>
      <c r="EU172" s="10"/>
      <c r="EV172" s="10"/>
      <c r="EW172" s="10"/>
      <c r="EX172" s="10"/>
      <c r="EY172" s="10"/>
      <c r="EZ172" s="10"/>
    </row>
    <row r="173" spans="2:156">
      <c r="AA173" s="16"/>
      <c r="AB173" s="200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392"/>
      <c r="CA173" s="16"/>
      <c r="CB173" s="16"/>
      <c r="CC173" s="16"/>
      <c r="CD173" s="392"/>
      <c r="CE173" s="392"/>
      <c r="CF173" s="392"/>
      <c r="CG173" s="392"/>
      <c r="CH173" s="392"/>
      <c r="CI173" s="392"/>
      <c r="CJ173" s="392"/>
      <c r="CK173" s="16"/>
      <c r="CL173" s="16"/>
      <c r="CM173" s="2777"/>
      <c r="CN173" s="3390"/>
      <c r="CO173" s="3390"/>
      <c r="CP173" s="3390"/>
      <c r="CQ173" s="3390"/>
      <c r="CR173" s="2184"/>
      <c r="CS173" s="2184"/>
      <c r="CT173" s="2184"/>
      <c r="CU173" s="16"/>
      <c r="CV173" s="16"/>
      <c r="CW173" s="16"/>
      <c r="CX173" s="16"/>
      <c r="CY173" s="16"/>
      <c r="CZ173" s="16"/>
      <c r="DA173" s="16"/>
      <c r="DC173" s="16"/>
      <c r="DD173" s="16"/>
      <c r="DE173" s="202"/>
      <c r="DF173" s="16"/>
      <c r="EQ173" s="16"/>
      <c r="ER173" s="16"/>
      <c r="ES173" s="16"/>
      <c r="ET173" s="16"/>
      <c r="EU173" s="16"/>
      <c r="EV173" s="16"/>
      <c r="EW173" s="16"/>
      <c r="EX173" s="16"/>
      <c r="EY173" s="16"/>
      <c r="EZ173" s="16"/>
    </row>
    <row r="174" spans="2:156">
      <c r="B174" s="16"/>
      <c r="C174" s="16"/>
      <c r="D174" s="16"/>
      <c r="E174" s="16"/>
      <c r="F174" s="16"/>
      <c r="G174" s="16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30"/>
      <c r="T174" s="2751"/>
      <c r="U174" s="2751"/>
      <c r="V174" s="129"/>
      <c r="W174" s="129"/>
      <c r="AA174" s="16"/>
      <c r="AB174" s="200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>
        <v>2018</v>
      </c>
      <c r="BQ174" s="16">
        <v>2019</v>
      </c>
      <c r="BR174" s="16">
        <v>2020</v>
      </c>
      <c r="BS174" s="16"/>
      <c r="BT174" s="16"/>
      <c r="BU174" s="16"/>
      <c r="BV174" s="16"/>
      <c r="BW174" s="16"/>
      <c r="BX174" s="16"/>
      <c r="BY174" s="16"/>
      <c r="BZ174" s="392"/>
      <c r="CA174" s="16"/>
      <c r="CB174" s="16"/>
      <c r="CC174" s="16"/>
      <c r="CD174" s="392"/>
      <c r="CE174" s="392"/>
      <c r="CF174" s="392"/>
      <c r="CG174" s="392"/>
      <c r="CH174" s="392"/>
      <c r="CI174" s="392"/>
      <c r="CJ174" s="392"/>
      <c r="CK174" s="16"/>
      <c r="CL174" s="16"/>
      <c r="CM174" s="2777"/>
      <c r="CN174" s="3390"/>
      <c r="CO174" s="3390"/>
      <c r="CP174" s="3390"/>
      <c r="CQ174" s="3390"/>
      <c r="CR174" s="2184"/>
      <c r="CS174" s="2184"/>
      <c r="CT174" s="2184"/>
      <c r="CU174" s="16"/>
      <c r="CV174" s="16"/>
      <c r="CW174" s="16"/>
      <c r="CX174" s="16"/>
      <c r="CY174" s="16"/>
      <c r="CZ174" s="16"/>
      <c r="DA174" s="16"/>
      <c r="DC174" s="16"/>
      <c r="DD174" s="16"/>
      <c r="DE174" s="202"/>
      <c r="DF174" s="16"/>
      <c r="EP174" s="16"/>
      <c r="EQ174" s="16"/>
      <c r="ER174" s="16"/>
      <c r="ES174" s="16"/>
      <c r="ET174" s="16"/>
      <c r="EU174" s="16"/>
      <c r="EV174" s="16"/>
      <c r="EW174" s="16"/>
      <c r="EX174" s="16"/>
      <c r="EY174" s="16"/>
      <c r="EZ174" s="16"/>
    </row>
    <row r="175" spans="2:156">
      <c r="C175" s="16"/>
      <c r="D175" s="16"/>
      <c r="E175" s="16"/>
      <c r="F175" s="16"/>
      <c r="G175" s="16"/>
      <c r="H175" s="167"/>
      <c r="I175" s="167"/>
      <c r="J175" s="325"/>
      <c r="K175" s="167"/>
      <c r="L175" s="167"/>
      <c r="M175" s="740"/>
      <c r="N175" s="740"/>
      <c r="O175" s="740"/>
      <c r="P175" s="740"/>
      <c r="Q175" s="1310"/>
      <c r="R175" s="1310"/>
      <c r="S175" s="2787"/>
      <c r="T175" s="2723"/>
      <c r="U175" s="2724"/>
      <c r="V175" s="1310"/>
      <c r="W175" s="1310"/>
      <c r="AA175" s="16"/>
      <c r="AB175" s="200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218" t="e">
        <f t="shared" ref="BP175:BR180" si="290">I175/I$174</f>
        <v>#DIV/0!</v>
      </c>
      <c r="BQ175" s="218" t="e">
        <f t="shared" si="290"/>
        <v>#DIV/0!</v>
      </c>
      <c r="BR175" s="218" t="e">
        <f t="shared" si="290"/>
        <v>#DIV/0!</v>
      </c>
      <c r="BS175" s="218"/>
      <c r="BT175" s="16"/>
      <c r="BU175" s="16"/>
      <c r="BV175" s="16"/>
      <c r="BW175" s="16"/>
      <c r="BX175" s="16"/>
      <c r="BY175" s="16"/>
      <c r="BZ175" s="392"/>
      <c r="CA175" s="16"/>
      <c r="CB175" s="16"/>
      <c r="CC175" s="16"/>
      <c r="CD175" s="392"/>
      <c r="CE175" s="392"/>
      <c r="CF175" s="392"/>
      <c r="CG175" s="392"/>
      <c r="CH175" s="392"/>
      <c r="CI175" s="392"/>
      <c r="CJ175" s="392"/>
      <c r="CK175" s="16"/>
      <c r="CL175" s="16"/>
      <c r="CM175" s="2777"/>
      <c r="CN175" s="3390"/>
      <c r="CO175" s="3390"/>
      <c r="CP175" s="3390"/>
      <c r="CQ175" s="3390"/>
      <c r="CR175" s="2184"/>
      <c r="CS175" s="2184"/>
      <c r="CT175" s="2184"/>
      <c r="CU175" s="16"/>
      <c r="CV175" s="16"/>
      <c r="CW175" s="16"/>
      <c r="CX175" s="16"/>
      <c r="CY175" s="16"/>
      <c r="CZ175" s="16"/>
      <c r="DA175" s="16"/>
      <c r="DC175" s="16"/>
      <c r="DD175" s="16"/>
      <c r="DE175" s="202"/>
      <c r="DF175" s="16"/>
      <c r="EP175" s="16"/>
      <c r="EQ175" s="16"/>
      <c r="ER175" s="16"/>
      <c r="ES175" s="16"/>
      <c r="ET175" s="16"/>
      <c r="EU175" s="16"/>
      <c r="EV175" s="16"/>
      <c r="EW175" s="16"/>
      <c r="EX175" s="16"/>
      <c r="EY175" s="16"/>
      <c r="EZ175" s="16"/>
    </row>
    <row r="176" spans="2:156">
      <c r="C176" s="16"/>
      <c r="D176" s="16"/>
      <c r="E176" s="16"/>
      <c r="F176" s="16"/>
      <c r="G176" s="16"/>
      <c r="H176" s="167"/>
      <c r="I176" s="167"/>
      <c r="J176" s="325"/>
      <c r="K176" s="167"/>
      <c r="L176" s="167"/>
      <c r="M176" s="2585"/>
      <c r="N176" s="2585"/>
      <c r="O176" s="2585"/>
      <c r="P176" s="2585"/>
      <c r="Q176" s="1312"/>
      <c r="R176" s="1312"/>
      <c r="S176" s="2788"/>
      <c r="T176" s="2734"/>
      <c r="U176" s="2733"/>
      <c r="V176" s="1312"/>
      <c r="W176" s="1312"/>
      <c r="AA176" s="16"/>
      <c r="AB176" s="200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218" t="e">
        <f t="shared" si="290"/>
        <v>#DIV/0!</v>
      </c>
      <c r="BQ176" s="218" t="e">
        <f t="shared" si="290"/>
        <v>#DIV/0!</v>
      </c>
      <c r="BR176" s="218" t="e">
        <f t="shared" si="290"/>
        <v>#DIV/0!</v>
      </c>
      <c r="BS176" s="218"/>
      <c r="BT176" s="16"/>
      <c r="BU176" s="16"/>
      <c r="BV176" s="16"/>
      <c r="BW176" s="16"/>
      <c r="BX176" s="16"/>
      <c r="BY176" s="16"/>
      <c r="BZ176" s="392"/>
      <c r="CA176" s="16"/>
      <c r="CB176" s="16"/>
      <c r="CC176" s="16"/>
      <c r="CD176" s="392"/>
      <c r="CE176" s="392"/>
      <c r="CF176" s="392"/>
      <c r="CG176" s="392"/>
      <c r="CH176" s="392"/>
      <c r="CI176" s="392"/>
      <c r="CJ176" s="392"/>
      <c r="CK176" s="16"/>
      <c r="CL176" s="16"/>
      <c r="CM176" s="2777"/>
      <c r="CN176" s="3390"/>
      <c r="CO176" s="3390"/>
      <c r="CP176" s="3390"/>
      <c r="CQ176" s="3390"/>
      <c r="CR176" s="2184"/>
      <c r="CS176" s="2184"/>
      <c r="CT176" s="2184"/>
      <c r="CU176" s="16"/>
      <c r="CV176" s="16"/>
      <c r="CW176" s="16"/>
      <c r="CX176" s="16"/>
      <c r="CY176" s="16"/>
      <c r="CZ176" s="16"/>
      <c r="DA176" s="16"/>
      <c r="DC176" s="16"/>
      <c r="DD176" s="16"/>
      <c r="DE176" s="202"/>
      <c r="DF176" s="16"/>
      <c r="EP176" s="16"/>
      <c r="EQ176" s="16"/>
      <c r="ER176" s="16"/>
      <c r="ES176" s="16"/>
      <c r="ET176" s="16"/>
      <c r="EU176" s="16"/>
      <c r="EV176" s="16"/>
      <c r="EW176" s="16"/>
      <c r="EX176" s="16"/>
      <c r="EY176" s="16"/>
      <c r="EZ176" s="16"/>
    </row>
    <row r="177" spans="2:156">
      <c r="C177" s="16"/>
      <c r="D177" s="16"/>
      <c r="E177" s="16"/>
      <c r="F177" s="16"/>
      <c r="G177" s="16"/>
      <c r="H177" s="167"/>
      <c r="I177" s="167"/>
      <c r="J177" s="325"/>
      <c r="K177" s="167"/>
      <c r="L177" s="167"/>
      <c r="M177" s="740"/>
      <c r="N177" s="740"/>
      <c r="O177" s="740"/>
      <c r="P177" s="740"/>
      <c r="Q177" s="1310"/>
      <c r="R177" s="1310"/>
      <c r="S177" s="2787"/>
      <c r="T177" s="2723"/>
      <c r="U177" s="2724"/>
      <c r="V177" s="1310"/>
      <c r="W177" s="1310"/>
      <c r="AA177" s="16"/>
      <c r="AB177" s="200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218" t="e">
        <f t="shared" si="290"/>
        <v>#DIV/0!</v>
      </c>
      <c r="BQ177" s="218" t="e">
        <f t="shared" si="290"/>
        <v>#DIV/0!</v>
      </c>
      <c r="BR177" s="218" t="e">
        <f t="shared" si="290"/>
        <v>#DIV/0!</v>
      </c>
      <c r="BS177" s="218"/>
      <c r="BT177" s="16"/>
      <c r="BU177" s="16"/>
      <c r="BV177" s="16"/>
      <c r="BW177" s="16"/>
      <c r="BX177" s="16"/>
      <c r="BY177" s="16"/>
      <c r="BZ177" s="392"/>
      <c r="CA177" s="16"/>
      <c r="CB177" s="16"/>
      <c r="CC177" s="16"/>
      <c r="CD177" s="392"/>
      <c r="CE177" s="392"/>
      <c r="CF177" s="392"/>
      <c r="CG177" s="392"/>
      <c r="CH177" s="392"/>
      <c r="CI177" s="392"/>
      <c r="CJ177" s="392"/>
      <c r="CK177" s="16"/>
      <c r="CL177" s="16"/>
      <c r="CM177" s="2777"/>
      <c r="CN177" s="3390"/>
      <c r="CO177" s="3390"/>
      <c r="CP177" s="3390"/>
      <c r="CQ177" s="3390"/>
      <c r="CR177" s="2184"/>
      <c r="CS177" s="2184"/>
      <c r="CT177" s="2184"/>
      <c r="CU177" s="16"/>
      <c r="CV177" s="16"/>
      <c r="CW177" s="16"/>
      <c r="CX177" s="16"/>
      <c r="CY177" s="16"/>
      <c r="CZ177" s="16"/>
      <c r="DA177" s="16"/>
      <c r="DC177" s="16"/>
      <c r="DD177" s="16"/>
      <c r="DE177" s="202"/>
      <c r="DF177" s="16"/>
      <c r="EP177" s="16"/>
      <c r="EQ177" s="16"/>
      <c r="ER177" s="16"/>
      <c r="ES177" s="16"/>
      <c r="ET177" s="16"/>
      <c r="EU177" s="16"/>
      <c r="EV177" s="16"/>
      <c r="EW177" s="16"/>
      <c r="EX177" s="16"/>
      <c r="EY177" s="16"/>
      <c r="EZ177" s="16"/>
    </row>
    <row r="178" spans="2:156">
      <c r="C178" s="16"/>
      <c r="D178" s="16"/>
      <c r="E178" s="16"/>
      <c r="F178" s="16"/>
      <c r="G178" s="16"/>
      <c r="H178" s="167"/>
      <c r="I178" s="167"/>
      <c r="J178" s="325"/>
      <c r="K178" s="167"/>
      <c r="L178" s="167"/>
      <c r="M178" s="740"/>
      <c r="N178" s="740"/>
      <c r="O178" s="740"/>
      <c r="P178" s="740"/>
      <c r="Q178" s="1310"/>
      <c r="R178" s="1310"/>
      <c r="S178" s="2787"/>
      <c r="T178" s="2723"/>
      <c r="U178" s="2724"/>
      <c r="V178" s="1310"/>
      <c r="W178" s="1310"/>
      <c r="AA178" s="16"/>
      <c r="AB178" s="200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218" t="e">
        <f t="shared" si="290"/>
        <v>#DIV/0!</v>
      </c>
      <c r="BQ178" s="218" t="e">
        <f t="shared" si="290"/>
        <v>#DIV/0!</v>
      </c>
      <c r="BR178" s="218" t="e">
        <f t="shared" si="290"/>
        <v>#DIV/0!</v>
      </c>
      <c r="BS178" s="218"/>
      <c r="BT178" s="16"/>
      <c r="BU178" s="16"/>
      <c r="BV178" s="16"/>
      <c r="BW178" s="16"/>
      <c r="BX178" s="16"/>
      <c r="BY178" s="16"/>
      <c r="BZ178" s="392"/>
      <c r="CA178" s="16"/>
      <c r="CB178" s="16"/>
      <c r="CC178" s="16"/>
      <c r="CD178" s="392"/>
      <c r="CE178" s="392"/>
      <c r="CF178" s="392"/>
      <c r="CG178" s="392"/>
      <c r="CH178" s="392"/>
      <c r="CI178" s="392"/>
      <c r="CJ178" s="392"/>
      <c r="CK178" s="16"/>
      <c r="CL178" s="16"/>
      <c r="CM178" s="2777"/>
      <c r="CN178" s="3390"/>
      <c r="CO178" s="3390"/>
      <c r="CP178" s="3390"/>
      <c r="CQ178" s="3390"/>
      <c r="CR178" s="2184"/>
      <c r="CS178" s="2184"/>
      <c r="CT178" s="2184"/>
      <c r="CU178" s="16"/>
      <c r="CV178" s="16"/>
      <c r="CW178" s="16"/>
      <c r="CX178" s="16"/>
      <c r="CY178" s="16"/>
      <c r="CZ178" s="16"/>
      <c r="DA178" s="16"/>
      <c r="DC178" s="16"/>
      <c r="DD178" s="16"/>
      <c r="DE178" s="202"/>
      <c r="DF178" s="16"/>
      <c r="EP178" s="16"/>
      <c r="EQ178" s="16"/>
      <c r="ER178" s="16"/>
      <c r="ES178" s="16"/>
      <c r="ET178" s="16"/>
      <c r="EU178" s="16"/>
      <c r="EV178" s="16"/>
      <c r="EW178" s="16"/>
      <c r="EX178" s="16"/>
      <c r="EY178" s="16"/>
      <c r="EZ178" s="16"/>
    </row>
    <row r="179" spans="2:156">
      <c r="C179" s="16"/>
      <c r="D179" s="16"/>
      <c r="E179" s="16"/>
      <c r="F179" s="16"/>
      <c r="G179" s="16"/>
      <c r="H179" s="167"/>
      <c r="I179" s="167"/>
      <c r="J179" s="325"/>
      <c r="K179" s="167"/>
      <c r="L179" s="167"/>
      <c r="M179" s="740"/>
      <c r="N179" s="740"/>
      <c r="O179" s="740"/>
      <c r="P179" s="740"/>
      <c r="Q179" s="1310"/>
      <c r="R179" s="1310"/>
      <c r="S179" s="2787"/>
      <c r="T179" s="2723"/>
      <c r="U179" s="2724"/>
      <c r="V179" s="1310"/>
      <c r="W179" s="1310"/>
      <c r="AA179" s="16"/>
      <c r="AB179" s="200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218" t="e">
        <f t="shared" si="290"/>
        <v>#DIV/0!</v>
      </c>
      <c r="BQ179" s="218" t="e">
        <f t="shared" si="290"/>
        <v>#DIV/0!</v>
      </c>
      <c r="BR179" s="218" t="e">
        <f t="shared" si="290"/>
        <v>#DIV/0!</v>
      </c>
      <c r="BS179" s="218"/>
      <c r="BT179" s="16"/>
      <c r="BU179" s="16"/>
      <c r="BV179" s="16"/>
      <c r="BW179" s="16"/>
      <c r="BX179" s="16"/>
      <c r="BY179" s="16"/>
      <c r="BZ179" s="392"/>
      <c r="CA179" s="16"/>
      <c r="CB179" s="16"/>
      <c r="CC179" s="16"/>
      <c r="CD179" s="392"/>
      <c r="CE179" s="392"/>
      <c r="CF179" s="392"/>
      <c r="CG179" s="392"/>
      <c r="CH179" s="392"/>
      <c r="CI179" s="392"/>
      <c r="CJ179" s="392"/>
      <c r="CK179" s="16"/>
      <c r="CL179" s="16"/>
      <c r="CM179" s="2777"/>
      <c r="CN179" s="3390"/>
      <c r="CO179" s="3390"/>
      <c r="CP179" s="3390"/>
      <c r="CQ179" s="3390"/>
      <c r="CR179" s="2184"/>
      <c r="CS179" s="2184"/>
      <c r="CT179" s="2184"/>
      <c r="CU179" s="16"/>
      <c r="CV179" s="16"/>
      <c r="CW179" s="16"/>
      <c r="CX179" s="16"/>
      <c r="CY179" s="16"/>
      <c r="CZ179" s="16"/>
      <c r="DA179" s="16"/>
      <c r="DC179" s="16"/>
      <c r="DD179" s="16"/>
      <c r="DE179" s="202"/>
      <c r="DF179" s="16"/>
      <c r="EP179" s="16"/>
      <c r="EQ179" s="16"/>
      <c r="ER179" s="16"/>
      <c r="ES179" s="16"/>
      <c r="ET179" s="16"/>
      <c r="EU179" s="16"/>
      <c r="EV179" s="16"/>
      <c r="EW179" s="16"/>
      <c r="EX179" s="16"/>
      <c r="EY179" s="16"/>
      <c r="EZ179" s="16"/>
    </row>
    <row r="180" spans="2:156">
      <c r="C180" s="16"/>
      <c r="D180" s="16"/>
      <c r="E180" s="16"/>
      <c r="F180" s="16"/>
      <c r="G180" s="16"/>
      <c r="H180" s="110"/>
      <c r="K180" s="110"/>
      <c r="L180" s="110"/>
      <c r="M180" s="2585"/>
      <c r="N180" s="2585"/>
      <c r="O180" s="2585"/>
      <c r="P180" s="2585"/>
      <c r="Q180" s="1312"/>
      <c r="R180" s="1312"/>
      <c r="S180" s="2788"/>
      <c r="T180" s="2734"/>
      <c r="U180" s="2733"/>
      <c r="V180" s="1311"/>
      <c r="W180" s="1312"/>
      <c r="AA180" s="16"/>
      <c r="AB180" s="200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218" t="e">
        <f t="shared" si="290"/>
        <v>#DIV/0!</v>
      </c>
      <c r="BQ180" s="218" t="e">
        <f t="shared" si="290"/>
        <v>#DIV/0!</v>
      </c>
      <c r="BR180" s="218" t="e">
        <f t="shared" si="290"/>
        <v>#DIV/0!</v>
      </c>
      <c r="BS180" s="218"/>
      <c r="BT180" s="16"/>
      <c r="BU180" s="16"/>
      <c r="BV180" s="16"/>
      <c r="BW180" s="16"/>
      <c r="BX180" s="16"/>
      <c r="BY180" s="16"/>
      <c r="BZ180" s="392"/>
      <c r="CA180" s="16"/>
      <c r="CB180" s="16"/>
      <c r="CC180" s="16"/>
      <c r="CD180" s="392"/>
      <c r="CE180" s="392"/>
      <c r="CF180" s="392"/>
      <c r="CG180" s="392"/>
      <c r="CH180" s="392"/>
      <c r="CI180" s="392"/>
      <c r="CJ180" s="392"/>
      <c r="CK180" s="16"/>
      <c r="CL180" s="16"/>
      <c r="CM180" s="2777"/>
      <c r="CN180" s="3390"/>
      <c r="CO180" s="3390"/>
      <c r="CP180" s="3390"/>
      <c r="CQ180" s="3390"/>
      <c r="CR180" s="2184"/>
      <c r="CS180" s="2184"/>
      <c r="CT180" s="2184"/>
      <c r="CU180" s="16"/>
      <c r="CV180" s="16"/>
      <c r="CW180" s="16"/>
      <c r="CX180" s="16"/>
      <c r="CY180" s="16"/>
      <c r="CZ180" s="16"/>
      <c r="DA180" s="16"/>
      <c r="DC180" s="16"/>
      <c r="DD180" s="16"/>
      <c r="DE180" s="202"/>
      <c r="DF180" s="16"/>
      <c r="EP180" s="16"/>
      <c r="EQ180" s="16"/>
      <c r="ER180" s="16"/>
      <c r="ES180" s="16"/>
      <c r="ET180" s="16"/>
      <c r="EU180" s="16"/>
      <c r="EV180" s="16"/>
      <c r="EW180" s="16"/>
      <c r="EX180" s="16"/>
      <c r="EY180" s="16"/>
      <c r="EZ180" s="16"/>
    </row>
    <row r="181" spans="2:156">
      <c r="B181" s="220"/>
      <c r="C181" s="16"/>
      <c r="D181" s="16"/>
      <c r="E181" s="16"/>
      <c r="F181" s="16"/>
      <c r="G181" s="16"/>
      <c r="H181" s="129"/>
      <c r="I181" s="129"/>
      <c r="J181" s="129"/>
      <c r="K181" s="129"/>
      <c r="L181" s="129"/>
      <c r="M181" s="2586"/>
      <c r="N181" s="2586"/>
      <c r="O181" s="2586"/>
      <c r="P181" s="2586"/>
      <c r="Q181" s="1312"/>
      <c r="R181" s="1312"/>
      <c r="S181" s="2788"/>
      <c r="T181" s="2734"/>
      <c r="U181" s="2734"/>
      <c r="V181" s="1312"/>
      <c r="W181" s="1312"/>
      <c r="AA181" s="16"/>
      <c r="AB181" s="200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392"/>
      <c r="CA181" s="16"/>
      <c r="CB181" s="16"/>
      <c r="CC181" s="16"/>
      <c r="CD181" s="392"/>
      <c r="CE181" s="392"/>
      <c r="CF181" s="392"/>
      <c r="CG181" s="392"/>
      <c r="CH181" s="392"/>
      <c r="CI181" s="392"/>
      <c r="CJ181" s="392"/>
      <c r="CK181" s="16"/>
      <c r="CL181" s="16"/>
      <c r="CM181" s="2777"/>
      <c r="CN181" s="3390"/>
      <c r="CO181" s="3390"/>
      <c r="CP181" s="3390"/>
      <c r="CQ181" s="3390"/>
      <c r="CR181" s="2184"/>
      <c r="CS181" s="2184"/>
      <c r="CT181" s="2184"/>
      <c r="CU181" s="16"/>
      <c r="CV181" s="16"/>
      <c r="CW181" s="16"/>
      <c r="CX181" s="16"/>
      <c r="CY181" s="16"/>
      <c r="CZ181" s="16"/>
      <c r="DA181" s="16"/>
      <c r="DC181" s="16"/>
      <c r="DD181" s="16"/>
      <c r="DE181" s="202"/>
      <c r="DF181" s="16"/>
      <c r="EP181" s="16"/>
      <c r="EQ181" s="16"/>
      <c r="ER181" s="16"/>
      <c r="ES181" s="16"/>
      <c r="ET181" s="16"/>
      <c r="EU181" s="16"/>
      <c r="EV181" s="16"/>
      <c r="EW181" s="16"/>
      <c r="EX181" s="16"/>
      <c r="EY181" s="16"/>
      <c r="EZ181" s="16"/>
    </row>
    <row r="182" spans="2:156">
      <c r="H182" s="110"/>
      <c r="I182" s="110"/>
      <c r="J182" s="110"/>
      <c r="K182" s="110"/>
      <c r="L182" s="110"/>
      <c r="M182" s="110"/>
      <c r="N182" s="110"/>
      <c r="O182" s="110"/>
      <c r="P182" s="110"/>
      <c r="Q182" s="1311"/>
      <c r="R182" s="1311"/>
      <c r="S182" s="2789"/>
      <c r="T182" s="2733"/>
      <c r="U182" s="1705"/>
      <c r="V182" s="1311"/>
      <c r="W182" s="1311"/>
      <c r="AA182" s="16"/>
      <c r="AB182" s="200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80"/>
      <c r="BD182" s="180"/>
      <c r="BE182" s="180"/>
      <c r="BF182" s="180"/>
      <c r="BG182" s="180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392"/>
      <c r="CA182" s="16"/>
      <c r="CB182" s="16"/>
      <c r="CC182" s="16"/>
      <c r="CD182" s="392"/>
      <c r="CE182" s="392"/>
      <c r="CF182" s="392"/>
      <c r="CG182" s="392"/>
      <c r="CH182" s="392"/>
      <c r="CI182" s="392"/>
      <c r="CJ182" s="392"/>
      <c r="CK182" s="16"/>
      <c r="CL182" s="16"/>
      <c r="CM182" s="2777"/>
      <c r="CN182" s="3390"/>
      <c r="CO182" s="3390"/>
      <c r="CP182" s="3390"/>
      <c r="CQ182" s="3390"/>
      <c r="CR182" s="2184"/>
      <c r="CS182" s="2184"/>
      <c r="CT182" s="2184"/>
      <c r="CU182" s="16"/>
      <c r="CV182" s="16"/>
      <c r="CW182" s="16"/>
      <c r="CX182" s="16"/>
      <c r="CY182" s="16"/>
      <c r="CZ182" s="16"/>
      <c r="DA182" s="16"/>
      <c r="DC182" s="16"/>
      <c r="DD182" s="16"/>
      <c r="DE182" s="202"/>
      <c r="DF182" s="16"/>
      <c r="DO182" s="16"/>
      <c r="DP182" s="16"/>
      <c r="DQ182" s="16"/>
      <c r="DR182" s="16"/>
      <c r="DS182" s="16"/>
      <c r="DT182" s="16"/>
      <c r="DU182" s="16"/>
      <c r="DV182" s="16"/>
      <c r="DW182" s="16"/>
      <c r="DX182" s="16"/>
      <c r="DY182" s="16"/>
      <c r="DZ182" s="16"/>
      <c r="EB182" s="16"/>
      <c r="EC182" s="16"/>
      <c r="ED182" s="16"/>
      <c r="EE182" s="16"/>
      <c r="EG182" s="16"/>
      <c r="EH182" s="16"/>
      <c r="EI182" s="16"/>
      <c r="EJ182" s="16"/>
      <c r="EK182" s="16"/>
      <c r="EP182" s="16"/>
      <c r="EQ182" s="16"/>
      <c r="ER182" s="16"/>
      <c r="ES182" s="16"/>
      <c r="ET182" s="16"/>
      <c r="EU182" s="16"/>
      <c r="EV182" s="16"/>
      <c r="EW182" s="16"/>
      <c r="EX182" s="16"/>
      <c r="EY182" s="16"/>
      <c r="EZ182" s="16"/>
    </row>
    <row r="183" spans="2:156"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2781"/>
      <c r="T183" s="1705"/>
      <c r="U183" s="1705"/>
      <c r="V183" s="110"/>
      <c r="W183" s="110"/>
      <c r="AA183" s="16"/>
      <c r="AB183" s="200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80"/>
      <c r="BD183" s="180"/>
      <c r="BE183" s="180"/>
      <c r="BF183" s="180"/>
      <c r="BG183" s="180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392"/>
      <c r="CA183" s="16"/>
      <c r="CB183" s="16"/>
      <c r="CC183" s="16"/>
      <c r="CD183" s="392"/>
      <c r="CE183" s="392"/>
      <c r="CF183" s="392"/>
      <c r="CG183" s="392"/>
      <c r="CH183" s="392"/>
      <c r="CI183" s="392"/>
      <c r="CJ183" s="392"/>
      <c r="CK183" s="16"/>
      <c r="CL183" s="16"/>
      <c r="CM183" s="2777"/>
      <c r="CN183" s="3390"/>
      <c r="CO183" s="3390"/>
      <c r="CP183" s="3390"/>
      <c r="CQ183" s="3390"/>
      <c r="CR183" s="2184"/>
      <c r="CS183" s="2184"/>
      <c r="CT183" s="2184"/>
      <c r="CU183" s="16"/>
      <c r="CV183" s="16"/>
      <c r="CW183" s="16"/>
      <c r="CX183" s="16"/>
      <c r="CY183" s="16"/>
      <c r="CZ183" s="16"/>
      <c r="DA183" s="16"/>
      <c r="DC183" s="16"/>
      <c r="DD183" s="16"/>
      <c r="DE183" s="202"/>
      <c r="DF183" s="16"/>
      <c r="EF183" s="16"/>
      <c r="EL183" s="16"/>
      <c r="EN183" s="16"/>
      <c r="EO183" s="16"/>
      <c r="EP183" s="16"/>
      <c r="EQ183" s="16"/>
      <c r="ER183" s="16"/>
      <c r="ES183" s="16"/>
      <c r="ET183" s="16"/>
      <c r="EU183" s="16"/>
      <c r="EV183" s="16"/>
      <c r="EW183" s="16"/>
      <c r="EX183" s="16"/>
      <c r="EY183" s="16"/>
      <c r="EZ183" s="16"/>
    </row>
    <row r="184" spans="2:156"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2781"/>
      <c r="T184" s="1705"/>
      <c r="U184" s="1705"/>
      <c r="V184" s="110"/>
      <c r="W184" s="110"/>
      <c r="AA184" s="16"/>
      <c r="AB184" s="200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80"/>
      <c r="BD184" s="180"/>
      <c r="BE184" s="180"/>
      <c r="BF184" s="180"/>
      <c r="BG184" s="180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392"/>
      <c r="CA184" s="16"/>
      <c r="CB184" s="16"/>
      <c r="CC184" s="16"/>
      <c r="CD184" s="392"/>
      <c r="CE184" s="392"/>
      <c r="CF184" s="392"/>
      <c r="CG184" s="392"/>
      <c r="CH184" s="392"/>
      <c r="CI184" s="392"/>
      <c r="CJ184" s="392"/>
      <c r="CK184" s="16"/>
      <c r="CL184" s="16"/>
      <c r="CM184" s="2777"/>
      <c r="CN184" s="3390"/>
      <c r="CO184" s="3390"/>
      <c r="CP184" s="3390"/>
      <c r="CQ184" s="3390"/>
      <c r="CR184" s="2184"/>
      <c r="CS184" s="2184"/>
      <c r="CT184" s="2184"/>
      <c r="CU184" s="16"/>
      <c r="CV184" s="16"/>
      <c r="CW184" s="16"/>
      <c r="CX184" s="16"/>
      <c r="CY184" s="16"/>
      <c r="CZ184" s="16"/>
      <c r="DA184" s="16"/>
      <c r="DC184" s="16"/>
      <c r="DD184" s="16"/>
      <c r="DE184" s="202"/>
      <c r="DF184" s="16"/>
      <c r="EF184" s="16"/>
      <c r="EL184" s="16"/>
      <c r="EN184" s="16"/>
      <c r="EO184" s="16"/>
      <c r="EP184" s="16"/>
      <c r="EQ184" s="16"/>
      <c r="ER184" s="16"/>
      <c r="ES184" s="16"/>
      <c r="ET184" s="16"/>
      <c r="EU184" s="16"/>
      <c r="EV184" s="16"/>
      <c r="EW184" s="16"/>
      <c r="EX184" s="16"/>
      <c r="EY184" s="16"/>
      <c r="EZ184" s="16"/>
    </row>
    <row r="185" spans="2:156">
      <c r="C185" s="327"/>
      <c r="D185" s="327"/>
      <c r="E185" s="327"/>
      <c r="F185" s="327"/>
      <c r="G185" s="327"/>
      <c r="H185" s="747"/>
      <c r="I185" s="747"/>
      <c r="J185" s="747"/>
      <c r="K185" s="747"/>
      <c r="L185" s="747"/>
      <c r="M185" s="2587"/>
      <c r="N185" s="2587"/>
      <c r="O185" s="2587"/>
      <c r="P185" s="2587"/>
      <c r="Q185" s="110"/>
      <c r="R185" s="110"/>
      <c r="S185" s="2781"/>
      <c r="T185" s="1705"/>
      <c r="U185" s="2727"/>
      <c r="V185" s="110"/>
      <c r="W185" s="110"/>
      <c r="AA185" s="16"/>
      <c r="AB185" s="200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80"/>
      <c r="BD185" s="180"/>
      <c r="BE185" s="180"/>
      <c r="BF185" s="180"/>
      <c r="BG185" s="180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392"/>
      <c r="CA185" s="16"/>
      <c r="CB185" s="16"/>
      <c r="CC185" s="16"/>
      <c r="CD185" s="392"/>
      <c r="CE185" s="392"/>
      <c r="CF185" s="392"/>
      <c r="CG185" s="392"/>
      <c r="CH185" s="392"/>
      <c r="CI185" s="392"/>
      <c r="CJ185" s="392"/>
      <c r="CK185" s="16"/>
      <c r="CL185" s="16"/>
      <c r="CM185" s="2777"/>
      <c r="CN185" s="3390"/>
      <c r="CO185" s="3390"/>
      <c r="CP185" s="3390"/>
      <c r="CQ185" s="3390"/>
      <c r="CR185" s="2184"/>
      <c r="CS185" s="2184"/>
      <c r="CT185" s="2184"/>
      <c r="CU185" s="16"/>
      <c r="CV185" s="16"/>
      <c r="CW185" s="16"/>
      <c r="CX185" s="16"/>
      <c r="CY185" s="16"/>
      <c r="CZ185" s="16"/>
      <c r="DA185" s="16"/>
      <c r="DC185" s="16"/>
      <c r="DD185" s="16"/>
      <c r="DE185" s="202"/>
      <c r="DF185" s="16"/>
      <c r="EF185" s="16"/>
      <c r="EL185" s="16"/>
      <c r="EN185" s="16"/>
      <c r="EO185" s="16"/>
      <c r="EP185" s="16"/>
      <c r="EQ185" s="16"/>
      <c r="ER185" s="16"/>
      <c r="ES185" s="16"/>
      <c r="ET185" s="16"/>
      <c r="EU185" s="16"/>
      <c r="EV185" s="16"/>
      <c r="EW185" s="16"/>
      <c r="EX185" s="16"/>
      <c r="EY185" s="16"/>
      <c r="EZ185" s="16"/>
    </row>
    <row r="186" spans="2:156"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2781"/>
      <c r="T186" s="1705"/>
      <c r="U186" s="1705"/>
      <c r="V186" s="110"/>
      <c r="W186" s="110"/>
      <c r="AA186" s="16"/>
      <c r="AB186" s="200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80"/>
      <c r="BD186" s="180"/>
      <c r="BE186" s="180"/>
      <c r="BF186" s="180"/>
      <c r="BG186" s="180"/>
      <c r="BH186" s="16"/>
      <c r="BI186" s="16"/>
      <c r="BJ186" s="16"/>
      <c r="BK186" s="16"/>
      <c r="BL186" s="16"/>
      <c r="BM186" s="16"/>
      <c r="BN186" s="16"/>
      <c r="BO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392"/>
      <c r="CA186" s="16"/>
      <c r="CB186" s="16"/>
      <c r="CC186" s="16"/>
      <c r="CD186" s="392"/>
      <c r="CE186" s="392"/>
      <c r="CF186" s="392"/>
      <c r="CG186" s="392"/>
      <c r="CH186" s="392"/>
      <c r="CI186" s="392"/>
      <c r="CJ186" s="392"/>
      <c r="CK186" s="16"/>
      <c r="CL186" s="16"/>
      <c r="CM186" s="2777"/>
      <c r="CN186" s="3390"/>
      <c r="CO186" s="3390"/>
      <c r="CP186" s="3390"/>
      <c r="CQ186" s="3390"/>
      <c r="CR186" s="2184"/>
      <c r="CS186" s="2184"/>
      <c r="CT186" s="2184"/>
      <c r="CU186" s="16"/>
      <c r="CV186" s="16"/>
      <c r="CW186" s="16"/>
      <c r="CX186" s="16"/>
      <c r="CY186" s="16"/>
      <c r="CZ186" s="16"/>
      <c r="DA186" s="16"/>
      <c r="DC186" s="16"/>
      <c r="DD186" s="16"/>
      <c r="DE186" s="202"/>
      <c r="DF186" s="16"/>
      <c r="EF186" s="16"/>
      <c r="EL186" s="16"/>
      <c r="EN186" s="16"/>
      <c r="EO186" s="16"/>
      <c r="EP186" s="16"/>
      <c r="EQ186" s="16"/>
      <c r="ER186" s="16"/>
      <c r="ES186" s="16"/>
      <c r="ET186" s="16"/>
      <c r="EU186" s="16"/>
      <c r="EV186" s="16"/>
      <c r="EW186" s="16"/>
      <c r="EX186" s="16"/>
      <c r="EY186" s="16"/>
      <c r="EZ186" s="16"/>
    </row>
    <row r="187" spans="2:156">
      <c r="C187" s="16"/>
      <c r="D187" s="16"/>
      <c r="E187" s="16"/>
      <c r="F187" s="16"/>
      <c r="G187" s="16"/>
      <c r="H187" s="167"/>
      <c r="I187" s="773"/>
      <c r="J187" s="773"/>
      <c r="K187" s="773"/>
      <c r="L187" s="773"/>
      <c r="M187" s="773"/>
      <c r="N187" s="773"/>
      <c r="O187" s="773"/>
      <c r="P187" s="773"/>
      <c r="Q187" s="110"/>
      <c r="R187" s="110"/>
      <c r="S187" s="2781"/>
      <c r="T187" s="1705"/>
      <c r="U187" s="2769"/>
      <c r="V187" s="110"/>
      <c r="W187" s="110"/>
      <c r="BC187" s="180"/>
      <c r="BD187" s="180"/>
      <c r="BE187" s="180"/>
      <c r="BF187" s="180"/>
      <c r="BG187" s="180"/>
      <c r="BH187" s="204"/>
      <c r="BI187" s="218"/>
      <c r="BK187" s="204"/>
      <c r="BL187" s="218"/>
      <c r="BO187" s="204"/>
      <c r="BP187" s="759"/>
      <c r="BQ187" s="759"/>
      <c r="BR187" s="759"/>
      <c r="BS187" s="759"/>
      <c r="BT187" s="204"/>
      <c r="BU187" s="204"/>
      <c r="BV187" s="204"/>
      <c r="BW187" s="204"/>
      <c r="BX187" s="204"/>
      <c r="BY187" s="10"/>
      <c r="BZ187" s="62"/>
      <c r="CA187" s="10"/>
      <c r="CB187" s="10"/>
      <c r="CC187" s="10"/>
      <c r="CD187" s="62"/>
      <c r="CE187" s="62"/>
      <c r="CF187" s="62"/>
      <c r="CG187" s="62"/>
      <c r="CH187" s="62"/>
      <c r="CI187" s="62"/>
      <c r="CJ187" s="62"/>
      <c r="CK187" s="10"/>
      <c r="CL187" s="10"/>
      <c r="CT187" s="67"/>
      <c r="CU187" s="10"/>
      <c r="CV187" s="10"/>
      <c r="CW187" s="10"/>
      <c r="CX187" s="10"/>
      <c r="CY187" s="10"/>
      <c r="CZ187" s="10"/>
      <c r="DA187" s="10"/>
      <c r="DC187" s="10"/>
      <c r="EF187" s="16"/>
      <c r="EL187" s="16"/>
      <c r="EN187" s="16"/>
      <c r="EO187" s="16"/>
      <c r="EP187" s="16"/>
    </row>
    <row r="188" spans="2:156">
      <c r="C188" s="16"/>
      <c r="D188" s="16"/>
      <c r="E188" s="16"/>
      <c r="F188" s="16"/>
      <c r="G188" s="16"/>
      <c r="H188" s="167"/>
      <c r="I188" s="773"/>
      <c r="J188" s="773"/>
      <c r="K188" s="773"/>
      <c r="L188" s="773"/>
      <c r="M188" s="179"/>
      <c r="N188" s="179"/>
      <c r="O188" s="179"/>
      <c r="P188" s="179"/>
      <c r="Q188" s="110"/>
      <c r="R188" s="110"/>
      <c r="S188" s="2781"/>
      <c r="T188" s="1705"/>
      <c r="U188" s="2765"/>
      <c r="V188" s="110"/>
      <c r="W188" s="110"/>
      <c r="BC188" s="218"/>
      <c r="BD188" s="21"/>
      <c r="BE188" s="218"/>
      <c r="BF188" s="204"/>
      <c r="BG188" s="204"/>
      <c r="BH188" s="204"/>
      <c r="BI188" s="218"/>
      <c r="BK188" s="204"/>
      <c r="BL188" s="218"/>
      <c r="BO188" s="204"/>
      <c r="BP188" s="759"/>
      <c r="BQ188" s="759"/>
      <c r="BR188" s="759"/>
      <c r="BS188" s="759"/>
      <c r="BT188" s="204"/>
      <c r="BU188" s="204"/>
      <c r="BV188" s="204"/>
      <c r="BW188" s="204"/>
      <c r="BX188" s="204"/>
      <c r="BY188" s="10"/>
      <c r="BZ188" s="62"/>
      <c r="CA188" s="10"/>
      <c r="CB188" s="10"/>
      <c r="CC188" s="10"/>
      <c r="CD188" s="62"/>
      <c r="CE188" s="62"/>
      <c r="CF188" s="62"/>
      <c r="CG188" s="62"/>
      <c r="CH188" s="62"/>
      <c r="CI188" s="62"/>
      <c r="CJ188" s="62"/>
      <c r="CK188" s="10"/>
      <c r="CL188" s="10"/>
      <c r="CT188" s="67"/>
      <c r="CU188" s="10"/>
      <c r="CV188" s="10"/>
      <c r="CW188" s="10"/>
      <c r="CX188" s="10"/>
      <c r="CY188" s="10"/>
      <c r="CZ188" s="10"/>
      <c r="DA188" s="10"/>
      <c r="DC188" s="10"/>
      <c r="EF188" s="16"/>
      <c r="EL188" s="16"/>
      <c r="EN188" s="16"/>
      <c r="EO188" s="16"/>
      <c r="EP188" s="16"/>
    </row>
    <row r="189" spans="2:156">
      <c r="B189" s="220"/>
      <c r="C189" s="16"/>
      <c r="D189" s="16"/>
      <c r="E189" s="16"/>
      <c r="F189" s="16"/>
      <c r="G189" s="16"/>
      <c r="H189" s="167"/>
      <c r="I189" s="773"/>
      <c r="J189" s="773"/>
      <c r="K189" s="773"/>
      <c r="L189" s="773"/>
      <c r="M189" s="179"/>
      <c r="N189" s="179"/>
      <c r="O189" s="179"/>
      <c r="P189" s="179"/>
      <c r="Q189" s="110"/>
      <c r="R189" s="110"/>
      <c r="S189" s="2781"/>
      <c r="T189" s="1705"/>
      <c r="U189" s="2765"/>
      <c r="V189" s="110"/>
      <c r="W189" s="110"/>
      <c r="BC189" s="218"/>
      <c r="BD189" s="21"/>
      <c r="BE189" s="218"/>
      <c r="BF189" s="204"/>
      <c r="BG189" s="204"/>
      <c r="BH189" s="204"/>
      <c r="BI189" s="218"/>
      <c r="BK189" s="204"/>
      <c r="BL189" s="218"/>
      <c r="BO189" s="204"/>
      <c r="BP189" s="759"/>
      <c r="BQ189" s="759"/>
      <c r="BR189" s="759"/>
      <c r="BS189" s="759"/>
      <c r="BT189" s="204"/>
      <c r="BU189" s="204"/>
      <c r="BV189" s="204"/>
      <c r="BW189" s="204"/>
      <c r="BX189" s="204"/>
      <c r="BY189" s="10"/>
      <c r="BZ189" s="62"/>
      <c r="CA189" s="10"/>
      <c r="CB189" s="10"/>
      <c r="CC189" s="10"/>
      <c r="CD189" s="62"/>
      <c r="CE189" s="62"/>
      <c r="CF189" s="62"/>
      <c r="CG189" s="62"/>
      <c r="CH189" s="62"/>
      <c r="CI189" s="62"/>
      <c r="CJ189" s="62"/>
      <c r="CK189" s="10"/>
      <c r="CT189" s="67"/>
      <c r="CU189" s="10"/>
      <c r="CV189" s="10"/>
      <c r="CW189" s="10"/>
      <c r="CX189" s="10"/>
      <c r="CY189" s="10"/>
      <c r="CZ189" s="10"/>
      <c r="DA189" s="10"/>
      <c r="DC189" s="10"/>
      <c r="EF189" s="16"/>
      <c r="EL189" s="16"/>
      <c r="EN189" s="16"/>
      <c r="EO189" s="16"/>
      <c r="EP189" s="16"/>
    </row>
    <row r="190" spans="2:156">
      <c r="C190" s="16"/>
      <c r="D190" s="16"/>
      <c r="E190" s="16"/>
      <c r="F190" s="16"/>
      <c r="G190" s="16"/>
      <c r="H190" s="167"/>
      <c r="I190" s="773"/>
      <c r="J190" s="773"/>
      <c r="K190" s="773"/>
      <c r="L190" s="773"/>
      <c r="M190" s="773"/>
      <c r="N190" s="773"/>
      <c r="O190" s="773"/>
      <c r="P190" s="773"/>
      <c r="Q190" s="110"/>
      <c r="R190" s="110"/>
      <c r="S190" s="2781"/>
      <c r="T190" s="1705"/>
      <c r="U190" s="2769"/>
      <c r="V190" s="110"/>
      <c r="W190" s="110"/>
      <c r="BC190" s="218"/>
      <c r="BD190" s="21"/>
      <c r="BE190" s="218"/>
      <c r="BF190" s="204"/>
      <c r="BG190" s="204"/>
      <c r="BH190" s="204"/>
      <c r="BI190" s="218"/>
      <c r="BK190" s="204"/>
      <c r="BL190" s="218"/>
      <c r="BO190" s="204"/>
      <c r="BP190" s="759"/>
      <c r="BQ190" s="759"/>
      <c r="BR190" s="759"/>
      <c r="BS190" s="759"/>
      <c r="BT190" s="204"/>
      <c r="BU190" s="204"/>
      <c r="BV190" s="204"/>
      <c r="BW190" s="204"/>
      <c r="BX190" s="204"/>
      <c r="BY190" s="10"/>
      <c r="BZ190" s="62"/>
      <c r="CA190" s="10"/>
      <c r="CB190" s="10"/>
      <c r="CC190" s="10"/>
      <c r="CD190" s="62"/>
      <c r="CE190" s="62"/>
      <c r="CF190" s="62"/>
      <c r="CG190" s="62"/>
      <c r="CH190" s="62"/>
      <c r="CI190" s="62"/>
      <c r="CJ190" s="62"/>
      <c r="CK190" s="10"/>
      <c r="CT190" s="67"/>
      <c r="CU190" s="10"/>
      <c r="CV190" s="10"/>
      <c r="CW190" s="10"/>
      <c r="CX190" s="10"/>
      <c r="CY190" s="10"/>
      <c r="CZ190" s="10"/>
      <c r="DA190" s="10"/>
      <c r="DC190" s="10"/>
      <c r="EF190" s="16"/>
      <c r="EL190" s="16"/>
      <c r="EN190" s="16"/>
      <c r="EO190" s="16"/>
      <c r="EP190" s="16"/>
    </row>
    <row r="191" spans="2:156">
      <c r="B191" s="814"/>
      <c r="C191" s="413"/>
      <c r="D191" s="413"/>
      <c r="E191" s="413"/>
      <c r="F191" s="413"/>
      <c r="G191" s="413"/>
      <c r="H191" s="152"/>
      <c r="I191" s="152"/>
      <c r="J191" s="152"/>
      <c r="K191" s="152"/>
      <c r="L191" s="152"/>
      <c r="M191" s="152"/>
      <c r="N191" s="152"/>
      <c r="O191" s="152"/>
      <c r="P191" s="152"/>
      <c r="Q191" s="110"/>
      <c r="R191" s="110"/>
      <c r="S191" s="2781"/>
      <c r="T191" s="1705"/>
      <c r="U191" s="2770"/>
      <c r="V191" s="110"/>
      <c r="W191" s="110"/>
      <c r="BC191" s="218"/>
      <c r="BD191" s="21"/>
      <c r="BE191" s="218"/>
      <c r="BF191" s="204"/>
      <c r="BG191" s="204"/>
      <c r="BH191" s="204"/>
      <c r="BI191" s="218"/>
      <c r="BK191" s="204"/>
      <c r="BL191" s="218"/>
      <c r="BO191" s="204"/>
      <c r="BP191" s="759"/>
      <c r="BQ191" s="759"/>
      <c r="BR191" s="759"/>
      <c r="BS191" s="759"/>
      <c r="BT191" s="204"/>
      <c r="BU191" s="204"/>
      <c r="BV191" s="204"/>
      <c r="BW191" s="204"/>
      <c r="BX191" s="204"/>
      <c r="BY191" s="10"/>
      <c r="BZ191" s="62"/>
      <c r="CA191" s="10"/>
      <c r="CB191" s="10"/>
      <c r="CC191" s="10"/>
      <c r="CD191" s="62"/>
      <c r="CE191" s="62"/>
      <c r="CF191" s="62"/>
      <c r="CG191" s="62"/>
      <c r="CH191" s="62"/>
      <c r="CI191" s="62"/>
      <c r="CJ191" s="62"/>
      <c r="CK191" s="10"/>
      <c r="CT191" s="67"/>
      <c r="CU191" s="10"/>
      <c r="CV191" s="10"/>
      <c r="CW191" s="10"/>
      <c r="CX191" s="10"/>
      <c r="CY191" s="10"/>
      <c r="CZ191" s="10"/>
      <c r="DA191" s="10"/>
      <c r="DC191" s="10"/>
      <c r="EF191" s="16"/>
      <c r="EL191" s="16"/>
      <c r="EN191" s="16"/>
      <c r="EO191" s="16"/>
      <c r="EP191" s="16"/>
    </row>
    <row r="192" spans="2:156">
      <c r="C192" s="16"/>
      <c r="D192" s="16"/>
      <c r="E192" s="16"/>
      <c r="F192" s="16"/>
      <c r="G192" s="16"/>
      <c r="H192" s="167"/>
      <c r="I192" s="773"/>
      <c r="J192" s="773"/>
      <c r="K192" s="773"/>
      <c r="L192" s="773"/>
      <c r="M192" s="773"/>
      <c r="N192" s="773"/>
      <c r="O192" s="773"/>
      <c r="P192" s="773"/>
      <c r="Q192" s="110"/>
      <c r="R192" s="110"/>
      <c r="S192" s="2781"/>
      <c r="T192" s="1705"/>
      <c r="U192" s="2769"/>
      <c r="V192" s="110"/>
      <c r="W192" s="110"/>
      <c r="BC192" s="218"/>
      <c r="BD192" s="21"/>
      <c r="BE192" s="218"/>
      <c r="BF192" s="204"/>
      <c r="BG192" s="204"/>
      <c r="BH192" s="204"/>
      <c r="BI192" s="218"/>
      <c r="BK192" s="204"/>
      <c r="BL192" s="218"/>
      <c r="BO192" s="204"/>
      <c r="BP192" s="759"/>
      <c r="BQ192" s="759"/>
      <c r="BR192" s="759"/>
      <c r="BS192" s="759"/>
      <c r="BT192" s="204"/>
      <c r="BU192" s="204"/>
      <c r="BV192" s="204"/>
      <c r="BW192" s="204"/>
      <c r="BX192" s="204"/>
      <c r="BY192" s="10"/>
      <c r="BZ192" s="62"/>
      <c r="CA192" s="10"/>
      <c r="CB192" s="10"/>
      <c r="CC192" s="10"/>
      <c r="CD192" s="62"/>
      <c r="CE192" s="62"/>
      <c r="CF192" s="62"/>
      <c r="CG192" s="62"/>
      <c r="CH192" s="62"/>
      <c r="CI192" s="62"/>
      <c r="CJ192" s="62"/>
      <c r="CK192" s="10"/>
      <c r="CT192" s="67"/>
      <c r="CU192" s="10"/>
      <c r="CV192" s="10"/>
      <c r="CW192" s="10"/>
      <c r="CX192" s="10"/>
      <c r="CY192" s="10"/>
      <c r="CZ192" s="10"/>
      <c r="DA192" s="10"/>
      <c r="DC192" s="10"/>
      <c r="EF192" s="16"/>
      <c r="EL192" s="16"/>
      <c r="EN192" s="16"/>
      <c r="EO192" s="16"/>
      <c r="EP192" s="16"/>
    </row>
    <row r="193" spans="2:156">
      <c r="C193" s="16"/>
      <c r="D193" s="16"/>
      <c r="E193" s="16"/>
      <c r="F193" s="16"/>
      <c r="G193" s="16"/>
      <c r="H193" s="167"/>
      <c r="I193" s="773"/>
      <c r="J193" s="773"/>
      <c r="K193" s="773"/>
      <c r="L193" s="773"/>
      <c r="M193" s="773"/>
      <c r="N193" s="773"/>
      <c r="O193" s="773"/>
      <c r="P193" s="773"/>
      <c r="Q193" s="110"/>
      <c r="R193" s="110"/>
      <c r="S193" s="2781"/>
      <c r="T193" s="1705"/>
      <c r="U193" s="2769"/>
      <c r="V193" s="110"/>
      <c r="W193" s="110"/>
      <c r="BC193" s="218"/>
      <c r="BD193" s="21"/>
      <c r="BE193" s="218"/>
      <c r="BF193" s="204"/>
      <c r="BG193" s="204"/>
      <c r="BH193" s="204"/>
      <c r="BI193" s="218"/>
      <c r="BK193" s="204"/>
      <c r="BL193" s="218"/>
      <c r="BO193" s="204"/>
      <c r="BP193" s="759"/>
      <c r="BQ193" s="759"/>
      <c r="BR193" s="759"/>
      <c r="BS193" s="759"/>
      <c r="BT193" s="204"/>
      <c r="BU193" s="204"/>
      <c r="BV193" s="204"/>
      <c r="BW193" s="204"/>
      <c r="BX193" s="204"/>
      <c r="BY193" s="10"/>
      <c r="BZ193" s="62"/>
      <c r="CA193" s="10"/>
      <c r="CB193" s="10"/>
      <c r="CC193" s="10"/>
      <c r="CD193" s="62"/>
      <c r="CE193" s="62"/>
      <c r="CF193" s="62"/>
      <c r="CG193" s="62"/>
      <c r="CH193" s="62"/>
      <c r="CI193" s="62"/>
      <c r="CJ193" s="62"/>
      <c r="CK193" s="10"/>
      <c r="CT193" s="67"/>
      <c r="CU193" s="10"/>
      <c r="CV193" s="10"/>
      <c r="CW193" s="10"/>
      <c r="CX193" s="10"/>
      <c r="CY193" s="10"/>
      <c r="CZ193" s="10"/>
      <c r="DA193" s="10"/>
      <c r="DC193" s="10"/>
      <c r="EF193" s="16"/>
      <c r="EL193" s="16"/>
      <c r="EN193" s="16"/>
      <c r="EO193" s="16"/>
      <c r="EP193" s="16"/>
    </row>
    <row r="194" spans="2:156">
      <c r="C194" s="16"/>
      <c r="D194" s="16"/>
      <c r="E194" s="16"/>
      <c r="F194" s="16"/>
      <c r="G194" s="16"/>
      <c r="H194" s="167"/>
      <c r="I194" s="167"/>
      <c r="J194" s="167"/>
      <c r="K194" s="167"/>
      <c r="L194" s="167"/>
      <c r="M194" s="167"/>
      <c r="N194" s="167"/>
      <c r="O194" s="167"/>
      <c r="P194" s="167"/>
      <c r="Q194" s="110"/>
      <c r="R194" s="110"/>
      <c r="S194" s="2781"/>
      <c r="T194" s="1705"/>
      <c r="U194" s="2760"/>
      <c r="V194" s="110"/>
      <c r="W194" s="110"/>
      <c r="BC194" s="218"/>
      <c r="BD194" s="21"/>
      <c r="BE194" s="218"/>
      <c r="BF194" s="204"/>
      <c r="BG194" s="204"/>
      <c r="BH194" s="204"/>
      <c r="BI194" s="218"/>
      <c r="BK194" s="204"/>
      <c r="BL194" s="218"/>
      <c r="BO194" s="204"/>
      <c r="BP194" s="759"/>
      <c r="BQ194" s="759"/>
      <c r="BR194" s="759"/>
      <c r="BS194" s="759"/>
      <c r="BT194" s="204"/>
      <c r="BU194" s="204"/>
      <c r="BV194" s="204"/>
      <c r="BW194" s="204"/>
      <c r="BX194" s="204"/>
      <c r="BY194" s="10"/>
      <c r="BZ194" s="62"/>
      <c r="CA194" s="10"/>
      <c r="CB194" s="10"/>
      <c r="CC194" s="10"/>
      <c r="CD194" s="62"/>
      <c r="CE194" s="62"/>
      <c r="CF194" s="62"/>
      <c r="CG194" s="62"/>
      <c r="CH194" s="62"/>
      <c r="CI194" s="62"/>
      <c r="CJ194" s="62"/>
      <c r="CK194" s="10"/>
      <c r="CT194" s="67"/>
      <c r="CU194" s="10"/>
      <c r="CV194" s="10"/>
      <c r="CW194" s="10"/>
      <c r="CX194" s="10"/>
      <c r="CY194" s="10"/>
      <c r="CZ194" s="10"/>
      <c r="DA194" s="10"/>
      <c r="DC194" s="10"/>
      <c r="EF194" s="16"/>
      <c r="EL194" s="16"/>
      <c r="EN194" s="16"/>
      <c r="EO194" s="16"/>
      <c r="EP194" s="16"/>
    </row>
    <row r="195" spans="2:156">
      <c r="C195" s="16"/>
      <c r="D195" s="16"/>
      <c r="E195" s="16"/>
      <c r="F195" s="16"/>
      <c r="G195" s="16"/>
      <c r="H195" s="765"/>
      <c r="I195" s="765"/>
      <c r="J195" s="765"/>
      <c r="K195" s="765"/>
      <c r="L195" s="765"/>
      <c r="M195" s="2588"/>
      <c r="N195" s="2588"/>
      <c r="O195" s="2588"/>
      <c r="P195" s="2588"/>
      <c r="Q195" s="110"/>
      <c r="R195" s="110"/>
      <c r="S195" s="2781"/>
      <c r="T195" s="1705"/>
      <c r="U195" s="2735"/>
      <c r="V195" s="110"/>
      <c r="W195" s="110"/>
      <c r="BC195" s="218"/>
      <c r="BD195" s="21"/>
      <c r="BE195" s="218"/>
      <c r="BF195" s="204"/>
      <c r="BG195" s="204"/>
      <c r="BH195" s="204"/>
      <c r="BI195" s="218"/>
      <c r="BK195" s="204"/>
      <c r="BL195" s="218"/>
      <c r="BO195" s="204"/>
      <c r="BP195" s="759"/>
      <c r="BQ195" s="759"/>
      <c r="BR195" s="759"/>
      <c r="BS195" s="759"/>
      <c r="BT195" s="204"/>
      <c r="BU195" s="204"/>
      <c r="BV195" s="204"/>
      <c r="BW195" s="204"/>
      <c r="BX195" s="204"/>
      <c r="BY195" s="10"/>
      <c r="BZ195" s="62"/>
      <c r="CA195" s="10"/>
      <c r="CB195" s="10"/>
      <c r="CC195" s="10"/>
      <c r="CD195" s="62"/>
      <c r="CE195" s="62"/>
      <c r="CF195" s="62"/>
      <c r="CG195" s="62"/>
      <c r="CH195" s="62"/>
      <c r="CI195" s="62"/>
      <c r="CJ195" s="62"/>
      <c r="CK195" s="10"/>
      <c r="CT195" s="67"/>
      <c r="CU195" s="10"/>
      <c r="CV195" s="10"/>
      <c r="CW195" s="10"/>
      <c r="CX195" s="10"/>
      <c r="CY195" s="10"/>
      <c r="CZ195" s="10"/>
      <c r="DA195" s="10"/>
      <c r="DC195" s="10"/>
      <c r="EF195" s="16"/>
      <c r="EL195" s="16"/>
      <c r="EN195" s="16"/>
      <c r="EO195" s="16"/>
      <c r="EP195" s="16"/>
    </row>
    <row r="196" spans="2:156">
      <c r="B196" s="197"/>
      <c r="H196" s="167"/>
      <c r="I196" s="760"/>
      <c r="J196" s="760"/>
      <c r="K196" s="761"/>
      <c r="L196" s="761"/>
      <c r="M196" s="180"/>
      <c r="N196" s="180"/>
      <c r="O196" s="180"/>
      <c r="P196" s="180"/>
      <c r="Q196" s="167"/>
      <c r="R196" s="167"/>
      <c r="S196" s="2782"/>
      <c r="T196" s="2760"/>
      <c r="U196" s="2771"/>
      <c r="V196" s="167"/>
      <c r="W196" s="167"/>
      <c r="Z196" s="180"/>
      <c r="BD196" s="204"/>
      <c r="BE196" s="218"/>
      <c r="BF196" s="204"/>
      <c r="BG196" s="204"/>
      <c r="BH196" s="204"/>
      <c r="BI196" s="218"/>
      <c r="BK196" s="204"/>
      <c r="BL196" s="218"/>
      <c r="BO196" s="204"/>
      <c r="BP196" s="115"/>
      <c r="BQ196" s="115"/>
      <c r="BR196" s="115"/>
      <c r="BS196" s="115"/>
      <c r="BT196" s="204"/>
      <c r="BU196" s="204"/>
      <c r="BV196" s="204"/>
      <c r="BW196" s="204"/>
      <c r="BX196" s="204"/>
      <c r="BY196" s="10"/>
      <c r="BZ196" s="62"/>
      <c r="CA196" s="10"/>
      <c r="CB196" s="10"/>
      <c r="CC196" s="10"/>
      <c r="CD196" s="62"/>
      <c r="CE196" s="62"/>
      <c r="CF196" s="62"/>
      <c r="CG196" s="62"/>
      <c r="CH196" s="62"/>
      <c r="CI196" s="62"/>
      <c r="CJ196" s="62"/>
      <c r="CK196" s="10"/>
      <c r="CT196" s="67"/>
      <c r="CU196" s="10"/>
      <c r="CV196" s="10"/>
      <c r="CW196" s="10"/>
      <c r="CX196" s="10"/>
      <c r="CY196" s="10"/>
      <c r="CZ196" s="10"/>
      <c r="DA196" s="10"/>
      <c r="DC196" s="10"/>
      <c r="EF196" s="16"/>
      <c r="EL196" s="16"/>
      <c r="EN196" s="16"/>
      <c r="EO196" s="16"/>
      <c r="EQ196" s="16"/>
    </row>
    <row r="197" spans="2:156">
      <c r="B197" s="220"/>
      <c r="H197" s="206"/>
      <c r="I197" s="201"/>
      <c r="J197" s="201"/>
      <c r="K197" s="206"/>
      <c r="L197" s="206"/>
      <c r="M197" s="206"/>
      <c r="N197" s="206"/>
      <c r="O197" s="206"/>
      <c r="P197" s="206"/>
      <c r="Q197" s="167"/>
      <c r="R197" s="167"/>
      <c r="S197" s="2782"/>
      <c r="T197" s="2760"/>
      <c r="U197" s="2768"/>
      <c r="V197" s="167"/>
      <c r="W197" s="167"/>
      <c r="BD197" s="204"/>
      <c r="BE197" s="218"/>
      <c r="BF197" s="204"/>
      <c r="BG197" s="204"/>
      <c r="BH197" s="204"/>
      <c r="BI197" s="218"/>
      <c r="BK197" s="204"/>
      <c r="BL197" s="218"/>
      <c r="BO197" s="204"/>
      <c r="BP197" s="115"/>
      <c r="BQ197" s="115"/>
      <c r="BR197" s="115"/>
      <c r="BS197" s="115"/>
      <c r="BT197" s="204"/>
      <c r="BU197" s="204"/>
      <c r="BV197" s="204"/>
      <c r="BW197" s="204"/>
      <c r="BX197" s="204"/>
      <c r="BY197" s="10"/>
      <c r="BZ197" s="62"/>
      <c r="CA197" s="10"/>
      <c r="CB197" s="10"/>
      <c r="CC197" s="10"/>
      <c r="CD197" s="62"/>
      <c r="CE197" s="62"/>
      <c r="CF197" s="62"/>
      <c r="CG197" s="62"/>
      <c r="CH197" s="62"/>
      <c r="CI197" s="62"/>
      <c r="CJ197" s="62"/>
      <c r="CK197" s="10"/>
      <c r="CT197" s="67"/>
      <c r="CU197" s="10"/>
      <c r="CV197" s="10"/>
      <c r="CW197" s="10"/>
      <c r="CX197" s="10"/>
      <c r="CY197" s="10"/>
      <c r="CZ197" s="10"/>
      <c r="DA197" s="10"/>
      <c r="DC197" s="10"/>
      <c r="EP197" s="16"/>
      <c r="EQ197" s="16"/>
    </row>
    <row r="198" spans="2:156">
      <c r="B198" s="197"/>
      <c r="H198" s="167"/>
      <c r="I198" s="204"/>
      <c r="J198" s="204"/>
      <c r="K198" s="204"/>
      <c r="L198" s="204"/>
      <c r="M198" s="204"/>
      <c r="N198" s="204"/>
      <c r="O198" s="204"/>
      <c r="P198" s="204"/>
      <c r="U198" s="2772"/>
      <c r="BD198" s="204"/>
      <c r="BE198" s="218"/>
      <c r="BF198" s="204"/>
      <c r="BG198" s="204"/>
      <c r="BH198" s="204"/>
      <c r="BI198" s="218"/>
      <c r="BK198" s="204"/>
      <c r="BL198" s="218"/>
      <c r="BO198" s="204"/>
      <c r="BP198" s="115"/>
      <c r="BQ198" s="115"/>
      <c r="BR198" s="115"/>
      <c r="BS198" s="115"/>
      <c r="BT198" s="204"/>
      <c r="BU198" s="204"/>
      <c r="BV198" s="204"/>
      <c r="BW198" s="204"/>
      <c r="BX198" s="204"/>
      <c r="BY198" s="10"/>
      <c r="BZ198" s="62"/>
      <c r="CA198" s="10"/>
      <c r="CB198" s="10"/>
      <c r="CC198" s="10"/>
      <c r="CD198" s="62"/>
      <c r="CE198" s="62"/>
      <c r="CF198" s="62"/>
      <c r="CG198" s="62"/>
      <c r="CH198" s="62"/>
      <c r="CI198" s="62"/>
      <c r="CJ198" s="62"/>
      <c r="CK198" s="10"/>
      <c r="CT198" s="67"/>
      <c r="CU198" s="10"/>
      <c r="CV198" s="10"/>
      <c r="CW198" s="10"/>
      <c r="CX198" s="10"/>
      <c r="CY198" s="10"/>
      <c r="CZ198" s="10"/>
      <c r="DA198" s="10"/>
      <c r="DC198" s="10"/>
      <c r="EF198" s="16"/>
      <c r="EL198" s="16"/>
      <c r="EN198" s="16"/>
      <c r="EO198" s="16"/>
      <c r="EP198" s="16"/>
    </row>
    <row r="199" spans="2:156">
      <c r="B199" s="197"/>
      <c r="H199" s="167"/>
      <c r="I199" s="204"/>
      <c r="J199" s="204"/>
      <c r="K199" s="204"/>
      <c r="L199" s="204"/>
      <c r="M199" s="204"/>
      <c r="N199" s="204"/>
      <c r="O199" s="204"/>
      <c r="P199" s="204"/>
      <c r="U199" s="2772"/>
      <c r="BD199" s="204"/>
      <c r="BE199" s="218"/>
      <c r="BF199" s="204"/>
      <c r="BG199" s="204"/>
      <c r="BH199" s="204"/>
      <c r="BI199" s="218"/>
      <c r="BK199" s="204"/>
      <c r="BL199" s="218"/>
      <c r="BO199" s="204"/>
      <c r="BP199" s="115"/>
      <c r="BQ199" s="115"/>
      <c r="BR199" s="115"/>
      <c r="BS199" s="115"/>
      <c r="BT199" s="204"/>
      <c r="BU199" s="204"/>
      <c r="BV199" s="204"/>
      <c r="BW199" s="204"/>
      <c r="BX199" s="204"/>
      <c r="BY199" s="10"/>
      <c r="BZ199" s="62"/>
      <c r="CA199" s="10"/>
      <c r="CB199" s="10"/>
      <c r="CC199" s="10"/>
      <c r="CD199" s="62"/>
      <c r="CE199" s="62"/>
      <c r="CF199" s="62"/>
      <c r="CG199" s="62"/>
      <c r="CH199" s="62"/>
      <c r="CI199" s="62"/>
      <c r="CJ199" s="62"/>
      <c r="CK199" s="10"/>
      <c r="CT199" s="67"/>
      <c r="CU199" s="10"/>
      <c r="CV199" s="10"/>
      <c r="CW199" s="10"/>
      <c r="CX199" s="10"/>
      <c r="CY199" s="10"/>
      <c r="CZ199" s="10"/>
      <c r="DA199" s="10"/>
      <c r="DC199" s="10"/>
      <c r="EF199" s="16"/>
      <c r="EL199" s="16"/>
      <c r="EN199" s="16"/>
      <c r="EO199" s="16"/>
    </row>
    <row r="200" spans="2:156">
      <c r="B200" s="197"/>
      <c r="H200" s="167"/>
      <c r="I200" s="204"/>
      <c r="J200" s="204"/>
      <c r="K200" s="204"/>
      <c r="L200" s="204"/>
      <c r="M200" s="204"/>
      <c r="N200" s="204"/>
      <c r="O200" s="204"/>
      <c r="P200" s="204"/>
      <c r="U200" s="2772"/>
      <c r="BD200" s="204"/>
      <c r="BE200" s="218"/>
      <c r="BF200" s="204"/>
      <c r="BG200" s="204"/>
      <c r="BH200" s="204"/>
      <c r="BI200" s="218"/>
      <c r="BK200" s="204"/>
      <c r="BL200" s="218"/>
      <c r="BO200" s="204"/>
      <c r="BP200" s="115"/>
      <c r="BQ200" s="115"/>
      <c r="BR200" s="115"/>
      <c r="BS200" s="115"/>
      <c r="BT200" s="204"/>
      <c r="BU200" s="204"/>
      <c r="BV200" s="204"/>
      <c r="BW200" s="204"/>
      <c r="BX200" s="204"/>
      <c r="BY200" s="10"/>
      <c r="BZ200" s="62"/>
      <c r="CA200" s="10"/>
      <c r="CB200" s="10"/>
      <c r="CC200" s="10"/>
      <c r="CD200" s="62"/>
      <c r="CE200" s="62"/>
      <c r="CF200" s="62"/>
      <c r="CG200" s="62"/>
      <c r="CH200" s="62"/>
      <c r="CI200" s="62"/>
      <c r="CJ200" s="62"/>
      <c r="CK200" s="10"/>
      <c r="CT200" s="67"/>
      <c r="CU200" s="10"/>
      <c r="CV200" s="10"/>
      <c r="CW200" s="10"/>
      <c r="CX200" s="10"/>
      <c r="CY200" s="10"/>
      <c r="CZ200" s="10"/>
      <c r="DA200" s="10"/>
      <c r="DC200" s="10"/>
      <c r="EF200" s="16"/>
      <c r="EL200" s="16"/>
      <c r="EN200" s="16"/>
      <c r="EO200" s="16"/>
    </row>
    <row r="201" spans="2:156" s="16" customFormat="1">
      <c r="B201" s="10"/>
      <c r="C201" s="10"/>
      <c r="D201" s="10"/>
      <c r="E201" s="10"/>
      <c r="F201" s="10"/>
      <c r="G201" s="10"/>
      <c r="H201" s="167"/>
      <c r="I201" s="204"/>
      <c r="J201" s="204"/>
      <c r="K201" s="204"/>
      <c r="L201" s="204"/>
      <c r="M201" s="204"/>
      <c r="N201" s="204"/>
      <c r="O201" s="204"/>
      <c r="P201" s="204"/>
      <c r="S201" s="392"/>
      <c r="T201" s="2777"/>
      <c r="U201" s="2772"/>
      <c r="AA201" s="10"/>
      <c r="AB201" s="15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204"/>
      <c r="BE201" s="218"/>
      <c r="BF201" s="204"/>
      <c r="BG201" s="204"/>
      <c r="BH201" s="204"/>
      <c r="BI201" s="218"/>
      <c r="BJ201" s="10"/>
      <c r="BK201" s="204"/>
      <c r="BL201" s="218"/>
      <c r="BM201" s="10"/>
      <c r="BN201" s="10"/>
      <c r="BO201" s="204"/>
      <c r="BP201" s="115"/>
      <c r="BQ201" s="115"/>
      <c r="BR201" s="115"/>
      <c r="BS201" s="115"/>
      <c r="BT201" s="204"/>
      <c r="BU201" s="204"/>
      <c r="BV201" s="204"/>
      <c r="BW201" s="204"/>
      <c r="BX201" s="204"/>
      <c r="BY201" s="10"/>
      <c r="BZ201" s="62"/>
      <c r="CA201" s="10"/>
      <c r="CB201" s="10"/>
      <c r="CC201" s="10"/>
      <c r="CD201" s="62"/>
      <c r="CE201" s="62"/>
      <c r="CF201" s="62"/>
      <c r="CG201" s="62"/>
      <c r="CH201" s="62"/>
      <c r="CI201" s="62"/>
      <c r="CJ201" s="62"/>
      <c r="CK201" s="10"/>
      <c r="CL201" s="2762"/>
      <c r="CM201" s="2762"/>
      <c r="CN201" s="2845"/>
      <c r="CO201" s="2845"/>
      <c r="CP201" s="2845"/>
      <c r="CQ201" s="2845"/>
      <c r="CR201" s="67"/>
      <c r="CS201" s="67"/>
      <c r="CT201" s="67"/>
      <c r="CU201" s="10"/>
      <c r="CV201" s="10"/>
      <c r="CW201" s="10"/>
      <c r="CX201" s="10"/>
      <c r="CY201" s="10"/>
      <c r="CZ201" s="10"/>
      <c r="DA201" s="10"/>
      <c r="DC201" s="10"/>
      <c r="DD201" s="10"/>
      <c r="DE201" s="42"/>
      <c r="DF201" s="10"/>
      <c r="DG201" s="43"/>
      <c r="DH201" s="43"/>
      <c r="DI201" s="43"/>
      <c r="DJ201" s="44"/>
      <c r="DK201" s="44"/>
      <c r="DL201" s="44"/>
      <c r="DM201" s="44"/>
      <c r="DN201" s="44"/>
      <c r="DO201" s="10"/>
      <c r="DP201" s="10"/>
      <c r="DQ201" s="10"/>
      <c r="DR201" s="10"/>
      <c r="DS201" s="10"/>
      <c r="DT201" s="10"/>
      <c r="DU201" s="10"/>
      <c r="DV201" s="10"/>
      <c r="DW201" s="10"/>
      <c r="DX201" s="10"/>
      <c r="DY201" s="10"/>
      <c r="DZ201" s="10"/>
      <c r="EA201" s="15"/>
      <c r="EB201" s="10"/>
      <c r="EC201" s="10"/>
      <c r="ED201" s="10"/>
      <c r="EE201" s="10"/>
      <c r="EF201" s="10"/>
      <c r="EG201" s="10"/>
      <c r="EH201" s="10"/>
      <c r="EI201" s="10"/>
      <c r="EJ201" s="10"/>
      <c r="EK201" s="10"/>
      <c r="EL201" s="10"/>
      <c r="EN201" s="10"/>
      <c r="EO201" s="10"/>
      <c r="EP201" s="10"/>
      <c r="EQ201" s="10"/>
      <c r="ER201" s="10"/>
      <c r="ES201" s="10"/>
      <c r="ET201" s="10"/>
      <c r="EU201" s="10"/>
      <c r="EV201" s="10"/>
      <c r="EW201" s="10"/>
      <c r="EX201" s="10"/>
      <c r="EY201" s="10"/>
      <c r="EZ201" s="10"/>
    </row>
    <row r="202" spans="2:156" s="16" customFormat="1">
      <c r="B202" s="10"/>
      <c r="C202" s="590"/>
      <c r="D202" s="590"/>
      <c r="E202" s="590"/>
      <c r="F202" s="590"/>
      <c r="G202" s="590"/>
      <c r="H202" s="762"/>
      <c r="I202" s="411"/>
      <c r="J202" s="411"/>
      <c r="K202" s="411"/>
      <c r="L202" s="411"/>
      <c r="M202" s="2589"/>
      <c r="N202" s="2589"/>
      <c r="O202" s="2589"/>
      <c r="P202" s="2589"/>
      <c r="S202" s="392"/>
      <c r="T202" s="2777"/>
      <c r="U202" s="2773"/>
      <c r="AB202" s="200"/>
      <c r="BD202" s="201"/>
      <c r="BE202" s="758"/>
      <c r="BF202" s="201"/>
      <c r="BG202" s="201"/>
      <c r="BH202" s="201"/>
      <c r="BI202" s="758"/>
      <c r="BK202" s="201"/>
      <c r="BL202" s="758"/>
      <c r="BO202" s="201"/>
      <c r="BP202" s="201"/>
      <c r="BQ202" s="201"/>
      <c r="BR202" s="201"/>
      <c r="BS202" s="201"/>
      <c r="BT202" s="201"/>
      <c r="BU202" s="201"/>
      <c r="BV202" s="201"/>
      <c r="BW202" s="201"/>
      <c r="BX202" s="201"/>
      <c r="BZ202" s="392"/>
      <c r="CD202" s="392"/>
      <c r="CE202" s="392"/>
      <c r="CF202" s="392"/>
      <c r="CG202" s="392"/>
      <c r="CH202" s="392"/>
      <c r="CI202" s="392"/>
      <c r="CJ202" s="392"/>
      <c r="CL202" s="2777"/>
      <c r="CM202" s="2777"/>
      <c r="CN202" s="3390"/>
      <c r="CO202" s="3390"/>
      <c r="CP202" s="3390"/>
      <c r="CQ202" s="3390"/>
      <c r="CR202" s="2184"/>
      <c r="CS202" s="2184"/>
      <c r="CT202" s="2184"/>
      <c r="DE202" s="202"/>
      <c r="DG202" s="387"/>
      <c r="DH202" s="387"/>
      <c r="DI202" s="387"/>
      <c r="DJ202" s="388"/>
      <c r="DK202" s="388"/>
      <c r="DL202" s="388"/>
      <c r="DM202" s="388"/>
      <c r="DN202" s="388"/>
      <c r="DO202" s="10"/>
      <c r="DP202" s="10"/>
      <c r="DQ202" s="10"/>
      <c r="DR202" s="10"/>
      <c r="DS202" s="10"/>
      <c r="DT202" s="10"/>
      <c r="DU202" s="10"/>
      <c r="DV202" s="10"/>
      <c r="DW202" s="10"/>
      <c r="DX202" s="10"/>
      <c r="DY202" s="10"/>
      <c r="DZ202" s="10"/>
      <c r="EA202" s="15"/>
      <c r="EB202" s="10"/>
      <c r="EC202" s="10"/>
      <c r="ED202" s="10"/>
      <c r="EE202" s="10"/>
      <c r="EF202" s="10"/>
      <c r="EG202" s="10"/>
      <c r="EH202" s="10"/>
      <c r="EI202" s="10"/>
      <c r="EJ202" s="10"/>
      <c r="EK202" s="10"/>
      <c r="EL202" s="10"/>
      <c r="EN202" s="10"/>
      <c r="EO202" s="10"/>
      <c r="EP202" s="10"/>
    </row>
    <row r="203" spans="2:156" s="16" customFormat="1">
      <c r="B203" s="220"/>
      <c r="H203" s="219"/>
      <c r="I203" s="219"/>
      <c r="J203" s="219"/>
      <c r="K203" s="219"/>
      <c r="L203" s="219"/>
      <c r="M203" s="219"/>
      <c r="N203" s="219"/>
      <c r="O203" s="219"/>
      <c r="P203" s="219"/>
      <c r="S203" s="392"/>
      <c r="T203" s="2777"/>
      <c r="U203" s="2774"/>
      <c r="AA203" s="10"/>
      <c r="AB203" s="15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204"/>
      <c r="BE203" s="218"/>
      <c r="BF203" s="204"/>
      <c r="BG203" s="204"/>
      <c r="BH203" s="204"/>
      <c r="BI203" s="218"/>
      <c r="BJ203" s="10"/>
      <c r="BK203" s="204"/>
      <c r="BL203" s="218"/>
      <c r="BM203" s="10"/>
      <c r="BN203" s="10"/>
      <c r="BO203" s="204"/>
      <c r="BP203" s="204"/>
      <c r="BQ203" s="204"/>
      <c r="BR203" s="204"/>
      <c r="BS203" s="204"/>
      <c r="BT203" s="204"/>
      <c r="BU203" s="204"/>
      <c r="BV203" s="204"/>
      <c r="BW203" s="204"/>
      <c r="BX203" s="204"/>
      <c r="BY203" s="10"/>
      <c r="BZ203" s="62"/>
      <c r="CA203" s="10"/>
      <c r="CB203" s="10"/>
      <c r="CC203" s="10"/>
      <c r="CD203" s="62"/>
      <c r="CE203" s="62"/>
      <c r="CF203" s="62"/>
      <c r="CG203" s="62"/>
      <c r="CH203" s="62"/>
      <c r="CI203" s="62"/>
      <c r="CJ203" s="62"/>
      <c r="CK203" s="10"/>
      <c r="CL203" s="2762"/>
      <c r="CM203" s="2762"/>
      <c r="CN203" s="2845"/>
      <c r="CO203" s="2845"/>
      <c r="CP203" s="2845"/>
      <c r="CQ203" s="2845"/>
      <c r="CR203" s="67"/>
      <c r="CS203" s="67"/>
      <c r="CT203" s="67"/>
      <c r="CU203" s="10"/>
      <c r="CV203" s="10"/>
      <c r="CW203" s="10"/>
      <c r="CX203" s="10"/>
      <c r="CY203" s="10"/>
      <c r="CZ203" s="10"/>
      <c r="DA203" s="10"/>
      <c r="DC203" s="10"/>
      <c r="DD203" s="10"/>
      <c r="DE203" s="42"/>
      <c r="DF203" s="10"/>
      <c r="DG203" s="43"/>
      <c r="DH203" s="43"/>
      <c r="DI203" s="43"/>
      <c r="DJ203" s="44"/>
      <c r="DK203" s="44"/>
      <c r="DL203" s="44"/>
      <c r="DM203" s="44"/>
      <c r="DN203" s="44"/>
      <c r="EA203" s="15"/>
      <c r="EF203" s="10"/>
      <c r="EL203" s="10"/>
      <c r="EN203" s="10"/>
      <c r="EO203" s="10"/>
      <c r="EQ203" s="10"/>
      <c r="ER203" s="10"/>
      <c r="ES203" s="10"/>
      <c r="ET203" s="10"/>
      <c r="EU203" s="10"/>
      <c r="EV203" s="10"/>
      <c r="EW203" s="10"/>
      <c r="EX203" s="10"/>
      <c r="EY203" s="10"/>
      <c r="EZ203" s="10"/>
    </row>
    <row r="204" spans="2:156" s="16" customFormat="1">
      <c r="B204" s="197"/>
      <c r="C204" s="10"/>
      <c r="D204" s="10"/>
      <c r="E204" s="10"/>
      <c r="F204" s="10"/>
      <c r="G204" s="10"/>
      <c r="H204" s="198"/>
      <c r="I204" s="198"/>
      <c r="J204" s="180"/>
      <c r="K204" s="180"/>
      <c r="L204" s="180"/>
      <c r="M204" s="180"/>
      <c r="N204" s="180"/>
      <c r="O204" s="180"/>
      <c r="P204" s="180"/>
      <c r="Q204" s="198"/>
      <c r="R204" s="198"/>
      <c r="S204" s="2790"/>
      <c r="T204" s="2779"/>
      <c r="U204" s="2771"/>
      <c r="V204" s="198"/>
      <c r="W204" s="198"/>
      <c r="Z204" s="198"/>
      <c r="AA204" s="10"/>
      <c r="AB204" s="15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204"/>
      <c r="BE204" s="218"/>
      <c r="BF204" s="204"/>
      <c r="BG204" s="204"/>
      <c r="BH204" s="204"/>
      <c r="BI204" s="218"/>
      <c r="BJ204" s="10"/>
      <c r="BK204" s="204"/>
      <c r="BL204" s="218"/>
      <c r="BM204" s="10"/>
      <c r="BN204" s="10"/>
      <c r="BO204" s="204"/>
      <c r="BP204" s="204"/>
      <c r="BQ204" s="204"/>
      <c r="BR204" s="204"/>
      <c r="BS204" s="204"/>
      <c r="BT204" s="204"/>
      <c r="BU204" s="204"/>
      <c r="BV204" s="204"/>
      <c r="BW204" s="204"/>
      <c r="BX204" s="204"/>
      <c r="BY204" s="10"/>
      <c r="BZ204" s="62"/>
      <c r="CA204" s="10"/>
      <c r="CB204" s="10"/>
      <c r="CC204" s="10"/>
      <c r="CD204" s="62"/>
      <c r="CE204" s="62"/>
      <c r="CF204" s="62"/>
      <c r="CG204" s="62"/>
      <c r="CH204" s="62"/>
      <c r="CI204" s="62"/>
      <c r="CJ204" s="62"/>
      <c r="CK204" s="10"/>
      <c r="CL204" s="2762"/>
      <c r="CM204" s="2762"/>
      <c r="CN204" s="2845"/>
      <c r="CO204" s="2845"/>
      <c r="CP204" s="2845"/>
      <c r="CQ204" s="2845"/>
      <c r="CR204" s="67"/>
      <c r="CS204" s="67"/>
      <c r="CT204" s="67"/>
      <c r="CU204" s="10"/>
      <c r="CV204" s="10"/>
      <c r="CW204" s="10"/>
      <c r="CX204" s="10"/>
      <c r="CY204" s="10"/>
      <c r="CZ204" s="10"/>
      <c r="DA204" s="10"/>
      <c r="DC204" s="10"/>
      <c r="DD204" s="10"/>
      <c r="DE204" s="42"/>
      <c r="DF204" s="10"/>
      <c r="DG204" s="43"/>
      <c r="DH204" s="43"/>
      <c r="DI204" s="43"/>
      <c r="DJ204" s="44"/>
      <c r="DK204" s="44"/>
      <c r="DL204" s="44"/>
      <c r="DM204" s="44"/>
      <c r="DN204" s="44"/>
      <c r="EA204" s="15"/>
      <c r="EP204" s="10"/>
      <c r="EQ204" s="10"/>
      <c r="ER204" s="10"/>
      <c r="ES204" s="10"/>
      <c r="ET204" s="10"/>
      <c r="EU204" s="10"/>
      <c r="EV204" s="10"/>
      <c r="EW204" s="10"/>
      <c r="EX204" s="10"/>
      <c r="EY204" s="10"/>
      <c r="EZ204" s="10"/>
    </row>
    <row r="205" spans="2:156" s="16" customFormat="1">
      <c r="B205" s="197"/>
      <c r="C205" s="10"/>
      <c r="D205" s="10"/>
      <c r="E205" s="10"/>
      <c r="F205" s="10"/>
      <c r="G205" s="10"/>
      <c r="H205" s="198"/>
      <c r="I205" s="198"/>
      <c r="J205" s="180"/>
      <c r="K205" s="180"/>
      <c r="L205" s="180"/>
      <c r="M205" s="180"/>
      <c r="N205" s="180"/>
      <c r="O205" s="180"/>
      <c r="P205" s="180"/>
      <c r="Q205" s="198"/>
      <c r="R205" s="198"/>
      <c r="S205" s="2790"/>
      <c r="T205" s="2779"/>
      <c r="U205" s="2771"/>
      <c r="V205" s="198"/>
      <c r="W205" s="198"/>
      <c r="Z205" s="198"/>
      <c r="AA205" s="10"/>
      <c r="AB205" s="15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204"/>
      <c r="BE205" s="218"/>
      <c r="BF205" s="204"/>
      <c r="BG205" s="204"/>
      <c r="BH205" s="204"/>
      <c r="BI205" s="218"/>
      <c r="BJ205" s="10"/>
      <c r="BK205" s="204"/>
      <c r="BL205" s="218"/>
      <c r="BM205" s="10"/>
      <c r="BN205" s="10"/>
      <c r="BO205" s="204"/>
      <c r="BP205" s="204"/>
      <c r="BQ205" s="204"/>
      <c r="BR205" s="204"/>
      <c r="BS205" s="204"/>
      <c r="BT205" s="204"/>
      <c r="BU205" s="204"/>
      <c r="BV205" s="204"/>
      <c r="BW205" s="204"/>
      <c r="BX205" s="204"/>
      <c r="BY205" s="10"/>
      <c r="BZ205" s="62"/>
      <c r="CA205" s="10"/>
      <c r="CB205" s="10"/>
      <c r="CC205" s="10"/>
      <c r="CD205" s="62"/>
      <c r="CE205" s="62"/>
      <c r="CF205" s="62"/>
      <c r="CG205" s="62"/>
      <c r="CH205" s="62"/>
      <c r="CI205" s="62"/>
      <c r="CJ205" s="62"/>
      <c r="CK205" s="10"/>
      <c r="CL205" s="2762"/>
      <c r="CM205" s="2762"/>
      <c r="CN205" s="2845"/>
      <c r="CO205" s="2845"/>
      <c r="CP205" s="2845"/>
      <c r="CQ205" s="2845"/>
      <c r="CR205" s="67"/>
      <c r="CS205" s="67"/>
      <c r="CT205" s="67"/>
      <c r="CU205" s="10"/>
      <c r="CV205" s="10"/>
      <c r="CW205" s="10"/>
      <c r="CX205" s="10"/>
      <c r="CY205" s="10"/>
      <c r="CZ205" s="10"/>
      <c r="DA205" s="10"/>
      <c r="DC205" s="10"/>
      <c r="DD205" s="10"/>
      <c r="DE205" s="42"/>
      <c r="DF205" s="10"/>
      <c r="DG205" s="43"/>
      <c r="DH205" s="43"/>
      <c r="DI205" s="43"/>
      <c r="DJ205" s="44"/>
      <c r="DK205" s="44"/>
      <c r="DL205" s="44"/>
      <c r="DM205" s="44"/>
      <c r="DN205" s="44"/>
      <c r="EA205" s="15"/>
      <c r="EF205" s="10"/>
      <c r="EL205" s="10"/>
      <c r="EN205" s="10"/>
      <c r="EO205" s="10"/>
      <c r="EP205" s="10"/>
      <c r="EQ205" s="10"/>
      <c r="ER205" s="10"/>
      <c r="ES205" s="10"/>
      <c r="ET205" s="10"/>
      <c r="EU205" s="10"/>
      <c r="EV205" s="10"/>
      <c r="EW205" s="10"/>
      <c r="EX205" s="10"/>
      <c r="EY205" s="10"/>
      <c r="EZ205" s="10"/>
    </row>
    <row r="206" spans="2:156">
      <c r="B206" s="197"/>
      <c r="H206" s="198"/>
      <c r="I206" s="198"/>
      <c r="J206" s="180"/>
      <c r="K206" s="180"/>
      <c r="L206" s="180"/>
      <c r="M206" s="180"/>
      <c r="N206" s="180"/>
      <c r="O206" s="180"/>
      <c r="P206" s="180"/>
      <c r="Q206" s="198"/>
      <c r="R206" s="198"/>
      <c r="S206" s="2790"/>
      <c r="T206" s="2779"/>
      <c r="U206" s="2771"/>
      <c r="V206" s="198"/>
      <c r="W206" s="198"/>
      <c r="Z206" s="198"/>
      <c r="AA206" s="16"/>
      <c r="AB206" s="200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201"/>
      <c r="BE206" s="758"/>
      <c r="BF206" s="201"/>
      <c r="BG206" s="201"/>
      <c r="BH206" s="201"/>
      <c r="BI206" s="758"/>
      <c r="BJ206" s="16"/>
      <c r="BK206" s="201"/>
      <c r="BL206" s="758"/>
      <c r="BM206" s="16"/>
      <c r="BN206" s="16"/>
      <c r="BO206" s="201"/>
      <c r="BP206" s="201"/>
      <c r="BQ206" s="201"/>
      <c r="BR206" s="201"/>
      <c r="BS206" s="201"/>
      <c r="BT206" s="201"/>
      <c r="BU206" s="201"/>
      <c r="BV206" s="201"/>
      <c r="BW206" s="201"/>
      <c r="BX206" s="201"/>
      <c r="BY206" s="16"/>
      <c r="BZ206" s="392"/>
      <c r="CA206" s="16"/>
      <c r="CB206" s="16"/>
      <c r="CC206" s="16"/>
      <c r="CD206" s="392"/>
      <c r="CE206" s="392"/>
      <c r="CF206" s="392"/>
      <c r="CG206" s="392"/>
      <c r="CH206" s="392"/>
      <c r="CI206" s="392"/>
      <c r="CJ206" s="392"/>
      <c r="CK206" s="16"/>
      <c r="CL206" s="2777"/>
      <c r="CM206" s="2777"/>
      <c r="CN206" s="3390"/>
      <c r="CO206" s="3390"/>
      <c r="CP206" s="3390"/>
      <c r="CQ206" s="3390"/>
      <c r="CR206" s="2184"/>
      <c r="CS206" s="2184"/>
      <c r="CT206" s="2184"/>
      <c r="CU206" s="16"/>
      <c r="CV206" s="16"/>
      <c r="CW206" s="16"/>
      <c r="CX206" s="16"/>
      <c r="CY206" s="16"/>
      <c r="CZ206" s="16"/>
      <c r="DA206" s="16"/>
      <c r="DC206" s="16"/>
      <c r="DD206" s="16"/>
      <c r="DE206" s="202"/>
      <c r="DF206" s="16"/>
      <c r="DO206" s="16"/>
      <c r="DP206" s="16"/>
      <c r="DQ206" s="16"/>
      <c r="DR206" s="16"/>
      <c r="DS206" s="16"/>
      <c r="DT206" s="16"/>
      <c r="DU206" s="16"/>
      <c r="DV206" s="16"/>
      <c r="DW206" s="16"/>
      <c r="DX206" s="16"/>
      <c r="DY206" s="16"/>
      <c r="DZ206" s="16"/>
      <c r="EB206" s="16"/>
      <c r="EC206" s="16"/>
      <c r="ED206" s="16"/>
      <c r="EE206" s="16"/>
      <c r="EG206" s="16"/>
      <c r="EH206" s="16"/>
      <c r="EI206" s="16"/>
      <c r="EJ206" s="16"/>
      <c r="EK206" s="16"/>
      <c r="ER206" s="16"/>
      <c r="ES206" s="16"/>
      <c r="ET206" s="16"/>
      <c r="EU206" s="16"/>
      <c r="EV206" s="16"/>
      <c r="EW206" s="16"/>
      <c r="EX206" s="16"/>
      <c r="EY206" s="16"/>
      <c r="EZ206" s="16"/>
    </row>
    <row r="207" spans="2:156">
      <c r="C207" s="16"/>
      <c r="D207" s="16"/>
      <c r="E207" s="16"/>
      <c r="F207" s="16"/>
      <c r="G207" s="16"/>
      <c r="H207" s="764"/>
      <c r="I207" s="764"/>
      <c r="J207" s="757"/>
      <c r="K207" s="757"/>
      <c r="L207" s="757"/>
      <c r="M207" s="2590"/>
      <c r="N207" s="2590"/>
      <c r="O207" s="2590"/>
      <c r="P207" s="2590"/>
      <c r="Q207" s="1313"/>
      <c r="R207" s="1313"/>
      <c r="S207" s="2791"/>
      <c r="T207" s="2736"/>
      <c r="U207" s="2736"/>
      <c r="V207" s="1313"/>
      <c r="W207" s="1313"/>
      <c r="Z207" s="180"/>
      <c r="BD207" s="15"/>
      <c r="BE207" s="44"/>
      <c r="BF207" s="15"/>
      <c r="BG207" s="15"/>
      <c r="BH207" s="15"/>
      <c r="BI207" s="44"/>
      <c r="BK207" s="15"/>
      <c r="BL207" s="44"/>
      <c r="BO207" s="200"/>
      <c r="BP207" s="200"/>
      <c r="BQ207" s="200"/>
      <c r="BR207" s="201"/>
      <c r="BS207" s="200"/>
      <c r="BT207" s="200"/>
      <c r="BU207" s="200"/>
      <c r="BV207" s="201"/>
      <c r="BW207" s="201"/>
      <c r="BX207" s="201"/>
      <c r="BY207" s="10"/>
      <c r="BZ207" s="62"/>
      <c r="CA207" s="10"/>
      <c r="CB207" s="10"/>
      <c r="CC207" s="10"/>
      <c r="CD207" s="62"/>
      <c r="CE207" s="62"/>
      <c r="CF207" s="62"/>
      <c r="CG207" s="62"/>
      <c r="CH207" s="62"/>
      <c r="CI207" s="62"/>
      <c r="CJ207" s="62"/>
      <c r="CK207" s="10"/>
      <c r="CT207" s="67"/>
      <c r="CU207" s="10"/>
      <c r="CV207" s="10"/>
      <c r="CW207" s="10"/>
      <c r="CX207" s="10"/>
      <c r="CY207" s="10"/>
      <c r="CZ207" s="10"/>
      <c r="DA207" s="10"/>
      <c r="DC207" s="10"/>
      <c r="DO207" s="16"/>
      <c r="DP207" s="16"/>
      <c r="DQ207" s="16"/>
      <c r="DR207" s="16"/>
      <c r="DS207" s="16"/>
      <c r="DT207" s="16"/>
      <c r="DU207" s="16"/>
      <c r="DV207" s="16"/>
      <c r="DW207" s="16"/>
      <c r="DX207" s="16"/>
      <c r="DY207" s="16"/>
      <c r="DZ207" s="16"/>
      <c r="EB207" s="16"/>
      <c r="EC207" s="16"/>
      <c r="ED207" s="16"/>
      <c r="EE207" s="16"/>
      <c r="EG207" s="16"/>
      <c r="EH207" s="16"/>
      <c r="EI207" s="16"/>
      <c r="EJ207" s="16"/>
      <c r="EK207" s="16"/>
    </row>
    <row r="208" spans="2:156">
      <c r="B208" s="197"/>
      <c r="C208" s="197"/>
      <c r="D208" s="197"/>
      <c r="E208" s="197"/>
      <c r="F208" s="197"/>
      <c r="G208" s="197"/>
      <c r="H208" s="203"/>
      <c r="I208" s="203"/>
      <c r="J208" s="203"/>
      <c r="K208" s="203"/>
      <c r="L208" s="203"/>
      <c r="M208" s="740"/>
      <c r="N208" s="740"/>
      <c r="O208" s="740"/>
      <c r="P208" s="740"/>
      <c r="Q208" s="1313"/>
      <c r="R208" s="1313"/>
      <c r="S208" s="2791"/>
      <c r="T208" s="2736"/>
      <c r="U208" s="2724"/>
      <c r="V208" s="1313"/>
      <c r="W208" s="1313"/>
      <c r="Z208" s="180"/>
      <c r="BD208" s="15"/>
      <c r="BE208" s="44"/>
      <c r="BF208" s="15"/>
      <c r="BG208" s="15"/>
      <c r="BH208" s="15"/>
      <c r="BI208" s="44"/>
      <c r="BK208" s="15"/>
      <c r="BL208" s="44"/>
      <c r="BO208" s="15"/>
      <c r="BP208" s="115"/>
      <c r="BQ208" s="204"/>
      <c r="BR208" s="204"/>
      <c r="BS208" s="15"/>
      <c r="BT208" s="115"/>
      <c r="BU208" s="204"/>
      <c r="BV208" s="204"/>
      <c r="BW208" s="204"/>
      <c r="BX208" s="204"/>
      <c r="BY208" s="10"/>
      <c r="BZ208" s="62"/>
      <c r="CA208" s="10"/>
      <c r="CB208" s="10"/>
      <c r="CC208" s="10"/>
      <c r="CD208" s="62"/>
      <c r="CE208" s="62"/>
      <c r="CF208" s="62"/>
      <c r="CG208" s="62"/>
      <c r="CH208" s="62"/>
      <c r="CI208" s="62"/>
      <c r="CJ208" s="62"/>
      <c r="CK208" s="10"/>
      <c r="CT208" s="67"/>
      <c r="CU208" s="10"/>
      <c r="CV208" s="10"/>
      <c r="CW208" s="10"/>
      <c r="CX208" s="10"/>
      <c r="CY208" s="10"/>
      <c r="CZ208" s="10"/>
      <c r="DA208" s="10"/>
      <c r="DC208" s="10"/>
      <c r="EQ208" s="16"/>
    </row>
    <row r="209" spans="2:156">
      <c r="B209" s="220"/>
      <c r="C209" s="197"/>
      <c r="D209" s="197"/>
      <c r="E209" s="197"/>
      <c r="F209" s="197"/>
      <c r="G209" s="197"/>
      <c r="H209" s="199"/>
      <c r="I209" s="199"/>
      <c r="J209" s="199"/>
      <c r="K209" s="199"/>
      <c r="L209" s="199"/>
      <c r="M209" s="2100"/>
      <c r="N209" s="2100"/>
      <c r="O209" s="2100"/>
      <c r="P209" s="2100"/>
      <c r="Q209" s="1313"/>
      <c r="R209" s="1313"/>
      <c r="S209" s="2791"/>
      <c r="T209" s="2736"/>
      <c r="U209" s="2723"/>
      <c r="V209" s="1313"/>
      <c r="W209" s="1313"/>
      <c r="Z209" s="180"/>
      <c r="BD209" s="15"/>
      <c r="BE209" s="44"/>
      <c r="BF209" s="15"/>
      <c r="BG209" s="15"/>
      <c r="BH209" s="15"/>
      <c r="BI209" s="44"/>
      <c r="BK209" s="15"/>
      <c r="BL209" s="44"/>
      <c r="BO209" s="15"/>
      <c r="BP209" s="115"/>
      <c r="BQ209" s="204"/>
      <c r="BR209" s="204"/>
      <c r="BS209" s="15"/>
      <c r="BT209" s="115"/>
      <c r="BU209" s="204"/>
      <c r="BV209" s="204"/>
      <c r="BW209" s="204"/>
      <c r="BX209" s="204"/>
      <c r="BY209" s="10"/>
      <c r="BZ209" s="62"/>
      <c r="CA209" s="10"/>
      <c r="CB209" s="10"/>
      <c r="CC209" s="10"/>
      <c r="CD209" s="62"/>
      <c r="CE209" s="62"/>
      <c r="CF209" s="62"/>
      <c r="CG209" s="62"/>
      <c r="CH209" s="62"/>
      <c r="CI209" s="62"/>
      <c r="CJ209" s="62"/>
      <c r="CK209" s="10"/>
      <c r="CT209" s="67"/>
      <c r="CU209" s="10"/>
      <c r="CV209" s="10"/>
      <c r="CW209" s="10"/>
      <c r="CX209" s="10"/>
      <c r="CY209" s="10"/>
      <c r="CZ209" s="10"/>
      <c r="DA209" s="10"/>
      <c r="DC209" s="10"/>
      <c r="EP209" s="16"/>
    </row>
    <row r="210" spans="2:156">
      <c r="B210" s="197"/>
      <c r="C210" s="197"/>
      <c r="D210" s="197"/>
      <c r="E210" s="197"/>
      <c r="F210" s="197"/>
      <c r="G210" s="197"/>
      <c r="H210" s="203"/>
      <c r="I210" s="203"/>
      <c r="J210" s="203"/>
      <c r="K210" s="203"/>
      <c r="L210" s="203"/>
      <c r="M210" s="740"/>
      <c r="N210" s="740"/>
      <c r="O210" s="740"/>
      <c r="P210" s="740"/>
      <c r="Q210" s="1313"/>
      <c r="R210" s="1313"/>
      <c r="S210" s="2791"/>
      <c r="T210" s="2736"/>
      <c r="U210" s="2724"/>
      <c r="V210" s="1313"/>
      <c r="W210" s="1313"/>
      <c r="Z210" s="180"/>
      <c r="BD210" s="15"/>
      <c r="BE210" s="44"/>
      <c r="BF210" s="15"/>
      <c r="BG210" s="15"/>
      <c r="BH210" s="15"/>
      <c r="BI210" s="44"/>
      <c r="BK210" s="15"/>
      <c r="BL210" s="44"/>
      <c r="BO210" s="15"/>
      <c r="BP210" s="115"/>
      <c r="BQ210" s="204"/>
      <c r="BR210" s="204"/>
      <c r="BS210" s="15"/>
      <c r="BT210" s="115"/>
      <c r="BU210" s="204"/>
      <c r="BV210" s="204"/>
      <c r="BW210" s="204"/>
      <c r="BX210" s="204"/>
      <c r="BY210" s="10"/>
      <c r="BZ210" s="62"/>
      <c r="CA210" s="10"/>
      <c r="CB210" s="10"/>
      <c r="CC210" s="10"/>
      <c r="CD210" s="62"/>
      <c r="CE210" s="62"/>
      <c r="CF210" s="62"/>
      <c r="CG210" s="62"/>
      <c r="CH210" s="62"/>
      <c r="CI210" s="62"/>
      <c r="CJ210" s="62"/>
      <c r="CK210" s="10"/>
      <c r="CT210" s="67"/>
      <c r="CU210" s="10"/>
      <c r="CV210" s="10"/>
      <c r="CW210" s="10"/>
      <c r="CX210" s="10"/>
      <c r="CY210" s="10"/>
      <c r="CZ210" s="10"/>
      <c r="DA210" s="10"/>
      <c r="DC210" s="10"/>
      <c r="DG210" s="106"/>
      <c r="DH210" s="106"/>
      <c r="DI210" s="106"/>
      <c r="DJ210" s="205"/>
      <c r="DK210" s="205"/>
      <c r="DL210" s="205"/>
      <c r="DM210" s="205"/>
      <c r="DN210" s="205"/>
      <c r="EF210" s="16"/>
      <c r="EL210" s="16"/>
      <c r="EN210" s="16"/>
      <c r="EO210" s="16"/>
    </row>
    <row r="211" spans="2:156" s="16" customFormat="1">
      <c r="B211" s="197"/>
      <c r="H211" s="45"/>
      <c r="I211" s="45"/>
      <c r="J211" s="765"/>
      <c r="K211" s="765"/>
      <c r="L211" s="167"/>
      <c r="M211" s="167"/>
      <c r="N211" s="167"/>
      <c r="O211" s="167"/>
      <c r="P211" s="167"/>
      <c r="Q211" s="180"/>
      <c r="R211" s="180"/>
      <c r="S211" s="2792"/>
      <c r="T211" s="2771"/>
      <c r="U211" s="2760"/>
      <c r="V211" s="180"/>
      <c r="W211" s="180"/>
      <c r="Z211" s="180"/>
      <c r="AB211" s="200"/>
      <c r="AM211" s="201"/>
      <c r="AN211" s="201"/>
      <c r="AO211" s="201"/>
      <c r="AP211" s="204"/>
      <c r="BD211" s="13"/>
      <c r="BE211" s="13"/>
      <c r="BF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69"/>
      <c r="CA211" s="13"/>
      <c r="CB211" s="13"/>
      <c r="CC211" s="13"/>
      <c r="CD211" s="69"/>
      <c r="CE211" s="69"/>
      <c r="CF211" s="69"/>
      <c r="CG211" s="69"/>
      <c r="CH211" s="69"/>
      <c r="CI211" s="69"/>
      <c r="CJ211" s="69"/>
      <c r="CK211" s="13"/>
      <c r="CL211" s="3397"/>
      <c r="CM211" s="3397"/>
      <c r="CN211" s="3391"/>
      <c r="CO211" s="3391"/>
      <c r="CP211" s="3391"/>
      <c r="CQ211" s="3391"/>
      <c r="CR211" s="2185"/>
      <c r="CS211" s="2185"/>
      <c r="CT211" s="2185"/>
      <c r="CU211" s="13"/>
      <c r="CV211" s="13"/>
      <c r="CW211" s="13"/>
      <c r="CX211" s="13"/>
      <c r="CY211" s="13"/>
      <c r="CZ211" s="13"/>
      <c r="DA211" s="13"/>
      <c r="DC211" s="13"/>
      <c r="DD211" s="13"/>
      <c r="DE211" s="207"/>
      <c r="DF211" s="13"/>
      <c r="DG211" s="106"/>
      <c r="DH211" s="106"/>
      <c r="DI211" s="106"/>
      <c r="DJ211" s="205"/>
      <c r="DK211" s="205"/>
      <c r="DL211" s="205"/>
      <c r="DM211" s="205"/>
      <c r="DN211" s="205"/>
      <c r="DO211" s="10"/>
      <c r="DP211" s="10"/>
      <c r="DQ211" s="10"/>
      <c r="DR211" s="10"/>
      <c r="DS211" s="10"/>
      <c r="DT211" s="10"/>
      <c r="DU211" s="10"/>
      <c r="DV211" s="10"/>
      <c r="DW211" s="10"/>
      <c r="DX211" s="10"/>
      <c r="DY211" s="10"/>
      <c r="DZ211" s="10"/>
      <c r="EA211" s="15"/>
      <c r="EB211" s="10"/>
      <c r="EC211" s="10"/>
      <c r="ED211" s="10"/>
      <c r="EE211" s="10"/>
      <c r="EF211" s="10"/>
      <c r="EG211" s="10"/>
      <c r="EH211" s="10"/>
      <c r="EI211" s="10"/>
      <c r="EJ211" s="10"/>
      <c r="EK211" s="10"/>
      <c r="EL211" s="10"/>
      <c r="EN211" s="10"/>
      <c r="EO211" s="10"/>
      <c r="EP211" s="10"/>
      <c r="EQ211" s="10"/>
    </row>
    <row r="212" spans="2:156">
      <c r="B212" s="197"/>
      <c r="C212" s="16"/>
      <c r="D212" s="16"/>
      <c r="E212" s="16"/>
      <c r="F212" s="16"/>
      <c r="G212" s="16"/>
      <c r="H212" s="129"/>
      <c r="I212" s="129"/>
      <c r="J212" s="167"/>
      <c r="K212" s="167"/>
      <c r="L212" s="167"/>
      <c r="M212" s="167"/>
      <c r="N212" s="167"/>
      <c r="O212" s="167"/>
      <c r="P212" s="167"/>
      <c r="Q212" s="180"/>
      <c r="R212" s="180"/>
      <c r="S212" s="2792"/>
      <c r="T212" s="2771"/>
      <c r="U212" s="2760"/>
      <c r="V212" s="180"/>
      <c r="W212" s="180"/>
      <c r="Z212" s="1313"/>
      <c r="AA212" s="16"/>
      <c r="AB212" s="200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200"/>
      <c r="AN212" s="200"/>
      <c r="AO212" s="200"/>
      <c r="AP212" s="201"/>
      <c r="AQ212" s="201"/>
      <c r="AR212" s="201"/>
      <c r="AS212" s="201"/>
      <c r="AT212" s="15"/>
      <c r="AU212" s="201"/>
      <c r="AV212" s="201"/>
      <c r="AW212" s="201"/>
      <c r="AX212" s="201"/>
      <c r="AY212" s="201"/>
      <c r="AZ212" s="201"/>
      <c r="BA212" s="201"/>
      <c r="BB212" s="201"/>
      <c r="BC212" s="201"/>
      <c r="BD212" s="201"/>
      <c r="BE212" s="201"/>
      <c r="BF212" s="201"/>
      <c r="BG212" s="201"/>
      <c r="BH212" s="201"/>
      <c r="BI212" s="201"/>
      <c r="BJ212" s="201"/>
      <c r="BK212" s="201"/>
      <c r="BL212" s="201"/>
      <c r="BM212" s="201"/>
      <c r="BN212" s="201"/>
      <c r="BO212" s="201"/>
      <c r="BP212" s="201"/>
      <c r="BQ212" s="201"/>
      <c r="BR212" s="201"/>
      <c r="BS212" s="201"/>
      <c r="BT212" s="201"/>
      <c r="BU212" s="201"/>
      <c r="BV212" s="201"/>
      <c r="BW212" s="201"/>
      <c r="BX212" s="201"/>
      <c r="BY212" s="201"/>
      <c r="BZ212" s="2179"/>
      <c r="CA212" s="201"/>
      <c r="CB212" s="201"/>
      <c r="CC212" s="201"/>
      <c r="CD212" s="2179"/>
      <c r="CE212" s="2179"/>
      <c r="CF212" s="2179"/>
      <c r="CG212" s="2179"/>
      <c r="CH212" s="2179"/>
      <c r="CI212" s="2179"/>
      <c r="CJ212" s="2179"/>
      <c r="CK212" s="201"/>
      <c r="CL212" s="3398"/>
      <c r="CM212" s="3398"/>
      <c r="CN212" s="3392"/>
      <c r="CO212" s="3392"/>
      <c r="CP212" s="3392"/>
      <c r="CQ212" s="3392"/>
      <c r="CR212" s="2186"/>
      <c r="CS212" s="2186"/>
      <c r="CT212" s="2186"/>
      <c r="CU212" s="201"/>
      <c r="CV212" s="201"/>
      <c r="CW212" s="201"/>
      <c r="CX212" s="201"/>
      <c r="CY212" s="201"/>
      <c r="CZ212" s="201"/>
      <c r="DA212" s="201"/>
      <c r="DC212" s="201"/>
      <c r="DD212" s="201"/>
      <c r="DE212" s="210"/>
      <c r="DF212" s="210"/>
      <c r="DG212" s="41"/>
      <c r="DH212" s="41"/>
      <c r="DI212" s="41"/>
      <c r="DJ212" s="849"/>
      <c r="DK212" s="849"/>
      <c r="DL212" s="849"/>
      <c r="DM212" s="849"/>
      <c r="DN212" s="849"/>
      <c r="EQ212" s="16"/>
      <c r="ER212" s="16"/>
      <c r="ES212" s="16"/>
      <c r="ET212" s="16"/>
      <c r="EU212" s="16"/>
      <c r="EV212" s="16"/>
      <c r="EW212" s="16"/>
      <c r="EX212" s="16"/>
      <c r="EY212" s="16"/>
      <c r="EZ212" s="16"/>
    </row>
    <row r="213" spans="2:156">
      <c r="C213" s="197"/>
      <c r="D213" s="197"/>
      <c r="E213" s="197"/>
      <c r="F213" s="197"/>
      <c r="G213" s="197"/>
      <c r="H213" s="203"/>
      <c r="I213" s="203"/>
      <c r="J213" s="203"/>
      <c r="K213" s="203"/>
      <c r="L213" s="167"/>
      <c r="M213" s="167"/>
      <c r="N213" s="167"/>
      <c r="O213" s="167"/>
      <c r="P213" s="167"/>
      <c r="Q213" s="190"/>
      <c r="R213" s="190"/>
      <c r="S213" s="956"/>
      <c r="T213" s="2724"/>
      <c r="U213" s="2760"/>
      <c r="V213" s="1314"/>
      <c r="W213" s="190"/>
      <c r="AP213" s="204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Y213" s="10"/>
      <c r="BZ213" s="62"/>
      <c r="CA213" s="10"/>
      <c r="CB213" s="10"/>
      <c r="CC213" s="10"/>
      <c r="CD213" s="62"/>
      <c r="CE213" s="62"/>
      <c r="CF213" s="62"/>
      <c r="CG213" s="62"/>
      <c r="CH213" s="62"/>
      <c r="CI213" s="62"/>
      <c r="CJ213" s="62"/>
      <c r="CK213" s="10"/>
      <c r="CT213" s="67"/>
      <c r="CU213" s="10"/>
      <c r="CV213" s="10"/>
      <c r="CW213" s="10"/>
      <c r="CX213" s="10"/>
      <c r="CY213" s="10"/>
      <c r="CZ213" s="10"/>
      <c r="DA213" s="10"/>
      <c r="DC213" s="10"/>
      <c r="DG213" s="106"/>
      <c r="DH213" s="106"/>
      <c r="DI213" s="106"/>
      <c r="DJ213" s="849"/>
      <c r="DK213" s="849"/>
      <c r="DL213" s="849"/>
      <c r="DM213" s="849"/>
      <c r="DN213" s="849"/>
      <c r="DO213" s="72"/>
      <c r="DP213" s="72"/>
      <c r="DQ213" s="174"/>
      <c r="DR213" s="208"/>
      <c r="DS213" s="208"/>
      <c r="DT213" s="208"/>
      <c r="DU213" s="208"/>
      <c r="DV213" s="208"/>
      <c r="DW213" s="208"/>
      <c r="DX213" s="208"/>
      <c r="DY213" s="208"/>
      <c r="DZ213" s="208"/>
      <c r="EA213" s="72"/>
      <c r="EB213" s="208"/>
      <c r="EC213" s="208"/>
      <c r="ED213" s="208"/>
      <c r="EE213" s="208"/>
      <c r="EG213" s="208"/>
      <c r="EH213" s="208"/>
      <c r="EI213" s="172"/>
      <c r="EJ213" s="209"/>
      <c r="EK213" s="209"/>
      <c r="EP213" s="16"/>
    </row>
    <row r="214" spans="2:156">
      <c r="B214" s="197"/>
      <c r="C214" s="197"/>
      <c r="D214" s="197"/>
      <c r="E214" s="197"/>
      <c r="F214" s="197"/>
      <c r="G214" s="197"/>
      <c r="H214" s="203"/>
      <c r="I214" s="203"/>
      <c r="J214" s="203"/>
      <c r="K214" s="203"/>
      <c r="M214" s="740"/>
      <c r="N214" s="740"/>
      <c r="O214" s="740"/>
      <c r="P214" s="740"/>
      <c r="Q214" s="1314"/>
      <c r="R214" s="1314"/>
      <c r="S214" s="2793"/>
      <c r="T214" s="3276"/>
      <c r="U214" s="2724"/>
      <c r="V214" s="1314"/>
      <c r="W214" s="1314"/>
      <c r="Z214" s="198"/>
      <c r="AP214" s="204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Y214" s="10"/>
      <c r="BZ214" s="62"/>
      <c r="CA214" s="10"/>
      <c r="CB214" s="10"/>
      <c r="CC214" s="10"/>
      <c r="CD214" s="62"/>
      <c r="CE214" s="62"/>
      <c r="CF214" s="62"/>
      <c r="CG214" s="62"/>
      <c r="CH214" s="62"/>
      <c r="CI214" s="62"/>
      <c r="CJ214" s="62"/>
      <c r="CK214" s="10"/>
      <c r="CT214" s="67"/>
      <c r="CU214" s="10"/>
      <c r="CV214" s="10"/>
      <c r="CW214" s="10"/>
      <c r="CX214" s="10"/>
      <c r="CY214" s="10"/>
      <c r="CZ214" s="10"/>
      <c r="DA214" s="10"/>
      <c r="DC214" s="10"/>
      <c r="DG214" s="106"/>
      <c r="DH214" s="106"/>
      <c r="DI214" s="106"/>
      <c r="DJ214" s="849"/>
      <c r="DK214" s="849"/>
      <c r="DL214" s="849"/>
      <c r="DM214" s="849"/>
      <c r="DN214" s="849"/>
      <c r="DO214" s="23"/>
      <c r="DP214" s="23"/>
      <c r="DQ214" s="24"/>
      <c r="DR214" s="25"/>
      <c r="DS214" s="25"/>
      <c r="DT214" s="25"/>
      <c r="DU214" s="25"/>
      <c r="DV214" s="25"/>
      <c r="DW214" s="25"/>
      <c r="DX214" s="25"/>
      <c r="DY214" s="25"/>
      <c r="DZ214" s="25"/>
      <c r="EA214" s="72"/>
      <c r="EB214" s="25"/>
      <c r="EC214" s="25"/>
      <c r="ED214" s="25"/>
      <c r="EE214" s="25"/>
      <c r="EF214" s="16"/>
      <c r="EG214" s="25"/>
      <c r="EH214" s="25"/>
      <c r="EI214" s="19"/>
      <c r="EJ214" s="20"/>
      <c r="EK214" s="20"/>
      <c r="EL214" s="16"/>
      <c r="EN214" s="16"/>
      <c r="EO214" s="16"/>
    </row>
    <row r="215" spans="2:156" s="16" customFormat="1">
      <c r="B215" s="220"/>
      <c r="C215" s="197"/>
      <c r="D215" s="197"/>
      <c r="E215" s="197"/>
      <c r="F215" s="197"/>
      <c r="G215" s="197"/>
      <c r="H215" s="763"/>
      <c r="I215" s="763"/>
      <c r="J215" s="763"/>
      <c r="K215" s="763"/>
      <c r="L215" s="766"/>
      <c r="M215" s="214"/>
      <c r="N215" s="214"/>
      <c r="O215" s="214"/>
      <c r="P215" s="214"/>
      <c r="Q215" s="1314"/>
      <c r="R215" s="1314"/>
      <c r="S215" s="2793"/>
      <c r="T215" s="3276"/>
      <c r="U215" s="2714"/>
      <c r="V215" s="1314"/>
      <c r="W215" s="1314"/>
      <c r="Z215" s="45"/>
      <c r="AA215" s="10"/>
      <c r="AB215" s="15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204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62"/>
      <c r="CA215" s="10"/>
      <c r="CB215" s="10"/>
      <c r="CC215" s="10"/>
      <c r="CD215" s="62"/>
      <c r="CE215" s="62"/>
      <c r="CF215" s="62"/>
      <c r="CG215" s="62"/>
      <c r="CH215" s="62"/>
      <c r="CI215" s="62"/>
      <c r="CJ215" s="62"/>
      <c r="CK215" s="10"/>
      <c r="CL215" s="2762"/>
      <c r="CM215" s="2762"/>
      <c r="CN215" s="2845"/>
      <c r="CO215" s="2845"/>
      <c r="CP215" s="2845"/>
      <c r="CQ215" s="2845"/>
      <c r="CR215" s="67"/>
      <c r="CS215" s="67"/>
      <c r="CT215" s="67"/>
      <c r="CU215" s="10"/>
      <c r="CV215" s="10"/>
      <c r="CW215" s="10"/>
      <c r="CX215" s="10"/>
      <c r="CY215" s="10"/>
      <c r="CZ215" s="10"/>
      <c r="DA215" s="10"/>
      <c r="DC215" s="10"/>
      <c r="DD215" s="10"/>
      <c r="DE215" s="42"/>
      <c r="DF215" s="10"/>
      <c r="DG215" s="106"/>
      <c r="DH215" s="106"/>
      <c r="DI215" s="106"/>
      <c r="DJ215" s="849"/>
      <c r="DK215" s="849"/>
      <c r="DL215" s="849"/>
      <c r="DM215" s="849"/>
      <c r="DN215" s="849"/>
      <c r="DO215" s="10"/>
      <c r="DP215" s="10"/>
      <c r="DQ215" s="10"/>
      <c r="DR215" s="10"/>
      <c r="DS215" s="10"/>
      <c r="DT215" s="10"/>
      <c r="DU215" s="10"/>
      <c r="DV215" s="10"/>
      <c r="DW215" s="10"/>
      <c r="DX215" s="10"/>
      <c r="DY215" s="10"/>
      <c r="DZ215" s="10"/>
      <c r="EA215" s="15"/>
      <c r="EB215" s="10"/>
      <c r="EC215" s="10"/>
      <c r="ED215" s="10"/>
      <c r="EE215" s="10"/>
      <c r="EF215" s="10"/>
      <c r="EG215" s="10"/>
      <c r="EH215" s="10"/>
      <c r="EI215" s="10"/>
      <c r="EJ215" s="10"/>
      <c r="EK215" s="10"/>
      <c r="EL215" s="10"/>
      <c r="EN215" s="10"/>
      <c r="EO215" s="10"/>
      <c r="EP215" s="10"/>
      <c r="EQ215" s="10"/>
      <c r="ER215" s="10"/>
      <c r="ES215" s="10"/>
      <c r="ET215" s="10"/>
      <c r="EU215" s="10"/>
      <c r="EV215" s="10"/>
      <c r="EW215" s="10"/>
      <c r="EX215" s="10"/>
      <c r="EY215" s="10"/>
      <c r="EZ215" s="10"/>
    </row>
    <row r="216" spans="2:156">
      <c r="B216" s="197"/>
      <c r="C216" s="16"/>
      <c r="D216" s="16"/>
      <c r="E216" s="16"/>
      <c r="F216" s="16"/>
      <c r="G216" s="16"/>
      <c r="H216" s="180"/>
      <c r="I216" s="180"/>
      <c r="J216" s="180"/>
      <c r="K216" s="180"/>
      <c r="L216" s="180"/>
      <c r="M216" s="180"/>
      <c r="N216" s="180"/>
      <c r="O216" s="180"/>
      <c r="P216" s="180"/>
      <c r="Q216" s="180"/>
      <c r="R216" s="180"/>
      <c r="S216" s="2792"/>
      <c r="T216" s="2771"/>
      <c r="U216" s="2771"/>
      <c r="V216" s="180"/>
      <c r="W216" s="180"/>
      <c r="Z216" s="195"/>
      <c r="AA216" s="16"/>
      <c r="AB216" s="200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988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  <c r="BT216" s="16"/>
      <c r="BU216" s="16"/>
      <c r="BV216" s="16"/>
      <c r="BW216" s="16"/>
      <c r="BX216" s="16"/>
      <c r="BY216" s="16"/>
      <c r="BZ216" s="392"/>
      <c r="CA216" s="16"/>
      <c r="CB216" s="16"/>
      <c r="CC216" s="16"/>
      <c r="CD216" s="392"/>
      <c r="CE216" s="392"/>
      <c r="CF216" s="392"/>
      <c r="CG216" s="392"/>
      <c r="CH216" s="392"/>
      <c r="CI216" s="392"/>
      <c r="CJ216" s="392"/>
      <c r="CK216" s="16"/>
      <c r="CL216" s="2777"/>
      <c r="CM216" s="2777"/>
      <c r="CN216" s="3390"/>
      <c r="CO216" s="3390"/>
      <c r="CP216" s="3390"/>
      <c r="CQ216" s="3390"/>
      <c r="CR216" s="2184"/>
      <c r="CS216" s="2184"/>
      <c r="CT216" s="2184"/>
      <c r="CU216" s="16"/>
      <c r="CV216" s="16"/>
      <c r="CW216" s="16"/>
      <c r="CX216" s="16"/>
      <c r="CY216" s="16"/>
      <c r="CZ216" s="16"/>
      <c r="DA216" s="16"/>
      <c r="DC216" s="16"/>
      <c r="DD216" s="16"/>
      <c r="DE216" s="202"/>
      <c r="DF216" s="16"/>
      <c r="DG216" s="106"/>
      <c r="DH216" s="106"/>
      <c r="DI216" s="106"/>
      <c r="DJ216" s="849"/>
      <c r="DK216" s="849"/>
      <c r="DL216" s="849"/>
      <c r="DM216" s="849"/>
      <c r="DN216" s="849"/>
      <c r="ER216" s="16"/>
      <c r="ES216" s="16"/>
      <c r="ET216" s="16"/>
      <c r="EU216" s="16"/>
      <c r="EV216" s="16"/>
      <c r="EW216" s="16"/>
      <c r="EX216" s="16"/>
      <c r="EY216" s="16"/>
      <c r="EZ216" s="16"/>
    </row>
    <row r="217" spans="2:156">
      <c r="B217" s="197"/>
      <c r="C217" s="16"/>
      <c r="D217" s="16"/>
      <c r="E217" s="16"/>
      <c r="F217" s="16"/>
      <c r="G217" s="16"/>
      <c r="H217" s="757"/>
      <c r="I217" s="757"/>
      <c r="J217" s="757"/>
      <c r="K217" s="757"/>
      <c r="L217" s="757"/>
      <c r="M217" s="2590"/>
      <c r="N217" s="2590"/>
      <c r="O217" s="2590"/>
      <c r="P217" s="2590"/>
      <c r="Q217" s="1313"/>
      <c r="R217" s="1313"/>
      <c r="S217" s="2791"/>
      <c r="T217" s="2736"/>
      <c r="U217" s="2736"/>
      <c r="V217" s="1313"/>
      <c r="W217" s="1313"/>
      <c r="AM217" s="203"/>
      <c r="AN217" s="203"/>
      <c r="AO217" s="203"/>
      <c r="AP217" s="203"/>
      <c r="AQ217" s="201"/>
      <c r="AR217" s="201"/>
      <c r="AS217" s="201"/>
      <c r="AT217" s="201"/>
      <c r="AU217" s="201"/>
      <c r="AV217" s="201"/>
      <c r="AW217" s="201"/>
      <c r="AX217" s="200"/>
      <c r="AY217" s="201"/>
      <c r="AZ217" s="201"/>
      <c r="BA217" s="201"/>
      <c r="BB217" s="201"/>
      <c r="BC217" s="201"/>
      <c r="BD217" s="15"/>
      <c r="BE217" s="15"/>
      <c r="BF217" s="15"/>
      <c r="BG217" s="46"/>
      <c r="BH217" s="201"/>
      <c r="BI217" s="201"/>
      <c r="BJ217" s="201"/>
      <c r="BK217" s="201"/>
      <c r="BL217" s="201"/>
      <c r="BM217" s="201"/>
      <c r="BN217" s="201"/>
      <c r="BO217" s="201"/>
      <c r="BP217" s="201"/>
      <c r="BQ217" s="201"/>
      <c r="BR217" s="201"/>
      <c r="BS217" s="201"/>
      <c r="BT217" s="201"/>
      <c r="BU217" s="201"/>
      <c r="BV217" s="201"/>
      <c r="BW217" s="201"/>
      <c r="BX217" s="201"/>
      <c r="BY217" s="102"/>
      <c r="BZ217" s="103"/>
      <c r="CA217" s="102"/>
      <c r="CB217" s="102"/>
      <c r="CC217" s="102"/>
      <c r="CD217" s="103"/>
      <c r="CE217" s="103"/>
      <c r="CF217" s="103"/>
      <c r="CG217" s="103"/>
      <c r="CH217" s="103"/>
      <c r="CI217" s="103"/>
      <c r="CJ217" s="103"/>
      <c r="CK217" s="102"/>
      <c r="CL217" s="3399"/>
      <c r="CM217" s="3399"/>
      <c r="CN217" s="3393"/>
      <c r="CO217" s="3393"/>
      <c r="CP217" s="3393"/>
      <c r="CQ217" s="3393"/>
      <c r="CR217" s="2187"/>
      <c r="CS217" s="2187"/>
      <c r="CT217" s="2187"/>
      <c r="CU217" s="102"/>
      <c r="CV217" s="102"/>
      <c r="CW217" s="102"/>
      <c r="CX217" s="102"/>
      <c r="CY217" s="102"/>
      <c r="CZ217" s="102"/>
      <c r="DA217" s="102"/>
      <c r="DC217" s="102"/>
      <c r="DD217" s="102"/>
      <c r="DE217" s="211"/>
      <c r="DF217" s="211"/>
      <c r="DJ217" s="14"/>
      <c r="DK217" s="14"/>
      <c r="DL217" s="14"/>
      <c r="DM217" s="14"/>
      <c r="DN217" s="14"/>
    </row>
    <row r="218" spans="2:156">
      <c r="B218" s="197"/>
      <c r="C218" s="197"/>
      <c r="D218" s="197"/>
      <c r="E218" s="197"/>
      <c r="F218" s="197"/>
      <c r="G218" s="197"/>
      <c r="H218" s="757"/>
      <c r="I218" s="757"/>
      <c r="J218" s="757"/>
      <c r="K218" s="757"/>
      <c r="L218" s="757"/>
      <c r="M218" s="2590"/>
      <c r="N218" s="2590"/>
      <c r="O218" s="2590"/>
      <c r="P218" s="2590"/>
      <c r="Q218" s="180"/>
      <c r="R218" s="180"/>
      <c r="S218" s="2792"/>
      <c r="T218" s="2771"/>
      <c r="U218" s="2736"/>
      <c r="V218" s="180"/>
      <c r="W218" s="180"/>
      <c r="AQ218" s="203"/>
      <c r="AR218" s="203"/>
      <c r="AS218" s="203"/>
      <c r="AT218" s="203"/>
      <c r="AU218" s="199"/>
      <c r="AV218" s="199"/>
      <c r="AW218" s="199"/>
      <c r="AX218" s="199"/>
      <c r="AY218" s="199"/>
      <c r="AZ218" s="199"/>
      <c r="BA218" s="199"/>
      <c r="BB218" s="199"/>
      <c r="BC218" s="201"/>
      <c r="BD218" s="201"/>
      <c r="BE218" s="201"/>
      <c r="BF218" s="201"/>
      <c r="BG218" s="46"/>
      <c r="BH218" s="201"/>
      <c r="BI218" s="201"/>
      <c r="BJ218" s="201"/>
      <c r="BK218" s="201"/>
      <c r="BL218" s="201"/>
      <c r="BM218" s="201"/>
      <c r="BN218" s="201"/>
      <c r="BO218" s="201"/>
      <c r="BP218" s="201"/>
      <c r="BQ218" s="201"/>
      <c r="BR218" s="201"/>
      <c r="BS218" s="201"/>
      <c r="BT218" s="201"/>
      <c r="BU218" s="201"/>
      <c r="BV218" s="201"/>
      <c r="BW218" s="201"/>
      <c r="BX218" s="201"/>
      <c r="BY218" s="10"/>
      <c r="BZ218" s="62"/>
      <c r="CA218" s="10"/>
      <c r="CB218" s="10"/>
      <c r="CC218" s="10"/>
      <c r="CD218" s="62"/>
      <c r="CE218" s="62"/>
      <c r="CF218" s="62"/>
      <c r="CG218" s="62"/>
      <c r="CH218" s="62"/>
      <c r="CI218" s="62"/>
      <c r="CJ218" s="62"/>
      <c r="CK218" s="10"/>
      <c r="CT218" s="67"/>
      <c r="CU218" s="10"/>
      <c r="CV218" s="10"/>
      <c r="CW218" s="10"/>
      <c r="CX218" s="10"/>
      <c r="CY218" s="10"/>
      <c r="CZ218" s="10"/>
      <c r="DA218" s="10"/>
      <c r="DC218" s="10"/>
      <c r="DE218" s="211"/>
      <c r="DF218" s="211"/>
      <c r="DJ218" s="14"/>
      <c r="DK218" s="14"/>
      <c r="DL218" s="14"/>
      <c r="DM218" s="14"/>
      <c r="DN218" s="14"/>
      <c r="DO218" s="16"/>
      <c r="DP218" s="16"/>
      <c r="DQ218" s="16"/>
      <c r="DR218" s="16"/>
      <c r="DS218" s="16"/>
      <c r="DT218" s="16"/>
      <c r="DU218" s="16"/>
      <c r="DV218" s="16"/>
      <c r="DW218" s="16"/>
      <c r="DX218" s="16"/>
      <c r="DY218" s="16"/>
      <c r="DZ218" s="16"/>
      <c r="EB218" s="16"/>
      <c r="EC218" s="16"/>
      <c r="ED218" s="16"/>
      <c r="EE218" s="16"/>
      <c r="EG218" s="16"/>
      <c r="EH218" s="16"/>
      <c r="EI218" s="16"/>
      <c r="EJ218" s="16"/>
      <c r="EK218" s="16"/>
    </row>
    <row r="219" spans="2:156">
      <c r="C219" s="197"/>
      <c r="D219" s="197"/>
      <c r="E219" s="197"/>
      <c r="F219" s="197"/>
      <c r="G219" s="197"/>
      <c r="H219" s="757"/>
      <c r="I219" s="757"/>
      <c r="J219" s="757"/>
      <c r="K219" s="757"/>
      <c r="L219" s="757"/>
      <c r="M219" s="2590"/>
      <c r="N219" s="2590"/>
      <c r="O219" s="2590"/>
      <c r="P219" s="2590"/>
      <c r="Q219" s="180"/>
      <c r="R219" s="180"/>
      <c r="S219" s="2792"/>
      <c r="T219" s="2771"/>
      <c r="U219" s="2736"/>
      <c r="V219" s="180"/>
      <c r="W219" s="180"/>
      <c r="AQ219" s="203"/>
      <c r="AR219" s="203"/>
      <c r="AS219" s="203"/>
      <c r="AT219" s="203"/>
      <c r="AU219" s="203"/>
      <c r="AV219" s="203"/>
      <c r="AW219" s="203"/>
      <c r="AX219" s="203"/>
      <c r="AY219" s="203"/>
      <c r="AZ219" s="203"/>
      <c r="BA219" s="203"/>
      <c r="BB219" s="204"/>
      <c r="BC219" s="204"/>
      <c r="BD219" s="204"/>
      <c r="BE219" s="204"/>
      <c r="BF219" s="204"/>
      <c r="BG219" s="204"/>
      <c r="BH219" s="204"/>
      <c r="BI219" s="204"/>
      <c r="BJ219" s="204"/>
      <c r="BK219" s="204"/>
      <c r="BL219" s="204"/>
      <c r="BM219" s="204"/>
      <c r="BN219" s="204"/>
      <c r="BO219" s="204"/>
      <c r="BP219" s="204"/>
      <c r="BQ219" s="204"/>
      <c r="BR219" s="204"/>
      <c r="BS219" s="204"/>
      <c r="BT219" s="204"/>
      <c r="BU219" s="204"/>
      <c r="BV219" s="204"/>
      <c r="BW219" s="204"/>
      <c r="BX219" s="204"/>
      <c r="BY219" s="10"/>
      <c r="BZ219" s="62"/>
      <c r="CA219" s="10"/>
      <c r="CB219" s="10"/>
      <c r="CC219" s="10"/>
      <c r="CD219" s="62"/>
      <c r="CE219" s="62"/>
      <c r="CF219" s="62"/>
      <c r="CG219" s="62"/>
      <c r="CH219" s="62"/>
      <c r="CI219" s="62"/>
      <c r="CJ219" s="62"/>
      <c r="CK219" s="10"/>
      <c r="CT219" s="67"/>
      <c r="CU219" s="10"/>
      <c r="CV219" s="10"/>
      <c r="CW219" s="10"/>
      <c r="CX219" s="10"/>
      <c r="CY219" s="10"/>
      <c r="CZ219" s="10"/>
      <c r="DA219" s="10"/>
      <c r="DC219" s="10"/>
      <c r="DE219" s="211"/>
      <c r="DF219" s="211"/>
    </row>
    <row r="220" spans="2:156">
      <c r="B220" s="16"/>
      <c r="C220" s="197"/>
      <c r="D220" s="197"/>
      <c r="E220" s="197"/>
      <c r="F220" s="197"/>
      <c r="G220" s="197"/>
      <c r="H220" s="213"/>
      <c r="I220" s="213"/>
      <c r="J220" s="213"/>
      <c r="K220" s="213"/>
      <c r="L220" s="213"/>
      <c r="M220" s="2591"/>
      <c r="N220" s="2591"/>
      <c r="O220" s="2591"/>
      <c r="P220" s="2591"/>
      <c r="Q220" s="982"/>
      <c r="R220" s="982"/>
      <c r="S220" s="2794"/>
      <c r="T220" s="2737"/>
      <c r="U220" s="2737"/>
      <c r="V220" s="982"/>
      <c r="W220" s="982"/>
      <c r="AM220" s="767"/>
      <c r="AN220" s="767"/>
      <c r="AO220" s="767"/>
      <c r="AP220" s="767"/>
      <c r="AQ220" s="203"/>
      <c r="AR220" s="203"/>
      <c r="AS220" s="203"/>
      <c r="AT220" s="203"/>
      <c r="AU220" s="203"/>
      <c r="AV220" s="203"/>
      <c r="AW220" s="203"/>
      <c r="AX220" s="203"/>
      <c r="AY220" s="203"/>
      <c r="AZ220" s="203"/>
      <c r="BA220" s="203"/>
      <c r="BB220" s="204"/>
      <c r="BC220" s="204"/>
      <c r="BD220" s="204"/>
      <c r="BE220" s="204"/>
      <c r="BF220" s="204"/>
      <c r="BG220" s="204"/>
      <c r="BH220" s="204"/>
      <c r="BI220" s="204"/>
      <c r="BJ220" s="204"/>
      <c r="BK220" s="204"/>
      <c r="BL220" s="204"/>
      <c r="BM220" s="204"/>
      <c r="BN220" s="204"/>
      <c r="BO220" s="204"/>
      <c r="BP220" s="204"/>
      <c r="BQ220" s="204"/>
      <c r="BR220" s="204"/>
      <c r="BS220" s="204"/>
      <c r="BT220" s="204"/>
      <c r="BU220" s="204"/>
      <c r="BV220" s="204"/>
      <c r="BW220" s="204"/>
      <c r="BX220" s="204"/>
      <c r="BY220" s="10"/>
      <c r="BZ220" s="62"/>
      <c r="CA220" s="10"/>
      <c r="CB220" s="10"/>
      <c r="CC220" s="10"/>
      <c r="CD220" s="62"/>
      <c r="CE220" s="62"/>
      <c r="CF220" s="62"/>
      <c r="CG220" s="62"/>
      <c r="CH220" s="62"/>
      <c r="CI220" s="62"/>
      <c r="CJ220" s="62"/>
      <c r="CK220" s="10"/>
      <c r="CT220" s="67"/>
      <c r="CU220" s="10"/>
      <c r="CV220" s="10"/>
      <c r="CW220" s="10"/>
      <c r="CX220" s="10"/>
      <c r="CY220" s="10"/>
      <c r="CZ220" s="10"/>
      <c r="DA220" s="10"/>
      <c r="DC220" s="10"/>
      <c r="DE220" s="212"/>
      <c r="DF220" s="204"/>
    </row>
    <row r="221" spans="2:156">
      <c r="B221" s="197"/>
      <c r="C221" s="197"/>
      <c r="D221" s="197"/>
      <c r="E221" s="197"/>
      <c r="F221" s="197"/>
      <c r="G221" s="197"/>
      <c r="H221" s="213"/>
      <c r="I221" s="213"/>
      <c r="J221" s="213"/>
      <c r="K221" s="213"/>
      <c r="L221" s="213"/>
      <c r="M221" s="2590"/>
      <c r="N221" s="2590"/>
      <c r="O221" s="2590"/>
      <c r="P221" s="2590"/>
      <c r="Q221" s="190"/>
      <c r="R221" s="190"/>
      <c r="S221" s="956"/>
      <c r="T221" s="2724"/>
      <c r="U221" s="2736"/>
      <c r="V221" s="190"/>
      <c r="W221" s="190"/>
      <c r="AM221" s="767"/>
      <c r="AN221" s="767"/>
      <c r="AO221" s="767"/>
      <c r="AP221" s="767"/>
      <c r="AQ221" s="203"/>
      <c r="AR221" s="203"/>
      <c r="AS221" s="203"/>
      <c r="AT221" s="203"/>
      <c r="AU221" s="203"/>
      <c r="AV221" s="203"/>
      <c r="AW221" s="203"/>
      <c r="AX221" s="203"/>
      <c r="AY221" s="203"/>
      <c r="AZ221" s="203"/>
      <c r="BA221" s="203"/>
      <c r="BB221" s="204"/>
      <c r="BC221" s="204"/>
      <c r="BD221" s="204"/>
      <c r="BE221" s="204"/>
      <c r="BF221" s="204"/>
      <c r="BG221" s="204"/>
      <c r="BH221" s="204"/>
      <c r="BI221" s="204"/>
      <c r="BJ221" s="204"/>
      <c r="BK221" s="204"/>
      <c r="BL221" s="204"/>
      <c r="BM221" s="204"/>
      <c r="BN221" s="204"/>
      <c r="BO221" s="204"/>
      <c r="BP221" s="204"/>
      <c r="BQ221" s="204"/>
      <c r="BR221" s="204"/>
      <c r="BS221" s="204"/>
      <c r="BT221" s="204"/>
      <c r="BU221" s="204"/>
      <c r="BV221" s="204"/>
      <c r="BW221" s="204"/>
      <c r="BX221" s="204"/>
      <c r="BY221" s="10"/>
      <c r="BZ221" s="62"/>
      <c r="CA221" s="10"/>
      <c r="CB221" s="10"/>
      <c r="CC221" s="10"/>
      <c r="CD221" s="62"/>
      <c r="CE221" s="62"/>
      <c r="CF221" s="62"/>
      <c r="CG221" s="62"/>
      <c r="CH221" s="62"/>
      <c r="CI221" s="62"/>
      <c r="CJ221" s="62"/>
      <c r="CK221" s="10"/>
      <c r="CT221" s="67"/>
      <c r="CU221" s="10"/>
      <c r="CV221" s="10"/>
      <c r="CW221" s="10"/>
      <c r="CX221" s="10"/>
      <c r="CY221" s="10"/>
      <c r="CZ221" s="10"/>
      <c r="DA221" s="10"/>
      <c r="DC221" s="10"/>
      <c r="DE221" s="212"/>
      <c r="DF221" s="204"/>
    </row>
    <row r="222" spans="2:156">
      <c r="B222" s="197"/>
      <c r="C222" s="197"/>
      <c r="D222" s="197"/>
      <c r="E222" s="197"/>
      <c r="F222" s="197"/>
      <c r="G222" s="197"/>
      <c r="H222" s="213"/>
      <c r="I222" s="213"/>
      <c r="J222" s="213"/>
      <c r="K222" s="213"/>
      <c r="L222" s="213"/>
      <c r="M222" s="2590"/>
      <c r="N222" s="2590"/>
      <c r="O222" s="2590"/>
      <c r="P222" s="2590"/>
      <c r="Q222" s="41"/>
      <c r="R222" s="41"/>
      <c r="S222" s="2181"/>
      <c r="T222" s="2714"/>
      <c r="U222" s="2736"/>
      <c r="V222" s="190"/>
      <c r="W222" s="190"/>
      <c r="AM222" s="767"/>
      <c r="AN222" s="767"/>
      <c r="AO222" s="767"/>
      <c r="AP222" s="767"/>
      <c r="AQ222" s="203"/>
      <c r="AR222" s="203"/>
      <c r="AS222" s="203"/>
      <c r="AT222" s="203"/>
      <c r="AU222" s="203"/>
      <c r="AV222" s="203"/>
      <c r="AW222" s="203"/>
      <c r="AX222" s="203"/>
      <c r="AY222" s="203"/>
      <c r="AZ222" s="203"/>
      <c r="BA222" s="203"/>
      <c r="BB222" s="204"/>
      <c r="BC222" s="204"/>
      <c r="BD222" s="204"/>
      <c r="BE222" s="204"/>
      <c r="BF222" s="204"/>
      <c r="BG222" s="204"/>
      <c r="BH222" s="204"/>
      <c r="BI222" s="204"/>
      <c r="BJ222" s="204"/>
      <c r="BK222" s="204"/>
      <c r="BL222" s="204"/>
      <c r="BM222" s="204"/>
      <c r="BN222" s="204"/>
      <c r="BO222" s="204"/>
      <c r="BP222" s="204"/>
      <c r="BQ222" s="204"/>
      <c r="BR222" s="204"/>
      <c r="BS222" s="204"/>
      <c r="BT222" s="204"/>
      <c r="BU222" s="204"/>
      <c r="BV222" s="204"/>
      <c r="BW222" s="204"/>
      <c r="BX222" s="204"/>
      <c r="BY222" s="10"/>
      <c r="BZ222" s="62"/>
      <c r="CA222" s="10"/>
      <c r="CB222" s="10"/>
      <c r="CC222" s="10"/>
      <c r="CD222" s="62"/>
      <c r="CE222" s="62"/>
      <c r="CF222" s="62"/>
      <c r="CG222" s="62"/>
      <c r="CH222" s="62"/>
      <c r="CI222" s="62"/>
      <c r="CJ222" s="62"/>
      <c r="CK222" s="10"/>
      <c r="CT222" s="67"/>
      <c r="CU222" s="10"/>
      <c r="CV222" s="10"/>
      <c r="CW222" s="10"/>
      <c r="CX222" s="10"/>
      <c r="CY222" s="10"/>
      <c r="CZ222" s="10"/>
      <c r="DA222" s="10"/>
      <c r="DC222" s="10"/>
      <c r="DE222" s="212"/>
      <c r="DF222" s="204"/>
    </row>
    <row r="223" spans="2:156">
      <c r="B223" s="197"/>
      <c r="C223" s="197"/>
      <c r="D223" s="197"/>
      <c r="E223" s="197"/>
      <c r="F223" s="197"/>
      <c r="G223" s="197"/>
      <c r="H223" s="213"/>
      <c r="I223" s="213"/>
      <c r="J223" s="213"/>
      <c r="K223" s="213"/>
      <c r="L223" s="213"/>
      <c r="M223" s="2590"/>
      <c r="N223" s="2590"/>
      <c r="O223" s="2590"/>
      <c r="P223" s="2590"/>
      <c r="Q223" s="190"/>
      <c r="R223" s="190"/>
      <c r="S223" s="956"/>
      <c r="T223" s="2724"/>
      <c r="U223" s="2736"/>
      <c r="V223" s="190"/>
      <c r="W223" s="190"/>
      <c r="AM223" s="767"/>
      <c r="AN223" s="767"/>
      <c r="AO223" s="767"/>
      <c r="AP223" s="767"/>
      <c r="AQ223" s="203"/>
      <c r="AR223" s="203"/>
      <c r="AS223" s="203"/>
      <c r="AT223" s="203"/>
      <c r="AU223" s="203"/>
      <c r="AV223" s="203"/>
      <c r="AW223" s="203"/>
      <c r="AX223" s="203"/>
      <c r="AY223" s="203"/>
      <c r="AZ223" s="203"/>
      <c r="BA223" s="203"/>
      <c r="BB223" s="204"/>
      <c r="BC223" s="204"/>
      <c r="BD223" s="204"/>
      <c r="BE223" s="204"/>
      <c r="BF223" s="204"/>
      <c r="BG223" s="204"/>
      <c r="BH223" s="204"/>
      <c r="BI223" s="204"/>
      <c r="BJ223" s="204"/>
      <c r="BK223" s="204"/>
      <c r="BL223" s="204"/>
      <c r="BM223" s="204"/>
      <c r="BN223" s="204"/>
      <c r="BO223" s="204"/>
      <c r="BP223" s="204"/>
      <c r="BQ223" s="204"/>
      <c r="BR223" s="204"/>
      <c r="BS223" s="204"/>
      <c r="BT223" s="204"/>
      <c r="BU223" s="204"/>
      <c r="BV223" s="204"/>
      <c r="BW223" s="204"/>
      <c r="BX223" s="204"/>
      <c r="BY223" s="10"/>
      <c r="BZ223" s="62"/>
      <c r="CA223" s="10"/>
      <c r="CB223" s="10"/>
      <c r="CC223" s="10"/>
      <c r="CD223" s="62"/>
      <c r="CE223" s="62"/>
      <c r="CF223" s="62"/>
      <c r="CG223" s="62"/>
      <c r="CH223" s="62"/>
      <c r="CI223" s="62"/>
      <c r="CJ223" s="62"/>
      <c r="CK223" s="10"/>
      <c r="CT223" s="67"/>
      <c r="CU223" s="10"/>
      <c r="CV223" s="10"/>
      <c r="CW223" s="10"/>
      <c r="CX223" s="10"/>
      <c r="CY223" s="10"/>
      <c r="CZ223" s="10"/>
      <c r="DA223" s="10"/>
      <c r="DC223" s="10"/>
      <c r="DE223" s="212"/>
      <c r="DF223" s="204"/>
    </row>
    <row r="224" spans="2:156">
      <c r="C224" s="197"/>
      <c r="D224" s="197"/>
      <c r="E224" s="197"/>
      <c r="F224" s="197"/>
      <c r="G224" s="197"/>
      <c r="H224" s="213"/>
      <c r="I224" s="213"/>
      <c r="J224" s="213"/>
      <c r="K224" s="213"/>
      <c r="L224" s="213"/>
      <c r="M224" s="2590"/>
      <c r="N224" s="2590"/>
      <c r="O224" s="2590"/>
      <c r="P224" s="2590"/>
      <c r="Q224" s="190"/>
      <c r="R224" s="190"/>
      <c r="S224" s="956"/>
      <c r="T224" s="2724"/>
      <c r="U224" s="2736"/>
      <c r="V224" s="190"/>
      <c r="W224" s="190"/>
      <c r="AM224" s="767"/>
      <c r="AN224" s="767"/>
      <c r="AO224" s="767"/>
      <c r="AP224" s="767"/>
      <c r="AQ224" s="203"/>
      <c r="AR224" s="203"/>
      <c r="AS224" s="203"/>
      <c r="AT224" s="203"/>
      <c r="AU224" s="203"/>
      <c r="AV224" s="203"/>
      <c r="AW224" s="203"/>
      <c r="AX224" s="203"/>
      <c r="AY224" s="203"/>
      <c r="AZ224" s="203"/>
      <c r="BA224" s="203"/>
      <c r="BB224" s="204"/>
      <c r="BC224" s="204"/>
      <c r="BD224" s="204"/>
      <c r="BE224" s="204"/>
      <c r="BF224" s="204"/>
      <c r="BG224" s="204"/>
      <c r="BH224" s="204"/>
      <c r="BI224" s="204"/>
      <c r="BJ224" s="204"/>
      <c r="BK224" s="204"/>
      <c r="BL224" s="204"/>
      <c r="BM224" s="204"/>
      <c r="BN224" s="204"/>
      <c r="BO224" s="204"/>
      <c r="BP224" s="204"/>
      <c r="BQ224" s="204"/>
      <c r="BR224" s="204"/>
      <c r="BS224" s="204"/>
      <c r="BT224" s="204"/>
      <c r="BU224" s="204"/>
      <c r="BV224" s="204"/>
      <c r="BW224" s="204"/>
      <c r="BX224" s="204"/>
      <c r="BY224" s="10"/>
      <c r="BZ224" s="62"/>
      <c r="CA224" s="10"/>
      <c r="CB224" s="10"/>
      <c r="CC224" s="10"/>
      <c r="CD224" s="62"/>
      <c r="CE224" s="62"/>
      <c r="CF224" s="62"/>
      <c r="CG224" s="62"/>
      <c r="CH224" s="62"/>
      <c r="CI224" s="62"/>
      <c r="CJ224" s="62"/>
      <c r="CK224" s="10"/>
      <c r="CT224" s="67"/>
      <c r="CU224" s="10"/>
      <c r="CV224" s="10"/>
      <c r="CW224" s="10"/>
      <c r="CX224" s="10"/>
      <c r="CY224" s="10"/>
      <c r="CZ224" s="10"/>
      <c r="DA224" s="10"/>
      <c r="DC224" s="10"/>
      <c r="DE224" s="212"/>
      <c r="DF224" s="204"/>
    </row>
    <row r="225" spans="2:119">
      <c r="B225" s="16"/>
      <c r="C225" s="197"/>
      <c r="D225" s="197"/>
      <c r="E225" s="197"/>
      <c r="F225" s="197"/>
      <c r="G225" s="197"/>
      <c r="H225" s="213"/>
      <c r="I225" s="213"/>
      <c r="J225" s="213"/>
      <c r="K225" s="213"/>
      <c r="L225" s="213"/>
      <c r="M225" s="2592"/>
      <c r="N225" s="2592"/>
      <c r="O225" s="2592"/>
      <c r="P225" s="2592"/>
      <c r="Q225" s="190"/>
      <c r="R225" s="190"/>
      <c r="S225" s="956"/>
      <c r="T225" s="2724"/>
      <c r="U225" s="2738"/>
      <c r="V225" s="190"/>
      <c r="W225" s="190"/>
      <c r="AM225" s="767"/>
      <c r="AN225" s="767"/>
      <c r="AO225" s="767"/>
      <c r="AP225" s="767"/>
      <c r="AQ225" s="203"/>
      <c r="AR225" s="203"/>
      <c r="AS225" s="203"/>
      <c r="AT225" s="203"/>
      <c r="AU225" s="203"/>
      <c r="AV225" s="203"/>
      <c r="AW225" s="203"/>
      <c r="AX225" s="203"/>
      <c r="AY225" s="203"/>
      <c r="AZ225" s="203"/>
      <c r="BA225" s="203"/>
      <c r="BB225" s="204"/>
      <c r="BC225" s="204"/>
      <c r="BD225" s="204"/>
      <c r="BE225" s="204"/>
      <c r="BF225" s="204"/>
      <c r="BG225" s="204"/>
      <c r="BH225" s="204"/>
      <c r="BI225" s="204"/>
      <c r="BJ225" s="204"/>
      <c r="BK225" s="204"/>
      <c r="BL225" s="204"/>
      <c r="BM225" s="204"/>
      <c r="BN225" s="204"/>
      <c r="BO225" s="204"/>
      <c r="BP225" s="204"/>
      <c r="BQ225" s="204"/>
      <c r="BR225" s="204"/>
      <c r="BS225" s="204"/>
      <c r="BT225" s="204"/>
      <c r="BU225" s="204"/>
      <c r="BV225" s="204"/>
      <c r="BW225" s="204"/>
      <c r="BX225" s="204"/>
      <c r="BY225" s="10"/>
      <c r="BZ225" s="62"/>
      <c r="CA225" s="10"/>
      <c r="CB225" s="10"/>
      <c r="CC225" s="10"/>
      <c r="CD225" s="62"/>
      <c r="CE225" s="62"/>
      <c r="CF225" s="62"/>
      <c r="CG225" s="62"/>
      <c r="CH225" s="62"/>
      <c r="CI225" s="62"/>
      <c r="CJ225" s="62"/>
      <c r="CK225" s="10"/>
      <c r="CT225" s="67"/>
      <c r="CU225" s="10"/>
      <c r="CV225" s="10"/>
      <c r="CW225" s="10"/>
      <c r="CX225" s="10"/>
      <c r="CY225" s="10"/>
      <c r="CZ225" s="10"/>
      <c r="DA225" s="10"/>
      <c r="DC225" s="10"/>
      <c r="DE225" s="212"/>
      <c r="DF225" s="204"/>
    </row>
    <row r="226" spans="2:119">
      <c r="B226" s="16"/>
      <c r="C226" s="197"/>
      <c r="D226" s="197"/>
      <c r="E226" s="197"/>
      <c r="F226" s="197"/>
      <c r="G226" s="197"/>
      <c r="H226" s="213"/>
      <c r="I226" s="213"/>
      <c r="J226" s="213"/>
      <c r="K226" s="213"/>
      <c r="L226" s="213"/>
      <c r="M226" s="740"/>
      <c r="N226" s="740"/>
      <c r="O226" s="740"/>
      <c r="P226" s="740"/>
      <c r="Q226" s="190"/>
      <c r="R226" s="190"/>
      <c r="S226" s="956"/>
      <c r="T226" s="2724"/>
      <c r="U226" s="2724"/>
      <c r="V226" s="190"/>
      <c r="W226" s="190"/>
      <c r="AM226" s="767"/>
      <c r="AN226" s="767"/>
      <c r="AO226" s="767"/>
      <c r="AP226" s="767"/>
      <c r="AQ226" s="203"/>
      <c r="AR226" s="203"/>
      <c r="AS226" s="203"/>
      <c r="AT226" s="203"/>
      <c r="AU226" s="203"/>
      <c r="AV226" s="203"/>
      <c r="AW226" s="203"/>
      <c r="AX226" s="203"/>
      <c r="AY226" s="203"/>
      <c r="AZ226" s="203"/>
      <c r="BA226" s="203"/>
      <c r="BB226" s="204"/>
      <c r="BC226" s="204"/>
      <c r="BD226" s="204"/>
      <c r="BE226" s="204"/>
      <c r="BF226" s="204"/>
      <c r="BG226" s="204"/>
      <c r="BH226" s="204"/>
      <c r="BI226" s="204"/>
      <c r="BJ226" s="204"/>
      <c r="BK226" s="204"/>
      <c r="BL226" s="204"/>
      <c r="BM226" s="204"/>
      <c r="BN226" s="204"/>
      <c r="BO226" s="204"/>
      <c r="BP226" s="204"/>
      <c r="BQ226" s="204"/>
      <c r="BR226" s="204"/>
      <c r="BS226" s="204"/>
      <c r="BT226" s="204"/>
      <c r="BU226" s="204"/>
      <c r="BV226" s="204"/>
      <c r="BW226" s="204"/>
      <c r="BX226" s="204"/>
      <c r="BY226" s="10"/>
      <c r="BZ226" s="62"/>
      <c r="CA226" s="10"/>
      <c r="CB226" s="10"/>
      <c r="CC226" s="10"/>
      <c r="CD226" s="62"/>
      <c r="CE226" s="62"/>
      <c r="CF226" s="62"/>
      <c r="CG226" s="62"/>
      <c r="CH226" s="62"/>
      <c r="CI226" s="62"/>
      <c r="CJ226" s="62"/>
      <c r="CK226" s="10"/>
      <c r="CT226" s="67"/>
      <c r="CU226" s="10"/>
      <c r="CV226" s="10"/>
      <c r="CW226" s="10"/>
      <c r="CX226" s="10"/>
      <c r="CY226" s="10"/>
      <c r="CZ226" s="10"/>
      <c r="DA226" s="10"/>
      <c r="DC226" s="10"/>
      <c r="DE226" s="212"/>
      <c r="DF226" s="204"/>
    </row>
    <row r="227" spans="2:119" ht="12" customHeight="1">
      <c r="B227" s="16"/>
      <c r="C227" s="197"/>
      <c r="D227" s="197"/>
      <c r="E227" s="197"/>
      <c r="F227" s="197"/>
      <c r="G227" s="197"/>
      <c r="H227" s="203"/>
      <c r="I227" s="203"/>
      <c r="J227" s="203"/>
      <c r="K227" s="203"/>
      <c r="L227" s="167"/>
      <c r="M227" s="2593"/>
      <c r="N227" s="2593"/>
      <c r="O227" s="2593"/>
      <c r="P227" s="2593"/>
      <c r="Q227" s="190"/>
      <c r="R227" s="190"/>
      <c r="S227" s="956"/>
      <c r="T227" s="2724"/>
      <c r="U227" s="2739"/>
      <c r="V227" s="190"/>
      <c r="W227" s="190"/>
      <c r="AM227" s="768"/>
      <c r="AN227" s="768"/>
      <c r="AO227" s="768"/>
      <c r="AP227" s="768"/>
      <c r="AQ227" s="204"/>
      <c r="AR227" s="204"/>
      <c r="AS227" s="204"/>
      <c r="AT227" s="204"/>
      <c r="AU227" s="204"/>
      <c r="AV227" s="204"/>
      <c r="AW227" s="204"/>
      <c r="AX227" s="204"/>
      <c r="AY227" s="204"/>
      <c r="AZ227" s="204"/>
      <c r="BA227" s="204"/>
      <c r="BC227" s="769"/>
      <c r="BD227" s="768"/>
      <c r="BE227" s="768"/>
      <c r="BF227" s="768"/>
      <c r="BG227" s="769"/>
      <c r="BH227" s="769"/>
      <c r="BI227" s="769"/>
      <c r="BJ227" s="769"/>
      <c r="BK227" s="769"/>
      <c r="BL227" s="769"/>
      <c r="BM227" s="769"/>
      <c r="BN227" s="769"/>
      <c r="BO227" s="769"/>
      <c r="BP227" s="769"/>
      <c r="BQ227" s="769"/>
      <c r="BR227" s="770"/>
      <c r="BS227" s="769"/>
      <c r="BT227" s="769"/>
      <c r="BU227" s="769"/>
      <c r="BV227" s="770"/>
      <c r="BW227" s="770"/>
      <c r="BX227" s="770"/>
      <c r="BY227" s="882"/>
      <c r="BZ227" s="2180"/>
      <c r="CA227" s="882"/>
      <c r="CB227" s="882"/>
      <c r="CC227" s="882"/>
      <c r="CD227" s="2180"/>
      <c r="CE227" s="2180"/>
      <c r="CF227" s="2180"/>
      <c r="CG227" s="2180"/>
      <c r="CH227" s="2180"/>
      <c r="CI227" s="2180"/>
      <c r="CJ227" s="2180"/>
      <c r="CK227" s="1315"/>
      <c r="CL227" s="3277"/>
      <c r="CM227" s="3277"/>
      <c r="CN227" s="3394"/>
      <c r="CO227" s="3394"/>
      <c r="CP227" s="3394"/>
      <c r="CQ227" s="3394"/>
      <c r="CR227" s="2188"/>
      <c r="CS227" s="2188"/>
      <c r="CT227" s="2192"/>
      <c r="CU227" s="1315"/>
      <c r="CV227" s="1315"/>
      <c r="CW227" s="1315"/>
      <c r="CX227" s="1315"/>
      <c r="CY227" s="1315"/>
      <c r="CZ227" s="1315"/>
      <c r="DA227" s="1315"/>
      <c r="DC227" s="1315"/>
      <c r="DD227" s="768"/>
      <c r="DE227" s="774"/>
      <c r="DF227" s="768"/>
    </row>
    <row r="228" spans="2:119">
      <c r="B228" s="813"/>
      <c r="C228" s="16"/>
      <c r="D228" s="16"/>
      <c r="E228" s="16"/>
      <c r="F228" s="16"/>
      <c r="G228" s="16"/>
      <c r="H228" s="771"/>
      <c r="I228" s="771"/>
      <c r="J228" s="771"/>
      <c r="K228" s="771"/>
      <c r="L228" s="770"/>
      <c r="M228" s="214"/>
      <c r="N228" s="214"/>
      <c r="O228" s="214"/>
      <c r="P228" s="214"/>
      <c r="Q228" s="1315"/>
      <c r="R228" s="1315"/>
      <c r="S228" s="2180"/>
      <c r="T228" s="3277"/>
      <c r="U228" s="2714"/>
      <c r="V228" s="214"/>
      <c r="W228" s="1315"/>
      <c r="AM228" s="98"/>
      <c r="AN228" s="98"/>
      <c r="AO228" s="98"/>
      <c r="AP228" s="98"/>
      <c r="AQ228" s="769"/>
      <c r="AR228" s="769"/>
      <c r="AS228" s="769"/>
      <c r="AT228" s="769"/>
      <c r="AU228" s="769"/>
      <c r="AV228" s="769"/>
      <c r="AW228" s="769"/>
      <c r="AX228" s="769"/>
      <c r="AY228" s="769"/>
      <c r="AZ228" s="769"/>
      <c r="BA228" s="769"/>
      <c r="BB228" s="769"/>
      <c r="BC228" s="213"/>
      <c r="BD228" s="213"/>
      <c r="BE228" s="213"/>
      <c r="BF228" s="213"/>
      <c r="BG228" s="213"/>
      <c r="BH228" s="213"/>
      <c r="BI228" s="213"/>
      <c r="BJ228" s="213"/>
      <c r="BK228" s="213"/>
      <c r="BL228" s="213"/>
      <c r="BM228" s="213"/>
      <c r="BN228" s="213"/>
      <c r="BO228" s="213"/>
      <c r="BP228" s="213"/>
      <c r="BQ228" s="213"/>
      <c r="BR228" s="213"/>
      <c r="BS228" s="213"/>
      <c r="BT228" s="213"/>
      <c r="BU228" s="213"/>
      <c r="BV228" s="213"/>
      <c r="BW228" s="213"/>
      <c r="BX228" s="213"/>
      <c r="BY228" s="21"/>
      <c r="BZ228" s="320"/>
      <c r="CA228" s="21"/>
      <c r="CB228" s="21"/>
      <c r="CC228" s="21"/>
      <c r="CD228" s="320"/>
      <c r="CE228" s="320"/>
      <c r="CF228" s="320"/>
      <c r="CG228" s="320"/>
      <c r="CH228" s="320"/>
      <c r="CI228" s="320"/>
      <c r="CJ228" s="320"/>
      <c r="CK228" s="21"/>
      <c r="CL228" s="3400"/>
      <c r="CM228" s="3400"/>
      <c r="CN228" s="3395"/>
      <c r="CO228" s="3395"/>
      <c r="CP228" s="3395"/>
      <c r="CQ228" s="3395"/>
      <c r="CR228" s="2183"/>
      <c r="CS228" s="2183"/>
      <c r="CT228" s="2183"/>
      <c r="CU228" s="21"/>
      <c r="CV228" s="21"/>
      <c r="CW228" s="21"/>
      <c r="CX228" s="21"/>
      <c r="CY228" s="21"/>
      <c r="CZ228" s="21"/>
      <c r="DA228" s="21"/>
      <c r="DC228" s="21"/>
      <c r="DD228" s="21"/>
      <c r="DE228" s="213"/>
      <c r="DF228" s="213"/>
    </row>
    <row r="229" spans="2:119">
      <c r="B229" s="813"/>
      <c r="C229" s="197"/>
      <c r="D229" s="197"/>
      <c r="E229" s="197"/>
      <c r="F229" s="197"/>
      <c r="G229" s="197"/>
      <c r="H229" s="41"/>
      <c r="I229" s="41"/>
      <c r="J229" s="41"/>
      <c r="K229" s="41"/>
      <c r="L229" s="214"/>
      <c r="M229" s="214"/>
      <c r="N229" s="214"/>
      <c r="O229" s="214"/>
      <c r="P229" s="214"/>
      <c r="Q229" s="214"/>
      <c r="R229" s="214"/>
      <c r="S229" s="2181"/>
      <c r="T229" s="2714"/>
      <c r="U229" s="2714"/>
      <c r="V229" s="214"/>
      <c r="W229" s="214"/>
      <c r="AB229" s="328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  <c r="BC229" s="41"/>
      <c r="BD229" s="41"/>
      <c r="BE229" s="41"/>
      <c r="BF229" s="41"/>
      <c r="BG229" s="41"/>
      <c r="BH229" s="41"/>
      <c r="BI229" s="41"/>
      <c r="BJ229" s="41"/>
      <c r="BK229" s="41"/>
      <c r="BL229" s="41"/>
      <c r="BM229" s="41"/>
      <c r="BN229" s="41"/>
      <c r="BO229" s="41"/>
      <c r="BP229" s="41"/>
      <c r="BQ229" s="41"/>
      <c r="BR229" s="41"/>
      <c r="BS229" s="41"/>
      <c r="BT229" s="41"/>
      <c r="BU229" s="41"/>
      <c r="BV229" s="41"/>
      <c r="BW229" s="41"/>
      <c r="BX229" s="41"/>
      <c r="BY229" s="41"/>
      <c r="BZ229" s="2181"/>
      <c r="CA229" s="41"/>
      <c r="CB229" s="41"/>
      <c r="CC229" s="41"/>
      <c r="CD229" s="2181"/>
      <c r="CE229" s="2181"/>
      <c r="CF229" s="2181"/>
      <c r="CG229" s="2181"/>
      <c r="CH229" s="2181"/>
      <c r="CI229" s="2181"/>
      <c r="CJ229" s="2181"/>
      <c r="CK229" s="214"/>
      <c r="CL229" s="2714"/>
      <c r="CM229" s="2714"/>
      <c r="CN229" s="3396"/>
      <c r="CO229" s="3396"/>
      <c r="CP229" s="3396"/>
      <c r="CQ229" s="3396"/>
      <c r="CR229" s="2189"/>
      <c r="CS229" s="2189"/>
      <c r="CT229" s="2189"/>
      <c r="CU229" s="214"/>
      <c r="CV229" s="214"/>
      <c r="CW229" s="214"/>
      <c r="CX229" s="214"/>
      <c r="CY229" s="214"/>
      <c r="CZ229" s="214"/>
      <c r="DA229" s="214"/>
      <c r="DC229" s="214"/>
      <c r="DD229" s="41"/>
      <c r="DE229" s="41"/>
      <c r="DF229" s="41"/>
      <c r="DG229" s="106"/>
      <c r="DH229" s="106"/>
      <c r="DI229" s="106"/>
      <c r="DJ229" s="205"/>
      <c r="DK229" s="205"/>
      <c r="DL229" s="205"/>
      <c r="DM229" s="205"/>
      <c r="DN229" s="205"/>
    </row>
    <row r="230" spans="2:119">
      <c r="B230" s="102"/>
      <c r="C230" s="197"/>
      <c r="D230" s="197"/>
      <c r="E230" s="197"/>
      <c r="F230" s="197"/>
      <c r="G230" s="197"/>
      <c r="H230" s="215"/>
      <c r="I230" s="215"/>
      <c r="J230" s="215"/>
      <c r="K230" s="215"/>
      <c r="L230" s="215"/>
      <c r="M230" s="214"/>
      <c r="N230" s="214"/>
      <c r="O230" s="214"/>
      <c r="P230" s="214"/>
      <c r="Q230" s="214"/>
      <c r="R230" s="214"/>
      <c r="S230" s="2181"/>
      <c r="T230" s="2714"/>
      <c r="U230" s="2714"/>
      <c r="V230" s="214"/>
      <c r="W230" s="214"/>
      <c r="AM230" s="98"/>
      <c r="AN230" s="98"/>
      <c r="AO230" s="98"/>
      <c r="AP230" s="98"/>
      <c r="AQ230" s="98"/>
      <c r="AR230" s="98"/>
      <c r="AS230" s="98"/>
      <c r="AT230" s="98"/>
      <c r="AU230" s="98"/>
      <c r="AV230" s="98"/>
      <c r="AW230" s="98"/>
      <c r="AX230" s="98"/>
      <c r="AY230" s="98"/>
      <c r="AZ230" s="98"/>
      <c r="BA230" s="98"/>
      <c r="BB230" s="98"/>
      <c r="BC230" s="98"/>
      <c r="BD230" s="98"/>
      <c r="BE230" s="98"/>
      <c r="BF230" s="98"/>
      <c r="BG230" s="98"/>
      <c r="BH230" s="98"/>
      <c r="BI230" s="98"/>
      <c r="BJ230" s="98"/>
      <c r="BK230" s="98"/>
      <c r="BL230" s="98"/>
      <c r="BM230" s="98"/>
      <c r="BN230" s="98"/>
      <c r="BO230" s="98"/>
      <c r="BP230" s="98"/>
      <c r="BQ230" s="98"/>
      <c r="BR230" s="98"/>
      <c r="BS230" s="98"/>
      <c r="BT230" s="98"/>
      <c r="BU230" s="98"/>
      <c r="BV230" s="98"/>
      <c r="BW230" s="98"/>
      <c r="BX230" s="98"/>
      <c r="BY230" s="21"/>
      <c r="BZ230" s="320"/>
      <c r="CA230" s="21"/>
      <c r="CB230" s="21"/>
      <c r="CC230" s="21"/>
      <c r="CD230" s="320"/>
      <c r="CE230" s="320"/>
      <c r="CF230" s="320"/>
      <c r="CG230" s="320"/>
      <c r="CH230" s="320"/>
      <c r="CI230" s="320"/>
      <c r="CJ230" s="320"/>
      <c r="CK230" s="21"/>
      <c r="CL230" s="3400"/>
      <c r="CM230" s="3400"/>
      <c r="CN230" s="3395"/>
      <c r="CO230" s="3395"/>
      <c r="CP230" s="3395"/>
      <c r="CQ230" s="3395"/>
      <c r="CR230" s="2183"/>
      <c r="CS230" s="2183"/>
      <c r="CT230" s="2183"/>
      <c r="CU230" s="21"/>
      <c r="CV230" s="21"/>
      <c r="CW230" s="21"/>
      <c r="CX230" s="21"/>
      <c r="CY230" s="21"/>
      <c r="CZ230" s="21"/>
      <c r="DA230" s="21"/>
      <c r="DC230" s="21"/>
      <c r="DD230" s="21"/>
      <c r="DE230" s="98"/>
      <c r="DF230" s="98"/>
    </row>
    <row r="231" spans="2:119">
      <c r="B231" s="13"/>
      <c r="C231" s="197"/>
      <c r="D231" s="197"/>
      <c r="E231" s="197"/>
      <c r="F231" s="197"/>
      <c r="G231" s="197"/>
      <c r="H231" s="215"/>
      <c r="I231" s="215"/>
      <c r="J231" s="215"/>
      <c r="K231" s="215"/>
      <c r="L231" s="215"/>
      <c r="M231" s="2591"/>
      <c r="N231" s="2591"/>
      <c r="O231" s="2591"/>
      <c r="P231" s="2591"/>
      <c r="Q231" s="214"/>
      <c r="R231" s="214"/>
      <c r="S231" s="2181"/>
      <c r="T231" s="2714"/>
      <c r="U231" s="2737"/>
      <c r="V231" s="214"/>
      <c r="W231" s="214"/>
      <c r="AM231" s="98"/>
      <c r="AN231" s="98"/>
      <c r="AO231" s="98"/>
      <c r="AP231" s="98"/>
      <c r="AQ231" s="98"/>
      <c r="AR231" s="98"/>
      <c r="AS231" s="98"/>
      <c r="AT231" s="98"/>
      <c r="AU231" s="98"/>
      <c r="AV231" s="98"/>
      <c r="AW231" s="98"/>
      <c r="AX231" s="98"/>
      <c r="AY231" s="98"/>
      <c r="AZ231" s="98"/>
      <c r="BA231" s="98"/>
      <c r="BB231" s="98"/>
      <c r="BC231" s="98"/>
      <c r="BD231" s="98"/>
      <c r="BE231" s="98"/>
      <c r="BF231" s="98"/>
      <c r="BG231" s="98"/>
      <c r="BH231" s="98"/>
      <c r="BI231" s="98"/>
      <c r="BJ231" s="98"/>
      <c r="BK231" s="98"/>
      <c r="BL231" s="98"/>
      <c r="BM231" s="98"/>
      <c r="BN231" s="98"/>
      <c r="BO231" s="98"/>
      <c r="BP231" s="98"/>
      <c r="BQ231" s="98"/>
      <c r="BR231" s="98"/>
      <c r="BS231" s="98"/>
      <c r="BT231" s="98"/>
      <c r="BU231" s="98"/>
      <c r="BV231" s="98"/>
      <c r="BW231" s="98"/>
      <c r="BX231" s="98"/>
      <c r="BY231" s="10"/>
      <c r="BZ231" s="62"/>
      <c r="CA231" s="10"/>
      <c r="CB231" s="10"/>
      <c r="CC231" s="10"/>
      <c r="CD231" s="62"/>
      <c r="CE231" s="62"/>
      <c r="CF231" s="62"/>
      <c r="CG231" s="62"/>
      <c r="CH231" s="62"/>
      <c r="CI231" s="62"/>
      <c r="CJ231" s="62"/>
      <c r="CK231" s="10"/>
      <c r="CT231" s="67"/>
      <c r="CU231" s="10"/>
      <c r="CV231" s="10"/>
      <c r="CW231" s="10"/>
      <c r="CX231" s="10"/>
      <c r="CY231" s="10"/>
      <c r="CZ231" s="10"/>
      <c r="DA231" s="10"/>
      <c r="DC231" s="10"/>
      <c r="DE231" s="98"/>
      <c r="DF231" s="98"/>
      <c r="DO231" s="21"/>
    </row>
    <row r="232" spans="2:119">
      <c r="B232" s="102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2792"/>
      <c r="T232" s="2771"/>
      <c r="U232" s="2771"/>
      <c r="V232" s="180"/>
      <c r="W232" s="180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10"/>
      <c r="BZ232" s="62"/>
      <c r="CA232" s="10"/>
      <c r="CB232" s="10"/>
      <c r="CC232" s="10"/>
      <c r="CD232" s="62"/>
      <c r="CE232" s="62"/>
      <c r="CF232" s="62"/>
      <c r="CG232" s="62"/>
      <c r="CH232" s="62"/>
      <c r="CI232" s="62"/>
      <c r="CJ232" s="62"/>
      <c r="CK232" s="10"/>
      <c r="CT232" s="67"/>
      <c r="CU232" s="10"/>
      <c r="CV232" s="10"/>
      <c r="CW232" s="10"/>
      <c r="CX232" s="10"/>
      <c r="CY232" s="10"/>
      <c r="CZ232" s="10"/>
      <c r="DA232" s="10"/>
      <c r="DC232" s="10"/>
      <c r="DE232" s="775"/>
      <c r="DF232" s="21"/>
      <c r="DO232" s="21"/>
    </row>
    <row r="233" spans="2:119">
      <c r="B233" s="13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2792"/>
      <c r="T233" s="2771"/>
      <c r="U233" s="2771"/>
      <c r="V233" s="180"/>
      <c r="W233" s="180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10"/>
      <c r="BZ233" s="62"/>
      <c r="CA233" s="10"/>
      <c r="CB233" s="10"/>
      <c r="CC233" s="10"/>
      <c r="CD233" s="62"/>
      <c r="CE233" s="62"/>
      <c r="CF233" s="62"/>
      <c r="CG233" s="62"/>
      <c r="CH233" s="62"/>
      <c r="CI233" s="62"/>
      <c r="CJ233" s="62"/>
      <c r="CK233" s="10"/>
      <c r="CT233" s="67"/>
      <c r="CU233" s="10"/>
      <c r="CV233" s="10"/>
      <c r="CW233" s="10"/>
      <c r="CX233" s="10"/>
      <c r="CY233" s="10"/>
      <c r="CZ233" s="10"/>
      <c r="DA233" s="10"/>
      <c r="DC233" s="10"/>
      <c r="DE233" s="775"/>
      <c r="DF233" s="21"/>
      <c r="DO233" s="21"/>
    </row>
    <row r="234" spans="2:119">
      <c r="B234" s="813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2792"/>
      <c r="T234" s="2771"/>
      <c r="U234" s="2771"/>
      <c r="V234" s="180"/>
      <c r="W234" s="180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10"/>
      <c r="BZ234" s="62"/>
      <c r="CA234" s="10"/>
      <c r="CB234" s="10"/>
      <c r="CC234" s="10"/>
      <c r="CD234" s="62"/>
      <c r="CE234" s="62"/>
      <c r="CF234" s="62"/>
      <c r="CG234" s="62"/>
      <c r="CH234" s="62"/>
      <c r="CI234" s="62"/>
      <c r="CJ234" s="62"/>
      <c r="CK234" s="10"/>
      <c r="CT234" s="67"/>
      <c r="CU234" s="10"/>
      <c r="CV234" s="10"/>
      <c r="CW234" s="10"/>
      <c r="CX234" s="10"/>
      <c r="CY234" s="10"/>
      <c r="CZ234" s="10"/>
      <c r="DA234" s="10"/>
      <c r="DC234" s="10"/>
      <c r="DE234" s="775"/>
      <c r="DF234" s="21"/>
      <c r="DO234" s="21"/>
    </row>
    <row r="235" spans="2:119">
      <c r="B235" s="102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2792"/>
      <c r="T235" s="2771"/>
      <c r="U235" s="2771"/>
      <c r="V235" s="180"/>
      <c r="W235" s="180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10"/>
      <c r="BZ235" s="62"/>
      <c r="CA235" s="10"/>
      <c r="CB235" s="10"/>
      <c r="CC235" s="10"/>
      <c r="CD235" s="62"/>
      <c r="CE235" s="62"/>
      <c r="CF235" s="62"/>
      <c r="CG235" s="62"/>
      <c r="CH235" s="62"/>
      <c r="CI235" s="62"/>
      <c r="CJ235" s="62"/>
      <c r="CK235" s="10"/>
      <c r="CT235" s="67"/>
      <c r="CU235" s="10"/>
      <c r="CV235" s="10"/>
      <c r="CW235" s="10"/>
      <c r="CX235" s="10"/>
      <c r="CY235" s="10"/>
      <c r="CZ235" s="10"/>
      <c r="DA235" s="10"/>
      <c r="DC235" s="10"/>
      <c r="DE235" s="775"/>
      <c r="DF235" s="21"/>
      <c r="DO235" s="21"/>
    </row>
    <row r="236" spans="2:119">
      <c r="B236" s="813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2792"/>
      <c r="T236" s="2771"/>
      <c r="U236" s="2771"/>
      <c r="V236" s="180"/>
      <c r="W236" s="180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10"/>
      <c r="BZ236" s="62"/>
      <c r="CA236" s="10"/>
      <c r="CB236" s="10"/>
      <c r="CC236" s="10"/>
      <c r="CD236" s="62"/>
      <c r="CE236" s="62"/>
      <c r="CF236" s="62"/>
      <c r="CG236" s="62"/>
      <c r="CH236" s="62"/>
      <c r="CI236" s="62"/>
      <c r="CJ236" s="62"/>
      <c r="CK236" s="10"/>
      <c r="CT236" s="67"/>
      <c r="CU236" s="10"/>
      <c r="CV236" s="10"/>
      <c r="CW236" s="10"/>
      <c r="CX236" s="10"/>
      <c r="CY236" s="10"/>
      <c r="CZ236" s="10"/>
      <c r="DA236" s="10"/>
      <c r="DC236" s="10"/>
      <c r="DE236" s="775"/>
      <c r="DF236" s="21"/>
      <c r="DO236" s="21"/>
    </row>
    <row r="237" spans="2:119">
      <c r="B237" s="13"/>
      <c r="H237" s="180"/>
      <c r="I237" s="180"/>
      <c r="J237" s="180"/>
      <c r="K237" s="180"/>
      <c r="L237" s="180"/>
      <c r="M237" s="766"/>
      <c r="N237" s="766"/>
      <c r="O237" s="766"/>
      <c r="P237" s="766"/>
      <c r="Q237" s="180"/>
      <c r="R237" s="180"/>
      <c r="S237" s="2792"/>
      <c r="T237" s="2771"/>
      <c r="U237" s="2775"/>
      <c r="V237" s="180"/>
      <c r="W237" s="180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10"/>
      <c r="BZ237" s="62"/>
      <c r="CA237" s="10"/>
      <c r="CB237" s="10"/>
      <c r="CC237" s="10"/>
      <c r="CD237" s="62"/>
      <c r="CE237" s="62"/>
      <c r="CF237" s="62"/>
      <c r="CG237" s="62"/>
      <c r="CH237" s="62"/>
      <c r="CI237" s="62"/>
      <c r="CJ237" s="62"/>
      <c r="CK237" s="10"/>
      <c r="CT237" s="67"/>
      <c r="CU237" s="10"/>
      <c r="CV237" s="10"/>
      <c r="CW237" s="10"/>
      <c r="CX237" s="10"/>
      <c r="CY237" s="10"/>
      <c r="CZ237" s="10"/>
      <c r="DA237" s="10"/>
      <c r="DC237" s="10"/>
      <c r="DE237" s="775"/>
      <c r="DF237" s="21"/>
      <c r="DO237" s="21"/>
    </row>
    <row r="238" spans="2:119">
      <c r="B238" s="102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2792"/>
      <c r="T238" s="2771"/>
      <c r="U238" s="2771"/>
      <c r="V238" s="180"/>
      <c r="W238" s="180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10"/>
      <c r="BZ238" s="62"/>
      <c r="CA238" s="10"/>
      <c r="CB238" s="10"/>
      <c r="CC238" s="10"/>
      <c r="CD238" s="62"/>
      <c r="CE238" s="62"/>
      <c r="CF238" s="62"/>
      <c r="CG238" s="62"/>
      <c r="CH238" s="62"/>
      <c r="CI238" s="62"/>
      <c r="CJ238" s="62"/>
      <c r="CK238" s="10"/>
      <c r="CT238" s="67"/>
      <c r="CU238" s="10"/>
      <c r="CV238" s="10"/>
      <c r="CW238" s="10"/>
      <c r="CX238" s="10"/>
      <c r="CY238" s="10"/>
      <c r="CZ238" s="10"/>
      <c r="DA238" s="10"/>
      <c r="DC238" s="10"/>
      <c r="DE238" s="775"/>
      <c r="DF238" s="21"/>
      <c r="DO238" s="21"/>
    </row>
    <row r="239" spans="2:119">
      <c r="B239" s="13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2792"/>
      <c r="T239" s="2771"/>
      <c r="U239" s="2771"/>
      <c r="V239" s="180"/>
      <c r="W239" s="180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10"/>
      <c r="BZ239" s="62"/>
      <c r="CA239" s="10"/>
      <c r="CB239" s="10"/>
      <c r="CC239" s="10"/>
      <c r="CD239" s="62"/>
      <c r="CE239" s="62"/>
      <c r="CF239" s="62"/>
      <c r="CG239" s="62"/>
      <c r="CH239" s="62"/>
      <c r="CI239" s="62"/>
      <c r="CJ239" s="62"/>
      <c r="CK239" s="10"/>
      <c r="CT239" s="67"/>
      <c r="CU239" s="10"/>
      <c r="CV239" s="10"/>
      <c r="CW239" s="10"/>
      <c r="CX239" s="10"/>
      <c r="CY239" s="10"/>
      <c r="CZ239" s="10"/>
      <c r="DA239" s="10"/>
      <c r="DC239" s="10"/>
      <c r="DE239" s="775"/>
      <c r="DF239" s="21"/>
      <c r="DO239" s="21"/>
    </row>
    <row r="240" spans="2:119">
      <c r="B240" s="813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2792"/>
      <c r="T240" s="2771"/>
      <c r="U240" s="2771"/>
      <c r="V240" s="180"/>
      <c r="W240" s="180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10"/>
      <c r="BZ240" s="62"/>
      <c r="CA240" s="10"/>
      <c r="CB240" s="10"/>
      <c r="CC240" s="10"/>
      <c r="CD240" s="62"/>
      <c r="CE240" s="62"/>
      <c r="CF240" s="62"/>
      <c r="CG240" s="62"/>
      <c r="CH240" s="62"/>
      <c r="CI240" s="62"/>
      <c r="CJ240" s="62"/>
      <c r="CK240" s="10"/>
      <c r="CT240" s="67"/>
      <c r="CU240" s="10"/>
      <c r="CV240" s="10"/>
      <c r="CW240" s="10"/>
      <c r="CX240" s="10"/>
      <c r="CY240" s="10"/>
      <c r="CZ240" s="10"/>
      <c r="DA240" s="10"/>
      <c r="DC240" s="10"/>
      <c r="DE240" s="775"/>
      <c r="DF240" s="21"/>
      <c r="DO240" s="21"/>
    </row>
    <row r="241" spans="2:119">
      <c r="B241" s="813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0"/>
      <c r="S241" s="2792"/>
      <c r="T241" s="2771"/>
      <c r="U241" s="2771"/>
      <c r="V241" s="180"/>
      <c r="W241" s="180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10"/>
      <c r="BZ241" s="62"/>
      <c r="CA241" s="10"/>
      <c r="CB241" s="10"/>
      <c r="CC241" s="10"/>
      <c r="CD241" s="62"/>
      <c r="CE241" s="62"/>
      <c r="CF241" s="62"/>
      <c r="CG241" s="62"/>
      <c r="CH241" s="62"/>
      <c r="CI241" s="62"/>
      <c r="CJ241" s="62"/>
      <c r="CK241" s="10"/>
      <c r="CT241" s="67"/>
      <c r="CU241" s="10"/>
      <c r="CV241" s="10"/>
      <c r="CW241" s="10"/>
      <c r="CX241" s="10"/>
      <c r="CY241" s="10"/>
      <c r="CZ241" s="10"/>
      <c r="DA241" s="10"/>
      <c r="DC241" s="10"/>
      <c r="DE241" s="775"/>
      <c r="DF241" s="21"/>
      <c r="DO241" s="21"/>
    </row>
    <row r="242" spans="2:119">
      <c r="B242" s="813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0"/>
      <c r="S242" s="2792"/>
      <c r="T242" s="2771"/>
      <c r="U242" s="2771"/>
      <c r="V242" s="180"/>
      <c r="W242" s="180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10"/>
      <c r="BZ242" s="62"/>
      <c r="CA242" s="10"/>
      <c r="CB242" s="10"/>
      <c r="CC242" s="10"/>
      <c r="CD242" s="62"/>
      <c r="CE242" s="62"/>
      <c r="CF242" s="62"/>
      <c r="CG242" s="62"/>
      <c r="CH242" s="62"/>
      <c r="CI242" s="62"/>
      <c r="CJ242" s="62"/>
      <c r="CK242" s="10"/>
      <c r="CT242" s="67"/>
      <c r="CU242" s="10"/>
      <c r="CV242" s="10"/>
      <c r="CW242" s="10"/>
      <c r="CX242" s="10"/>
      <c r="CY242" s="10"/>
      <c r="CZ242" s="10"/>
      <c r="DA242" s="10"/>
      <c r="DC242" s="10"/>
      <c r="DE242" s="775"/>
      <c r="DF242" s="21"/>
      <c r="DO242" s="21"/>
    </row>
    <row r="243" spans="2:119">
      <c r="B243" s="813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2792"/>
      <c r="T243" s="2771"/>
      <c r="U243" s="2771"/>
      <c r="V243" s="180"/>
      <c r="W243" s="180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10"/>
      <c r="BZ243" s="62"/>
      <c r="CA243" s="10"/>
      <c r="CB243" s="10"/>
      <c r="CC243" s="10"/>
      <c r="CD243" s="62"/>
      <c r="CE243" s="62"/>
      <c r="CF243" s="62"/>
      <c r="CG243" s="62"/>
      <c r="CH243" s="62"/>
      <c r="CI243" s="62"/>
      <c r="CJ243" s="62"/>
      <c r="CK243" s="10"/>
      <c r="CT243" s="67"/>
      <c r="CU243" s="10"/>
      <c r="CV243" s="10"/>
      <c r="CW243" s="10"/>
      <c r="CX243" s="10"/>
      <c r="CY243" s="10"/>
      <c r="CZ243" s="10"/>
      <c r="DA243" s="10"/>
      <c r="DC243" s="10"/>
      <c r="DE243" s="775"/>
      <c r="DF243" s="21"/>
      <c r="DO243" s="21"/>
    </row>
    <row r="244" spans="2:119">
      <c r="B244" s="813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2792"/>
      <c r="T244" s="2771"/>
      <c r="U244" s="2771"/>
      <c r="V244" s="180"/>
      <c r="W244" s="180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10"/>
      <c r="BZ244" s="62"/>
      <c r="CA244" s="10"/>
      <c r="CB244" s="10"/>
      <c r="CC244" s="10"/>
      <c r="CD244" s="62"/>
      <c r="CE244" s="62"/>
      <c r="CF244" s="62"/>
      <c r="CG244" s="62"/>
      <c r="CH244" s="62"/>
      <c r="CI244" s="62"/>
      <c r="CJ244" s="62"/>
      <c r="CK244" s="10"/>
      <c r="CT244" s="67"/>
      <c r="CU244" s="10"/>
      <c r="CV244" s="10"/>
      <c r="CW244" s="10"/>
      <c r="CX244" s="10"/>
      <c r="CY244" s="10"/>
      <c r="CZ244" s="10"/>
      <c r="DA244" s="10"/>
      <c r="DC244" s="10"/>
      <c r="DE244" s="775"/>
      <c r="DF244" s="21"/>
      <c r="DO244" s="21"/>
    </row>
    <row r="245" spans="2:119"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0"/>
      <c r="S245" s="2792"/>
      <c r="T245" s="2771"/>
      <c r="U245" s="2771"/>
      <c r="V245" s="180"/>
      <c r="W245" s="180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10"/>
      <c r="BZ245" s="62"/>
      <c r="CA245" s="10"/>
      <c r="CB245" s="10"/>
      <c r="CC245" s="10"/>
      <c r="CD245" s="62"/>
      <c r="CE245" s="62"/>
      <c r="CF245" s="62"/>
      <c r="CG245" s="62"/>
      <c r="CH245" s="62"/>
      <c r="CI245" s="62"/>
      <c r="CJ245" s="62"/>
      <c r="CK245" s="10"/>
      <c r="CT245" s="67"/>
      <c r="CU245" s="10"/>
      <c r="CV245" s="10"/>
      <c r="CW245" s="10"/>
      <c r="CX245" s="10"/>
      <c r="CY245" s="10"/>
      <c r="CZ245" s="10"/>
      <c r="DA245" s="10"/>
      <c r="DC245" s="10"/>
      <c r="DE245" s="775"/>
      <c r="DF245" s="21"/>
      <c r="DO245" s="21"/>
    </row>
    <row r="246" spans="2:119">
      <c r="B246" s="102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0"/>
      <c r="S246" s="2792"/>
      <c r="T246" s="2771"/>
      <c r="U246" s="2771"/>
      <c r="V246" s="180"/>
      <c r="W246" s="180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10"/>
      <c r="BZ246" s="62"/>
      <c r="CA246" s="10"/>
      <c r="CB246" s="10"/>
      <c r="CC246" s="10"/>
      <c r="CD246" s="62"/>
      <c r="CE246" s="62"/>
      <c r="CF246" s="62"/>
      <c r="CG246" s="62"/>
      <c r="CH246" s="62"/>
      <c r="CI246" s="62"/>
      <c r="CJ246" s="62"/>
      <c r="CK246" s="10"/>
      <c r="CT246" s="67"/>
      <c r="CU246" s="10"/>
      <c r="CV246" s="10"/>
      <c r="CW246" s="10"/>
      <c r="CX246" s="10"/>
      <c r="CY246" s="10"/>
      <c r="CZ246" s="10"/>
      <c r="DA246" s="10"/>
      <c r="DC246" s="10"/>
      <c r="DE246" s="775"/>
      <c r="DF246" s="21"/>
      <c r="DO246" s="21"/>
    </row>
    <row r="247" spans="2:119">
      <c r="B247" s="102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2792"/>
      <c r="T247" s="2771"/>
      <c r="U247" s="2771"/>
      <c r="V247" s="180"/>
      <c r="W247" s="180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10"/>
      <c r="BZ247" s="62"/>
      <c r="CA247" s="10"/>
      <c r="CB247" s="10"/>
      <c r="CC247" s="10"/>
      <c r="CD247" s="62"/>
      <c r="CE247" s="62"/>
      <c r="CF247" s="62"/>
      <c r="CG247" s="62"/>
      <c r="CH247" s="62"/>
      <c r="CI247" s="62"/>
      <c r="CJ247" s="62"/>
      <c r="CK247" s="10"/>
      <c r="CT247" s="67"/>
      <c r="CU247" s="10"/>
      <c r="CV247" s="10"/>
      <c r="CW247" s="10"/>
      <c r="CX247" s="10"/>
      <c r="CY247" s="10"/>
      <c r="CZ247" s="10"/>
      <c r="DA247" s="10"/>
      <c r="DC247" s="10"/>
      <c r="DE247" s="775"/>
      <c r="DF247" s="21"/>
      <c r="DO247" s="21"/>
    </row>
    <row r="248" spans="2:119">
      <c r="B248" s="102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0"/>
      <c r="S248" s="2792"/>
      <c r="T248" s="2771"/>
      <c r="U248" s="2771"/>
      <c r="V248" s="180"/>
      <c r="W248" s="180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10"/>
      <c r="BZ248" s="62"/>
      <c r="CA248" s="10"/>
      <c r="CB248" s="10"/>
      <c r="CC248" s="10"/>
      <c r="CD248" s="62"/>
      <c r="CE248" s="62"/>
      <c r="CF248" s="62"/>
      <c r="CG248" s="62"/>
      <c r="CH248" s="62"/>
      <c r="CI248" s="62"/>
      <c r="CJ248" s="62"/>
      <c r="CK248" s="10"/>
      <c r="CT248" s="67"/>
      <c r="CU248" s="10"/>
      <c r="CV248" s="10"/>
      <c r="CW248" s="10"/>
      <c r="CX248" s="10"/>
      <c r="CY248" s="10"/>
      <c r="CZ248" s="10"/>
      <c r="DA248" s="10"/>
      <c r="DC248" s="10"/>
      <c r="DE248" s="775"/>
      <c r="DF248" s="21"/>
      <c r="DO248" s="21"/>
    </row>
    <row r="249" spans="2:119">
      <c r="B249" s="102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2792"/>
      <c r="T249" s="2771"/>
      <c r="U249" s="2771"/>
      <c r="V249" s="180"/>
      <c r="W249" s="180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10"/>
      <c r="BZ249" s="62"/>
      <c r="CA249" s="10"/>
      <c r="CB249" s="10"/>
      <c r="CC249" s="10"/>
      <c r="CD249" s="62"/>
      <c r="CE249" s="62"/>
      <c r="CF249" s="62"/>
      <c r="CG249" s="62"/>
      <c r="CH249" s="62"/>
      <c r="CI249" s="62"/>
      <c r="CJ249" s="62"/>
      <c r="CK249" s="10"/>
      <c r="CT249" s="67"/>
      <c r="CU249" s="10"/>
      <c r="CV249" s="10"/>
      <c r="CW249" s="10"/>
      <c r="CX249" s="10"/>
      <c r="CY249" s="10"/>
      <c r="CZ249" s="10"/>
      <c r="DA249" s="10"/>
      <c r="DC249" s="10"/>
      <c r="DE249" s="775"/>
      <c r="DF249" s="21"/>
      <c r="DO249" s="21"/>
    </row>
    <row r="250" spans="2:119">
      <c r="B250" s="102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0"/>
      <c r="S250" s="2792"/>
      <c r="T250" s="2771"/>
      <c r="U250" s="2771"/>
      <c r="V250" s="180"/>
      <c r="W250" s="180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10"/>
      <c r="BZ250" s="62"/>
      <c r="CA250" s="10"/>
      <c r="CB250" s="10"/>
      <c r="CC250" s="10"/>
      <c r="CD250" s="62"/>
      <c r="CE250" s="62"/>
      <c r="CF250" s="62"/>
      <c r="CG250" s="62"/>
      <c r="CH250" s="62"/>
      <c r="CI250" s="62"/>
      <c r="CJ250" s="62"/>
      <c r="CK250" s="10"/>
      <c r="CT250" s="67"/>
      <c r="CU250" s="10"/>
      <c r="CV250" s="10"/>
      <c r="CW250" s="10"/>
      <c r="CX250" s="10"/>
      <c r="CY250" s="10"/>
      <c r="CZ250" s="10"/>
      <c r="DA250" s="10"/>
      <c r="DC250" s="10"/>
      <c r="DE250" s="775"/>
      <c r="DF250" s="21"/>
      <c r="DO250" s="21"/>
    </row>
    <row r="251" spans="2:119">
      <c r="B251" s="102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2792"/>
      <c r="T251" s="2771"/>
      <c r="U251" s="2771"/>
      <c r="V251" s="180"/>
      <c r="W251" s="180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10"/>
      <c r="BZ251" s="62"/>
      <c r="CA251" s="10"/>
      <c r="CB251" s="10"/>
      <c r="CC251" s="10"/>
      <c r="CD251" s="62"/>
      <c r="CE251" s="62"/>
      <c r="CF251" s="62"/>
      <c r="CG251" s="62"/>
      <c r="CH251" s="62"/>
      <c r="CI251" s="62"/>
      <c r="CJ251" s="62"/>
      <c r="CK251" s="10"/>
      <c r="CT251" s="67"/>
      <c r="CU251" s="10"/>
      <c r="CV251" s="10"/>
      <c r="CW251" s="10"/>
      <c r="CX251" s="10"/>
      <c r="CY251" s="10"/>
      <c r="CZ251" s="10"/>
      <c r="DA251" s="10"/>
      <c r="DC251" s="10"/>
      <c r="DE251" s="775"/>
      <c r="DF251" s="21"/>
      <c r="DO251" s="21"/>
    </row>
    <row r="252" spans="2:119">
      <c r="B252" s="13"/>
      <c r="H252" s="180"/>
      <c r="I252" s="180"/>
      <c r="J252" s="180"/>
      <c r="K252" s="180"/>
      <c r="L252" s="180"/>
      <c r="M252" s="766"/>
      <c r="N252" s="766"/>
      <c r="O252" s="766"/>
      <c r="P252" s="766"/>
      <c r="Q252" s="180"/>
      <c r="R252" s="180"/>
      <c r="S252" s="2792"/>
      <c r="T252" s="2771"/>
      <c r="U252" s="2775"/>
      <c r="V252" s="180"/>
      <c r="W252" s="180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10"/>
      <c r="BZ252" s="62"/>
      <c r="CA252" s="10"/>
      <c r="CB252" s="10"/>
      <c r="CC252" s="10"/>
      <c r="CD252" s="62"/>
      <c r="CE252" s="62"/>
      <c r="CF252" s="62"/>
      <c r="CG252" s="62"/>
      <c r="CH252" s="62"/>
      <c r="CI252" s="62"/>
      <c r="CJ252" s="62"/>
      <c r="CK252" s="10"/>
      <c r="CT252" s="67"/>
      <c r="CU252" s="10"/>
      <c r="CV252" s="10"/>
      <c r="CW252" s="10"/>
      <c r="CX252" s="10"/>
      <c r="CY252" s="10"/>
      <c r="CZ252" s="10"/>
      <c r="DA252" s="10"/>
      <c r="DC252" s="10"/>
      <c r="DE252" s="775"/>
      <c r="DF252" s="21"/>
      <c r="DO252" s="21"/>
    </row>
    <row r="253" spans="2:119">
      <c r="B253" s="13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2792"/>
      <c r="T253" s="2771"/>
      <c r="U253" s="2771"/>
      <c r="V253" s="180"/>
      <c r="W253" s="180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10"/>
      <c r="BZ253" s="62"/>
      <c r="CA253" s="10"/>
      <c r="CB253" s="10"/>
      <c r="CC253" s="10"/>
      <c r="CD253" s="62"/>
      <c r="CE253" s="62"/>
      <c r="CF253" s="62"/>
      <c r="CG253" s="62"/>
      <c r="CH253" s="62"/>
      <c r="CI253" s="62"/>
      <c r="CJ253" s="62"/>
      <c r="CK253" s="10"/>
      <c r="CT253" s="67"/>
      <c r="CU253" s="10"/>
      <c r="CV253" s="10"/>
      <c r="CW253" s="10"/>
      <c r="CX253" s="10"/>
      <c r="CY253" s="10"/>
      <c r="CZ253" s="10"/>
      <c r="DA253" s="10"/>
      <c r="DC253" s="10"/>
      <c r="DE253" s="775"/>
      <c r="DF253" s="21"/>
      <c r="DO253" s="21"/>
    </row>
    <row r="254" spans="2:119">
      <c r="B254" s="13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2792"/>
      <c r="T254" s="2771"/>
      <c r="U254" s="2771"/>
      <c r="V254" s="180"/>
      <c r="W254" s="180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10"/>
      <c r="BZ254" s="62"/>
      <c r="CA254" s="10"/>
      <c r="CB254" s="10"/>
      <c r="CC254" s="10"/>
      <c r="CD254" s="62"/>
      <c r="CE254" s="62"/>
      <c r="CF254" s="62"/>
      <c r="CG254" s="62"/>
      <c r="CH254" s="62"/>
      <c r="CI254" s="62"/>
      <c r="CJ254" s="62"/>
      <c r="CK254" s="10"/>
      <c r="CT254" s="67"/>
      <c r="CU254" s="10"/>
      <c r="CV254" s="10"/>
      <c r="CW254" s="10"/>
      <c r="CX254" s="10"/>
      <c r="CY254" s="10"/>
      <c r="CZ254" s="10"/>
      <c r="DA254" s="10"/>
      <c r="DC254" s="10"/>
      <c r="DE254" s="775"/>
      <c r="DF254" s="21"/>
      <c r="DO254" s="21"/>
    </row>
    <row r="255" spans="2:119">
      <c r="B255" s="13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2792"/>
      <c r="T255" s="2771"/>
      <c r="U255" s="2771"/>
      <c r="V255" s="180"/>
      <c r="W255" s="180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10"/>
      <c r="BZ255" s="62"/>
      <c r="CA255" s="10"/>
      <c r="CB255" s="10"/>
      <c r="CC255" s="10"/>
      <c r="CD255" s="62"/>
      <c r="CE255" s="62"/>
      <c r="CF255" s="62"/>
      <c r="CG255" s="62"/>
      <c r="CH255" s="62"/>
      <c r="CI255" s="62"/>
      <c r="CJ255" s="62"/>
      <c r="CK255" s="10"/>
      <c r="CT255" s="67"/>
      <c r="CU255" s="10"/>
      <c r="CV255" s="10"/>
      <c r="CW255" s="10"/>
      <c r="CX255" s="10"/>
      <c r="CY255" s="10"/>
      <c r="CZ255" s="10"/>
      <c r="DA255" s="10"/>
      <c r="DC255" s="10"/>
      <c r="DE255" s="775"/>
      <c r="DF255" s="21"/>
      <c r="DO255" s="21"/>
    </row>
    <row r="256" spans="2:119">
      <c r="B256" s="102"/>
      <c r="H256" s="167"/>
      <c r="I256" s="167"/>
      <c r="J256" s="167"/>
      <c r="K256" s="167"/>
      <c r="L256" s="167"/>
      <c r="M256" s="167"/>
      <c r="N256" s="167"/>
      <c r="O256" s="167"/>
      <c r="P256" s="167"/>
      <c r="Q256" s="203"/>
      <c r="R256" s="203"/>
      <c r="S256" s="1140"/>
      <c r="T256" s="2724"/>
      <c r="U256" s="2760"/>
      <c r="V256" s="203"/>
      <c r="W256" s="203"/>
      <c r="Z256" s="203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10"/>
      <c r="BZ256" s="62"/>
      <c r="CA256" s="10"/>
      <c r="CB256" s="10"/>
      <c r="CC256" s="10"/>
      <c r="CD256" s="62"/>
      <c r="CE256" s="62"/>
      <c r="CF256" s="62"/>
      <c r="CG256" s="62"/>
      <c r="CH256" s="62"/>
      <c r="CI256" s="62"/>
      <c r="CJ256" s="62"/>
      <c r="CK256" s="10"/>
      <c r="CT256" s="67"/>
      <c r="CU256" s="10"/>
      <c r="CV256" s="10"/>
      <c r="CW256" s="10"/>
      <c r="CX256" s="10"/>
      <c r="CY256" s="10"/>
      <c r="CZ256" s="10"/>
      <c r="DA256" s="10"/>
      <c r="DC256" s="10"/>
      <c r="DE256" s="775"/>
      <c r="DF256" s="21"/>
      <c r="DO256" s="21"/>
    </row>
    <row r="257" spans="2:119">
      <c r="B257" s="102"/>
      <c r="H257" s="167"/>
      <c r="I257" s="167"/>
      <c r="J257" s="167"/>
      <c r="K257" s="167"/>
      <c r="L257" s="167"/>
      <c r="M257" s="167"/>
      <c r="N257" s="167"/>
      <c r="O257" s="167"/>
      <c r="P257" s="167"/>
      <c r="Q257" s="203"/>
      <c r="R257" s="203"/>
      <c r="S257" s="1140"/>
      <c r="T257" s="2724"/>
      <c r="U257" s="2760"/>
      <c r="V257" s="203"/>
      <c r="W257" s="203"/>
      <c r="Z257" s="203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10"/>
      <c r="BZ257" s="62"/>
      <c r="CA257" s="10"/>
      <c r="CB257" s="10"/>
      <c r="CC257" s="10"/>
      <c r="CD257" s="62"/>
      <c r="CE257" s="62"/>
      <c r="CF257" s="62"/>
      <c r="CG257" s="62"/>
      <c r="CH257" s="62"/>
      <c r="CI257" s="62"/>
      <c r="CJ257" s="62"/>
      <c r="CK257" s="10"/>
      <c r="CT257" s="67"/>
      <c r="CU257" s="10"/>
      <c r="CV257" s="10"/>
      <c r="CW257" s="10"/>
      <c r="CX257" s="10"/>
      <c r="CY257" s="10"/>
      <c r="CZ257" s="10"/>
      <c r="DA257" s="10"/>
      <c r="DC257" s="10"/>
      <c r="DE257" s="775"/>
      <c r="DF257" s="21"/>
      <c r="DO257" s="21"/>
    </row>
    <row r="258" spans="2:119">
      <c r="B258" s="102"/>
      <c r="H258" s="167"/>
      <c r="I258" s="167"/>
      <c r="J258" s="167"/>
      <c r="K258" s="167"/>
      <c r="L258" s="167"/>
      <c r="M258" s="167"/>
      <c r="N258" s="167"/>
      <c r="O258" s="167"/>
      <c r="P258" s="167"/>
      <c r="Q258" s="203"/>
      <c r="R258" s="203"/>
      <c r="S258" s="1140"/>
      <c r="T258" s="2724"/>
      <c r="U258" s="2760"/>
      <c r="V258" s="203"/>
      <c r="W258" s="203"/>
      <c r="Z258" s="203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21"/>
      <c r="BN258" s="21"/>
      <c r="BO258" s="21"/>
      <c r="BP258" s="21"/>
      <c r="BQ258" s="21"/>
      <c r="BR258" s="21"/>
      <c r="BS258" s="21"/>
      <c r="BT258" s="21"/>
      <c r="BU258" s="21"/>
      <c r="BV258" s="21"/>
      <c r="BW258" s="21"/>
      <c r="BX258" s="21"/>
      <c r="BY258" s="10"/>
      <c r="BZ258" s="62"/>
      <c r="CA258" s="10"/>
      <c r="CB258" s="10"/>
      <c r="CC258" s="10"/>
      <c r="CD258" s="62"/>
      <c r="CE258" s="62"/>
      <c r="CF258" s="62"/>
      <c r="CG258" s="62"/>
      <c r="CH258" s="62"/>
      <c r="CI258" s="62"/>
      <c r="CJ258" s="62"/>
      <c r="CK258" s="10"/>
      <c r="CT258" s="67"/>
      <c r="CU258" s="10"/>
      <c r="CV258" s="10"/>
      <c r="CW258" s="10"/>
      <c r="CX258" s="10"/>
      <c r="CY258" s="10"/>
      <c r="CZ258" s="10"/>
      <c r="DA258" s="10"/>
      <c r="DC258" s="10"/>
      <c r="DE258" s="775"/>
      <c r="DF258" s="21"/>
      <c r="DO258" s="21"/>
    </row>
    <row r="259" spans="2:119">
      <c r="B259" s="102"/>
      <c r="H259" s="167"/>
      <c r="I259" s="167"/>
      <c r="J259" s="167"/>
      <c r="K259" s="167"/>
      <c r="L259" s="167"/>
      <c r="M259" s="167"/>
      <c r="N259" s="167"/>
      <c r="O259" s="167"/>
      <c r="P259" s="167"/>
      <c r="Q259" s="203"/>
      <c r="R259" s="203"/>
      <c r="S259" s="1140"/>
      <c r="T259" s="2724"/>
      <c r="U259" s="2760"/>
      <c r="V259" s="203"/>
      <c r="W259" s="203"/>
      <c r="Z259" s="203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  <c r="BO259" s="21"/>
      <c r="BP259" s="21"/>
      <c r="BQ259" s="21"/>
      <c r="BR259" s="21"/>
      <c r="BS259" s="21"/>
      <c r="BT259" s="21"/>
      <c r="BU259" s="21"/>
      <c r="BV259" s="21"/>
      <c r="BW259" s="21"/>
      <c r="BX259" s="21"/>
      <c r="BY259" s="10"/>
      <c r="BZ259" s="62"/>
      <c r="CA259" s="10"/>
      <c r="CB259" s="10"/>
      <c r="CC259" s="10"/>
      <c r="CD259" s="62"/>
      <c r="CE259" s="62"/>
      <c r="CF259" s="62"/>
      <c r="CG259" s="62"/>
      <c r="CH259" s="62"/>
      <c r="CI259" s="62"/>
      <c r="CJ259" s="62"/>
      <c r="CK259" s="10"/>
      <c r="CT259" s="67"/>
      <c r="CU259" s="10"/>
      <c r="CV259" s="10"/>
      <c r="CW259" s="10"/>
      <c r="CX259" s="10"/>
      <c r="CY259" s="10"/>
      <c r="CZ259" s="10"/>
      <c r="DA259" s="10"/>
      <c r="DC259" s="10"/>
      <c r="DE259" s="775"/>
      <c r="DF259" s="21"/>
      <c r="DO259" s="21"/>
    </row>
    <row r="260" spans="2:119">
      <c r="B260" s="102"/>
      <c r="H260" s="167"/>
      <c r="I260" s="167"/>
      <c r="J260" s="167"/>
      <c r="K260" s="167"/>
      <c r="L260" s="167"/>
      <c r="M260" s="167"/>
      <c r="N260" s="167"/>
      <c r="O260" s="167"/>
      <c r="P260" s="167"/>
      <c r="Q260" s="203"/>
      <c r="R260" s="203"/>
      <c r="S260" s="1140"/>
      <c r="T260" s="2724"/>
      <c r="U260" s="2760"/>
      <c r="V260" s="203"/>
      <c r="W260" s="203"/>
      <c r="Z260" s="203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  <c r="BN260" s="21"/>
      <c r="BO260" s="21"/>
      <c r="BP260" s="21"/>
      <c r="BQ260" s="21"/>
      <c r="BR260" s="21"/>
      <c r="BS260" s="21"/>
      <c r="BT260" s="21"/>
      <c r="BU260" s="21"/>
      <c r="BV260" s="21"/>
      <c r="BW260" s="21"/>
      <c r="BX260" s="21"/>
      <c r="BY260" s="10"/>
      <c r="BZ260" s="62"/>
      <c r="CA260" s="10"/>
      <c r="CB260" s="10"/>
      <c r="CC260" s="10"/>
      <c r="CD260" s="62"/>
      <c r="CE260" s="62"/>
      <c r="CF260" s="62"/>
      <c r="CG260" s="62"/>
      <c r="CH260" s="62"/>
      <c r="CI260" s="62"/>
      <c r="CJ260" s="62"/>
      <c r="CK260" s="10"/>
      <c r="CT260" s="67"/>
      <c r="CU260" s="10"/>
      <c r="CV260" s="10"/>
      <c r="CW260" s="10"/>
      <c r="CX260" s="10"/>
      <c r="CY260" s="10"/>
      <c r="CZ260" s="10"/>
      <c r="DA260" s="10"/>
      <c r="DC260" s="10"/>
      <c r="DE260" s="775"/>
      <c r="DF260" s="21"/>
      <c r="DO260" s="21"/>
    </row>
    <row r="261" spans="2:119">
      <c r="B261" s="102"/>
      <c r="H261" s="167"/>
      <c r="I261" s="167"/>
      <c r="J261" s="167"/>
      <c r="K261" s="167"/>
      <c r="L261" s="167"/>
      <c r="M261" s="167"/>
      <c r="N261" s="167"/>
      <c r="O261" s="167"/>
      <c r="P261" s="167"/>
      <c r="Q261" s="203"/>
      <c r="R261" s="203"/>
      <c r="S261" s="1140"/>
      <c r="T261" s="2724"/>
      <c r="U261" s="2760"/>
      <c r="V261" s="203"/>
      <c r="W261" s="203"/>
      <c r="Z261" s="203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  <c r="BP261" s="21"/>
      <c r="BQ261" s="21"/>
      <c r="BR261" s="21"/>
      <c r="BS261" s="21"/>
      <c r="BT261" s="21"/>
      <c r="BU261" s="21"/>
      <c r="BV261" s="21"/>
      <c r="BW261" s="21"/>
      <c r="BX261" s="21"/>
      <c r="BY261" s="10"/>
      <c r="BZ261" s="62"/>
      <c r="CA261" s="10"/>
      <c r="CB261" s="10"/>
      <c r="CC261" s="10"/>
      <c r="CD261" s="62"/>
      <c r="CE261" s="62"/>
      <c r="CF261" s="62"/>
      <c r="CG261" s="62"/>
      <c r="CH261" s="62"/>
      <c r="CI261" s="62"/>
      <c r="CJ261" s="62"/>
      <c r="CK261" s="10"/>
      <c r="CT261" s="67"/>
      <c r="CU261" s="10"/>
      <c r="CV261" s="10"/>
      <c r="CW261" s="10"/>
      <c r="CX261" s="10"/>
      <c r="CY261" s="10"/>
      <c r="CZ261" s="10"/>
      <c r="DA261" s="10"/>
      <c r="DC261" s="10"/>
      <c r="DE261" s="775"/>
      <c r="DF261" s="21"/>
      <c r="DO261" s="21"/>
    </row>
    <row r="262" spans="2:119">
      <c r="B262" s="102"/>
      <c r="H262" s="167"/>
      <c r="I262" s="167"/>
      <c r="J262" s="167"/>
      <c r="K262" s="167"/>
      <c r="L262" s="167"/>
      <c r="M262" s="167"/>
      <c r="N262" s="167"/>
      <c r="O262" s="167"/>
      <c r="P262" s="167"/>
      <c r="Q262" s="203"/>
      <c r="R262" s="203"/>
      <c r="S262" s="1140"/>
      <c r="T262" s="2724"/>
      <c r="U262" s="2760"/>
      <c r="V262" s="203"/>
      <c r="W262" s="203"/>
      <c r="Z262" s="203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  <c r="BP262" s="21"/>
      <c r="BQ262" s="21"/>
      <c r="BR262" s="21"/>
      <c r="BS262" s="21"/>
      <c r="BT262" s="21"/>
      <c r="BU262" s="21"/>
      <c r="BV262" s="21"/>
      <c r="BW262" s="21"/>
      <c r="BX262" s="21"/>
      <c r="BY262" s="10"/>
      <c r="BZ262" s="62"/>
      <c r="CA262" s="10"/>
      <c r="CB262" s="10"/>
      <c r="CC262" s="10"/>
      <c r="CD262" s="62"/>
      <c r="CE262" s="62"/>
      <c r="CF262" s="62"/>
      <c r="CG262" s="62"/>
      <c r="CH262" s="62"/>
      <c r="CI262" s="62"/>
      <c r="CJ262" s="62"/>
      <c r="CK262" s="10"/>
      <c r="CT262" s="67"/>
      <c r="CU262" s="10"/>
      <c r="CV262" s="10"/>
      <c r="CW262" s="10"/>
      <c r="CX262" s="10"/>
      <c r="CY262" s="10"/>
      <c r="CZ262" s="10"/>
      <c r="DA262" s="10"/>
      <c r="DC262" s="10"/>
      <c r="DE262" s="775"/>
      <c r="DF262" s="21"/>
      <c r="DO262" s="21"/>
    </row>
    <row r="263" spans="2:119">
      <c r="B263" s="13"/>
      <c r="H263" s="167"/>
      <c r="I263" s="167"/>
      <c r="J263" s="167"/>
      <c r="K263" s="167"/>
      <c r="L263" s="167"/>
      <c r="M263" s="167"/>
      <c r="N263" s="167"/>
      <c r="O263" s="167"/>
      <c r="P263" s="167"/>
      <c r="Q263" s="203"/>
      <c r="R263" s="203"/>
      <c r="S263" s="1140"/>
      <c r="T263" s="2724"/>
      <c r="U263" s="2760"/>
      <c r="V263" s="203"/>
      <c r="W263" s="203"/>
      <c r="Z263" s="203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/>
      <c r="BQ263" s="21"/>
      <c r="BR263" s="21"/>
      <c r="BS263" s="21"/>
      <c r="BT263" s="21"/>
      <c r="BU263" s="21"/>
      <c r="BV263" s="21"/>
      <c r="BW263" s="21"/>
      <c r="BX263" s="21"/>
      <c r="BY263" s="10"/>
      <c r="BZ263" s="62"/>
      <c r="CA263" s="10"/>
      <c r="CB263" s="10"/>
      <c r="CC263" s="10"/>
      <c r="CD263" s="62"/>
      <c r="CE263" s="62"/>
      <c r="CF263" s="62"/>
      <c r="CG263" s="62"/>
      <c r="CH263" s="62"/>
      <c r="CI263" s="62"/>
      <c r="CJ263" s="62"/>
      <c r="CK263" s="10"/>
      <c r="CT263" s="67"/>
      <c r="CU263" s="10"/>
      <c r="CV263" s="10"/>
      <c r="CW263" s="10"/>
      <c r="CX263" s="10"/>
      <c r="CY263" s="10"/>
      <c r="CZ263" s="10"/>
      <c r="DA263" s="10"/>
      <c r="DC263" s="10"/>
      <c r="DE263" s="775"/>
      <c r="DF263" s="21"/>
      <c r="DO263" s="21"/>
    </row>
    <row r="264" spans="2:119">
      <c r="B264" s="102"/>
      <c r="H264" s="167"/>
      <c r="I264" s="167"/>
      <c r="J264" s="167"/>
      <c r="K264" s="167"/>
      <c r="L264" s="167"/>
      <c r="M264" s="167"/>
      <c r="N264" s="167"/>
      <c r="O264" s="167"/>
      <c r="P264" s="167"/>
      <c r="Q264" s="203"/>
      <c r="R264" s="203"/>
      <c r="S264" s="1140"/>
      <c r="T264" s="2724"/>
      <c r="U264" s="2760"/>
      <c r="V264" s="203"/>
      <c r="W264" s="203"/>
      <c r="Z264" s="203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  <c r="BP264" s="21"/>
      <c r="BQ264" s="21"/>
      <c r="BR264" s="21"/>
      <c r="BS264" s="21"/>
      <c r="BT264" s="21"/>
      <c r="BU264" s="21"/>
      <c r="BV264" s="21"/>
      <c r="BW264" s="21"/>
      <c r="BX264" s="21"/>
      <c r="BY264" s="10"/>
      <c r="BZ264" s="62"/>
      <c r="CA264" s="10"/>
      <c r="CB264" s="10"/>
      <c r="CC264" s="10"/>
      <c r="CD264" s="62"/>
      <c r="CE264" s="62"/>
      <c r="CF264" s="62"/>
      <c r="CG264" s="62"/>
      <c r="CH264" s="62"/>
      <c r="CI264" s="62"/>
      <c r="CJ264" s="62"/>
      <c r="CK264" s="10"/>
      <c r="CT264" s="67"/>
      <c r="CU264" s="10"/>
      <c r="CV264" s="10"/>
      <c r="CW264" s="10"/>
      <c r="CX264" s="10"/>
      <c r="CY264" s="10"/>
      <c r="CZ264" s="10"/>
      <c r="DA264" s="10"/>
      <c r="DC264" s="10"/>
      <c r="DE264" s="775"/>
      <c r="DF264" s="21"/>
      <c r="DO264" s="21"/>
    </row>
    <row r="265" spans="2:119">
      <c r="B265" s="102"/>
      <c r="H265" s="167"/>
      <c r="I265" s="167"/>
      <c r="J265" s="167"/>
      <c r="K265" s="167"/>
      <c r="L265" s="167"/>
      <c r="M265" s="167"/>
      <c r="N265" s="167"/>
      <c r="O265" s="167"/>
      <c r="P265" s="167"/>
      <c r="Q265" s="203"/>
      <c r="R265" s="203"/>
      <c r="S265" s="1140"/>
      <c r="T265" s="2724"/>
      <c r="U265" s="2760"/>
      <c r="V265" s="203"/>
      <c r="W265" s="203"/>
      <c r="Z265" s="203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  <c r="BJ265" s="21"/>
      <c r="BK265" s="21"/>
      <c r="BL265" s="21"/>
      <c r="BM265" s="21"/>
      <c r="BN265" s="21"/>
      <c r="BO265" s="21"/>
      <c r="BP265" s="21"/>
      <c r="BQ265" s="21"/>
      <c r="BR265" s="21"/>
      <c r="BS265" s="21"/>
      <c r="BT265" s="21"/>
      <c r="BU265" s="21"/>
      <c r="BV265" s="21"/>
      <c r="BW265" s="21"/>
      <c r="BX265" s="21"/>
      <c r="BY265" s="10"/>
      <c r="BZ265" s="62"/>
      <c r="CA265" s="10"/>
      <c r="CB265" s="10"/>
      <c r="CC265" s="10"/>
      <c r="CD265" s="62"/>
      <c r="CE265" s="62"/>
      <c r="CF265" s="62"/>
      <c r="CG265" s="62"/>
      <c r="CH265" s="62"/>
      <c r="CI265" s="62"/>
      <c r="CJ265" s="62"/>
      <c r="CK265" s="10"/>
      <c r="CT265" s="67"/>
      <c r="CU265" s="10"/>
      <c r="CV265" s="10"/>
      <c r="CW265" s="10"/>
      <c r="CX265" s="10"/>
      <c r="CY265" s="10"/>
      <c r="CZ265" s="10"/>
      <c r="DA265" s="10"/>
      <c r="DC265" s="10"/>
      <c r="DE265" s="775"/>
      <c r="DF265" s="21"/>
      <c r="DO265" s="21"/>
    </row>
    <row r="266" spans="2:119">
      <c r="B266" s="102"/>
      <c r="H266" s="167"/>
      <c r="I266" s="167"/>
      <c r="J266" s="167"/>
      <c r="K266" s="167"/>
      <c r="L266" s="167"/>
      <c r="M266" s="167"/>
      <c r="N266" s="167"/>
      <c r="O266" s="167"/>
      <c r="P266" s="167"/>
      <c r="Q266" s="203"/>
      <c r="R266" s="203"/>
      <c r="S266" s="1140"/>
      <c r="T266" s="2724"/>
      <c r="U266" s="2760"/>
      <c r="V266" s="203"/>
      <c r="W266" s="203"/>
      <c r="Z266" s="203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  <c r="BL266" s="21"/>
      <c r="BM266" s="21"/>
      <c r="BN266" s="21"/>
      <c r="BO266" s="21"/>
      <c r="BP266" s="21"/>
      <c r="BQ266" s="21"/>
      <c r="BR266" s="21"/>
      <c r="BS266" s="21"/>
      <c r="BT266" s="21"/>
      <c r="BU266" s="21"/>
      <c r="BV266" s="21"/>
      <c r="BW266" s="21"/>
      <c r="BX266" s="21"/>
      <c r="BY266" s="10"/>
      <c r="BZ266" s="62"/>
      <c r="CA266" s="10"/>
      <c r="CB266" s="10"/>
      <c r="CC266" s="10"/>
      <c r="CD266" s="62"/>
      <c r="CE266" s="62"/>
      <c r="CF266" s="62"/>
      <c r="CG266" s="62"/>
      <c r="CH266" s="62"/>
      <c r="CI266" s="62"/>
      <c r="CJ266" s="62"/>
      <c r="CK266" s="10"/>
      <c r="CT266" s="67"/>
      <c r="CU266" s="10"/>
      <c r="CV266" s="10"/>
      <c r="CW266" s="10"/>
      <c r="CX266" s="10"/>
      <c r="CY266" s="10"/>
      <c r="CZ266" s="10"/>
      <c r="DA266" s="10"/>
      <c r="DC266" s="10"/>
      <c r="DE266" s="775"/>
      <c r="DF266" s="21"/>
      <c r="DO266" s="21"/>
    </row>
    <row r="267" spans="2:119">
      <c r="B267" s="102"/>
      <c r="H267" s="167"/>
      <c r="I267" s="167"/>
      <c r="J267" s="167"/>
      <c r="K267" s="167"/>
      <c r="L267" s="167"/>
      <c r="M267" s="167"/>
      <c r="N267" s="167"/>
      <c r="O267" s="167"/>
      <c r="P267" s="167"/>
      <c r="Q267" s="203"/>
      <c r="R267" s="203"/>
      <c r="S267" s="1140"/>
      <c r="T267" s="2724"/>
      <c r="U267" s="2760"/>
      <c r="V267" s="203"/>
      <c r="W267" s="203"/>
      <c r="Z267" s="203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  <c r="BC267" s="21"/>
      <c r="BD267" s="21"/>
      <c r="BE267" s="21"/>
      <c r="BF267" s="21"/>
      <c r="BG267" s="21"/>
      <c r="BH267" s="21"/>
      <c r="BI267" s="21"/>
      <c r="BJ267" s="21"/>
      <c r="BK267" s="21"/>
      <c r="BL267" s="21"/>
      <c r="BM267" s="21"/>
      <c r="BN267" s="21"/>
      <c r="BO267" s="21"/>
      <c r="BP267" s="21"/>
      <c r="BQ267" s="21"/>
      <c r="BR267" s="21"/>
      <c r="BS267" s="21"/>
      <c r="BT267" s="21"/>
      <c r="BU267" s="21"/>
      <c r="BV267" s="21"/>
      <c r="BW267" s="21"/>
      <c r="BX267" s="21"/>
      <c r="BY267" s="10"/>
      <c r="BZ267" s="62"/>
      <c r="CA267" s="10"/>
      <c r="CB267" s="10"/>
      <c r="CC267" s="10"/>
      <c r="CD267" s="62"/>
      <c r="CE267" s="62"/>
      <c r="CF267" s="62"/>
      <c r="CG267" s="62"/>
      <c r="CH267" s="62"/>
      <c r="CI267" s="62"/>
      <c r="CJ267" s="62"/>
      <c r="CK267" s="10"/>
      <c r="CT267" s="67"/>
      <c r="CU267" s="10"/>
      <c r="CV267" s="10"/>
      <c r="CW267" s="10"/>
      <c r="CX267" s="10"/>
      <c r="CY267" s="10"/>
      <c r="CZ267" s="10"/>
      <c r="DA267" s="10"/>
      <c r="DC267" s="10"/>
      <c r="DE267" s="775"/>
      <c r="DF267" s="21"/>
      <c r="DO267" s="21"/>
    </row>
    <row r="268" spans="2:119">
      <c r="B268" s="102"/>
      <c r="H268" s="167"/>
      <c r="I268" s="167"/>
      <c r="J268" s="167"/>
      <c r="K268" s="167"/>
      <c r="L268" s="167"/>
      <c r="M268" s="167"/>
      <c r="N268" s="167"/>
      <c r="O268" s="167"/>
      <c r="P268" s="167"/>
      <c r="Q268" s="203"/>
      <c r="R268" s="203"/>
      <c r="S268" s="1140"/>
      <c r="T268" s="2724"/>
      <c r="U268" s="2760"/>
      <c r="V268" s="203"/>
      <c r="W268" s="203"/>
      <c r="Z268" s="203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  <c r="BJ268" s="21"/>
      <c r="BK268" s="21"/>
      <c r="BL268" s="21"/>
      <c r="BM268" s="21"/>
      <c r="BN268" s="21"/>
      <c r="BO268" s="21"/>
      <c r="BP268" s="21"/>
      <c r="BQ268" s="21"/>
      <c r="BR268" s="21"/>
      <c r="BS268" s="21"/>
      <c r="BT268" s="21"/>
      <c r="BU268" s="21"/>
      <c r="BV268" s="21"/>
      <c r="BW268" s="21"/>
      <c r="BX268" s="21"/>
      <c r="BY268" s="10"/>
      <c r="BZ268" s="62"/>
      <c r="CA268" s="10"/>
      <c r="CB268" s="10"/>
      <c r="CC268" s="10"/>
      <c r="CD268" s="62"/>
      <c r="CE268" s="62"/>
      <c r="CF268" s="62"/>
      <c r="CG268" s="62"/>
      <c r="CH268" s="62"/>
      <c r="CI268" s="62"/>
      <c r="CJ268" s="62"/>
      <c r="CK268" s="10"/>
      <c r="CT268" s="67"/>
      <c r="CU268" s="10"/>
      <c r="CV268" s="10"/>
      <c r="CW268" s="10"/>
      <c r="CX268" s="10"/>
      <c r="CY268" s="10"/>
      <c r="CZ268" s="10"/>
      <c r="DA268" s="10"/>
      <c r="DC268" s="10"/>
      <c r="DE268" s="775"/>
      <c r="DF268" s="21"/>
      <c r="DO268" s="21"/>
    </row>
    <row r="269" spans="2:119">
      <c r="B269" s="102"/>
      <c r="H269" s="167"/>
      <c r="I269" s="167"/>
      <c r="J269" s="167"/>
      <c r="K269" s="167"/>
      <c r="L269" s="167"/>
      <c r="M269" s="167"/>
      <c r="N269" s="167"/>
      <c r="O269" s="167"/>
      <c r="P269" s="167"/>
      <c r="Q269" s="203"/>
      <c r="R269" s="203"/>
      <c r="S269" s="1140"/>
      <c r="T269" s="2724"/>
      <c r="U269" s="2760"/>
      <c r="V269" s="203"/>
      <c r="W269" s="203"/>
      <c r="Z269" s="203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  <c r="BC269" s="21"/>
      <c r="BD269" s="21"/>
      <c r="BE269" s="21"/>
      <c r="BF269" s="21"/>
      <c r="BG269" s="21"/>
      <c r="BH269" s="21"/>
      <c r="BI269" s="21"/>
      <c r="BJ269" s="21"/>
      <c r="BK269" s="21"/>
      <c r="BL269" s="21"/>
      <c r="BM269" s="21"/>
      <c r="BN269" s="21"/>
      <c r="BO269" s="21"/>
      <c r="BP269" s="21"/>
      <c r="BQ269" s="21"/>
      <c r="BR269" s="21"/>
      <c r="BS269" s="21"/>
      <c r="BT269" s="21"/>
      <c r="BU269" s="21"/>
      <c r="BV269" s="21"/>
      <c r="BW269" s="21"/>
      <c r="BX269" s="21"/>
      <c r="BY269" s="10"/>
      <c r="BZ269" s="62"/>
      <c r="CA269" s="10"/>
      <c r="CB269" s="10"/>
      <c r="CC269" s="10"/>
      <c r="CD269" s="62"/>
      <c r="CE269" s="62"/>
      <c r="CF269" s="62"/>
      <c r="CG269" s="62"/>
      <c r="CH269" s="62"/>
      <c r="CI269" s="62"/>
      <c r="CJ269" s="62"/>
      <c r="CK269" s="10"/>
      <c r="CT269" s="67"/>
      <c r="CU269" s="10"/>
      <c r="CV269" s="10"/>
      <c r="CW269" s="10"/>
      <c r="CX269" s="10"/>
      <c r="CY269" s="10"/>
      <c r="CZ269" s="10"/>
      <c r="DA269" s="10"/>
      <c r="DC269" s="10"/>
      <c r="DE269" s="775"/>
      <c r="DF269" s="21"/>
      <c r="DO269" s="21"/>
    </row>
    <row r="270" spans="2:119">
      <c r="B270" s="13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2792"/>
      <c r="T270" s="2771"/>
      <c r="U270" s="2771"/>
      <c r="V270" s="180"/>
      <c r="W270" s="180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  <c r="BC270" s="21"/>
      <c r="BD270" s="21"/>
      <c r="BE270" s="21"/>
      <c r="BF270" s="21"/>
      <c r="BG270" s="21"/>
      <c r="BH270" s="21"/>
      <c r="BI270" s="21"/>
      <c r="BJ270" s="21"/>
      <c r="BK270" s="21"/>
      <c r="BL270" s="21"/>
      <c r="BM270" s="21"/>
      <c r="BN270" s="21"/>
      <c r="BO270" s="21"/>
      <c r="BP270" s="21"/>
      <c r="BQ270" s="21"/>
      <c r="BR270" s="21"/>
      <c r="BS270" s="21"/>
      <c r="BT270" s="21"/>
      <c r="BU270" s="21"/>
      <c r="BV270" s="21"/>
      <c r="BW270" s="21"/>
      <c r="BX270" s="21"/>
      <c r="BY270" s="10"/>
      <c r="BZ270" s="62"/>
      <c r="CA270" s="10"/>
      <c r="CB270" s="10"/>
      <c r="CC270" s="10"/>
      <c r="CD270" s="62"/>
      <c r="CE270" s="62"/>
      <c r="CF270" s="62"/>
      <c r="CG270" s="62"/>
      <c r="CH270" s="62"/>
      <c r="CI270" s="62"/>
      <c r="CJ270" s="62"/>
      <c r="CK270" s="10"/>
      <c r="CT270" s="67"/>
      <c r="CU270" s="10"/>
      <c r="CV270" s="10"/>
      <c r="CW270" s="10"/>
      <c r="CX270" s="10"/>
      <c r="CY270" s="10"/>
      <c r="CZ270" s="10"/>
      <c r="DA270" s="10"/>
      <c r="DC270" s="10"/>
      <c r="DE270" s="775"/>
      <c r="DF270" s="21"/>
      <c r="DO270" s="21"/>
    </row>
    <row r="271" spans="2:119">
      <c r="B271" s="13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2792"/>
      <c r="T271" s="2771"/>
      <c r="U271" s="2771"/>
      <c r="V271" s="180"/>
      <c r="W271" s="180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  <c r="BD271" s="21"/>
      <c r="BE271" s="21"/>
      <c r="BF271" s="21"/>
      <c r="BG271" s="21"/>
      <c r="BH271" s="21"/>
      <c r="BI271" s="21"/>
      <c r="BJ271" s="21"/>
      <c r="BK271" s="21"/>
      <c r="BL271" s="21"/>
      <c r="BM271" s="21"/>
      <c r="BN271" s="21"/>
      <c r="BO271" s="21"/>
      <c r="BP271" s="21"/>
      <c r="BQ271" s="21"/>
      <c r="BR271" s="21"/>
      <c r="BS271" s="21"/>
      <c r="BT271" s="21"/>
      <c r="BU271" s="21"/>
      <c r="BV271" s="21"/>
      <c r="BW271" s="21"/>
      <c r="BX271" s="21"/>
      <c r="BY271" s="10"/>
      <c r="BZ271" s="62"/>
      <c r="CA271" s="10"/>
      <c r="CB271" s="10"/>
      <c r="CC271" s="10"/>
      <c r="CD271" s="62"/>
      <c r="CE271" s="62"/>
      <c r="CF271" s="62"/>
      <c r="CG271" s="62"/>
      <c r="CH271" s="62"/>
      <c r="CI271" s="62"/>
      <c r="CJ271" s="62"/>
      <c r="CK271" s="10"/>
      <c r="CT271" s="67"/>
      <c r="CU271" s="10"/>
      <c r="CV271" s="10"/>
      <c r="CW271" s="10"/>
      <c r="CX271" s="10"/>
      <c r="CY271" s="10"/>
      <c r="CZ271" s="10"/>
      <c r="DA271" s="10"/>
      <c r="DC271" s="10"/>
      <c r="DE271" s="775"/>
      <c r="DF271" s="21"/>
      <c r="DO271" s="21"/>
    </row>
    <row r="272" spans="2:119">
      <c r="B272" s="102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0"/>
      <c r="S272" s="2792"/>
      <c r="T272" s="2771"/>
      <c r="U272" s="2771"/>
      <c r="V272" s="180"/>
      <c r="W272" s="180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21"/>
      <c r="BD272" s="21"/>
      <c r="BE272" s="21"/>
      <c r="BF272" s="21"/>
      <c r="BG272" s="21"/>
      <c r="BH272" s="21"/>
      <c r="BI272" s="21"/>
      <c r="BJ272" s="21"/>
      <c r="BK272" s="21"/>
      <c r="BL272" s="21"/>
      <c r="BM272" s="21"/>
      <c r="BN272" s="21"/>
      <c r="BO272" s="21"/>
      <c r="BP272" s="21"/>
      <c r="BQ272" s="21"/>
      <c r="BR272" s="21"/>
      <c r="BS272" s="21"/>
      <c r="BT272" s="21"/>
      <c r="BU272" s="21"/>
      <c r="BV272" s="21"/>
      <c r="BW272" s="21"/>
      <c r="BX272" s="21"/>
      <c r="BY272" s="10"/>
      <c r="BZ272" s="62"/>
      <c r="CA272" s="10"/>
      <c r="CB272" s="10"/>
      <c r="CC272" s="10"/>
      <c r="CD272" s="62"/>
      <c r="CE272" s="62"/>
      <c r="CF272" s="62"/>
      <c r="CG272" s="62"/>
      <c r="CH272" s="62"/>
      <c r="CI272" s="62"/>
      <c r="CJ272" s="62"/>
      <c r="CK272" s="10"/>
      <c r="CT272" s="67"/>
      <c r="CU272" s="10"/>
      <c r="CV272" s="10"/>
      <c r="CW272" s="10"/>
      <c r="CX272" s="10"/>
      <c r="CY272" s="10"/>
      <c r="CZ272" s="10"/>
      <c r="DA272" s="10"/>
      <c r="DC272" s="10"/>
      <c r="DE272" s="775"/>
      <c r="DF272" s="21"/>
      <c r="DO272" s="21"/>
    </row>
    <row r="273" spans="2:156">
      <c r="B273" s="102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0"/>
      <c r="S273" s="2792"/>
      <c r="T273" s="2771"/>
      <c r="U273" s="2771"/>
      <c r="V273" s="180"/>
      <c r="W273" s="180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  <c r="BC273" s="21"/>
      <c r="BD273" s="21"/>
      <c r="BE273" s="21"/>
      <c r="BF273" s="21"/>
      <c r="BG273" s="21"/>
      <c r="BH273" s="21"/>
      <c r="BI273" s="21"/>
      <c r="BJ273" s="21"/>
      <c r="BK273" s="21"/>
      <c r="BL273" s="21"/>
      <c r="BM273" s="21"/>
      <c r="BN273" s="21"/>
      <c r="BO273" s="21"/>
      <c r="BP273" s="21"/>
      <c r="BQ273" s="21"/>
      <c r="BR273" s="21"/>
      <c r="BS273" s="21"/>
      <c r="BT273" s="21"/>
      <c r="BU273" s="21"/>
      <c r="BV273" s="21"/>
      <c r="BW273" s="21"/>
      <c r="BX273" s="21"/>
      <c r="BY273" s="10"/>
      <c r="BZ273" s="62"/>
      <c r="CA273" s="10"/>
      <c r="CB273" s="10"/>
      <c r="CC273" s="10"/>
      <c r="CD273" s="62"/>
      <c r="CE273" s="62"/>
      <c r="CF273" s="62"/>
      <c r="CG273" s="62"/>
      <c r="CH273" s="62"/>
      <c r="CI273" s="62"/>
      <c r="CJ273" s="62"/>
      <c r="CK273" s="10"/>
      <c r="CT273" s="67"/>
      <c r="CU273" s="10"/>
      <c r="CV273" s="10"/>
      <c r="CW273" s="10"/>
      <c r="CX273" s="10"/>
      <c r="CY273" s="10"/>
      <c r="CZ273" s="10"/>
      <c r="DA273" s="10"/>
      <c r="DC273" s="10"/>
      <c r="DE273" s="775"/>
      <c r="DF273" s="21"/>
      <c r="DO273" s="21"/>
    </row>
    <row r="274" spans="2:156">
      <c r="B274" s="102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S274" s="2792"/>
      <c r="T274" s="2771"/>
      <c r="U274" s="2771"/>
      <c r="V274" s="180"/>
      <c r="W274" s="180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  <c r="BC274" s="21"/>
      <c r="BD274" s="21"/>
      <c r="BE274" s="21"/>
      <c r="BF274" s="21"/>
      <c r="BG274" s="21"/>
      <c r="BH274" s="21"/>
      <c r="BI274" s="21"/>
      <c r="BJ274" s="21"/>
      <c r="BK274" s="21"/>
      <c r="BL274" s="21"/>
      <c r="BM274" s="21"/>
      <c r="BN274" s="21"/>
      <c r="BO274" s="21"/>
      <c r="BP274" s="21"/>
      <c r="BQ274" s="21"/>
      <c r="BR274" s="21"/>
      <c r="BS274" s="21"/>
      <c r="BT274" s="21"/>
      <c r="BU274" s="21"/>
      <c r="BV274" s="21"/>
      <c r="BW274" s="21"/>
      <c r="BX274" s="21"/>
      <c r="BY274" s="10"/>
      <c r="BZ274" s="62"/>
      <c r="CA274" s="10"/>
      <c r="CB274" s="10"/>
      <c r="CC274" s="10"/>
      <c r="CD274" s="62"/>
      <c r="CE274" s="62"/>
      <c r="CF274" s="62"/>
      <c r="CG274" s="62"/>
      <c r="CH274" s="62"/>
      <c r="CI274" s="62"/>
      <c r="CJ274" s="62"/>
      <c r="CK274" s="10"/>
      <c r="CT274" s="67"/>
      <c r="CU274" s="10"/>
      <c r="CV274" s="10"/>
      <c r="CW274" s="10"/>
      <c r="CX274" s="10"/>
      <c r="CY274" s="10"/>
      <c r="CZ274" s="10"/>
      <c r="DA274" s="10"/>
      <c r="DC274" s="10"/>
      <c r="DE274" s="775"/>
      <c r="DF274" s="21"/>
      <c r="DO274" s="21"/>
    </row>
    <row r="275" spans="2:156">
      <c r="B275" s="102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0"/>
      <c r="S275" s="2792"/>
      <c r="T275" s="2771"/>
      <c r="U275" s="2771"/>
      <c r="V275" s="180"/>
      <c r="W275" s="180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21"/>
      <c r="BD275" s="21"/>
      <c r="BE275" s="21"/>
      <c r="BF275" s="21"/>
      <c r="BG275" s="21"/>
      <c r="BH275" s="21"/>
      <c r="BI275" s="21"/>
      <c r="BJ275" s="21"/>
      <c r="BK275" s="21"/>
      <c r="BL275" s="21"/>
      <c r="BM275" s="21"/>
      <c r="BN275" s="21"/>
      <c r="BO275" s="21"/>
      <c r="BP275" s="21"/>
      <c r="BQ275" s="21"/>
      <c r="BR275" s="21"/>
      <c r="BS275" s="21"/>
      <c r="BT275" s="21"/>
      <c r="BU275" s="21"/>
      <c r="BV275" s="21"/>
      <c r="BW275" s="21"/>
      <c r="BX275" s="21"/>
      <c r="BY275" s="10"/>
      <c r="BZ275" s="62"/>
      <c r="CA275" s="10"/>
      <c r="CB275" s="10"/>
      <c r="CC275" s="10"/>
      <c r="CD275" s="62"/>
      <c r="CE275" s="62"/>
      <c r="CF275" s="62"/>
      <c r="CG275" s="62"/>
      <c r="CH275" s="62"/>
      <c r="CI275" s="62"/>
      <c r="CJ275" s="62"/>
      <c r="CK275" s="10"/>
      <c r="CT275" s="67"/>
      <c r="CU275" s="10"/>
      <c r="CV275" s="10"/>
      <c r="CW275" s="10"/>
      <c r="CX275" s="10"/>
      <c r="CY275" s="10"/>
      <c r="CZ275" s="10"/>
      <c r="DA275" s="10"/>
      <c r="DC275" s="10"/>
      <c r="DE275" s="775"/>
      <c r="DF275" s="21"/>
      <c r="DO275" s="21"/>
    </row>
    <row r="276" spans="2:156">
      <c r="B276" s="102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2792"/>
      <c r="T276" s="2771"/>
      <c r="U276" s="2771"/>
      <c r="V276" s="180"/>
      <c r="W276" s="180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21"/>
      <c r="BN276" s="21"/>
      <c r="BO276" s="21"/>
      <c r="BP276" s="21"/>
      <c r="BQ276" s="21"/>
      <c r="BR276" s="21"/>
      <c r="BS276" s="21"/>
      <c r="BT276" s="21"/>
      <c r="BU276" s="21"/>
      <c r="BV276" s="21"/>
      <c r="BW276" s="21"/>
      <c r="BX276" s="21"/>
      <c r="BY276" s="10"/>
      <c r="BZ276" s="62"/>
      <c r="CA276" s="10"/>
      <c r="CB276" s="10"/>
      <c r="CC276" s="10"/>
      <c r="CD276" s="62"/>
      <c r="CE276" s="62"/>
      <c r="CF276" s="62"/>
      <c r="CG276" s="62"/>
      <c r="CH276" s="62"/>
      <c r="CI276" s="62"/>
      <c r="CJ276" s="62"/>
      <c r="CK276" s="10"/>
      <c r="CT276" s="67"/>
      <c r="CU276" s="10"/>
      <c r="CV276" s="10"/>
      <c r="CW276" s="10"/>
      <c r="CX276" s="10"/>
      <c r="CY276" s="10"/>
      <c r="CZ276" s="10"/>
      <c r="DA276" s="10"/>
      <c r="DC276" s="10"/>
      <c r="DE276" s="775"/>
      <c r="DF276" s="21"/>
      <c r="DO276" s="21"/>
    </row>
    <row r="277" spans="2:156">
      <c r="B277" s="102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80"/>
      <c r="S277" s="2792"/>
      <c r="T277" s="2771"/>
      <c r="U277" s="2771"/>
      <c r="V277" s="180"/>
      <c r="W277" s="180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  <c r="BN277" s="21"/>
      <c r="BO277" s="21"/>
      <c r="BP277" s="21"/>
      <c r="BQ277" s="21"/>
      <c r="BR277" s="21"/>
      <c r="BS277" s="21"/>
      <c r="BT277" s="21"/>
      <c r="BU277" s="21"/>
      <c r="BV277" s="21"/>
      <c r="BW277" s="21"/>
      <c r="BX277" s="21"/>
      <c r="BY277" s="10"/>
      <c r="BZ277" s="62"/>
      <c r="CA277" s="10"/>
      <c r="CB277" s="10"/>
      <c r="CC277" s="10"/>
      <c r="CD277" s="62"/>
      <c r="CE277" s="62"/>
      <c r="CF277" s="62"/>
      <c r="CG277" s="62"/>
      <c r="CH277" s="62"/>
      <c r="CI277" s="62"/>
      <c r="CJ277" s="62"/>
      <c r="CK277" s="10"/>
      <c r="CT277" s="67"/>
      <c r="CU277" s="10"/>
      <c r="CV277" s="10"/>
      <c r="CW277" s="10"/>
      <c r="CX277" s="10"/>
      <c r="CY277" s="10"/>
      <c r="CZ277" s="10"/>
      <c r="DA277" s="10"/>
      <c r="DC277" s="10"/>
      <c r="DE277" s="775"/>
      <c r="DF277" s="21"/>
      <c r="DO277" s="21"/>
    </row>
    <row r="278" spans="2:156">
      <c r="B278" s="13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80"/>
      <c r="S278" s="2792"/>
      <c r="T278" s="2771"/>
      <c r="U278" s="2771"/>
      <c r="V278" s="180"/>
      <c r="W278" s="180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  <c r="BN278" s="21"/>
      <c r="BO278" s="21"/>
      <c r="BP278" s="21"/>
      <c r="BQ278" s="21"/>
      <c r="BR278" s="21"/>
      <c r="BS278" s="21"/>
      <c r="BT278" s="21"/>
      <c r="BU278" s="21"/>
      <c r="BV278" s="21"/>
      <c r="BW278" s="21"/>
      <c r="BX278" s="21"/>
      <c r="BY278" s="10"/>
      <c r="BZ278" s="62"/>
      <c r="CA278" s="10"/>
      <c r="CB278" s="10"/>
      <c r="CC278" s="10"/>
      <c r="CD278" s="62"/>
      <c r="CE278" s="62"/>
      <c r="CF278" s="62"/>
      <c r="CG278" s="62"/>
      <c r="CH278" s="62"/>
      <c r="CI278" s="62"/>
      <c r="CJ278" s="62"/>
      <c r="CK278" s="10"/>
      <c r="CT278" s="67"/>
      <c r="CU278" s="10"/>
      <c r="CV278" s="10"/>
      <c r="CW278" s="10"/>
      <c r="CX278" s="10"/>
      <c r="CY278" s="10"/>
      <c r="CZ278" s="10"/>
      <c r="DA278" s="10"/>
      <c r="DC278" s="10"/>
      <c r="DE278" s="775"/>
      <c r="DF278" s="21"/>
      <c r="DO278" s="21"/>
    </row>
    <row r="279" spans="2:156">
      <c r="B279" s="13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80"/>
      <c r="S279" s="2792"/>
      <c r="T279" s="2771"/>
      <c r="U279" s="2771"/>
      <c r="V279" s="180"/>
      <c r="W279" s="180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  <c r="BN279" s="21"/>
      <c r="BO279" s="21"/>
      <c r="BP279" s="21"/>
      <c r="BQ279" s="21"/>
      <c r="BR279" s="21"/>
      <c r="BS279" s="21"/>
      <c r="BT279" s="21"/>
      <c r="BU279" s="21"/>
      <c r="BV279" s="21"/>
      <c r="BW279" s="21"/>
      <c r="BX279" s="21"/>
      <c r="BY279" s="10"/>
      <c r="BZ279" s="62"/>
      <c r="CA279" s="10"/>
      <c r="CB279" s="10"/>
      <c r="CC279" s="10"/>
      <c r="CD279" s="62"/>
      <c r="CE279" s="62"/>
      <c r="CF279" s="62"/>
      <c r="CG279" s="62"/>
      <c r="CH279" s="62"/>
      <c r="CI279" s="62"/>
      <c r="CJ279" s="62"/>
      <c r="CK279" s="10"/>
      <c r="CT279" s="67"/>
      <c r="CU279" s="10"/>
      <c r="CV279" s="10"/>
      <c r="CW279" s="10"/>
      <c r="CX279" s="10"/>
      <c r="CY279" s="10"/>
      <c r="CZ279" s="10"/>
      <c r="DA279" s="10"/>
      <c r="DC279" s="10"/>
      <c r="DE279" s="775"/>
      <c r="DF279" s="21"/>
      <c r="DO279" s="21"/>
    </row>
    <row r="280" spans="2:156">
      <c r="B280" s="13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80"/>
      <c r="S280" s="2792"/>
      <c r="T280" s="2771"/>
      <c r="U280" s="2771"/>
      <c r="V280" s="180"/>
      <c r="W280" s="180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  <c r="BN280" s="21"/>
      <c r="BO280" s="21"/>
      <c r="BP280" s="21"/>
      <c r="BQ280" s="21"/>
      <c r="BR280" s="21"/>
      <c r="BS280" s="21"/>
      <c r="BT280" s="21"/>
      <c r="BU280" s="21"/>
      <c r="BV280" s="21"/>
      <c r="BW280" s="21"/>
      <c r="BX280" s="21"/>
      <c r="BY280" s="10"/>
      <c r="BZ280" s="62"/>
      <c r="CA280" s="10"/>
      <c r="CB280" s="10"/>
      <c r="CC280" s="10"/>
      <c r="CD280" s="62"/>
      <c r="CE280" s="62"/>
      <c r="CF280" s="62"/>
      <c r="CG280" s="62"/>
      <c r="CH280" s="62"/>
      <c r="CI280" s="62"/>
      <c r="CJ280" s="62"/>
      <c r="CK280" s="10"/>
      <c r="CT280" s="67"/>
      <c r="CU280" s="10"/>
      <c r="CV280" s="10"/>
      <c r="CW280" s="10"/>
      <c r="CX280" s="10"/>
      <c r="CY280" s="10"/>
      <c r="CZ280" s="10"/>
      <c r="DA280" s="10"/>
      <c r="DC280" s="10"/>
      <c r="DE280" s="775"/>
      <c r="DF280" s="21"/>
      <c r="DO280" s="21"/>
    </row>
    <row r="281" spans="2:156">
      <c r="B281" s="13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80"/>
      <c r="S281" s="2792"/>
      <c r="T281" s="2771"/>
      <c r="U281" s="2771"/>
      <c r="V281" s="180"/>
      <c r="W281" s="180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  <c r="BC281" s="21"/>
      <c r="BD281" s="21"/>
      <c r="BE281" s="21"/>
      <c r="BF281" s="21"/>
      <c r="BG281" s="21"/>
      <c r="BH281" s="21"/>
      <c r="BI281" s="21"/>
      <c r="BJ281" s="21"/>
      <c r="BK281" s="21"/>
      <c r="BL281" s="21"/>
      <c r="BM281" s="21"/>
      <c r="BN281" s="21"/>
      <c r="BO281" s="21"/>
      <c r="BP281" s="21"/>
      <c r="BQ281" s="21"/>
      <c r="BR281" s="21"/>
      <c r="BS281" s="21"/>
      <c r="BT281" s="21"/>
      <c r="BU281" s="21"/>
      <c r="BV281" s="21"/>
      <c r="BW281" s="21"/>
      <c r="BX281" s="21"/>
      <c r="BY281" s="10"/>
      <c r="BZ281" s="62"/>
      <c r="CA281" s="10"/>
      <c r="CB281" s="10"/>
      <c r="CC281" s="10"/>
      <c r="CD281" s="62"/>
      <c r="CE281" s="62"/>
      <c r="CF281" s="62"/>
      <c r="CG281" s="62"/>
      <c r="CH281" s="62"/>
      <c r="CI281" s="62"/>
      <c r="CJ281" s="62"/>
      <c r="CK281" s="10"/>
      <c r="CT281" s="67"/>
      <c r="CU281" s="10"/>
      <c r="CV281" s="10"/>
      <c r="CW281" s="10"/>
      <c r="CX281" s="10"/>
      <c r="CY281" s="10"/>
      <c r="CZ281" s="10"/>
      <c r="DA281" s="10"/>
      <c r="DC281" s="10"/>
      <c r="DE281" s="775"/>
      <c r="DF281" s="21"/>
    </row>
    <row r="282" spans="2:156">
      <c r="B282" s="16"/>
      <c r="C282" s="16"/>
      <c r="D282" s="16"/>
      <c r="E282" s="16"/>
      <c r="F282" s="16"/>
      <c r="G282" s="16"/>
      <c r="H282" s="195"/>
      <c r="I282" s="195"/>
      <c r="J282" s="195"/>
      <c r="K282" s="195"/>
      <c r="L282" s="195"/>
      <c r="M282" s="195"/>
      <c r="N282" s="195"/>
      <c r="O282" s="195"/>
      <c r="P282" s="195"/>
      <c r="Q282" s="195"/>
      <c r="R282" s="195"/>
      <c r="S282" s="2795"/>
      <c r="T282" s="2776"/>
      <c r="U282" s="2776"/>
      <c r="V282" s="195"/>
      <c r="W282" s="195"/>
      <c r="Z282" s="10"/>
      <c r="AB282" s="204"/>
      <c r="BY282" s="10"/>
      <c r="BZ282" s="62"/>
      <c r="CA282" s="10"/>
      <c r="CB282" s="10"/>
      <c r="CC282" s="10"/>
      <c r="CD282" s="62"/>
      <c r="CE282" s="62"/>
      <c r="CF282" s="62"/>
      <c r="CG282" s="62"/>
      <c r="CH282" s="62"/>
      <c r="CI282" s="62"/>
      <c r="CJ282" s="62"/>
      <c r="CK282" s="10"/>
      <c r="CT282" s="67"/>
      <c r="CU282" s="10"/>
      <c r="CV282" s="10"/>
      <c r="CW282" s="10"/>
      <c r="CX282" s="10"/>
      <c r="CY282" s="10"/>
      <c r="CZ282" s="10"/>
      <c r="DA282" s="10"/>
      <c r="DC282" s="10"/>
    </row>
    <row r="283" spans="2:156">
      <c r="Z283" s="10"/>
      <c r="AB283" s="10"/>
      <c r="BY283" s="10"/>
      <c r="BZ283" s="62"/>
      <c r="CA283" s="10"/>
      <c r="CB283" s="10"/>
      <c r="CC283" s="10"/>
      <c r="CD283" s="62"/>
      <c r="CE283" s="62"/>
      <c r="CF283" s="62"/>
      <c r="CG283" s="62"/>
      <c r="CH283" s="62"/>
      <c r="CI283" s="62"/>
      <c r="CJ283" s="62"/>
      <c r="CK283" s="10"/>
      <c r="CT283" s="67"/>
      <c r="CU283" s="10"/>
      <c r="CV283" s="10"/>
      <c r="CW283" s="10"/>
      <c r="CX283" s="10"/>
      <c r="CY283" s="10"/>
      <c r="CZ283" s="10"/>
      <c r="DA283" s="10"/>
      <c r="DC283" s="10"/>
    </row>
    <row r="284" spans="2:156" s="16" customFormat="1">
      <c r="S284" s="392"/>
      <c r="T284" s="2777"/>
      <c r="U284" s="2777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62"/>
      <c r="CA284" s="10"/>
      <c r="CB284" s="10"/>
      <c r="CC284" s="10"/>
      <c r="CD284" s="62"/>
      <c r="CE284" s="62"/>
      <c r="CF284" s="62"/>
      <c r="CG284" s="62"/>
      <c r="CH284" s="62"/>
      <c r="CI284" s="62"/>
      <c r="CJ284" s="62"/>
      <c r="CK284" s="10"/>
      <c r="CL284" s="2762"/>
      <c r="CM284" s="2762"/>
      <c r="CN284" s="2845"/>
      <c r="CO284" s="2845"/>
      <c r="CP284" s="2845"/>
      <c r="CQ284" s="2845"/>
      <c r="CR284" s="67"/>
      <c r="CS284" s="67"/>
      <c r="CT284" s="67"/>
      <c r="CU284" s="10"/>
      <c r="CV284" s="10"/>
      <c r="CW284" s="10"/>
      <c r="CX284" s="10"/>
      <c r="CY284" s="10"/>
      <c r="CZ284" s="10"/>
      <c r="DA284" s="10"/>
      <c r="DC284" s="10"/>
      <c r="DD284" s="10"/>
      <c r="DE284" s="42"/>
      <c r="DF284" s="10"/>
      <c r="DG284" s="43"/>
      <c r="DH284" s="43"/>
      <c r="DI284" s="43"/>
      <c r="DJ284" s="44"/>
      <c r="DK284" s="44"/>
      <c r="DL284" s="44"/>
      <c r="DM284" s="44"/>
      <c r="DN284" s="44"/>
      <c r="DO284" s="10"/>
      <c r="DP284" s="10"/>
      <c r="DQ284" s="10"/>
      <c r="DR284" s="10"/>
      <c r="DS284" s="10"/>
      <c r="DT284" s="10"/>
      <c r="DU284" s="10"/>
      <c r="DV284" s="10"/>
      <c r="DW284" s="10"/>
      <c r="DX284" s="10"/>
      <c r="DY284" s="10"/>
      <c r="DZ284" s="10"/>
      <c r="EA284" s="15"/>
      <c r="EB284" s="10"/>
      <c r="EC284" s="10"/>
      <c r="ED284" s="10"/>
      <c r="EE284" s="10"/>
      <c r="EF284" s="10"/>
      <c r="EG284" s="10"/>
      <c r="EH284" s="10"/>
      <c r="EI284" s="10"/>
      <c r="EJ284" s="10"/>
      <c r="EK284" s="10"/>
      <c r="EL284" s="10"/>
      <c r="EN284" s="10"/>
      <c r="EO284" s="10"/>
      <c r="EP284" s="10"/>
      <c r="EQ284" s="10"/>
      <c r="ER284" s="10"/>
      <c r="ES284" s="10"/>
      <c r="ET284" s="10"/>
      <c r="EU284" s="10"/>
      <c r="EV284" s="10"/>
      <c r="EW284" s="10"/>
      <c r="EX284" s="10"/>
      <c r="EY284" s="10"/>
      <c r="EZ284" s="10"/>
    </row>
    <row r="285" spans="2:156" s="413" customFormat="1">
      <c r="S285" s="2156"/>
      <c r="T285" s="1418"/>
      <c r="U285" s="141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  <c r="AW285" s="28"/>
      <c r="AX285" s="28"/>
      <c r="AY285" s="28"/>
      <c r="AZ285" s="28"/>
      <c r="BA285" s="28"/>
      <c r="BB285" s="28"/>
      <c r="BC285" s="28"/>
      <c r="BD285" s="28"/>
      <c r="BE285" s="28"/>
      <c r="BF285" s="28"/>
      <c r="BG285" s="28"/>
      <c r="BH285" s="28"/>
      <c r="BI285" s="28"/>
      <c r="BJ285" s="28"/>
      <c r="BK285" s="28"/>
      <c r="BL285" s="28"/>
      <c r="BM285" s="28"/>
      <c r="BN285" s="28"/>
      <c r="BO285" s="28"/>
      <c r="BP285" s="28"/>
      <c r="BQ285" s="28"/>
      <c r="BR285" s="28"/>
      <c r="BS285" s="28"/>
      <c r="BT285" s="28"/>
      <c r="BU285" s="28"/>
      <c r="BV285" s="28"/>
      <c r="BW285" s="28"/>
      <c r="BX285" s="28"/>
      <c r="BY285" s="28"/>
      <c r="BZ285" s="147"/>
      <c r="CA285" s="28"/>
      <c r="CB285" s="28"/>
      <c r="CC285" s="28"/>
      <c r="CD285" s="147"/>
      <c r="CE285" s="147"/>
      <c r="CF285" s="147"/>
      <c r="CG285" s="147"/>
      <c r="CH285" s="147"/>
      <c r="CI285" s="147"/>
      <c r="CJ285" s="147"/>
      <c r="CK285" s="28"/>
      <c r="CL285" s="2767"/>
      <c r="CM285" s="2767"/>
      <c r="CN285" s="3389"/>
      <c r="CO285" s="3389"/>
      <c r="CP285" s="3389"/>
      <c r="CQ285" s="3389"/>
      <c r="CR285" s="148"/>
      <c r="CS285" s="148"/>
      <c r="CT285" s="148"/>
      <c r="CU285" s="28"/>
      <c r="CV285" s="28"/>
      <c r="CW285" s="28"/>
      <c r="CX285" s="28"/>
      <c r="CY285" s="28"/>
      <c r="CZ285" s="28"/>
      <c r="DA285" s="28"/>
      <c r="DC285" s="28"/>
      <c r="DD285" s="28"/>
      <c r="DE285" s="178"/>
      <c r="DF285" s="28"/>
      <c r="DG285" s="83"/>
      <c r="DH285" s="83"/>
      <c r="DI285" s="83"/>
      <c r="DJ285" s="84"/>
      <c r="DK285" s="84"/>
      <c r="DL285" s="84"/>
      <c r="DM285" s="84"/>
      <c r="DN285" s="84"/>
      <c r="DO285" s="28"/>
      <c r="DP285" s="28"/>
      <c r="DQ285" s="28"/>
      <c r="DR285" s="28"/>
      <c r="DS285" s="28"/>
      <c r="DT285" s="28"/>
      <c r="DU285" s="28"/>
      <c r="DV285" s="28"/>
      <c r="DW285" s="28"/>
      <c r="DX285" s="28"/>
      <c r="DY285" s="28"/>
      <c r="DZ285" s="28"/>
      <c r="EA285" s="15"/>
      <c r="EB285" s="28"/>
      <c r="EC285" s="28"/>
      <c r="ED285" s="28"/>
      <c r="EE285" s="28"/>
      <c r="EF285" s="28"/>
      <c r="EG285" s="28"/>
      <c r="EH285" s="28"/>
      <c r="EI285" s="28"/>
      <c r="EJ285" s="28"/>
      <c r="EK285" s="28"/>
      <c r="EL285" s="28"/>
      <c r="EN285" s="28"/>
      <c r="EO285" s="28"/>
      <c r="EP285" s="28"/>
      <c r="EQ285" s="28"/>
      <c r="ER285" s="28"/>
      <c r="ES285" s="28"/>
      <c r="ET285" s="28"/>
      <c r="EU285" s="28"/>
      <c r="EV285" s="28"/>
      <c r="EW285" s="28"/>
      <c r="EX285" s="28"/>
      <c r="EY285" s="28"/>
      <c r="EZ285" s="28"/>
    </row>
    <row r="286" spans="2:156" s="16" customFormat="1">
      <c r="S286" s="392"/>
      <c r="T286" s="2777"/>
      <c r="U286" s="2777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62"/>
      <c r="CA286" s="10"/>
      <c r="CB286" s="10"/>
      <c r="CC286" s="10"/>
      <c r="CD286" s="62"/>
      <c r="CE286" s="62"/>
      <c r="CF286" s="62"/>
      <c r="CG286" s="62"/>
      <c r="CH286" s="62"/>
      <c r="CI286" s="62"/>
      <c r="CJ286" s="62"/>
      <c r="CK286" s="10"/>
      <c r="CL286" s="2762"/>
      <c r="CM286" s="2762"/>
      <c r="CN286" s="2845"/>
      <c r="CO286" s="2845"/>
      <c r="CP286" s="2845"/>
      <c r="CQ286" s="2845"/>
      <c r="CR286" s="67"/>
      <c r="CS286" s="67"/>
      <c r="CT286" s="67"/>
      <c r="CU286" s="10"/>
      <c r="CV286" s="10"/>
      <c r="CW286" s="10"/>
      <c r="CX286" s="10"/>
      <c r="CY286" s="10"/>
      <c r="CZ286" s="10"/>
      <c r="DA286" s="10"/>
      <c r="DC286" s="10"/>
      <c r="DD286" s="10"/>
      <c r="DE286" s="42"/>
      <c r="DF286" s="10"/>
      <c r="DG286" s="43"/>
      <c r="DH286" s="43"/>
      <c r="DI286" s="43"/>
      <c r="DJ286" s="44"/>
      <c r="DK286" s="44"/>
      <c r="DL286" s="44"/>
      <c r="DM286" s="44"/>
      <c r="DN286" s="44"/>
      <c r="DO286" s="10"/>
      <c r="DP286" s="10"/>
      <c r="DQ286" s="10"/>
      <c r="DR286" s="10"/>
      <c r="DS286" s="10"/>
      <c r="DT286" s="10"/>
      <c r="DU286" s="10"/>
      <c r="DV286" s="10"/>
      <c r="DW286" s="10"/>
      <c r="DX286" s="10"/>
      <c r="DY286" s="10"/>
      <c r="DZ286" s="10"/>
      <c r="EA286" s="15"/>
      <c r="EB286" s="10"/>
      <c r="EC286" s="10"/>
      <c r="ED286" s="10"/>
      <c r="EE286" s="10"/>
      <c r="EF286" s="10"/>
      <c r="EG286" s="10"/>
      <c r="EH286" s="10"/>
      <c r="EI286" s="10"/>
      <c r="EJ286" s="10"/>
      <c r="EK286" s="10"/>
      <c r="EL286" s="10"/>
      <c r="EN286" s="10"/>
      <c r="EO286" s="10"/>
      <c r="EP286" s="10"/>
      <c r="EQ286" s="10"/>
      <c r="ER286" s="10"/>
      <c r="ES286" s="10"/>
      <c r="ET286" s="10"/>
      <c r="EU286" s="10"/>
      <c r="EV286" s="10"/>
      <c r="EW286" s="10"/>
      <c r="EX286" s="10"/>
      <c r="EY286" s="10"/>
      <c r="EZ286" s="10"/>
    </row>
    <row r="287" spans="2:156" s="413" customFormat="1">
      <c r="S287" s="2156"/>
      <c r="T287" s="1418"/>
      <c r="U287" s="1418"/>
      <c r="Z287" s="669"/>
      <c r="AA287" s="28"/>
      <c r="AB287" s="1142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  <c r="AV287" s="28"/>
      <c r="AW287" s="28"/>
      <c r="AX287" s="28"/>
      <c r="AY287" s="28"/>
      <c r="AZ287" s="28"/>
      <c r="BA287" s="28"/>
      <c r="BB287" s="28"/>
      <c r="BC287" s="28"/>
      <c r="BD287" s="28"/>
      <c r="BE287" s="28"/>
      <c r="BF287" s="28"/>
      <c r="BG287" s="28"/>
      <c r="BH287" s="28"/>
      <c r="BI287" s="28"/>
      <c r="BJ287" s="28"/>
      <c r="BK287" s="28"/>
      <c r="BL287" s="28"/>
      <c r="BM287" s="28"/>
      <c r="BN287" s="28"/>
      <c r="BO287" s="28"/>
      <c r="BP287" s="28"/>
      <c r="BQ287" s="28"/>
      <c r="BR287" s="28"/>
      <c r="BS287" s="28"/>
      <c r="BT287" s="28"/>
      <c r="BU287" s="28"/>
      <c r="BV287" s="28"/>
      <c r="BW287" s="28"/>
      <c r="BX287" s="28"/>
      <c r="BY287" s="28"/>
      <c r="BZ287" s="147"/>
      <c r="CA287" s="28"/>
      <c r="CB287" s="28"/>
      <c r="CC287" s="28"/>
      <c r="CD287" s="147"/>
      <c r="CE287" s="147"/>
      <c r="CF287" s="147"/>
      <c r="CG287" s="147"/>
      <c r="CH287" s="147"/>
      <c r="CI287" s="147"/>
      <c r="CJ287" s="147"/>
      <c r="CK287" s="28"/>
      <c r="CL287" s="2767"/>
      <c r="CM287" s="2767"/>
      <c r="CN287" s="3389"/>
      <c r="CO287" s="3389"/>
      <c r="CP287" s="3389"/>
      <c r="CQ287" s="3389"/>
      <c r="CR287" s="148"/>
      <c r="CS287" s="148"/>
      <c r="CT287" s="148"/>
      <c r="CU287" s="28"/>
      <c r="CV287" s="28"/>
      <c r="CW287" s="28"/>
      <c r="CX287" s="28"/>
      <c r="CY287" s="28"/>
      <c r="CZ287" s="28"/>
      <c r="DA287" s="28"/>
      <c r="DC287" s="28"/>
      <c r="DD287" s="28"/>
      <c r="DE287" s="178"/>
      <c r="DF287" s="28"/>
      <c r="DG287" s="83"/>
      <c r="DH287" s="83"/>
      <c r="DI287" s="83"/>
      <c r="DJ287" s="84"/>
      <c r="DK287" s="84"/>
      <c r="DL287" s="84"/>
      <c r="DM287" s="84"/>
      <c r="DN287" s="84"/>
      <c r="DO287" s="28"/>
      <c r="DP287" s="28"/>
      <c r="DQ287" s="28"/>
      <c r="DR287" s="28"/>
      <c r="DS287" s="28"/>
      <c r="DT287" s="28"/>
      <c r="DU287" s="28"/>
      <c r="DV287" s="28"/>
      <c r="DW287" s="28"/>
      <c r="DX287" s="28"/>
      <c r="DY287" s="28"/>
      <c r="DZ287" s="28"/>
      <c r="EA287" s="15"/>
      <c r="EB287" s="28"/>
      <c r="EC287" s="28"/>
      <c r="ED287" s="28"/>
      <c r="EE287" s="28"/>
      <c r="EF287" s="28"/>
      <c r="EG287" s="28"/>
      <c r="EH287" s="28"/>
      <c r="EI287" s="28"/>
      <c r="EJ287" s="28"/>
      <c r="EK287" s="28"/>
      <c r="EL287" s="28"/>
      <c r="EN287" s="28"/>
      <c r="EO287" s="28"/>
      <c r="EP287" s="28"/>
      <c r="EQ287" s="28"/>
      <c r="ER287" s="28"/>
      <c r="ES287" s="28"/>
      <c r="ET287" s="28"/>
      <c r="EU287" s="28"/>
      <c r="EV287" s="28"/>
      <c r="EW287" s="28"/>
      <c r="EX287" s="28"/>
      <c r="EY287" s="28"/>
      <c r="EZ287" s="28"/>
    </row>
    <row r="288" spans="2:156" s="16" customFormat="1">
      <c r="S288" s="392"/>
      <c r="T288" s="2777"/>
      <c r="U288" s="2777"/>
      <c r="Z288" s="769"/>
      <c r="AB288" s="200"/>
      <c r="BZ288" s="392"/>
      <c r="CD288" s="392"/>
      <c r="CE288" s="392"/>
      <c r="CF288" s="392"/>
      <c r="CG288" s="392"/>
      <c r="CH288" s="392"/>
      <c r="CI288" s="392"/>
      <c r="CJ288" s="392"/>
      <c r="CL288" s="2777"/>
      <c r="CM288" s="2777"/>
      <c r="CN288" s="3390"/>
      <c r="CO288" s="3390"/>
      <c r="CP288" s="3390"/>
      <c r="CQ288" s="3390"/>
      <c r="CR288" s="2184"/>
      <c r="CS288" s="2184"/>
      <c r="CT288" s="2184"/>
      <c r="DE288" s="202"/>
      <c r="DG288" s="43"/>
      <c r="DH288" s="43"/>
      <c r="DI288" s="43"/>
      <c r="DJ288" s="44"/>
      <c r="DK288" s="44"/>
      <c r="DL288" s="44"/>
      <c r="DM288" s="44"/>
      <c r="DN288" s="44"/>
      <c r="DO288" s="10"/>
      <c r="DP288" s="10"/>
      <c r="DQ288" s="10"/>
      <c r="DR288" s="10"/>
      <c r="DS288" s="10"/>
      <c r="DT288" s="10"/>
      <c r="DU288" s="10"/>
      <c r="DV288" s="10"/>
      <c r="DW288" s="10"/>
      <c r="DX288" s="10"/>
      <c r="DY288" s="10"/>
      <c r="DZ288" s="10"/>
      <c r="EA288" s="15"/>
      <c r="EB288" s="10"/>
      <c r="EC288" s="10"/>
      <c r="ED288" s="10"/>
      <c r="EE288" s="10"/>
      <c r="EF288" s="10"/>
      <c r="EG288" s="10"/>
      <c r="EH288" s="10"/>
      <c r="EI288" s="10"/>
      <c r="EJ288" s="10"/>
      <c r="EK288" s="10"/>
      <c r="EL288" s="10"/>
      <c r="EN288" s="10"/>
      <c r="EO288" s="10"/>
      <c r="EP288" s="10"/>
      <c r="EQ288" s="10"/>
    </row>
    <row r="289" spans="2:147" s="16" customFormat="1">
      <c r="S289" s="392"/>
      <c r="T289" s="2777"/>
      <c r="U289" s="2777"/>
      <c r="Z289" s="213"/>
      <c r="AB289" s="200"/>
      <c r="BZ289" s="392"/>
      <c r="CD289" s="392"/>
      <c r="CE289" s="392"/>
      <c r="CF289" s="392"/>
      <c r="CG289" s="392"/>
      <c r="CH289" s="392"/>
      <c r="CI289" s="392"/>
      <c r="CJ289" s="392"/>
      <c r="CL289" s="2777"/>
      <c r="CM289" s="2777"/>
      <c r="CN289" s="3390"/>
      <c r="CO289" s="3390"/>
      <c r="CP289" s="3390"/>
      <c r="CQ289" s="3390"/>
      <c r="CR289" s="2184"/>
      <c r="CS289" s="2184"/>
      <c r="CT289" s="2184"/>
      <c r="DE289" s="202"/>
      <c r="DG289" s="43"/>
      <c r="DH289" s="43"/>
      <c r="DI289" s="43"/>
      <c r="DJ289" s="44"/>
      <c r="DK289" s="44"/>
      <c r="DL289" s="44"/>
      <c r="DM289" s="44"/>
      <c r="DN289" s="44"/>
      <c r="DO289" s="10"/>
      <c r="DP289" s="10"/>
      <c r="DQ289" s="10"/>
      <c r="DR289" s="10"/>
      <c r="DS289" s="10"/>
      <c r="DT289" s="10"/>
      <c r="DU289" s="10"/>
      <c r="DV289" s="10"/>
      <c r="DW289" s="10"/>
      <c r="DX289" s="10"/>
      <c r="DY289" s="10"/>
      <c r="DZ289" s="10"/>
      <c r="EA289" s="15"/>
      <c r="EB289" s="10"/>
      <c r="EC289" s="10"/>
      <c r="ED289" s="10"/>
      <c r="EE289" s="10"/>
      <c r="EF289" s="10"/>
      <c r="EG289" s="10"/>
      <c r="EH289" s="10"/>
      <c r="EI289" s="10"/>
      <c r="EJ289" s="10"/>
      <c r="EK289" s="10"/>
      <c r="EL289" s="10"/>
      <c r="EN289" s="10"/>
      <c r="EO289" s="10"/>
      <c r="EP289" s="10"/>
      <c r="EQ289" s="10"/>
    </row>
    <row r="290" spans="2:147" s="16" customFormat="1">
      <c r="S290" s="392"/>
      <c r="T290" s="2777"/>
      <c r="U290" s="2777"/>
      <c r="Z290" s="213"/>
      <c r="AB290" s="200"/>
      <c r="BZ290" s="392"/>
      <c r="CD290" s="392"/>
      <c r="CE290" s="392"/>
      <c r="CF290" s="392"/>
      <c r="CG290" s="392"/>
      <c r="CH290" s="392"/>
      <c r="CI290" s="392"/>
      <c r="CJ290" s="392"/>
      <c r="CL290" s="2777"/>
      <c r="CM290" s="2777"/>
      <c r="CN290" s="3390"/>
      <c r="CO290" s="3390"/>
      <c r="CP290" s="3390"/>
      <c r="CQ290" s="3390"/>
      <c r="CR290" s="2184"/>
      <c r="CS290" s="2184"/>
      <c r="CT290" s="2184"/>
      <c r="DE290" s="202"/>
      <c r="DG290" s="43"/>
      <c r="DH290" s="43"/>
      <c r="DI290" s="43"/>
      <c r="DJ290" s="44"/>
      <c r="DK290" s="44"/>
      <c r="DL290" s="44"/>
      <c r="DM290" s="44"/>
      <c r="DN290" s="44"/>
      <c r="EA290" s="15"/>
      <c r="EF290" s="10"/>
      <c r="EL290" s="10"/>
      <c r="EN290" s="10"/>
      <c r="EO290" s="10"/>
      <c r="EP290" s="10"/>
      <c r="EQ290" s="10"/>
    </row>
    <row r="291" spans="2:147" s="16" customFormat="1">
      <c r="B291" s="1522" t="s">
        <v>202</v>
      </c>
      <c r="C291" s="1523"/>
      <c r="D291" s="1523"/>
      <c r="E291" s="1523"/>
      <c r="F291" s="1523"/>
      <c r="G291" s="1523"/>
      <c r="H291" s="1524">
        <f>H4</f>
        <v>2017</v>
      </c>
      <c r="I291" s="1524">
        <f>I4</f>
        <v>2018</v>
      </c>
      <c r="J291" s="1524">
        <f>J4</f>
        <v>2019</v>
      </c>
      <c r="K291" s="1525">
        <f>K4</f>
        <v>2020</v>
      </c>
      <c r="L291" s="1524">
        <v>2021</v>
      </c>
      <c r="M291" s="2600">
        <v>2022</v>
      </c>
      <c r="N291" s="2600"/>
      <c r="O291" s="2600"/>
      <c r="P291" s="2600"/>
      <c r="Q291" s="1525">
        <v>2026</v>
      </c>
      <c r="R291" s="1525">
        <v>2027</v>
      </c>
      <c r="S291" s="2796">
        <v>2028</v>
      </c>
      <c r="T291" s="2778"/>
      <c r="U291" s="2778"/>
      <c r="V291" s="1524">
        <v>2024</v>
      </c>
      <c r="W291" s="1525">
        <v>2025</v>
      </c>
      <c r="Z291" s="213"/>
      <c r="AB291" s="200"/>
      <c r="BZ291" s="392"/>
      <c r="CD291" s="392"/>
      <c r="CE291" s="392"/>
      <c r="CF291" s="392"/>
      <c r="CG291" s="392"/>
      <c r="CH291" s="392"/>
      <c r="CI291" s="392"/>
      <c r="CJ291" s="392"/>
      <c r="CL291" s="2777"/>
      <c r="CM291" s="2777"/>
      <c r="CN291" s="3390"/>
      <c r="CO291" s="3390"/>
      <c r="CP291" s="3390"/>
      <c r="CQ291" s="3390"/>
      <c r="CR291" s="2184"/>
      <c r="CS291" s="2184"/>
      <c r="CT291" s="2184"/>
      <c r="DE291" s="202"/>
      <c r="DG291" s="43"/>
      <c r="DH291" s="43"/>
      <c r="DI291" s="43"/>
      <c r="DJ291" s="44"/>
      <c r="DK291" s="44"/>
      <c r="DL291" s="44"/>
      <c r="DM291" s="44"/>
      <c r="DN291" s="44"/>
      <c r="EA291" s="15"/>
      <c r="EF291" s="10"/>
      <c r="EL291" s="10"/>
      <c r="EN291" s="10"/>
      <c r="EO291" s="10"/>
      <c r="EP291" s="10"/>
      <c r="EQ291" s="10"/>
    </row>
    <row r="292" spans="2:147" s="16" customFormat="1">
      <c r="B292" s="60" t="s">
        <v>163</v>
      </c>
      <c r="C292" s="10"/>
      <c r="D292" s="10"/>
      <c r="E292" s="10"/>
      <c r="F292" s="10"/>
      <c r="G292" s="10"/>
      <c r="H292" s="772">
        <v>46619</v>
      </c>
      <c r="I292" s="772">
        <v>21900</v>
      </c>
      <c r="J292" s="772">
        <v>26660</v>
      </c>
      <c r="K292" s="772">
        <v>32450</v>
      </c>
      <c r="L292" s="772">
        <v>34720</v>
      </c>
      <c r="M292" s="1139">
        <v>42420</v>
      </c>
      <c r="N292" s="1139"/>
      <c r="O292" s="1139"/>
      <c r="P292" s="1139"/>
      <c r="Q292" s="1139"/>
      <c r="R292" s="1139"/>
      <c r="S292" s="1140"/>
      <c r="T292" s="2724"/>
      <c r="U292" s="2724"/>
      <c r="V292" s="1139">
        <v>61850</v>
      </c>
      <c r="W292" s="1139">
        <v>75400</v>
      </c>
      <c r="Z292" s="213"/>
      <c r="AB292" s="200"/>
      <c r="BZ292" s="392"/>
      <c r="CD292" s="392"/>
      <c r="CE292" s="392"/>
      <c r="CF292" s="392"/>
      <c r="CG292" s="392"/>
      <c r="CH292" s="392"/>
      <c r="CI292" s="392"/>
      <c r="CJ292" s="392"/>
      <c r="CL292" s="2777"/>
      <c r="CM292" s="2777"/>
      <c r="CN292" s="3390"/>
      <c r="CO292" s="3390"/>
      <c r="CP292" s="3390"/>
      <c r="CQ292" s="3390"/>
      <c r="CR292" s="2184"/>
      <c r="CS292" s="2184"/>
      <c r="CT292" s="2184"/>
      <c r="DE292" s="202"/>
      <c r="DG292" s="43"/>
      <c r="DH292" s="43"/>
      <c r="DI292" s="43"/>
      <c r="DJ292" s="44"/>
      <c r="DK292" s="44"/>
      <c r="DL292" s="44"/>
      <c r="DM292" s="44"/>
      <c r="DN292" s="44"/>
      <c r="EA292" s="15"/>
      <c r="EF292" s="10"/>
      <c r="EL292" s="10"/>
      <c r="EN292" s="10"/>
      <c r="EO292" s="10"/>
      <c r="EP292" s="10"/>
      <c r="EQ292" s="10"/>
    </row>
    <row r="293" spans="2:147" s="16" customFormat="1">
      <c r="B293" s="2352" t="s">
        <v>1640</v>
      </c>
      <c r="C293" s="10"/>
      <c r="D293" s="10"/>
      <c r="E293" s="10"/>
      <c r="F293" s="10"/>
      <c r="G293" s="10"/>
      <c r="H293" s="772"/>
      <c r="I293" s="772"/>
      <c r="J293" s="772"/>
      <c r="K293" s="772"/>
      <c r="L293" s="772"/>
      <c r="M293" s="1139"/>
      <c r="N293" s="1139"/>
      <c r="O293" s="1139"/>
      <c r="P293" s="1139"/>
      <c r="Q293" s="1139"/>
      <c r="R293" s="1139"/>
      <c r="S293" s="1140"/>
      <c r="T293" s="2724"/>
      <c r="U293" s="2724"/>
      <c r="V293" s="1139"/>
      <c r="W293" s="1139"/>
      <c r="Z293" s="213"/>
      <c r="AB293" s="200"/>
      <c r="BZ293" s="392"/>
      <c r="CD293" s="392"/>
      <c r="CE293" s="392"/>
      <c r="CF293" s="392"/>
      <c r="CG293" s="392"/>
      <c r="CH293" s="392"/>
      <c r="CI293" s="392"/>
      <c r="CJ293" s="392"/>
      <c r="CL293" s="2777"/>
      <c r="CM293" s="2777"/>
      <c r="CN293" s="3390"/>
      <c r="CO293" s="3390"/>
      <c r="CP293" s="3390"/>
      <c r="CQ293" s="3390"/>
      <c r="CR293" s="2184"/>
      <c r="CS293" s="2184"/>
      <c r="CT293" s="2184"/>
      <c r="DE293" s="202"/>
      <c r="DG293" s="43"/>
      <c r="DH293" s="43"/>
      <c r="DI293" s="43"/>
      <c r="DJ293" s="44"/>
      <c r="DK293" s="44"/>
      <c r="DL293" s="44"/>
      <c r="DM293" s="44"/>
      <c r="DN293" s="44"/>
      <c r="EA293" s="15"/>
      <c r="EF293" s="10"/>
      <c r="EL293" s="10"/>
      <c r="EN293" s="10"/>
      <c r="EO293" s="10"/>
      <c r="EP293" s="10"/>
      <c r="EQ293" s="10"/>
    </row>
    <row r="294" spans="2:147" s="16" customFormat="1">
      <c r="B294" s="705" t="s">
        <v>201</v>
      </c>
      <c r="C294" s="28"/>
      <c r="D294" s="28"/>
      <c r="E294" s="28"/>
      <c r="F294" s="28"/>
      <c r="G294" s="28"/>
      <c r="H294" s="151"/>
      <c r="I294" s="152">
        <f t="shared" ref="I294:M294" si="291">I292/H292-1</f>
        <v>-0.53023445376348699</v>
      </c>
      <c r="J294" s="152">
        <f t="shared" si="291"/>
        <v>0.2173515981735159</v>
      </c>
      <c r="K294" s="152">
        <f t="shared" si="291"/>
        <v>0.2171792948237059</v>
      </c>
      <c r="L294" s="152">
        <f t="shared" si="291"/>
        <v>6.9953775038520849E-2</v>
      </c>
      <c r="M294" s="152">
        <f t="shared" si="291"/>
        <v>0.22177419354838701</v>
      </c>
      <c r="N294" s="152"/>
      <c r="O294" s="152"/>
      <c r="P294" s="152"/>
      <c r="Q294" s="152"/>
      <c r="R294" s="152"/>
      <c r="S294" s="1143"/>
      <c r="T294" s="2770"/>
      <c r="U294" s="2770"/>
      <c r="V294" s="152"/>
      <c r="W294" s="1144"/>
      <c r="Z294" s="213"/>
      <c r="AB294" s="200"/>
      <c r="BZ294" s="392"/>
      <c r="CD294" s="392"/>
      <c r="CE294" s="392"/>
      <c r="CF294" s="392"/>
      <c r="CG294" s="392"/>
      <c r="CH294" s="392"/>
      <c r="CI294" s="392"/>
      <c r="CJ294" s="392"/>
      <c r="CL294" s="2777"/>
      <c r="CM294" s="2777"/>
      <c r="CN294" s="3390"/>
      <c r="CO294" s="3390"/>
      <c r="CP294" s="3390"/>
      <c r="CQ294" s="3390"/>
      <c r="CR294" s="2184"/>
      <c r="CS294" s="2184"/>
      <c r="CT294" s="2184"/>
      <c r="DE294" s="202"/>
      <c r="DG294" s="43"/>
      <c r="DH294" s="43"/>
      <c r="DI294" s="43"/>
      <c r="DJ294" s="44"/>
      <c r="DK294" s="44"/>
      <c r="DL294" s="44"/>
      <c r="DM294" s="44"/>
      <c r="DN294" s="44"/>
      <c r="EA294" s="15"/>
      <c r="EF294" s="10"/>
      <c r="EL294" s="10"/>
      <c r="EN294" s="10"/>
      <c r="EO294" s="10"/>
      <c r="EP294" s="10"/>
      <c r="EQ294" s="10"/>
    </row>
    <row r="295" spans="2:147">
      <c r="B295" s="60" t="s">
        <v>203</v>
      </c>
      <c r="H295" s="1139">
        <v>3408</v>
      </c>
      <c r="I295" s="1139">
        <v>3484</v>
      </c>
      <c r="J295" s="1139">
        <v>4460</v>
      </c>
      <c r="K295" s="1139">
        <v>5510</v>
      </c>
      <c r="L295" s="1139">
        <v>6210</v>
      </c>
      <c r="M295" s="1139">
        <v>7618</v>
      </c>
      <c r="N295" s="1139"/>
      <c r="O295" s="1139"/>
      <c r="P295" s="1139"/>
      <c r="Q295" s="1139"/>
      <c r="R295" s="1139"/>
      <c r="S295" s="1140"/>
      <c r="T295" s="2724"/>
      <c r="U295" s="2724"/>
      <c r="V295" s="1139">
        <v>10875</v>
      </c>
      <c r="W295" s="1139">
        <v>13395</v>
      </c>
      <c r="AV295" s="217"/>
      <c r="BY295" s="10"/>
      <c r="BZ295" s="62"/>
      <c r="CA295" s="10"/>
      <c r="CB295" s="10"/>
      <c r="CC295" s="10"/>
      <c r="CD295" s="62"/>
      <c r="CE295" s="62"/>
      <c r="CF295" s="62"/>
      <c r="CG295" s="62"/>
      <c r="CH295" s="62"/>
      <c r="CI295" s="62"/>
      <c r="CJ295" s="62"/>
      <c r="CK295" s="10"/>
      <c r="CT295" s="67"/>
      <c r="CU295" s="10"/>
      <c r="CV295" s="10"/>
      <c r="CW295" s="10"/>
      <c r="CX295" s="10"/>
      <c r="CY295" s="10"/>
      <c r="CZ295" s="10"/>
      <c r="DA295" s="10"/>
      <c r="DC295" s="10"/>
      <c r="DO295" s="16"/>
      <c r="DP295" s="16"/>
      <c r="DQ295" s="16"/>
      <c r="DR295" s="16"/>
      <c r="DS295" s="16"/>
      <c r="DT295" s="16"/>
      <c r="DU295" s="16"/>
      <c r="DV295" s="16"/>
      <c r="DW295" s="16"/>
      <c r="DX295" s="16"/>
      <c r="DY295" s="16"/>
      <c r="DZ295" s="16"/>
      <c r="EB295" s="16"/>
      <c r="EC295" s="16"/>
      <c r="ED295" s="16"/>
      <c r="EE295" s="16"/>
      <c r="EG295" s="16"/>
      <c r="EH295" s="16"/>
      <c r="EI295" s="16"/>
      <c r="EJ295" s="16"/>
      <c r="EK295" s="16"/>
    </row>
    <row r="296" spans="2:147">
      <c r="B296" s="952" t="s">
        <v>201</v>
      </c>
      <c r="C296" s="187"/>
      <c r="D296" s="187"/>
      <c r="E296" s="187"/>
      <c r="F296" s="187"/>
      <c r="G296" s="187"/>
      <c r="H296" s="1141"/>
      <c r="I296" s="1145">
        <f t="shared" ref="I296:M296" si="292">I295/H295-1</f>
        <v>2.2300469483568008E-2</v>
      </c>
      <c r="J296" s="1145">
        <f t="shared" si="292"/>
        <v>0.28013777267508622</v>
      </c>
      <c r="K296" s="1145">
        <f t="shared" si="292"/>
        <v>0.23542600896860977</v>
      </c>
      <c r="L296" s="1145">
        <f t="shared" si="292"/>
        <v>0.12704174228675136</v>
      </c>
      <c r="M296" s="152">
        <f t="shared" si="292"/>
        <v>0.22673107890499189</v>
      </c>
      <c r="N296" s="152"/>
      <c r="O296" s="152"/>
      <c r="P296" s="152"/>
      <c r="Q296" s="1145"/>
      <c r="R296" s="1145"/>
      <c r="S296" s="1143"/>
      <c r="T296" s="2770"/>
      <c r="U296" s="2770"/>
      <c r="V296" s="1145"/>
      <c r="W296" s="1145"/>
      <c r="Z296" s="198"/>
      <c r="BY296" s="10"/>
      <c r="BZ296" s="62"/>
      <c r="CA296" s="10"/>
      <c r="CB296" s="10"/>
      <c r="CC296" s="10"/>
      <c r="CD296" s="62"/>
      <c r="CE296" s="62"/>
      <c r="CF296" s="62"/>
      <c r="CG296" s="62"/>
      <c r="CH296" s="62"/>
      <c r="CI296" s="62"/>
      <c r="CJ296" s="62"/>
      <c r="CK296" s="10"/>
      <c r="CT296" s="67"/>
      <c r="CU296" s="10"/>
      <c r="CV296" s="10"/>
      <c r="CW296" s="10"/>
      <c r="CX296" s="10"/>
      <c r="CY296" s="10"/>
      <c r="CZ296" s="10"/>
      <c r="DA296" s="10"/>
      <c r="DC296" s="10"/>
      <c r="DO296" s="16"/>
      <c r="DP296" s="16"/>
      <c r="DQ296" s="16"/>
      <c r="DR296" s="16"/>
      <c r="DS296" s="16"/>
      <c r="DT296" s="16"/>
      <c r="DU296" s="16"/>
      <c r="DV296" s="16"/>
      <c r="DW296" s="16"/>
      <c r="DX296" s="16"/>
      <c r="DY296" s="16"/>
      <c r="DZ296" s="16"/>
      <c r="EB296" s="16"/>
      <c r="EC296" s="16"/>
      <c r="ED296" s="16"/>
      <c r="EE296" s="16"/>
      <c r="EG296" s="16"/>
      <c r="EH296" s="16"/>
      <c r="EI296" s="16"/>
      <c r="EJ296" s="16"/>
      <c r="EK296" s="16"/>
      <c r="EQ296" s="16"/>
    </row>
    <row r="297" spans="2:147">
      <c r="B297" s="1836"/>
      <c r="C297" s="196"/>
      <c r="D297" s="196"/>
      <c r="E297" s="196"/>
      <c r="F297" s="196"/>
      <c r="G297" s="196"/>
      <c r="H297" s="1837"/>
      <c r="I297" s="1371"/>
      <c r="J297" s="1837"/>
      <c r="K297" s="1837"/>
      <c r="L297" s="1837"/>
      <c r="M297" s="1837"/>
      <c r="N297" s="1837"/>
      <c r="O297" s="1837"/>
      <c r="P297" s="1837"/>
      <c r="Q297" s="1837"/>
      <c r="R297" s="1837"/>
      <c r="S297" s="1838"/>
      <c r="T297" s="2740"/>
      <c r="U297" s="2740"/>
      <c r="V297" s="1837"/>
      <c r="W297" s="1837"/>
      <c r="Z297" s="198"/>
      <c r="AQ297" s="218"/>
      <c r="AR297" s="218"/>
      <c r="AS297" s="218"/>
      <c r="AT297" s="218"/>
      <c r="BY297" s="10"/>
      <c r="BZ297" s="62"/>
      <c r="CA297" s="10"/>
      <c r="CB297" s="10"/>
      <c r="CC297" s="10"/>
      <c r="CD297" s="62"/>
      <c r="CE297" s="62"/>
      <c r="CF297" s="62"/>
      <c r="CG297" s="62"/>
      <c r="CH297" s="62"/>
      <c r="CI297" s="62"/>
      <c r="CJ297" s="62"/>
      <c r="CK297" s="10"/>
      <c r="CT297" s="67"/>
      <c r="CU297" s="10"/>
      <c r="CV297" s="10"/>
      <c r="CW297" s="10"/>
      <c r="CX297" s="10"/>
      <c r="CY297" s="10"/>
      <c r="CZ297" s="10"/>
      <c r="DA297" s="10"/>
      <c r="DC297" s="10"/>
      <c r="EP297" s="16"/>
    </row>
    <row r="298" spans="2:147">
      <c r="B298" s="1836" t="s">
        <v>894</v>
      </c>
      <c r="C298" s="196"/>
      <c r="D298" s="196"/>
      <c r="E298" s="196"/>
      <c r="F298" s="196"/>
      <c r="G298" s="196"/>
      <c r="H298" s="1371"/>
      <c r="I298" s="140">
        <f t="shared" ref="I298:M298" si="293">I9/I292</f>
        <v>1.0599788519509132</v>
      </c>
      <c r="J298" s="140">
        <f t="shared" si="293"/>
        <v>1.0396459171896097</v>
      </c>
      <c r="K298" s="140">
        <f t="shared" si="293"/>
        <v>0.9192727435076733</v>
      </c>
      <c r="L298" s="140">
        <f t="shared" si="293"/>
        <v>1.0269948889696716</v>
      </c>
      <c r="M298" s="140">
        <f t="shared" si="293"/>
        <v>1.0374711853114333</v>
      </c>
      <c r="N298" s="140"/>
      <c r="O298" s="140"/>
      <c r="P298" s="140"/>
      <c r="Q298" s="1371"/>
      <c r="R298" s="1371"/>
      <c r="S298" s="1839"/>
      <c r="T298" s="2741"/>
      <c r="U298" s="2599"/>
      <c r="V298" s="1371"/>
      <c r="W298" s="1371"/>
      <c r="BY298" s="10"/>
      <c r="BZ298" s="62"/>
      <c r="CA298" s="10"/>
      <c r="CB298" s="10"/>
      <c r="CC298" s="10"/>
      <c r="CD298" s="62"/>
      <c r="CE298" s="62"/>
      <c r="CF298" s="62"/>
      <c r="CG298" s="62"/>
      <c r="CH298" s="62"/>
      <c r="CI298" s="62"/>
      <c r="CJ298" s="62"/>
      <c r="CK298" s="10"/>
      <c r="CT298" s="67"/>
      <c r="CU298" s="10"/>
      <c r="CV298" s="10"/>
      <c r="CW298" s="10"/>
      <c r="CX298" s="10"/>
      <c r="CY298" s="10"/>
      <c r="CZ298" s="10"/>
      <c r="DA298" s="10"/>
      <c r="DC298" s="10"/>
      <c r="EF298" s="16"/>
      <c r="EL298" s="16"/>
      <c r="EN298" s="16"/>
      <c r="EO298" s="16"/>
    </row>
    <row r="299" spans="2:147">
      <c r="B299" s="1836" t="s">
        <v>894</v>
      </c>
      <c r="C299" s="28"/>
      <c r="D299" s="28"/>
      <c r="E299" s="28"/>
      <c r="F299" s="28"/>
      <c r="G299" s="28"/>
      <c r="H299" s="1371"/>
      <c r="I299" s="140">
        <f t="shared" ref="I299:M299" si="294">I47/I295</f>
        <v>1.1072337988536172</v>
      </c>
      <c r="J299" s="140">
        <f t="shared" si="294"/>
        <v>1.0458588591269056</v>
      </c>
      <c r="K299" s="140">
        <f t="shared" si="294"/>
        <v>0.95525528674537186</v>
      </c>
      <c r="L299" s="140">
        <f t="shared" si="294"/>
        <v>1.0204841289787441</v>
      </c>
      <c r="M299" s="140">
        <f t="shared" si="294"/>
        <v>1.0058129377631926</v>
      </c>
      <c r="N299" s="140"/>
      <c r="O299" s="140"/>
      <c r="P299" s="140"/>
      <c r="Q299" s="1840"/>
      <c r="R299" s="1840"/>
      <c r="S299" s="1841"/>
      <c r="T299" s="2732"/>
      <c r="U299" s="2599"/>
      <c r="V299" s="1840"/>
      <c r="W299" s="1840"/>
      <c r="Z299" s="219"/>
      <c r="BY299" s="10"/>
      <c r="BZ299" s="62"/>
      <c r="CA299" s="10"/>
      <c r="CB299" s="10"/>
      <c r="CC299" s="10"/>
      <c r="CD299" s="62"/>
      <c r="CE299" s="62"/>
      <c r="CF299" s="62"/>
      <c r="CG299" s="62"/>
      <c r="CH299" s="62"/>
      <c r="CI299" s="62"/>
      <c r="CJ299" s="62"/>
      <c r="CK299" s="10"/>
      <c r="CT299" s="67"/>
      <c r="CU299" s="10"/>
      <c r="CV299" s="10"/>
      <c r="CW299" s="10"/>
      <c r="CX299" s="10"/>
      <c r="CY299" s="10"/>
      <c r="CZ299" s="10"/>
      <c r="DA299" s="10"/>
      <c r="DC299" s="10"/>
    </row>
    <row r="300" spans="2:147">
      <c r="B300" s="118"/>
      <c r="C300" s="28"/>
      <c r="D300" s="28"/>
      <c r="E300" s="28"/>
      <c r="F300" s="28"/>
      <c r="G300" s="28"/>
      <c r="H300" s="1371"/>
      <c r="I300" s="1371"/>
      <c r="J300" s="1371"/>
      <c r="K300" s="1371"/>
      <c r="L300" s="1371"/>
      <c r="M300" s="1371"/>
      <c r="N300" s="1371"/>
      <c r="O300" s="1371"/>
      <c r="P300" s="1371"/>
      <c r="Q300" s="1840"/>
      <c r="R300" s="1840"/>
      <c r="S300" s="1841"/>
      <c r="T300" s="2732"/>
      <c r="U300" s="2741"/>
      <c r="V300" s="1840"/>
      <c r="W300" s="1840"/>
      <c r="Z300" s="219"/>
      <c r="BY300" s="10"/>
      <c r="BZ300" s="62"/>
      <c r="CA300" s="10"/>
      <c r="CB300" s="10"/>
      <c r="CC300" s="10"/>
      <c r="CD300" s="62"/>
      <c r="CE300" s="62"/>
      <c r="CF300" s="62"/>
      <c r="CG300" s="62"/>
      <c r="CH300" s="62"/>
      <c r="CI300" s="62"/>
      <c r="CJ300" s="62"/>
      <c r="CK300" s="10"/>
      <c r="CT300" s="67"/>
      <c r="CU300" s="10"/>
      <c r="CV300" s="10"/>
      <c r="CW300" s="10"/>
      <c r="CX300" s="10"/>
      <c r="CY300" s="10"/>
      <c r="CZ300" s="10"/>
      <c r="DA300" s="10"/>
      <c r="DC300" s="10"/>
    </row>
    <row r="301" spans="2:147">
      <c r="B301" s="118" t="s">
        <v>989</v>
      </c>
      <c r="C301" s="28"/>
      <c r="D301" s="28"/>
      <c r="E301" s="28"/>
      <c r="F301" s="28"/>
      <c r="G301" s="28"/>
      <c r="H301" s="1371"/>
      <c r="I301" s="1371"/>
      <c r="J301" s="140">
        <f>J292/I9-1</f>
        <v>0.14846781700687228</v>
      </c>
      <c r="K301" s="140">
        <f>K292/J9-1</f>
        <v>0.17076330960256891</v>
      </c>
      <c r="L301" s="140">
        <f>L292/K9-1</f>
        <v>0.16391330276572025</v>
      </c>
      <c r="M301" s="140">
        <f>M292/L9-1</f>
        <v>0.18965946829017533</v>
      </c>
      <c r="N301" s="140"/>
      <c r="O301" s="140"/>
      <c r="P301" s="140"/>
      <c r="Q301" s="1840"/>
      <c r="R301" s="1840"/>
      <c r="S301" s="1841"/>
      <c r="T301" s="2732"/>
      <c r="U301" s="2599"/>
      <c r="V301" s="1840"/>
      <c r="W301" s="1840"/>
      <c r="BY301" s="10"/>
      <c r="BZ301" s="62"/>
      <c r="CA301" s="10"/>
      <c r="CB301" s="10"/>
      <c r="CC301" s="10"/>
      <c r="CD301" s="62"/>
      <c r="CE301" s="62"/>
      <c r="CF301" s="62"/>
      <c r="CG301" s="62"/>
      <c r="CH301" s="62"/>
      <c r="CI301" s="62"/>
      <c r="CJ301" s="62"/>
      <c r="CK301" s="10"/>
      <c r="CT301" s="67"/>
      <c r="CU301" s="10"/>
      <c r="CV301" s="10"/>
      <c r="CW301" s="10"/>
      <c r="CX301" s="10"/>
      <c r="CY301" s="10"/>
      <c r="CZ301" s="10"/>
      <c r="DA301" s="10"/>
      <c r="DC301" s="10"/>
    </row>
    <row r="302" spans="2:147">
      <c r="B302" s="185" t="s">
        <v>989</v>
      </c>
      <c r="C302" s="187"/>
      <c r="D302" s="187"/>
      <c r="E302" s="187"/>
      <c r="F302" s="187"/>
      <c r="G302" s="187"/>
      <c r="H302" s="1145"/>
      <c r="I302" s="1145"/>
      <c r="J302" s="1145">
        <f>J295/I47-1</f>
        <v>0.15615850419350141</v>
      </c>
      <c r="K302" s="1145">
        <f>K295/J47-1</f>
        <v>0.18125500222846225</v>
      </c>
      <c r="L302" s="1145">
        <f>L295/K47-1</f>
        <v>0.1798330330383926</v>
      </c>
      <c r="M302" s="152">
        <f>M295/L47-1</f>
        <v>0.20210696479194712</v>
      </c>
      <c r="N302" s="152"/>
      <c r="O302" s="152"/>
      <c r="P302" s="152"/>
      <c r="Q302" s="1145"/>
      <c r="R302" s="1145"/>
      <c r="S302" s="1143"/>
      <c r="T302" s="2770"/>
      <c r="U302" s="2770"/>
      <c r="V302" s="1145"/>
      <c r="W302" s="1145"/>
      <c r="Z302" s="10"/>
      <c r="AB302" s="10"/>
      <c r="BY302" s="10"/>
      <c r="BZ302" s="62"/>
      <c r="CA302" s="10"/>
      <c r="CB302" s="10"/>
      <c r="CC302" s="10"/>
      <c r="CD302" s="62"/>
      <c r="CE302" s="62"/>
      <c r="CF302" s="62"/>
      <c r="CG302" s="62"/>
      <c r="CH302" s="62"/>
      <c r="CI302" s="62"/>
      <c r="CJ302" s="62"/>
      <c r="CK302" s="10"/>
      <c r="CT302" s="67"/>
      <c r="CU302" s="10"/>
      <c r="CV302" s="10"/>
      <c r="CW302" s="10"/>
      <c r="CX302" s="10"/>
      <c r="CY302" s="10"/>
      <c r="CZ302" s="10"/>
      <c r="DA302" s="10"/>
      <c r="DC302" s="10"/>
      <c r="DG302" s="106"/>
      <c r="DH302" s="106"/>
      <c r="DI302" s="106"/>
      <c r="DJ302" s="205"/>
      <c r="DK302" s="205"/>
      <c r="DL302" s="205"/>
      <c r="DM302" s="205"/>
      <c r="DN302" s="205"/>
    </row>
    <row r="303" spans="2:147">
      <c r="B303" s="16"/>
      <c r="C303" s="16"/>
      <c r="D303" s="16"/>
      <c r="E303" s="16"/>
      <c r="F303" s="16"/>
      <c r="G303" s="16"/>
      <c r="H303" s="216"/>
      <c r="I303" s="216"/>
      <c r="J303" s="216"/>
      <c r="K303" s="216"/>
      <c r="L303" s="216"/>
      <c r="M303" s="2594"/>
      <c r="N303" s="2594"/>
      <c r="O303" s="2594"/>
      <c r="P303" s="2594"/>
      <c r="Q303" s="216"/>
      <c r="R303" s="216"/>
      <c r="S303" s="2797"/>
      <c r="T303" s="3278"/>
      <c r="U303" s="2742"/>
      <c r="V303" s="216"/>
      <c r="W303" s="216"/>
      <c r="Z303" s="10"/>
      <c r="AB303" s="10"/>
      <c r="BY303" s="10"/>
      <c r="BZ303" s="62"/>
      <c r="CA303" s="10"/>
      <c r="CB303" s="10"/>
      <c r="CC303" s="10"/>
      <c r="CD303" s="62"/>
      <c r="CE303" s="62"/>
      <c r="CF303" s="62"/>
      <c r="CG303" s="62"/>
      <c r="CH303" s="62"/>
      <c r="CI303" s="62"/>
      <c r="CJ303" s="62"/>
      <c r="CK303" s="10"/>
      <c r="CT303" s="67"/>
      <c r="CU303" s="10"/>
      <c r="CV303" s="10"/>
      <c r="CW303" s="10"/>
      <c r="CX303" s="10"/>
      <c r="CY303" s="10"/>
      <c r="CZ303" s="10"/>
      <c r="DA303" s="10"/>
      <c r="DC303" s="10"/>
    </row>
    <row r="304" spans="2:147">
      <c r="B304" s="197"/>
      <c r="C304" s="197"/>
      <c r="D304" s="197"/>
      <c r="E304" s="197"/>
      <c r="F304" s="197"/>
      <c r="G304" s="197"/>
      <c r="L304" s="198"/>
      <c r="Z304" s="10"/>
      <c r="AB304" s="10"/>
      <c r="BY304" s="10"/>
      <c r="BZ304" s="62"/>
      <c r="CA304" s="10"/>
      <c r="CB304" s="10"/>
      <c r="CC304" s="10"/>
      <c r="CD304" s="62"/>
      <c r="CE304" s="62"/>
      <c r="CF304" s="62"/>
      <c r="CG304" s="62"/>
      <c r="CH304" s="62"/>
      <c r="CI304" s="62"/>
      <c r="CJ304" s="62"/>
      <c r="CK304" s="10"/>
      <c r="CT304" s="67"/>
      <c r="CU304" s="10"/>
      <c r="CV304" s="10"/>
      <c r="CW304" s="10"/>
      <c r="CX304" s="10"/>
      <c r="CY304" s="10"/>
      <c r="CZ304" s="10"/>
      <c r="DA304" s="10"/>
      <c r="DC304" s="10"/>
    </row>
    <row r="305" spans="2:107">
      <c r="B305" s="197"/>
      <c r="C305" s="197"/>
      <c r="D305" s="197"/>
      <c r="E305" s="197"/>
      <c r="F305" s="197"/>
      <c r="G305" s="197"/>
      <c r="H305" s="198"/>
      <c r="I305" s="198"/>
      <c r="J305" s="198"/>
      <c r="K305" s="198"/>
      <c r="L305" s="198"/>
      <c r="M305" s="198"/>
      <c r="N305" s="198"/>
      <c r="O305" s="198"/>
      <c r="P305" s="198"/>
      <c r="Q305" s="198"/>
      <c r="R305" s="198"/>
      <c r="S305" s="2790"/>
      <c r="T305" s="2779"/>
      <c r="U305" s="2779"/>
      <c r="V305" s="198"/>
      <c r="W305" s="198"/>
      <c r="Z305" s="10"/>
      <c r="AB305" s="10"/>
      <c r="BY305" s="10"/>
      <c r="BZ305" s="62"/>
      <c r="CA305" s="10"/>
      <c r="CB305" s="10"/>
      <c r="CC305" s="10"/>
      <c r="CD305" s="62"/>
      <c r="CE305" s="62"/>
      <c r="CF305" s="62"/>
      <c r="CG305" s="62"/>
      <c r="CH305" s="62"/>
      <c r="CI305" s="62"/>
      <c r="CJ305" s="62"/>
      <c r="CK305" s="10"/>
      <c r="CT305" s="67"/>
      <c r="CU305" s="10"/>
      <c r="CV305" s="10"/>
      <c r="CW305" s="10"/>
      <c r="CX305" s="10"/>
      <c r="CY305" s="10"/>
      <c r="CZ305" s="10"/>
      <c r="DA305" s="10"/>
      <c r="DC305" s="10"/>
    </row>
    <row r="306" spans="2:107">
      <c r="B306" s="197"/>
      <c r="C306" s="197"/>
      <c r="D306" s="197"/>
      <c r="E306" s="197"/>
      <c r="F306" s="197"/>
      <c r="G306" s="197"/>
      <c r="H306" s="198"/>
      <c r="I306" s="198"/>
      <c r="J306" s="198"/>
      <c r="K306" s="198"/>
      <c r="L306" s="198"/>
      <c r="M306" s="198"/>
      <c r="N306" s="198"/>
      <c r="O306" s="198"/>
      <c r="P306" s="198"/>
      <c r="Q306" s="198"/>
      <c r="R306" s="198"/>
      <c r="S306" s="2790"/>
      <c r="T306" s="2779"/>
      <c r="U306" s="2779"/>
      <c r="V306" s="198"/>
      <c r="W306" s="198"/>
      <c r="Z306" s="10"/>
      <c r="AB306" s="10"/>
      <c r="BY306" s="10"/>
      <c r="BZ306" s="62"/>
      <c r="CA306" s="10"/>
      <c r="CB306" s="10"/>
      <c r="CC306" s="10"/>
      <c r="CD306" s="62"/>
      <c r="CE306" s="62"/>
      <c r="CF306" s="62"/>
      <c r="CG306" s="62"/>
      <c r="CH306" s="62"/>
      <c r="CI306" s="62"/>
      <c r="CJ306" s="62"/>
      <c r="CK306" s="10"/>
      <c r="CT306" s="67"/>
      <c r="CU306" s="10"/>
      <c r="CV306" s="10"/>
      <c r="CW306" s="10"/>
      <c r="CX306" s="10"/>
      <c r="CY306" s="10"/>
      <c r="CZ306" s="10"/>
      <c r="DA306" s="10"/>
      <c r="DC306" s="10"/>
    </row>
    <row r="307" spans="2:107">
      <c r="B307" s="197"/>
      <c r="C307" s="197"/>
      <c r="D307" s="197"/>
      <c r="E307" s="197"/>
      <c r="F307" s="197"/>
      <c r="G307" s="197"/>
      <c r="H307" s="198"/>
      <c r="I307" s="198"/>
      <c r="J307" s="198"/>
      <c r="K307" s="198"/>
      <c r="L307" s="198"/>
      <c r="M307" s="198"/>
      <c r="N307" s="198"/>
      <c r="O307" s="198"/>
      <c r="P307" s="198"/>
      <c r="Q307" s="198"/>
      <c r="R307" s="198"/>
      <c r="S307" s="2790"/>
      <c r="T307" s="2779"/>
      <c r="U307" s="2779"/>
      <c r="V307" s="203">
        <v>5195</v>
      </c>
      <c r="W307" s="198"/>
      <c r="Z307" s="10"/>
      <c r="AB307" s="10"/>
      <c r="BY307" s="10"/>
      <c r="BZ307" s="62"/>
      <c r="CA307" s="10"/>
      <c r="CB307" s="10"/>
      <c r="CC307" s="10"/>
      <c r="CD307" s="62"/>
      <c r="CE307" s="62"/>
      <c r="CF307" s="62"/>
      <c r="CG307" s="62"/>
      <c r="CH307" s="62"/>
      <c r="CI307" s="62"/>
      <c r="CJ307" s="62"/>
      <c r="CK307" s="10"/>
      <c r="CT307" s="67"/>
      <c r="CU307" s="10"/>
      <c r="CV307" s="10"/>
      <c r="CW307" s="10"/>
      <c r="CX307" s="10"/>
      <c r="CY307" s="10"/>
      <c r="CZ307" s="10"/>
      <c r="DA307" s="10"/>
      <c r="DC307" s="10"/>
    </row>
    <row r="308" spans="2:107">
      <c r="B308" s="220"/>
      <c r="C308" s="220"/>
      <c r="D308" s="220"/>
      <c r="E308" s="220"/>
      <c r="F308" s="220"/>
      <c r="G308" s="220"/>
      <c r="H308" s="2531" t="s">
        <v>1237</v>
      </c>
      <c r="I308" s="2531" t="s">
        <v>1143</v>
      </c>
      <c r="J308" s="2531" t="s">
        <v>203</v>
      </c>
      <c r="K308" s="2534" t="s">
        <v>1712</v>
      </c>
      <c r="L308" s="2596" t="s">
        <v>203</v>
      </c>
      <c r="M308" s="219" t="s">
        <v>1713</v>
      </c>
      <c r="N308" s="219" t="s">
        <v>1714</v>
      </c>
      <c r="O308" s="219"/>
      <c r="P308" s="219"/>
      <c r="Q308" s="219"/>
      <c r="R308" s="219"/>
      <c r="S308" s="2798"/>
      <c r="T308" s="2774"/>
      <c r="U308" s="2774"/>
      <c r="V308" s="203">
        <v>3508</v>
      </c>
      <c r="W308" s="219"/>
      <c r="BY308" s="10"/>
      <c r="BZ308" s="62"/>
      <c r="CA308" s="10"/>
      <c r="CB308" s="10"/>
      <c r="CC308" s="10"/>
      <c r="CD308" s="62"/>
      <c r="CE308" s="62"/>
      <c r="CF308" s="62"/>
      <c r="CG308" s="62"/>
      <c r="CH308" s="62"/>
      <c r="CI308" s="62"/>
      <c r="CJ308" s="62"/>
      <c r="CK308" s="10"/>
      <c r="CT308" s="67"/>
      <c r="CU308" s="10"/>
      <c r="CV308" s="10"/>
      <c r="CW308" s="10"/>
      <c r="CX308" s="10"/>
      <c r="CY308" s="10"/>
      <c r="CZ308" s="10"/>
      <c r="DA308" s="10"/>
      <c r="DC308" s="10"/>
    </row>
    <row r="309" spans="2:107">
      <c r="B309" s="220"/>
      <c r="C309" s="220"/>
      <c r="D309" s="220"/>
      <c r="E309" s="220"/>
      <c r="F309" s="220"/>
      <c r="G309" s="220"/>
      <c r="H309" s="2532">
        <v>2018</v>
      </c>
      <c r="I309" s="2533">
        <v>21900</v>
      </c>
      <c r="J309" s="2528">
        <v>3484</v>
      </c>
      <c r="K309" s="2528">
        <v>23213.536857725001</v>
      </c>
      <c r="L309" s="2597">
        <v>3857.6025552060019</v>
      </c>
      <c r="M309" s="215">
        <f>K309/I309-1</f>
        <v>5.9978851950913237E-2</v>
      </c>
      <c r="N309" s="766">
        <f>L309/J309-1</f>
        <v>0.10723379885361717</v>
      </c>
      <c r="O309" s="219"/>
      <c r="P309" s="219"/>
      <c r="Q309" s="219"/>
      <c r="R309" s="219"/>
      <c r="S309" s="2798"/>
      <c r="T309" s="2774"/>
      <c r="U309" s="2774"/>
      <c r="V309" s="203">
        <v>2172</v>
      </c>
      <c r="W309" s="219"/>
      <c r="Z309" s="10"/>
      <c r="AB309" s="10"/>
      <c r="BY309" s="10"/>
      <c r="BZ309" s="62"/>
      <c r="CA309" s="10"/>
      <c r="CB309" s="10"/>
      <c r="CC309" s="10"/>
      <c r="CD309" s="62"/>
      <c r="CE309" s="62"/>
      <c r="CF309" s="62"/>
      <c r="CG309" s="62"/>
      <c r="CH309" s="62"/>
      <c r="CI309" s="62"/>
      <c r="CJ309" s="62"/>
      <c r="CK309" s="10"/>
      <c r="CT309" s="67"/>
      <c r="CU309" s="10"/>
      <c r="CV309" s="10"/>
      <c r="CW309" s="10"/>
      <c r="CX309" s="10"/>
      <c r="CY309" s="10"/>
      <c r="CZ309" s="10"/>
      <c r="DA309" s="10"/>
      <c r="DC309" s="10"/>
    </row>
    <row r="310" spans="2:107">
      <c r="B310" s="220"/>
      <c r="C310" s="220"/>
      <c r="D310" s="220"/>
      <c r="E310" s="220"/>
      <c r="F310" s="220"/>
      <c r="G310" s="220"/>
      <c r="H310" s="2532">
        <v>2019</v>
      </c>
      <c r="I310" s="2533">
        <v>26660</v>
      </c>
      <c r="J310" s="2528">
        <v>4460</v>
      </c>
      <c r="K310" s="2528">
        <v>27716.960152274998</v>
      </c>
      <c r="L310" s="2597">
        <v>4664.5305117059988</v>
      </c>
      <c r="M310" s="215">
        <f t="shared" ref="M310:M314" si="295">K310/I310-1</f>
        <v>3.9645917189609747E-2</v>
      </c>
      <c r="N310" s="766">
        <f t="shared" ref="N310:N314" si="296">L310/J310-1</f>
        <v>4.5858859126905571E-2</v>
      </c>
      <c r="O310" s="214"/>
      <c r="P310" s="214"/>
      <c r="Q310" s="41"/>
      <c r="R310" s="41"/>
      <c r="S310" s="2181"/>
      <c r="T310" s="2714"/>
      <c r="U310" s="2714"/>
      <c r="V310" s="41"/>
      <c r="W310" s="41"/>
      <c r="BY310" s="10"/>
      <c r="BZ310" s="62"/>
      <c r="CA310" s="10"/>
      <c r="CB310" s="10"/>
      <c r="CC310" s="10"/>
      <c r="CD310" s="62"/>
      <c r="CE310" s="62"/>
      <c r="CF310" s="62"/>
      <c r="CG310" s="62"/>
      <c r="CH310" s="62"/>
      <c r="CI310" s="62"/>
      <c r="CJ310" s="62"/>
      <c r="CK310" s="10"/>
      <c r="CT310" s="67"/>
      <c r="CU310" s="10"/>
      <c r="CV310" s="10"/>
      <c r="CW310" s="10"/>
      <c r="CX310" s="10"/>
      <c r="CY310" s="10"/>
      <c r="CZ310" s="10"/>
      <c r="DA310" s="10"/>
      <c r="DC310" s="10"/>
    </row>
    <row r="311" spans="2:107">
      <c r="B311" s="221"/>
      <c r="C311" s="221"/>
      <c r="D311" s="221"/>
      <c r="E311" s="221"/>
      <c r="F311" s="221"/>
      <c r="G311" s="221"/>
      <c r="H311" s="2532">
        <v>2020</v>
      </c>
      <c r="I311" s="2533">
        <v>32450</v>
      </c>
      <c r="J311" s="2528">
        <v>5510</v>
      </c>
      <c r="K311" s="2528">
        <v>29830.400526824</v>
      </c>
      <c r="L311" s="2597">
        <v>5263.4566299669987</v>
      </c>
      <c r="M311" s="215">
        <f t="shared" si="295"/>
        <v>-8.0727256492326704E-2</v>
      </c>
      <c r="N311" s="766">
        <f t="shared" si="296"/>
        <v>-4.4744713254628143E-2</v>
      </c>
      <c r="Z311" s="10"/>
      <c r="AB311" s="10"/>
      <c r="BY311" s="10"/>
      <c r="BZ311" s="62"/>
      <c r="CA311" s="10"/>
      <c r="CB311" s="10"/>
      <c r="CC311" s="10"/>
      <c r="CD311" s="62"/>
      <c r="CE311" s="62"/>
      <c r="CF311" s="62"/>
      <c r="CG311" s="62"/>
      <c r="CH311" s="62"/>
      <c r="CI311" s="62"/>
      <c r="CJ311" s="62"/>
      <c r="CK311" s="10"/>
      <c r="CT311" s="67"/>
      <c r="CU311" s="10"/>
      <c r="CV311" s="10"/>
      <c r="CW311" s="10"/>
      <c r="CX311" s="10"/>
      <c r="CY311" s="10"/>
      <c r="CZ311" s="10"/>
      <c r="DA311" s="10"/>
      <c r="DC311" s="10"/>
    </row>
    <row r="312" spans="2:107">
      <c r="H312" s="2532">
        <v>2021</v>
      </c>
      <c r="I312" s="2533">
        <v>34720</v>
      </c>
      <c r="J312" s="2528">
        <v>6210</v>
      </c>
      <c r="K312" s="2528">
        <v>35657.262545026999</v>
      </c>
      <c r="L312" s="2597">
        <v>6337.2064409580007</v>
      </c>
      <c r="M312" s="215">
        <f t="shared" si="295"/>
        <v>2.6994888969671615E-2</v>
      </c>
      <c r="N312" s="766">
        <f t="shared" si="296"/>
        <v>2.0484128978744076E-2</v>
      </c>
      <c r="O312" s="2098"/>
      <c r="P312" s="2098"/>
      <c r="Q312" s="10"/>
      <c r="R312" s="10"/>
      <c r="S312" s="62"/>
      <c r="T312" s="2762"/>
      <c r="U312" s="2732"/>
      <c r="V312" s="10"/>
      <c r="W312" s="10"/>
      <c r="Z312" s="10"/>
      <c r="AB312" s="10"/>
      <c r="BY312" s="10"/>
      <c r="BZ312" s="62"/>
      <c r="CA312" s="10"/>
      <c r="CB312" s="10"/>
      <c r="CC312" s="10"/>
      <c r="CD312" s="62"/>
      <c r="CE312" s="62"/>
      <c r="CF312" s="62"/>
      <c r="CG312" s="62"/>
      <c r="CH312" s="62"/>
      <c r="CI312" s="62"/>
      <c r="CJ312" s="62"/>
      <c r="CK312" s="10"/>
      <c r="CT312" s="67"/>
      <c r="CU312" s="10"/>
      <c r="CV312" s="10"/>
      <c r="CW312" s="10"/>
      <c r="CX312" s="10"/>
      <c r="CY312" s="10"/>
      <c r="CZ312" s="10"/>
      <c r="DA312" s="10"/>
      <c r="DC312" s="10"/>
    </row>
    <row r="313" spans="2:107">
      <c r="H313" s="2532">
        <v>2022</v>
      </c>
      <c r="I313" s="2528">
        <v>42420</v>
      </c>
      <c r="J313" s="2528">
        <v>7618</v>
      </c>
      <c r="K313" s="2528">
        <v>44009.527680911</v>
      </c>
      <c r="L313" s="2597">
        <v>7662.2829598800017</v>
      </c>
      <c r="M313" s="215">
        <f t="shared" si="295"/>
        <v>3.7471185311433342E-2</v>
      </c>
      <c r="N313" s="766">
        <f t="shared" si="296"/>
        <v>5.8129377631925827E-3</v>
      </c>
      <c r="BY313" s="10"/>
      <c r="BZ313" s="62"/>
      <c r="CA313" s="10"/>
      <c r="CB313" s="10"/>
      <c r="CC313" s="10"/>
      <c r="CD313" s="62"/>
      <c r="CE313" s="62"/>
      <c r="CF313" s="62"/>
      <c r="CG313" s="62"/>
      <c r="CH313" s="62"/>
      <c r="CI313" s="62"/>
      <c r="CJ313" s="62"/>
      <c r="CK313" s="10"/>
      <c r="CT313" s="67"/>
      <c r="CU313" s="10"/>
      <c r="CV313" s="10"/>
      <c r="CW313" s="10"/>
      <c r="CX313" s="10"/>
      <c r="CY313" s="10"/>
      <c r="CZ313" s="10"/>
      <c r="DA313" s="10"/>
      <c r="DC313" s="10"/>
    </row>
    <row r="314" spans="2:107">
      <c r="H314" s="2532">
        <v>2023</v>
      </c>
      <c r="I314" s="2529">
        <v>52289</v>
      </c>
      <c r="J314" s="2530">
        <v>9055</v>
      </c>
      <c r="K314" s="2528">
        <v>52617.900827384998</v>
      </c>
      <c r="L314" s="2597">
        <v>9203.0060985699965</v>
      </c>
      <c r="M314" s="215">
        <f t="shared" si="295"/>
        <v>6.2900577059228358E-3</v>
      </c>
      <c r="N314" s="766">
        <f t="shared" si="296"/>
        <v>1.6345234519049789E-2</v>
      </c>
      <c r="O314" s="110"/>
      <c r="P314" s="110"/>
      <c r="Q314" s="10"/>
      <c r="R314" s="10"/>
      <c r="S314" s="62"/>
      <c r="T314" s="2762"/>
      <c r="U314" s="1705"/>
      <c r="V314" s="10"/>
      <c r="W314" s="10"/>
      <c r="Z314" s="10"/>
      <c r="AB314" s="10"/>
      <c r="BY314" s="10"/>
      <c r="BZ314" s="62"/>
      <c r="CA314" s="10"/>
      <c r="CB314" s="10"/>
      <c r="CC314" s="10"/>
      <c r="CD314" s="62"/>
      <c r="CE314" s="62"/>
      <c r="CF314" s="62"/>
      <c r="CG314" s="62"/>
      <c r="CH314" s="62"/>
      <c r="CI314" s="62"/>
      <c r="CJ314" s="62"/>
      <c r="CK314" s="10"/>
      <c r="CT314" s="67"/>
      <c r="CU314" s="10"/>
      <c r="CV314" s="10"/>
      <c r="CW314" s="10"/>
      <c r="CX314" s="10"/>
      <c r="CY314" s="10"/>
      <c r="CZ314" s="10"/>
      <c r="DA314" s="10"/>
      <c r="DC314" s="10"/>
    </row>
    <row r="315" spans="2:107">
      <c r="H315" s="2532">
        <v>2024</v>
      </c>
      <c r="I315" s="2528">
        <v>61850</v>
      </c>
      <c r="J315" s="2528">
        <v>10875</v>
      </c>
      <c r="K315" s="2535"/>
      <c r="L315" s="10"/>
      <c r="M315" s="2595"/>
      <c r="N315" s="2595"/>
      <c r="O315" s="2595"/>
      <c r="P315" s="2595"/>
      <c r="Q315" s="10"/>
      <c r="R315" s="10"/>
      <c r="S315" s="62"/>
      <c r="T315" s="2762"/>
      <c r="U315" s="2780"/>
      <c r="V315" s="10"/>
      <c r="W315" s="10"/>
      <c r="Z315" s="10"/>
      <c r="AB315" s="10"/>
      <c r="BY315" s="10"/>
      <c r="BZ315" s="62"/>
      <c r="CA315" s="10"/>
      <c r="CB315" s="10"/>
      <c r="CC315" s="10"/>
      <c r="CD315" s="62"/>
      <c r="CE315" s="62"/>
      <c r="CF315" s="62"/>
      <c r="CG315" s="62"/>
      <c r="CH315" s="62"/>
      <c r="CI315" s="62"/>
      <c r="CJ315" s="62"/>
      <c r="CK315" s="10"/>
      <c r="CT315" s="67"/>
      <c r="CU315" s="10"/>
      <c r="CV315" s="10"/>
      <c r="CW315" s="10"/>
      <c r="CX315" s="10"/>
      <c r="CY315" s="10"/>
      <c r="CZ315" s="10"/>
      <c r="DA315" s="10"/>
      <c r="DC315" s="10"/>
    </row>
    <row r="316" spans="2:107">
      <c r="BY316" s="10"/>
      <c r="BZ316" s="62"/>
      <c r="CA316" s="10"/>
      <c r="CB316" s="10"/>
      <c r="CC316" s="10"/>
      <c r="CD316" s="62"/>
      <c r="CE316" s="62"/>
      <c r="CF316" s="62"/>
      <c r="CG316" s="62"/>
      <c r="CH316" s="62"/>
      <c r="CI316" s="62"/>
      <c r="CJ316" s="62"/>
      <c r="CK316" s="10"/>
      <c r="CT316" s="67"/>
      <c r="CU316" s="10"/>
      <c r="CV316" s="10"/>
      <c r="CW316" s="10"/>
      <c r="CX316" s="10"/>
      <c r="CY316" s="10"/>
      <c r="CZ316" s="10"/>
      <c r="DA316" s="10"/>
      <c r="DC316" s="10"/>
    </row>
    <row r="317" spans="2:107">
      <c r="BY317" s="10"/>
      <c r="BZ317" s="62"/>
      <c r="CA317" s="10"/>
      <c r="CB317" s="10"/>
      <c r="CC317" s="10"/>
      <c r="CD317" s="62"/>
      <c r="CE317" s="62"/>
      <c r="CF317" s="62"/>
      <c r="CG317" s="62"/>
      <c r="CH317" s="62"/>
      <c r="CI317" s="62"/>
      <c r="CJ317" s="62"/>
      <c r="CK317" s="10"/>
      <c r="CT317" s="67"/>
      <c r="CU317" s="10"/>
      <c r="CV317" s="10"/>
      <c r="CW317" s="10"/>
      <c r="CX317" s="10"/>
      <c r="CY317" s="10"/>
      <c r="CZ317" s="10"/>
      <c r="DA317" s="10"/>
      <c r="DC317" s="10"/>
    </row>
    <row r="318" spans="2:107">
      <c r="I318" s="203">
        <v>23213.536857725001</v>
      </c>
      <c r="J318" s="203">
        <v>27716.960152274998</v>
      </c>
      <c r="K318" s="203">
        <v>29830.400526824</v>
      </c>
      <c r="L318" s="203">
        <v>35657.262545026999</v>
      </c>
      <c r="M318" s="1139">
        <v>44009.527680911</v>
      </c>
      <c r="N318" s="1139">
        <v>52617.900827384998</v>
      </c>
      <c r="BY318" s="10"/>
      <c r="BZ318" s="62"/>
      <c r="CA318" s="10"/>
      <c r="CB318" s="10"/>
      <c r="CC318" s="10"/>
      <c r="CD318" s="62"/>
      <c r="CE318" s="62"/>
      <c r="CF318" s="62"/>
      <c r="CG318" s="62"/>
      <c r="CH318" s="62"/>
      <c r="CI318" s="62"/>
      <c r="CJ318" s="62"/>
      <c r="CK318" s="10"/>
      <c r="CT318" s="67"/>
      <c r="CU318" s="10"/>
      <c r="CV318" s="10"/>
      <c r="CW318" s="10"/>
      <c r="CX318" s="10"/>
      <c r="CY318" s="10"/>
      <c r="CZ318" s="10"/>
      <c r="DA318" s="10"/>
      <c r="DC318" s="10"/>
    </row>
    <row r="319" spans="2:107">
      <c r="I319" s="203">
        <v>3857.6025552060019</v>
      </c>
      <c r="J319" s="203">
        <v>4664.5305117059988</v>
      </c>
      <c r="K319" s="203">
        <v>5263.4566299669987</v>
      </c>
      <c r="L319" s="203">
        <v>6337.2064409580007</v>
      </c>
      <c r="M319" s="1139">
        <v>7662.2829598800017</v>
      </c>
      <c r="N319" s="1139">
        <v>9203.0060985699965</v>
      </c>
      <c r="BY319" s="10"/>
      <c r="BZ319" s="62"/>
      <c r="CA319" s="10"/>
      <c r="CB319" s="10"/>
      <c r="CC319" s="10"/>
      <c r="CD319" s="62"/>
      <c r="CE319" s="62"/>
      <c r="CF319" s="62"/>
      <c r="CG319" s="62"/>
      <c r="CH319" s="62"/>
      <c r="CI319" s="62"/>
      <c r="CJ319" s="62"/>
      <c r="CK319" s="10"/>
      <c r="CT319" s="67"/>
      <c r="CU319" s="10"/>
      <c r="CV319" s="10"/>
      <c r="CW319" s="10"/>
      <c r="CX319" s="10"/>
      <c r="CY319" s="10"/>
      <c r="CZ319" s="10"/>
      <c r="DA319" s="10"/>
      <c r="DC319" s="10"/>
    </row>
    <row r="320" spans="2:107">
      <c r="BY320" s="10"/>
      <c r="BZ320" s="62"/>
      <c r="CA320" s="10"/>
      <c r="CB320" s="10"/>
      <c r="CC320" s="10"/>
      <c r="CD320" s="62"/>
      <c r="CE320" s="62"/>
      <c r="CF320" s="62"/>
      <c r="CG320" s="62"/>
      <c r="CH320" s="62"/>
      <c r="CI320" s="62"/>
      <c r="CJ320" s="62"/>
      <c r="CK320" s="10"/>
      <c r="CT320" s="67"/>
      <c r="CU320" s="10"/>
      <c r="CV320" s="10"/>
      <c r="CW320" s="10"/>
      <c r="CX320" s="10"/>
      <c r="CY320" s="10"/>
      <c r="CZ320" s="10"/>
      <c r="DA320" s="10"/>
      <c r="DC320" s="10"/>
    </row>
    <row r="321" spans="1:107" ht="13.5" thickBot="1">
      <c r="A321" s="3628"/>
      <c r="B321" s="3628"/>
      <c r="C321" s="197"/>
      <c r="D321" s="197"/>
      <c r="E321" s="197"/>
      <c r="F321" s="197"/>
      <c r="G321" s="197"/>
      <c r="L321" s="10"/>
      <c r="M321" s="10"/>
      <c r="N321" s="10"/>
      <c r="O321" s="10"/>
      <c r="P321" s="10"/>
      <c r="Q321" s="10"/>
      <c r="R321" s="10"/>
      <c r="S321" s="62"/>
      <c r="T321" s="2762"/>
      <c r="U321" s="2762"/>
      <c r="V321" s="10"/>
      <c r="W321" s="10"/>
      <c r="Z321" s="10"/>
      <c r="AB321" s="10"/>
      <c r="BY321" s="10"/>
      <c r="BZ321" s="62"/>
      <c r="CA321" s="10"/>
      <c r="CB321" s="10"/>
      <c r="CC321" s="10"/>
      <c r="CD321" s="62"/>
      <c r="CE321" s="62"/>
      <c r="CF321" s="62"/>
      <c r="CG321" s="62"/>
      <c r="CH321" s="62"/>
      <c r="CI321" s="62"/>
      <c r="CJ321" s="62"/>
      <c r="CK321" s="10"/>
      <c r="CT321" s="67"/>
      <c r="CU321" s="10"/>
      <c r="CV321" s="10"/>
      <c r="CW321" s="10"/>
      <c r="CX321" s="10"/>
      <c r="CY321" s="10"/>
      <c r="CZ321" s="10"/>
      <c r="DA321" s="10"/>
      <c r="DC321" s="10"/>
    </row>
    <row r="322" spans="1:107" ht="13.5" thickBot="1">
      <c r="B322" s="16"/>
      <c r="C322" s="16"/>
      <c r="D322" s="16"/>
      <c r="E322" s="16"/>
      <c r="F322" s="16"/>
      <c r="G322" s="16"/>
      <c r="I322" s="2536">
        <v>1.06</v>
      </c>
      <c r="L322" s="10"/>
      <c r="M322" s="10"/>
      <c r="N322" s="10"/>
      <c r="O322" s="10"/>
      <c r="P322" s="10"/>
      <c r="Q322" s="10"/>
      <c r="R322" s="10"/>
      <c r="S322" s="62"/>
      <c r="T322" s="2762"/>
      <c r="U322" s="2762"/>
      <c r="V322" s="10"/>
      <c r="W322" s="10"/>
      <c r="Z322" s="10"/>
      <c r="AB322" s="10"/>
      <c r="BY322" s="10"/>
      <c r="BZ322" s="62"/>
      <c r="CA322" s="10"/>
      <c r="CB322" s="10"/>
      <c r="CC322" s="10"/>
      <c r="CD322" s="62"/>
      <c r="CE322" s="62"/>
      <c r="CF322" s="62"/>
      <c r="CG322" s="62"/>
      <c r="CH322" s="62"/>
      <c r="CI322" s="62"/>
      <c r="CJ322" s="62"/>
      <c r="CK322" s="10"/>
      <c r="CT322" s="67"/>
      <c r="CU322" s="10"/>
      <c r="CV322" s="10"/>
      <c r="CW322" s="10"/>
      <c r="CX322" s="10"/>
      <c r="CY322" s="10"/>
      <c r="CZ322" s="10"/>
      <c r="DA322" s="10"/>
      <c r="DC322" s="10"/>
    </row>
    <row r="323" spans="1:107" ht="13.5" thickBot="1">
      <c r="I323" s="2537">
        <v>1.04</v>
      </c>
      <c r="L323" s="10"/>
      <c r="M323" s="10"/>
      <c r="N323" s="10"/>
      <c r="O323" s="10"/>
      <c r="P323" s="10"/>
      <c r="Q323" s="10"/>
      <c r="R323" s="10"/>
      <c r="S323" s="62"/>
      <c r="T323" s="2762"/>
      <c r="U323" s="2762"/>
      <c r="V323" s="10"/>
      <c r="W323" s="10"/>
      <c r="Z323" s="10"/>
      <c r="AB323" s="10"/>
      <c r="BY323" s="10"/>
      <c r="BZ323" s="62"/>
      <c r="CA323" s="10"/>
      <c r="CB323" s="10"/>
      <c r="CC323" s="10"/>
      <c r="CD323" s="62"/>
      <c r="CE323" s="62"/>
      <c r="CF323" s="62"/>
      <c r="CG323" s="62"/>
      <c r="CH323" s="62"/>
      <c r="CI323" s="62"/>
      <c r="CJ323" s="62"/>
      <c r="CK323" s="10"/>
      <c r="CT323" s="67"/>
      <c r="CU323" s="10"/>
      <c r="CV323" s="10"/>
      <c r="CW323" s="10"/>
      <c r="CX323" s="10"/>
      <c r="CY323" s="10"/>
      <c r="CZ323" s="10"/>
      <c r="DA323" s="10"/>
      <c r="DC323" s="10"/>
    </row>
    <row r="324" spans="1:107" ht="13.5" thickBot="1">
      <c r="I324" s="2537">
        <v>0.92</v>
      </c>
      <c r="L324" s="10"/>
      <c r="M324" s="10"/>
      <c r="N324" s="10"/>
      <c r="O324" s="10"/>
      <c r="P324" s="10"/>
      <c r="Q324" s="10"/>
      <c r="R324" s="10"/>
      <c r="S324" s="62"/>
      <c r="T324" s="2762"/>
      <c r="U324" s="2762"/>
      <c r="V324" s="10"/>
      <c r="W324" s="10"/>
      <c r="Z324" s="10"/>
      <c r="AB324" s="10"/>
      <c r="BY324" s="10"/>
      <c r="BZ324" s="62"/>
      <c r="CA324" s="10"/>
      <c r="CB324" s="10"/>
      <c r="CC324" s="10"/>
      <c r="CD324" s="62"/>
      <c r="CE324" s="62"/>
      <c r="CF324" s="62"/>
      <c r="CG324" s="62"/>
      <c r="CH324" s="62"/>
      <c r="CI324" s="62"/>
      <c r="CJ324" s="62"/>
      <c r="CK324" s="10"/>
      <c r="CT324" s="67"/>
      <c r="CU324" s="10"/>
      <c r="CV324" s="10"/>
      <c r="CW324" s="10"/>
      <c r="CX324" s="10"/>
      <c r="CY324" s="10"/>
      <c r="CZ324" s="10"/>
      <c r="DA324" s="10"/>
      <c r="DC324" s="10"/>
    </row>
    <row r="325" spans="1:107" ht="13.5" thickBot="1">
      <c r="I325" s="2537">
        <v>1.03</v>
      </c>
      <c r="L325" s="10"/>
      <c r="M325" s="10"/>
      <c r="N325" s="10"/>
      <c r="O325" s="10"/>
      <c r="P325" s="10"/>
      <c r="Q325" s="10"/>
      <c r="R325" s="10"/>
      <c r="S325" s="62"/>
      <c r="T325" s="2762"/>
      <c r="U325" s="2762"/>
      <c r="V325" s="10"/>
      <c r="W325" s="10"/>
      <c r="Z325" s="10"/>
      <c r="AB325" s="10"/>
      <c r="BY325" s="10"/>
      <c r="BZ325" s="62"/>
      <c r="CA325" s="10"/>
      <c r="CB325" s="10"/>
      <c r="CC325" s="10"/>
      <c r="CD325" s="62"/>
      <c r="CE325" s="62"/>
      <c r="CF325" s="62"/>
      <c r="CG325" s="62"/>
      <c r="CH325" s="62"/>
      <c r="CI325" s="62"/>
      <c r="CJ325" s="62"/>
      <c r="CK325" s="10"/>
      <c r="CT325" s="67"/>
      <c r="CU325" s="10"/>
      <c r="CV325" s="10"/>
      <c r="CW325" s="10"/>
      <c r="CX325" s="10"/>
      <c r="CY325" s="10"/>
      <c r="CZ325" s="10"/>
      <c r="DA325" s="10"/>
      <c r="DC325" s="10"/>
    </row>
    <row r="326" spans="1:107" ht="13.5" thickBot="1">
      <c r="I326" s="2537">
        <v>1.04</v>
      </c>
      <c r="L326" s="10"/>
      <c r="M326" s="10"/>
      <c r="N326" s="10"/>
      <c r="O326" s="10"/>
      <c r="P326" s="10"/>
      <c r="Q326" s="10"/>
      <c r="R326" s="10"/>
      <c r="S326" s="62"/>
      <c r="T326" s="2762"/>
      <c r="U326" s="2762"/>
      <c r="V326" s="10"/>
      <c r="W326" s="10"/>
      <c r="Z326" s="10"/>
      <c r="AB326" s="10"/>
      <c r="BY326" s="10"/>
      <c r="BZ326" s="62"/>
      <c r="CA326" s="10"/>
      <c r="CB326" s="10"/>
      <c r="CC326" s="10"/>
      <c r="CD326" s="62"/>
      <c r="CE326" s="62"/>
      <c r="CF326" s="62"/>
      <c r="CG326" s="62"/>
      <c r="CH326" s="62"/>
      <c r="CI326" s="62"/>
      <c r="CJ326" s="62"/>
      <c r="CK326" s="10"/>
      <c r="CT326" s="67"/>
      <c r="CU326" s="10"/>
      <c r="CV326" s="10"/>
      <c r="CW326" s="10"/>
      <c r="CX326" s="10"/>
      <c r="CY326" s="10"/>
      <c r="CZ326" s="10"/>
      <c r="DA326" s="10"/>
      <c r="DC326" s="10"/>
    </row>
    <row r="327" spans="1:107" ht="13.5" thickBot="1">
      <c r="I327" s="2537">
        <v>1.01</v>
      </c>
      <c r="L327" s="10"/>
      <c r="M327" s="10"/>
      <c r="N327" s="10"/>
      <c r="O327" s="10"/>
      <c r="P327" s="10"/>
      <c r="Q327" s="10"/>
      <c r="R327" s="10"/>
      <c r="S327" s="62"/>
      <c r="T327" s="2762"/>
      <c r="U327" s="2762"/>
      <c r="V327" s="10"/>
      <c r="W327" s="10"/>
      <c r="Z327" s="10"/>
      <c r="AB327" s="10"/>
      <c r="BY327" s="10"/>
      <c r="BZ327" s="62"/>
      <c r="CA327" s="10"/>
      <c r="CB327" s="10"/>
      <c r="CC327" s="10"/>
      <c r="CD327" s="62"/>
      <c r="CE327" s="62"/>
      <c r="CF327" s="62"/>
      <c r="CG327" s="62"/>
      <c r="CH327" s="62"/>
      <c r="CI327" s="62"/>
      <c r="CJ327" s="62"/>
      <c r="CK327" s="10"/>
      <c r="CT327" s="67"/>
      <c r="CU327" s="10"/>
      <c r="CV327" s="10"/>
      <c r="CW327" s="10"/>
      <c r="CX327" s="10"/>
      <c r="CY327" s="10"/>
      <c r="CZ327" s="10"/>
      <c r="DA327" s="10"/>
      <c r="DC327" s="10"/>
    </row>
    <row r="328" spans="1:107"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62"/>
      <c r="T328" s="2762"/>
      <c r="U328" s="2762"/>
      <c r="V328" s="10"/>
      <c r="W328" s="10"/>
      <c r="Z328" s="10"/>
      <c r="AB328" s="10"/>
      <c r="BY328" s="10"/>
      <c r="BZ328" s="62"/>
      <c r="CA328" s="10"/>
      <c r="CB328" s="10"/>
      <c r="CC328" s="10"/>
      <c r="CD328" s="62"/>
      <c r="CE328" s="62"/>
      <c r="CF328" s="62"/>
      <c r="CG328" s="62"/>
      <c r="CH328" s="62"/>
      <c r="CI328" s="62"/>
      <c r="CJ328" s="62"/>
      <c r="CK328" s="10"/>
      <c r="CT328" s="67"/>
      <c r="CU328" s="10"/>
      <c r="CV328" s="10"/>
      <c r="CW328" s="10"/>
      <c r="CX328" s="10"/>
      <c r="CY328" s="10"/>
      <c r="CZ328" s="10"/>
      <c r="DA328" s="10"/>
      <c r="DC328" s="10"/>
    </row>
    <row r="329" spans="1:107"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62"/>
      <c r="T329" s="2762"/>
      <c r="U329" s="2762"/>
      <c r="V329" s="10"/>
      <c r="W329" s="10"/>
      <c r="Z329" s="10"/>
      <c r="AB329" s="10"/>
      <c r="BY329" s="10"/>
      <c r="BZ329" s="62"/>
      <c r="CA329" s="10"/>
      <c r="CB329" s="10"/>
      <c r="CC329" s="10"/>
      <c r="CD329" s="62"/>
      <c r="CE329" s="62"/>
      <c r="CF329" s="62"/>
      <c r="CG329" s="62"/>
      <c r="CH329" s="62"/>
      <c r="CI329" s="62"/>
      <c r="CJ329" s="62"/>
      <c r="CK329" s="10"/>
      <c r="CT329" s="67"/>
      <c r="CU329" s="10"/>
      <c r="CV329" s="10"/>
      <c r="CW329" s="10"/>
      <c r="CX329" s="10"/>
      <c r="CY329" s="10"/>
      <c r="CZ329" s="10"/>
      <c r="DA329" s="10"/>
      <c r="DC329" s="10"/>
    </row>
    <row r="330" spans="1:107"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62"/>
      <c r="T330" s="2762"/>
      <c r="U330" s="2762"/>
      <c r="V330" s="10"/>
      <c r="W330" s="10"/>
      <c r="Z330" s="10"/>
      <c r="AB330" s="10"/>
      <c r="BY330" s="10"/>
      <c r="BZ330" s="62"/>
      <c r="CA330" s="10"/>
      <c r="CB330" s="10"/>
      <c r="CC330" s="10"/>
      <c r="CD330" s="62"/>
      <c r="CE330" s="62"/>
      <c r="CF330" s="62"/>
      <c r="CG330" s="62"/>
      <c r="CH330" s="62"/>
      <c r="CI330" s="62"/>
      <c r="CJ330" s="62"/>
      <c r="CK330" s="10"/>
      <c r="CT330" s="67"/>
      <c r="CU330" s="10"/>
      <c r="CV330" s="10"/>
      <c r="CW330" s="10"/>
      <c r="CX330" s="10"/>
      <c r="CY330" s="10"/>
      <c r="CZ330" s="10"/>
      <c r="DA330" s="10"/>
      <c r="DC330" s="10"/>
    </row>
    <row r="331" spans="1:107"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62"/>
      <c r="T331" s="2762"/>
      <c r="U331" s="2762"/>
      <c r="V331" s="10"/>
      <c r="Z331" s="10"/>
      <c r="AB331" s="10"/>
      <c r="BY331" s="10"/>
      <c r="BZ331" s="62"/>
      <c r="CA331" s="10"/>
      <c r="CB331" s="10"/>
      <c r="CC331" s="10"/>
      <c r="CD331" s="62"/>
      <c r="CE331" s="62"/>
      <c r="CF331" s="62"/>
      <c r="CG331" s="62"/>
      <c r="CH331" s="62"/>
      <c r="CI331" s="62"/>
      <c r="CJ331" s="62"/>
      <c r="CK331" s="10"/>
      <c r="CT331" s="67"/>
      <c r="CU331" s="10"/>
      <c r="CV331" s="10"/>
      <c r="CW331" s="10"/>
      <c r="CX331" s="10"/>
      <c r="CY331" s="10"/>
      <c r="CZ331" s="10"/>
      <c r="DA331" s="10"/>
      <c r="DC331" s="10"/>
    </row>
    <row r="332" spans="1:107">
      <c r="B332" s="16" t="s">
        <v>1069</v>
      </c>
      <c r="C332" s="16"/>
      <c r="D332" s="16"/>
      <c r="E332" s="16"/>
      <c r="F332" s="16"/>
      <c r="G332" s="16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62"/>
      <c r="T332" s="2762"/>
      <c r="U332" s="2762"/>
      <c r="V332" s="10"/>
      <c r="W332" s="10"/>
      <c r="Z332" s="10"/>
      <c r="AB332" s="10"/>
      <c r="BY332" s="10"/>
      <c r="BZ332" s="62"/>
      <c r="CA332" s="10"/>
      <c r="CB332" s="10"/>
      <c r="CC332" s="10"/>
      <c r="CD332" s="62"/>
      <c r="CE332" s="62"/>
      <c r="CF332" s="62"/>
      <c r="CG332" s="62"/>
      <c r="CH332" s="62"/>
      <c r="CI332" s="62"/>
      <c r="CJ332" s="62"/>
      <c r="CK332" s="10"/>
      <c r="CT332" s="67"/>
      <c r="CU332" s="10"/>
      <c r="CV332" s="10"/>
      <c r="CW332" s="10"/>
      <c r="CX332" s="10"/>
      <c r="CY332" s="10"/>
      <c r="CZ332" s="10"/>
      <c r="DA332" s="10"/>
      <c r="DC332" s="10"/>
    </row>
    <row r="333" spans="1:107">
      <c r="B333" s="2521" t="s">
        <v>845</v>
      </c>
      <c r="I333" s="10"/>
      <c r="J333" s="10"/>
      <c r="K333" s="10"/>
      <c r="L333" s="10"/>
      <c r="M333" s="73">
        <f>M334+M335+M336</f>
        <v>5800</v>
      </c>
      <c r="N333" s="73">
        <f>N334+N335+N336</f>
        <v>5800</v>
      </c>
      <c r="O333" s="73">
        <v>6500</v>
      </c>
      <c r="P333" s="73"/>
      <c r="Q333" s="10"/>
      <c r="R333" s="10"/>
      <c r="S333" s="62"/>
      <c r="T333" s="2762"/>
      <c r="U333" s="2762"/>
      <c r="V333" s="10"/>
      <c r="W333" s="73">
        <v>11000</v>
      </c>
      <c r="Z333" s="10"/>
      <c r="AB333" s="10"/>
      <c r="BY333" s="10"/>
      <c r="BZ333" s="62"/>
      <c r="CA333" s="10"/>
      <c r="CB333" s="10"/>
      <c r="CC333" s="10"/>
      <c r="CD333" s="62"/>
      <c r="CE333" s="62"/>
      <c r="CF333" s="62"/>
      <c r="CG333" s="62"/>
      <c r="CH333" s="62"/>
      <c r="CI333" s="62"/>
      <c r="CJ333" s="62"/>
      <c r="CK333" s="10"/>
      <c r="CT333" s="67"/>
      <c r="CU333" s="10"/>
      <c r="CV333" s="10"/>
      <c r="CW333" s="10"/>
      <c r="CX333" s="10"/>
      <c r="CY333" s="10"/>
      <c r="CZ333" s="10"/>
      <c r="DA333" s="10"/>
      <c r="DC333" s="10"/>
    </row>
    <row r="334" spans="1:107">
      <c r="A334" s="3629" t="s">
        <v>921</v>
      </c>
      <c r="B334" s="3629"/>
      <c r="C334" s="197"/>
      <c r="D334" s="197"/>
      <c r="E334" s="197"/>
      <c r="F334" s="197"/>
      <c r="G334" s="197"/>
      <c r="H334" s="222"/>
      <c r="I334" s="10"/>
      <c r="J334" s="10"/>
      <c r="K334" s="10"/>
      <c r="L334" s="10"/>
      <c r="M334" s="73">
        <v>1800</v>
      </c>
      <c r="N334" s="73">
        <v>1800</v>
      </c>
      <c r="O334" s="73">
        <v>2200</v>
      </c>
      <c r="P334" s="73"/>
      <c r="Q334" s="10"/>
      <c r="R334" s="10"/>
      <c r="S334" s="62"/>
      <c r="T334" s="2762"/>
      <c r="U334" s="2762"/>
      <c r="V334" s="10"/>
      <c r="W334" s="73">
        <v>6000</v>
      </c>
      <c r="Z334" s="10"/>
      <c r="AB334" s="10"/>
      <c r="BY334" s="10"/>
      <c r="BZ334" s="62"/>
      <c r="CA334" s="10"/>
      <c r="CB334" s="10"/>
      <c r="CC334" s="10"/>
      <c r="CD334" s="62"/>
      <c r="CE334" s="62"/>
      <c r="CF334" s="62"/>
      <c r="CG334" s="62"/>
      <c r="CH334" s="62"/>
      <c r="CI334" s="62"/>
      <c r="CJ334" s="62"/>
      <c r="CK334" s="10"/>
      <c r="CT334" s="67"/>
      <c r="CU334" s="10"/>
      <c r="CV334" s="10"/>
      <c r="CW334" s="10"/>
      <c r="CX334" s="10"/>
      <c r="CY334" s="10"/>
      <c r="CZ334" s="10"/>
      <c r="DA334" s="10"/>
      <c r="DC334" s="10"/>
    </row>
    <row r="335" spans="1:107">
      <c r="A335" s="2986"/>
      <c r="B335" s="2985" t="s">
        <v>895</v>
      </c>
      <c r="C335" s="16"/>
      <c r="D335" s="16"/>
      <c r="E335" s="16"/>
      <c r="F335" s="16"/>
      <c r="G335" s="16"/>
      <c r="I335" s="10"/>
      <c r="J335" s="10"/>
      <c r="K335" s="10"/>
      <c r="L335" s="10"/>
      <c r="M335" s="73">
        <v>2300</v>
      </c>
      <c r="N335" s="73">
        <v>2300</v>
      </c>
      <c r="O335" s="73">
        <v>2300</v>
      </c>
      <c r="P335" s="73"/>
      <c r="Q335" s="10"/>
      <c r="R335" s="10"/>
      <c r="S335" s="62"/>
      <c r="T335" s="2762"/>
      <c r="U335" s="2762"/>
      <c r="V335" s="10"/>
      <c r="W335" s="73">
        <v>2500</v>
      </c>
      <c r="Z335" s="10"/>
      <c r="AB335" s="10"/>
      <c r="BY335" s="10"/>
      <c r="BZ335" s="62"/>
      <c r="CA335" s="10"/>
      <c r="CB335" s="10"/>
      <c r="CC335" s="10"/>
      <c r="CD335" s="62"/>
      <c r="CE335" s="62"/>
      <c r="CF335" s="62"/>
      <c r="CG335" s="62"/>
      <c r="CH335" s="62"/>
      <c r="CI335" s="62"/>
      <c r="CJ335" s="62"/>
      <c r="CK335" s="10"/>
      <c r="CT335" s="67"/>
      <c r="CU335" s="10"/>
      <c r="CV335" s="10"/>
      <c r="CW335" s="10"/>
      <c r="CX335" s="10"/>
      <c r="CY335" s="10"/>
      <c r="CZ335" s="10"/>
      <c r="DA335" s="10"/>
      <c r="DC335" s="10"/>
    </row>
    <row r="336" spans="1:107">
      <c r="A336" s="2986"/>
      <c r="B336" s="2985" t="s">
        <v>1227</v>
      </c>
      <c r="I336" s="10"/>
      <c r="J336" s="10"/>
      <c r="K336" s="10"/>
      <c r="L336" s="10"/>
      <c r="M336" s="73">
        <v>1700</v>
      </c>
      <c r="N336" s="73">
        <v>1700</v>
      </c>
      <c r="O336" s="73">
        <v>2000</v>
      </c>
      <c r="P336" s="73"/>
      <c r="Q336" s="10"/>
      <c r="R336" s="10"/>
      <c r="S336" s="62"/>
      <c r="T336" s="2762"/>
      <c r="U336" s="2762"/>
      <c r="V336" s="10"/>
      <c r="W336" s="73">
        <v>2500</v>
      </c>
      <c r="Z336" s="10"/>
      <c r="AB336" s="10"/>
      <c r="BY336" s="10"/>
      <c r="BZ336" s="62"/>
      <c r="CA336" s="10"/>
      <c r="CB336" s="10"/>
      <c r="CC336" s="10"/>
      <c r="CD336" s="62"/>
      <c r="CE336" s="62"/>
      <c r="CF336" s="62"/>
      <c r="CG336" s="62"/>
      <c r="CH336" s="62"/>
      <c r="CI336" s="62"/>
      <c r="CJ336" s="62"/>
      <c r="CK336" s="10"/>
      <c r="CT336" s="67"/>
      <c r="CU336" s="10"/>
      <c r="CV336" s="10"/>
      <c r="CW336" s="10"/>
      <c r="CX336" s="10"/>
      <c r="CY336" s="10"/>
      <c r="CZ336" s="10"/>
      <c r="DA336" s="10"/>
      <c r="DC336" s="10"/>
    </row>
    <row r="337" spans="2:107"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62"/>
      <c r="T337" s="2762"/>
      <c r="U337" s="2762"/>
      <c r="V337" s="10"/>
      <c r="W337" s="10"/>
      <c r="Z337" s="10"/>
      <c r="AB337" s="10"/>
      <c r="BY337" s="10"/>
      <c r="BZ337" s="62"/>
      <c r="CA337" s="10"/>
      <c r="CB337" s="10"/>
      <c r="CC337" s="10"/>
      <c r="CD337" s="62"/>
      <c r="CE337" s="62"/>
      <c r="CF337" s="62"/>
      <c r="CG337" s="62"/>
      <c r="CH337" s="62"/>
      <c r="CI337" s="62"/>
      <c r="CJ337" s="62"/>
      <c r="CK337" s="10"/>
      <c r="CT337" s="67"/>
      <c r="CU337" s="10"/>
      <c r="CV337" s="10"/>
      <c r="CW337" s="10"/>
      <c r="CX337" s="10"/>
      <c r="CY337" s="10"/>
      <c r="CZ337" s="10"/>
      <c r="DA337" s="10"/>
      <c r="DC337" s="10"/>
    </row>
    <row r="338" spans="2:107"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62"/>
      <c r="T338" s="2762"/>
      <c r="U338" s="2762"/>
      <c r="V338" s="10"/>
      <c r="W338" s="10"/>
      <c r="Z338" s="10"/>
      <c r="AB338" s="10"/>
      <c r="BY338" s="10"/>
      <c r="BZ338" s="62"/>
      <c r="CA338" s="10"/>
      <c r="CB338" s="10"/>
      <c r="CC338" s="10"/>
      <c r="CD338" s="62"/>
      <c r="CE338" s="62"/>
      <c r="CF338" s="62"/>
      <c r="CG338" s="62"/>
      <c r="CH338" s="62"/>
      <c r="CI338" s="62"/>
      <c r="CJ338" s="62"/>
      <c r="CK338" s="10"/>
      <c r="CT338" s="67"/>
      <c r="CU338" s="10"/>
      <c r="CV338" s="10"/>
      <c r="CW338" s="10"/>
      <c r="CX338" s="10"/>
      <c r="CY338" s="10"/>
      <c r="CZ338" s="10"/>
      <c r="DA338" s="10"/>
      <c r="DC338" s="10"/>
    </row>
    <row r="339" spans="2:107">
      <c r="B339" s="16"/>
      <c r="C339" s="16"/>
      <c r="D339" s="16"/>
      <c r="E339" s="16"/>
      <c r="F339" s="16"/>
      <c r="G339" s="16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62"/>
      <c r="T339" s="2762"/>
      <c r="U339" s="2762"/>
      <c r="V339" s="10"/>
      <c r="W339" s="10"/>
      <c r="Z339" s="10"/>
      <c r="AB339" s="10"/>
      <c r="BY339" s="10"/>
      <c r="BZ339" s="62"/>
      <c r="CA339" s="10"/>
      <c r="CB339" s="10"/>
      <c r="CC339" s="10"/>
      <c r="CD339" s="62"/>
      <c r="CE339" s="62"/>
      <c r="CF339" s="62"/>
      <c r="CG339" s="62"/>
      <c r="CH339" s="62"/>
      <c r="CI339" s="62"/>
      <c r="CJ339" s="62"/>
      <c r="CK339" s="10"/>
      <c r="CT339" s="67"/>
      <c r="CU339" s="10"/>
      <c r="CV339" s="10"/>
      <c r="CW339" s="10"/>
      <c r="CX339" s="10"/>
      <c r="CY339" s="10"/>
      <c r="CZ339" s="10"/>
      <c r="DA339" s="10"/>
      <c r="DC339" s="10"/>
    </row>
    <row r="340" spans="2:107">
      <c r="BY340" s="10"/>
      <c r="BZ340" s="62"/>
      <c r="CA340" s="10"/>
      <c r="CB340" s="10"/>
      <c r="CC340" s="10"/>
      <c r="CD340" s="62"/>
      <c r="CE340" s="62"/>
      <c r="CF340" s="62"/>
      <c r="CG340" s="62"/>
      <c r="CH340" s="62"/>
      <c r="CI340" s="62"/>
      <c r="CJ340" s="62"/>
      <c r="CK340" s="10"/>
      <c r="CT340" s="67"/>
      <c r="CU340" s="10"/>
      <c r="CV340" s="10"/>
      <c r="CW340" s="10"/>
      <c r="CX340" s="10"/>
      <c r="CY340" s="10"/>
      <c r="CZ340" s="10"/>
      <c r="DA340" s="10"/>
      <c r="DC340" s="10"/>
    </row>
    <row r="341" spans="2:107">
      <c r="BY341" s="10"/>
      <c r="BZ341" s="62"/>
      <c r="CA341" s="10"/>
      <c r="CB341" s="10"/>
      <c r="CC341" s="10"/>
      <c r="CD341" s="62"/>
      <c r="CE341" s="62"/>
      <c r="CF341" s="62"/>
      <c r="CG341" s="62"/>
      <c r="CH341" s="62"/>
      <c r="CI341" s="62"/>
      <c r="CJ341" s="62"/>
      <c r="CK341" s="10"/>
      <c r="CT341" s="67"/>
      <c r="CU341" s="10"/>
      <c r="CV341" s="10"/>
      <c r="CW341" s="10"/>
      <c r="CX341" s="10"/>
      <c r="CY341" s="10"/>
      <c r="CZ341" s="10"/>
      <c r="DA341" s="10"/>
      <c r="DC341" s="10"/>
    </row>
    <row r="342" spans="2:107">
      <c r="BY342" s="10"/>
      <c r="BZ342" s="62"/>
      <c r="CA342" s="10"/>
      <c r="CB342" s="10"/>
      <c r="CC342" s="10"/>
      <c r="CD342" s="62"/>
      <c r="CE342" s="62"/>
      <c r="CF342" s="62"/>
      <c r="CG342" s="62"/>
      <c r="CH342" s="62"/>
      <c r="CI342" s="62"/>
      <c r="CJ342" s="62"/>
      <c r="CK342" s="10"/>
      <c r="CT342" s="67"/>
      <c r="CU342" s="10"/>
      <c r="CV342" s="10"/>
      <c r="CW342" s="10"/>
      <c r="CX342" s="10"/>
      <c r="CY342" s="10"/>
      <c r="CZ342" s="10"/>
      <c r="DA342" s="10"/>
      <c r="DC342" s="10"/>
    </row>
    <row r="343" spans="2:107"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62"/>
      <c r="T343" s="2762"/>
      <c r="U343" s="2762"/>
      <c r="V343" s="10"/>
      <c r="W343" s="10"/>
      <c r="X343" s="10"/>
      <c r="Y343" s="10"/>
      <c r="Z343" s="10"/>
      <c r="AB343" s="10"/>
      <c r="BY343" s="10"/>
      <c r="BZ343" s="62"/>
      <c r="CA343" s="10"/>
      <c r="CB343" s="10"/>
      <c r="CC343" s="10"/>
      <c r="CD343" s="62"/>
      <c r="CE343" s="62"/>
      <c r="CF343" s="62"/>
      <c r="CG343" s="62"/>
      <c r="CH343" s="62"/>
      <c r="CI343" s="62"/>
      <c r="CJ343" s="62"/>
      <c r="CK343" s="10"/>
      <c r="CT343" s="67"/>
      <c r="CU343" s="10"/>
      <c r="CV343" s="10"/>
      <c r="CW343" s="10"/>
      <c r="CX343" s="10"/>
      <c r="CY343" s="10"/>
      <c r="CZ343" s="10"/>
      <c r="DA343" s="10"/>
      <c r="DC343" s="10"/>
    </row>
    <row r="344" spans="2:107"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62"/>
      <c r="T344" s="2762"/>
      <c r="U344" s="2762"/>
      <c r="V344" s="10"/>
      <c r="W344" s="10"/>
      <c r="X344" s="10"/>
      <c r="Y344" s="10"/>
      <c r="Z344" s="10"/>
      <c r="AB344" s="10"/>
      <c r="BY344" s="10"/>
      <c r="BZ344" s="62"/>
      <c r="CA344" s="10"/>
      <c r="CB344" s="10"/>
      <c r="CC344" s="10"/>
      <c r="CD344" s="62"/>
      <c r="CE344" s="62"/>
      <c r="CF344" s="62"/>
      <c r="CG344" s="62"/>
      <c r="CH344" s="62"/>
      <c r="CI344" s="62"/>
      <c r="CJ344" s="62"/>
      <c r="CK344" s="10"/>
      <c r="CT344" s="67"/>
      <c r="CU344" s="10"/>
      <c r="CV344" s="10"/>
      <c r="CW344" s="10"/>
      <c r="CX344" s="10"/>
      <c r="CY344" s="10"/>
      <c r="CZ344" s="10"/>
      <c r="DA344" s="10"/>
      <c r="DC344" s="10"/>
    </row>
    <row r="345" spans="2:107"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62"/>
      <c r="T345" s="2762"/>
      <c r="U345" s="2762"/>
      <c r="V345" s="10"/>
      <c r="W345" s="10"/>
      <c r="X345" s="10"/>
      <c r="Y345" s="10"/>
      <c r="Z345" s="10"/>
      <c r="AB345" s="10"/>
      <c r="BY345" s="10"/>
      <c r="BZ345" s="62"/>
      <c r="CA345" s="10"/>
      <c r="CB345" s="10"/>
      <c r="CC345" s="10"/>
      <c r="CD345" s="62"/>
      <c r="CE345" s="62"/>
      <c r="CF345" s="62"/>
      <c r="CG345" s="62"/>
      <c r="CH345" s="62"/>
      <c r="CI345" s="62"/>
      <c r="CJ345" s="62"/>
      <c r="CK345" s="10"/>
      <c r="CT345" s="67"/>
      <c r="CU345" s="10"/>
      <c r="CV345" s="10"/>
      <c r="CW345" s="10"/>
      <c r="CX345" s="10"/>
      <c r="CY345" s="10"/>
      <c r="CZ345" s="10"/>
      <c r="DA345" s="10"/>
      <c r="DC345" s="10"/>
    </row>
    <row r="346" spans="2:107"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62"/>
      <c r="T346" s="2762"/>
      <c r="U346" s="2762"/>
      <c r="V346" s="10"/>
      <c r="W346" s="10"/>
      <c r="X346" s="10"/>
      <c r="Y346" s="10"/>
      <c r="Z346" s="10"/>
      <c r="AB346" s="10"/>
      <c r="BY346" s="10"/>
      <c r="BZ346" s="62"/>
      <c r="CA346" s="10"/>
      <c r="CB346" s="10"/>
      <c r="CC346" s="10"/>
      <c r="CD346" s="62"/>
      <c r="CE346" s="62"/>
      <c r="CF346" s="62"/>
      <c r="CG346" s="62"/>
      <c r="CH346" s="62"/>
      <c r="CI346" s="62"/>
      <c r="CJ346" s="62"/>
      <c r="CK346" s="10"/>
      <c r="CT346" s="67"/>
      <c r="CU346" s="10"/>
      <c r="CV346" s="10"/>
      <c r="CW346" s="10"/>
      <c r="CX346" s="10"/>
      <c r="CY346" s="10"/>
      <c r="CZ346" s="10"/>
      <c r="DA346" s="10"/>
      <c r="DC346" s="10"/>
    </row>
    <row r="347" spans="2:107">
      <c r="B347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62"/>
      <c r="T347" s="2762"/>
      <c r="U347" s="2762"/>
      <c r="V347" s="10"/>
      <c r="W347" s="10"/>
      <c r="X347" s="10"/>
      <c r="Y347" s="10"/>
      <c r="Z347" s="10"/>
      <c r="AB347" s="10"/>
      <c r="BY347" s="10"/>
      <c r="BZ347" s="62"/>
      <c r="CA347" s="10"/>
      <c r="CB347" s="10"/>
      <c r="CC347" s="10"/>
      <c r="CD347" s="62"/>
      <c r="CE347" s="62"/>
      <c r="CF347" s="62"/>
      <c r="CT347" s="67"/>
      <c r="CU347" s="10"/>
      <c r="CV347" s="10"/>
      <c r="CW347" s="10"/>
      <c r="CX347" s="10"/>
      <c r="CY347" s="10"/>
      <c r="CZ347" s="10"/>
      <c r="DA347" s="10"/>
      <c r="DC347" s="10"/>
    </row>
    <row r="348" spans="2:107"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62"/>
      <c r="T348" s="2762"/>
      <c r="U348" s="2762"/>
      <c r="V348" s="10"/>
      <c r="W348" s="10"/>
      <c r="X348" s="10"/>
      <c r="Y348" s="10"/>
      <c r="Z348" s="10"/>
      <c r="AB348" s="10"/>
      <c r="BY348" s="10"/>
      <c r="BZ348" s="62"/>
      <c r="CA348" s="10"/>
      <c r="CB348" s="10"/>
      <c r="CC348" s="10"/>
      <c r="CD348" s="62"/>
      <c r="CE348" s="62"/>
      <c r="CF348" s="62"/>
      <c r="CT348" s="67"/>
      <c r="CU348" s="10"/>
      <c r="CV348" s="10"/>
      <c r="CW348" s="10"/>
      <c r="CX348" s="10"/>
      <c r="CY348" s="10"/>
      <c r="CZ348" s="10"/>
      <c r="DA348" s="10"/>
      <c r="DC348" s="10"/>
    </row>
    <row r="349" spans="2:107"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62"/>
      <c r="T349" s="2762"/>
      <c r="U349" s="2762"/>
      <c r="V349" s="10"/>
      <c r="W349" s="10"/>
      <c r="X349" s="10"/>
      <c r="Y349" s="10"/>
      <c r="Z349" s="10"/>
      <c r="AB349" s="10"/>
      <c r="BY349" s="10"/>
      <c r="BZ349" s="62"/>
      <c r="CA349" s="10"/>
      <c r="CB349" s="10"/>
      <c r="CC349" s="10"/>
      <c r="CD349" s="62"/>
      <c r="CE349" s="62"/>
      <c r="CF349" s="62"/>
      <c r="CT349" s="67"/>
      <c r="CU349" s="10"/>
      <c r="CV349" s="10"/>
      <c r="CW349" s="10"/>
      <c r="CX349" s="10"/>
      <c r="CY349" s="10"/>
      <c r="CZ349" s="10"/>
      <c r="DA349" s="10"/>
      <c r="DC349" s="10"/>
    </row>
    <row r="350" spans="2:107"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62"/>
      <c r="T350" s="2762"/>
      <c r="U350" s="2762"/>
      <c r="V350" s="10"/>
      <c r="W350" s="10"/>
      <c r="X350" s="10"/>
      <c r="Y350" s="10"/>
      <c r="Z350" s="10"/>
      <c r="AB350" s="10"/>
      <c r="BY350" s="10"/>
      <c r="BZ350" s="62"/>
      <c r="CA350" s="10"/>
      <c r="CB350" s="10"/>
      <c r="CC350" s="10"/>
      <c r="CD350" s="62"/>
      <c r="CE350" s="62"/>
      <c r="CF350" s="62"/>
      <c r="CT350" s="67"/>
      <c r="CU350" s="10"/>
      <c r="CV350" s="10"/>
      <c r="CW350" s="10"/>
      <c r="CX350" s="10"/>
      <c r="CY350" s="10"/>
      <c r="CZ350" s="10"/>
      <c r="DA350" s="10"/>
      <c r="DC350" s="10"/>
    </row>
    <row r="351" spans="2:107"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62"/>
      <c r="T351" s="2762"/>
      <c r="U351" s="2762"/>
      <c r="V351" s="10"/>
      <c r="W351" s="10"/>
      <c r="X351" s="10"/>
      <c r="Y351" s="10"/>
      <c r="Z351" s="10"/>
      <c r="AB351" s="10"/>
      <c r="BY351" s="10"/>
      <c r="BZ351" s="62"/>
      <c r="CA351" s="10"/>
      <c r="CB351" s="10"/>
      <c r="CC351" s="10"/>
      <c r="CD351" s="62"/>
      <c r="CE351" s="62"/>
      <c r="CF351" s="62"/>
      <c r="CT351" s="67"/>
      <c r="CU351" s="10"/>
      <c r="CV351" s="10"/>
      <c r="CW351" s="10"/>
      <c r="CX351" s="10"/>
      <c r="CY351" s="10"/>
      <c r="CZ351" s="10"/>
      <c r="DA351" s="10"/>
      <c r="DC351" s="10"/>
    </row>
    <row r="352" spans="2:107"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62"/>
      <c r="T352" s="2762"/>
      <c r="U352" s="2762"/>
      <c r="V352" s="10"/>
      <c r="W352" s="10"/>
      <c r="X352" s="10"/>
      <c r="Y352" s="10"/>
      <c r="Z352" s="10"/>
      <c r="AB352" s="10"/>
      <c r="BY352" s="10"/>
      <c r="BZ352" s="62"/>
      <c r="CA352" s="10"/>
      <c r="CB352" s="10"/>
      <c r="CC352" s="10"/>
      <c r="CD352" s="62"/>
      <c r="CE352" s="62"/>
      <c r="CF352" s="62"/>
      <c r="CT352" s="67"/>
      <c r="CU352" s="10"/>
      <c r="CV352" s="10"/>
      <c r="CW352" s="10"/>
      <c r="CX352" s="10"/>
      <c r="CY352" s="10"/>
      <c r="CZ352" s="10"/>
      <c r="DA352" s="10"/>
      <c r="DC352" s="10"/>
    </row>
    <row r="353" spans="8:107"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62"/>
      <c r="T353" s="2762"/>
      <c r="U353" s="2762"/>
      <c r="V353" s="10"/>
      <c r="W353" s="10"/>
      <c r="X353" s="10"/>
      <c r="Y353" s="10"/>
      <c r="Z353" s="10"/>
      <c r="AB353" s="10"/>
      <c r="BY353" s="10"/>
      <c r="BZ353" s="62"/>
      <c r="CA353" s="10"/>
      <c r="CB353" s="10"/>
      <c r="CC353" s="10"/>
      <c r="CD353" s="62"/>
      <c r="CE353" s="62"/>
      <c r="CF353" s="62"/>
      <c r="CT353" s="67"/>
      <c r="CU353" s="10"/>
      <c r="CV353" s="10"/>
      <c r="CW353" s="10"/>
      <c r="CX353" s="10"/>
      <c r="CY353" s="10"/>
      <c r="CZ353" s="10"/>
      <c r="DA353" s="10"/>
      <c r="DC353" s="10"/>
    </row>
    <row r="354" spans="8:107"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62"/>
      <c r="T354" s="2762"/>
      <c r="U354" s="2762"/>
      <c r="V354" s="10"/>
      <c r="W354" s="10"/>
      <c r="X354" s="10"/>
      <c r="Y354" s="10"/>
      <c r="Z354" s="10"/>
      <c r="AB354" s="10"/>
      <c r="BY354" s="10"/>
      <c r="BZ354" s="62"/>
      <c r="CA354" s="10"/>
      <c r="CB354" s="10"/>
      <c r="CC354" s="10"/>
      <c r="CD354" s="62"/>
      <c r="CE354" s="62"/>
      <c r="CF354" s="62"/>
      <c r="CT354" s="67"/>
      <c r="CU354" s="10"/>
      <c r="CV354" s="10"/>
      <c r="CW354" s="10"/>
      <c r="CX354" s="10"/>
      <c r="CY354" s="10"/>
      <c r="CZ354" s="10"/>
      <c r="DA354" s="10"/>
      <c r="DC354" s="10"/>
    </row>
    <row r="355" spans="8:107"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62"/>
      <c r="T355" s="2762"/>
      <c r="U355" s="2762"/>
      <c r="V355" s="10"/>
      <c r="W355" s="10"/>
      <c r="X355" s="10"/>
      <c r="Y355" s="10"/>
      <c r="Z355" s="10"/>
      <c r="AB355" s="10"/>
      <c r="BY355" s="10"/>
      <c r="BZ355" s="62"/>
      <c r="CA355" s="10"/>
      <c r="CB355" s="10"/>
      <c r="CC355" s="10"/>
      <c r="CD355" s="62"/>
      <c r="CE355" s="62"/>
      <c r="CF355" s="62"/>
      <c r="CT355" s="67"/>
      <c r="CU355" s="10"/>
      <c r="CV355" s="10"/>
      <c r="CW355" s="10"/>
      <c r="CX355" s="10"/>
      <c r="CY355" s="10"/>
      <c r="CZ355" s="10"/>
      <c r="DA355" s="10"/>
      <c r="DC355" s="10"/>
    </row>
    <row r="356" spans="8:107"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62"/>
      <c r="T356" s="2762"/>
      <c r="U356" s="2762"/>
      <c r="V356" s="10"/>
      <c r="W356" s="10"/>
      <c r="X356" s="10"/>
      <c r="Y356" s="10"/>
      <c r="Z356" s="10"/>
      <c r="AB356" s="10"/>
      <c r="BY356" s="10"/>
      <c r="BZ356" s="62"/>
      <c r="CA356" s="10"/>
      <c r="CB356" s="10"/>
      <c r="CC356" s="10"/>
      <c r="CD356" s="62"/>
      <c r="CE356" s="62"/>
      <c r="CF356" s="62"/>
      <c r="CT356" s="67"/>
      <c r="CU356" s="10"/>
      <c r="CV356" s="10"/>
      <c r="CW356" s="10"/>
      <c r="CX356" s="10"/>
      <c r="CY356" s="10"/>
      <c r="CZ356" s="10"/>
      <c r="DA356" s="10"/>
      <c r="DC356" s="10"/>
    </row>
    <row r="357" spans="8:107"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62"/>
      <c r="T357" s="2762"/>
      <c r="U357" s="2762"/>
      <c r="V357" s="10"/>
      <c r="W357" s="10"/>
      <c r="X357" s="10"/>
      <c r="Y357" s="10"/>
      <c r="Z357" s="10"/>
      <c r="AB357" s="10"/>
      <c r="BY357" s="10"/>
      <c r="BZ357" s="62"/>
      <c r="CA357" s="10"/>
      <c r="CB357" s="10"/>
      <c r="CC357" s="10"/>
      <c r="CD357" s="62"/>
      <c r="CE357" s="62"/>
      <c r="CF357" s="62"/>
      <c r="CT357" s="67"/>
      <c r="CU357" s="10"/>
      <c r="CV357" s="10"/>
      <c r="CW357" s="10"/>
      <c r="CX357" s="10"/>
      <c r="CY357" s="10"/>
      <c r="CZ357" s="10"/>
      <c r="DA357" s="10"/>
      <c r="DC357" s="10"/>
    </row>
    <row r="358" spans="8:107"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62"/>
      <c r="T358" s="2762"/>
      <c r="U358" s="2762"/>
      <c r="V358" s="10"/>
      <c r="W358" s="10"/>
      <c r="X358" s="10"/>
      <c r="Y358" s="10"/>
      <c r="Z358" s="10"/>
      <c r="AB358" s="10"/>
      <c r="BY358" s="10"/>
      <c r="BZ358" s="62"/>
      <c r="CA358" s="10"/>
      <c r="CB358" s="10"/>
      <c r="CC358" s="10"/>
      <c r="CD358" s="62"/>
      <c r="CE358" s="62"/>
      <c r="CF358" s="62"/>
      <c r="CT358" s="67"/>
      <c r="CU358" s="10"/>
      <c r="CV358" s="10"/>
      <c r="CW358" s="10"/>
      <c r="CX358" s="10"/>
      <c r="CY358" s="10"/>
      <c r="CZ358" s="10"/>
      <c r="DA358" s="10"/>
      <c r="DC358" s="10"/>
    </row>
    <row r="359" spans="8:107"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62"/>
      <c r="T359" s="2762"/>
      <c r="U359" s="2762"/>
      <c r="V359" s="10"/>
      <c r="W359" s="10"/>
      <c r="X359" s="10"/>
      <c r="Y359" s="10"/>
      <c r="Z359" s="10"/>
      <c r="AB359" s="10"/>
      <c r="BY359" s="10"/>
      <c r="BZ359" s="62"/>
      <c r="CA359" s="10"/>
      <c r="CB359" s="10"/>
      <c r="CC359" s="10"/>
      <c r="CD359" s="62"/>
      <c r="CE359" s="62"/>
      <c r="CF359" s="62"/>
      <c r="CT359" s="67"/>
      <c r="CU359" s="10"/>
      <c r="CV359" s="10"/>
      <c r="CW359" s="10"/>
      <c r="CX359" s="10"/>
      <c r="CY359" s="10"/>
      <c r="CZ359" s="10"/>
      <c r="DA359" s="10"/>
      <c r="DC359" s="10"/>
    </row>
    <row r="360" spans="8:107"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62"/>
      <c r="T360" s="2762"/>
      <c r="U360" s="2762"/>
      <c r="V360" s="10"/>
      <c r="W360" s="10"/>
      <c r="X360" s="10"/>
      <c r="Y360" s="10"/>
      <c r="Z360" s="10"/>
      <c r="AB360" s="10"/>
    </row>
    <row r="370" spans="1:23" ht="15">
      <c r="A370" s="3591" t="s">
        <v>2154</v>
      </c>
    </row>
    <row r="371" spans="1:23">
      <c r="A371" s="459" t="s">
        <v>1113</v>
      </c>
      <c r="B371" s="1793">
        <v>2017</v>
      </c>
      <c r="C371" s="1793">
        <f>B371+1</f>
        <v>2018</v>
      </c>
      <c r="D371" s="1793">
        <f>C371+1</f>
        <v>2019</v>
      </c>
      <c r="E371" s="1793">
        <f>D371+1</f>
        <v>2020</v>
      </c>
      <c r="F371" s="1793">
        <f>E371+1</f>
        <v>2021</v>
      </c>
      <c r="G371" s="1794">
        <v>2022</v>
      </c>
      <c r="H371" s="1794">
        <v>2023</v>
      </c>
      <c r="I371" s="1543">
        <v>2024</v>
      </c>
      <c r="J371" s="1543">
        <v>2025</v>
      </c>
      <c r="K371" s="1543" t="s">
        <v>263</v>
      </c>
      <c r="L371" s="1543" t="s">
        <v>812</v>
      </c>
      <c r="M371" s="1543" t="s">
        <v>948</v>
      </c>
      <c r="N371" s="1794"/>
      <c r="O371" s="1794"/>
      <c r="P371" s="1543" t="s">
        <v>255</v>
      </c>
      <c r="Q371" s="1543"/>
    </row>
    <row r="372" spans="1:23">
      <c r="A372" s="1792" t="s">
        <v>265</v>
      </c>
      <c r="B372" s="225">
        <f t="shared" ref="B372:M372" si="297">SUM(B373:B374)</f>
        <v>7860.1057268610002</v>
      </c>
      <c r="C372" s="225">
        <f t="shared" si="297"/>
        <v>9494.3509334299997</v>
      </c>
      <c r="D372" s="225">
        <f t="shared" si="297"/>
        <v>10162.366779894001</v>
      </c>
      <c r="E372" s="225">
        <f t="shared" si="297"/>
        <v>17122.109498307</v>
      </c>
      <c r="F372" s="225">
        <f t="shared" si="297"/>
        <v>26148.566028698002</v>
      </c>
      <c r="G372" s="225">
        <f t="shared" si="297"/>
        <v>19487.411306271999</v>
      </c>
      <c r="H372" s="225">
        <f t="shared" si="297"/>
        <v>24383.362041230997</v>
      </c>
      <c r="I372" s="225">
        <f t="shared" si="297"/>
        <v>31100.65</v>
      </c>
      <c r="J372" s="225">
        <f t="shared" si="297"/>
        <v>40153.168378360002</v>
      </c>
      <c r="K372" s="436">
        <f t="shared" ca="1" si="297"/>
        <v>47423.094812649928</v>
      </c>
      <c r="L372" s="436">
        <f t="shared" ca="1" si="297"/>
        <v>49969.560246303474</v>
      </c>
      <c r="M372" s="436">
        <f t="shared" ca="1" si="297"/>
        <v>52173.064470311045</v>
      </c>
      <c r="N372" s="225"/>
      <c r="O372" s="225"/>
      <c r="P372" s="436" t="e">
        <f>SUM(P373:P374)</f>
        <v>#REF!</v>
      </c>
      <c r="Q372" s="436"/>
    </row>
    <row r="373" spans="1:23">
      <c r="A373" s="6" t="s">
        <v>159</v>
      </c>
      <c r="B373" s="225">
        <f>BS!H6</f>
        <v>3480.6595147879998</v>
      </c>
      <c r="C373" s="225">
        <f>BS!I6</f>
        <v>3925.7272062930001</v>
      </c>
      <c r="D373" s="225">
        <f>BS!J6</f>
        <v>3453.388617569</v>
      </c>
      <c r="E373" s="225">
        <f>BS!K6</f>
        <v>4686.1913740379996</v>
      </c>
      <c r="F373" s="225">
        <f>BS!L6</f>
        <v>5417.8452932419996</v>
      </c>
      <c r="G373" s="225">
        <f>BS!M6</f>
        <v>6440.1771743219997</v>
      </c>
      <c r="H373" s="225">
        <f>BS!N6</f>
        <v>8279.1566832209992</v>
      </c>
      <c r="I373" s="225">
        <f>BS!O6</f>
        <v>9315.44</v>
      </c>
      <c r="J373" s="225">
        <f>BS!P6</f>
        <v>10540.18164092</v>
      </c>
      <c r="K373" s="225">
        <f ca="1">BS!Q6</f>
        <v>17810.10807520993</v>
      </c>
      <c r="L373" s="225">
        <f ca="1">BS!R6</f>
        <v>20356.573508863479</v>
      </c>
      <c r="M373" s="225">
        <f ca="1">BS!S6</f>
        <v>22560.07773287105</v>
      </c>
      <c r="N373" s="225"/>
      <c r="O373" s="225"/>
      <c r="P373" s="436" t="e">
        <f>BS!V6</f>
        <v>#REF!</v>
      </c>
      <c r="Q373" s="225"/>
    </row>
    <row r="374" spans="1:23">
      <c r="A374" s="6" t="s">
        <v>265</v>
      </c>
      <c r="B374" s="225">
        <f>BS!H7</f>
        <v>4379.4462120730004</v>
      </c>
      <c r="C374" s="225">
        <f>BS!I7</f>
        <v>5568.6237271370001</v>
      </c>
      <c r="D374" s="225">
        <f>BS!J7</f>
        <v>6708.9781623250001</v>
      </c>
      <c r="E374" s="225">
        <f>BS!K7</f>
        <v>12435.918124268999</v>
      </c>
      <c r="F374" s="225">
        <f>BS!L7</f>
        <v>20730.720735456001</v>
      </c>
      <c r="G374" s="225">
        <f>BS!M7</f>
        <v>13047.234131949999</v>
      </c>
      <c r="H374" s="225">
        <f>BS!N7</f>
        <v>16104.20535801</v>
      </c>
      <c r="I374" s="225">
        <f>BS!O7</f>
        <v>21785.21</v>
      </c>
      <c r="J374" s="225">
        <f>BS!P7</f>
        <v>29612.986737439998</v>
      </c>
      <c r="K374" s="436">
        <f>BS!Q7</f>
        <v>29612.986737439998</v>
      </c>
      <c r="L374" s="436">
        <f>BS!R7</f>
        <v>29612.986737439998</v>
      </c>
      <c r="M374" s="436">
        <f>BS!S7</f>
        <v>29612.986737439998</v>
      </c>
      <c r="N374" s="225"/>
      <c r="O374" s="225"/>
      <c r="P374" s="436">
        <f>BS!V7</f>
        <v>13880.814131949999</v>
      </c>
      <c r="Q374" s="436"/>
    </row>
    <row r="375" spans="1:23">
      <c r="B375" s="37"/>
      <c r="C375" s="37"/>
      <c r="D375" s="37"/>
      <c r="E375" s="37"/>
      <c r="F375" s="37"/>
      <c r="G375" s="37"/>
      <c r="H375" s="37"/>
      <c r="I375" s="37"/>
      <c r="J375" s="37"/>
      <c r="K375" s="437"/>
      <c r="L375" s="437"/>
      <c r="M375" s="437"/>
      <c r="N375" s="37"/>
      <c r="O375" s="37"/>
      <c r="P375" s="437"/>
      <c r="Q375" s="437"/>
    </row>
    <row r="376" spans="1:23">
      <c r="A376" s="674" t="s">
        <v>275</v>
      </c>
      <c r="B376" s="670"/>
      <c r="C376" s="670">
        <f t="shared" ref="C376:J376" si="298">C377/AVERAGE(B372:C372)</f>
        <v>5.1018479998045284E-2</v>
      </c>
      <c r="D376" s="670">
        <f t="shared" si="298"/>
        <v>5.1791143714595582E-2</v>
      </c>
      <c r="E376" s="670">
        <f t="shared" si="298"/>
        <v>5.2485536248615197E-2</v>
      </c>
      <c r="F376" s="670">
        <f t="shared" si="298"/>
        <v>4.6455832213792458E-2</v>
      </c>
      <c r="G376" s="670">
        <f t="shared" si="298"/>
        <v>5.9143104188321305E-2</v>
      </c>
      <c r="H376" s="670">
        <f t="shared" si="298"/>
        <v>7.5147575381359077E-2</v>
      </c>
      <c r="I376" s="670">
        <f t="shared" si="298"/>
        <v>4.3515598659408558E-2</v>
      </c>
      <c r="J376" s="670">
        <f t="shared" si="298"/>
        <v>4.8214117898323791E-2</v>
      </c>
      <c r="K376" s="671">
        <v>3.5000000000000003E-2</v>
      </c>
      <c r="L376" s="671">
        <v>0.04</v>
      </c>
      <c r="M376" s="671">
        <v>0.04</v>
      </c>
      <c r="N376" s="670"/>
      <c r="O376" s="670"/>
      <c r="P376" s="671">
        <v>5.1999999999999998E-2</v>
      </c>
      <c r="Q376" s="671"/>
      <c r="W376" s="1899" t="s">
        <v>88</v>
      </c>
    </row>
    <row r="377" spans="1:23">
      <c r="A377" s="1" t="s">
        <v>266</v>
      </c>
      <c r="B377" s="672"/>
      <c r="C377" s="588">
        <v>442.69900000000001</v>
      </c>
      <c r="D377" s="588">
        <f>Data!AT281</f>
        <v>509.02194602399999</v>
      </c>
      <c r="E377" s="588">
        <f>Data!AU281</f>
        <v>716.02018436200001</v>
      </c>
      <c r="F377" s="588">
        <f>Data!AV281</f>
        <v>1005.08762103</v>
      </c>
      <c r="G377" s="588">
        <f>Data!AW281</f>
        <v>1349.5266811290001</v>
      </c>
      <c r="H377" s="588">
        <f>Data!AX281</f>
        <v>1648.3911235850001</v>
      </c>
      <c r="I377" s="588">
        <f>Data!AY281</f>
        <v>1207.21</v>
      </c>
      <c r="J377" s="588">
        <f>Data!AZ281</f>
        <v>1717.72</v>
      </c>
      <c r="K377" s="588">
        <f>AVERAGE(J372)*K376</f>
        <v>1405.3608932426002</v>
      </c>
      <c r="L377" s="588">
        <f ca="1">AVERAGE(K372)*L376</f>
        <v>1896.9237925059972</v>
      </c>
      <c r="M377" s="588">
        <f ca="1">AVERAGE(L372)*M376</f>
        <v>1998.7824098521389</v>
      </c>
      <c r="N377" s="588"/>
      <c r="O377" s="588"/>
      <c r="P377" s="588">
        <f>AVERAGE(G372)*P376</f>
        <v>1013.3453879261439</v>
      </c>
      <c r="Q377" s="588"/>
    </row>
    <row r="378" spans="1:23">
      <c r="B378" s="37"/>
      <c r="C378" s="37"/>
      <c r="D378" s="37"/>
      <c r="E378" s="37"/>
      <c r="F378" s="37"/>
      <c r="G378" s="37"/>
      <c r="H378" s="37"/>
      <c r="I378" s="37"/>
      <c r="J378" s="37"/>
      <c r="K378" s="438"/>
      <c r="L378" s="438"/>
      <c r="M378" s="438"/>
      <c r="N378" s="37"/>
      <c r="O378" s="37"/>
      <c r="P378" s="438"/>
      <c r="Q378" s="438"/>
    </row>
    <row r="379" spans="1:23">
      <c r="A379" s="38" t="s">
        <v>267</v>
      </c>
      <c r="B379" s="37"/>
      <c r="C379" s="37"/>
      <c r="D379" s="37"/>
      <c r="E379" s="37"/>
      <c r="F379" s="37"/>
      <c r="G379" s="37"/>
      <c r="H379" s="37"/>
      <c r="I379" s="37"/>
      <c r="J379" s="37"/>
      <c r="K379" s="438"/>
      <c r="L379" s="438"/>
      <c r="M379" s="438"/>
      <c r="N379" s="37"/>
      <c r="O379" s="37"/>
      <c r="P379" s="438"/>
      <c r="Q379" s="438"/>
    </row>
    <row r="380" spans="1:23">
      <c r="A380" s="6" t="s">
        <v>268</v>
      </c>
      <c r="B380" s="225">
        <f>Data!Q69</f>
        <v>1333.704438239</v>
      </c>
      <c r="C380" s="225">
        <f>Data!R69</f>
        <v>1676.2316895270001</v>
      </c>
      <c r="D380" s="225">
        <f>Data!S69</f>
        <v>1912.7126945709999</v>
      </c>
      <c r="E380" s="225">
        <f>Data!T69</f>
        <v>1980.817143237</v>
      </c>
      <c r="F380" s="225">
        <f>Data!U69</f>
        <v>2018.0054393820001</v>
      </c>
      <c r="G380" s="225">
        <f>Data!V69</f>
        <v>2205.7363376930002</v>
      </c>
      <c r="H380" s="225">
        <f>Data!W69</f>
        <v>2107.6166863829999</v>
      </c>
      <c r="I380" s="225">
        <f>Data!X69</f>
        <v>2281.2199999999998</v>
      </c>
      <c r="J380" s="225">
        <f>Data!Y69</f>
        <v>3581.1285174250002</v>
      </c>
      <c r="K380" s="436">
        <f ca="1">BS!Q130</f>
        <v>12269.858851446086</v>
      </c>
      <c r="L380" s="436">
        <f ca="1">BS!R130</f>
        <v>15369.274800846088</v>
      </c>
      <c r="M380" s="436">
        <f ca="1">BS!S130</f>
        <v>18966.501574266087</v>
      </c>
      <c r="N380" s="225"/>
      <c r="O380" s="225"/>
      <c r="P380" s="436" t="e">
        <f>BS!V130</f>
        <v>#REF!</v>
      </c>
      <c r="Q380" s="436"/>
    </row>
    <row r="381" spans="1:23">
      <c r="A381" s="6" t="s">
        <v>997</v>
      </c>
      <c r="B381" s="225">
        <f>Data!Q70</f>
        <v>749.259852282</v>
      </c>
      <c r="C381" s="225">
        <f>Data!R70</f>
        <v>793.36084479199997</v>
      </c>
      <c r="D381" s="225">
        <f>Data!S70</f>
        <v>893.62399451700003</v>
      </c>
      <c r="E381" s="225">
        <f>Data!T70</f>
        <v>903.45723628600001</v>
      </c>
      <c r="F381" s="225">
        <f>Data!U70</f>
        <v>1931.006629408</v>
      </c>
      <c r="G381" s="225">
        <f>Data!V70</f>
        <v>2399.073118584</v>
      </c>
      <c r="H381" s="225">
        <f>Data!W70</f>
        <v>2830.3488130380001</v>
      </c>
      <c r="I381" s="225">
        <f>Data!X70</f>
        <v>3393.74</v>
      </c>
      <c r="J381" s="225">
        <f>Data!Y70</f>
        <v>3823.7629759060001</v>
      </c>
      <c r="K381" s="436">
        <f t="shared" ref="K381:M382" si="299">J381</f>
        <v>3823.7629759060001</v>
      </c>
      <c r="L381" s="436">
        <f t="shared" si="299"/>
        <v>3823.7629759060001</v>
      </c>
      <c r="M381" s="436">
        <f t="shared" si="299"/>
        <v>3823.7629759060001</v>
      </c>
      <c r="N381" s="225"/>
      <c r="O381" s="225"/>
      <c r="P381" s="436">
        <f>G381</f>
        <v>2399.073118584</v>
      </c>
      <c r="Q381" s="436"/>
    </row>
    <row r="382" spans="1:23">
      <c r="A382" s="6" t="s">
        <v>998</v>
      </c>
      <c r="B382" s="225">
        <f>Data!Q72</f>
        <v>0</v>
      </c>
      <c r="C382" s="225">
        <f>Data!R72</f>
        <v>0</v>
      </c>
      <c r="D382" s="225">
        <f>Data!S72</f>
        <v>0</v>
      </c>
      <c r="E382" s="225">
        <f>Data!T72</f>
        <v>0.2</v>
      </c>
      <c r="F382" s="225">
        <f>Data!U72</f>
        <v>0.2</v>
      </c>
      <c r="G382" s="225">
        <f>Data!V72</f>
        <v>10.199999999999999</v>
      </c>
      <c r="H382" s="225">
        <f>Data!W72</f>
        <v>20.2</v>
      </c>
      <c r="I382" s="225">
        <f>Data!X72</f>
        <v>0.2</v>
      </c>
      <c r="J382" s="225">
        <f>Data!Y72</f>
        <v>0</v>
      </c>
      <c r="K382" s="436">
        <f t="shared" si="299"/>
        <v>0</v>
      </c>
      <c r="L382" s="436">
        <f t="shared" si="299"/>
        <v>0</v>
      </c>
      <c r="M382" s="436">
        <f t="shared" si="299"/>
        <v>0</v>
      </c>
      <c r="N382" s="225"/>
      <c r="O382" s="225"/>
      <c r="P382" s="436">
        <f>G382</f>
        <v>10.199999999999999</v>
      </c>
      <c r="Q382" s="436"/>
    </row>
    <row r="383" spans="1:23">
      <c r="A383" s="6" t="s">
        <v>999</v>
      </c>
      <c r="B383" s="225">
        <f>Data!Q71</f>
        <v>-299.59528323699999</v>
      </c>
      <c r="C383" s="225">
        <f>Data!R71</f>
        <v>-267.12588458900001</v>
      </c>
      <c r="D383" s="225">
        <f>Data!S71</f>
        <v>-309.7846346</v>
      </c>
      <c r="E383" s="225">
        <f>Data!T71</f>
        <v>-303.29942547100001</v>
      </c>
      <c r="F383" s="225">
        <f>Data!U71</f>
        <v>-847.21837547099994</v>
      </c>
      <c r="G383" s="225">
        <f>Data!V71</f>
        <v>-1376.7102384899999</v>
      </c>
      <c r="H383" s="225">
        <f>Data!W71</f>
        <v>-1623.156391089</v>
      </c>
      <c r="I383" s="225">
        <f>Data!X71</f>
        <v>-2357.0700000000002</v>
      </c>
      <c r="J383" s="225">
        <f>Data!Y71</f>
        <v>-2667.0274991490001</v>
      </c>
      <c r="K383" s="436">
        <f>BS!Q31</f>
        <v>-2667.0274991490001</v>
      </c>
      <c r="L383" s="436">
        <f>BS!R31</f>
        <v>-2667.0274991490001</v>
      </c>
      <c r="M383" s="436">
        <f>BS!S31</f>
        <v>-2667.0274991490001</v>
      </c>
      <c r="N383" s="225"/>
      <c r="O383" s="225"/>
      <c r="P383" s="436">
        <f>BS!V31</f>
        <v>-1453.7102384899999</v>
      </c>
      <c r="Q383" s="436"/>
    </row>
    <row r="384" spans="1:23">
      <c r="B384" s="37"/>
      <c r="C384" s="37"/>
      <c r="D384" s="37"/>
      <c r="E384" s="37"/>
      <c r="F384" s="37"/>
      <c r="G384" s="37"/>
      <c r="H384" s="37"/>
      <c r="I384" s="37"/>
      <c r="J384" s="37"/>
      <c r="K384" s="438"/>
      <c r="L384" s="438"/>
      <c r="M384" s="438"/>
      <c r="N384" s="37"/>
      <c r="O384" s="37"/>
      <c r="P384" s="438"/>
      <c r="Q384" s="438"/>
    </row>
    <row r="385" spans="1:23">
      <c r="A385" s="38" t="s">
        <v>269</v>
      </c>
      <c r="B385" s="37"/>
      <c r="C385" s="37"/>
      <c r="D385" s="37"/>
      <c r="E385" s="37"/>
      <c r="F385" s="37"/>
      <c r="G385" s="37"/>
      <c r="H385" s="37"/>
      <c r="I385" s="37"/>
      <c r="J385" s="37"/>
      <c r="K385" s="438"/>
      <c r="L385" s="438"/>
      <c r="M385" s="438"/>
      <c r="N385" s="37"/>
      <c r="O385" s="37"/>
      <c r="P385" s="438"/>
      <c r="Q385" s="438"/>
    </row>
    <row r="386" spans="1:23">
      <c r="A386" s="1" t="s">
        <v>266</v>
      </c>
      <c r="B386" s="228"/>
      <c r="C386" s="228">
        <f t="shared" ref="C386:M386" si="300">C377</f>
        <v>442.69900000000001</v>
      </c>
      <c r="D386" s="228">
        <f t="shared" si="300"/>
        <v>509.02194602399999</v>
      </c>
      <c r="E386" s="228">
        <f t="shared" si="300"/>
        <v>716.02018436200001</v>
      </c>
      <c r="F386" s="228">
        <f t="shared" si="300"/>
        <v>1005.08762103</v>
      </c>
      <c r="G386" s="228">
        <f t="shared" si="300"/>
        <v>1349.5266811290001</v>
      </c>
      <c r="H386" s="228">
        <f t="shared" si="300"/>
        <v>1648.3911235850001</v>
      </c>
      <c r="I386" s="228">
        <f t="shared" si="300"/>
        <v>1207.21</v>
      </c>
      <c r="J386" s="228">
        <f t="shared" si="300"/>
        <v>1717.72</v>
      </c>
      <c r="K386" s="588">
        <f t="shared" si="300"/>
        <v>1405.3608932426002</v>
      </c>
      <c r="L386" s="588">
        <f t="shared" ca="1" si="300"/>
        <v>1896.9237925059972</v>
      </c>
      <c r="M386" s="588">
        <f t="shared" ca="1" si="300"/>
        <v>1998.7824098521389</v>
      </c>
      <c r="N386" s="228"/>
      <c r="O386" s="228"/>
      <c r="P386" s="588">
        <f>P377</f>
        <v>1013.3453879261439</v>
      </c>
      <c r="Q386" s="588"/>
    </row>
    <row r="387" spans="1:23">
      <c r="A387" s="1" t="s">
        <v>787</v>
      </c>
      <c r="B387" s="228"/>
      <c r="C387" s="588">
        <v>117.006</v>
      </c>
      <c r="D387" s="588">
        <f>Data!AT286</f>
        <v>137.760701888</v>
      </c>
      <c r="E387" s="588">
        <f>Data!AU286</f>
        <v>102.340583506</v>
      </c>
      <c r="F387" s="588">
        <f>Data!AV286</f>
        <v>256.37622066300003</v>
      </c>
      <c r="G387" s="588">
        <f>Data!AW286</f>
        <v>466.40204842899999</v>
      </c>
      <c r="H387" s="588">
        <f>Data!AX286</f>
        <v>373.85609848399997</v>
      </c>
      <c r="I387" s="588">
        <f>Data!AY286</f>
        <v>575.30999999999995</v>
      </c>
      <c r="J387" s="588">
        <f>Data!AZ286</f>
        <v>952.79</v>
      </c>
      <c r="K387" s="588">
        <f ca="1">PL!Q9*PL!K392</f>
        <v>457.55685344337365</v>
      </c>
      <c r="L387" s="588">
        <f ca="1">PL!R9*PL!L392</f>
        <v>527.56016160000013</v>
      </c>
      <c r="M387" s="588">
        <f ca="1">PL!S9*PL!M392</f>
        <v>535.75717902000008</v>
      </c>
      <c r="N387" s="588"/>
      <c r="O387" s="588"/>
      <c r="P387" s="588" t="e">
        <f>PL!#REF!*PL!P392</f>
        <v>#REF!</v>
      </c>
      <c r="Q387" s="588"/>
    </row>
    <row r="388" spans="1:23">
      <c r="A388" s="1" t="s">
        <v>146</v>
      </c>
      <c r="B388" s="228"/>
      <c r="C388" s="228">
        <f t="shared" ref="C388:J388" si="301">C390-C386-C387</f>
        <v>40.388309692000036</v>
      </c>
      <c r="D388" s="228">
        <f t="shared" si="301"/>
        <v>3.711893286999981</v>
      </c>
      <c r="E388" s="228">
        <f t="shared" si="301"/>
        <v>3.5356569140000431</v>
      </c>
      <c r="F388" s="228">
        <f t="shared" si="301"/>
        <v>9.3255445739999914</v>
      </c>
      <c r="G388" s="228">
        <f t="shared" si="301"/>
        <v>182.57525030699998</v>
      </c>
      <c r="H388" s="228">
        <f t="shared" si="301"/>
        <v>313.82186775000002</v>
      </c>
      <c r="I388" s="228">
        <f t="shared" si="301"/>
        <v>153.23000000000002</v>
      </c>
      <c r="J388" s="228">
        <f t="shared" si="301"/>
        <v>306.64999999999986</v>
      </c>
      <c r="K388" s="588">
        <f>SUM(J381:J382)*K393</f>
        <v>19.118814879529999</v>
      </c>
      <c r="L388" s="588">
        <f>SUM(K381:K382)*L393</f>
        <v>19.118814879529999</v>
      </c>
      <c r="M388" s="588">
        <f>SUM(L381:L382)*M393</f>
        <v>19.118814879529999</v>
      </c>
      <c r="N388" s="228"/>
      <c r="O388" s="228"/>
      <c r="P388" s="588">
        <f>SUM(G381:G382)*P393</f>
        <v>12.046365592919999</v>
      </c>
      <c r="Q388" s="588"/>
    </row>
    <row r="389" spans="1:23">
      <c r="A389" s="1"/>
      <c r="B389" s="228"/>
      <c r="C389" s="228"/>
      <c r="D389" s="228"/>
      <c r="E389" s="228"/>
      <c r="F389" s="228"/>
      <c r="G389" s="228"/>
      <c r="H389" s="228"/>
      <c r="I389" s="228"/>
      <c r="J389" s="228"/>
      <c r="K389" s="588"/>
      <c r="L389" s="588"/>
      <c r="M389" s="588"/>
      <c r="N389" s="228"/>
      <c r="O389" s="228"/>
      <c r="P389" s="588"/>
      <c r="Q389" s="588"/>
    </row>
    <row r="390" spans="1:23">
      <c r="A390" s="1855" t="s">
        <v>276</v>
      </c>
      <c r="B390" s="1855"/>
      <c r="C390" s="1856">
        <f>PL!I32</f>
        <v>600.09330969200005</v>
      </c>
      <c r="D390" s="1856">
        <f>PL!J32</f>
        <v>650.49454119899997</v>
      </c>
      <c r="E390" s="1856">
        <f>PL!K32</f>
        <v>821.89642478200005</v>
      </c>
      <c r="F390" s="1856">
        <f>PL!L32</f>
        <v>1270.7893862670001</v>
      </c>
      <c r="G390" s="1856">
        <f>PL!M32</f>
        <v>1998.503979865</v>
      </c>
      <c r="H390" s="1856">
        <f>PL!N32</f>
        <v>2336.0690898190001</v>
      </c>
      <c r="I390" s="1856">
        <f>PL!O32</f>
        <v>1935.75</v>
      </c>
      <c r="J390" s="1856">
        <f>PL!P32</f>
        <v>2977.16</v>
      </c>
      <c r="K390" s="1857">
        <f ca="1">SUM(K386:K388)</f>
        <v>1882.0365615655039</v>
      </c>
      <c r="L390" s="1857">
        <f ca="1">SUM(L386:L388)</f>
        <v>2443.6027689855273</v>
      </c>
      <c r="M390" s="1857">
        <f ca="1">SUM(M386:M388)</f>
        <v>2553.6584037516691</v>
      </c>
      <c r="N390" s="1856"/>
      <c r="O390" s="1856"/>
      <c r="P390" s="1857" t="e">
        <f>SUM(P386:P388)</f>
        <v>#REF!</v>
      </c>
      <c r="Q390" s="1857"/>
    </row>
    <row r="391" spans="1:23">
      <c r="B391" s="225"/>
      <c r="C391" s="225"/>
      <c r="D391" s="225"/>
      <c r="E391" s="225"/>
      <c r="F391" s="225"/>
      <c r="G391" s="225"/>
      <c r="H391" s="225"/>
      <c r="I391" s="225"/>
      <c r="J391" s="225"/>
      <c r="K391" s="436"/>
      <c r="L391" s="436"/>
      <c r="M391" s="436"/>
      <c r="N391" s="225"/>
      <c r="O391" s="225"/>
      <c r="P391" s="436"/>
      <c r="Q391" s="436"/>
    </row>
    <row r="392" spans="1:23">
      <c r="A392" s="1205" t="s">
        <v>1116</v>
      </c>
      <c r="B392" s="670"/>
      <c r="C392" s="670">
        <f>C387/PL!I9</f>
        <v>5.0404210576408884E-3</v>
      </c>
      <c r="D392" s="670">
        <f>D387/PL!J9</f>
        <v>4.9702673428526269E-3</v>
      </c>
      <c r="E392" s="670">
        <f>E387/PL!K9</f>
        <v>3.4307478846612744E-3</v>
      </c>
      <c r="F392" s="670">
        <f>F387/PL!L9</f>
        <v>7.1900141055207274E-3</v>
      </c>
      <c r="G392" s="670">
        <f>G387/PL!M9</f>
        <v>1.0597751737092613E-2</v>
      </c>
      <c r="H392" s="670">
        <f>H387/PL!N9</f>
        <v>7.1051123782084917E-3</v>
      </c>
      <c r="I392" s="670">
        <f>I387/PL!O9</f>
        <v>9.153875516139609E-3</v>
      </c>
      <c r="J392" s="670">
        <f>J387/PL!P9</f>
        <v>1.3571020496472679E-2</v>
      </c>
      <c r="K392" s="671">
        <v>8.0000000000000002E-3</v>
      </c>
      <c r="L392" s="671">
        <v>8.0000000000000002E-3</v>
      </c>
      <c r="M392" s="671">
        <v>7.0000000000000001E-3</v>
      </c>
      <c r="N392" s="670"/>
      <c r="O392" s="670"/>
      <c r="P392" s="671">
        <f>Assumptions!AF57</f>
        <v>0.01</v>
      </c>
      <c r="Q392" s="671"/>
      <c r="W392" s="1899" t="s">
        <v>88</v>
      </c>
    </row>
    <row r="393" spans="1:23">
      <c r="A393" s="1205" t="s">
        <v>1000</v>
      </c>
      <c r="B393" s="225"/>
      <c r="C393" s="670">
        <f t="shared" ref="C393:J393" si="302">C388/SUM(C381:C382)</f>
        <v>5.0907868666733705E-2</v>
      </c>
      <c r="D393" s="670">
        <f t="shared" si="302"/>
        <v>4.1537529316300909E-3</v>
      </c>
      <c r="E393" s="670">
        <f t="shared" si="302"/>
        <v>3.9126084227814857E-3</v>
      </c>
      <c r="F393" s="670">
        <f t="shared" si="302"/>
        <v>4.8288693876629256E-3</v>
      </c>
      <c r="G393" s="670">
        <f t="shared" si="302"/>
        <v>7.5780221386566912E-2</v>
      </c>
      <c r="H393" s="670">
        <f t="shared" si="302"/>
        <v>0.110091736129767</v>
      </c>
      <c r="I393" s="670">
        <f t="shared" si="302"/>
        <v>4.5148116937836269E-2</v>
      </c>
      <c r="J393" s="670">
        <f t="shared" si="302"/>
        <v>8.019587038533485E-2</v>
      </c>
      <c r="K393" s="671">
        <f>Assumptions!Q58</f>
        <v>5.0000000000000001E-3</v>
      </c>
      <c r="L393" s="671">
        <f>Assumptions!R58</f>
        <v>5.0000000000000001E-3</v>
      </c>
      <c r="M393" s="671">
        <f>Assumptions!S58</f>
        <v>5.0000000000000001E-3</v>
      </c>
      <c r="N393" s="670"/>
      <c r="O393" s="670"/>
      <c r="P393" s="671">
        <f>Assumptions!AF58</f>
        <v>5.0000000000000001E-3</v>
      </c>
      <c r="Q393" s="671"/>
      <c r="W393" s="1899" t="s">
        <v>88</v>
      </c>
    </row>
    <row r="394" spans="1:23">
      <c r="A394" s="1205"/>
      <c r="B394" s="225"/>
      <c r="C394" s="670"/>
      <c r="D394" s="670"/>
      <c r="E394" s="670"/>
      <c r="F394" s="670"/>
      <c r="G394" s="670"/>
      <c r="H394" s="670"/>
      <c r="I394" s="670"/>
      <c r="J394" s="670"/>
      <c r="K394" s="671"/>
      <c r="L394" s="671"/>
      <c r="M394" s="671"/>
      <c r="N394" s="670"/>
      <c r="O394" s="670"/>
      <c r="P394" s="671"/>
      <c r="Q394" s="671"/>
    </row>
    <row r="395" spans="1:23">
      <c r="A395" s="40"/>
      <c r="B395" s="225"/>
      <c r="C395" s="225"/>
      <c r="D395" s="225"/>
      <c r="E395" s="225"/>
      <c r="F395" s="225"/>
      <c r="G395" s="225"/>
      <c r="H395" s="225"/>
      <c r="I395" s="225"/>
      <c r="J395" s="225"/>
      <c r="K395" s="436"/>
      <c r="L395" s="436"/>
      <c r="M395" s="436"/>
      <c r="N395" s="225"/>
      <c r="O395" s="225"/>
      <c r="P395" s="436"/>
      <c r="Q395" s="436"/>
    </row>
    <row r="396" spans="1:23">
      <c r="A396" s="38" t="s">
        <v>277</v>
      </c>
      <c r="B396" s="225"/>
      <c r="C396" s="225"/>
      <c r="D396" s="225"/>
      <c r="E396" s="225"/>
      <c r="F396" s="225"/>
      <c r="G396" s="225"/>
      <c r="H396" s="225"/>
      <c r="I396" s="225"/>
      <c r="J396" s="225"/>
      <c r="K396" s="436"/>
      <c r="L396" s="436"/>
      <c r="M396" s="436"/>
      <c r="N396" s="225"/>
      <c r="O396" s="225"/>
      <c r="P396" s="436"/>
      <c r="Q396" s="436"/>
    </row>
    <row r="397" spans="1:23">
      <c r="A397" s="1" t="s">
        <v>270</v>
      </c>
      <c r="B397" s="228">
        <f t="shared" ref="B397:M397" si="303">SUM(B398:B399)</f>
        <v>4682.1985259610001</v>
      </c>
      <c r="C397" s="228">
        <f t="shared" si="303"/>
        <v>6965.6621722</v>
      </c>
      <c r="D397" s="228">
        <f t="shared" si="303"/>
        <v>7863.4047539499998</v>
      </c>
      <c r="E397" s="228">
        <f t="shared" si="303"/>
        <v>12740.207106153</v>
      </c>
      <c r="F397" s="228">
        <f t="shared" si="303"/>
        <v>20095.749680822999</v>
      </c>
      <c r="G397" s="228">
        <f t="shared" si="303"/>
        <v>12382.175179004</v>
      </c>
      <c r="H397" s="228">
        <f t="shared" si="303"/>
        <v>14045.969471069</v>
      </c>
      <c r="I397" s="228">
        <f t="shared" si="303"/>
        <v>14947.36</v>
      </c>
      <c r="J397" s="228">
        <f t="shared" si="303"/>
        <v>21073.487486138998</v>
      </c>
      <c r="K397" s="588">
        <f t="shared" ca="1" si="303"/>
        <v>21486.007440511574</v>
      </c>
      <c r="L397" s="588">
        <f t="shared" ca="1" si="303"/>
        <v>21965.537353712476</v>
      </c>
      <c r="M397" s="588">
        <f t="shared" ca="1" si="303"/>
        <v>21965.537353712476</v>
      </c>
      <c r="N397" s="228"/>
      <c r="O397" s="228"/>
      <c r="P397" s="588">
        <f>SUM(P398:P399)</f>
        <v>13146.553629564996</v>
      </c>
      <c r="Q397" s="588"/>
    </row>
    <row r="398" spans="1:23">
      <c r="A398" s="39" t="s">
        <v>271</v>
      </c>
      <c r="B398" s="225">
        <f>BS!H50</f>
        <v>4116.9887083240001</v>
      </c>
      <c r="C398" s="225">
        <f>BS!I50</f>
        <v>6598.8688493480004</v>
      </c>
      <c r="D398" s="225">
        <f>BS!J50</f>
        <v>7513.6356540079996</v>
      </c>
      <c r="E398" s="225">
        <f>BS!K50</f>
        <v>12062.410192740001</v>
      </c>
      <c r="F398" s="225">
        <f>BS!L50</f>
        <v>17799.441187777</v>
      </c>
      <c r="G398" s="225">
        <f>BS!M50</f>
        <v>10904.344845014</v>
      </c>
      <c r="H398" s="225">
        <f>BS!N50</f>
        <v>13837.894474107001</v>
      </c>
      <c r="I398" s="225">
        <f>BS!O50</f>
        <v>14446.24</v>
      </c>
      <c r="J398" s="225">
        <f>BS!P50</f>
        <v>19169.697497955</v>
      </c>
      <c r="K398" s="436">
        <f ca="1">BS!Q50</f>
        <v>19582.217452327575</v>
      </c>
      <c r="L398" s="436">
        <f ca="1">BS!R50</f>
        <v>20061.747365528478</v>
      </c>
      <c r="M398" s="436">
        <f ca="1">BS!S50</f>
        <v>20061.747365528478</v>
      </c>
      <c r="N398" s="225"/>
      <c r="O398" s="225"/>
      <c r="P398" s="436">
        <f>BS!V50</f>
        <v>12623.708629564997</v>
      </c>
      <c r="Q398" s="436"/>
    </row>
    <row r="399" spans="1:23">
      <c r="A399" s="39" t="s">
        <v>272</v>
      </c>
      <c r="B399" s="225">
        <f>BS!H53</f>
        <v>565.20981763700001</v>
      </c>
      <c r="C399" s="225">
        <f>BS!I53</f>
        <v>366.79332285200002</v>
      </c>
      <c r="D399" s="225">
        <f>BS!J53</f>
        <v>349.76909994200003</v>
      </c>
      <c r="E399" s="225">
        <f>BS!K53</f>
        <v>677.79691341299997</v>
      </c>
      <c r="F399" s="225">
        <f>BS!L53</f>
        <v>2296.308493046</v>
      </c>
      <c r="G399" s="225">
        <f>BS!M53</f>
        <v>1477.8303339900001</v>
      </c>
      <c r="H399" s="225">
        <f>BS!N53</f>
        <v>208.074996962</v>
      </c>
      <c r="I399" s="225">
        <f>BS!O53</f>
        <v>501.12</v>
      </c>
      <c r="J399" s="225">
        <f>BS!P53</f>
        <v>1903.7899881840001</v>
      </c>
      <c r="K399" s="436">
        <f>BS!Q53</f>
        <v>1903.7899881840001</v>
      </c>
      <c r="L399" s="436">
        <f>BS!R53</f>
        <v>1903.7899881840001</v>
      </c>
      <c r="M399" s="436">
        <f>BS!S53</f>
        <v>1903.7899881840001</v>
      </c>
      <c r="N399" s="225"/>
      <c r="O399" s="225"/>
      <c r="P399" s="436">
        <f>BS!V53</f>
        <v>522.84500000000003</v>
      </c>
      <c r="Q399" s="436"/>
    </row>
    <row r="400" spans="1:23">
      <c r="B400" s="225"/>
      <c r="C400" s="225"/>
      <c r="D400" s="225"/>
      <c r="E400" s="225"/>
      <c r="F400" s="225"/>
      <c r="G400" s="225"/>
      <c r="H400" s="225"/>
      <c r="I400" s="225"/>
      <c r="J400" s="225"/>
      <c r="K400" s="436"/>
      <c r="L400" s="436"/>
      <c r="M400" s="436"/>
      <c r="N400" s="225"/>
      <c r="O400" s="225"/>
      <c r="P400" s="436"/>
      <c r="Q400" s="436"/>
    </row>
    <row r="401" spans="1:23">
      <c r="A401" s="6" t="s">
        <v>278</v>
      </c>
      <c r="B401" s="225"/>
      <c r="C401" s="225"/>
      <c r="D401" s="225"/>
      <c r="E401" s="225"/>
      <c r="F401" s="225"/>
      <c r="G401" s="225"/>
      <c r="H401" s="225"/>
      <c r="I401" s="225"/>
      <c r="J401" s="225"/>
      <c r="K401" s="436"/>
      <c r="L401" s="436"/>
      <c r="M401" s="436"/>
      <c r="N401" s="225"/>
      <c r="O401" s="225"/>
      <c r="P401" s="436"/>
      <c r="Q401" s="436"/>
    </row>
    <row r="402" spans="1:23">
      <c r="A402" s="6" t="s">
        <v>279</v>
      </c>
      <c r="B402" s="225">
        <f>BS!H11</f>
        <v>1024.0439525229999</v>
      </c>
      <c r="C402" s="225">
        <f>BS!I11</f>
        <v>1401.3026663779999</v>
      </c>
      <c r="D402" s="225">
        <f>BS!J11</f>
        <v>1349.9589013929999</v>
      </c>
      <c r="E402" s="225">
        <f>BS!K11</f>
        <v>1405.083502315</v>
      </c>
      <c r="F402" s="225">
        <f>BS!L11</f>
        <v>1623.315328554</v>
      </c>
      <c r="G402" s="225">
        <f>BS!M11</f>
        <v>2121.1180395619999</v>
      </c>
      <c r="H402" s="225">
        <f>BS!N11</f>
        <v>1724.956924671</v>
      </c>
      <c r="I402" s="225">
        <f>BS!O11</f>
        <v>1990.22</v>
      </c>
      <c r="J402" s="225">
        <f>BS!P11</f>
        <v>2250.812490757</v>
      </c>
      <c r="K402" s="436">
        <f ca="1">BS!Q11</f>
        <v>1740.5616251909851</v>
      </c>
      <c r="L402" s="436">
        <f ca="1">BS!R11</f>
        <v>2033.8712465456365</v>
      </c>
      <c r="M402" s="436">
        <f ca="1">BS!S11</f>
        <v>2373.4324192760319</v>
      </c>
      <c r="N402" s="225"/>
      <c r="O402" s="225"/>
      <c r="P402" s="436" t="e">
        <f>BS!V11</f>
        <v>#REF!</v>
      </c>
      <c r="Q402" s="436"/>
    </row>
    <row r="403" spans="1:23">
      <c r="A403" s="6" t="s">
        <v>280</v>
      </c>
      <c r="B403" s="225">
        <f>BS!H9</f>
        <v>5038.3789359169996</v>
      </c>
      <c r="C403" s="225">
        <f>BS!I9</f>
        <v>5561.5458018339996</v>
      </c>
      <c r="D403" s="225">
        <f>BS!J9</f>
        <v>5812.9381123459998</v>
      </c>
      <c r="E403" s="225">
        <f>BS!K9</f>
        <v>5564.3921914909997</v>
      </c>
      <c r="F403" s="225">
        <f>BS!L9</f>
        <v>6211.9565102460001</v>
      </c>
      <c r="G403" s="225">
        <f>BS!M9</f>
        <v>7990.076948983</v>
      </c>
      <c r="H403" s="225">
        <f>BS!N9</f>
        <v>9057.6472069850006</v>
      </c>
      <c r="I403" s="225">
        <f>BS!O9</f>
        <v>10537.02</v>
      </c>
      <c r="J403" s="225">
        <f>BS!P9</f>
        <v>12733.504688522</v>
      </c>
      <c r="K403" s="436">
        <f ca="1">BS!Q9</f>
        <v>9088.4580478478329</v>
      </c>
      <c r="L403" s="436">
        <f ca="1">BS!R9</f>
        <v>10478.934716712332</v>
      </c>
      <c r="M403" s="436">
        <f ca="1">BS!S9</f>
        <v>12162.002498301374</v>
      </c>
      <c r="N403" s="225"/>
      <c r="O403" s="225"/>
      <c r="P403" s="436" t="e">
        <f>BS!V9</f>
        <v>#REF!</v>
      </c>
      <c r="Q403" s="436"/>
    </row>
    <row r="404" spans="1:23">
      <c r="A404" s="6" t="s">
        <v>281</v>
      </c>
      <c r="B404" s="225">
        <f>BS!H42</f>
        <v>3197.5912603099996</v>
      </c>
      <c r="C404" s="225">
        <f>BS!I42</f>
        <v>3348.0709697370003</v>
      </c>
      <c r="D404" s="225">
        <f>BS!J42</f>
        <v>3388.6509355540002</v>
      </c>
      <c r="E404" s="225">
        <f>BS!K42</f>
        <v>3586.8710356199999</v>
      </c>
      <c r="F404" s="225">
        <f>BS!L42</f>
        <v>3694.9412629779999</v>
      </c>
      <c r="G404" s="225">
        <f>BS!M42</f>
        <v>4016.8455890260002</v>
      </c>
      <c r="H404" s="225">
        <f>BS!N42</f>
        <v>3451.2703731199999</v>
      </c>
      <c r="I404" s="225">
        <f>BS!O42</f>
        <v>5665</v>
      </c>
      <c r="J404" s="225">
        <f>BS!P42</f>
        <v>5680.5078154980001</v>
      </c>
      <c r="K404" s="436">
        <f ca="1">BS!Q42</f>
        <v>4387.7510851505685</v>
      </c>
      <c r="L404" s="436">
        <f ca="1">BS!R42</f>
        <v>5127.1501335713674</v>
      </c>
      <c r="M404" s="436">
        <f ca="1">BS!S42</f>
        <v>5983.1439016514314</v>
      </c>
      <c r="N404" s="225"/>
      <c r="O404" s="225"/>
      <c r="P404" s="436" t="e">
        <f>BS!V42</f>
        <v>#REF!</v>
      </c>
      <c r="Q404" s="436"/>
    </row>
    <row r="405" spans="1:23">
      <c r="A405" s="1888" t="s">
        <v>282</v>
      </c>
      <c r="B405" s="1901">
        <f t="shared" ref="B405:M405" si="304">B402+B403-B404</f>
        <v>2864.8316281300004</v>
      </c>
      <c r="C405" s="1901">
        <f t="shared" si="304"/>
        <v>3614.7774984749994</v>
      </c>
      <c r="D405" s="1901">
        <f t="shared" si="304"/>
        <v>3774.2460781849995</v>
      </c>
      <c r="E405" s="1901">
        <f t="shared" si="304"/>
        <v>3382.6046581860001</v>
      </c>
      <c r="F405" s="1901">
        <f t="shared" si="304"/>
        <v>4140.3305758220004</v>
      </c>
      <c r="G405" s="1901">
        <f t="shared" si="304"/>
        <v>6094.3493995189992</v>
      </c>
      <c r="H405" s="1901">
        <f t="shared" si="304"/>
        <v>7331.3337585360005</v>
      </c>
      <c r="I405" s="1901">
        <f t="shared" si="304"/>
        <v>6862.24</v>
      </c>
      <c r="J405" s="1901">
        <f t="shared" si="304"/>
        <v>9303.8093637809998</v>
      </c>
      <c r="K405" s="1902">
        <f t="shared" ca="1" si="304"/>
        <v>6441.2685878882494</v>
      </c>
      <c r="L405" s="1902">
        <f t="shared" ca="1" si="304"/>
        <v>7385.6558296866006</v>
      </c>
      <c r="M405" s="1902">
        <f t="shared" ca="1" si="304"/>
        <v>8552.2910159259736</v>
      </c>
      <c r="N405" s="1901"/>
      <c r="O405" s="1901"/>
      <c r="P405" s="1902" t="e">
        <f>P402+P403-P404</f>
        <v>#REF!</v>
      </c>
      <c r="Q405" s="1902"/>
    </row>
    <row r="406" spans="1:23">
      <c r="A406" s="39"/>
      <c r="B406" s="809"/>
      <c r="C406" s="809"/>
      <c r="D406" s="809"/>
      <c r="E406" s="809"/>
      <c r="F406" s="809"/>
      <c r="G406" s="809"/>
      <c r="H406" s="809"/>
      <c r="I406" s="809"/>
      <c r="J406" s="809"/>
      <c r="K406" s="810"/>
      <c r="L406" s="810"/>
      <c r="M406" s="810"/>
      <c r="N406" s="809"/>
      <c r="O406" s="809"/>
      <c r="P406" s="810"/>
      <c r="Q406" s="810"/>
    </row>
    <row r="407" spans="1:23">
      <c r="A407" s="6" t="s">
        <v>271</v>
      </c>
      <c r="B407" s="225">
        <f t="shared" ref="B407:M407" si="305">B398</f>
        <v>4116.9887083240001</v>
      </c>
      <c r="C407" s="225">
        <f t="shared" si="305"/>
        <v>6598.8688493480004</v>
      </c>
      <c r="D407" s="225">
        <f t="shared" si="305"/>
        <v>7513.6356540079996</v>
      </c>
      <c r="E407" s="225">
        <f t="shared" si="305"/>
        <v>12062.410192740001</v>
      </c>
      <c r="F407" s="225">
        <f t="shared" si="305"/>
        <v>17799.441187777</v>
      </c>
      <c r="G407" s="225">
        <f t="shared" si="305"/>
        <v>10904.344845014</v>
      </c>
      <c r="H407" s="225">
        <f t="shared" si="305"/>
        <v>13837.894474107001</v>
      </c>
      <c r="I407" s="225">
        <f t="shared" si="305"/>
        <v>14446.24</v>
      </c>
      <c r="J407" s="225">
        <f t="shared" si="305"/>
        <v>19169.697497955</v>
      </c>
      <c r="K407" s="436">
        <f t="shared" ca="1" si="305"/>
        <v>19582.217452327575</v>
      </c>
      <c r="L407" s="436">
        <f t="shared" ca="1" si="305"/>
        <v>20061.747365528478</v>
      </c>
      <c r="M407" s="436">
        <f t="shared" ca="1" si="305"/>
        <v>20061.747365528478</v>
      </c>
      <c r="N407" s="225"/>
      <c r="O407" s="225"/>
      <c r="P407" s="436">
        <f>P398</f>
        <v>12623.708629564997</v>
      </c>
      <c r="Q407" s="436"/>
    </row>
    <row r="408" spans="1:23">
      <c r="A408" s="324" t="s">
        <v>283</v>
      </c>
      <c r="B408" s="670">
        <f t="shared" ref="B408:M408" si="306">B407/B405</f>
        <v>1.437078768573683</v>
      </c>
      <c r="C408" s="670">
        <f t="shared" si="306"/>
        <v>1.8255255965635306</v>
      </c>
      <c r="D408" s="670">
        <f t="shared" si="306"/>
        <v>1.9907646450072589</v>
      </c>
      <c r="E408" s="670">
        <f t="shared" si="306"/>
        <v>3.5660124110420717</v>
      </c>
      <c r="F408" s="670">
        <f t="shared" si="306"/>
        <v>4.2990386544782568</v>
      </c>
      <c r="G408" s="670">
        <f t="shared" si="306"/>
        <v>1.7892549524440842</v>
      </c>
      <c r="H408" s="670">
        <f t="shared" si="306"/>
        <v>1.8875002734659703</v>
      </c>
      <c r="I408" s="670">
        <f t="shared" si="306"/>
        <v>2.1051784839935648</v>
      </c>
      <c r="J408" s="670">
        <f t="shared" si="306"/>
        <v>2.0604138314120157</v>
      </c>
      <c r="K408" s="671">
        <f t="shared" ca="1" si="306"/>
        <v>3.0401181359132776</v>
      </c>
      <c r="L408" s="671">
        <f t="shared" ca="1" si="306"/>
        <v>2.7163122447285453</v>
      </c>
      <c r="M408" s="671">
        <f t="shared" ca="1" si="306"/>
        <v>2.3457746384179083</v>
      </c>
      <c r="N408" s="670"/>
      <c r="O408" s="670"/>
      <c r="P408" s="671" t="e">
        <f>P407/P405</f>
        <v>#REF!</v>
      </c>
      <c r="Q408" s="671"/>
      <c r="W408" s="1899" t="s">
        <v>88</v>
      </c>
    </row>
    <row r="409" spans="1:23">
      <c r="A409" s="673"/>
      <c r="B409" s="670"/>
      <c r="C409" s="670"/>
      <c r="D409" s="670"/>
      <c r="E409" s="670"/>
      <c r="F409" s="670"/>
      <c r="G409" s="990"/>
      <c r="H409" s="990"/>
      <c r="I409" s="990"/>
      <c r="J409" s="990"/>
      <c r="K409" s="671"/>
      <c r="L409" s="671"/>
      <c r="M409" s="671"/>
      <c r="N409" s="990"/>
      <c r="O409" s="990"/>
      <c r="P409" s="671"/>
      <c r="Q409" s="671"/>
      <c r="U409" s="2"/>
      <c r="V409" s="2"/>
      <c r="W409" s="1899" t="s">
        <v>88</v>
      </c>
    </row>
    <row r="410" spans="1:23">
      <c r="A410" s="673"/>
      <c r="B410" s="670"/>
      <c r="C410" s="670"/>
      <c r="D410" s="670"/>
      <c r="E410" s="670"/>
      <c r="F410" s="670"/>
      <c r="G410" s="990"/>
      <c r="H410" s="990"/>
      <c r="I410" s="990"/>
      <c r="J410" s="990"/>
      <c r="K410" s="671"/>
      <c r="L410" s="671"/>
      <c r="M410" s="671"/>
      <c r="N410" s="990"/>
      <c r="O410" s="990"/>
      <c r="P410" s="671"/>
      <c r="Q410" s="671"/>
      <c r="W410" s="1899" t="s">
        <v>88</v>
      </c>
    </row>
    <row r="411" spans="1:23">
      <c r="A411" s="673" t="s">
        <v>911</v>
      </c>
      <c r="B411" s="2"/>
      <c r="C411" s="2"/>
      <c r="D411" s="990">
        <f t="shared" ref="D411:J411" si="307">D414/AVERAGE(C397:D397)</f>
        <v>4.8416739804303013E-2</v>
      </c>
      <c r="E411" s="990">
        <f t="shared" si="307"/>
        <v>3.7404874204815627E-2</v>
      </c>
      <c r="F411" s="990">
        <f t="shared" si="307"/>
        <v>2.9479625030812036E-2</v>
      </c>
      <c r="G411" s="990">
        <f t="shared" si="307"/>
        <v>3.9763966392244408E-2</v>
      </c>
      <c r="H411" s="990">
        <f t="shared" si="307"/>
        <v>6.3012263803293514E-2</v>
      </c>
      <c r="I411" s="990">
        <f t="shared" si="307"/>
        <v>3.8052890789962844E-2</v>
      </c>
      <c r="J411" s="990">
        <f t="shared" si="307"/>
        <v>4.4960630107972868E-2</v>
      </c>
      <c r="K411" s="671">
        <f>J411</f>
        <v>4.4960630107972868E-2</v>
      </c>
      <c r="L411" s="671">
        <f>K411</f>
        <v>4.4960630107972868E-2</v>
      </c>
      <c r="M411" s="671">
        <f>L411</f>
        <v>4.4960630107972868E-2</v>
      </c>
      <c r="N411" s="990"/>
      <c r="O411" s="990"/>
      <c r="P411" s="671">
        <f>G411</f>
        <v>3.9763966392244408E-2</v>
      </c>
      <c r="Q411" s="671"/>
      <c r="W411" s="1899" t="s">
        <v>88</v>
      </c>
    </row>
    <row r="412" spans="1:23">
      <c r="A412" s="673"/>
      <c r="B412" s="2"/>
      <c r="C412" s="2"/>
      <c r="D412" s="990"/>
      <c r="E412" s="990"/>
      <c r="F412" s="990"/>
      <c r="G412" s="990"/>
      <c r="H412" s="990"/>
      <c r="I412" s="990"/>
      <c r="J412" s="990"/>
      <c r="K412" s="671"/>
      <c r="L412" s="671"/>
      <c r="M412" s="671"/>
      <c r="N412" s="990"/>
      <c r="O412" s="990"/>
      <c r="P412" s="671"/>
      <c r="Q412" s="671"/>
    </row>
    <row r="413" spans="1:23">
      <c r="A413" s="38" t="s">
        <v>284</v>
      </c>
      <c r="B413" s="37"/>
      <c r="C413" s="37"/>
      <c r="D413" s="37"/>
      <c r="E413" s="37"/>
      <c r="F413" s="37"/>
      <c r="G413" s="37"/>
      <c r="H413" s="37"/>
      <c r="I413" s="37"/>
      <c r="J413" s="37"/>
      <c r="K413" s="438"/>
      <c r="L413" s="438"/>
      <c r="M413" s="438"/>
      <c r="N413" s="37"/>
      <c r="O413" s="37"/>
      <c r="P413" s="438"/>
      <c r="Q413" s="438"/>
    </row>
    <row r="414" spans="1:23">
      <c r="A414" s="1" t="s">
        <v>274</v>
      </c>
      <c r="B414" s="228"/>
      <c r="C414" s="228">
        <f>PL!I35</f>
        <v>238.34443174699999</v>
      </c>
      <c r="D414" s="228">
        <f>PL!J35</f>
        <v>358.98753745200003</v>
      </c>
      <c r="E414" s="228">
        <f>PL!K35</f>
        <v>385.33775489599998</v>
      </c>
      <c r="F414" s="228">
        <f>PL!L35</f>
        <v>483.995846804</v>
      </c>
      <c r="G414" s="228">
        <f>PL!M35</f>
        <v>645.72555630800002</v>
      </c>
      <c r="H414" s="228">
        <f>PL!N35</f>
        <v>832.64861126100004</v>
      </c>
      <c r="I414" s="228">
        <f>PL!O35</f>
        <v>551.64</v>
      </c>
      <c r="J414" s="228">
        <f>PL!P35</f>
        <v>809.76</v>
      </c>
      <c r="K414" s="588">
        <f ca="1">AVERAGE(K397:K397)*4.3%</f>
        <v>923.89831994199756</v>
      </c>
      <c r="L414" s="588">
        <f ca="1">AVERAGE(K397:L397)*4.5%</f>
        <v>977.65975787004106</v>
      </c>
      <c r="M414" s="588">
        <f ca="1">AVERAGE(L397:M397)*4.5%</f>
        <v>988.44918091706143</v>
      </c>
      <c r="N414" s="228"/>
      <c r="O414" s="228"/>
      <c r="P414" s="588">
        <f ca="1">AVERAGE(G397:P397)*Assumptions!AF61</f>
        <v>700.90267465537136</v>
      </c>
      <c r="Q414" s="588"/>
    </row>
    <row r="415" spans="1:23">
      <c r="A415" s="39" t="s">
        <v>621</v>
      </c>
      <c r="B415" s="225"/>
      <c r="C415" s="1354"/>
      <c r="D415" s="1354"/>
      <c r="E415" s="1354"/>
      <c r="F415" s="1354"/>
      <c r="G415" s="1354"/>
      <c r="H415" s="1354"/>
      <c r="I415" s="1354"/>
      <c r="J415" s="1354"/>
      <c r="K415" s="436"/>
      <c r="L415" s="436"/>
      <c r="M415" s="436"/>
      <c r="N415" s="1354"/>
      <c r="O415" s="1354"/>
      <c r="P415" s="436"/>
      <c r="Q415" s="436"/>
    </row>
    <row r="416" spans="1:23">
      <c r="A416" s="39" t="s">
        <v>622</v>
      </c>
      <c r="B416" s="225"/>
      <c r="C416" s="225"/>
      <c r="D416" s="225"/>
      <c r="E416" s="225"/>
      <c r="F416" s="225"/>
      <c r="G416" s="225"/>
      <c r="H416" s="225"/>
      <c r="I416" s="225"/>
      <c r="J416" s="225"/>
      <c r="K416" s="436"/>
      <c r="L416" s="436"/>
      <c r="M416" s="436"/>
      <c r="N416" s="225"/>
      <c r="O416" s="225"/>
      <c r="P416" s="436"/>
      <c r="Q416" s="436"/>
    </row>
    <row r="417" spans="1:23">
      <c r="A417" s="811" t="s">
        <v>788</v>
      </c>
      <c r="B417" s="225"/>
      <c r="C417" s="588">
        <v>111.753</v>
      </c>
      <c r="D417" s="588">
        <f>Data!AT295</f>
        <v>182.638938524</v>
      </c>
      <c r="E417" s="588">
        <f>Data!AU295</f>
        <v>198.94037122500001</v>
      </c>
      <c r="F417" s="588">
        <f>Data!AV295</f>
        <v>251.192937226</v>
      </c>
      <c r="G417" s="588">
        <f>Data!AW295</f>
        <v>504.431726336</v>
      </c>
      <c r="H417" s="588">
        <f>Data!AX295</f>
        <v>372.65885145599998</v>
      </c>
      <c r="I417" s="588">
        <f>Data!AY295</f>
        <v>506.84</v>
      </c>
      <c r="J417" s="588">
        <f>Data!AZ295</f>
        <v>474.8</v>
      </c>
      <c r="K417" s="588">
        <f ca="1">PL!Q9*PL!K422</f>
        <v>400.36224676295194</v>
      </c>
      <c r="L417" s="588">
        <f ca="1">PL!R9*PL!L422</f>
        <v>461.61514140000008</v>
      </c>
      <c r="M417" s="588">
        <f ca="1">PL!S9*PL!M422</f>
        <v>535.75717902000008</v>
      </c>
      <c r="N417" s="588"/>
      <c r="O417" s="588"/>
      <c r="P417" s="588" t="e">
        <f>PL!#REF!*PL!P422</f>
        <v>#REF!</v>
      </c>
      <c r="Q417" s="588"/>
    </row>
    <row r="418" spans="1:23">
      <c r="A418" s="1" t="s">
        <v>146</v>
      </c>
      <c r="B418" s="228"/>
      <c r="C418" s="228">
        <f t="shared" ref="C418:J418" si="308">C420-C414-C417</f>
        <v>10.949133962999994</v>
      </c>
      <c r="D418" s="228">
        <f t="shared" si="308"/>
        <v>50.759574084999969</v>
      </c>
      <c r="E418" s="228">
        <f t="shared" si="308"/>
        <v>-36.112914504000031</v>
      </c>
      <c r="F418" s="228">
        <f t="shared" si="308"/>
        <v>408.9986628150001</v>
      </c>
      <c r="G418" s="228">
        <f t="shared" si="308"/>
        <v>537.21241917999998</v>
      </c>
      <c r="H418" s="228">
        <f t="shared" si="308"/>
        <v>512.99100099300006</v>
      </c>
      <c r="I418" s="228">
        <f t="shared" si="308"/>
        <v>753.06999999999994</v>
      </c>
      <c r="J418" s="228">
        <f t="shared" si="308"/>
        <v>387.48999999999995</v>
      </c>
      <c r="K418" s="588"/>
      <c r="L418" s="588"/>
      <c r="M418" s="588"/>
      <c r="N418" s="228"/>
      <c r="O418" s="228"/>
      <c r="P418" s="381">
        <f>1453-1376</f>
        <v>77</v>
      </c>
      <c r="Q418" s="588"/>
    </row>
    <row r="419" spans="1:23">
      <c r="B419" s="228"/>
      <c r="C419" s="228"/>
      <c r="D419" s="228"/>
      <c r="E419" s="228"/>
      <c r="F419" s="228"/>
      <c r="G419" s="228"/>
      <c r="H419" s="228"/>
      <c r="I419" s="228"/>
      <c r="J419" s="228"/>
      <c r="K419" s="588"/>
      <c r="L419" s="588"/>
      <c r="M419" s="588"/>
      <c r="N419" s="228"/>
      <c r="O419" s="228"/>
      <c r="P419" s="588"/>
      <c r="Q419" s="588"/>
    </row>
    <row r="420" spans="1:23">
      <c r="A420" s="1855" t="s">
        <v>273</v>
      </c>
      <c r="B420" s="1856"/>
      <c r="C420" s="1856">
        <f>PL!I34</f>
        <v>361.04656570999998</v>
      </c>
      <c r="D420" s="1856">
        <f>PL!J34</f>
        <v>592.38605006099999</v>
      </c>
      <c r="E420" s="1856">
        <f>PL!K34</f>
        <v>548.16521161699995</v>
      </c>
      <c r="F420" s="1856">
        <f>PL!L34</f>
        <v>1144.1874468450001</v>
      </c>
      <c r="G420" s="1856">
        <f>PL!M34</f>
        <v>1687.369701824</v>
      </c>
      <c r="H420" s="1856">
        <f>PL!N34</f>
        <v>1718.2984637100001</v>
      </c>
      <c r="I420" s="1856">
        <f>PL!O34</f>
        <v>1811.55</v>
      </c>
      <c r="J420" s="1856">
        <f>PL!P34</f>
        <v>1672.05</v>
      </c>
      <c r="K420" s="1857">
        <f ca="1">K414+K417+K418</f>
        <v>1324.2605667049495</v>
      </c>
      <c r="L420" s="1857">
        <f ca="1">L414+L417+L418</f>
        <v>1439.2748992700413</v>
      </c>
      <c r="M420" s="1857">
        <f ca="1">M414+M417+M418</f>
        <v>1524.2063599370615</v>
      </c>
      <c r="N420" s="1856"/>
      <c r="O420" s="1856"/>
      <c r="P420" s="1857" t="e">
        <f ca="1">P414+P418+P417</f>
        <v>#REF!</v>
      </c>
      <c r="Q420" s="1857"/>
    </row>
    <row r="421" spans="1:23"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N421" s="37"/>
      <c r="O421" s="37"/>
      <c r="P421" s="37"/>
      <c r="Q421" s="37"/>
    </row>
    <row r="422" spans="1:23">
      <c r="A422" s="1205" t="s">
        <v>1110</v>
      </c>
      <c r="B422" s="37"/>
      <c r="C422" s="670">
        <f>C417/PL!I9</f>
        <v>4.8141306809440735E-3</v>
      </c>
      <c r="D422" s="670">
        <f>D417/PL!J9</f>
        <v>6.5894289099740636E-3</v>
      </c>
      <c r="E422" s="670">
        <f>E417/PL!K9</f>
        <v>6.6690479414149824E-3</v>
      </c>
      <c r="F422" s="670">
        <f>F417/PL!L9</f>
        <v>7.0446500739870469E-3</v>
      </c>
      <c r="G422" s="670">
        <f>G417/PL!M9</f>
        <v>1.1461875482812686E-2</v>
      </c>
      <c r="H422" s="670">
        <f>H417/PL!N9</f>
        <v>7.0823587713717689E-3</v>
      </c>
      <c r="I422" s="670">
        <f>I417/PL!O9</f>
        <v>8.0644352898440845E-3</v>
      </c>
      <c r="J422" s="670">
        <f>J417/PL!P9</f>
        <v>6.7627919391736145E-3</v>
      </c>
      <c r="K422" s="670">
        <v>7.0000000000000001E-3</v>
      </c>
      <c r="L422" s="670">
        <v>7.0000000000000001E-3</v>
      </c>
      <c r="M422" s="670">
        <v>7.0000000000000001E-3</v>
      </c>
      <c r="N422" s="670"/>
      <c r="O422" s="670"/>
      <c r="P422" s="670">
        <f>Assumptions!AF63</f>
        <v>7.0000000000000001E-3</v>
      </c>
      <c r="Q422" s="670"/>
      <c r="W422" s="1899" t="s">
        <v>88</v>
      </c>
    </row>
    <row r="423" spans="1:23"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N423" s="37"/>
      <c r="O423" s="37"/>
      <c r="P423" s="37"/>
      <c r="Q423" s="37"/>
    </row>
    <row r="424" spans="1:23">
      <c r="A424" s="811"/>
    </row>
    <row r="425" spans="1:23">
      <c r="A425" s="1302" t="s">
        <v>949</v>
      </c>
      <c r="B425" s="2612" t="s">
        <v>1647</v>
      </c>
      <c r="C425" s="2613"/>
      <c r="D425" s="2613" t="s">
        <v>261</v>
      </c>
      <c r="E425" s="2613" t="s">
        <v>262</v>
      </c>
      <c r="F425" s="2613" t="s">
        <v>263</v>
      </c>
      <c r="G425" s="2613" t="s">
        <v>812</v>
      </c>
      <c r="H425" s="2613" t="s">
        <v>948</v>
      </c>
      <c r="I425" s="728"/>
      <c r="J425" s="728"/>
      <c r="K425" s="728"/>
      <c r="L425" s="728"/>
      <c r="M425" s="728"/>
      <c r="N425" s="1303" t="s">
        <v>1648</v>
      </c>
      <c r="O425" s="1303"/>
      <c r="P425" s="1303" t="s">
        <v>1649</v>
      </c>
      <c r="Q425" s="728"/>
      <c r="U425" s="728"/>
    </row>
    <row r="426" spans="1:23">
      <c r="A426" s="790" t="s">
        <v>943</v>
      </c>
      <c r="B426" s="3577"/>
      <c r="C426" s="3577"/>
      <c r="D426" s="3577"/>
      <c r="E426" s="3577"/>
      <c r="F426" s="3577"/>
      <c r="G426" s="3577"/>
      <c r="H426" s="3577"/>
      <c r="I426" s="1317"/>
      <c r="J426" s="1317"/>
      <c r="K426" s="734"/>
      <c r="L426" s="734"/>
      <c r="M426" s="734"/>
      <c r="N426" s="2390"/>
      <c r="O426" s="2390"/>
      <c r="P426" s="9"/>
      <c r="Q426" s="734"/>
      <c r="U426" s="734"/>
    </row>
    <row r="427" spans="1:23">
      <c r="A427" s="790" t="s">
        <v>944</v>
      </c>
      <c r="B427" s="3577"/>
      <c r="C427" s="3577"/>
      <c r="D427" s="3577"/>
      <c r="E427" s="3577"/>
      <c r="F427" s="3577"/>
      <c r="G427" s="3577"/>
      <c r="H427" s="3577"/>
      <c r="I427" s="1317"/>
      <c r="J427" s="1317"/>
      <c r="K427" s="734"/>
      <c r="L427" s="734"/>
      <c r="M427" s="734"/>
      <c r="N427" s="2390"/>
      <c r="O427" s="2390"/>
      <c r="P427" s="9"/>
      <c r="Q427" s="734"/>
      <c r="U427" s="734"/>
    </row>
    <row r="428" spans="1:23">
      <c r="A428" s="790" t="s">
        <v>945</v>
      </c>
      <c r="B428" s="3577"/>
      <c r="C428" s="3577"/>
      <c r="D428" s="3577"/>
      <c r="E428" s="3577"/>
      <c r="F428" s="3577"/>
      <c r="G428" s="3577"/>
      <c r="H428" s="3577"/>
      <c r="I428" s="1317"/>
      <c r="J428" s="1317"/>
      <c r="K428" s="734"/>
      <c r="L428" s="734"/>
      <c r="M428" s="734"/>
      <c r="N428" s="2390"/>
      <c r="O428" s="2390"/>
      <c r="P428" s="9"/>
      <c r="Q428" s="734"/>
      <c r="U428" s="734"/>
    </row>
    <row r="429" spans="1:23">
      <c r="A429" s="790" t="s">
        <v>946</v>
      </c>
      <c r="B429" s="3577"/>
      <c r="C429" s="3577"/>
      <c r="D429" s="3577"/>
      <c r="E429" s="3577"/>
      <c r="F429" s="3577"/>
      <c r="G429" s="3577"/>
      <c r="H429" s="3577"/>
      <c r="I429" s="1317"/>
      <c r="J429" s="1317"/>
      <c r="K429" s="734"/>
      <c r="L429" s="734"/>
      <c r="M429" s="734"/>
      <c r="N429" s="2390"/>
      <c r="O429" s="2390"/>
      <c r="P429" s="737"/>
      <c r="Q429" s="734"/>
      <c r="U429" s="734"/>
    </row>
    <row r="430" spans="1:23">
      <c r="A430" s="790" t="s">
        <v>947</v>
      </c>
      <c r="B430" s="3577"/>
      <c r="C430" s="3577"/>
      <c r="D430" s="3577"/>
      <c r="E430" s="3577"/>
      <c r="F430" s="3577"/>
      <c r="G430" s="3577"/>
      <c r="H430" s="3577"/>
      <c r="I430" s="1317"/>
      <c r="J430" s="1317"/>
      <c r="K430" s="734"/>
      <c r="L430" s="734"/>
      <c r="M430" s="734"/>
      <c r="N430" s="2390"/>
      <c r="O430" s="2390"/>
      <c r="P430" s="737"/>
      <c r="Q430" s="734"/>
      <c r="U430" s="734"/>
    </row>
    <row r="431" spans="1:23">
      <c r="A431" s="1858" t="s">
        <v>993</v>
      </c>
      <c r="B431" s="3578"/>
      <c r="C431" s="3578"/>
      <c r="D431" s="3578"/>
      <c r="E431" s="3578"/>
      <c r="F431" s="3578"/>
      <c r="G431" s="3578"/>
      <c r="H431" s="3578"/>
      <c r="I431" s="3579"/>
      <c r="J431" s="3579"/>
      <c r="K431" s="728"/>
      <c r="L431" s="728"/>
      <c r="M431" s="728"/>
      <c r="N431" s="1298"/>
      <c r="O431" s="1298"/>
      <c r="P431" s="1298"/>
      <c r="Q431" s="728"/>
      <c r="U431" s="728"/>
    </row>
    <row r="432" spans="1:23">
      <c r="A432" s="1858" t="s">
        <v>990</v>
      </c>
      <c r="B432" s="3582"/>
      <c r="C432" s="3583"/>
      <c r="D432" s="3580"/>
      <c r="E432" s="3580"/>
      <c r="F432" s="3580"/>
      <c r="G432" s="3580"/>
      <c r="H432" s="3580"/>
      <c r="I432" s="3579"/>
      <c r="J432" s="3579"/>
      <c r="K432" s="728"/>
      <c r="L432" s="728"/>
      <c r="M432" s="728"/>
      <c r="N432" s="728"/>
      <c r="O432" s="728"/>
      <c r="P432" s="728"/>
      <c r="Q432" s="728"/>
      <c r="U432" s="728"/>
    </row>
    <row r="433" spans="1:21">
      <c r="A433" s="790" t="s">
        <v>991</v>
      </c>
      <c r="B433" s="3577"/>
      <c r="C433" s="3584"/>
      <c r="D433" s="3581"/>
      <c r="E433" s="3581"/>
      <c r="F433" s="3581"/>
      <c r="G433" s="3581"/>
      <c r="H433" s="3581"/>
      <c r="I433" s="1317"/>
      <c r="J433" s="1317"/>
      <c r="K433" s="734"/>
      <c r="L433" s="734"/>
      <c r="M433" s="734"/>
      <c r="N433" s="734"/>
      <c r="O433" s="734"/>
      <c r="P433" s="734"/>
      <c r="Q433" s="734"/>
      <c r="U433" s="734"/>
    </row>
    <row r="434" spans="1:21">
      <c r="A434" s="1858" t="s">
        <v>992</v>
      </c>
      <c r="B434" s="2614"/>
      <c r="C434" s="2615"/>
      <c r="D434" s="2616"/>
      <c r="E434" s="2616"/>
      <c r="F434" s="2616"/>
      <c r="G434" s="2616"/>
      <c r="H434" s="2616"/>
      <c r="I434" s="728"/>
      <c r="J434" s="728"/>
      <c r="K434" s="728"/>
      <c r="L434" s="728"/>
      <c r="M434" s="728"/>
      <c r="N434" s="728"/>
      <c r="O434" s="728"/>
      <c r="P434" s="728"/>
      <c r="Q434" s="728"/>
      <c r="U434" s="728"/>
    </row>
    <row r="435" spans="1:21">
      <c r="A435" s="1295"/>
      <c r="B435" s="1297"/>
      <c r="C435" s="728"/>
      <c r="D435" s="728"/>
      <c r="E435" s="734"/>
      <c r="F435" s="734"/>
      <c r="G435" s="734"/>
      <c r="H435" s="734"/>
      <c r="I435" s="734"/>
      <c r="J435" s="734"/>
      <c r="K435" s="734"/>
      <c r="L435" s="734"/>
      <c r="M435" s="734"/>
      <c r="N435" s="734"/>
      <c r="O435" s="734"/>
      <c r="P435" s="734"/>
      <c r="Q435" s="734"/>
      <c r="U435" s="734"/>
    </row>
    <row r="436" spans="1:21">
      <c r="A436" s="734"/>
      <c r="B436" s="734"/>
      <c r="C436" s="734"/>
      <c r="D436" s="734"/>
      <c r="E436" s="734"/>
      <c r="F436" s="734"/>
      <c r="G436" s="734"/>
      <c r="H436" s="734"/>
      <c r="I436" s="734"/>
      <c r="J436" s="734"/>
      <c r="K436" s="734"/>
      <c r="L436" s="734"/>
      <c r="M436" s="734"/>
      <c r="N436" s="734"/>
      <c r="O436" s="734"/>
      <c r="P436" s="734"/>
      <c r="Q436" s="734"/>
      <c r="U436" s="734"/>
    </row>
    <row r="437" spans="1:21">
      <c r="A437" s="1302" t="s">
        <v>950</v>
      </c>
      <c r="B437" s="2141"/>
      <c r="C437" s="1303" t="s">
        <v>255</v>
      </c>
      <c r="D437" s="1303" t="s">
        <v>261</v>
      </c>
      <c r="E437" s="1303" t="s">
        <v>262</v>
      </c>
      <c r="F437" s="1303" t="s">
        <v>263</v>
      </c>
      <c r="G437" s="1303" t="s">
        <v>812</v>
      </c>
      <c r="H437" s="1303"/>
      <c r="I437" s="734"/>
      <c r="J437" s="734"/>
      <c r="K437" s="734"/>
      <c r="L437" s="734"/>
      <c r="M437" s="734"/>
      <c r="N437" s="1303"/>
      <c r="O437" s="1303"/>
      <c r="P437" s="1303"/>
      <c r="Q437" s="734"/>
      <c r="U437" s="734"/>
    </row>
    <row r="438" spans="1:21">
      <c r="A438" s="1859" t="s">
        <v>951</v>
      </c>
      <c r="B438" s="1337"/>
      <c r="C438" s="1338">
        <f>H449</f>
        <v>34271.246237259998</v>
      </c>
      <c r="D438" s="1338">
        <f>I449</f>
        <v>30946.28</v>
      </c>
      <c r="E438" s="1338">
        <f>Q449</f>
        <v>0</v>
      </c>
      <c r="F438" s="1338">
        <f ca="1">K449</f>
        <v>9487.4265456768389</v>
      </c>
      <c r="G438" s="1338">
        <f ca="1">L449</f>
        <v>11028.569114597145</v>
      </c>
      <c r="H438" s="1338"/>
      <c r="I438" s="1246"/>
      <c r="J438" s="1246"/>
      <c r="K438" s="734"/>
      <c r="L438" s="734"/>
      <c r="M438" s="734"/>
      <c r="N438" s="1338"/>
      <c r="O438" s="1338"/>
      <c r="P438" s="1339">
        <f>U449</f>
        <v>0</v>
      </c>
      <c r="Q438" s="734"/>
      <c r="U438" s="734"/>
    </row>
    <row r="439" spans="1:21">
      <c r="A439" s="1859" t="s">
        <v>1007</v>
      </c>
      <c r="B439" s="1337"/>
      <c r="C439" s="1338">
        <f>-H451</f>
        <v>32551.882452709</v>
      </c>
      <c r="D439" s="1338">
        <f>-I451</f>
        <v>30013.23</v>
      </c>
      <c r="E439" s="1338">
        <f>-Q451</f>
        <v>0</v>
      </c>
      <c r="F439" s="1338">
        <f ca="1">-K451</f>
        <v>9074.9065913042668</v>
      </c>
      <c r="G439" s="1338">
        <f ca="1">-L451</f>
        <v>10549.039201396241</v>
      </c>
      <c r="H439" s="1338"/>
      <c r="I439" s="1246"/>
      <c r="J439" s="1246"/>
      <c r="K439" s="734"/>
      <c r="L439" s="734"/>
      <c r="M439" s="734"/>
      <c r="N439" s="1338"/>
      <c r="O439" s="1338"/>
      <c r="P439" s="1339">
        <f>-U451</f>
        <v>0</v>
      </c>
      <c r="Q439" s="734"/>
      <c r="U439" s="734"/>
    </row>
    <row r="440" spans="1:21">
      <c r="A440" s="1859" t="s">
        <v>942</v>
      </c>
      <c r="B440" s="1340"/>
      <c r="C440" s="1340">
        <f>B459</f>
        <v>210</v>
      </c>
      <c r="D440" s="1340">
        <f>C459</f>
        <v>1186.325</v>
      </c>
      <c r="E440" s="1340">
        <f>D459</f>
        <v>1186.325</v>
      </c>
      <c r="F440" s="1340">
        <f>E459</f>
        <v>1186.325</v>
      </c>
      <c r="G440" s="1340">
        <f>F459</f>
        <v>1186.325</v>
      </c>
      <c r="H440" s="1341"/>
      <c r="I440" s="1246"/>
      <c r="J440" s="1246"/>
      <c r="K440" s="734"/>
      <c r="L440" s="734"/>
      <c r="M440" s="734"/>
      <c r="N440" s="1341"/>
      <c r="O440" s="1341"/>
      <c r="P440" s="1341">
        <v>0</v>
      </c>
      <c r="Q440" s="734"/>
      <c r="U440" s="734"/>
    </row>
    <row r="441" spans="1:21">
      <c r="A441" s="1859" t="s">
        <v>1006</v>
      </c>
      <c r="B441" s="1258"/>
      <c r="C441" s="1341">
        <f>SUM(C442:C446)</f>
        <v>0</v>
      </c>
      <c r="D441" s="1340">
        <f>SUM(D442:D446)</f>
        <v>210</v>
      </c>
      <c r="E441" s="1340">
        <f>SUM(E442:E446)</f>
        <v>1186.325</v>
      </c>
      <c r="F441" s="1340">
        <f>SUM(F442:F446)</f>
        <v>1186.325</v>
      </c>
      <c r="G441" s="1340">
        <f>SUM(G442:G446)</f>
        <v>1186.325</v>
      </c>
      <c r="H441" s="1341"/>
      <c r="I441" s="734"/>
      <c r="J441" s="734"/>
      <c r="K441" s="734"/>
      <c r="L441" s="734"/>
      <c r="M441" s="734"/>
      <c r="N441" s="1341"/>
      <c r="O441" s="1341"/>
      <c r="P441" s="1341">
        <f>SUM(P442:P446)</f>
        <v>0</v>
      </c>
      <c r="Q441" s="734"/>
      <c r="U441" s="734"/>
    </row>
    <row r="442" spans="1:21">
      <c r="C442" s="1334"/>
      <c r="D442" s="1335">
        <f>C440</f>
        <v>210</v>
      </c>
      <c r="E442" s="1335">
        <f>D440</f>
        <v>1186.325</v>
      </c>
      <c r="F442" s="1335">
        <f>E440</f>
        <v>1186.325</v>
      </c>
      <c r="G442" s="1335">
        <f>F440</f>
        <v>1186.325</v>
      </c>
      <c r="H442" s="1334"/>
      <c r="N442" s="1334"/>
      <c r="O442" s="1334"/>
    </row>
    <row r="443" spans="1:21">
      <c r="E443" s="1336"/>
      <c r="F443" s="1336"/>
    </row>
    <row r="444" spans="1:21">
      <c r="A444" s="734"/>
      <c r="B444" s="734"/>
      <c r="C444" s="734"/>
      <c r="D444" s="734"/>
      <c r="E444" s="734"/>
      <c r="F444" s="734"/>
      <c r="G444" s="734"/>
      <c r="H444" s="734"/>
      <c r="I444" s="734"/>
      <c r="J444" s="734"/>
      <c r="K444" s="734"/>
      <c r="L444" s="734"/>
      <c r="M444" s="734"/>
      <c r="N444" s="734"/>
      <c r="O444" s="734"/>
      <c r="P444" s="734"/>
      <c r="Q444" s="734"/>
      <c r="U444" s="734"/>
    </row>
    <row r="445" spans="1:21">
      <c r="A445" s="734"/>
      <c r="B445" s="734"/>
      <c r="C445" s="734"/>
      <c r="D445" s="734"/>
      <c r="E445" s="734"/>
      <c r="F445" s="734"/>
      <c r="G445" s="734"/>
      <c r="H445" s="734"/>
      <c r="I445" s="734"/>
      <c r="J445" s="734"/>
      <c r="K445" s="734"/>
      <c r="L445" s="734"/>
      <c r="M445" s="734"/>
      <c r="N445" s="734"/>
      <c r="O445" s="734"/>
      <c r="P445" s="734"/>
      <c r="Q445" s="734"/>
      <c r="U445" s="734"/>
    </row>
    <row r="446" spans="1:21">
      <c r="A446" s="734"/>
      <c r="B446" s="734"/>
      <c r="C446" s="734"/>
      <c r="D446" s="734"/>
      <c r="E446" s="734"/>
      <c r="F446" s="734"/>
      <c r="G446" s="734"/>
      <c r="H446" s="734"/>
      <c r="I446" s="734"/>
      <c r="J446" s="734"/>
      <c r="K446" s="734"/>
      <c r="L446" s="734"/>
      <c r="M446" s="734"/>
      <c r="N446" s="734"/>
      <c r="O446" s="734"/>
      <c r="P446" s="734"/>
      <c r="Q446" s="734"/>
      <c r="U446" s="734"/>
    </row>
    <row r="448" spans="1:21">
      <c r="A448" s="957" t="s">
        <v>271</v>
      </c>
      <c r="B448" s="2391">
        <v>2017</v>
      </c>
      <c r="C448" s="2391">
        <v>2018</v>
      </c>
      <c r="D448" s="2391">
        <v>2019</v>
      </c>
      <c r="E448" s="2391">
        <v>2020</v>
      </c>
      <c r="F448" s="2391">
        <v>2021</v>
      </c>
      <c r="G448" s="2391">
        <v>2022</v>
      </c>
      <c r="H448" s="2391">
        <v>2023</v>
      </c>
      <c r="I448" s="2391">
        <v>2024</v>
      </c>
      <c r="J448" s="2391">
        <v>2025</v>
      </c>
      <c r="K448" s="2392" t="s">
        <v>263</v>
      </c>
      <c r="L448" s="2393" t="s">
        <v>812</v>
      </c>
      <c r="M448" s="2393" t="s">
        <v>948</v>
      </c>
      <c r="N448" s="2391"/>
      <c r="O448" s="2391"/>
      <c r="P448" s="2392" t="s">
        <v>255</v>
      </c>
      <c r="Q448" s="2392"/>
      <c r="U448" s="1"/>
    </row>
    <row r="449" spans="1:23">
      <c r="A449" s="306" t="s">
        <v>1001</v>
      </c>
      <c r="B449" s="225">
        <f>Data!Q426</f>
        <v>21302.571414665999</v>
      </c>
      <c r="C449" s="225">
        <f>Data!R426</f>
        <v>10281.501672838</v>
      </c>
      <c r="D449" s="225">
        <f>Data!S426</f>
        <v>13403.998747456</v>
      </c>
      <c r="E449" s="225">
        <f>Data!T426</f>
        <v>20448.570691368001</v>
      </c>
      <c r="F449" s="225">
        <f>Data!U426</f>
        <v>34463.706577010998</v>
      </c>
      <c r="G449" s="225">
        <f>Data!V426</f>
        <v>28120.228984732999</v>
      </c>
      <c r="H449" s="225">
        <f>Data!W426</f>
        <v>34271.246237259998</v>
      </c>
      <c r="I449" s="225">
        <f>Data!X426</f>
        <v>30946.28</v>
      </c>
      <c r="J449" s="225">
        <f>Data!Y426</f>
        <v>43070.81</v>
      </c>
      <c r="K449" s="2394">
        <f ca="1">SUM(PL!Q11,PL!Q17,PL!Q20)*K450</f>
        <v>9487.4265456768389</v>
      </c>
      <c r="L449" s="2395">
        <f ca="1">SUM(PL!R11,PL!R17,PL!R20)*L450</f>
        <v>11028.569114597145</v>
      </c>
      <c r="M449" s="2395">
        <f ca="1">SUM(PL!S11,PL!S17,PL!S20)*M450</f>
        <v>12855.276582842725</v>
      </c>
      <c r="N449" s="225"/>
      <c r="O449" s="225"/>
      <c r="P449" s="2394" t="e">
        <f>SUM(PL!#REF!,PL!#REF!,PL!#REF!)*P450</f>
        <v>#REF!</v>
      </c>
      <c r="Q449" s="2394"/>
    </row>
    <row r="450" spans="1:23">
      <c r="A450" s="2396" t="s">
        <v>1003</v>
      </c>
      <c r="B450" s="2334">
        <f>B449/SUM(PL!H11,PL!H17,PL!H20)</f>
        <v>0.53941523271330027</v>
      </c>
      <c r="C450" s="2334">
        <f>C449/SUM(PL!I11,PL!I17,PL!I20)</f>
        <v>0.51172678068266264</v>
      </c>
      <c r="D450" s="2334">
        <f>D449/SUM(PL!J11,PL!J17,PL!J20)</f>
        <v>0.56868599192238478</v>
      </c>
      <c r="E450" s="2334">
        <f>E449/SUM(PL!K11,PL!K17,PL!K20)</f>
        <v>0.81062544637134759</v>
      </c>
      <c r="F450" s="2334">
        <f>F449/SUM(PL!L11,PL!L17,PL!L20)</f>
        <v>1.1395886099088341</v>
      </c>
      <c r="G450" s="2334">
        <f>G449/SUM(PL!M11,PL!M17,PL!M20)</f>
        <v>0.75561605165311396</v>
      </c>
      <c r="H450" s="2334">
        <f>H449/SUM(PL!N11,PL!N17,PL!N20)</f>
        <v>0.77595966254866067</v>
      </c>
      <c r="I450" s="2334">
        <f>I449/SUM(PL!O11,PL!O17,PL!O20)</f>
        <v>0.59124978864339151</v>
      </c>
      <c r="J450" s="2334">
        <f>J449/SUM(PL!P11,PL!P17,PL!P20)</f>
        <v>0.72842046337629307</v>
      </c>
      <c r="K450" s="2397">
        <f>20%</f>
        <v>0.2</v>
      </c>
      <c r="L450" s="2398">
        <f>K450</f>
        <v>0.2</v>
      </c>
      <c r="M450" s="2398">
        <f>L450</f>
        <v>0.2</v>
      </c>
      <c r="N450" s="2334"/>
      <c r="O450" s="2334"/>
      <c r="P450" s="2397">
        <v>0.7</v>
      </c>
      <c r="Q450" s="2397"/>
      <c r="W450" s="1899" t="s">
        <v>88</v>
      </c>
    </row>
    <row r="451" spans="1:23">
      <c r="A451" s="306" t="s">
        <v>1002</v>
      </c>
      <c r="B451" s="225">
        <f>Data!Q427</f>
        <v>-21923.254763024001</v>
      </c>
      <c r="C451" s="225">
        <f>Data!R427</f>
        <v>-8046.9465878649999</v>
      </c>
      <c r="D451" s="225">
        <f>Data!S427</f>
        <v>-12504.73339324</v>
      </c>
      <c r="E451" s="225">
        <f>Data!T427</f>
        <v>-15570.014545746</v>
      </c>
      <c r="F451" s="225">
        <f>Data!U427</f>
        <v>-26931.165232996002</v>
      </c>
      <c r="G451" s="225">
        <f>Data!V427</f>
        <v>-35740.054948912002</v>
      </c>
      <c r="H451" s="225">
        <f>Data!W427</f>
        <v>-32551.882452709</v>
      </c>
      <c r="I451" s="225">
        <f>Data!X427</f>
        <v>-30013.23</v>
      </c>
      <c r="J451" s="225">
        <f>Data!Y427</f>
        <v>-36890.980000000003</v>
      </c>
      <c r="K451" s="225">
        <f ca="1">K449*K452</f>
        <v>-9074.9065913042668</v>
      </c>
      <c r="L451" s="226">
        <f ca="1">L449*L452</f>
        <v>-10549.039201396241</v>
      </c>
      <c r="M451" s="226">
        <f ca="1">M449*M452</f>
        <v>-12296.320148885665</v>
      </c>
      <c r="N451" s="225"/>
      <c r="O451" s="225"/>
      <c r="P451" s="225" t="e">
        <f>P449*P452</f>
        <v>#REF!</v>
      </c>
      <c r="Q451" s="225"/>
      <c r="W451" s="1899"/>
    </row>
    <row r="452" spans="1:23">
      <c r="A452" s="2396" t="s">
        <v>1004</v>
      </c>
      <c r="B452" s="2334">
        <f t="shared" ref="B452:J452" si="309">B451/B449</f>
        <v>-1.0291365458317714</v>
      </c>
      <c r="C452" s="2334">
        <f t="shared" si="309"/>
        <v>-0.78266257633587522</v>
      </c>
      <c r="D452" s="2334">
        <f t="shared" si="309"/>
        <v>-0.93291066560367475</v>
      </c>
      <c r="E452" s="2334">
        <f t="shared" si="309"/>
        <v>-0.76142312246393851</v>
      </c>
      <c r="F452" s="2334">
        <f t="shared" si="309"/>
        <v>-0.7814355421352277</v>
      </c>
      <c r="G452" s="2334">
        <f t="shared" si="309"/>
        <v>-1.2709731122145538</v>
      </c>
      <c r="H452" s="2334">
        <f t="shared" si="309"/>
        <v>-0.94983071894591065</v>
      </c>
      <c r="I452" s="2334">
        <f t="shared" si="309"/>
        <v>-0.96984936477017591</v>
      </c>
      <c r="J452" s="2334">
        <f t="shared" si="309"/>
        <v>-0.85651929926555836</v>
      </c>
      <c r="K452" s="2397">
        <f>J452-10%</f>
        <v>-0.95651929926555834</v>
      </c>
      <c r="L452" s="2398">
        <f>K452</f>
        <v>-0.95651929926555834</v>
      </c>
      <c r="M452" s="2398">
        <f>L452</f>
        <v>-0.95651929926555834</v>
      </c>
      <c r="N452" s="2334"/>
      <c r="O452" s="2334"/>
      <c r="P452" s="2397">
        <v>-0.9</v>
      </c>
      <c r="Q452" s="2397"/>
      <c r="W452" s="1899" t="s">
        <v>88</v>
      </c>
    </row>
    <row r="453" spans="1:23">
      <c r="A453" s="1990" t="s">
        <v>1005</v>
      </c>
      <c r="B453" s="2399">
        <f t="shared" ref="B453:M453" si="310">B449+B451</f>
        <v>-620.68334835800124</v>
      </c>
      <c r="C453" s="2399">
        <f t="shared" si="310"/>
        <v>2234.5550849729998</v>
      </c>
      <c r="D453" s="2399">
        <f t="shared" si="310"/>
        <v>899.26535421600056</v>
      </c>
      <c r="E453" s="2399">
        <f t="shared" si="310"/>
        <v>4878.5561456220003</v>
      </c>
      <c r="F453" s="2399">
        <f t="shared" si="310"/>
        <v>7532.5413440149969</v>
      </c>
      <c r="G453" s="2399">
        <f t="shared" si="310"/>
        <v>-7619.8259641790028</v>
      </c>
      <c r="H453" s="2399">
        <f t="shared" si="310"/>
        <v>1719.3637845509984</v>
      </c>
      <c r="I453" s="2399">
        <f t="shared" si="310"/>
        <v>933.04999999999927</v>
      </c>
      <c r="J453" s="2399">
        <f t="shared" si="310"/>
        <v>6179.8299999999945</v>
      </c>
      <c r="K453" s="2399">
        <f t="shared" ca="1" si="310"/>
        <v>412.5199543725721</v>
      </c>
      <c r="L453" s="2400">
        <f t="shared" ca="1" si="310"/>
        <v>479.52991320090405</v>
      </c>
      <c r="M453" s="2400">
        <f t="shared" ca="1" si="310"/>
        <v>558.95643395706065</v>
      </c>
      <c r="N453" s="2399"/>
      <c r="O453" s="2399"/>
      <c r="P453" s="2399" t="e">
        <f>P449+P451</f>
        <v>#REF!</v>
      </c>
      <c r="Q453" s="2399"/>
    </row>
    <row r="455" spans="1:23">
      <c r="A455" s="2401">
        <f>5078+2001</f>
        <v>7079</v>
      </c>
      <c r="B455" s="378"/>
      <c r="C455" s="378"/>
      <c r="D455" s="378"/>
      <c r="E455" s="378"/>
      <c r="F455" s="587"/>
      <c r="G455" s="587"/>
    </row>
    <row r="456" spans="1:23">
      <c r="A456" s="784" t="s">
        <v>1650</v>
      </c>
      <c r="B456" s="2402">
        <v>2023</v>
      </c>
      <c r="C456" s="2402">
        <v>2024</v>
      </c>
      <c r="D456" s="2402">
        <v>2025</v>
      </c>
      <c r="E456" s="2402">
        <v>2026</v>
      </c>
      <c r="F456" s="2403">
        <v>2027</v>
      </c>
      <c r="G456" s="2403">
        <v>2028</v>
      </c>
      <c r="H456" s="36"/>
      <c r="N456" s="36"/>
      <c r="O456" s="36"/>
    </row>
    <row r="457" spans="1:23">
      <c r="A457" s="33" t="s">
        <v>1008</v>
      </c>
      <c r="B457" s="369">
        <v>300</v>
      </c>
      <c r="C457" s="369">
        <f>($A$455-$B$457)/4</f>
        <v>1694.75</v>
      </c>
      <c r="D457" s="369">
        <f>($A$455-$B$457)/4</f>
        <v>1694.75</v>
      </c>
      <c r="E457" s="369">
        <f>($A$455-$B$457)/4</f>
        <v>1694.75</v>
      </c>
      <c r="F457" s="369">
        <f>($A$455-$B$457)/4</f>
        <v>1694.75</v>
      </c>
      <c r="G457" s="369">
        <f>($A$455-$B$457)/4</f>
        <v>1694.75</v>
      </c>
    </row>
    <row r="458" spans="1:23">
      <c r="A458" s="33" t="s">
        <v>1009</v>
      </c>
      <c r="B458" s="369">
        <f t="shared" ref="B458:G458" si="311">B457*0.3</f>
        <v>90</v>
      </c>
      <c r="C458" s="369">
        <f t="shared" si="311"/>
        <v>508.42499999999995</v>
      </c>
      <c r="D458" s="369">
        <f t="shared" si="311"/>
        <v>508.42499999999995</v>
      </c>
      <c r="E458" s="369">
        <f t="shared" si="311"/>
        <v>508.42499999999995</v>
      </c>
      <c r="F458" s="1494">
        <f t="shared" si="311"/>
        <v>508.42499999999995</v>
      </c>
      <c r="G458" s="1494">
        <f t="shared" si="311"/>
        <v>508.42499999999995</v>
      </c>
      <c r="K458" s="225"/>
    </row>
    <row r="459" spans="1:23">
      <c r="A459" s="1225" t="s">
        <v>1010</v>
      </c>
      <c r="B459" s="2404">
        <f t="shared" ref="B459:G459" si="312">B457-B458</f>
        <v>210</v>
      </c>
      <c r="C459" s="2404">
        <f t="shared" si="312"/>
        <v>1186.325</v>
      </c>
      <c r="D459" s="2404">
        <f t="shared" si="312"/>
        <v>1186.325</v>
      </c>
      <c r="E459" s="2404">
        <f t="shared" si="312"/>
        <v>1186.325</v>
      </c>
      <c r="F459" s="2405">
        <f t="shared" si="312"/>
        <v>1186.325</v>
      </c>
      <c r="G459" s="2405">
        <f t="shared" si="312"/>
        <v>1186.325</v>
      </c>
    </row>
    <row r="461" spans="1:23">
      <c r="B461" s="1360"/>
      <c r="C461" s="1360"/>
      <c r="D461" s="1360"/>
    </row>
    <row r="462" spans="1:23">
      <c r="A462" s="1447" t="s">
        <v>1651</v>
      </c>
      <c r="B462" s="1">
        <v>2001</v>
      </c>
    </row>
    <row r="463" spans="1:23">
      <c r="A463" s="1447" t="s">
        <v>1652</v>
      </c>
      <c r="B463" s="728">
        <v>5078</v>
      </c>
      <c r="C463" s="1361"/>
      <c r="D463" s="1361"/>
      <c r="E463" s="1361"/>
      <c r="F463" s="1361"/>
      <c r="G463" s="1361"/>
      <c r="H463" s="1361"/>
      <c r="N463" s="1361"/>
      <c r="O463" s="1361"/>
      <c r="P463" s="1361"/>
    </row>
    <row r="464" spans="1:23">
      <c r="A464" s="807"/>
      <c r="B464" s="737"/>
      <c r="C464" s="738"/>
      <c r="D464" s="738"/>
      <c r="E464" s="737"/>
      <c r="F464" s="737"/>
      <c r="G464" s="737"/>
      <c r="H464" s="737"/>
      <c r="N464" s="737"/>
      <c r="O464" s="737"/>
      <c r="P464" s="737"/>
    </row>
    <row r="465" spans="1:16">
      <c r="A465" s="734"/>
      <c r="B465" s="737"/>
      <c r="C465" s="738"/>
      <c r="D465" s="738"/>
      <c r="E465" s="737"/>
      <c r="F465" s="737"/>
      <c r="G465" s="737"/>
      <c r="H465" s="737"/>
      <c r="N465" s="737"/>
      <c r="O465" s="737"/>
      <c r="P465" s="737"/>
    </row>
    <row r="466" spans="1:16">
      <c r="A466" s="734"/>
      <c r="B466" s="737"/>
      <c r="C466" s="738"/>
      <c r="D466" s="738"/>
      <c r="E466" s="737"/>
      <c r="F466" s="737"/>
      <c r="G466" s="737"/>
      <c r="H466" s="737"/>
      <c r="N466" s="737"/>
      <c r="O466" s="737"/>
      <c r="P466" s="737"/>
    </row>
    <row r="467" spans="1:16">
      <c r="A467" s="734"/>
      <c r="B467" s="737"/>
      <c r="C467" s="737"/>
      <c r="D467" s="737"/>
      <c r="E467" s="737"/>
      <c r="F467" s="737"/>
      <c r="G467" s="737"/>
      <c r="H467" s="737"/>
      <c r="N467" s="737"/>
      <c r="O467" s="737"/>
      <c r="P467" s="737"/>
    </row>
    <row r="468" spans="1:16">
      <c r="A468" s="734"/>
      <c r="B468" s="737"/>
      <c r="C468" s="737"/>
      <c r="D468" s="737"/>
      <c r="E468" s="737"/>
      <c r="F468" s="737"/>
      <c r="G468" s="737"/>
      <c r="H468" s="737"/>
      <c r="N468" s="737"/>
      <c r="O468" s="737"/>
      <c r="P468" s="737"/>
    </row>
    <row r="469" spans="1:16">
      <c r="A469" s="728"/>
      <c r="B469" s="1298"/>
      <c r="C469" s="1298"/>
      <c r="D469" s="1298"/>
      <c r="E469" s="1298"/>
      <c r="F469" s="1298"/>
      <c r="G469" s="1298"/>
      <c r="H469" s="1298"/>
      <c r="N469" s="1298"/>
      <c r="O469" s="1298"/>
      <c r="P469" s="1298"/>
    </row>
    <row r="470" spans="1:16">
      <c r="A470" s="728"/>
      <c r="B470" s="1300"/>
      <c r="C470" s="1299"/>
      <c r="D470" s="728"/>
      <c r="E470" s="728"/>
      <c r="F470" s="728"/>
      <c r="G470" s="728"/>
      <c r="H470" s="728"/>
      <c r="N470" s="728"/>
      <c r="O470" s="728"/>
      <c r="P470" s="728"/>
    </row>
    <row r="471" spans="1:16">
      <c r="A471" s="734"/>
      <c r="B471" s="1301"/>
      <c r="C471" s="1296"/>
      <c r="D471" s="734"/>
      <c r="E471" s="734"/>
      <c r="F471" s="734"/>
      <c r="G471" s="734"/>
      <c r="H471" s="734"/>
      <c r="N471" s="734"/>
      <c r="O471" s="734"/>
      <c r="P471" s="734"/>
    </row>
    <row r="472" spans="1:16">
      <c r="A472" s="728"/>
      <c r="B472" s="879"/>
      <c r="C472" s="1299"/>
      <c r="D472" s="728"/>
      <c r="E472" s="728"/>
      <c r="F472" s="728"/>
      <c r="G472" s="728"/>
      <c r="H472" s="728"/>
      <c r="N472" s="728"/>
      <c r="O472" s="728"/>
      <c r="P472" s="728"/>
    </row>
    <row r="475" spans="1:16">
      <c r="A475" s="728"/>
      <c r="B475" s="728"/>
      <c r="C475" s="734"/>
      <c r="D475" s="734"/>
      <c r="E475" s="734"/>
      <c r="F475" s="734"/>
      <c r="G475" s="734"/>
      <c r="H475" s="734"/>
      <c r="N475" s="734"/>
      <c r="O475" s="734"/>
      <c r="P475" s="734"/>
    </row>
    <row r="476" spans="1:16">
      <c r="A476" s="807"/>
      <c r="B476" s="1294"/>
      <c r="C476" s="1330"/>
      <c r="D476" s="1294"/>
      <c r="E476" s="1294"/>
      <c r="F476" s="1294"/>
      <c r="G476" s="1294"/>
      <c r="H476" s="1294"/>
      <c r="N476" s="1294"/>
      <c r="O476" s="1294"/>
      <c r="P476" s="1294"/>
    </row>
    <row r="477" spans="1:16">
      <c r="B477" s="737"/>
      <c r="C477" s="737"/>
      <c r="D477" s="737"/>
      <c r="E477" s="737"/>
      <c r="F477" s="737"/>
      <c r="G477" s="734"/>
      <c r="H477" s="734"/>
      <c r="N477" s="734"/>
      <c r="O477" s="734"/>
      <c r="P477" s="734"/>
    </row>
    <row r="478" spans="1:16">
      <c r="A478" s="1331"/>
      <c r="B478" s="1362"/>
      <c r="C478" s="1362"/>
      <c r="D478" s="1362"/>
      <c r="E478" s="1362"/>
      <c r="F478" s="1362"/>
      <c r="G478" s="734"/>
      <c r="H478" s="734"/>
      <c r="N478" s="734"/>
      <c r="O478" s="734"/>
      <c r="P478" s="734"/>
    </row>
    <row r="479" spans="1:16">
      <c r="B479" s="737"/>
      <c r="C479" s="737"/>
      <c r="D479" s="737"/>
      <c r="E479" s="737"/>
      <c r="F479" s="737"/>
      <c r="G479" s="734"/>
      <c r="H479" s="734"/>
      <c r="N479" s="734"/>
      <c r="O479" s="734"/>
      <c r="P479" s="734"/>
    </row>
    <row r="480" spans="1:16">
      <c r="A480" s="1331"/>
      <c r="B480" s="1362"/>
      <c r="C480" s="1362"/>
      <c r="D480" s="1362"/>
      <c r="E480" s="1362"/>
      <c r="F480" s="1362"/>
      <c r="G480" s="734"/>
      <c r="H480" s="734"/>
      <c r="N480" s="734"/>
      <c r="O480" s="734"/>
      <c r="P480" s="734"/>
    </row>
    <row r="481" spans="1:6">
      <c r="A481" s="1"/>
      <c r="B481" s="879"/>
      <c r="C481" s="879"/>
      <c r="D481" s="879"/>
      <c r="E481" s="879"/>
      <c r="F481" s="879"/>
    </row>
    <row r="482" spans="1:6">
      <c r="B482" s="789"/>
      <c r="C482" s="789"/>
      <c r="D482" s="789"/>
      <c r="E482" s="789"/>
      <c r="F482" s="789"/>
    </row>
    <row r="486">
      <c r="B486" s="3660" t="inlineStr">
        <is>
          <t xml:space="preserve">▌ 1H26 TRACKER — ACTUAL vs FY26 PLAN vs MAS FORECAST  (FPT Telecom at equity method; live-linked to YoY / Report / Scenarios — updates as you reiterate)</t>
        </is>
      </c>
    </row>
    <row r="487">
      <c r="B487" s="3662" t="inlineStr">
        <is>
          <t xml:space="preserve">Blue = manual input · Yellow = assumption to pin down · Black = formula/live link · Column O verdicts self-compute from the current model · Units: VNDbn</t>
        </is>
      </c>
    </row>
    <row r="489">
      <c r="B489" s="3661" t="inlineStr">
        <is>
          <t xml:space="preserve">Line item</t>
        </is>
      </c>
      <c r="C489" s="3661" t="inlineStr">
        <is>
          <t xml:space="preserve">1H26A</t>
        </is>
      </c>
      <c r="D489" s="3661" t="inlineStr">
        <is>
          <t xml:space="preserve">Rep. YoY</t>
        </is>
      </c>
      <c r="E489" s="3661" t="inlineStr">
        <is>
          <t xml:space="preserve">1H25R</t>
        </is>
      </c>
      <c r="F489" s="3661" t="inlineStr">
        <is>
          <t xml:space="preserve">FY25R</t>
        </is>
      </c>
      <c r="G489" s="3661" t="inlineStr">
        <is>
          <t xml:space="preserve">2H25R</t>
        </is>
      </c>
      <c r="H489" s="3661" t="inlineStr">
        <is>
          <t xml:space="preserve">FY26 Plan</t>
        </is>
      </c>
      <c r="I489" s="3661" t="inlineStr">
        <is>
          <t xml:space="preserve">1H26 %Plan</t>
        </is>
      </c>
      <c r="J489" s="3661" t="inlineStr">
        <is>
          <t xml:space="preserve">MAS FY26F</t>
        </is>
      </c>
      <c r="K489" s="3661" t="inlineStr">
        <is>
          <t xml:space="preserve">1H26 %MAS</t>
        </is>
      </c>
      <c r="L489" s="3661" t="inlineStr">
        <is>
          <t xml:space="preserve">Implied 2H26</t>
        </is>
      </c>
      <c r="M489" s="3661" t="inlineStr">
        <is>
          <t xml:space="preserve">2H26 YoY needed</t>
        </is>
      </c>
      <c r="N489" s="3661" t="inlineStr">
        <is>
          <t xml:space="preserve">MAS FY26F YoY</t>
        </is>
      </c>
      <c r="O489" s="3661" t="inlineStr">
        <is>
          <t xml:space="preserve">Assessment (auto)</t>
        </is>
      </c>
    </row>
    <row r="490">
      <c r="B490" s="3660" t="inlineStr">
        <is>
          <t xml:space="preserve">REVENUE</t>
        </is>
      </c>
    </row>
    <row r="491">
      <c r="B491" s="3660" t="inlineStr">
        <is>
          <t xml:space="preserve">Total net revenue</t>
        </is>
      </c>
      <c r="C491" s="3669">
        <f>YoY!E47</f>
      </c>
      <c r="D491" s="3664">
        <f>YoY!F47</f>
      </c>
      <c r="E491" s="3663">
        <f>C491/(1+D491)</f>
      </c>
      <c r="F491" s="3663">
        <f>F492+F495</f>
      </c>
      <c r="G491" s="3663">
        <f>F491-E491</f>
      </c>
      <c r="H491" s="3665">
        <v>58580</v>
      </c>
      <c r="I491" s="3664">
        <f>C491/H491</f>
      </c>
      <c r="J491" s="3663">
        <f>Report!H3</f>
      </c>
      <c r="K491" s="3664">
        <f>C491/J491</f>
      </c>
      <c r="L491" s="3663">
        <f>J491-C491</f>
      </c>
      <c r="M491" s="3664">
        <f>L491/G491-1</f>
      </c>
      <c r="N491" s="3664">
        <f>J491/F491-1</f>
      </c>
      <c r="O491" s="3662">
        <f>"2H implied "&amp;TEXT(M491,"+0.0%;-0.0%")&amp;" vs 1H "&amp;TEXT(D491,"+0.0%;-0.0%")&amp;IF(M491&gt;D491+0.02," -&gt; requires acceleration; STRETCHED",IF(M491&lt;D491-0.02," -&gt; conservative; UPSIDE"," -&gt; in line"))&amp;". 2Q26 rev +16.4% YoY restated after +8.7% in 1Q."</f>
      </c>
    </row>
    <row r="492">
      <c r="B492" s="3662" t="inlineStr">
        <is>
          <t xml:space="preserve">  Technology (IT services)</t>
        </is>
      </c>
      <c r="C492" s="3663">
        <f>YoY!E48</f>
      </c>
      <c r="D492" s="3664">
        <f>YoY!F48</f>
      </c>
      <c r="E492" s="3663">
        <f>C492/(1+D492)</f>
      </c>
      <c r="F492" s="3663">
        <f>YoY!J9</f>
      </c>
      <c r="G492" s="3663">
        <f>F492-E492</f>
      </c>
      <c r="J492" s="3663">
        <f>Scenarios!F54+Scenarios!F55</f>
      </c>
      <c r="K492" s="3664">
        <f>C492/J492</f>
      </c>
      <c r="L492" s="3663">
        <f>J492-C492</f>
      </c>
      <c r="M492" s="3664">
        <f>L492/G492-1</f>
      </c>
      <c r="N492" s="3664">
        <f>J492/F492-1</f>
      </c>
      <c r="O492" s="3662">
        <f>"2H implied "&amp;TEXT(M492,"+0.0%;-0.0%")&amp;" vs 1H "&amp;TEXT(D492,"+0.0%;-0.0%")&amp;IF(M492&gt;D492+0.02," -&gt; requires acceleration; STRETCHED",IF(M492&lt;D492-0.02," -&gt; conservative; UPSIDE"," -&gt; in line"))</f>
      </c>
    </row>
    <row r="493">
      <c r="B493" s="3662" t="inlineStr">
        <is>
          <t xml:space="preserve">    Global IT (foreign)</t>
        </is>
      </c>
      <c r="C493" s="3663">
        <f>YoY!E49</f>
      </c>
      <c r="D493" s="3664">
        <f>YoY!F49</f>
      </c>
      <c r="E493" s="3663">
        <f>C493/(1+D493)</f>
      </c>
      <c r="F493" s="3663">
        <f>YoY!J11</f>
      </c>
      <c r="G493" s="3663">
        <f>F493-E493</f>
      </c>
      <c r="J493" s="3663">
        <f>Scenarios!F54</f>
      </c>
      <c r="K493" s="3664">
        <f>C493/J493</f>
      </c>
      <c r="L493" s="3663">
        <f>J493-C493</f>
      </c>
      <c r="M493" s="3664">
        <f>L493/G493-1</f>
      </c>
      <c r="N493" s="3664">
        <f>J493/F493-1</f>
      </c>
      <c r="O493" s="3662">
        <f>"2H implied "&amp;TEXT(M493,"+0.0%;-0.0%")&amp;" vs 1H "&amp;TEXT(D493,"+0.0%;-0.0%")&amp;IF(M493&gt;D493+0.02," -&gt; requires acceleration; STRETCHED",IF(M493&lt;D493-0.02," -&gt; conservative; UPSIDE"," -&gt; in line"))&amp;" (AI-ramp bet - watch bookings)."</f>
      </c>
    </row>
    <row r="494">
      <c r="B494" s="3662" t="inlineStr">
        <is>
          <t xml:space="preserve">    Domestic IT</t>
        </is>
      </c>
      <c r="C494" s="3663">
        <f>YoY!E50</f>
      </c>
      <c r="D494" s="3664">
        <f>YoY!F50</f>
      </c>
      <c r="E494" s="3663">
        <f>C494/(1+D494)</f>
      </c>
      <c r="F494" s="3663">
        <f>YoY!J13</f>
      </c>
      <c r="G494" s="3663">
        <f>F494-E494</f>
      </c>
      <c r="J494" s="3663">
        <f>Scenarios!F55</f>
      </c>
      <c r="K494" s="3664">
        <f>C494/J494</f>
      </c>
      <c r="L494" s="3663">
        <f>J494-C494</f>
      </c>
      <c r="M494" s="3664">
        <f>L494/G494-1</f>
      </c>
      <c r="N494" s="3664">
        <f>J494/F494-1</f>
      </c>
      <c r="O494" s="3662">
        <f>"2H implied "&amp;TEXT(M494,"+0.0%;-0.0%")&amp;" vs 1H "&amp;TEXT(D494,"+0.0%;-0.0%")&amp;IF(M494&gt;D494+0.02," -&gt; requires acceleration; STRETCHED",IF(M494&lt;D494-0.02," -&gt; conservative; UPSIDE"," -&gt; in line"))&amp;" (4Q-heavy seasonality)."</f>
      </c>
    </row>
    <row r="495">
      <c r="B495" s="3662" t="inlineStr">
        <is>
          <t xml:space="preserve">  Education, investment &amp; others</t>
        </is>
      </c>
      <c r="C495" s="3663">
        <f>YoY!E51</f>
      </c>
      <c r="D495" s="3664">
        <f>YoY!F51</f>
      </c>
      <c r="E495" s="3663">
        <f>C495/(1+D495)</f>
      </c>
      <c r="F495" s="3663">
        <f>YoY!J17</f>
      </c>
      <c r="G495" s="3663">
        <f>F495-E495</f>
      </c>
      <c r="J495" s="3663">
        <f>Scenarios!F57</f>
      </c>
      <c r="K495" s="3664">
        <f>C495/J495</f>
      </c>
      <c r="L495" s="3663">
        <f>J495-C495</f>
      </c>
      <c r="M495" s="3664">
        <f>L495/G495-1</f>
      </c>
      <c r="N495" s="3664">
        <f>J495/F495-1</f>
      </c>
      <c r="O495" s="3662">
        <f>"2H implied "&amp;TEXT(M495,"+0.0%;-0.0%")&amp;" vs 1H "&amp;TEXT(D495,"+0.0%;-0.0%")&amp;IF(M495&gt;D495+0.02," -&gt; requires acceleration; STRETCHED",IF(M495&lt;D495-0.02," -&gt; conservative; UPSIDE"," -&gt; in line"))&amp;" 1H26 shrank -2.1%: cut toward flat."</f>
      </c>
    </row>
    <row r="497">
      <c r="B497" s="3660" t="inlineStr">
        <is>
          <t xml:space="preserve">PROFIT</t>
        </is>
      </c>
    </row>
    <row r="498">
      <c r="B498" s="3660" t="inlineStr">
        <is>
          <t xml:space="preserve">PBT — scen. A: FY25R = plan-implied</t>
        </is>
      </c>
      <c r="C498" s="3669">
        <f>YoY!E52</f>
      </c>
      <c r="D498" s="3664">
        <f>YoY!F52</f>
      </c>
      <c r="E498" s="3663">
        <f>C498/(1+D498)</f>
      </c>
      <c r="F498" s="3663">
        <f>H498/(1+P498)</f>
      </c>
      <c r="G498" s="3663">
        <f>F498-E498</f>
      </c>
      <c r="H498" s="3665">
        <v>11629</v>
      </c>
      <c r="I498" s="3664">
        <f>C498/H498</f>
      </c>
      <c r="J498" s="3663">
        <f>Report!H15</f>
      </c>
      <c r="K498" s="3664">
        <f>C498/J498</f>
      </c>
      <c r="L498" s="3663">
        <f>J498-C498</f>
      </c>
      <c r="M498" s="3664">
        <f>L498/G498-1</f>
      </c>
      <c r="N498" s="3664">
        <f>J498/F498-1</f>
      </c>
      <c r="O498" s="3662">
        <f>"Scen A: FY25R="&amp;TEXT(F498,"#,##0")&amp;" -&gt; MAS PBT "&amp;TEXT(N498,"+0.0%")&amp;" YoY, needs 2H "&amp;TEXT(M498,"+0.0%")&amp;". P498 = plan-YoY assumption."</f>
      </c>
      <c r="P498" s="3668">
        <v>0.15</v>
      </c>
    </row>
    <row r="499">
      <c r="B499" s="3660" t="inlineStr">
        <is>
          <t xml:space="preserve">PBT — scen. B: FY25R = NPATMI-implied</t>
        </is>
      </c>
      <c r="C499" s="3669">
        <f>YoY!E52</f>
      </c>
      <c r="D499" s="3664">
        <f>YoY!F52</f>
      </c>
      <c r="E499" s="3663">
        <f>C499/(1+D499)</f>
      </c>
      <c r="F499" s="3663">
        <f>(Report!G20+Q499)/(1-P499)</f>
      </c>
      <c r="G499" s="3663">
        <f>F499-E499</f>
      </c>
      <c r="H499" s="3665">
        <v>11629</v>
      </c>
      <c r="I499" s="3664">
        <f>C499/H499</f>
      </c>
      <c r="J499" s="3663">
        <f>Report!H15</f>
      </c>
      <c r="K499" s="3664">
        <f>C499/J499</f>
      </c>
      <c r="L499" s="3663">
        <f>J499-C499</f>
      </c>
      <c r="M499" s="3664">
        <f>L499/G499-1</f>
      </c>
      <c r="N499" s="3664">
        <f>J499/F499-1</f>
      </c>
      <c r="O499" s="3662">
        <f>"Scen B: FY25R="&amp;TEXT(F499,"#,##0")&amp;" (from invariant NPATMI @ tax P499, MI Q499) -&gt; "&amp;TEXT(N499,"+0.0%")&amp;" YoY, 2H "&amp;TEXT(M499,"+0.0%")&amp;". PIN TRUE BASE from restated FS."</f>
      </c>
      <c r="P499" s="3668">
        <v>0.15</v>
      </c>
      <c r="Q499" s="3667">
        <v>162</v>
      </c>
    </row>
    <row r="500">
      <c r="B500" s="3662" t="inlineStr">
        <is>
          <t xml:space="preserve">  Technology PBT</t>
        </is>
      </c>
      <c r="C500" s="3663">
        <f>YoY!E53</f>
      </c>
      <c r="D500" s="3664">
        <f>YoY!F53</f>
      </c>
      <c r="E500" s="3663">
        <f>C500/(1+D500)</f>
      </c>
      <c r="O500" s="3662" t="inlineStr">
        <is>
          <t xml:space="preserve">58% of group PBT in 1H26.</t>
        </is>
      </c>
    </row>
    <row r="501">
      <c r="B501" s="3662" t="inlineStr">
        <is>
          <t xml:space="preserve">    o/w Domestic IT PBT</t>
        </is>
      </c>
      <c r="C501" s="3663">
        <f>YoY!E54</f>
      </c>
      <c r="D501" s="3664">
        <f>YoY!F54</f>
      </c>
      <c r="E501" s="3663">
        <f>C501/(1+D501)</f>
      </c>
      <c r="O501" s="3662" t="inlineStr">
        <is>
          <t xml:space="preserve">Doubled YoY — domestic margin recovery.</t>
        </is>
      </c>
    </row>
    <row r="502">
      <c r="B502" s="3662" t="inlineStr">
        <is>
          <t xml:space="preserve">  Education, inv. &amp; others PBT</t>
        </is>
      </c>
      <c r="C502" s="3663">
        <f>YoY!E55</f>
      </c>
      <c r="D502" s="3664">
        <f>YoY!F55</f>
      </c>
      <c r="E502" s="3663">
        <f>C502/(1+D502)</f>
      </c>
      <c r="O502" s="3662" t="inlineStr">
        <is>
          <t xml:space="preserve">+19.8% on -2.1% revenue — margin-driven; check sustainability.</t>
        </is>
      </c>
    </row>
    <row r="503">
      <c r="B503" s="3662" t="inlineStr">
        <is>
          <t xml:space="preserve">  Net gain from associates (Telecom+)</t>
        </is>
      </c>
      <c r="C503" s="3662" t="inlineStr">
        <is>
          <t xml:space="preserve">n.a. until 2Q26 FS</t>
        </is>
      </c>
      <c r="J503" s="3663">
        <f>Report!H14</f>
      </c>
      <c r="O503" s="3662" t="inlineStr">
        <is>
          <t xml:space="preserve">KEY LINE: FOX-stake math suggests ~1.6–2.3tn. Each 500bn ≈ 4% of PBT. Verify vs 2Q26 FS.</t>
        </is>
      </c>
    </row>
    <row r="505">
      <c r="B505" s="3660" t="inlineStr">
        <is>
          <t xml:space="preserve">NPATMI</t>
        </is>
      </c>
    </row>
    <row r="506">
      <c r="B506" s="3662" t="inlineStr">
        <is>
          <t xml:space="preserve">  1Q26</t>
        </is>
      </c>
      <c r="C506" s="3665">
        <v>2487</v>
      </c>
      <c r="D506" s="3666">
        <v>0.144</v>
      </c>
      <c r="E506" s="3663">
        <f>C506/(1+D506)</f>
      </c>
      <c r="O506" s="3662" t="inlineStr">
        <is>
          <t xml:space="preserve">Source: 1Q26 release (22/04/26); EPS 1,460 (+13.7%).</t>
        </is>
      </c>
    </row>
    <row r="507">
      <c r="B507" s="3662" t="inlineStr">
        <is>
          <t xml:space="preserve">  2Q26</t>
        </is>
      </c>
      <c r="C507" s="3665">
        <v>2568</v>
      </c>
      <c r="D507" s="3666">
        <v>0.14</v>
      </c>
      <c r="E507" s="3663">
        <f>C507/(1+D507)</f>
      </c>
      <c r="O507" s="3662" t="inlineStr">
        <is>
          <t xml:space="preserve">Source: 1H26 release (16/07/26).</t>
        </is>
      </c>
    </row>
    <row r="508">
      <c r="B508" s="3660" t="inlineStr">
        <is>
          <t xml:space="preserve">NPATMI — 1H26 total</t>
        </is>
      </c>
      <c r="C508" s="3669">
        <f>C506+C507</f>
      </c>
      <c r="D508" s="3664">
        <f>C508/E508-1</f>
      </c>
      <c r="E508" s="3663">
        <f>E506+E507</f>
      </c>
      <c r="F508" s="3663">
        <f>Report!G20</f>
      </c>
      <c r="G508" s="3663">
        <f>F508-E508</f>
      </c>
      <c r="J508" s="3663">
        <f>Report!H20</f>
      </c>
      <c r="K508" s="3664">
        <f>C508/J508</f>
      </c>
      <c r="L508" s="3663">
        <f>J508-C508</f>
      </c>
      <c r="M508" s="3664">
        <f>L508/G508-1</f>
      </c>
      <c r="N508" s="3664">
        <f>J508/F508-1</f>
      </c>
      <c r="O508" s="3662">
        <f>"Model FY26F "&amp;TEXT(J508,"#,##0")&amp;" ("&amp;TEXT(N508,"+0.0%")&amp;") implies 2H "&amp;TEXT(M508,"+0.0%")&amp;" vs 1H "&amp;TEXT(D508,"+0.0%")&amp;IF(M508&gt;D508+0.02," -&gt; STRETCHED",IF(M508&lt;D508-0.02," -&gt; conservative"," -&gt; in line"))&amp;". Aug26 TP sheet: 10,555 - reconcile."</f>
      </c>
    </row>
    <row r="510">
      <c r="B510" s="3660" t="inlineStr">
        <is>
          <t xml:space="preserve">MARGINS (PBT / revenue)</t>
        </is>
      </c>
    </row>
    <row r="511">
      <c r="B511" s="3662" t="inlineStr">
        <is>
          <t xml:space="preserve">  1H26 actual</t>
        </is>
      </c>
      <c r="C511" s="3664">
        <f>C498/C491</f>
      </c>
    </row>
    <row r="512">
      <c r="B512" s="3662" t="inlineStr">
        <is>
          <t xml:space="preserve">  1H25R</t>
        </is>
      </c>
      <c r="C512" s="3664">
        <f>E498/E491</f>
      </c>
    </row>
    <row r="513">
      <c r="B513" s="3662" t="inlineStr">
        <is>
          <t xml:space="preserve">  FY26 plan</t>
        </is>
      </c>
      <c r="C513" s="3664">
        <f>H498/H491</f>
      </c>
    </row>
    <row r="514">
      <c r="B514" s="3662" t="inlineStr">
        <is>
          <t xml:space="preserve">  MAS FY26F</t>
        </is>
      </c>
      <c r="C514" s="3664">
        <f>J498/J491</f>
      </c>
      <c r="O514" s="3662">
        <f>"MAS FY margin "&amp;TEXT(C514,"0.0%")&amp;" vs 1H26 actual "&amp;TEXT(C511,"0.0%")&amp;" and plan "&amp;TEXT(C513,"0.0%")&amp;IF(C514&gt;C511+0.01," -&gt; margin assumption STRETCHED",IF(C514&lt;C511," -&gt; below run-rate"," -&gt; near run-rate"))</f>
      </c>
    </row>
    <row r="516">
      <c r="B516" s="3660" t="inlineStr">
        <is>
          <t xml:space="preserve">FY26F NPATMI SCENARIOS</t>
        </is>
      </c>
      <c r="C516" s="3661" t="inlineStr">
        <is>
          <t xml:space="preserve">FY26F</t>
        </is>
      </c>
      <c r="D516" s="3661" t="inlineStr">
        <is>
          <t xml:space="preserve">YoY</t>
        </is>
      </c>
      <c r="E516" s="3661" t="inlineStr">
        <is>
          <t xml:space="preserve">FY27F @ +17.5%</t>
        </is>
      </c>
      <c r="F516" s="3661" t="inlineStr">
        <is>
          <t xml:space="preserve">FY27F @ +17.0%</t>
        </is>
      </c>
    </row>
    <row r="517">
      <c r="B517" s="3662" t="inlineStr">
        <is>
          <t xml:space="preserve">MAS model (Report!H20)</t>
        </is>
      </c>
      <c r="C517" s="3663">
        <f>Report!H20</f>
      </c>
      <c r="D517" s="3664">
        <f>C517/F$508-1</f>
      </c>
      <c r="E517" s="3663">
        <f>C517*1.175</f>
      </c>
      <c r="F517" s="3663">
        <f>C517*1.17</f>
      </c>
      <c r="O517" s="3662">
        <f>"Model FY27F = "&amp;TEXT(Report!I20,"#,##0")&amp;" ("&amp;TEXT(Report!I20/Report!H20-1,"+0.0%")&amp;" YoY)."</f>
      </c>
    </row>
    <row r="518">
      <c r="B518" s="3662" t="inlineStr">
        <is>
          <t xml:space="preserve">Aug26 TP sheet</t>
        </is>
      </c>
      <c r="C518" s="3665">
        <v>10555</v>
      </c>
      <c r="D518" s="3664">
        <f>C518/F$508-1</f>
      </c>
      <c r="E518" s="3663">
        <f>C518*1.175</f>
      </c>
      <c r="F518" s="3663">
        <f>C518*1.17</f>
      </c>
    </row>
    <row r="519">
      <c r="B519" s="3662" t="inlineStr">
        <is>
          <t xml:space="preserve">Seasonality-implied (1H share = FY25 pattern)</t>
        </is>
      </c>
      <c r="C519" s="3663">
        <f>C508/(E508/F508)</f>
      </c>
      <c r="D519" s="3664">
        <f>C519/F$508-1</f>
      </c>
      <c r="E519" s="3663">
        <f>C519*1.175</f>
      </c>
      <c r="F519" s="3663">
        <f>C519*1.17</f>
      </c>
      <c r="O519" s="3662" t="inlineStr">
        <is>
          <t xml:space="preserve">RECOMMENDED anchor ≈10.8tn (+14.2%) — matches both quarterly prints (+14.4%, +14.0%).</t>
        </is>
      </c>
    </row>
    <row r="520">
      <c r="B520" s="3662" t="inlineStr">
        <is>
          <t xml:space="preserve">+18% PBT-growth mapping — NOT recommended</t>
        </is>
      </c>
      <c r="C520" s="3663">
        <f>F508*1.18</f>
      </c>
      <c r="D520" s="3664">
        <f>C520/F$508-1</f>
      </c>
      <c r="E520" s="3663">
        <f>C520*1.175</f>
      </c>
      <c r="F520" s="3663">
        <f>C520*1.17</f>
      </c>
      <c r="O520" s="3662" t="inlineStr">
        <is>
          <t xml:space="preserve">TRAP: PBT +18.1% does not map to NPATMI. Tax on consolidated ops vs post-tax associate income (+ residual MI) keeps NPATMI ~+14%.</t>
        </is>
      </c>
    </row>
    <row r="522">
      <c r="B522" s="3660" t="inlineStr">
        <is>
          <t xml:space="preserve">REITERATION CHECKLIST (ranked by impact)</t>
        </is>
      </c>
    </row>
    <row r="523">
      <c r="B523" s="3660" t="inlineStr">
        <is>
          <t xml:space="preserve">1. HIGH — Restated FY25 PBT base</t>
        </is>
      </c>
      <c r="C523" s="3662" t="inlineStr">
        <is>
          <t xml:space="preserve">Pin from the 2Q26 FS restated comparatives; scen. A vs B above decides whether the PBT forecast is stretched or fine.</t>
        </is>
      </c>
    </row>
    <row r="524">
      <c r="B524" s="3660" t="inlineStr">
        <is>
          <t xml:space="preserve">2. HIGH — Associates line (Report!H14)</t>
        </is>
      </c>
      <c r="C524" s="3662" t="inlineStr">
        <is>
          <t xml:space="preserve">Verify 1H26 actual associate income vs FOX-stake math (~1.6–2.3tn). Each 500bn ≈ -4% PBT / -4.7% NPATMI.</t>
        </is>
      </c>
    </row>
    <row r="525">
      <c r="B525" s="3660" t="inlineStr">
        <is>
          <t xml:space="preserve">3. MED — Education/others revenue growth</t>
        </is>
      </c>
      <c r="C525" s="3662" t="inlineStr">
        <is>
          <t xml:space="preserve">1H26 printed -2.1% vs FY26F +5%; see row 495 verdict. Cut costs ≈ -300bn revenue / -60bn PBT.</t>
        </is>
      </c>
    </row>
    <row r="526">
      <c r="B526" s="3660" t="inlineStr">
        <is>
          <t xml:space="preserve">4. MED — Global IT 2H acceleration</t>
        </is>
      </c>
      <c r="C526" s="3662" t="inlineStr">
        <is>
          <t xml:space="preserve">See row 493 verdict; plausible on AI ramp — track bookings before conceding.</t>
        </is>
      </c>
    </row>
    <row r="527">
      <c r="B527" s="3660" t="inlineStr">
        <is>
          <t xml:space="preserve">5. LOW — Domestic IT conservatism</t>
        </is>
      </c>
      <c r="C527" s="3662" t="inlineStr">
        <is>
          <t xml:space="preserve">See row 494 verdict; 4Q-heavy — likely upside offsetting the education cut.</t>
        </is>
      </c>
    </row>
    <row r="528">
      <c r="B528" s="3660" t="inlineStr">
        <is>
          <t xml:space="preserve">6. Landing zone</t>
        </is>
      </c>
      <c r="C528" s="3662" t="inlineStr">
        <is>
          <t xml:space="preserve">NPATMI evidence: both quarters +14%. Anchor FY26F ~10.8tn (+14%); +18% double-counts the basis effect. FY27F at +17-17.5% =&gt; 12.6-12.7tn.</t>
        </is>
      </c>
    </row>
  </sheetData>
  <mergeCells count="17">
    <mergeCell ref="BK3:BN3"/>
    <mergeCell ref="BO3:BR3"/>
    <mergeCell ref="BW3:BZ3"/>
    <mergeCell ref="BG3:BJ3"/>
    <mergeCell ref="DO4:DT4"/>
    <mergeCell ref="CA3:CD3"/>
    <mergeCell ref="BS3:BV3"/>
    <mergeCell ref="BC3:BF3"/>
    <mergeCell ref="A321:B321"/>
    <mergeCell ref="A334:B334"/>
    <mergeCell ref="AY3:BB3"/>
    <mergeCell ref="AQ3:AT3"/>
    <mergeCell ref="AA3:AD3"/>
    <mergeCell ref="AE3:AH3"/>
    <mergeCell ref="AI3:AL3"/>
    <mergeCell ref="AM3:AP3"/>
    <mergeCell ref="AU3:AX3"/>
  </mergeCells>
  <phoneticPr fontId="24" type="noConversion"/>
  <pageMargins left="0.74791666666666667" right="0.74791666666666667" top="0.51" bottom="0.79" header="0.51180555555555562" footer="0.51180555555555562"/>
  <pageSetup paperSize="9" scale="49" firstPageNumber="0" orientation="landscape" horizontalDpi="300" verticalDpi="300" r:id="rId1"/>
  <headerFooter alignWithMargins="0"/>
  <ignoredErrors>
    <ignoredError sqref="DZ5:DZ7 DZ9:DZ22" formula="1"/>
  </ignoredError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44F08-ED2A-43ED-94A2-0E2762096A3E}">
  <sheetPr>
    <tabColor rgb="FF70AD47"/>
    <pageSetUpPr fitToPage="1"/>
  </sheetPr>
  <dimension ref="A1:AW316"/>
  <sheetViews>
    <sheetView showGridLines="0" zoomScale="130" zoomScaleNormal="130" workbookViewId="0">
      <pane ySplit="4" topLeftCell="A10" activePane="bottomLeft" state="frozen"/>
      <selection pane="bottomLeft" activeCell="Q17" sqref="Q17"/>
    </sheetView>
  </sheetViews>
  <sheetFormatPr defaultColWidth="14.42578125" defaultRowHeight="12.75" outlineLevelCol="1"/>
  <cols>
    <col min="1" max="1" width="4.42578125" style="6" customWidth="1"/>
    <col min="2" max="2" width="44.42578125" style="6" customWidth="1"/>
    <col min="3" max="7" width="10.7109375" style="6" hidden="1" customWidth="1" outlineLevel="1"/>
    <col min="8" max="8" width="10.42578125" style="6" hidden="1" customWidth="1" outlineLevel="1"/>
    <col min="9" max="9" width="10.28515625" style="6" hidden="1" customWidth="1" collapsed="1"/>
    <col min="10" max="11" width="10.28515625" style="6" hidden="1" customWidth="1"/>
    <col min="12" max="12" width="10.28515625" style="6" customWidth="1"/>
    <col min="13" max="13" width="10.28515625" style="6" bestFit="1" customWidth="1"/>
    <col min="14" max="17" width="10.28515625" style="6" customWidth="1"/>
    <col min="18" max="21" width="10" style="6" customWidth="1"/>
    <col min="22" max="23" width="10.28515625" style="6" customWidth="1"/>
    <col min="24" max="24" width="11.42578125" style="6" customWidth="1"/>
    <col min="27" max="27" width="21.42578125" style="6" customWidth="1"/>
    <col min="28" max="28" width="14.42578125" style="6"/>
    <col min="29" max="31" width="14.42578125" style="6" customWidth="1"/>
    <col min="32" max="16384" width="14.42578125" style="6"/>
  </cols>
  <sheetData>
    <row r="1" spans="1:49">
      <c r="B1" s="1474"/>
      <c r="C1" s="1474"/>
      <c r="D1" s="1474"/>
      <c r="E1" s="1474"/>
      <c r="F1" s="1474"/>
      <c r="G1" s="1474"/>
      <c r="H1" s="1474"/>
      <c r="I1" s="1474"/>
      <c r="J1" s="1474"/>
      <c r="K1" s="1474"/>
      <c r="L1" s="1474"/>
    </row>
    <row r="2" spans="1:49" ht="14.25" customHeight="1">
      <c r="B2" s="1474"/>
      <c r="C2" s="1474"/>
      <c r="D2" s="1474"/>
      <c r="E2" s="1474"/>
      <c r="F2" s="1474"/>
      <c r="G2" s="1474"/>
      <c r="H2" s="1474"/>
      <c r="I2" s="2356"/>
      <c r="J2" s="2356"/>
      <c r="K2" s="2356"/>
      <c r="L2" s="2356"/>
      <c r="V2" s="2378" t="s">
        <v>1646</v>
      </c>
      <c r="W2" s="2378" t="s">
        <v>1646</v>
      </c>
    </row>
    <row r="3" spans="1:49" ht="18" customHeight="1">
      <c r="B3" s="2357" t="s">
        <v>29</v>
      </c>
      <c r="C3" s="2362"/>
      <c r="D3" s="2362"/>
      <c r="E3" s="2362"/>
      <c r="F3" s="2362"/>
      <c r="G3" s="2362"/>
      <c r="H3" s="2362"/>
      <c r="I3" s="2362"/>
      <c r="J3" s="2362"/>
      <c r="K3" s="2362"/>
      <c r="L3" s="2362"/>
      <c r="M3" s="2362"/>
      <c r="N3" s="2362"/>
      <c r="O3" s="2362"/>
      <c r="P3" s="2362" t="s">
        <v>200</v>
      </c>
      <c r="Q3" s="2229"/>
      <c r="R3" s="2229"/>
      <c r="S3" s="2230"/>
      <c r="T3" s="2229"/>
      <c r="U3" s="2229"/>
      <c r="V3" s="2229" t="s">
        <v>28</v>
      </c>
      <c r="W3" s="2229"/>
      <c r="X3" s="2229"/>
    </row>
    <row r="4" spans="1:49" ht="14.25" customHeight="1">
      <c r="B4" s="2358" t="s">
        <v>258</v>
      </c>
      <c r="C4" s="2359">
        <v>2012</v>
      </c>
      <c r="D4" s="2359">
        <v>2013</v>
      </c>
      <c r="E4" s="2359">
        <v>2014</v>
      </c>
      <c r="F4" s="2359">
        <v>2015</v>
      </c>
      <c r="G4" s="2359">
        <v>2016</v>
      </c>
      <c r="H4" s="2359">
        <v>2017</v>
      </c>
      <c r="I4" s="2359">
        <v>2018</v>
      </c>
      <c r="J4" s="2359">
        <v>2019</v>
      </c>
      <c r="K4" s="2359">
        <v>2020</v>
      </c>
      <c r="L4" s="2360">
        <v>2021</v>
      </c>
      <c r="M4" s="2360">
        <v>2022</v>
      </c>
      <c r="N4" s="2360">
        <v>2023</v>
      </c>
      <c r="O4" s="2360">
        <v>2024</v>
      </c>
      <c r="P4" s="2360">
        <v>2025</v>
      </c>
      <c r="Q4" s="2231">
        <v>2026</v>
      </c>
      <c r="R4" s="2231">
        <v>2027</v>
      </c>
      <c r="S4" s="2232">
        <v>2028</v>
      </c>
      <c r="T4" s="2231"/>
      <c r="U4" s="2231"/>
      <c r="V4" s="2231">
        <v>2023</v>
      </c>
      <c r="W4" s="2231">
        <v>2024</v>
      </c>
      <c r="X4" s="2231"/>
      <c r="AB4" s="1"/>
      <c r="AD4" s="399" t="s">
        <v>827</v>
      </c>
      <c r="AE4" s="399" t="s">
        <v>828</v>
      </c>
    </row>
    <row r="5" spans="1:49">
      <c r="B5" s="414"/>
      <c r="C5" s="1"/>
      <c r="D5" s="1"/>
      <c r="E5" s="1"/>
      <c r="F5" s="1"/>
      <c r="G5" s="1"/>
      <c r="H5" s="1100"/>
      <c r="I5" s="897"/>
      <c r="J5" s="897"/>
      <c r="K5" s="897"/>
      <c r="M5" s="225"/>
      <c r="N5" s="225"/>
      <c r="O5" s="225"/>
      <c r="P5" s="225"/>
      <c r="Q5" s="378"/>
      <c r="S5" s="587"/>
      <c r="T5" s="378"/>
      <c r="U5" s="378"/>
      <c r="V5" s="586"/>
      <c r="W5" s="378"/>
      <c r="X5" s="378"/>
      <c r="AB5" s="1"/>
    </row>
    <row r="6" spans="1:49">
      <c r="B6" s="1571" t="s">
        <v>145</v>
      </c>
      <c r="C6" s="225">
        <f>Data!L16</f>
        <v>2318.9150220900001</v>
      </c>
      <c r="D6" s="225">
        <f>Data!M16</f>
        <v>2750.9711440149999</v>
      </c>
      <c r="E6" s="225">
        <f>Data!N16</f>
        <v>4336.2824477690001</v>
      </c>
      <c r="F6" s="225">
        <f>Data!O16</f>
        <v>3584.7091517690001</v>
      </c>
      <c r="G6" s="225">
        <f>Data!P16</f>
        <v>6013.3613897739997</v>
      </c>
      <c r="H6" s="226">
        <f>Data!Q16</f>
        <v>3480.6595147879998</v>
      </c>
      <c r="I6" s="225">
        <f>Data!R16</f>
        <v>3925.7272062930001</v>
      </c>
      <c r="J6" s="225">
        <f>Data!S16</f>
        <v>3453.388617569</v>
      </c>
      <c r="K6" s="225">
        <f>Data!T16</f>
        <v>4686.1913740379996</v>
      </c>
      <c r="L6" s="225">
        <f>Data!U16</f>
        <v>5417.8452932419996</v>
      </c>
      <c r="M6" s="225">
        <f>Data!V16</f>
        <v>6440.1771743219997</v>
      </c>
      <c r="N6" s="225">
        <f>Data!W16</f>
        <v>8279.1566832209992</v>
      </c>
      <c r="O6" s="225">
        <f>Data!X16</f>
        <v>9315.44</v>
      </c>
      <c r="P6" s="225">
        <f>Data!Y16</f>
        <v>10540.18164092</v>
      </c>
      <c r="Q6" s="224">
        <f ca="1">P6+CF!L87</f>
        <v>17810.10807520993</v>
      </c>
      <c r="R6" s="224">
        <f ca="1">Q6+CF!M87</f>
        <v>20356.573508863479</v>
      </c>
      <c r="S6" s="224">
        <f ca="1">R6+CF!N87</f>
        <v>22560.07773287105</v>
      </c>
      <c r="T6" s="224"/>
      <c r="U6" s="224"/>
      <c r="V6" s="898" t="e">
        <f>M6+CF!Q87</f>
        <v>#REF!</v>
      </c>
      <c r="W6" s="2376">
        <f>N6+CF!R87</f>
        <v>8279.1566832209992</v>
      </c>
      <c r="X6" s="224"/>
      <c r="AA6" s="225"/>
      <c r="AB6" s="225"/>
      <c r="AC6" s="1603" t="s">
        <v>1643</v>
      </c>
      <c r="AD6" s="598">
        <f>M6/L6-1</f>
        <v>0.18869713433036117</v>
      </c>
      <c r="AE6" s="598">
        <f>M6/$M$38</f>
        <v>0.12468783801474366</v>
      </c>
      <c r="AF6" s="598"/>
      <c r="AG6" s="598"/>
    </row>
    <row r="7" spans="1:49">
      <c r="B7" s="1571" t="s">
        <v>30</v>
      </c>
      <c r="C7" s="225">
        <f>Data!L20+Data!L22</f>
        <v>677.62738941199996</v>
      </c>
      <c r="D7" s="225">
        <f>Data!M20+Data!M22</f>
        <v>1452.8548620409999</v>
      </c>
      <c r="E7" s="225">
        <f>Data!N20+Data!N22</f>
        <v>1428.479061776</v>
      </c>
      <c r="F7" s="225">
        <f>Data!O20+Data!O22</f>
        <v>2617.4419177200002</v>
      </c>
      <c r="G7" s="225">
        <f>Data!P20+Data!P22</f>
        <v>3472.087285737</v>
      </c>
      <c r="H7" s="226">
        <f>Data!Q20+Data!Q22</f>
        <v>4379.4462120730004</v>
      </c>
      <c r="I7" s="225">
        <f>Data!R20+Data!R22</f>
        <v>5568.6237271370001</v>
      </c>
      <c r="J7" s="225">
        <f>Data!S20+Data!S22</f>
        <v>6708.9781623250001</v>
      </c>
      <c r="K7" s="225">
        <f>Data!T20+Data!T22</f>
        <v>12435.918124268999</v>
      </c>
      <c r="L7" s="225">
        <f>Data!U20+Data!U22</f>
        <v>20730.720735456001</v>
      </c>
      <c r="M7" s="225">
        <f>Data!V20+Data!V22</f>
        <v>13047.234131949999</v>
      </c>
      <c r="N7" s="225">
        <f>Data!W20+Data!W22</f>
        <v>16104.20535801</v>
      </c>
      <c r="O7" s="225">
        <f>Data!X20+Data!X22</f>
        <v>21785.21</v>
      </c>
      <c r="P7" s="225">
        <f>Data!Y20+Data!Y22</f>
        <v>29612.986737439998</v>
      </c>
      <c r="Q7" s="230">
        <f t="shared" ref="Q7:S8" si="0">P7</f>
        <v>29612.986737439998</v>
      </c>
      <c r="R7" s="230">
        <f t="shared" si="0"/>
        <v>29612.986737439998</v>
      </c>
      <c r="S7" s="230">
        <f t="shared" si="0"/>
        <v>29612.986737439998</v>
      </c>
      <c r="T7" s="230"/>
      <c r="U7" s="230"/>
      <c r="V7" s="899">
        <f>M7+833.58</f>
        <v>13880.814131949999</v>
      </c>
      <c r="W7" s="230">
        <f>N7</f>
        <v>16104.20535801</v>
      </c>
      <c r="X7" s="230"/>
      <c r="AA7" s="225"/>
      <c r="AB7" s="225"/>
      <c r="AC7" s="1661"/>
      <c r="AD7" s="598">
        <f>M7/L7-1</f>
        <v>-0.3706328738665049</v>
      </c>
      <c r="AE7" s="598">
        <f>M7/$M$38</f>
        <v>0.25260662431329517</v>
      </c>
    </row>
    <row r="8" spans="1:49" s="1" customFormat="1">
      <c r="B8" s="1572" t="s">
        <v>789</v>
      </c>
      <c r="C8" s="1528">
        <f>Data!L21</f>
        <v>-15.606621754000001</v>
      </c>
      <c r="D8" s="1528">
        <f>Data!M21</f>
        <v>-9.4054971199999997</v>
      </c>
      <c r="E8" s="1528">
        <f>Data!N21</f>
        <v>0</v>
      </c>
      <c r="F8" s="1528">
        <f>Data!O21</f>
        <v>0</v>
      </c>
      <c r="G8" s="1528">
        <f>Data!P21</f>
        <v>0</v>
      </c>
      <c r="H8" s="1529">
        <f>Data!Q21</f>
        <v>0</v>
      </c>
      <c r="I8" s="1528">
        <f>Data!R21</f>
        <v>0</v>
      </c>
      <c r="J8" s="1528">
        <f>Data!S21</f>
        <v>0</v>
      </c>
      <c r="K8" s="1528">
        <f>Data!T21</f>
        <v>0</v>
      </c>
      <c r="L8" s="1528">
        <f>Data!U21</f>
        <v>0</v>
      </c>
      <c r="M8" s="1528">
        <f>Data!V21</f>
        <v>0</v>
      </c>
      <c r="N8" s="1528">
        <f>Data!W21</f>
        <v>0</v>
      </c>
      <c r="O8" s="1528">
        <f>Data!X21</f>
        <v>0</v>
      </c>
      <c r="P8" s="1528">
        <f>Data!Y21</f>
        <v>0</v>
      </c>
      <c r="Q8" s="1534">
        <f t="shared" si="0"/>
        <v>0</v>
      </c>
      <c r="R8" s="1534">
        <f t="shared" si="0"/>
        <v>0</v>
      </c>
      <c r="S8" s="1534">
        <f t="shared" si="0"/>
        <v>0</v>
      </c>
      <c r="T8" s="1534"/>
      <c r="U8" s="1534"/>
      <c r="V8" s="1533">
        <f>M8</f>
        <v>0</v>
      </c>
      <c r="W8" s="1534">
        <f>N8</f>
        <v>0</v>
      </c>
      <c r="X8" s="1534"/>
      <c r="AA8" s="225"/>
      <c r="AB8" s="225"/>
      <c r="AD8" s="598"/>
      <c r="AE8" s="598"/>
    </row>
    <row r="9" spans="1:49">
      <c r="B9" s="1571" t="s">
        <v>31</v>
      </c>
      <c r="C9" s="225">
        <f>Data!L24</f>
        <v>3208.6015840609998</v>
      </c>
      <c r="D9" s="225">
        <f>Data!M24</f>
        <v>3658.2671970169999</v>
      </c>
      <c r="E9" s="225">
        <f>Data!N24</f>
        <v>3919.5426713010002</v>
      </c>
      <c r="F9" s="225">
        <f>Data!O24</f>
        <v>4477.1220789979998</v>
      </c>
      <c r="G9" s="225">
        <f>Data!P24</f>
        <v>4813.6449169010002</v>
      </c>
      <c r="H9" s="226">
        <f>Data!Q24</f>
        <v>5038.3789359169996</v>
      </c>
      <c r="I9" s="225">
        <f>Data!R24</f>
        <v>5561.5458018339996</v>
      </c>
      <c r="J9" s="225">
        <f>Data!S24</f>
        <v>5812.9381123459998</v>
      </c>
      <c r="K9" s="225">
        <f>Data!T24</f>
        <v>5564.3921914909997</v>
      </c>
      <c r="L9" s="225">
        <f>Data!U24</f>
        <v>6211.9565102460001</v>
      </c>
      <c r="M9" s="225">
        <f>Data!V24</f>
        <v>7990.076948983</v>
      </c>
      <c r="N9" s="225">
        <f>Data!W24</f>
        <v>9057.6472069850006</v>
      </c>
      <c r="O9" s="225">
        <f>Data!X24</f>
        <v>10537.02</v>
      </c>
      <c r="P9" s="225">
        <f>Data!Y24</f>
        <v>12733.504688522</v>
      </c>
      <c r="Q9" s="787">
        <f ca="1">Assumptions!Q74*PL!Q9</f>
        <v>9088.4580478478329</v>
      </c>
      <c r="R9" s="787">
        <f ca="1">Assumptions!R74*PL!R9</f>
        <v>10478.934716712332</v>
      </c>
      <c r="S9" s="787">
        <f ca="1">Assumptions!S74*PL!S9</f>
        <v>12162.002498301374</v>
      </c>
      <c r="T9" s="787"/>
      <c r="U9" s="787"/>
      <c r="V9" s="900" t="e">
        <f>Assumptions!AF74*PL!#REF!</f>
        <v>#REF!</v>
      </c>
      <c r="W9" s="787">
        <f>Assumptions!AG74*PL!V9</f>
        <v>9621.6724109589068</v>
      </c>
      <c r="X9" s="787"/>
      <c r="AA9" s="225"/>
      <c r="AB9" s="225"/>
      <c r="AC9" s="1603" t="s">
        <v>1061</v>
      </c>
      <c r="AD9" s="598">
        <f t="shared" ref="AD9:AD14" si="1">M9/L9-1</f>
        <v>0.28624161096494616</v>
      </c>
      <c r="AE9" s="598">
        <f t="shared" ref="AE9:AE14" si="2">M9/$M$38</f>
        <v>0.15469534352446027</v>
      </c>
    </row>
    <row r="10" spans="1:49" s="1" customFormat="1">
      <c r="B10" s="1572" t="s">
        <v>490</v>
      </c>
      <c r="C10" s="1449">
        <f>Data!L30</f>
        <v>-181.02702720600001</v>
      </c>
      <c r="D10" s="1449">
        <f>Data!M30</f>
        <v>-240.27169795200001</v>
      </c>
      <c r="E10" s="1449">
        <f>Data!N30</f>
        <v>-243.083068411</v>
      </c>
      <c r="F10" s="1449">
        <f>Data!O30</f>
        <v>-282.202226182</v>
      </c>
      <c r="G10" s="1449">
        <f>Data!P30</f>
        <v>-142.68823154</v>
      </c>
      <c r="H10" s="1532">
        <f>Data!Q30</f>
        <v>-180.51879738700001</v>
      </c>
      <c r="I10" s="1449">
        <f>Data!R30</f>
        <v>-264.666908906</v>
      </c>
      <c r="J10" s="1449">
        <f>Data!S30</f>
        <v>-361.51561475300002</v>
      </c>
      <c r="K10" s="1449">
        <f>Data!T30</f>
        <v>-622.65478618300006</v>
      </c>
      <c r="L10" s="1449">
        <f>Data!U30</f>
        <v>-529.99596223900005</v>
      </c>
      <c r="M10" s="1449">
        <f>Data!V30</f>
        <v>-699.43602325300003</v>
      </c>
      <c r="N10" s="1449">
        <f>Data!W30</f>
        <v>-912.15664507999998</v>
      </c>
      <c r="O10" s="1449">
        <f>Data!X30</f>
        <v>-619.53</v>
      </c>
      <c r="P10" s="1449">
        <f>Data!Y30</f>
        <v>-586.16674427400005</v>
      </c>
      <c r="Q10" s="1531">
        <f>P10</f>
        <v>-586.16674427400005</v>
      </c>
      <c r="R10" s="1531">
        <f>Q10</f>
        <v>-586.16674427400005</v>
      </c>
      <c r="S10" s="1531">
        <f>R10</f>
        <v>-586.16674427400005</v>
      </c>
      <c r="T10" s="1531"/>
      <c r="U10" s="1531"/>
      <c r="V10" s="1530">
        <v>-747.99099999999999</v>
      </c>
      <c r="W10" s="1531">
        <f>N10</f>
        <v>-912.15664507999998</v>
      </c>
      <c r="X10" s="1531"/>
      <c r="AA10" s="225"/>
      <c r="AB10" s="225"/>
      <c r="AC10" s="1604"/>
      <c r="AD10" s="598">
        <f t="shared" si="1"/>
        <v>0.31970066394126895</v>
      </c>
      <c r="AE10" s="598">
        <f t="shared" si="2"/>
        <v>-1.3541733900857758E-2</v>
      </c>
    </row>
    <row r="11" spans="1:49">
      <c r="B11" s="1571" t="s">
        <v>32</v>
      </c>
      <c r="C11" s="225">
        <f>Data!L33</f>
        <v>2710.301221144</v>
      </c>
      <c r="D11" s="225">
        <f>Data!M33</f>
        <v>3353.8055932389998</v>
      </c>
      <c r="E11" s="225">
        <f>Data!N33</f>
        <v>4652.3332449830004</v>
      </c>
      <c r="F11" s="225">
        <f>Data!O33</f>
        <v>5332.0316543620002</v>
      </c>
      <c r="G11" s="225">
        <f>Data!P33</f>
        <v>4617.0301395160004</v>
      </c>
      <c r="H11" s="226">
        <f>Data!Q33</f>
        <v>1024.0439525229999</v>
      </c>
      <c r="I11" s="225">
        <f>Data!R33</f>
        <v>1401.3026663779999</v>
      </c>
      <c r="J11" s="225">
        <f>Data!S33</f>
        <v>1349.9589013929999</v>
      </c>
      <c r="K11" s="225">
        <f>Data!T33</f>
        <v>1405.083502315</v>
      </c>
      <c r="L11" s="225">
        <f>Data!U33</f>
        <v>1623.315328554</v>
      </c>
      <c r="M11" s="225">
        <f>Data!V33</f>
        <v>2121.1180395619999</v>
      </c>
      <c r="N11" s="225">
        <f>Data!W33</f>
        <v>1724.956924671</v>
      </c>
      <c r="O11" s="225">
        <f>Data!X33</f>
        <v>1990.22</v>
      </c>
      <c r="P11" s="225">
        <f>Data!Y33</f>
        <v>2250.812490757</v>
      </c>
      <c r="Q11" s="787">
        <f ca="1">PL!Q11*Assumptions!Q72</f>
        <v>1740.5616251909851</v>
      </c>
      <c r="R11" s="787">
        <f ca="1">PL!R11*Assumptions!R72</f>
        <v>2033.8712465456365</v>
      </c>
      <c r="S11" s="787">
        <f ca="1">PL!S11*Assumptions!S72</f>
        <v>2373.4324192760319</v>
      </c>
      <c r="T11" s="787"/>
      <c r="U11" s="787"/>
      <c r="V11" s="900" t="e">
        <f>PL!#REF!*Assumptions!AF72</f>
        <v>#REF!</v>
      </c>
      <c r="W11" s="787">
        <f>PL!V11*Assumptions!AG72</f>
        <v>2674.1196563843832</v>
      </c>
      <c r="X11" s="787"/>
      <c r="AA11" s="225"/>
      <c r="AB11" s="225"/>
      <c r="AC11" s="1603" t="s">
        <v>1061</v>
      </c>
      <c r="AD11" s="598">
        <f t="shared" si="1"/>
        <v>0.30665804865615831</v>
      </c>
      <c r="AE11" s="598">
        <f t="shared" si="2"/>
        <v>4.106682399695015E-2</v>
      </c>
    </row>
    <row r="12" spans="1:49" s="1" customFormat="1">
      <c r="B12" s="1572" t="s">
        <v>699</v>
      </c>
      <c r="C12" s="1528">
        <f>Data!L34</f>
        <v>-10.792414492000001</v>
      </c>
      <c r="D12" s="1528">
        <f>Data!M34</f>
        <v>-24.924631429000002</v>
      </c>
      <c r="E12" s="1528">
        <f>Data!N34</f>
        <v>-79.697060843000003</v>
      </c>
      <c r="F12" s="1528">
        <f>Data!O34</f>
        <v>-63.932037141999999</v>
      </c>
      <c r="G12" s="1528">
        <f>Data!P34</f>
        <v>-63.221663567</v>
      </c>
      <c r="H12" s="1529">
        <f>Data!Q34</f>
        <v>-3.831528933</v>
      </c>
      <c r="I12" s="1528">
        <f>Data!R34</f>
        <v>-60.615450031000002</v>
      </c>
      <c r="J12" s="1528">
        <f>Data!S34</f>
        <v>-65.758167450000002</v>
      </c>
      <c r="K12" s="1528">
        <f>Data!T34</f>
        <v>-114.991977963</v>
      </c>
      <c r="L12" s="1528">
        <f>Data!U34</f>
        <v>-115.972426935</v>
      </c>
      <c r="M12" s="1528">
        <f>Data!V34</f>
        <v>-155.330302999</v>
      </c>
      <c r="N12" s="1528">
        <f>Data!W34</f>
        <v>-131.545849438</v>
      </c>
      <c r="O12" s="1528">
        <f>Data!X34</f>
        <v>-133.47</v>
      </c>
      <c r="P12" s="1528">
        <f>Data!Y34</f>
        <v>-83.623807838000005</v>
      </c>
      <c r="Q12" s="1531">
        <f>P12</f>
        <v>-83.623807838000005</v>
      </c>
      <c r="R12" s="1531">
        <f>Q12</f>
        <v>-83.623807838000005</v>
      </c>
      <c r="S12" s="1531">
        <f>R12</f>
        <v>-83.623807838000005</v>
      </c>
      <c r="T12" s="1531"/>
      <c r="U12" s="1531"/>
      <c r="V12" s="1530">
        <v>-150.958</v>
      </c>
      <c r="W12" s="1531">
        <f>N12</f>
        <v>-131.545849438</v>
      </c>
      <c r="X12" s="1531"/>
      <c r="AA12" s="225"/>
      <c r="AB12" s="225"/>
      <c r="AC12" s="1604"/>
      <c r="AD12" s="1003">
        <f t="shared" si="1"/>
        <v>0.33937270353115245</v>
      </c>
      <c r="AE12" s="1003">
        <f t="shared" si="2"/>
        <v>-3.0073395707718772E-3</v>
      </c>
    </row>
    <row r="13" spans="1:49">
      <c r="B13" s="1570" t="s">
        <v>33</v>
      </c>
      <c r="C13" s="225">
        <f>SUM(Data!L25:L29,Data!L31,Data!L35)</f>
        <v>1521.451057947</v>
      </c>
      <c r="D13" s="225">
        <f>SUM(Data!M25:M29,Data!M31,Data!M35)</f>
        <v>1966.9465025949999</v>
      </c>
      <c r="E13" s="225">
        <f>SUM(Data!N25:N29,Data!N31,Data!N35)</f>
        <v>2695.299754741</v>
      </c>
      <c r="F13" s="225">
        <f>SUM(Data!O25:O29,Data!O31,Data!O35)</f>
        <v>3293.8385965799998</v>
      </c>
      <c r="G13" s="225">
        <f>SUM(Data!P25:P29,Data!P31,Data!P35)</f>
        <v>3198.4491206020002</v>
      </c>
      <c r="H13" s="226">
        <f>SUM(Data!Q25:Q29,Data!Q31,Data!Q35)</f>
        <v>2321.759531664</v>
      </c>
      <c r="I13" s="225">
        <f>SUM(Data!R25:R29,Data!R31,Data!R35)</f>
        <v>2274.1701833360003</v>
      </c>
      <c r="J13" s="225">
        <f>SUM(Data!S25:S29,Data!S31,Data!S35)</f>
        <v>2081.1861174999999</v>
      </c>
      <c r="K13" s="225">
        <f>SUM(Data!T25:T29,Data!T31,Data!T35)</f>
        <v>1911.994628509</v>
      </c>
      <c r="L13" s="225">
        <f>SUM(Data!U25:U29,Data!U31,Data!U35)</f>
        <v>1780.5034225220002</v>
      </c>
      <c r="M13" s="225">
        <f>SUM(Data!V25:V29,Data!V31,Data!V35)</f>
        <v>2193.8711075760002</v>
      </c>
      <c r="N13" s="225">
        <f>SUM(Data!W25:W29,Data!W31,Data!W35)</f>
        <v>2583.4880735070001</v>
      </c>
      <c r="O13" s="225">
        <f>SUM(Data!X25:X29,Data!X31,Data!X35)</f>
        <v>2661.05</v>
      </c>
      <c r="P13" s="225">
        <f>SUM(Data!Y25:Y29,Data!Y31,Data!Y35)</f>
        <v>3635.2757360920004</v>
      </c>
      <c r="Q13" s="224">
        <f ca="1">P13/PL!P9*PL!Q9</f>
        <v>2961.4728230007631</v>
      </c>
      <c r="R13" s="224">
        <f ca="1">Q13/PL!Q9*PL!R9</f>
        <v>3414.5594570788026</v>
      </c>
      <c r="S13" s="224">
        <f ca="1">R13/PL!R9*PL!S9</f>
        <v>3962.9868655790201</v>
      </c>
      <c r="T13" s="224"/>
      <c r="U13" s="224"/>
      <c r="V13" s="898" t="e">
        <f>M13/PL!M9*PL!#REF!</f>
        <v>#REF!</v>
      </c>
      <c r="W13" s="224" t="e">
        <f>N13/PL!#REF!*PL!V9</f>
        <v>#REF!</v>
      </c>
      <c r="X13" s="224"/>
      <c r="AA13" s="225"/>
      <c r="AB13" s="225"/>
      <c r="AC13" s="1605"/>
      <c r="AD13" s="1003">
        <f t="shared" si="1"/>
        <v>0.23216337572015666</v>
      </c>
      <c r="AE13" s="1003">
        <f t="shared" si="2"/>
        <v>4.2475391263666736E-2</v>
      </c>
      <c r="AF13" s="37"/>
    </row>
    <row r="14" spans="1:49">
      <c r="B14" s="415" t="s">
        <v>34</v>
      </c>
      <c r="C14" s="228">
        <f>SUM(C6:C13)</f>
        <v>10229.470211202002</v>
      </c>
      <c r="D14" s="228">
        <f t="shared" ref="D14:M14" si="3">SUM(D6:D13)</f>
        <v>12908.243472405999</v>
      </c>
      <c r="E14" s="228">
        <f t="shared" si="3"/>
        <v>16709.157051316</v>
      </c>
      <c r="F14" s="228">
        <f t="shared" si="3"/>
        <v>18959.009136105</v>
      </c>
      <c r="G14" s="228">
        <f t="shared" si="3"/>
        <v>21908.662957422996</v>
      </c>
      <c r="H14" s="229">
        <f t="shared" si="3"/>
        <v>16059.937820644998</v>
      </c>
      <c r="I14" s="228">
        <f t="shared" si="3"/>
        <v>18406.087226041</v>
      </c>
      <c r="J14" s="228">
        <f t="shared" si="3"/>
        <v>18979.176128930001</v>
      </c>
      <c r="K14" s="228">
        <f t="shared" si="3"/>
        <v>25265.933056475998</v>
      </c>
      <c r="L14" s="228">
        <f t="shared" si="3"/>
        <v>35118.372900846007</v>
      </c>
      <c r="M14" s="228">
        <f t="shared" si="3"/>
        <v>30937.711076140997</v>
      </c>
      <c r="N14" s="228">
        <f t="shared" ref="N14:O14" si="4">SUM(N6:N13)</f>
        <v>36705.751751876</v>
      </c>
      <c r="O14" s="228">
        <f t="shared" si="4"/>
        <v>45535.94</v>
      </c>
      <c r="P14" s="228">
        <f t="shared" ref="P14" si="5">SUM(P6:P13)</f>
        <v>58102.970741619007</v>
      </c>
      <c r="Q14" s="228">
        <f ca="1">SUM(Q6:Q13)</f>
        <v>60543.796756577503</v>
      </c>
      <c r="R14" s="228">
        <f ca="1">SUM(R6:R13)</f>
        <v>65227.135114528246</v>
      </c>
      <c r="S14" s="228">
        <f ca="1">SUM(S6:S13)</f>
        <v>70001.695701355464</v>
      </c>
      <c r="T14" s="228"/>
      <c r="U14" s="228"/>
      <c r="V14" s="903" t="e">
        <f>SUM(V6:V13)</f>
        <v>#REF!</v>
      </c>
      <c r="W14" s="228" t="e">
        <f>SUM(W6:W13)</f>
        <v>#REF!</v>
      </c>
      <c r="X14" s="228"/>
      <c r="AA14" s="225"/>
      <c r="AB14" s="225"/>
      <c r="AC14" s="1606"/>
      <c r="AD14" s="1238">
        <f t="shared" si="1"/>
        <v>-0.11904486111895851</v>
      </c>
      <c r="AE14" s="1238">
        <f t="shared" si="2"/>
        <v>0.5989829476414863</v>
      </c>
      <c r="AF14" s="228"/>
      <c r="AG14" s="37"/>
    </row>
    <row r="15" spans="1:49">
      <c r="B15" s="391"/>
      <c r="H15" s="223"/>
      <c r="Q15" s="225"/>
      <c r="R15" s="225"/>
      <c r="S15" s="225"/>
      <c r="T15" s="225"/>
      <c r="U15" s="225"/>
      <c r="V15" s="901"/>
      <c r="W15" s="225"/>
      <c r="X15" s="225"/>
      <c r="AA15" s="225"/>
      <c r="AB15" s="225"/>
      <c r="AC15" s="1603"/>
      <c r="AD15" s="1003"/>
      <c r="AE15" s="1003"/>
    </row>
    <row r="16" spans="1:49" s="34" customFormat="1">
      <c r="A16" s="1"/>
      <c r="B16" s="1573" t="s">
        <v>37</v>
      </c>
      <c r="C16" s="1054">
        <f>C17+C18</f>
        <v>1806.9097975929999</v>
      </c>
      <c r="D16" s="1054">
        <f t="shared" ref="D16:M16" si="6">D17+D18</f>
        <v>2263.5869936029994</v>
      </c>
      <c r="E16" s="1054">
        <f t="shared" si="6"/>
        <v>2998.0023417289995</v>
      </c>
      <c r="F16" s="1054">
        <f t="shared" si="6"/>
        <v>3971.4021193419999</v>
      </c>
      <c r="G16" s="1054">
        <f t="shared" si="6"/>
        <v>4131.2985884259997</v>
      </c>
      <c r="H16" s="1055">
        <f t="shared" si="6"/>
        <v>4585.4930593129993</v>
      </c>
      <c r="I16" s="1054">
        <f t="shared" si="6"/>
        <v>5207.1259501060003</v>
      </c>
      <c r="J16" s="1054">
        <f t="shared" si="6"/>
        <v>6295.2618462099999</v>
      </c>
      <c r="K16" s="1054">
        <f t="shared" si="6"/>
        <v>7219.5516257649997</v>
      </c>
      <c r="L16" s="1054">
        <f t="shared" si="6"/>
        <v>9260.9346990630002</v>
      </c>
      <c r="M16" s="1054">
        <f t="shared" si="6"/>
        <v>10714.231138519999</v>
      </c>
      <c r="N16" s="1054">
        <f t="shared" ref="N16:O16" si="7">N17+N18</f>
        <v>12382.116875248999</v>
      </c>
      <c r="O16" s="1054">
        <f t="shared" si="7"/>
        <v>12774.56</v>
      </c>
      <c r="P16" s="1054">
        <f t="shared" ref="P16" si="8">P17+P18</f>
        <v>15385.816846287002</v>
      </c>
      <c r="Q16" s="1054">
        <f ca="1">Q17+Q18</f>
        <v>12430.373453873352</v>
      </c>
      <c r="R16" s="1054">
        <f ca="1">R17+R18</f>
        <v>11351.649941593918</v>
      </c>
      <c r="S16" s="1054">
        <f ca="1">S17+S18</f>
        <v>7969.9679404782182</v>
      </c>
      <c r="T16" s="1054"/>
      <c r="U16" s="1054"/>
      <c r="V16" s="1053" t="e">
        <f>V17+V18</f>
        <v>#REF!</v>
      </c>
      <c r="W16" s="1054">
        <f>W17+W18</f>
        <v>13972.330495724827</v>
      </c>
      <c r="X16" s="1054"/>
      <c r="AA16" s="225"/>
      <c r="AB16" s="225"/>
      <c r="AC16" s="1604"/>
      <c r="AD16" s="1238">
        <f t="shared" ref="AD16:AD25" si="9">M16/L16-1</f>
        <v>0.15692761980105963</v>
      </c>
      <c r="AE16" s="1238">
        <f t="shared" ref="AE16:AE36" si="10">M16/$M$38</f>
        <v>0.20743750994598173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>
      <c r="B17" s="1574" t="s">
        <v>35</v>
      </c>
      <c r="C17" s="694">
        <f>Data!L52</f>
        <v>3396.114230189</v>
      </c>
      <c r="D17" s="694">
        <f>Data!M52</f>
        <v>4132.4220503349998</v>
      </c>
      <c r="E17" s="694">
        <f>Data!N52</f>
        <v>5352.5329536789995</v>
      </c>
      <c r="F17" s="694">
        <f>Data!O52</f>
        <v>6937.0723764149998</v>
      </c>
      <c r="G17" s="694">
        <f>Data!P52</f>
        <v>7932.0272986769996</v>
      </c>
      <c r="H17" s="1102">
        <f>Data!Q52</f>
        <v>8260.1735871439996</v>
      </c>
      <c r="I17" s="694">
        <f>Data!R52</f>
        <v>9471.9841476090005</v>
      </c>
      <c r="J17" s="694">
        <f>Data!S52</f>
        <v>11301.061772211</v>
      </c>
      <c r="K17" s="694">
        <f>Data!T52</f>
        <v>12945.570337274999</v>
      </c>
      <c r="L17" s="694">
        <f>Data!U52</f>
        <v>16080.827716168</v>
      </c>
      <c r="M17" s="694">
        <f>Data!V52</f>
        <v>19007.982397112999</v>
      </c>
      <c r="N17" s="694">
        <f>Data!W52</f>
        <v>22288.96227819</v>
      </c>
      <c r="O17" s="694">
        <f>Data!X52</f>
        <v>24457.73</v>
      </c>
      <c r="P17" s="694">
        <f>Data!Y52</f>
        <v>29148.692599137001</v>
      </c>
      <c r="Q17" s="373">
        <f ca="1">BS!Q219</f>
        <v>28800.984684486404</v>
      </c>
      <c r="R17" s="373">
        <f ca="1">BS!R219</f>
        <v>30323.749475234697</v>
      </c>
      <c r="S17" s="373">
        <f ca="1">BS!S219</f>
        <v>29577.732689361219</v>
      </c>
      <c r="T17" s="373"/>
      <c r="U17" s="373"/>
      <c r="V17" s="902" t="e">
        <f>BS!V219</f>
        <v>#REF!</v>
      </c>
      <c r="W17" s="373">
        <f>BS!Y219</f>
        <v>26054.637906999349</v>
      </c>
      <c r="X17" s="373"/>
      <c r="AA17" s="225"/>
      <c r="AB17" s="225"/>
      <c r="AC17" s="1603"/>
      <c r="AD17" s="1003">
        <f t="shared" si="9"/>
        <v>0.18202761279520319</v>
      </c>
      <c r="AE17" s="1003">
        <f t="shared" si="10"/>
        <v>0.36801227139652987</v>
      </c>
    </row>
    <row r="18" spans="1:49">
      <c r="B18" s="1574" t="s">
        <v>484</v>
      </c>
      <c r="C18" s="696">
        <f>Data!L53</f>
        <v>-1589.2044325960001</v>
      </c>
      <c r="D18" s="696">
        <f>Data!M53</f>
        <v>-1868.8350567320001</v>
      </c>
      <c r="E18" s="696">
        <f>Data!N53</f>
        <v>-2354.5306119500001</v>
      </c>
      <c r="F18" s="696">
        <f>Data!O53</f>
        <v>-2965.6702570729999</v>
      </c>
      <c r="G18" s="696">
        <f>Data!P53</f>
        <v>-3800.7287102509999</v>
      </c>
      <c r="H18" s="745">
        <f>Data!Q53</f>
        <v>-3674.6805278309998</v>
      </c>
      <c r="I18" s="696">
        <f>Data!R53</f>
        <v>-4264.8581975030002</v>
      </c>
      <c r="J18" s="696">
        <f>Data!S53</f>
        <v>-5005.7999260010001</v>
      </c>
      <c r="K18" s="696">
        <f>Data!T53</f>
        <v>-5726.0187115099998</v>
      </c>
      <c r="L18" s="696">
        <f>Data!U53</f>
        <v>-6819.8930171049997</v>
      </c>
      <c r="M18" s="696">
        <f>Data!V53</f>
        <v>-8293.7512585929999</v>
      </c>
      <c r="N18" s="696">
        <f>Data!W53</f>
        <v>-9906.8454029410004</v>
      </c>
      <c r="O18" s="696">
        <f>Data!X53</f>
        <v>-11683.17</v>
      </c>
      <c r="P18" s="696">
        <f>Data!Y53</f>
        <v>-13762.875752849999</v>
      </c>
      <c r="Q18" s="374">
        <f ca="1">BS!Q220</f>
        <v>-16370.611230613053</v>
      </c>
      <c r="R18" s="374">
        <f ca="1">BS!R220</f>
        <v>-18972.09953364078</v>
      </c>
      <c r="S18" s="374">
        <f ca="1">BS!S220</f>
        <v>-21607.764748883001</v>
      </c>
      <c r="T18" s="374"/>
      <c r="U18" s="374"/>
      <c r="V18" s="708" t="e">
        <f>BS!V220</f>
        <v>#REF!</v>
      </c>
      <c r="W18" s="374">
        <f>BS!Y220</f>
        <v>-12082.307411274522</v>
      </c>
      <c r="X18" s="374"/>
      <c r="AA18" s="225"/>
      <c r="AB18" s="225"/>
      <c r="AC18" s="1603"/>
      <c r="AD18" s="1003">
        <f t="shared" si="9"/>
        <v>0.21611163661825938</v>
      </c>
      <c r="AE18" s="1003">
        <f t="shared" si="10"/>
        <v>-0.16057476145054816</v>
      </c>
    </row>
    <row r="19" spans="1:49" s="34" customFormat="1">
      <c r="A19" s="1"/>
      <c r="B19" s="1573" t="s">
        <v>38</v>
      </c>
      <c r="C19" s="1054">
        <f>C20+C21</f>
        <v>269.10980011899994</v>
      </c>
      <c r="D19" s="1054">
        <f t="shared" ref="D19:M19" si="11">D20+D21</f>
        <v>272.62771003800003</v>
      </c>
      <c r="E19" s="1054">
        <f t="shared" si="11"/>
        <v>301.80373073500004</v>
      </c>
      <c r="F19" s="1054">
        <f t="shared" si="11"/>
        <v>319.11401481000007</v>
      </c>
      <c r="G19" s="1054">
        <f t="shared" si="11"/>
        <v>456.22088814900002</v>
      </c>
      <c r="H19" s="1055">
        <f t="shared" si="11"/>
        <v>658.13584597400006</v>
      </c>
      <c r="I19" s="1054">
        <f t="shared" si="11"/>
        <v>1303.5850347549999</v>
      </c>
      <c r="J19" s="1054">
        <f t="shared" si="11"/>
        <v>1194.0610220620001</v>
      </c>
      <c r="K19" s="1054">
        <f t="shared" si="11"/>
        <v>1095.369004232</v>
      </c>
      <c r="L19" s="1054">
        <f t="shared" si="11"/>
        <v>1133.0600578470001</v>
      </c>
      <c r="M19" s="1054">
        <f t="shared" si="11"/>
        <v>1287.0601899539997</v>
      </c>
      <c r="N19" s="1054">
        <f t="shared" ref="N19:O19" si="12">N20+N21</f>
        <v>1257.0971414329999</v>
      </c>
      <c r="O19" s="1054">
        <f t="shared" si="12"/>
        <v>2039.5200000000002</v>
      </c>
      <c r="P19" s="1054">
        <f t="shared" ref="P19" si="13">P20+P21</f>
        <v>1942.9395476930001</v>
      </c>
      <c r="Q19" s="1057">
        <f>Q20+Q21</f>
        <v>1843.6307281423426</v>
      </c>
      <c r="R19" s="1057">
        <f>R20+R21</f>
        <v>1744.3219085916853</v>
      </c>
      <c r="S19" s="1057">
        <f>S20+S21</f>
        <v>1645.0130890410278</v>
      </c>
      <c r="T19" s="1057"/>
      <c r="U19" s="1057"/>
      <c r="V19" s="1056" t="e">
        <f>V20+V21</f>
        <v>#REF!</v>
      </c>
      <c r="W19" s="1057">
        <f>W20+W21</f>
        <v>1226.8561989033733</v>
      </c>
      <c r="X19" s="1057"/>
      <c r="AA19" s="225"/>
      <c r="AB19" s="225"/>
      <c r="AC19" s="1604"/>
      <c r="AD19" s="1238">
        <f t="shared" si="9"/>
        <v>0.13591524212725781</v>
      </c>
      <c r="AE19" s="1238">
        <f t="shared" si="10"/>
        <v>2.4918685951695795E-2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>
      <c r="B20" s="1574" t="s">
        <v>35</v>
      </c>
      <c r="C20" s="694">
        <f>Data!L58</f>
        <v>432.86681857399998</v>
      </c>
      <c r="D20" s="694">
        <f>Data!M58</f>
        <v>480.19102873100002</v>
      </c>
      <c r="E20" s="694">
        <f>Data!N58</f>
        <v>529.38756002000002</v>
      </c>
      <c r="F20" s="694">
        <f>Data!O58</f>
        <v>610.34510573600005</v>
      </c>
      <c r="G20" s="694">
        <f>Data!P58</f>
        <v>821.22795662600004</v>
      </c>
      <c r="H20" s="1102">
        <f>Data!Q58</f>
        <v>1117.4193855660001</v>
      </c>
      <c r="I20" s="694">
        <f>Data!R58</f>
        <v>1915.362421263</v>
      </c>
      <c r="J20" s="694">
        <f>Data!S58</f>
        <v>1973.814359687</v>
      </c>
      <c r="K20" s="694">
        <f>Data!T58</f>
        <v>2036.967631495</v>
      </c>
      <c r="L20" s="694">
        <f>Data!U58</f>
        <v>2249.1066470109999</v>
      </c>
      <c r="M20" s="694">
        <f>Data!V58</f>
        <v>2547.8833247849998</v>
      </c>
      <c r="N20" s="694">
        <f>Data!W58</f>
        <v>2595.5867322469999</v>
      </c>
      <c r="O20" s="694">
        <f>Data!X58</f>
        <v>3656.3</v>
      </c>
      <c r="P20" s="694">
        <f>Data!Y58</f>
        <v>3868.884070908</v>
      </c>
      <c r="Q20" s="233">
        <f>BS!Q222</f>
        <v>3868.884070908</v>
      </c>
      <c r="R20" s="233">
        <f>BS!R222</f>
        <v>3868.884070908</v>
      </c>
      <c r="S20" s="233">
        <f>BS!S222</f>
        <v>3868.884070908</v>
      </c>
      <c r="T20" s="233"/>
      <c r="U20" s="233"/>
      <c r="V20" s="904" t="e">
        <f>BS!V222</f>
        <v>#REF!</v>
      </c>
      <c r="W20" s="233">
        <f>BS!Y222</f>
        <v>2595.5867322469999</v>
      </c>
      <c r="X20" s="233"/>
      <c r="AA20" s="225"/>
      <c r="AB20" s="225"/>
      <c r="AC20" s="1603"/>
      <c r="AD20" s="1003">
        <f t="shared" si="9"/>
        <v>0.13284237907129293</v>
      </c>
      <c r="AE20" s="1003">
        <f t="shared" si="10"/>
        <v>4.9329398040156236E-2</v>
      </c>
    </row>
    <row r="21" spans="1:49">
      <c r="B21" s="1574" t="s">
        <v>485</v>
      </c>
      <c r="C21" s="696">
        <f>Data!L59</f>
        <v>-163.75701845500001</v>
      </c>
      <c r="D21" s="696">
        <f>Data!M59</f>
        <v>-207.56331869300001</v>
      </c>
      <c r="E21" s="696">
        <f>Data!N59</f>
        <v>-227.58382928500001</v>
      </c>
      <c r="F21" s="696">
        <f>Data!O59</f>
        <v>-291.23109092599998</v>
      </c>
      <c r="G21" s="696">
        <f>Data!P59</f>
        <v>-365.00706847700002</v>
      </c>
      <c r="H21" s="745">
        <f>Data!Q59</f>
        <v>-459.28353959200001</v>
      </c>
      <c r="I21" s="696">
        <f>Data!R59</f>
        <v>-611.77738650799995</v>
      </c>
      <c r="J21" s="696">
        <f>Data!S59</f>
        <v>-779.75333762499997</v>
      </c>
      <c r="K21" s="696">
        <f>Data!T59</f>
        <v>-941.59862726300003</v>
      </c>
      <c r="L21" s="696">
        <f>Data!U59</f>
        <v>-1116.0465891639999</v>
      </c>
      <c r="M21" s="696">
        <f>Data!V59</f>
        <v>-1260.8231348310001</v>
      </c>
      <c r="N21" s="696">
        <f>Data!W59</f>
        <v>-1338.4895908139999</v>
      </c>
      <c r="O21" s="696">
        <f>Data!X59</f>
        <v>-1616.78</v>
      </c>
      <c r="P21" s="696">
        <f>Data!Y59</f>
        <v>-1925.9445232149999</v>
      </c>
      <c r="Q21" s="741">
        <f>BS!Q223</f>
        <v>-2025.2533427656574</v>
      </c>
      <c r="R21" s="741">
        <f>BS!R223</f>
        <v>-2124.5621623163147</v>
      </c>
      <c r="S21" s="741">
        <f>BS!S223</f>
        <v>-2223.8709818669722</v>
      </c>
      <c r="T21" s="741"/>
      <c r="U21" s="741"/>
      <c r="V21" s="778" t="e">
        <f>BS!V223</f>
        <v>#REF!</v>
      </c>
      <c r="W21" s="741">
        <f>BS!Y223</f>
        <v>-1368.7305333436266</v>
      </c>
      <c r="X21" s="741"/>
      <c r="AA21" s="225"/>
      <c r="AB21" s="225"/>
      <c r="AC21" s="1603"/>
      <c r="AD21" s="1003">
        <f t="shared" si="9"/>
        <v>0.12972267203956811</v>
      </c>
      <c r="AE21" s="1003">
        <f t="shared" si="10"/>
        <v>-2.4410712088460441E-2</v>
      </c>
    </row>
    <row r="22" spans="1:49">
      <c r="B22" s="1570"/>
      <c r="C22" s="224"/>
      <c r="D22" s="224"/>
      <c r="E22" s="224"/>
      <c r="F22" s="224"/>
      <c r="G22" s="224"/>
      <c r="H22" s="227"/>
      <c r="I22" s="224"/>
      <c r="J22" s="224"/>
      <c r="K22" s="224"/>
      <c r="L22" s="224"/>
      <c r="M22" s="224"/>
      <c r="N22" s="224"/>
      <c r="O22" s="224"/>
      <c r="P22" s="224"/>
      <c r="Q22" s="232"/>
      <c r="R22" s="232"/>
      <c r="S22" s="232"/>
      <c r="T22" s="232"/>
      <c r="U22" s="232"/>
      <c r="V22" s="905"/>
      <c r="W22" s="232"/>
      <c r="X22" s="232"/>
      <c r="AA22" s="225"/>
      <c r="AB22" s="225"/>
      <c r="AC22" s="1603"/>
      <c r="AD22" s="1003" t="e">
        <f t="shared" si="9"/>
        <v>#DIV/0!</v>
      </c>
      <c r="AE22" s="1003">
        <f t="shared" si="10"/>
        <v>0</v>
      </c>
    </row>
    <row r="23" spans="1:49" s="1061" customFormat="1">
      <c r="A23" s="6"/>
      <c r="B23" s="1573" t="s">
        <v>486</v>
      </c>
      <c r="C23" s="1059">
        <f>C24+C25</f>
        <v>0.64597339799999998</v>
      </c>
      <c r="D23" s="1059">
        <f t="shared" ref="D23:M23" si="14">D24+D25</f>
        <v>0.54587002899999992</v>
      </c>
      <c r="E23" s="1059">
        <f t="shared" si="14"/>
        <v>0.74044147500000002</v>
      </c>
      <c r="F23" s="1059">
        <f t="shared" si="14"/>
        <v>1.7370039269999999</v>
      </c>
      <c r="G23" s="1059">
        <f t="shared" si="14"/>
        <v>2.4637166930000003</v>
      </c>
      <c r="H23" s="1060">
        <f t="shared" si="14"/>
        <v>3.6561164140000004</v>
      </c>
      <c r="I23" s="1059">
        <f t="shared" si="14"/>
        <v>3.0245933970000003</v>
      </c>
      <c r="J23" s="1059">
        <f t="shared" si="14"/>
        <v>2.8450858160000001</v>
      </c>
      <c r="K23" s="1059">
        <f t="shared" si="14"/>
        <v>2.9020776169999998</v>
      </c>
      <c r="L23" s="1059">
        <f t="shared" si="14"/>
        <v>4.842789874000001</v>
      </c>
      <c r="M23" s="1059">
        <f t="shared" si="14"/>
        <v>31.623636433000001</v>
      </c>
      <c r="N23" s="1059">
        <f t="shared" ref="N23:O23" si="15">N24+N25</f>
        <v>4.0186331509999995</v>
      </c>
      <c r="O23" s="1059">
        <f t="shared" si="15"/>
        <v>2.0499999999999998</v>
      </c>
      <c r="P23" s="1059">
        <f t="shared" ref="P23" si="16">P24+P25</f>
        <v>1.277212606</v>
      </c>
      <c r="Q23" s="1059">
        <f>Q24+Q25</f>
        <v>9.4647997860000004</v>
      </c>
      <c r="R23" s="1059">
        <f>R24+R25</f>
        <v>9.4647997860000004</v>
      </c>
      <c r="S23" s="1059">
        <f>S24+S25</f>
        <v>9.4647997860000004</v>
      </c>
      <c r="T23" s="1059"/>
      <c r="U23" s="1059"/>
      <c r="V23" s="1058" t="e">
        <f>V24+V25</f>
        <v>#REF!</v>
      </c>
      <c r="W23" s="1059">
        <f>W24+W25</f>
        <v>12.046297512999999</v>
      </c>
      <c r="X23" s="1059"/>
      <c r="AA23" s="225"/>
      <c r="AB23" s="225"/>
      <c r="AC23" s="1603"/>
      <c r="AD23" s="1003">
        <f t="shared" si="9"/>
        <v>5.5300451301389657</v>
      </c>
      <c r="AE23" s="1003">
        <f t="shared" si="10"/>
        <v>6.1226310243711038E-4</v>
      </c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</row>
    <row r="24" spans="1:49">
      <c r="B24" s="1574" t="s">
        <v>35</v>
      </c>
      <c r="C24" s="694">
        <f>Data!L55</f>
        <v>1.172124293</v>
      </c>
      <c r="D24" s="694">
        <f>Data!M55</f>
        <v>0.79446080799999996</v>
      </c>
      <c r="E24" s="694">
        <f>Data!N55</f>
        <v>0.95894619199999998</v>
      </c>
      <c r="F24" s="694">
        <f>Data!O55</f>
        <v>2.400601505</v>
      </c>
      <c r="G24" s="694">
        <f>Data!P55</f>
        <v>3.4465069430000002</v>
      </c>
      <c r="H24" s="1102">
        <f>Data!Q55</f>
        <v>4.7024264430000002</v>
      </c>
      <c r="I24" s="694">
        <f>Data!R55</f>
        <v>5.2085428030000003</v>
      </c>
      <c r="J24" s="694">
        <f>Data!S55</f>
        <v>6.057653223</v>
      </c>
      <c r="K24" s="694">
        <f>Data!T55</f>
        <v>6.0314452709999999</v>
      </c>
      <c r="L24" s="694">
        <f>Data!U55</f>
        <v>8.0028916070000005</v>
      </c>
      <c r="M24" s="694">
        <f>Data!V55</f>
        <v>54.439419528000002</v>
      </c>
      <c r="N24" s="694">
        <f>Data!W55</f>
        <v>8.0324653319999992</v>
      </c>
      <c r="O24" s="694">
        <f>Data!X55</f>
        <v>5.72</v>
      </c>
      <c r="P24" s="694">
        <f>Data!Y55</f>
        <v>5.8710061959999997</v>
      </c>
      <c r="Q24" s="376">
        <f>BS!Q225</f>
        <v>4.8710061959999997</v>
      </c>
      <c r="R24" s="376">
        <f>BS!R225</f>
        <v>4.8710061959999997</v>
      </c>
      <c r="S24" s="376">
        <f>BS!S225</f>
        <v>4.8710061959999997</v>
      </c>
      <c r="T24" s="376"/>
      <c r="U24" s="376"/>
      <c r="V24" s="906" t="e">
        <f>BS!V225</f>
        <v>#REF!</v>
      </c>
      <c r="W24" s="376">
        <f>BS!Y225</f>
        <v>8.0324653319999992</v>
      </c>
      <c r="X24" s="376"/>
      <c r="AA24" s="225"/>
      <c r="AB24" s="225"/>
      <c r="AC24" s="1603"/>
      <c r="AD24" s="1003">
        <f t="shared" si="9"/>
        <v>5.8024686827424627</v>
      </c>
      <c r="AE24" s="1003">
        <f t="shared" si="10"/>
        <v>1.0539979475702155E-3</v>
      </c>
    </row>
    <row r="25" spans="1:49">
      <c r="B25" s="1574" t="s">
        <v>484</v>
      </c>
      <c r="C25" s="694">
        <f>Data!L56</f>
        <v>-0.52615089500000001</v>
      </c>
      <c r="D25" s="694">
        <f>Data!M56</f>
        <v>-0.24859077900000001</v>
      </c>
      <c r="E25" s="694">
        <f>Data!N56</f>
        <v>-0.21850471699999999</v>
      </c>
      <c r="F25" s="694">
        <f>Data!O56</f>
        <v>-0.66359757799999997</v>
      </c>
      <c r="G25" s="694">
        <f>Data!P56</f>
        <v>-0.98279024999999998</v>
      </c>
      <c r="H25" s="1102">
        <f>Data!Q56</f>
        <v>-1.046310029</v>
      </c>
      <c r="I25" s="696">
        <f>Data!R56</f>
        <v>-2.183949406</v>
      </c>
      <c r="J25" s="696">
        <f>Data!S56</f>
        <v>-3.2125674069999999</v>
      </c>
      <c r="K25" s="696">
        <f>Data!T56</f>
        <v>-3.1293676540000002</v>
      </c>
      <c r="L25" s="696">
        <f>Data!U56</f>
        <v>-3.1601017329999999</v>
      </c>
      <c r="M25" s="696">
        <f>Data!V56</f>
        <v>-22.815783095</v>
      </c>
      <c r="N25" s="696">
        <f>Data!W56</f>
        <v>-4.0138321809999997</v>
      </c>
      <c r="O25" s="696">
        <f>Data!X56</f>
        <v>-3.67</v>
      </c>
      <c r="P25" s="696">
        <f>Data!Y56</f>
        <v>-4.5937935899999998</v>
      </c>
      <c r="Q25" s="738">
        <f>BS!Q226</f>
        <v>4.5937935899999998</v>
      </c>
      <c r="R25" s="738">
        <f>BS!R226</f>
        <v>4.5937935899999998</v>
      </c>
      <c r="S25" s="738">
        <f>BS!S226</f>
        <v>4.5937935899999998</v>
      </c>
      <c r="T25" s="738"/>
      <c r="U25" s="738"/>
      <c r="V25" s="744" t="e">
        <f>BS!V226</f>
        <v>#REF!</v>
      </c>
      <c r="W25" s="738">
        <f>BS!Y226</f>
        <v>4.0138321809999997</v>
      </c>
      <c r="X25" s="738"/>
      <c r="AA25" s="225"/>
      <c r="AB25" s="225"/>
      <c r="AC25" s="1603"/>
      <c r="AD25" s="1003">
        <f t="shared" si="9"/>
        <v>6.2199520846881553</v>
      </c>
      <c r="AE25" s="1003">
        <f t="shared" si="10"/>
        <v>-4.417348451331051E-4</v>
      </c>
    </row>
    <row r="26" spans="1:49" s="34" customFormat="1">
      <c r="A26" s="1"/>
      <c r="B26" s="1573" t="s">
        <v>541</v>
      </c>
      <c r="C26" s="1099">
        <f>C27+C28</f>
        <v>0</v>
      </c>
      <c r="D26" s="1099">
        <f t="shared" ref="D26:M26" si="17">D27+D28</f>
        <v>0</v>
      </c>
      <c r="E26" s="1099">
        <f t="shared" si="17"/>
        <v>0</v>
      </c>
      <c r="F26" s="1099">
        <f t="shared" si="17"/>
        <v>0</v>
      </c>
      <c r="G26" s="1099">
        <f t="shared" si="17"/>
        <v>0</v>
      </c>
      <c r="H26" s="1103">
        <f t="shared" si="17"/>
        <v>0</v>
      </c>
      <c r="I26" s="1099">
        <f t="shared" si="17"/>
        <v>0</v>
      </c>
      <c r="J26" s="1099">
        <f t="shared" si="17"/>
        <v>0</v>
      </c>
      <c r="K26" s="1099">
        <f t="shared" si="17"/>
        <v>0</v>
      </c>
      <c r="L26" s="1099">
        <f t="shared" si="17"/>
        <v>0</v>
      </c>
      <c r="M26" s="1099">
        <f t="shared" si="17"/>
        <v>0</v>
      </c>
      <c r="N26" s="1099">
        <f t="shared" ref="N26:O26" si="18">N27+N28</f>
        <v>0</v>
      </c>
      <c r="O26" s="1099">
        <f t="shared" si="18"/>
        <v>0</v>
      </c>
      <c r="P26" s="1099">
        <f t="shared" ref="P26" si="19">P27+P28</f>
        <v>0</v>
      </c>
      <c r="Q26" s="1095">
        <f>Q27+Q28</f>
        <v>0</v>
      </c>
      <c r="R26" s="1095">
        <f>R27+R28</f>
        <v>0</v>
      </c>
      <c r="S26" s="1095">
        <f>S27+S28</f>
        <v>0</v>
      </c>
      <c r="T26" s="1095"/>
      <c r="U26" s="1095"/>
      <c r="V26" s="1094">
        <f>V27+V28</f>
        <v>0</v>
      </c>
      <c r="W26" s="1095">
        <f>W27+W28</f>
        <v>0</v>
      </c>
      <c r="X26" s="1095"/>
      <c r="AA26" s="225"/>
      <c r="AB26" s="225"/>
      <c r="AC26" s="1604"/>
      <c r="AD26" s="1238"/>
      <c r="AE26" s="1238">
        <f t="shared" si="10"/>
        <v>0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>
      <c r="B27" s="1574" t="s">
        <v>35</v>
      </c>
      <c r="C27" s="993">
        <f>Data!L62</f>
        <v>0</v>
      </c>
      <c r="D27" s="993">
        <f>Data!M62</f>
        <v>0</v>
      </c>
      <c r="E27" s="993">
        <f>Data!N62</f>
        <v>0</v>
      </c>
      <c r="F27" s="993">
        <f>Data!O62</f>
        <v>0</v>
      </c>
      <c r="G27" s="993">
        <f>Data!P62</f>
        <v>0</v>
      </c>
      <c r="H27" s="994">
        <f>Data!Q62</f>
        <v>0</v>
      </c>
      <c r="I27" s="993">
        <f>Data!R62</f>
        <v>0</v>
      </c>
      <c r="J27" s="993">
        <f>Data!S62</f>
        <v>0</v>
      </c>
      <c r="K27" s="993">
        <f>Data!T62</f>
        <v>0</v>
      </c>
      <c r="L27" s="993">
        <f>Data!U62</f>
        <v>0</v>
      </c>
      <c r="M27" s="993">
        <f>Data!V62</f>
        <v>0</v>
      </c>
      <c r="N27" s="993">
        <f>Data!W62</f>
        <v>0</v>
      </c>
      <c r="O27" s="993">
        <f>Data!X62</f>
        <v>0</v>
      </c>
      <c r="P27" s="993">
        <f>Data!Y62</f>
        <v>0</v>
      </c>
      <c r="Q27" s="1096">
        <f>SUM(Q172:Q173)</f>
        <v>0</v>
      </c>
      <c r="R27" s="1096">
        <f>SUM(R172:R173)</f>
        <v>0</v>
      </c>
      <c r="S27" s="1096">
        <f>SUM(S172:S173)</f>
        <v>0</v>
      </c>
      <c r="T27" s="1096"/>
      <c r="U27" s="1096"/>
      <c r="V27" s="1098">
        <f>SUM(V172:V173)</f>
        <v>0</v>
      </c>
      <c r="W27" s="1096">
        <f>SUM(W172:W173)</f>
        <v>0</v>
      </c>
      <c r="X27" s="1096"/>
      <c r="AA27" s="225"/>
      <c r="AB27" s="225"/>
      <c r="AC27" s="1603"/>
      <c r="AD27" s="1003"/>
      <c r="AE27" s="1003">
        <f t="shared" si="10"/>
        <v>0</v>
      </c>
    </row>
    <row r="28" spans="1:49">
      <c r="B28" s="1574" t="s">
        <v>484</v>
      </c>
      <c r="C28" s="374">
        <f>Data!L63</f>
        <v>0</v>
      </c>
      <c r="D28" s="374">
        <f>Data!M63</f>
        <v>0</v>
      </c>
      <c r="E28" s="374">
        <f>Data!N63</f>
        <v>0</v>
      </c>
      <c r="F28" s="374">
        <f>Data!O63</f>
        <v>0</v>
      </c>
      <c r="G28" s="374">
        <f>Data!P63</f>
        <v>0</v>
      </c>
      <c r="H28" s="379">
        <f>Data!Q63</f>
        <v>0</v>
      </c>
      <c r="I28" s="374">
        <f>Data!R63</f>
        <v>0</v>
      </c>
      <c r="J28" s="374">
        <f>Data!S63</f>
        <v>0</v>
      </c>
      <c r="K28" s="374">
        <f>Data!T63</f>
        <v>0</v>
      </c>
      <c r="L28" s="374">
        <f>Data!U63</f>
        <v>0</v>
      </c>
      <c r="M28" s="374">
        <f>Data!V63</f>
        <v>0</v>
      </c>
      <c r="N28" s="374">
        <f>Data!W63</f>
        <v>0</v>
      </c>
      <c r="O28" s="374">
        <f>Data!X63</f>
        <v>0</v>
      </c>
      <c r="P28" s="374">
        <f>Data!Y63</f>
        <v>0</v>
      </c>
      <c r="Q28" s="741">
        <f>Q174</f>
        <v>0</v>
      </c>
      <c r="R28" s="741">
        <f>R174</f>
        <v>0</v>
      </c>
      <c r="S28" s="741">
        <f>S174</f>
        <v>0</v>
      </c>
      <c r="T28" s="741"/>
      <c r="U28" s="741"/>
      <c r="V28" s="778">
        <f>V174</f>
        <v>0</v>
      </c>
      <c r="W28" s="741">
        <f>W174</f>
        <v>0</v>
      </c>
      <c r="X28" s="741"/>
      <c r="AA28" s="225"/>
      <c r="AB28" s="225"/>
      <c r="AC28" s="1603"/>
      <c r="AD28" s="1003"/>
      <c r="AE28" s="1003">
        <f t="shared" si="10"/>
        <v>0</v>
      </c>
    </row>
    <row r="29" spans="1:49" s="1061" customFormat="1">
      <c r="A29" s="6"/>
      <c r="B29" s="1575" t="s">
        <v>36</v>
      </c>
      <c r="C29" s="1059">
        <f>Data!L60+Data!L64</f>
        <v>540.99635870099996</v>
      </c>
      <c r="D29" s="1059">
        <f>Data!M60+Data!M64</f>
        <v>539.10269680500005</v>
      </c>
      <c r="E29" s="1059">
        <f>Data!N60+Data!N64</f>
        <v>537.241674698</v>
      </c>
      <c r="F29" s="1059">
        <f>Data!O60+Data!O64</f>
        <v>692.57536625800003</v>
      </c>
      <c r="G29" s="1059">
        <f>Data!P60+Data!P64</f>
        <v>1020.980424296</v>
      </c>
      <c r="H29" s="1060">
        <f>Data!Q60+Data!Q64</f>
        <v>805.55989621699996</v>
      </c>
      <c r="I29" s="1059">
        <f>Data!R60+Data!R64</f>
        <v>1174.7780837529999</v>
      </c>
      <c r="J29" s="1059">
        <f>Data!S60+Data!S64</f>
        <v>1650.470873492</v>
      </c>
      <c r="K29" s="1059">
        <f>Data!T60+Data!T64</f>
        <v>2373.3932965650001</v>
      </c>
      <c r="L29" s="1059">
        <f>Data!U60+Data!U64</f>
        <v>1290.5987456840001</v>
      </c>
      <c r="M29" s="1059">
        <f>Data!V60+Data!V64</f>
        <v>1062.184742251</v>
      </c>
      <c r="N29" s="1059">
        <f>Data!W60+Data!W64</f>
        <v>1315.2701360030001</v>
      </c>
      <c r="O29" s="1059">
        <f>Data!X60+Data!X64</f>
        <v>2559.77</v>
      </c>
      <c r="P29" s="1059">
        <f>Data!Y60+Data!Y64</f>
        <v>1604.9159574190001</v>
      </c>
      <c r="Q29" s="1057">
        <f ca="1">BS!Q227</f>
        <v>-1479.0525287557052</v>
      </c>
      <c r="R29" s="1057">
        <f ca="1">BS!R227</f>
        <v>2273.7842964960005</v>
      </c>
      <c r="S29" s="1057">
        <f ca="1">BS!S227</f>
        <v>9142.7402711694813</v>
      </c>
      <c r="T29" s="1057"/>
      <c r="U29" s="1057"/>
      <c r="V29" s="1056" t="e">
        <f>BS!V227</f>
        <v>#REF!</v>
      </c>
      <c r="W29" s="1057">
        <f>BS!Y227</f>
        <v>1451.7172071936513</v>
      </c>
      <c r="X29" s="1057"/>
      <c r="AA29" s="225"/>
      <c r="AB29" s="225"/>
      <c r="AC29" s="1603"/>
      <c r="AD29" s="1238">
        <f>M29/L29-1</f>
        <v>-0.17698297336554725</v>
      </c>
      <c r="AE29" s="1238">
        <f t="shared" si="10"/>
        <v>2.0564887502100119E-2</v>
      </c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</row>
    <row r="30" spans="1:49">
      <c r="B30" s="1571" t="s">
        <v>39</v>
      </c>
      <c r="C30" s="224">
        <f>SUM(Data!L68:L70,Data!L72)</f>
        <v>873.79872372399996</v>
      </c>
      <c r="D30" s="224">
        <f>SUM(Data!M68:M70,Data!M72)</f>
        <v>888.99398095099991</v>
      </c>
      <c r="E30" s="224">
        <f>SUM(Data!N68:N70,Data!N72)</f>
        <v>976.66701177100003</v>
      </c>
      <c r="F30" s="224">
        <f>SUM(Data!O68:O70,Data!O72)</f>
        <v>904.08337451299997</v>
      </c>
      <c r="G30" s="224">
        <f>SUM(Data!P68:P70,Data!P72)</f>
        <v>1047.3856849690001</v>
      </c>
      <c r="H30" s="227">
        <f>SUM(Data!Q68:Q70,Data!Q72)</f>
        <v>2082.9642905209998</v>
      </c>
      <c r="I30" s="232">
        <f>SUM(Data!R68:R70,Data!R72)</f>
        <v>2469.5925343190002</v>
      </c>
      <c r="J30" s="232">
        <f>SUM(Data!S68:S70,Data!S72)</f>
        <v>2806.3366890879997</v>
      </c>
      <c r="K30" s="232">
        <f>SUM(Data!T68:T70,Data!T72)</f>
        <v>2884.4743795229997</v>
      </c>
      <c r="L30" s="232">
        <f>SUM(Data!U68:U70,Data!U72)</f>
        <v>3949.2120687899996</v>
      </c>
      <c r="M30" s="232">
        <f>SUM(Data!V68:V70,Data!V72)</f>
        <v>4615.009456277</v>
      </c>
      <c r="N30" s="232">
        <f>SUM(Data!W68:W70,Data!W72)</f>
        <v>4958.1654994209994</v>
      </c>
      <c r="O30" s="232">
        <f>SUM(Data!X68:X70,Data!X72)</f>
        <v>5675.1599999999989</v>
      </c>
      <c r="P30" s="232">
        <f>SUM(Data!Y68:Y70,Data!Y72)</f>
        <v>7404.8914933310007</v>
      </c>
      <c r="Q30" s="232">
        <f ca="1">Q130+Q135</f>
        <v>15384.882568165758</v>
      </c>
      <c r="R30" s="232">
        <f ca="1">R130+R135</f>
        <v>18960.877468390532</v>
      </c>
      <c r="S30" s="232">
        <f ca="1">S130+S135</f>
        <v>23134.967338817194</v>
      </c>
      <c r="T30" s="232"/>
      <c r="U30" s="232"/>
      <c r="V30" s="905" t="e">
        <f>V130+V135</f>
        <v>#REF!</v>
      </c>
      <c r="W30" s="2377">
        <f>W130+W135</f>
        <v>5300.6538456045837</v>
      </c>
      <c r="X30" s="232"/>
      <c r="AA30" s="225"/>
      <c r="AB30" s="225"/>
      <c r="AC30" s="1603" t="s">
        <v>1643</v>
      </c>
      <c r="AD30" s="1003">
        <f>M30/L30-1</f>
        <v>0.16858993031766811</v>
      </c>
      <c r="AE30" s="1003">
        <f t="shared" si="10"/>
        <v>8.9350888328838057E-2</v>
      </c>
    </row>
    <row r="31" spans="1:49" s="1" customFormat="1">
      <c r="B31" s="1527" t="s">
        <v>701</v>
      </c>
      <c r="C31" s="698">
        <f>Data!L71</f>
        <v>-177.51310778600001</v>
      </c>
      <c r="D31" s="698">
        <f>Data!M71</f>
        <v>-182.26663901500001</v>
      </c>
      <c r="E31" s="698">
        <f>Data!N71</f>
        <v>-167.15046218500001</v>
      </c>
      <c r="F31" s="698">
        <f>Data!O71</f>
        <v>-176.17767725100001</v>
      </c>
      <c r="G31" s="698">
        <f>Data!P71</f>
        <v>-221.058175167</v>
      </c>
      <c r="H31" s="1101">
        <f>Data!Q71</f>
        <v>-299.59528323699999</v>
      </c>
      <c r="I31" s="1449">
        <f>Data!R71</f>
        <v>-267.12588458900001</v>
      </c>
      <c r="J31" s="1449">
        <f>Data!S71</f>
        <v>-309.7846346</v>
      </c>
      <c r="K31" s="1449">
        <f>Data!T71</f>
        <v>-303.29942547100001</v>
      </c>
      <c r="L31" s="1449">
        <f>Data!U71</f>
        <v>-847.21837547099994</v>
      </c>
      <c r="M31" s="1449">
        <f>Data!V71</f>
        <v>-1376.7102384899999</v>
      </c>
      <c r="N31" s="1449">
        <f>Data!W71</f>
        <v>-1623.156391089</v>
      </c>
      <c r="O31" s="1449">
        <f>Data!X71</f>
        <v>-2357.0700000000002</v>
      </c>
      <c r="P31" s="1449">
        <f>Data!Y71</f>
        <v>-2667.0274991490001</v>
      </c>
      <c r="Q31" s="1536">
        <f>P31</f>
        <v>-2667.0274991490001</v>
      </c>
      <c r="R31" s="1536">
        <f>Q31</f>
        <v>-2667.0274991490001</v>
      </c>
      <c r="S31" s="1536">
        <f>R31</f>
        <v>-2667.0274991490001</v>
      </c>
      <c r="T31" s="1536"/>
      <c r="U31" s="1536"/>
      <c r="V31" s="2066">
        <f>M31-PL!P418</f>
        <v>-1453.7102384899999</v>
      </c>
      <c r="W31" s="2066">
        <f>N31-PL!I418</f>
        <v>-2376.2263910889997</v>
      </c>
      <c r="X31" s="1536"/>
      <c r="AA31" s="225"/>
      <c r="AB31" s="225"/>
      <c r="AC31" s="1603" t="s">
        <v>1061</v>
      </c>
      <c r="AD31" s="1003">
        <f>M31/L31-1</f>
        <v>0.62497683991407293</v>
      </c>
      <c r="AE31" s="1003">
        <f t="shared" si="10"/>
        <v>-2.6654394524192871E-2</v>
      </c>
    </row>
    <row r="32" spans="1:49" ht="13.5" customHeight="1">
      <c r="B32" s="1571" t="s">
        <v>40</v>
      </c>
      <c r="C32" s="224">
        <f>SUM(Data!L43:L48)</f>
        <v>1.4340847750000001</v>
      </c>
      <c r="D32" s="224">
        <f>SUM(Data!M43:M48)</f>
        <v>1.2126645250000001</v>
      </c>
      <c r="E32" s="224">
        <f>SUM(Data!N43:N48)</f>
        <v>370.468387635</v>
      </c>
      <c r="F32" s="224">
        <f>SUM(Data!O43:O48)</f>
        <v>402.489408733</v>
      </c>
      <c r="G32" s="224">
        <f>SUM(Data!P43:P48)</f>
        <v>434.666744231</v>
      </c>
      <c r="H32" s="227">
        <f>SUM(Data!Q43:Q48)</f>
        <v>286.38629630600002</v>
      </c>
      <c r="I32" s="232">
        <f>SUM(Data!R43:R48)</f>
        <v>164.517414745</v>
      </c>
      <c r="J32" s="232">
        <f>SUM(Data!S43:S48)</f>
        <v>317.21376416800001</v>
      </c>
      <c r="K32" s="232">
        <f>SUM(Data!T43:T48)</f>
        <v>297.60203714400001</v>
      </c>
      <c r="L32" s="232">
        <f>SUM(Data!U43:U48)</f>
        <v>221.97329370099999</v>
      </c>
      <c r="M32" s="232">
        <f>SUM(Data!V43:V48)</f>
        <v>277.46335882599999</v>
      </c>
      <c r="N32" s="232">
        <f>SUM(Data!W43:W48)</f>
        <v>299.76458518700002</v>
      </c>
      <c r="O32" s="232">
        <f>SUM(Data!X43:X48)</f>
        <v>384.02</v>
      </c>
      <c r="P32" s="232">
        <f>SUM(Data!Y43:Y48)</f>
        <v>616.714547907</v>
      </c>
      <c r="Q32" s="1537">
        <f ca="1">PL!Q9/Assumptions!Q80</f>
        <v>348.74760170988844</v>
      </c>
      <c r="R32" s="1537">
        <f ca="1">PL!R9/Assumptions!R80</f>
        <v>402.10378170731718</v>
      </c>
      <c r="S32" s="1537">
        <f ca="1">PL!S9/Assumptions!S80</f>
        <v>466.68743817073181</v>
      </c>
      <c r="T32" s="1537"/>
      <c r="U32" s="1537"/>
      <c r="V32" s="2067" t="e">
        <f>PL!#REF!/Assumptions!AF80</f>
        <v>#REF!</v>
      </c>
      <c r="W32" s="1537">
        <f>PL!V9/Assumptions!AG80</f>
        <v>348.40381250000007</v>
      </c>
      <c r="X32" s="1537"/>
      <c r="AA32" s="225"/>
      <c r="AB32" s="225"/>
      <c r="AC32" s="1603" t="s">
        <v>1061</v>
      </c>
      <c r="AD32" s="1003">
        <f>M32/L32-1</f>
        <v>0.24998532120600792</v>
      </c>
      <c r="AE32" s="1003">
        <f t="shared" si="10"/>
        <v>5.3719494672078132E-3</v>
      </c>
      <c r="AG32" s="1003"/>
      <c r="AH32" s="1003"/>
      <c r="AI32" s="1003"/>
      <c r="AJ32" s="1003"/>
    </row>
    <row r="33" spans="2:36" s="1" customFormat="1" ht="13.5" customHeight="1">
      <c r="B33" s="1527" t="s">
        <v>700</v>
      </c>
      <c r="C33" s="698">
        <f>Data!L49</f>
        <v>0</v>
      </c>
      <c r="D33" s="698">
        <f>Data!M49</f>
        <v>0</v>
      </c>
      <c r="E33" s="698">
        <f>Data!N49</f>
        <v>-52.372482636999997</v>
      </c>
      <c r="F33" s="698">
        <f>Data!O49</f>
        <v>-53.850828227999997</v>
      </c>
      <c r="G33" s="698">
        <f>Data!P49</f>
        <v>-53.700828227999999</v>
      </c>
      <c r="H33" s="1101">
        <f>Data!Q49</f>
        <v>-54.729173818</v>
      </c>
      <c r="I33" s="1449">
        <f>Data!R49</f>
        <v>-54.729173818</v>
      </c>
      <c r="J33" s="1449">
        <f>Data!S49</f>
        <v>-54.729173818</v>
      </c>
      <c r="K33" s="1449">
        <f>Data!T49</f>
        <v>-54.729173818</v>
      </c>
      <c r="L33" s="1449">
        <f>Data!U49</f>
        <v>-54.729173818</v>
      </c>
      <c r="M33" s="1449">
        <f>Data!V49</f>
        <v>-52.372482636999997</v>
      </c>
      <c r="N33" s="1449">
        <f>Data!W49</f>
        <v>-52.372482636999997</v>
      </c>
      <c r="O33" s="1449">
        <f>Data!X49</f>
        <v>-52.37</v>
      </c>
      <c r="P33" s="1449">
        <f>Data!Y49</f>
        <v>-52.372482636999997</v>
      </c>
      <c r="Q33" s="1536">
        <f>P33</f>
        <v>-52.372482636999997</v>
      </c>
      <c r="R33" s="1536">
        <f>Q33</f>
        <v>-52.372482636999997</v>
      </c>
      <c r="S33" s="1536">
        <f>R33</f>
        <v>-52.372482636999997</v>
      </c>
      <c r="T33" s="1536"/>
      <c r="U33" s="1536"/>
      <c r="V33" s="1535">
        <f>M33</f>
        <v>-52.372482636999997</v>
      </c>
      <c r="W33" s="1536">
        <f>N33</f>
        <v>-52.372482636999997</v>
      </c>
      <c r="X33" s="1536"/>
      <c r="AA33" s="225"/>
      <c r="AB33" s="225"/>
      <c r="AD33" s="1003"/>
      <c r="AE33" s="1003">
        <f t="shared" si="10"/>
        <v>-1.0139801211539975E-3</v>
      </c>
    </row>
    <row r="34" spans="2:36" ht="13.5" customHeight="1">
      <c r="B34" s="1570" t="s">
        <v>702</v>
      </c>
      <c r="C34" s="224">
        <f>Data!L73+Data!L79</f>
        <v>216.366360783</v>
      </c>
      <c r="D34" s="224">
        <f>Data!M73+Data!M79</f>
        <v>231.508275153</v>
      </c>
      <c r="E34" s="224">
        <f>Data!N73+Data!N79</f>
        <v>333.17044464399999</v>
      </c>
      <c r="F34" s="224">
        <f>Data!O73+Data!O79</f>
        <v>0</v>
      </c>
      <c r="G34" s="224">
        <f>Data!P73+Data!P79</f>
        <v>0</v>
      </c>
      <c r="H34" s="227">
        <f>Data!Q73+Data!Q79</f>
        <v>0</v>
      </c>
      <c r="I34" s="224">
        <f>Data!R73+Data!R79</f>
        <v>326.01772318000002</v>
      </c>
      <c r="J34" s="224">
        <f>Data!S73+Data!S79</f>
        <v>225.929415272</v>
      </c>
      <c r="K34" s="224">
        <f>Data!T73+Data!T79</f>
        <v>200.03422502699999</v>
      </c>
      <c r="L34" s="224">
        <f>Data!U73+Data!U79</f>
        <v>465.98541032700001</v>
      </c>
      <c r="M34" s="224">
        <f>Data!V73+Data!V79</f>
        <v>407.94484796099999</v>
      </c>
      <c r="N34" s="224">
        <f>Data!W73+Data!W79</f>
        <v>1283.7900791290001</v>
      </c>
      <c r="O34" s="224">
        <f>Data!X73+Data!X79</f>
        <v>1097.46</v>
      </c>
      <c r="P34" s="224">
        <f>Data!Y73+Data!Y79</f>
        <v>1015.730266161</v>
      </c>
      <c r="Q34" s="230">
        <f>BS!Q248</f>
        <v>1015.730266161</v>
      </c>
      <c r="R34" s="230">
        <f>BS!R248</f>
        <v>1015.730266161</v>
      </c>
      <c r="S34" s="230">
        <f>BS!S248</f>
        <v>1015.730266161</v>
      </c>
      <c r="T34" s="230"/>
      <c r="U34" s="230"/>
      <c r="V34" s="899" t="e">
        <f>BS!V248</f>
        <v>#REF!</v>
      </c>
      <c r="W34" s="230">
        <f>BS!Y248</f>
        <v>1155.4110712161</v>
      </c>
      <c r="X34" s="230"/>
      <c r="AA34" s="225"/>
      <c r="AB34" s="225"/>
      <c r="AD34" s="598">
        <f>M34/L34-1</f>
        <v>-0.12455446260703895</v>
      </c>
      <c r="AE34" s="598">
        <f t="shared" si="10"/>
        <v>7.8981928205826696E-3</v>
      </c>
    </row>
    <row r="35" spans="2:36">
      <c r="B35" s="1570" t="s">
        <v>41</v>
      </c>
      <c r="C35" s="224">
        <f>SUM(Data!L75:L78)</f>
        <v>447.96441993000002</v>
      </c>
      <c r="D35" s="224">
        <f>SUM(Data!M75:M78)</f>
        <v>647.00222901699999</v>
      </c>
      <c r="E35" s="224">
        <f>SUM(Data!N75:N78)</f>
        <v>650.61581155199997</v>
      </c>
      <c r="F35" s="224">
        <f>SUM(Data!O75:O78)</f>
        <v>1025.2066262189999</v>
      </c>
      <c r="G35" s="224">
        <f>SUM(Data!P75:P78)</f>
        <v>1106.3418133590001</v>
      </c>
      <c r="H35" s="227">
        <f>SUM(Data!Q75:Q78)</f>
        <v>871.86802753100005</v>
      </c>
      <c r="I35" s="224">
        <f>SUM(Data!R75:R78)</f>
        <v>1024.1936476789999</v>
      </c>
      <c r="J35" s="224">
        <f>SUM(Data!S75:S78)</f>
        <v>2287.3832470740003</v>
      </c>
      <c r="K35" s="224">
        <f>SUM(Data!T75:T78)</f>
        <v>2753.0921321340002</v>
      </c>
      <c r="L35" s="224">
        <f>SUM(Data!U75:U78)</f>
        <v>3154.9084790320003</v>
      </c>
      <c r="M35" s="224">
        <f>SUM(Data!V75:V78)</f>
        <v>3746.2580098939998</v>
      </c>
      <c r="N35" s="224">
        <f>SUM(Data!W75:W78)</f>
        <v>3752.3817051759997</v>
      </c>
      <c r="O35" s="224">
        <f>SUM(Data!X75:X78)</f>
        <v>4340.96</v>
      </c>
      <c r="P35" s="224">
        <f>SUM(Data!Y75:Y78)</f>
        <v>4733.7651486250006</v>
      </c>
      <c r="Q35" s="230">
        <f>P35</f>
        <v>4733.7651486250006</v>
      </c>
      <c r="R35" s="230">
        <f>Q35</f>
        <v>4733.7651486250006</v>
      </c>
      <c r="S35" s="230">
        <f>R35</f>
        <v>4733.7651486250006</v>
      </c>
      <c r="T35" s="230"/>
      <c r="U35" s="230"/>
      <c r="V35" s="899">
        <f>M35</f>
        <v>3746.2580098939998</v>
      </c>
      <c r="W35" s="230">
        <f>N35</f>
        <v>3752.3817051759997</v>
      </c>
      <c r="X35" s="230"/>
      <c r="AA35" s="225"/>
      <c r="AB35" s="225"/>
      <c r="AD35" s="598">
        <f>M35/L35-1</f>
        <v>0.18743793513891061</v>
      </c>
      <c r="AE35" s="598">
        <f t="shared" si="10"/>
        <v>7.2531049885017351E-2</v>
      </c>
    </row>
    <row r="36" spans="2:36">
      <c r="B36" s="415" t="s">
        <v>42</v>
      </c>
      <c r="C36" s="232">
        <f>C16+C22+C23+C19+C26+C29+SUM(C30:C35)</f>
        <v>3979.7124112370002</v>
      </c>
      <c r="D36" s="232">
        <f t="shared" ref="D36:L36" si="20">D16+D22+D23+D19+D26+D29+SUM(D30:D35)</f>
        <v>4662.3137811059996</v>
      </c>
      <c r="E36" s="232">
        <f t="shared" si="20"/>
        <v>5949.1868994169999</v>
      </c>
      <c r="F36" s="232">
        <f t="shared" si="20"/>
        <v>7086.5794083229994</v>
      </c>
      <c r="G36" s="232">
        <f t="shared" si="20"/>
        <v>7924.5988567279992</v>
      </c>
      <c r="H36" s="231">
        <f t="shared" si="20"/>
        <v>8939.7390752209994</v>
      </c>
      <c r="I36" s="232">
        <f t="shared" si="20"/>
        <v>11350.979923527</v>
      </c>
      <c r="J36" s="232">
        <f t="shared" si="20"/>
        <v>14414.988134764</v>
      </c>
      <c r="K36" s="232">
        <f t="shared" si="20"/>
        <v>16468.390178718</v>
      </c>
      <c r="L36" s="232">
        <f t="shared" si="20"/>
        <v>18579.567995029</v>
      </c>
      <c r="M36" s="232">
        <f>M16+M22+M23+M19+M26+M29+SUM(M30:M35)</f>
        <v>20712.692658988999</v>
      </c>
      <c r="N36" s="232">
        <f>N16+N22+N23+N19+N26+N29+SUM(N30:N35)</f>
        <v>23577.075781022999</v>
      </c>
      <c r="O36" s="232">
        <f t="shared" ref="O36:P36" si="21">O16+O22+O23+O19+O26+O29+SUM(O30:O35)</f>
        <v>26464.059999999998</v>
      </c>
      <c r="P36" s="232">
        <f t="shared" si="21"/>
        <v>29986.651038243006</v>
      </c>
      <c r="Q36" s="232">
        <f ca="1">Q16+Q23+Q19+Q26+Q29+SUM(Q30:Q35)</f>
        <v>31568.142055921635</v>
      </c>
      <c r="R36" s="232">
        <f ca="1">R16+R23+R19+R26+R29+SUM(R30:R35)</f>
        <v>37772.297629565452</v>
      </c>
      <c r="S36" s="232">
        <f ca="1">S16+S23+S19+S26+S29+SUM(S30:S35)</f>
        <v>45398.936310462654</v>
      </c>
      <c r="T36" s="232"/>
      <c r="U36" s="232"/>
      <c r="V36" s="905" t="e">
        <f>V16+V23+V19+V26+V29+SUM(V30:V35)</f>
        <v>#REF!</v>
      </c>
      <c r="W36" s="232">
        <f>W16+W23+W19+W26+W29+SUM(W30:W35)</f>
        <v>24791.201760105538</v>
      </c>
      <c r="X36" s="232"/>
      <c r="AA36" s="225"/>
      <c r="AB36" s="225"/>
      <c r="AD36" s="1002">
        <f>M36/L36-1</f>
        <v>0.11481024018054242</v>
      </c>
      <c r="AE36" s="1002">
        <f t="shared" si="10"/>
        <v>0.40101705235851376</v>
      </c>
    </row>
    <row r="37" spans="2:36">
      <c r="B37" s="416"/>
      <c r="C37" s="693"/>
      <c r="D37" s="693"/>
      <c r="E37" s="693"/>
      <c r="F37" s="693"/>
      <c r="G37" s="693"/>
      <c r="H37" s="1104"/>
      <c r="I37" s="693"/>
      <c r="J37" s="693"/>
      <c r="K37" s="693"/>
      <c r="L37" s="693"/>
      <c r="M37" s="693"/>
      <c r="N37" s="693"/>
      <c r="O37" s="693"/>
      <c r="P37" s="693"/>
      <c r="Q37" s="225"/>
      <c r="R37" s="225"/>
      <c r="S37" s="225"/>
      <c r="T37" s="225"/>
      <c r="U37" s="225"/>
      <c r="V37" s="901"/>
      <c r="W37" s="225"/>
      <c r="X37" s="598"/>
      <c r="AA37" s="225"/>
      <c r="AB37" s="225"/>
      <c r="AD37" s="598"/>
      <c r="AE37" s="598"/>
    </row>
    <row r="38" spans="2:36">
      <c r="B38" s="1595" t="s">
        <v>43</v>
      </c>
      <c r="C38" s="1596">
        <f>C14+C36</f>
        <v>14209.182622439002</v>
      </c>
      <c r="D38" s="1596">
        <f t="shared" ref="D38:K38" si="22">D14+D36</f>
        <v>17570.557253511997</v>
      </c>
      <c r="E38" s="1596">
        <f t="shared" si="22"/>
        <v>22658.343950733</v>
      </c>
      <c r="F38" s="1596">
        <f t="shared" si="22"/>
        <v>26045.588544427999</v>
      </c>
      <c r="G38" s="1596">
        <f t="shared" si="22"/>
        <v>29833.261814150996</v>
      </c>
      <c r="H38" s="1597">
        <f t="shared" si="22"/>
        <v>24999.676895865996</v>
      </c>
      <c r="I38" s="1596">
        <f t="shared" si="22"/>
        <v>29757.067149568</v>
      </c>
      <c r="J38" s="1596">
        <f t="shared" si="22"/>
        <v>33394.164263694001</v>
      </c>
      <c r="K38" s="1596">
        <f t="shared" si="22"/>
        <v>41734.323235193995</v>
      </c>
      <c r="L38" s="1596">
        <f t="shared" ref="L38:W38" si="23">L14+L36</f>
        <v>53697.940895875006</v>
      </c>
      <c r="M38" s="1596">
        <f t="shared" si="23"/>
        <v>51650.403735129992</v>
      </c>
      <c r="N38" s="1596">
        <f t="shared" ref="N38:O38" si="24">N14+N36</f>
        <v>60282.827532898998</v>
      </c>
      <c r="O38" s="1596">
        <f t="shared" si="24"/>
        <v>72000</v>
      </c>
      <c r="P38" s="1596">
        <f t="shared" ref="P38" si="25">P14+P36</f>
        <v>88089.621779862005</v>
      </c>
      <c r="Q38" s="1596">
        <f ca="1">Q14+Q36</f>
        <v>92111.938812499138</v>
      </c>
      <c r="R38" s="1596">
        <f ca="1">R14+R36</f>
        <v>102999.4327440937</v>
      </c>
      <c r="S38" s="1596">
        <f ca="1">S14+S36</f>
        <v>115400.63201181812</v>
      </c>
      <c r="T38" s="1596"/>
      <c r="U38" s="1596"/>
      <c r="V38" s="1598" t="e">
        <f t="shared" si="23"/>
        <v>#REF!</v>
      </c>
      <c r="W38" s="1596" t="e">
        <f t="shared" si="23"/>
        <v>#REF!</v>
      </c>
      <c r="X38" s="1596"/>
      <c r="AA38" s="225"/>
      <c r="AB38" s="225"/>
      <c r="AC38" s="225"/>
      <c r="AD38" s="1004">
        <f>M38/L38-1</f>
        <v>-3.8130645730259372E-2</v>
      </c>
      <c r="AE38" s="1004">
        <f>M38/$M$38</f>
        <v>1</v>
      </c>
      <c r="AF38" s="225"/>
      <c r="AG38" s="225"/>
      <c r="AH38" s="225"/>
      <c r="AI38" s="225"/>
      <c r="AJ38" s="225"/>
    </row>
    <row r="39" spans="2:36">
      <c r="B39" s="414"/>
      <c r="C39" s="1"/>
      <c r="D39" s="1"/>
      <c r="E39" s="1"/>
      <c r="F39" s="1"/>
      <c r="G39" s="1"/>
      <c r="H39" s="1091"/>
      <c r="I39" s="1"/>
      <c r="J39" s="1"/>
      <c r="K39" s="1"/>
      <c r="L39" s="1"/>
      <c r="M39" s="1"/>
      <c r="N39" s="1"/>
      <c r="O39" s="1"/>
      <c r="P39" s="1"/>
      <c r="Q39" s="225"/>
      <c r="R39" s="225"/>
      <c r="S39" s="225"/>
      <c r="T39" s="225"/>
      <c r="U39" s="225"/>
      <c r="V39" s="901"/>
      <c r="W39" s="225"/>
      <c r="X39" s="225"/>
      <c r="AA39" s="225"/>
      <c r="AB39" s="225"/>
      <c r="AD39" s="598"/>
    </row>
    <row r="40" spans="2:36">
      <c r="B40" s="1593" t="s">
        <v>264</v>
      </c>
      <c r="C40" s="233">
        <f>C53+C76</f>
        <v>6203.5667095990002</v>
      </c>
      <c r="D40" s="233">
        <f t="shared" ref="D40:M40" si="26">D53+D76</f>
        <v>7264.0707166509983</v>
      </c>
      <c r="E40" s="233">
        <f t="shared" si="26"/>
        <v>8055.7635011139992</v>
      </c>
      <c r="F40" s="233">
        <f t="shared" si="26"/>
        <v>9195.3326993070004</v>
      </c>
      <c r="G40" s="233">
        <f t="shared" si="26"/>
        <v>10257.820494685002</v>
      </c>
      <c r="H40" s="377">
        <f t="shared" si="26"/>
        <v>11994.200472013001</v>
      </c>
      <c r="I40" s="233">
        <f t="shared" si="26"/>
        <v>12839.912758765999</v>
      </c>
      <c r="J40" s="233">
        <f t="shared" si="26"/>
        <v>14313.972050586997</v>
      </c>
      <c r="K40" s="233">
        <f t="shared" si="26"/>
        <v>16423.370189716999</v>
      </c>
      <c r="L40" s="233">
        <f t="shared" si="26"/>
        <v>20237.252584245998</v>
      </c>
      <c r="M40" s="233">
        <f t="shared" si="26"/>
        <v>22524.298748604</v>
      </c>
      <c r="N40" s="233">
        <f t="shared" ref="N40:O40" si="27">N53+N76</f>
        <v>25182.231357507997</v>
      </c>
      <c r="O40" s="233">
        <f t="shared" si="27"/>
        <v>30295.34</v>
      </c>
      <c r="P40" s="233">
        <f t="shared" ref="P40" si="28">P53+P76</f>
        <v>38390.157894500997</v>
      </c>
      <c r="Q40" s="233">
        <f ca="1">Q53+Q76</f>
        <v>44849.013010926814</v>
      </c>
      <c r="R40" s="233">
        <f ca="1">R53+R76</f>
        <v>52664.788385755033</v>
      </c>
      <c r="S40" s="233">
        <f ca="1">S53+S76</f>
        <v>62052.949382318722</v>
      </c>
      <c r="T40" s="233"/>
      <c r="U40" s="233"/>
      <c r="V40" s="904" t="e">
        <f>V53+V76</f>
        <v>#REF!</v>
      </c>
      <c r="W40" s="233" t="e">
        <f>W53+W76</f>
        <v>#REF!</v>
      </c>
      <c r="X40" s="233"/>
      <c r="AA40" s="225"/>
      <c r="AB40" s="225"/>
      <c r="AC40" s="225"/>
      <c r="AD40" s="598">
        <f>M40/L40-1</f>
        <v>0.11301169241413667</v>
      </c>
      <c r="AE40" s="598">
        <f>M40/$M$79</f>
        <v>0.43609143626662705</v>
      </c>
      <c r="AF40" s="225"/>
    </row>
    <row r="41" spans="2:36">
      <c r="B41" s="1594"/>
      <c r="C41" s="1"/>
      <c r="D41" s="1"/>
      <c r="E41" s="1"/>
      <c r="F41" s="1"/>
      <c r="G41" s="1"/>
      <c r="H41" s="1091"/>
      <c r="I41" s="1"/>
      <c r="J41" s="1"/>
      <c r="K41" s="1"/>
      <c r="L41" s="1"/>
      <c r="M41" s="1"/>
      <c r="N41" s="1"/>
      <c r="O41" s="1"/>
      <c r="P41" s="1"/>
      <c r="Q41" s="225"/>
      <c r="R41" s="225"/>
      <c r="S41" s="225"/>
      <c r="T41" s="225"/>
      <c r="U41" s="225"/>
      <c r="V41" s="901"/>
      <c r="W41" s="225"/>
      <c r="X41" s="225"/>
      <c r="AA41" s="225"/>
      <c r="AB41" s="225"/>
      <c r="AD41" s="598"/>
      <c r="AE41" s="598"/>
    </row>
    <row r="42" spans="2:36" s="1" customFormat="1">
      <c r="B42" s="1571" t="s">
        <v>44</v>
      </c>
      <c r="C42" s="228">
        <f>C43+C44</f>
        <v>2044.2901600140001</v>
      </c>
      <c r="D42" s="228">
        <f t="shared" ref="D42:M42" si="29">D43+D44</f>
        <v>2647.6693783170003</v>
      </c>
      <c r="E42" s="228">
        <f t="shared" si="29"/>
        <v>3364.3355691659999</v>
      </c>
      <c r="F42" s="228">
        <f t="shared" si="29"/>
        <v>3333.8245005809999</v>
      </c>
      <c r="G42" s="228">
        <f t="shared" si="29"/>
        <v>4360.3280666649998</v>
      </c>
      <c r="H42" s="229">
        <f t="shared" si="29"/>
        <v>3197.5912603099996</v>
      </c>
      <c r="I42" s="228">
        <f t="shared" si="29"/>
        <v>3348.0709697370003</v>
      </c>
      <c r="J42" s="228">
        <f t="shared" si="29"/>
        <v>3388.6509355540002</v>
      </c>
      <c r="K42" s="228">
        <f t="shared" si="29"/>
        <v>3586.8710356199999</v>
      </c>
      <c r="L42" s="228">
        <f t="shared" si="29"/>
        <v>3694.9412629779999</v>
      </c>
      <c r="M42" s="228">
        <f t="shared" si="29"/>
        <v>4016.8455890260002</v>
      </c>
      <c r="N42" s="228">
        <f t="shared" ref="N42:O42" si="30">N43+N44</f>
        <v>3451.2703731199999</v>
      </c>
      <c r="O42" s="228">
        <f t="shared" si="30"/>
        <v>5665</v>
      </c>
      <c r="P42" s="228">
        <f t="shared" ref="P42" si="31">P43+P44</f>
        <v>5680.5078154980001</v>
      </c>
      <c r="Q42" s="232">
        <f ca="1">Q43+Q44</f>
        <v>4387.7510851505685</v>
      </c>
      <c r="R42" s="232">
        <f ca="1">R43+R44</f>
        <v>5127.1501335713674</v>
      </c>
      <c r="S42" s="232">
        <f ca="1">S43+S44</f>
        <v>5983.1439016514314</v>
      </c>
      <c r="T42" s="232"/>
      <c r="U42" s="232"/>
      <c r="V42" s="905" t="e">
        <f>V43+V44</f>
        <v>#REF!</v>
      </c>
      <c r="W42" s="232">
        <f>W43+W44</f>
        <v>4294.1169454127648</v>
      </c>
      <c r="X42" s="232"/>
      <c r="AA42" s="225"/>
      <c r="AB42" s="225"/>
      <c r="AD42" s="598">
        <f t="shared" ref="AD42:AD51" si="32">M42/L42-1</f>
        <v>8.7120282336655031E-2</v>
      </c>
      <c r="AE42" s="598">
        <f t="shared" ref="AE42:AE51" si="33">M42/$M$79</f>
        <v>7.7769877843064064E-2</v>
      </c>
    </row>
    <row r="43" spans="2:36">
      <c r="B43" s="1570" t="s">
        <v>239</v>
      </c>
      <c r="C43" s="225">
        <f>Data!L83</f>
        <v>1809.370535796</v>
      </c>
      <c r="D43" s="225">
        <f>Data!M83</f>
        <v>2200.0229234530002</v>
      </c>
      <c r="E43" s="225">
        <f>Data!N83</f>
        <v>3018.857084191</v>
      </c>
      <c r="F43" s="225">
        <f>Data!O83</f>
        <v>2815.0551255619998</v>
      </c>
      <c r="G43" s="225">
        <f>Data!P83</f>
        <v>3757.3704366709999</v>
      </c>
      <c r="H43" s="226">
        <f>Data!Q83</f>
        <v>2279.1724670469998</v>
      </c>
      <c r="I43" s="225">
        <f>Data!R83</f>
        <v>2510.1142673220002</v>
      </c>
      <c r="J43" s="225">
        <f>Data!S83</f>
        <v>2641.7973267880002</v>
      </c>
      <c r="K43" s="225">
        <f>Data!T83</f>
        <v>2824.5055523589999</v>
      </c>
      <c r="L43" s="225">
        <f>Data!U83</f>
        <v>2865.8150395809998</v>
      </c>
      <c r="M43" s="225">
        <f>Data!V83</f>
        <v>3209.205494368</v>
      </c>
      <c r="N43" s="225">
        <f>Data!W83</f>
        <v>2602.97729071</v>
      </c>
      <c r="O43" s="225">
        <f>Data!X83</f>
        <v>4423.91</v>
      </c>
      <c r="P43" s="225">
        <f>Data!Y83</f>
        <v>3837.0814381260002</v>
      </c>
      <c r="Q43" s="224">
        <f ca="1">PL!Q11*Assumptions!Q83</f>
        <v>3378.7372724295592</v>
      </c>
      <c r="R43" s="224">
        <f ca="1">PL!R11*Assumptions!R83</f>
        <v>3948.1030080003529</v>
      </c>
      <c r="S43" s="224">
        <f ca="1">PL!S11*Assumptions!S83</f>
        <v>4607.2511668299439</v>
      </c>
      <c r="T43" s="224"/>
      <c r="U43" s="224"/>
      <c r="V43" s="898" t="e">
        <f>PL!#REF!*Assumptions!AF83</f>
        <v>#REF!</v>
      </c>
      <c r="W43" s="224">
        <f>PL!V11*Assumptions!AG83</f>
        <v>3367.4099376692234</v>
      </c>
      <c r="X43" s="224"/>
      <c r="AA43" s="225"/>
      <c r="AB43" s="225"/>
      <c r="AC43" s="1603" t="s">
        <v>1061</v>
      </c>
      <c r="AD43" s="598">
        <f t="shared" si="32"/>
        <v>0.11982296486140509</v>
      </c>
      <c r="AE43" s="598">
        <f t="shared" si="33"/>
        <v>6.2133212178267262E-2</v>
      </c>
    </row>
    <row r="44" spans="2:36">
      <c r="B44" s="1570" t="s">
        <v>240</v>
      </c>
      <c r="C44" s="225">
        <f>Data!L87</f>
        <v>234.919624218</v>
      </c>
      <c r="D44" s="225">
        <f>Data!M87</f>
        <v>447.64645486400002</v>
      </c>
      <c r="E44" s="225">
        <f>Data!N87</f>
        <v>345.47848497500001</v>
      </c>
      <c r="F44" s="225">
        <f>Data!O87</f>
        <v>518.76937501899999</v>
      </c>
      <c r="G44" s="225">
        <f>Data!P87</f>
        <v>602.95762999399994</v>
      </c>
      <c r="H44" s="226">
        <f>Data!Q87</f>
        <v>918.418793263</v>
      </c>
      <c r="I44" s="225">
        <f>Data!R87</f>
        <v>837.956702415</v>
      </c>
      <c r="J44" s="225">
        <f>Data!S87</f>
        <v>746.85360876599998</v>
      </c>
      <c r="K44" s="225">
        <f>Data!T87</f>
        <v>762.36548326100001</v>
      </c>
      <c r="L44" s="225">
        <f>Data!U87</f>
        <v>829.12622339699999</v>
      </c>
      <c r="M44" s="225">
        <f>Data!V87</f>
        <v>807.64009465799995</v>
      </c>
      <c r="N44" s="225">
        <f>Data!W87</f>
        <v>848.29308241000001</v>
      </c>
      <c r="O44" s="225">
        <f>Data!X87</f>
        <v>1241.0899999999999</v>
      </c>
      <c r="P44" s="225">
        <f>Data!Y87</f>
        <v>1843.4263773719999</v>
      </c>
      <c r="Q44" s="224">
        <f ca="1">PL!Q11*Assumptions!Q86</f>
        <v>1009.0138127210092</v>
      </c>
      <c r="R44" s="224">
        <f ca="1">PL!R11*Assumptions!R86</f>
        <v>1179.0471255710145</v>
      </c>
      <c r="S44" s="224">
        <f ca="1">PL!S11*Assumptions!S86</f>
        <v>1375.8927348214877</v>
      </c>
      <c r="T44" s="224"/>
      <c r="U44" s="224"/>
      <c r="V44" s="898" t="e">
        <f>PL!#REF!*Assumptions!AF86</f>
        <v>#REF!</v>
      </c>
      <c r="W44" s="224">
        <f>PL!V11*Assumptions!AG86</f>
        <v>926.70700774354145</v>
      </c>
      <c r="X44" s="224"/>
      <c r="AA44" s="225"/>
      <c r="AB44" s="225"/>
      <c r="AC44" s="1603" t="s">
        <v>1061</v>
      </c>
      <c r="AD44" s="598">
        <f t="shared" si="32"/>
        <v>-2.591418306728932E-2</v>
      </c>
      <c r="AE44" s="598">
        <f t="shared" si="33"/>
        <v>1.5636665664796805E-2</v>
      </c>
    </row>
    <row r="45" spans="2:36">
      <c r="B45" s="1527" t="s">
        <v>1089</v>
      </c>
      <c r="C45" s="225">
        <f>Data!L84</f>
        <v>345.90813894399997</v>
      </c>
      <c r="D45" s="225">
        <f>Data!M84</f>
        <v>374.759654082</v>
      </c>
      <c r="E45" s="225">
        <f>Data!N84</f>
        <v>347.33927591200001</v>
      </c>
      <c r="F45" s="225">
        <f>Data!O84</f>
        <v>296.62953541100001</v>
      </c>
      <c r="G45" s="225">
        <f>Data!P84</f>
        <v>582.21840386400004</v>
      </c>
      <c r="H45" s="226">
        <f>Data!Q84</f>
        <v>561.26149587600003</v>
      </c>
      <c r="I45" s="225">
        <f>Data!R84</f>
        <v>418.65224869100001</v>
      </c>
      <c r="J45" s="225">
        <f>Data!S84</f>
        <v>398.62890582400001</v>
      </c>
      <c r="K45" s="225">
        <f>Data!T84</f>
        <v>465.15757712499999</v>
      </c>
      <c r="L45" s="225">
        <f>Data!U84</f>
        <v>710.65854129599995</v>
      </c>
      <c r="M45" s="225">
        <f>Data!V84</f>
        <v>491.09760376100002</v>
      </c>
      <c r="N45" s="225">
        <f>Data!W84</f>
        <v>602.01003672100001</v>
      </c>
      <c r="O45" s="225">
        <f>Data!X84</f>
        <v>562.07000000000005</v>
      </c>
      <c r="P45" s="225">
        <f>Data!Y84</f>
        <v>761.33273842799997</v>
      </c>
      <c r="Q45" s="224">
        <f ca="1">(PL!Q17+PL!Q20)*Assumptions!Q87</f>
        <v>442.9150341331856</v>
      </c>
      <c r="R45" s="224">
        <f ca="1">(PL!R17+PL!R20)*Assumptions!R87</f>
        <v>504.87507465120007</v>
      </c>
      <c r="S45" s="224">
        <f ca="1">(PL!S17+PL!S20)*Assumptions!S87</f>
        <v>585.96528036816017</v>
      </c>
      <c r="T45" s="224"/>
      <c r="U45" s="224"/>
      <c r="V45" s="898" t="e">
        <f>(PL!#REF!+PL!#REF!)*Assumptions!AF87</f>
        <v>#REF!</v>
      </c>
      <c r="W45" s="224">
        <f>(PL!V17+PL!V20)*Assumptions!AG87</f>
        <v>585.3233500358856</v>
      </c>
      <c r="X45" s="224"/>
      <c r="AA45" s="225"/>
      <c r="AB45" s="225"/>
      <c r="AC45" s="1603" t="s">
        <v>1061</v>
      </c>
      <c r="AD45" s="598">
        <f t="shared" si="32"/>
        <v>-0.30895419498454957</v>
      </c>
      <c r="AE45" s="598">
        <f t="shared" si="33"/>
        <v>9.5081077445088816E-3</v>
      </c>
    </row>
    <row r="46" spans="2:36">
      <c r="B46" s="1570" t="s">
        <v>493</v>
      </c>
      <c r="C46" s="225">
        <f>Data!L86</f>
        <v>310.77928472899998</v>
      </c>
      <c r="D46" s="225">
        <f>Data!M86</f>
        <v>506.48283109300002</v>
      </c>
      <c r="E46" s="225">
        <f>Data!N86</f>
        <v>726.05181203200004</v>
      </c>
      <c r="F46" s="225">
        <f>Data!O86</f>
        <v>694.08620299500001</v>
      </c>
      <c r="G46" s="225">
        <f>Data!P86</f>
        <v>826.71696471300004</v>
      </c>
      <c r="H46" s="226">
        <f>Data!Q86</f>
        <v>830.41333020299999</v>
      </c>
      <c r="I46" s="225">
        <f>Data!R86</f>
        <v>1191.3026278289999</v>
      </c>
      <c r="J46" s="225">
        <f>Data!S86</f>
        <v>1278.884909353</v>
      </c>
      <c r="K46" s="225">
        <f>Data!T86</f>
        <v>1968.3640785489999</v>
      </c>
      <c r="L46" s="225">
        <f>Data!U86</f>
        <v>2926.2286552850001</v>
      </c>
      <c r="M46" s="225">
        <f>Data!V86</f>
        <v>3276.698433947</v>
      </c>
      <c r="N46" s="225">
        <f>Data!W86</f>
        <v>3734.3410600860002</v>
      </c>
      <c r="O46" s="225">
        <f>Data!X86</f>
        <v>4341.01</v>
      </c>
      <c r="P46" s="225">
        <f>Data!Y86</f>
        <v>5678.4108412850001</v>
      </c>
      <c r="Q46" s="224">
        <f ca="1">PL!Q9*Assumptions!Q88</f>
        <v>3660.4548275469892</v>
      </c>
      <c r="R46" s="224">
        <f ca="1">PL!R9*Assumptions!R88</f>
        <v>4220.481292800001</v>
      </c>
      <c r="S46" s="224">
        <f ca="1">PL!S9*Assumptions!S88</f>
        <v>4898.3513510400007</v>
      </c>
      <c r="T46" s="224"/>
      <c r="U46" s="224"/>
      <c r="V46" s="898" t="e">
        <f>PL!#REF!*Assumptions!AF88</f>
        <v>#REF!</v>
      </c>
      <c r="W46" s="224">
        <f>PL!V9*Assumptions!AG88</f>
        <v>3713.8279572534811</v>
      </c>
      <c r="X46" s="224"/>
      <c r="AA46" s="225"/>
      <c r="AB46" s="225"/>
      <c r="AC46" s="1603" t="s">
        <v>1061</v>
      </c>
      <c r="AD46" s="598">
        <f t="shared" si="32"/>
        <v>0.11976841865348553</v>
      </c>
      <c r="AE46" s="598">
        <f t="shared" si="33"/>
        <v>6.3439938451407593E-2</v>
      </c>
    </row>
    <row r="47" spans="2:36">
      <c r="B47" s="1570" t="s">
        <v>45</v>
      </c>
      <c r="C47" s="225">
        <f>Data!L85</f>
        <v>297.34414669500001</v>
      </c>
      <c r="D47" s="225">
        <f>Data!M85</f>
        <v>196.31177534700001</v>
      </c>
      <c r="E47" s="225">
        <f>Data!N85</f>
        <v>250.837100459</v>
      </c>
      <c r="F47" s="225">
        <f>Data!O85</f>
        <v>318.46945377499998</v>
      </c>
      <c r="G47" s="225">
        <f>Data!P85</f>
        <v>342.47655376900002</v>
      </c>
      <c r="H47" s="226">
        <f>Data!Q85</f>
        <v>320.42108743099999</v>
      </c>
      <c r="I47" s="225">
        <f>Data!R85</f>
        <v>411.22236692400003</v>
      </c>
      <c r="J47" s="225">
        <f>Data!S85</f>
        <v>554.46160569599999</v>
      </c>
      <c r="K47" s="225">
        <f>Data!T85</f>
        <v>645.97220999599995</v>
      </c>
      <c r="L47" s="225">
        <f>Data!U85</f>
        <v>517.65270880900005</v>
      </c>
      <c r="M47" s="225">
        <f>Data!V85</f>
        <v>670.64891759199998</v>
      </c>
      <c r="N47" s="225">
        <f>Data!W85</f>
        <v>1432.3566051570001</v>
      </c>
      <c r="O47" s="225">
        <f>Data!X85</f>
        <v>2298.8200000000002</v>
      </c>
      <c r="P47" s="225">
        <f>Data!Y85</f>
        <v>2192.156678455</v>
      </c>
      <c r="Q47" s="224">
        <f ca="1">PL!Q50*Assumptions!Q89</f>
        <v>2150.0352186029359</v>
      </c>
      <c r="R47" s="224">
        <f ca="1">PL!R50*Assumptions!R89</f>
        <v>2432.6595025833717</v>
      </c>
      <c r="S47" s="224">
        <f ca="1">PL!S50*Assumptions!S89</f>
        <v>2756.3859363635038</v>
      </c>
      <c r="T47" s="224"/>
      <c r="U47" s="224"/>
      <c r="V47" s="898" t="e">
        <f>PL!#REF!*Assumptions!AF89</f>
        <v>#REF!</v>
      </c>
      <c r="W47" s="224">
        <f>PL!V50*Assumptions!AG89</f>
        <v>0</v>
      </c>
      <c r="X47" s="224"/>
      <c r="AA47" s="225"/>
      <c r="AB47" s="225"/>
      <c r="AC47" s="1603" t="s">
        <v>1061</v>
      </c>
      <c r="AD47" s="598">
        <f t="shared" si="32"/>
        <v>0.29555763194016516</v>
      </c>
      <c r="AE47" s="598">
        <f t="shared" si="33"/>
        <v>1.2984388680312646E-2</v>
      </c>
    </row>
    <row r="48" spans="2:36">
      <c r="B48" s="1570" t="s">
        <v>259</v>
      </c>
      <c r="C48" s="225">
        <f>Data!L94</f>
        <v>234.71944051700001</v>
      </c>
      <c r="D48" s="225">
        <f>Data!M94</f>
        <v>211.131680402</v>
      </c>
      <c r="E48" s="225">
        <f>Data!N94</f>
        <v>209.21627352799999</v>
      </c>
      <c r="F48" s="225">
        <f>Data!O94</f>
        <v>309.12032071599998</v>
      </c>
      <c r="G48" s="225">
        <f>Data!P94</f>
        <v>318.90000181200003</v>
      </c>
      <c r="H48" s="226">
        <f>Data!Q94</f>
        <v>314.11557692299999</v>
      </c>
      <c r="I48" s="225">
        <f>Data!R94</f>
        <v>453.13285125700003</v>
      </c>
      <c r="J48" s="225">
        <f>Data!S94</f>
        <v>539.41700920999995</v>
      </c>
      <c r="K48" s="225">
        <f>Data!T94</f>
        <v>652.398099667</v>
      </c>
      <c r="L48" s="225">
        <f>Data!U94</f>
        <v>824.70849283200005</v>
      </c>
      <c r="M48" s="225">
        <f>Data!V94</f>
        <v>1062.5210219000001</v>
      </c>
      <c r="N48" s="225">
        <f>Data!W94</f>
        <v>1462.63613106</v>
      </c>
      <c r="O48" s="225">
        <f>Data!X94</f>
        <v>1835.04</v>
      </c>
      <c r="P48" s="225">
        <f>Data!Y94</f>
        <v>2161.348997002</v>
      </c>
      <c r="Q48" s="224">
        <f ca="1">Q108</f>
        <v>2815.3826395827082</v>
      </c>
      <c r="R48" s="224">
        <f ca="1">R108</f>
        <v>3554.2698812825674</v>
      </c>
      <c r="S48" s="224">
        <f ca="1">S108</f>
        <v>4391.4846248243884</v>
      </c>
      <c r="T48" s="224"/>
      <c r="U48" s="224"/>
      <c r="V48" s="898" t="e">
        <f>V108</f>
        <v>#REF!</v>
      </c>
      <c r="W48" s="2376">
        <f>W108</f>
        <v>2008.3547976151588</v>
      </c>
      <c r="X48" s="224"/>
      <c r="AA48" s="225"/>
      <c r="AB48" s="225"/>
      <c r="AD48" s="598">
        <f t="shared" si="32"/>
        <v>0.28835950052043957</v>
      </c>
      <c r="AE48" s="598">
        <f t="shared" si="33"/>
        <v>2.0571398189813701E-2</v>
      </c>
    </row>
    <row r="49" spans="2:49">
      <c r="B49" s="1570" t="s">
        <v>494</v>
      </c>
      <c r="C49" s="225">
        <f>Data!L82-SUM(C42,C45:C48,C50)</f>
        <v>726.78111561999958</v>
      </c>
      <c r="D49" s="225">
        <f>Data!M82-SUM(D42,D45:D48,D50)</f>
        <v>965.75027087699891</v>
      </c>
      <c r="E49" s="225">
        <f>Data!N82-SUM(E42,E45:E48,E50)</f>
        <v>1349.7638372170004</v>
      </c>
      <c r="F49" s="225">
        <f>Data!O82-SUM(F42,F45:F48,F50)</f>
        <v>1824.0993019199996</v>
      </c>
      <c r="G49" s="225">
        <f>Data!P82-SUM(G42,G45:G48,G50)</f>
        <v>1792.3494631470021</v>
      </c>
      <c r="H49" s="226">
        <f>Data!Q82-SUM(H42,H45:H48,H50)</f>
        <v>1759.5532796729985</v>
      </c>
      <c r="I49" s="225">
        <f>Data!R82-SUM(I42,I45:I48,I50)</f>
        <v>2029.9000767350008</v>
      </c>
      <c r="J49" s="225">
        <f>Data!S82-SUM(J42,J45:J48,J50)</f>
        <v>2428.5778827939994</v>
      </c>
      <c r="K49" s="225">
        <f>Data!T82-SUM(K42,K45:K48,K50)</f>
        <v>2983.5373161230018</v>
      </c>
      <c r="L49" s="225">
        <f>Data!U82-SUM(L42,L45:L48,L50)</f>
        <v>3287.4751862799967</v>
      </c>
      <c r="M49" s="225">
        <f>Data!V82-SUM(M42,M45:M48,M50)</f>
        <v>4099.0052849620006</v>
      </c>
      <c r="N49" s="225">
        <f>Data!W82-SUM(N42,N45:N48,N50)</f>
        <v>5131.1648759759992</v>
      </c>
      <c r="O49" s="225">
        <f>Data!X82-SUM(O42,O45:O48,O50)</f>
        <v>5688</v>
      </c>
      <c r="P49" s="225">
        <f>Data!Y82-SUM(P42,P45:P48,P50)</f>
        <v>5909.3305315380057</v>
      </c>
      <c r="Q49" s="224">
        <f>P49</f>
        <v>5909.3305315380057</v>
      </c>
      <c r="R49" s="224">
        <f>Q49</f>
        <v>5909.3305315380057</v>
      </c>
      <c r="S49" s="224">
        <f>R49</f>
        <v>5909.3305315380057</v>
      </c>
      <c r="T49" s="224"/>
      <c r="U49" s="224"/>
      <c r="V49" s="898">
        <f>M49</f>
        <v>4099.0052849620006</v>
      </c>
      <c r="W49" s="224">
        <f>N49</f>
        <v>5131.1648759759992</v>
      </c>
      <c r="X49" s="224"/>
      <c r="AA49" s="225"/>
      <c r="AB49" s="225"/>
      <c r="AC49" s="225"/>
      <c r="AD49" s="598">
        <f t="shared" si="32"/>
        <v>0.24685512519420882</v>
      </c>
      <c r="AE49" s="598">
        <f t="shared" si="33"/>
        <v>7.9360566201616425E-2</v>
      </c>
      <c r="AF49" s="225"/>
      <c r="AG49" s="1003"/>
    </row>
    <row r="50" spans="2:49" s="802" customFormat="1">
      <c r="B50" s="799" t="s">
        <v>46</v>
      </c>
      <c r="C50" s="800">
        <f>Data!L92</f>
        <v>2859.6839749810001</v>
      </c>
      <c r="D50" s="800">
        <f>Data!M92</f>
        <v>4166.6345320800001</v>
      </c>
      <c r="E50" s="800">
        <f>Data!N92</f>
        <v>6722.4122172589996</v>
      </c>
      <c r="F50" s="800">
        <f>Data!O92</f>
        <v>8191.3250087019996</v>
      </c>
      <c r="G50" s="800">
        <f>Data!P92</f>
        <v>9206.6662355669996</v>
      </c>
      <c r="H50" s="1105">
        <f>Data!Q92</f>
        <v>4116.9887083240001</v>
      </c>
      <c r="I50" s="800">
        <f>Data!R92</f>
        <v>6598.8688493480004</v>
      </c>
      <c r="J50" s="800">
        <f>Data!S92</f>
        <v>7513.6356540079996</v>
      </c>
      <c r="K50" s="800">
        <f>Data!T92</f>
        <v>12062.410192740001</v>
      </c>
      <c r="L50" s="800">
        <f>Data!U92</f>
        <v>17799.441187777</v>
      </c>
      <c r="M50" s="800">
        <f>Data!V92</f>
        <v>10904.344845014</v>
      </c>
      <c r="N50" s="800">
        <f>Data!W92</f>
        <v>13837.894474107001</v>
      </c>
      <c r="O50" s="800">
        <f>Data!X92</f>
        <v>14446.24</v>
      </c>
      <c r="P50" s="800">
        <f>Data!Y92</f>
        <v>19169.697497955</v>
      </c>
      <c r="Q50" s="801">
        <f ca="1">P50-PL!F431+PL!F438-PL!F439</f>
        <v>19582.217452327575</v>
      </c>
      <c r="R50" s="801">
        <f ca="1">Q50-PL!G431+PL!P431+PL!G438-PL!G439</f>
        <v>20061.747365528478</v>
      </c>
      <c r="S50" s="801">
        <f ca="1">R50-PL!H431+PL!Q431+PL!H438-PL!H439</f>
        <v>20061.747365528478</v>
      </c>
      <c r="T50" s="801"/>
      <c r="U50" s="801"/>
      <c r="V50" s="907">
        <f>M50-PL!C431+PL!D431+PL!C438-PL!C439</f>
        <v>12623.708629564997</v>
      </c>
      <c r="W50" s="801">
        <f>N50-PL!D431+PL!E431+PL!D438-PL!D439</f>
        <v>14770.944474107</v>
      </c>
      <c r="X50" s="801"/>
      <c r="AA50" s="225"/>
      <c r="AB50" s="225"/>
      <c r="AC50" s="1324"/>
      <c r="AD50" s="598">
        <f t="shared" si="32"/>
        <v>-0.3873771243727534</v>
      </c>
      <c r="AE50" s="598">
        <f t="shared" si="33"/>
        <v>0.21111828865719814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2:49">
      <c r="B51" s="417" t="s">
        <v>314</v>
      </c>
      <c r="C51" s="228">
        <f>SUM(C43:C50)</f>
        <v>6819.5062614999997</v>
      </c>
      <c r="D51" s="228">
        <f t="shared" ref="D51:M51" si="34">SUM(D43:D50)</f>
        <v>9068.7401221979999</v>
      </c>
      <c r="E51" s="228">
        <f t="shared" si="34"/>
        <v>12969.956085573</v>
      </c>
      <c r="F51" s="228">
        <f t="shared" si="34"/>
        <v>14967.5543241</v>
      </c>
      <c r="G51" s="228">
        <f t="shared" si="34"/>
        <v>17429.655689537001</v>
      </c>
      <c r="H51" s="229">
        <f t="shared" si="34"/>
        <v>11100.344738739997</v>
      </c>
      <c r="I51" s="228">
        <f t="shared" si="34"/>
        <v>14451.149990521</v>
      </c>
      <c r="J51" s="228">
        <f t="shared" si="34"/>
        <v>16102.256902439</v>
      </c>
      <c r="K51" s="228">
        <f t="shared" si="34"/>
        <v>22364.710509820001</v>
      </c>
      <c r="L51" s="228">
        <f t="shared" si="34"/>
        <v>29761.106035256998</v>
      </c>
      <c r="M51" s="228">
        <f t="shared" si="34"/>
        <v>24521.161696202002</v>
      </c>
      <c r="N51" s="228">
        <f t="shared" ref="N51:O51" si="35">SUM(N43:N50)</f>
        <v>29651.673556227001</v>
      </c>
      <c r="O51" s="228">
        <f t="shared" si="35"/>
        <v>34836.18</v>
      </c>
      <c r="P51" s="228">
        <f t="shared" ref="P51" si="36">SUM(P43:P50)</f>
        <v>41552.785100161003</v>
      </c>
      <c r="Q51" s="228">
        <f ca="1">SUM(Q43:Q50)</f>
        <v>38948.08678888197</v>
      </c>
      <c r="R51" s="228">
        <f ca="1">SUM(R43:R50)</f>
        <v>41810.513781954993</v>
      </c>
      <c r="S51" s="228">
        <f ca="1">SUM(S43:S50)</f>
        <v>44586.408991313969</v>
      </c>
      <c r="T51" s="228"/>
      <c r="U51" s="228"/>
      <c r="V51" s="903" t="e">
        <f>SUM(V43:V50)</f>
        <v>#REF!</v>
      </c>
      <c r="W51" s="228">
        <f>SUM(W43:W50)</f>
        <v>30503.732400400288</v>
      </c>
      <c r="X51" s="228"/>
      <c r="AA51" s="225"/>
      <c r="AB51" s="225"/>
      <c r="AC51" s="789"/>
      <c r="AD51" s="1002">
        <f t="shared" si="32"/>
        <v>-0.17606685493635243</v>
      </c>
      <c r="AE51" s="1002">
        <f t="shared" si="33"/>
        <v>0.47475256576792146</v>
      </c>
    </row>
    <row r="52" spans="2:49">
      <c r="B52" s="391"/>
      <c r="H52" s="223"/>
      <c r="Q52" s="224"/>
      <c r="R52" s="224"/>
      <c r="S52" s="224"/>
      <c r="T52" s="224"/>
      <c r="U52" s="224"/>
      <c r="V52" s="898"/>
      <c r="W52" s="224"/>
      <c r="X52" s="224"/>
      <c r="AA52" s="225"/>
      <c r="AB52" s="225"/>
      <c r="AC52" s="1003"/>
      <c r="AD52" s="598"/>
      <c r="AE52" s="598"/>
      <c r="AG52" s="262"/>
      <c r="AH52" s="262"/>
      <c r="AI52" s="262"/>
      <c r="AJ52" s="262"/>
      <c r="AK52" s="262"/>
    </row>
    <row r="53" spans="2:49" s="802" customFormat="1">
      <c r="B53" s="799" t="s">
        <v>47</v>
      </c>
      <c r="C53" s="800">
        <f>Data!L105</f>
        <v>21.804643161000001</v>
      </c>
      <c r="D53" s="800">
        <f>Data!M105</f>
        <v>55.406052179</v>
      </c>
      <c r="E53" s="800">
        <f>Data!N105</f>
        <v>142.418459294</v>
      </c>
      <c r="F53" s="800">
        <f>Data!O105</f>
        <v>614.35459325099998</v>
      </c>
      <c r="G53" s="800">
        <f>Data!P105</f>
        <v>732.69761280800003</v>
      </c>
      <c r="H53" s="1105">
        <f>Data!Q105</f>
        <v>565.20981763700001</v>
      </c>
      <c r="I53" s="800">
        <f>Data!R105</f>
        <v>366.79332285200002</v>
      </c>
      <c r="J53" s="800">
        <f>Data!S105</f>
        <v>349.76909994200003</v>
      </c>
      <c r="K53" s="800">
        <f>Data!T105</f>
        <v>677.79691341299997</v>
      </c>
      <c r="L53" s="800">
        <f>Data!U105</f>
        <v>2296.308493046</v>
      </c>
      <c r="M53" s="800">
        <f>Data!V105</f>
        <v>1477.8303339900001</v>
      </c>
      <c r="N53" s="800">
        <f>Data!W105</f>
        <v>208.074996962</v>
      </c>
      <c r="O53" s="800">
        <f>Data!X105</f>
        <v>501.12</v>
      </c>
      <c r="P53" s="800">
        <f>Data!Y105</f>
        <v>1903.7899881840001</v>
      </c>
      <c r="Q53" s="801">
        <f>P53-PL!O431+PL!F440-PL!F441</f>
        <v>1903.7899881840001</v>
      </c>
      <c r="R53" s="801">
        <f>Q53-PL!P431+PL!G440-PL!G441</f>
        <v>1903.7899881840001</v>
      </c>
      <c r="S53" s="801">
        <f>R53-PL!Q431+PL!H440-PL!H441</f>
        <v>1903.7899881840001</v>
      </c>
      <c r="T53" s="801"/>
      <c r="U53" s="801"/>
      <c r="V53" s="907">
        <f>312.845-PL!D431+PL!C440-PL!C441</f>
        <v>522.84500000000003</v>
      </c>
      <c r="W53" s="801">
        <f>N53-PL!E431+PL!D440-PL!D441</f>
        <v>1184.3999969619999</v>
      </c>
      <c r="X53" s="801"/>
      <c r="AA53" s="225"/>
      <c r="AB53" s="225"/>
      <c r="AC53" s="1"/>
      <c r="AD53" s="598">
        <f>M53/L53-1</f>
        <v>-0.35643214382328381</v>
      </c>
      <c r="AE53" s="598">
        <f>M53/$M$79</f>
        <v>2.8612173906103554E-2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2:49">
      <c r="B54" s="391" t="s">
        <v>495</v>
      </c>
      <c r="C54" s="225">
        <f>Data!L97-Data!L105</f>
        <v>273.60968782100002</v>
      </c>
      <c r="D54" s="225">
        <f>Data!M97-Data!M105</f>
        <v>192.55413092399999</v>
      </c>
      <c r="E54" s="225">
        <f>Data!N97-Data!N105</f>
        <v>288.15064777200001</v>
      </c>
      <c r="F54" s="225">
        <f>Data!O97-Data!O105</f>
        <v>281.39387405399998</v>
      </c>
      <c r="G54" s="225">
        <f>Data!P97-Data!P105</f>
        <v>222.83324698699994</v>
      </c>
      <c r="H54" s="226">
        <f>Data!Q97-Data!Q105</f>
        <v>95.746105715999988</v>
      </c>
      <c r="I54" s="225">
        <f>Data!R97-Data!R105</f>
        <v>164.15307108400003</v>
      </c>
      <c r="J54" s="225">
        <f>Data!S97-Data!S105</f>
        <v>142.848860307</v>
      </c>
      <c r="K54" s="225">
        <f>Data!T97-Data!T105</f>
        <v>86.148411233000047</v>
      </c>
      <c r="L54" s="225">
        <f>Data!U97-Data!U105</f>
        <v>222.54113753499996</v>
      </c>
      <c r="M54" s="225">
        <f>Data!V97-Data!V105</f>
        <v>295.28701712599991</v>
      </c>
      <c r="N54" s="225">
        <f>Data!W97-Data!W105</f>
        <v>490.06776347699997</v>
      </c>
      <c r="O54" s="225">
        <f>Data!X97-Data!X105</f>
        <v>935.15</v>
      </c>
      <c r="P54" s="225">
        <f>Data!Y97-Data!Y105</f>
        <v>881.58039892700003</v>
      </c>
      <c r="Q54" s="797">
        <f>P54</f>
        <v>881.58039892700003</v>
      </c>
      <c r="R54" s="797">
        <f>Q54</f>
        <v>881.58039892700003</v>
      </c>
      <c r="S54" s="797">
        <f>R54</f>
        <v>881.58039892700003</v>
      </c>
      <c r="T54" s="797"/>
      <c r="U54" s="797"/>
      <c r="V54" s="908">
        <f>M54</f>
        <v>295.28701712599991</v>
      </c>
      <c r="W54" s="797">
        <f>N54</f>
        <v>490.06776347699997</v>
      </c>
      <c r="X54" s="797"/>
      <c r="AA54" s="225"/>
      <c r="AB54" s="225"/>
      <c r="AD54" s="598">
        <f>M54/L54-1</f>
        <v>0.32688733596303687</v>
      </c>
      <c r="AE54" s="598">
        <f>M54/$M$79</f>
        <v>5.7170321192506106E-3</v>
      </c>
      <c r="AH54" s="789"/>
      <c r="AI54" s="789"/>
      <c r="AJ54" s="789"/>
      <c r="AK54" s="789"/>
    </row>
    <row r="55" spans="2:49">
      <c r="B55" s="417" t="s">
        <v>315</v>
      </c>
      <c r="C55" s="228">
        <f>SUM(C53:C54)</f>
        <v>295.41433098200002</v>
      </c>
      <c r="D55" s="228">
        <f t="shared" ref="D55:M55" si="37">SUM(D53:D54)</f>
        <v>247.96018310299999</v>
      </c>
      <c r="E55" s="228">
        <f t="shared" si="37"/>
        <v>430.56910706600002</v>
      </c>
      <c r="F55" s="228">
        <f t="shared" si="37"/>
        <v>895.74846730499996</v>
      </c>
      <c r="G55" s="228">
        <f t="shared" si="37"/>
        <v>955.53085979499997</v>
      </c>
      <c r="H55" s="229">
        <f t="shared" si="37"/>
        <v>660.955923353</v>
      </c>
      <c r="I55" s="228">
        <f t="shared" si="37"/>
        <v>530.94639393600005</v>
      </c>
      <c r="J55" s="228">
        <f t="shared" si="37"/>
        <v>492.61796024900002</v>
      </c>
      <c r="K55" s="228">
        <f t="shared" si="37"/>
        <v>763.94532464600002</v>
      </c>
      <c r="L55" s="228">
        <f t="shared" si="37"/>
        <v>2518.8496305809999</v>
      </c>
      <c r="M55" s="228">
        <f t="shared" si="37"/>
        <v>1773.117351116</v>
      </c>
      <c r="N55" s="228">
        <f t="shared" ref="N55:O55" si="38">SUM(N53:N54)</f>
        <v>698.14276043899997</v>
      </c>
      <c r="O55" s="228">
        <f t="shared" si="38"/>
        <v>1436.27</v>
      </c>
      <c r="P55" s="228">
        <f t="shared" ref="P55" si="39">SUM(P53:P54)</f>
        <v>2785.3703871110001</v>
      </c>
      <c r="Q55" s="228">
        <f>SUM(Q53:Q54)</f>
        <v>2785.3703871110001</v>
      </c>
      <c r="R55" s="228">
        <f>SUM(R53:R54)</f>
        <v>2785.3703871110001</v>
      </c>
      <c r="S55" s="228">
        <f>SUM(S53:S54)</f>
        <v>2785.3703871110001</v>
      </c>
      <c r="T55" s="228"/>
      <c r="U55" s="228"/>
      <c r="V55" s="228">
        <f>SUM(V53:V54)</f>
        <v>818.13201712599994</v>
      </c>
      <c r="W55" s="228">
        <f>SUM(W53:W54)</f>
        <v>1674.4677604389999</v>
      </c>
      <c r="X55" s="228"/>
      <c r="AA55" s="225"/>
      <c r="AB55" s="225"/>
      <c r="AD55" s="1002">
        <f>M55/L55-1</f>
        <v>-0.29606065817155935</v>
      </c>
      <c r="AE55" s="1002">
        <f>M55/$M$79</f>
        <v>3.4329206025354164E-2</v>
      </c>
    </row>
    <row r="56" spans="2:49">
      <c r="B56" s="391"/>
      <c r="H56" s="223"/>
      <c r="Q56" s="225"/>
      <c r="R56" s="225"/>
      <c r="S56" s="225"/>
      <c r="T56" s="225"/>
      <c r="U56" s="225"/>
      <c r="V56" s="225"/>
      <c r="W56" s="225"/>
      <c r="X56" s="225"/>
      <c r="AA56" s="225"/>
      <c r="AB56" s="225"/>
      <c r="AD56" s="598"/>
      <c r="AE56" s="598"/>
    </row>
    <row r="57" spans="2:49">
      <c r="B57" s="418" t="s">
        <v>95</v>
      </c>
      <c r="C57" s="233">
        <f>(C50+C53)-(C6+C7)</f>
        <v>-115.05379335999987</v>
      </c>
      <c r="D57" s="233">
        <f t="shared" ref="D57:M57" si="40">(D50+D53)-(D6+D7)</f>
        <v>18.214578203000201</v>
      </c>
      <c r="E57" s="233">
        <f t="shared" si="40"/>
        <v>1100.0691670079996</v>
      </c>
      <c r="F57" s="233">
        <f t="shared" si="40"/>
        <v>2603.528532463999</v>
      </c>
      <c r="G57" s="233">
        <f t="shared" si="40"/>
        <v>453.91517286400085</v>
      </c>
      <c r="H57" s="377">
        <f t="shared" si="40"/>
        <v>-3177.9072009000001</v>
      </c>
      <c r="I57" s="233">
        <f t="shared" si="40"/>
        <v>-2528.6887612299997</v>
      </c>
      <c r="J57" s="233">
        <f t="shared" si="40"/>
        <v>-2298.9620259440007</v>
      </c>
      <c r="K57" s="233">
        <f t="shared" si="40"/>
        <v>-4381.9023921539992</v>
      </c>
      <c r="L57" s="233">
        <f t="shared" si="40"/>
        <v>-6052.816347875003</v>
      </c>
      <c r="M57" s="233">
        <f t="shared" si="40"/>
        <v>-7105.2361272679991</v>
      </c>
      <c r="N57" s="233">
        <f t="shared" ref="N57:O57" si="41">(N50+N53)-(N6+N7)</f>
        <v>-10337.392570161997</v>
      </c>
      <c r="O57" s="233">
        <f t="shared" si="41"/>
        <v>-16153.29</v>
      </c>
      <c r="P57" s="233">
        <f t="shared" ref="P57" si="42">(P50+P53)-(P6+P7)</f>
        <v>-19079.680892221004</v>
      </c>
      <c r="Q57" s="233">
        <f ca="1">(Q50+Q53)-(Q6+Q7)</f>
        <v>-25937.087372138354</v>
      </c>
      <c r="R57" s="233">
        <f ca="1">(R50+R53)-(R6+R7)</f>
        <v>-28004.022892590998</v>
      </c>
      <c r="S57" s="233">
        <f ca="1">(S50+S53)-(S6+S7)</f>
        <v>-30207.527116598569</v>
      </c>
      <c r="T57" s="233"/>
      <c r="U57" s="233"/>
      <c r="V57" s="233" t="e">
        <f>(V50+V53)-(V6+V7)</f>
        <v>#REF!</v>
      </c>
      <c r="W57" s="233">
        <f>(W50+W53)-(W6+W7)</f>
        <v>-8428.0175701619974</v>
      </c>
      <c r="X57" s="233"/>
      <c r="AA57" s="225"/>
      <c r="AB57" s="225"/>
      <c r="AD57" s="598">
        <f>M57/L57-1</f>
        <v>0.17387274268819919</v>
      </c>
      <c r="AE57" s="598">
        <f>M57/$M$79</f>
        <v>-0.1375639997647371</v>
      </c>
    </row>
    <row r="58" spans="2:49">
      <c r="B58" s="418" t="s">
        <v>474</v>
      </c>
      <c r="C58" s="233">
        <f>C50+C53</f>
        <v>2881.4886181420002</v>
      </c>
      <c r="D58" s="233">
        <f t="shared" ref="D58:M58" si="43">D50+D53</f>
        <v>4222.0405842589998</v>
      </c>
      <c r="E58" s="233">
        <f t="shared" si="43"/>
        <v>6864.8306765529996</v>
      </c>
      <c r="F58" s="233">
        <f t="shared" si="43"/>
        <v>8805.6796019529993</v>
      </c>
      <c r="G58" s="233">
        <f t="shared" si="43"/>
        <v>9939.3638483750001</v>
      </c>
      <c r="H58" s="377">
        <f t="shared" si="43"/>
        <v>4682.1985259610001</v>
      </c>
      <c r="I58" s="233">
        <f t="shared" si="43"/>
        <v>6965.6621722</v>
      </c>
      <c r="J58" s="233">
        <f t="shared" si="43"/>
        <v>7863.4047539499998</v>
      </c>
      <c r="K58" s="233">
        <f t="shared" si="43"/>
        <v>12740.207106153</v>
      </c>
      <c r="L58" s="233">
        <f t="shared" si="43"/>
        <v>20095.749680822999</v>
      </c>
      <c r="M58" s="233">
        <f t="shared" si="43"/>
        <v>12382.175179004</v>
      </c>
      <c r="N58" s="233">
        <f t="shared" ref="N58:O58" si="44">N50+N53</f>
        <v>14045.969471069</v>
      </c>
      <c r="O58" s="233">
        <f t="shared" si="44"/>
        <v>14947.36</v>
      </c>
      <c r="P58" s="233">
        <f t="shared" ref="P58" si="45">P50+P53</f>
        <v>21073.487486138998</v>
      </c>
      <c r="Q58" s="233">
        <f ca="1">Q50+Q53</f>
        <v>21486.007440511574</v>
      </c>
      <c r="R58" s="233">
        <f ca="1">R50+R53</f>
        <v>21965.537353712476</v>
      </c>
      <c r="S58" s="233">
        <f ca="1">S50+S53</f>
        <v>21965.537353712476</v>
      </c>
      <c r="T58" s="233"/>
      <c r="U58" s="233"/>
      <c r="V58" s="233">
        <f>V50+V53</f>
        <v>13146.553629564996</v>
      </c>
      <c r="W58" s="233">
        <f>W50+W53</f>
        <v>15955.344471069</v>
      </c>
      <c r="X58" s="233"/>
      <c r="AA58" s="225"/>
      <c r="AB58" s="225"/>
      <c r="AC58" s="725"/>
      <c r="AD58" s="598">
        <f>M58/L58-1</f>
        <v>-0.38384109198871641</v>
      </c>
      <c r="AE58" s="598">
        <f>M58/$M$79</f>
        <v>0.23973046256330169</v>
      </c>
    </row>
    <row r="59" spans="2:49" s="323" customFormat="1">
      <c r="B59" s="418"/>
      <c r="H59" s="1090"/>
      <c r="Q59" s="591"/>
      <c r="R59" s="591"/>
      <c r="S59" s="591"/>
      <c r="T59" s="591"/>
      <c r="U59" s="591"/>
      <c r="V59" s="2354"/>
      <c r="W59" s="591"/>
      <c r="X59" s="591"/>
      <c r="AA59" s="225"/>
      <c r="AB59" s="225"/>
      <c r="AD59" s="598"/>
      <c r="AE59" s="598"/>
    </row>
    <row r="60" spans="2:49" s="323" customFormat="1">
      <c r="B60" s="418"/>
      <c r="H60" s="1090"/>
      <c r="M60" s="3187"/>
      <c r="N60" s="3187"/>
      <c r="O60" s="3187"/>
      <c r="P60" s="3187"/>
      <c r="Q60" s="233"/>
      <c r="R60" s="233"/>
      <c r="S60" s="233"/>
      <c r="T60" s="233"/>
      <c r="U60" s="233"/>
      <c r="V60" s="904"/>
      <c r="W60" s="233"/>
      <c r="X60" s="3188"/>
      <c r="AA60" s="225"/>
      <c r="AB60" s="225"/>
      <c r="AD60" s="598" t="e">
        <f>M60/L60-1</f>
        <v>#DIV/0!</v>
      </c>
      <c r="AE60" s="598">
        <f>M60/$M$79</f>
        <v>0</v>
      </c>
    </row>
    <row r="61" spans="2:49" s="1" customFormat="1">
      <c r="B61" s="1595" t="s">
        <v>48</v>
      </c>
      <c r="C61" s="1830">
        <f>C59+C55+C51</f>
        <v>7114.9205924819998</v>
      </c>
      <c r="D61" s="1830">
        <f t="shared" ref="D61:M61" si="46">D59+D55+D51</f>
        <v>9316.7003053009994</v>
      </c>
      <c r="E61" s="1830">
        <f t="shared" si="46"/>
        <v>13400.525192638999</v>
      </c>
      <c r="F61" s="1830">
        <f t="shared" si="46"/>
        <v>15863.302791405</v>
      </c>
      <c r="G61" s="1830">
        <f t="shared" si="46"/>
        <v>18385.186549332</v>
      </c>
      <c r="H61" s="1831">
        <f t="shared" si="46"/>
        <v>11761.300662092997</v>
      </c>
      <c r="I61" s="1830">
        <f t="shared" si="46"/>
        <v>14982.096384457</v>
      </c>
      <c r="J61" s="1830">
        <f t="shared" si="46"/>
        <v>16594.874862688001</v>
      </c>
      <c r="K61" s="1830">
        <f t="shared" si="46"/>
        <v>23128.655834466001</v>
      </c>
      <c r="L61" s="1830">
        <f t="shared" si="46"/>
        <v>32279.955665837999</v>
      </c>
      <c r="M61" s="3186">
        <f t="shared" si="46"/>
        <v>26294.279047318003</v>
      </c>
      <c r="N61" s="3186">
        <f t="shared" ref="N61:O61" si="47">N59+N55+N51</f>
        <v>30349.816316666002</v>
      </c>
      <c r="O61" s="3186">
        <f t="shared" si="47"/>
        <v>36272.449999999997</v>
      </c>
      <c r="P61" s="3186">
        <f t="shared" ref="P61" si="48">P59+P55+P51</f>
        <v>44338.155487272001</v>
      </c>
      <c r="Q61" s="1830">
        <f ca="1">Q55+Q51</f>
        <v>41733.457175992968</v>
      </c>
      <c r="R61" s="1830">
        <f ca="1">R55+R51</f>
        <v>44595.88416906599</v>
      </c>
      <c r="S61" s="1830">
        <f ca="1">S55+S51</f>
        <v>47371.779378424966</v>
      </c>
      <c r="T61" s="1830"/>
      <c r="U61" s="1830"/>
      <c r="V61" s="1832" t="e">
        <f>V55+V51</f>
        <v>#REF!</v>
      </c>
      <c r="W61" s="1830">
        <f>W55+W51</f>
        <v>32178.200160839289</v>
      </c>
      <c r="X61" s="3186"/>
      <c r="AA61" s="225"/>
      <c r="AB61" s="225"/>
      <c r="AD61" s="1002">
        <f>M61/L61-1</f>
        <v>-0.18543013752818316</v>
      </c>
      <c r="AE61" s="1002">
        <f>M61/$M$79</f>
        <v>0.50908177179327563</v>
      </c>
      <c r="AG61" s="789"/>
      <c r="AH61" s="789"/>
      <c r="AI61" s="789"/>
      <c r="AJ61" s="789"/>
      <c r="AK61" s="789"/>
      <c r="AL61" s="789"/>
    </row>
    <row r="62" spans="2:49" s="1" customFormat="1">
      <c r="B62" s="414"/>
      <c r="H62" s="1091"/>
      <c r="Q62" s="232"/>
      <c r="R62" s="232"/>
      <c r="S62" s="232"/>
      <c r="T62" s="232"/>
      <c r="U62" s="232"/>
      <c r="V62" s="905"/>
      <c r="W62" s="232"/>
      <c r="X62" s="232"/>
      <c r="AA62" s="225"/>
      <c r="AB62" s="225"/>
      <c r="AD62" s="598"/>
      <c r="AE62" s="598"/>
      <c r="AG62" s="789"/>
      <c r="AH62" s="789"/>
      <c r="AI62" s="789"/>
      <c r="AJ62" s="789"/>
      <c r="AK62" s="789"/>
      <c r="AL62" s="789"/>
    </row>
    <row r="63" spans="2:49">
      <c r="B63" s="415" t="s">
        <v>49</v>
      </c>
      <c r="C63" s="1"/>
      <c r="D63" s="1"/>
      <c r="E63" s="1"/>
      <c r="F63" s="1"/>
      <c r="G63" s="1"/>
      <c r="H63" s="1091"/>
      <c r="I63" s="1"/>
      <c r="J63" s="1"/>
      <c r="K63" s="1"/>
      <c r="L63" s="1"/>
      <c r="M63" s="1"/>
      <c r="N63" s="1"/>
      <c r="O63" s="1"/>
      <c r="P63" s="1"/>
      <c r="Q63" s="225"/>
      <c r="R63" s="225"/>
      <c r="S63" s="225"/>
      <c r="T63" s="225"/>
      <c r="U63" s="225"/>
      <c r="V63" s="901"/>
      <c r="W63" s="225"/>
      <c r="X63" s="225"/>
      <c r="AA63" s="225"/>
      <c r="AB63" s="225"/>
      <c r="AD63" s="598"/>
      <c r="AE63" s="598"/>
    </row>
    <row r="64" spans="2:49">
      <c r="B64" s="391" t="s">
        <v>847</v>
      </c>
      <c r="C64" s="224">
        <f>C65+C66</f>
        <v>2738.4883300000001</v>
      </c>
      <c r="D64" s="224">
        <f t="shared" ref="D64:M64" si="49">D65+D66</f>
        <v>2752.01755</v>
      </c>
      <c r="E64" s="224">
        <f t="shared" si="49"/>
        <v>3439.7660000000001</v>
      </c>
      <c r="F64" s="224">
        <f t="shared" si="49"/>
        <v>3975.3164000000002</v>
      </c>
      <c r="G64" s="224">
        <f t="shared" si="49"/>
        <v>4594.2668400000002</v>
      </c>
      <c r="H64" s="227">
        <f t="shared" si="49"/>
        <v>5309.6110500000004</v>
      </c>
      <c r="I64" s="224">
        <f t="shared" si="49"/>
        <v>6136.3677200000002</v>
      </c>
      <c r="J64" s="224">
        <f t="shared" si="49"/>
        <v>6783.5868799999998</v>
      </c>
      <c r="K64" s="224">
        <f t="shared" si="49"/>
        <v>7839.8748599999999</v>
      </c>
      <c r="L64" s="224">
        <f t="shared" si="49"/>
        <v>9075.51649</v>
      </c>
      <c r="M64" s="224">
        <f t="shared" si="49"/>
        <v>10970.265719999999</v>
      </c>
      <c r="N64" s="224">
        <f t="shared" ref="N64:O64" si="50">N65+N66</f>
        <v>12699.688749999999</v>
      </c>
      <c r="O64" s="224">
        <f t="shared" si="50"/>
        <v>14710.69</v>
      </c>
      <c r="P64" s="224">
        <f t="shared" ref="P64" si="51">P65+P66</f>
        <v>17035.071209999998</v>
      </c>
      <c r="Q64" s="224">
        <f>Q65+Q66</f>
        <v>18738.578410999999</v>
      </c>
      <c r="R64" s="224">
        <f>R65+R66</f>
        <v>20612.436332099998</v>
      </c>
      <c r="S64" s="224">
        <f>S65+S66</f>
        <v>22673.680045309997</v>
      </c>
      <c r="T64" s="224"/>
      <c r="U64" s="224"/>
      <c r="V64" s="898" t="e">
        <f>V65+V66</f>
        <v>#REF!</v>
      </c>
      <c r="W64" s="224">
        <f>W65+W66</f>
        <v>14604.64206</v>
      </c>
      <c r="X64" s="224"/>
      <c r="AA64" s="225"/>
      <c r="AB64" s="225"/>
      <c r="AD64" s="598">
        <f>M64/L64-1</f>
        <v>0.20877591177182686</v>
      </c>
      <c r="AE64" s="598">
        <f>M64/$M$79</f>
        <v>0.21239457829326855</v>
      </c>
    </row>
    <row r="65" spans="2:31" s="323" customFormat="1">
      <c r="B65" s="1364" t="s">
        <v>778</v>
      </c>
      <c r="C65" s="1089"/>
      <c r="D65" s="1089"/>
      <c r="E65" s="1089"/>
      <c r="F65" s="1089"/>
      <c r="G65" s="1089"/>
      <c r="H65" s="1092"/>
      <c r="I65" s="1089"/>
      <c r="J65" s="1089"/>
      <c r="K65" s="1089"/>
      <c r="L65" s="1089"/>
      <c r="M65" s="1089"/>
      <c r="N65" s="1089"/>
      <c r="O65" s="1089"/>
      <c r="P65" s="1089"/>
      <c r="Q65" s="1089">
        <f>P65</f>
        <v>0</v>
      </c>
      <c r="R65" s="1089">
        <f>Q65</f>
        <v>0</v>
      </c>
      <c r="S65" s="1089">
        <f>R65</f>
        <v>0</v>
      </c>
      <c r="T65" s="1089"/>
      <c r="U65" s="1089"/>
      <c r="V65" s="1304">
        <f>M65</f>
        <v>0</v>
      </c>
      <c r="W65" s="1089">
        <f>N65</f>
        <v>0</v>
      </c>
      <c r="X65" s="1089"/>
      <c r="AA65" s="225"/>
      <c r="AB65" s="225"/>
      <c r="AD65" s="598"/>
      <c r="AE65" s="598"/>
    </row>
    <row r="66" spans="2:31">
      <c r="B66" s="1364" t="s">
        <v>113</v>
      </c>
      <c r="C66" s="695">
        <f>Data!L114</f>
        <v>2738.4883300000001</v>
      </c>
      <c r="D66" s="695">
        <f>Data!M114</f>
        <v>2752.01755</v>
      </c>
      <c r="E66" s="695">
        <f>Data!N114</f>
        <v>3439.7660000000001</v>
      </c>
      <c r="F66" s="695">
        <f>Data!O114</f>
        <v>3975.3164000000002</v>
      </c>
      <c r="G66" s="695">
        <f>Data!P114</f>
        <v>4594.2668400000002</v>
      </c>
      <c r="H66" s="375">
        <f>Data!Q114</f>
        <v>5309.6110500000004</v>
      </c>
      <c r="I66" s="376">
        <f>Data!R114</f>
        <v>6136.3677200000002</v>
      </c>
      <c r="J66" s="376">
        <f>Data!S114</f>
        <v>6783.5868799999998</v>
      </c>
      <c r="K66" s="376">
        <f>Data!T114</f>
        <v>7839.8748599999999</v>
      </c>
      <c r="L66" s="376">
        <f>Data!U114</f>
        <v>9075.51649</v>
      </c>
      <c r="M66" s="376">
        <f>Data!V114</f>
        <v>10970.265719999999</v>
      </c>
      <c r="N66" s="376">
        <f>Data!W114</f>
        <v>12699.688749999999</v>
      </c>
      <c r="O66" s="376">
        <f>Data!X114</f>
        <v>14710.69</v>
      </c>
      <c r="P66" s="376">
        <f>Data!Y114</f>
        <v>17035.071209999998</v>
      </c>
      <c r="Q66" s="798">
        <f>Q164</f>
        <v>18738.578410999999</v>
      </c>
      <c r="R66" s="798">
        <f>R164</f>
        <v>20612.436332099998</v>
      </c>
      <c r="S66" s="798">
        <f>S164</f>
        <v>22673.680045309997</v>
      </c>
      <c r="T66" s="798"/>
      <c r="U66" s="798"/>
      <c r="V66" s="1305" t="e">
        <f>V164</f>
        <v>#REF!</v>
      </c>
      <c r="W66" s="798">
        <f>W164</f>
        <v>14604.64206</v>
      </c>
      <c r="X66" s="798"/>
      <c r="AA66" s="225"/>
      <c r="AB66" s="225"/>
      <c r="AD66" s="598"/>
      <c r="AE66" s="598"/>
    </row>
    <row r="67" spans="2:31">
      <c r="B67" s="1363" t="s">
        <v>496</v>
      </c>
      <c r="C67" s="224">
        <f>Data!L117</f>
        <v>49.465703200999997</v>
      </c>
      <c r="D67" s="224">
        <f>Data!M117</f>
        <v>49.465703200999997</v>
      </c>
      <c r="E67" s="224">
        <f>Data!N117</f>
        <v>49.465703200999997</v>
      </c>
      <c r="F67" s="224">
        <f>Data!O117</f>
        <v>49.465703200999997</v>
      </c>
      <c r="G67" s="224">
        <f>Data!P117</f>
        <v>49.465703200999997</v>
      </c>
      <c r="H67" s="227">
        <f>Data!Q117</f>
        <v>49.465703200999997</v>
      </c>
      <c r="I67" s="224">
        <f>Data!R117</f>
        <v>49.465703200999997</v>
      </c>
      <c r="J67" s="224">
        <f>Data!S117</f>
        <v>49.941441359999999</v>
      </c>
      <c r="K67" s="224">
        <f>Data!T117</f>
        <v>49.713213410999998</v>
      </c>
      <c r="L67" s="224">
        <f>Data!U117</f>
        <v>49.713213410999998</v>
      </c>
      <c r="M67" s="224">
        <f>Data!V117</f>
        <v>49.713213410999998</v>
      </c>
      <c r="N67" s="224">
        <f>Data!W117</f>
        <v>49.713213410999998</v>
      </c>
      <c r="O67" s="224">
        <f>Data!X117</f>
        <v>49.71</v>
      </c>
      <c r="P67" s="224">
        <f>Data!Y117</f>
        <v>49.713213410999998</v>
      </c>
      <c r="Q67" s="230">
        <f>P67</f>
        <v>49.713213410999998</v>
      </c>
      <c r="R67" s="230">
        <f>Q67</f>
        <v>49.713213410999998</v>
      </c>
      <c r="S67" s="230">
        <f>R67</f>
        <v>49.713213410999998</v>
      </c>
      <c r="T67" s="230"/>
      <c r="U67" s="230"/>
      <c r="V67" s="899">
        <f>M67</f>
        <v>49.713213410999998</v>
      </c>
      <c r="W67" s="230">
        <f>N67</f>
        <v>49.713213410999998</v>
      </c>
      <c r="X67" s="230"/>
      <c r="AA67" s="225"/>
      <c r="AB67" s="225"/>
      <c r="AD67" s="598"/>
      <c r="AE67" s="598"/>
    </row>
    <row r="68" spans="2:31">
      <c r="B68" s="1363" t="s">
        <v>849</v>
      </c>
      <c r="C68" s="1088">
        <f>Data!L120</f>
        <v>-0.79434000000000005</v>
      </c>
      <c r="D68" s="1088">
        <f>Data!M120</f>
        <v>-0.82376000000000005</v>
      </c>
      <c r="E68" s="1088">
        <f>Data!N120</f>
        <v>-0.82376000000000005</v>
      </c>
      <c r="F68" s="1088">
        <f>Data!O120</f>
        <v>-0.82376000000000005</v>
      </c>
      <c r="G68" s="1088">
        <f>Data!P120</f>
        <v>-0.82376000000000005</v>
      </c>
      <c r="H68" s="1093">
        <f>Data!Q120</f>
        <v>-0.82376000000000005</v>
      </c>
      <c r="I68" s="1088">
        <f>Data!R120</f>
        <v>-0.82376000000000005</v>
      </c>
      <c r="J68" s="1088">
        <f>Data!S120</f>
        <v>-0.82376000000000005</v>
      </c>
      <c r="K68" s="1088">
        <f>Data!T120</f>
        <v>-0.82376000000000005</v>
      </c>
      <c r="L68" s="1088">
        <f>Data!U120</f>
        <v>-0.82376000000000005</v>
      </c>
      <c r="M68" s="1088">
        <f>Data!V120</f>
        <v>0</v>
      </c>
      <c r="N68" s="1088">
        <f>Data!W120</f>
        <v>0</v>
      </c>
      <c r="O68" s="1088">
        <f>Data!X120</f>
        <v>0</v>
      </c>
      <c r="P68" s="1088">
        <f>Data!Y120</f>
        <v>0</v>
      </c>
      <c r="Q68" s="992">
        <f>Q170</f>
        <v>0</v>
      </c>
      <c r="R68" s="992">
        <f>R170</f>
        <v>0</v>
      </c>
      <c r="S68" s="992">
        <f>S170</f>
        <v>0</v>
      </c>
      <c r="T68" s="992"/>
      <c r="U68" s="992"/>
      <c r="V68" s="991">
        <f>V170</f>
        <v>0</v>
      </c>
      <c r="W68" s="992">
        <f>W170</f>
        <v>0</v>
      </c>
      <c r="X68" s="992"/>
      <c r="AA68" s="225"/>
      <c r="AB68" s="225"/>
      <c r="AD68" s="598"/>
      <c r="AE68" s="598"/>
    </row>
    <row r="69" spans="2:31">
      <c r="B69" s="1363" t="s">
        <v>848</v>
      </c>
      <c r="C69" s="224"/>
      <c r="D69" s="224"/>
      <c r="E69" s="224"/>
      <c r="F69" s="224"/>
      <c r="G69" s="224"/>
      <c r="H69" s="227"/>
      <c r="I69" s="224"/>
      <c r="J69" s="224"/>
      <c r="K69" s="224"/>
      <c r="L69" s="224"/>
      <c r="M69" s="224"/>
      <c r="N69" s="224"/>
      <c r="O69" s="224"/>
      <c r="P69" s="224"/>
      <c r="Q69" s="995"/>
      <c r="R69" s="995"/>
      <c r="S69" s="995"/>
      <c r="T69" s="995"/>
      <c r="U69" s="995"/>
      <c r="V69" s="1306"/>
      <c r="W69" s="995"/>
      <c r="X69" s="995"/>
      <c r="AA69" s="225"/>
      <c r="AB69" s="225"/>
      <c r="AD69" s="598"/>
      <c r="AE69" s="598"/>
    </row>
    <row r="70" spans="2:31">
      <c r="B70" s="414" t="s">
        <v>767</v>
      </c>
      <c r="C70" s="228">
        <f>Data!L127</f>
        <v>3181.3124609870001</v>
      </c>
      <c r="D70" s="228">
        <f>Data!M127</f>
        <v>4207.3418847949997</v>
      </c>
      <c r="E70" s="228">
        <f>Data!N127</f>
        <v>4268.1536384889996</v>
      </c>
      <c r="F70" s="228">
        <f>Data!O127</f>
        <v>4394.5547490250001</v>
      </c>
      <c r="G70" s="228">
        <f>Data!P127</f>
        <v>4614.3398625030004</v>
      </c>
      <c r="H70" s="229">
        <f>Data!Q127</f>
        <v>5511.4086502059999</v>
      </c>
      <c r="I70" s="228">
        <f>Data!R127</f>
        <v>5293.166046073</v>
      </c>
      <c r="J70" s="228">
        <f>Data!S127</f>
        <v>5960.6769564690003</v>
      </c>
      <c r="K70" s="228">
        <f>Data!T127</f>
        <v>6390.9061284520003</v>
      </c>
      <c r="L70" s="228">
        <f>Data!U127</f>
        <v>7000.4805850040002</v>
      </c>
      <c r="M70" s="228">
        <f>Data!V127</f>
        <v>7711.6814845409999</v>
      </c>
      <c r="N70" s="228">
        <f>Data!W127</f>
        <v>8674.1267086700009</v>
      </c>
      <c r="O70" s="228">
        <f>Data!X127</f>
        <v>11030.53</v>
      </c>
      <c r="P70" s="228">
        <f>Data!Y127</f>
        <v>14324.284500434</v>
      </c>
      <c r="Q70" s="588">
        <f ca="1">P70+Q94</f>
        <v>18833.631458142583</v>
      </c>
      <c r="R70" s="588">
        <f ca="1">Q70+R94</f>
        <v>24497.632062844525</v>
      </c>
      <c r="S70" s="588">
        <f ca="1">R70+S94</f>
        <v>31509.648681587732</v>
      </c>
      <c r="T70" s="588"/>
      <c r="U70" s="588"/>
      <c r="V70" s="1307" t="e">
        <f>M70+V94</f>
        <v>#REF!</v>
      </c>
      <c r="W70" s="588">
        <f>N70+W94</f>
        <v>9678.2445618536985</v>
      </c>
      <c r="X70" s="588"/>
      <c r="AA70" s="225"/>
      <c r="AB70" s="225"/>
      <c r="AD70" s="598">
        <f>M70/L70-1</f>
        <v>0.1015931536272654</v>
      </c>
      <c r="AE70" s="598">
        <f>M70/$M$79</f>
        <v>0.14930534762298292</v>
      </c>
    </row>
    <row r="71" spans="2:31">
      <c r="B71" s="391" t="s">
        <v>51</v>
      </c>
      <c r="C71" s="1096">
        <f>Data!L121</f>
        <v>0</v>
      </c>
      <c r="D71" s="1096">
        <f>Data!M121</f>
        <v>0</v>
      </c>
      <c r="E71" s="1096">
        <f>Data!N121</f>
        <v>0</v>
      </c>
      <c r="F71" s="1096">
        <f>Data!O121</f>
        <v>0</v>
      </c>
      <c r="G71" s="1096">
        <f>Data!P121</f>
        <v>0</v>
      </c>
      <c r="H71" s="1097">
        <f>Data!Q121</f>
        <v>0</v>
      </c>
      <c r="I71" s="1096">
        <f>Data!R121</f>
        <v>0</v>
      </c>
      <c r="J71" s="1096">
        <f>Data!S121</f>
        <v>0</v>
      </c>
      <c r="K71" s="1096">
        <f>Data!T121</f>
        <v>0</v>
      </c>
      <c r="L71" s="1096">
        <f>Data!U121</f>
        <v>0</v>
      </c>
      <c r="M71" s="1096">
        <f>Data!V121</f>
        <v>0</v>
      </c>
      <c r="N71" s="1096">
        <f>Data!W121</f>
        <v>0</v>
      </c>
      <c r="O71" s="1096">
        <f>Data!X121</f>
        <v>0</v>
      </c>
      <c r="P71" s="1096">
        <f>Data!Y121</f>
        <v>0</v>
      </c>
      <c r="Q71" s="992">
        <f t="shared" ref="Q71:S72" si="52">P71</f>
        <v>0</v>
      </c>
      <c r="R71" s="992">
        <f t="shared" si="52"/>
        <v>0</v>
      </c>
      <c r="S71" s="992">
        <f t="shared" si="52"/>
        <v>0</v>
      </c>
      <c r="T71" s="992"/>
      <c r="U71" s="992"/>
      <c r="V71" s="991">
        <f>M71</f>
        <v>0</v>
      </c>
      <c r="W71" s="992">
        <f>N71</f>
        <v>0</v>
      </c>
      <c r="X71" s="992"/>
      <c r="AA71" s="225"/>
      <c r="AB71" s="225"/>
      <c r="AD71" s="598"/>
      <c r="AE71" s="598"/>
    </row>
    <row r="72" spans="2:31">
      <c r="B72" s="391" t="s">
        <v>850</v>
      </c>
      <c r="C72" s="225">
        <f>Data!L122</f>
        <v>27.959758134000001</v>
      </c>
      <c r="D72" s="225">
        <f>Data!M122</f>
        <v>4.3024900920000002</v>
      </c>
      <c r="E72" s="225">
        <f>Data!N122</f>
        <v>-12.569673744999999</v>
      </c>
      <c r="F72" s="225">
        <f>Data!O122</f>
        <v>-6.5493252679999996</v>
      </c>
      <c r="G72" s="225">
        <f>Data!P122</f>
        <v>-5.8754680989999999</v>
      </c>
      <c r="H72" s="226">
        <f>Data!Q122</f>
        <v>10.358539447</v>
      </c>
      <c r="I72" s="738">
        <f>Data!R122</f>
        <v>14.965650460000001</v>
      </c>
      <c r="J72" s="738">
        <f>Data!S122</f>
        <v>-7.773137062</v>
      </c>
      <c r="K72" s="738">
        <f>Data!T122</f>
        <v>13.496751277</v>
      </c>
      <c r="L72" s="738">
        <f>Data!U122</f>
        <v>-22.561932248000002</v>
      </c>
      <c r="M72" s="738">
        <f>Data!V122</f>
        <v>-40.480690557000003</v>
      </c>
      <c r="N72" s="738">
        <f>Data!W122</f>
        <v>-17.778502626000002</v>
      </c>
      <c r="O72" s="738">
        <f>Data!X122</f>
        <v>-49.49</v>
      </c>
      <c r="P72" s="738">
        <f>Data!Y122</f>
        <v>-70.194908319000007</v>
      </c>
      <c r="Q72" s="995">
        <f t="shared" si="52"/>
        <v>-70.194908319000007</v>
      </c>
      <c r="R72" s="995">
        <f t="shared" si="52"/>
        <v>-70.194908319000007</v>
      </c>
      <c r="S72" s="995">
        <f t="shared" si="52"/>
        <v>-70.194908319000007</v>
      </c>
      <c r="T72" s="995"/>
      <c r="U72" s="995"/>
      <c r="V72" s="1306">
        <f>M72</f>
        <v>-40.480690557000003</v>
      </c>
      <c r="W72" s="995">
        <f>N72</f>
        <v>-17.778502626000002</v>
      </c>
      <c r="X72" s="995"/>
      <c r="AA72" s="225"/>
      <c r="AB72" s="225"/>
      <c r="AD72" s="598">
        <f>M72/L72-1</f>
        <v>0.79420317870107993</v>
      </c>
      <c r="AE72" s="598">
        <f>M72/$M$79</f>
        <v>-7.8374393285656114E-4</v>
      </c>
    </row>
    <row r="73" spans="2:31">
      <c r="B73" s="391" t="s">
        <v>851</v>
      </c>
      <c r="C73" s="225">
        <f>Data!L123</f>
        <v>67.103009260999997</v>
      </c>
      <c r="D73" s="225">
        <f>Data!M123</f>
        <v>78.666938875</v>
      </c>
      <c r="E73" s="225">
        <f>Data!N123</f>
        <v>79.400040851</v>
      </c>
      <c r="F73" s="225">
        <f>Data!O123</f>
        <v>79.036549084000001</v>
      </c>
      <c r="G73" s="225">
        <f>Data!P123</f>
        <v>126.889833508</v>
      </c>
      <c r="H73" s="226">
        <f>Data!Q123</f>
        <v>171.16059704599999</v>
      </c>
      <c r="I73" s="225">
        <f>Data!R123</f>
        <v>222.96252120299999</v>
      </c>
      <c r="J73" s="225">
        <f>Data!S123</f>
        <v>307.52657322900001</v>
      </c>
      <c r="K73" s="225">
        <f>Data!T123</f>
        <v>442.37157994099999</v>
      </c>
      <c r="L73" s="225">
        <f>Data!U123</f>
        <v>570.49162564300002</v>
      </c>
      <c r="M73" s="225">
        <f>Data!V123</f>
        <v>1086.2707260479999</v>
      </c>
      <c r="N73" s="225">
        <f>Data!W123</f>
        <v>1549.85093992</v>
      </c>
      <c r="O73" s="225">
        <f>Data!X123</f>
        <v>2033.29</v>
      </c>
      <c r="P73" s="225">
        <f>Data!Y123</f>
        <v>1556.9328919520001</v>
      </c>
      <c r="Q73" s="224">
        <f ca="1">Q113</f>
        <v>1747.3694058742028</v>
      </c>
      <c r="R73" s="224">
        <f ca="1">R113</f>
        <v>1962.5129418178442</v>
      </c>
      <c r="S73" s="224">
        <f ca="1">S113</f>
        <v>2206.286727727796</v>
      </c>
      <c r="T73" s="224"/>
      <c r="U73" s="224"/>
      <c r="V73" s="898" t="e">
        <f>V113</f>
        <v>#REF!</v>
      </c>
      <c r="W73" s="2376">
        <f>W113</f>
        <v>1759.9011524767525</v>
      </c>
      <c r="X73" s="224"/>
      <c r="AA73" s="225"/>
      <c r="AB73" s="225"/>
      <c r="AD73" s="598">
        <f>M73/L73-1</f>
        <v>0.9040958310714311</v>
      </c>
      <c r="AE73" s="598">
        <f>M73/$M$79</f>
        <v>2.1031214617770227E-2</v>
      </c>
    </row>
    <row r="74" spans="2:31">
      <c r="B74" s="391" t="s">
        <v>852</v>
      </c>
      <c r="C74" s="225">
        <f>Data!L125</f>
        <v>0</v>
      </c>
      <c r="D74" s="225">
        <f>Data!M125</f>
        <v>0</v>
      </c>
      <c r="E74" s="225">
        <f>Data!N125</f>
        <v>0</v>
      </c>
      <c r="F74" s="225">
        <f>Data!O125</f>
        <v>0</v>
      </c>
      <c r="G74" s="225">
        <f>Data!P125</f>
        <v>0</v>
      </c>
      <c r="H74" s="226">
        <f>Data!Q125</f>
        <v>0</v>
      </c>
      <c r="I74" s="1096">
        <f>Data!R125</f>
        <v>0</v>
      </c>
      <c r="J74" s="1096">
        <f>Data!S125</f>
        <v>0</v>
      </c>
      <c r="K74" s="1096">
        <f>Data!T125</f>
        <v>0</v>
      </c>
      <c r="L74" s="1096">
        <f>Data!U125</f>
        <v>0</v>
      </c>
      <c r="M74" s="1096">
        <f>Data!V125</f>
        <v>0</v>
      </c>
      <c r="N74" s="1096">
        <f>Data!W125</f>
        <v>0</v>
      </c>
      <c r="O74" s="1096">
        <f>Data!X125</f>
        <v>0</v>
      </c>
      <c r="P74" s="1096">
        <f>Data!Y125</f>
        <v>0</v>
      </c>
      <c r="Q74" s="993">
        <f ca="1">Q118</f>
        <v>0</v>
      </c>
      <c r="R74" s="993">
        <f ca="1">R118</f>
        <v>0</v>
      </c>
      <c r="S74" s="993">
        <f ca="1">S118</f>
        <v>0</v>
      </c>
      <c r="T74" s="993"/>
      <c r="U74" s="993"/>
      <c r="V74" s="1308" t="e">
        <f>V118</f>
        <v>#REF!</v>
      </c>
      <c r="W74" s="993" t="e">
        <f>W118</f>
        <v>#REF!</v>
      </c>
      <c r="X74" s="993"/>
      <c r="AA74" s="225"/>
      <c r="AB74" s="225"/>
      <c r="AD74" s="598"/>
      <c r="AE74" s="598"/>
    </row>
    <row r="75" spans="2:31">
      <c r="B75" s="391" t="s">
        <v>487</v>
      </c>
      <c r="C75" s="225">
        <f>SUM(Data!L119,Data!L126,Data!L131)</f>
        <v>118.22714485500001</v>
      </c>
      <c r="D75" s="225">
        <f>SUM(Data!M119,Data!M126,Data!M131)</f>
        <v>117.693857509</v>
      </c>
      <c r="E75" s="225">
        <f>SUM(Data!N119,Data!N126,Data!N131)</f>
        <v>89.953093023999998</v>
      </c>
      <c r="F75" s="225">
        <f>SUM(Data!O119,Data!O126,Data!O131)</f>
        <v>89.977790014000007</v>
      </c>
      <c r="G75" s="225">
        <f>SUM(Data!P119,Data!P126,Data!P131)</f>
        <v>146.85987076399999</v>
      </c>
      <c r="H75" s="226">
        <f>SUM(Data!Q119,Data!Q126,Data!Q131)</f>
        <v>377.809874476</v>
      </c>
      <c r="I75" s="225">
        <f>SUM(Data!R119,Data!R126,Data!R131)</f>
        <v>757.01555497700008</v>
      </c>
      <c r="J75" s="225">
        <f>SUM(Data!S119,Data!S126,Data!S131)</f>
        <v>871.06799664899995</v>
      </c>
      <c r="K75" s="225">
        <f>SUM(Data!T119,Data!T126,Data!T131)</f>
        <v>1010.034503223</v>
      </c>
      <c r="L75" s="225">
        <f>SUM(Data!U119,Data!U126,Data!U131)</f>
        <v>1268.1278693900001</v>
      </c>
      <c r="M75" s="225">
        <f>SUM(Data!V119,Data!V126,Data!V131)</f>
        <v>1269.017961171</v>
      </c>
      <c r="N75" s="225">
        <f>SUM(Data!W119,Data!W126,Data!W131)</f>
        <v>2018.555251171</v>
      </c>
      <c r="O75" s="225">
        <f>SUM(Data!X119,Data!X126,Data!X131)</f>
        <v>2019.49</v>
      </c>
      <c r="P75" s="225">
        <f>SUM(Data!Y119,Data!Y126,Data!Y131)</f>
        <v>3590.5609988389997</v>
      </c>
      <c r="Q75" s="224">
        <f ca="1">Q123</f>
        <v>3646.1254426340324</v>
      </c>
      <c r="R75" s="224">
        <f ca="1">R123</f>
        <v>3708.8987557166729</v>
      </c>
      <c r="S75" s="224">
        <f ca="1">S123</f>
        <v>3780.0256344172003</v>
      </c>
      <c r="T75" s="224"/>
      <c r="U75" s="224"/>
      <c r="V75" s="898" t="e">
        <f>V123</f>
        <v>#REF!</v>
      </c>
      <c r="W75" s="2376">
        <f>W123</f>
        <v>2018.555251171</v>
      </c>
      <c r="X75" s="224"/>
      <c r="AA75" s="225"/>
      <c r="AB75" s="225"/>
      <c r="AD75" s="598">
        <f>M75/L75-1</f>
        <v>7.0189434558209918E-4</v>
      </c>
      <c r="AE75" s="598">
        <f>M75/$M$79</f>
        <v>2.4569371571201835E-2</v>
      </c>
    </row>
    <row r="76" spans="2:31" s="1" customFormat="1">
      <c r="B76" s="415" t="s">
        <v>54</v>
      </c>
      <c r="C76" s="996">
        <f>SUM(C67:C75)+C64</f>
        <v>6181.7620664380001</v>
      </c>
      <c r="D76" s="996">
        <f t="shared" ref="D76:M76" si="53">SUM(D67:D75)+D64</f>
        <v>7208.6646644719985</v>
      </c>
      <c r="E76" s="996">
        <f t="shared" si="53"/>
        <v>7913.3450418199991</v>
      </c>
      <c r="F76" s="996">
        <f t="shared" si="53"/>
        <v>8580.9781060559999</v>
      </c>
      <c r="G76" s="996">
        <f t="shared" si="53"/>
        <v>9525.1228818770014</v>
      </c>
      <c r="H76" s="997">
        <f t="shared" si="53"/>
        <v>11428.990654376001</v>
      </c>
      <c r="I76" s="996">
        <f t="shared" si="53"/>
        <v>12473.119435913999</v>
      </c>
      <c r="J76" s="996">
        <f t="shared" si="53"/>
        <v>13964.202950644998</v>
      </c>
      <c r="K76" s="996">
        <f t="shared" si="53"/>
        <v>15745.573276304</v>
      </c>
      <c r="L76" s="996">
        <f t="shared" si="53"/>
        <v>17940.944091199999</v>
      </c>
      <c r="M76" s="996">
        <f t="shared" si="53"/>
        <v>21046.468414613999</v>
      </c>
      <c r="N76" s="996">
        <f t="shared" ref="N76:O76" si="54">SUM(N67:N75)+N64</f>
        <v>24974.156360545996</v>
      </c>
      <c r="O76" s="996">
        <f t="shared" si="54"/>
        <v>29794.22</v>
      </c>
      <c r="P76" s="996">
        <f t="shared" ref="P76" si="55">SUM(P67:P75)+P64</f>
        <v>36486.367906316998</v>
      </c>
      <c r="Q76" s="996">
        <f ca="1">SUM(Q67:Q75)+Q64</f>
        <v>42945.223022742815</v>
      </c>
      <c r="R76" s="996">
        <f ca="1">SUM(R67:R75)+R64</f>
        <v>50760.998397571035</v>
      </c>
      <c r="S76" s="996">
        <f ca="1">SUM(S67:S75)+S64</f>
        <v>60149.159394134724</v>
      </c>
      <c r="T76" s="996"/>
      <c r="U76" s="996"/>
      <c r="V76" s="1309" t="e">
        <f>SUM(V67:V75)+V64</f>
        <v>#REF!</v>
      </c>
      <c r="W76" s="996" t="e">
        <f>SUM(W67:W75)+W64</f>
        <v>#REF!</v>
      </c>
      <c r="X76" s="996"/>
      <c r="AA76" s="225"/>
      <c r="AB76" s="225"/>
      <c r="AD76" s="1002">
        <f>M76/L76-1</f>
        <v>0.17309704035794038</v>
      </c>
      <c r="AE76" s="1002">
        <f>M76/$M$79</f>
        <v>0.40747926236052345</v>
      </c>
    </row>
    <row r="77" spans="2:31" s="1" customFormat="1">
      <c r="B77" s="414" t="s">
        <v>55</v>
      </c>
      <c r="C77" s="228">
        <f>Data!L130+Data!L135</f>
        <v>912.49996351899995</v>
      </c>
      <c r="D77" s="228">
        <f>Data!M130+Data!M135</f>
        <v>1045.192283739</v>
      </c>
      <c r="E77" s="228">
        <f>Data!N130+Data!N135</f>
        <v>1344.473716274</v>
      </c>
      <c r="F77" s="228">
        <f>Data!O130+Data!O135</f>
        <v>1601.307646967</v>
      </c>
      <c r="G77" s="228">
        <f>Data!P130+Data!P135</f>
        <v>1922.952382942</v>
      </c>
      <c r="H77" s="229">
        <f>Data!Q130+Data!Q135</f>
        <v>1809.3855793969999</v>
      </c>
      <c r="I77" s="228">
        <f>Data!R130+Data!R135</f>
        <v>2301.8513291969998</v>
      </c>
      <c r="J77" s="228">
        <f>Data!S130+Data!S135</f>
        <v>2835.0864503610001</v>
      </c>
      <c r="K77" s="228">
        <f>Data!T130+Data!T135</f>
        <v>2860.0941244239998</v>
      </c>
      <c r="L77" s="228">
        <f>Data!U130+Data!U135</f>
        <v>3477.0411388369998</v>
      </c>
      <c r="M77" s="228">
        <f>Data!V130+Data!V135</f>
        <v>4309.6562731980002</v>
      </c>
      <c r="N77" s="228">
        <f>Data!W130+Data!W135</f>
        <v>4958.8548556870001</v>
      </c>
      <c r="O77" s="228">
        <f>Data!X130+Data!X135</f>
        <v>5933.31</v>
      </c>
      <c r="P77" s="228">
        <f>Data!Y130+Data!Y135</f>
        <v>7265.098386273</v>
      </c>
      <c r="Q77" s="228">
        <f ca="1">Q156</f>
        <v>7433.2586137633589</v>
      </c>
      <c r="R77" s="228">
        <f ca="1">R156</f>
        <v>7642.5501774566719</v>
      </c>
      <c r="S77" s="228">
        <f ca="1">S156</f>
        <v>7879.6932392584349</v>
      </c>
      <c r="T77" s="228"/>
      <c r="U77" s="228"/>
      <c r="V77" s="903" t="e">
        <f>V156</f>
        <v>#REF!</v>
      </c>
      <c r="W77" s="228">
        <f>W156</f>
        <v>6183.8289373528305</v>
      </c>
      <c r="X77" s="228"/>
      <c r="AA77" s="225"/>
      <c r="AB77" s="225"/>
      <c r="AD77" s="598">
        <f>M77/L77-1</f>
        <v>0.23946082347460895</v>
      </c>
      <c r="AE77" s="598">
        <f>M77/$M$79</f>
        <v>8.3438965846200919E-2</v>
      </c>
    </row>
    <row r="78" spans="2:31" s="1" customFormat="1">
      <c r="B78" s="414"/>
      <c r="C78" s="228"/>
      <c r="D78" s="228"/>
      <c r="E78" s="228"/>
      <c r="F78" s="228"/>
      <c r="G78" s="228"/>
      <c r="H78" s="229"/>
      <c r="I78" s="228"/>
      <c r="J78" s="228"/>
      <c r="K78" s="228"/>
      <c r="L78" s="228"/>
      <c r="M78" s="228"/>
      <c r="N78" s="228"/>
      <c r="O78" s="228"/>
      <c r="P78" s="228"/>
      <c r="Q78" s="228"/>
      <c r="R78" s="228"/>
      <c r="S78" s="228"/>
      <c r="T78" s="228"/>
      <c r="U78" s="228"/>
      <c r="V78" s="903"/>
      <c r="W78" s="228"/>
      <c r="X78" s="228"/>
      <c r="AA78" s="225"/>
      <c r="AB78" s="225"/>
      <c r="AD78" s="598"/>
      <c r="AE78" s="598"/>
    </row>
    <row r="79" spans="2:31">
      <c r="B79" s="419" t="s">
        <v>56</v>
      </c>
      <c r="C79" s="999">
        <f>C76+C61+C77</f>
        <v>14209.182622438999</v>
      </c>
      <c r="D79" s="999">
        <f t="shared" ref="D79:M79" si="56">D76+D61+D77</f>
        <v>17570.557253512001</v>
      </c>
      <c r="E79" s="999">
        <f t="shared" si="56"/>
        <v>22658.343950732997</v>
      </c>
      <c r="F79" s="999">
        <f t="shared" si="56"/>
        <v>26045.588544428003</v>
      </c>
      <c r="G79" s="999">
        <f t="shared" si="56"/>
        <v>29833.261814151003</v>
      </c>
      <c r="H79" s="1000">
        <f t="shared" si="56"/>
        <v>24999.676895865996</v>
      </c>
      <c r="I79" s="999">
        <f t="shared" si="56"/>
        <v>29757.067149568</v>
      </c>
      <c r="J79" s="999">
        <f t="shared" si="56"/>
        <v>33394.164263694001</v>
      </c>
      <c r="K79" s="999">
        <f t="shared" si="56"/>
        <v>41734.323235194002</v>
      </c>
      <c r="L79" s="999">
        <f t="shared" si="56"/>
        <v>53697.940895874999</v>
      </c>
      <c r="M79" s="999">
        <f t="shared" si="56"/>
        <v>51650.403735129999</v>
      </c>
      <c r="N79" s="999">
        <f t="shared" ref="N79:O79" si="57">N76+N61+N77</f>
        <v>60282.827532898998</v>
      </c>
      <c r="O79" s="999">
        <f t="shared" si="57"/>
        <v>71999.98</v>
      </c>
      <c r="P79" s="999">
        <f t="shared" ref="P79" si="58">P76+P61+P77</f>
        <v>88089.621779862005</v>
      </c>
      <c r="Q79" s="999">
        <f ca="1">Q76+Q61+Q77</f>
        <v>92111.938812499153</v>
      </c>
      <c r="R79" s="999">
        <f ca="1">R76+R61+R77</f>
        <v>102999.43274409369</v>
      </c>
      <c r="S79" s="999">
        <f ca="1">S76+S61+S77</f>
        <v>115400.63201181812</v>
      </c>
      <c r="T79" s="999"/>
      <c r="U79" s="999"/>
      <c r="V79" s="998" t="e">
        <f>V76+V61+V77</f>
        <v>#REF!</v>
      </c>
      <c r="W79" s="999" t="e">
        <f>W76+W61+W77</f>
        <v>#REF!</v>
      </c>
      <c r="X79" s="999"/>
      <c r="AA79" s="225"/>
      <c r="AB79" s="225"/>
      <c r="AD79" s="1004">
        <f>M79/L79-1</f>
        <v>-3.8130645730259038E-2</v>
      </c>
      <c r="AE79" s="1004">
        <f>M79/$M$79</f>
        <v>1</v>
      </c>
    </row>
    <row r="80" spans="2:31">
      <c r="C80" s="2624">
        <f>C38-C61-C76-C77</f>
        <v>2.5011104298755527E-12</v>
      </c>
      <c r="D80" s="2624">
        <f t="shared" ref="D80:W80" si="59">D38-D61-D76-D77</f>
        <v>0</v>
      </c>
      <c r="E80" s="2624">
        <f t="shared" si="59"/>
        <v>2.0463630789890885E-12</v>
      </c>
      <c r="F80" s="2624">
        <f t="shared" si="59"/>
        <v>0</v>
      </c>
      <c r="G80" s="2624">
        <f t="shared" si="59"/>
        <v>-5.9117155615240335E-12</v>
      </c>
      <c r="H80" s="2625">
        <f t="shared" si="59"/>
        <v>-2.0463630789890885E-12</v>
      </c>
      <c r="I80" s="1898">
        <f t="shared" si="59"/>
        <v>0</v>
      </c>
      <c r="J80" s="1898">
        <f t="shared" si="59"/>
        <v>0</v>
      </c>
      <c r="K80" s="1898">
        <f t="shared" si="59"/>
        <v>-5.0022208597511053E-12</v>
      </c>
      <c r="L80" s="1898">
        <f t="shared" si="59"/>
        <v>8.6401996668428183E-12</v>
      </c>
      <c r="M80" s="1898">
        <f t="shared" si="59"/>
        <v>-1.0004441719502211E-11</v>
      </c>
      <c r="N80" s="1898">
        <f t="shared" ref="N80:O80" si="60">N38-N61-N76-N77</f>
        <v>0</v>
      </c>
      <c r="O80" s="1898">
        <f t="shared" si="60"/>
        <v>2.0000000001346052E-2</v>
      </c>
      <c r="P80" s="1898">
        <f t="shared" ref="P80" si="61">P38-P61-P76-P77</f>
        <v>0</v>
      </c>
      <c r="Q80" s="2365">
        <f ca="1">Q38-Q61-Q76-Q77</f>
        <v>0</v>
      </c>
      <c r="R80" s="2365">
        <f ca="1">R38-R61-R76-R77</f>
        <v>8.1854523159563541E-12</v>
      </c>
      <c r="S80" s="2365">
        <f ca="1">S38-S61-S76-S77</f>
        <v>-7.2759576141834259E-12</v>
      </c>
      <c r="T80" s="2365"/>
      <c r="U80" s="2365"/>
      <c r="V80" s="1898" t="e">
        <f t="shared" si="59"/>
        <v>#REF!</v>
      </c>
      <c r="W80" s="2365" t="e">
        <f t="shared" si="59"/>
        <v>#REF!</v>
      </c>
      <c r="X80" s="2365"/>
      <c r="AA80" s="225"/>
      <c r="AB80" s="225"/>
    </row>
    <row r="81" spans="2:30">
      <c r="B81" s="6" t="s">
        <v>228</v>
      </c>
      <c r="C81" s="1474"/>
      <c r="D81" s="1474"/>
      <c r="E81" s="1474"/>
      <c r="F81" s="1474"/>
      <c r="G81" s="1474"/>
      <c r="H81" s="2626">
        <f>H66*100*Valuation!C144/10^6</f>
        <v>0</v>
      </c>
      <c r="I81" s="2626">
        <f>I66*100*Valuation!D144/10^6</f>
        <v>0</v>
      </c>
      <c r="J81" s="2626">
        <f>J66*100*Valuation!E144/10^6</f>
        <v>0</v>
      </c>
      <c r="K81" s="2626">
        <f>K66*100*Valuation!F144/10^6</f>
        <v>0</v>
      </c>
      <c r="L81" s="2626">
        <f>L66*100*Valuation!G144/10^6</f>
        <v>0</v>
      </c>
      <c r="M81" s="2627"/>
      <c r="N81" s="2627"/>
      <c r="O81" s="2627"/>
      <c r="P81" s="2627"/>
      <c r="Q81" s="1474"/>
      <c r="R81" s="1474"/>
      <c r="S81" s="1474"/>
      <c r="T81" s="1474"/>
      <c r="U81" s="1474"/>
      <c r="V81" s="2627"/>
      <c r="W81" s="2627"/>
      <c r="X81" s="2627"/>
    </row>
    <row r="82" spans="2:30">
      <c r="B82" s="6" t="s">
        <v>229</v>
      </c>
      <c r="H82" s="225">
        <f>H81+H53+H50+H77-H6-H7-H30</f>
        <v>-3451.4859120240003</v>
      </c>
      <c r="I82" s="225">
        <f>I81+I53+I50+I77-I6-I7-I30</f>
        <v>-2696.4299663520014</v>
      </c>
      <c r="J82" s="225">
        <f>J81+J53+J50+J77-J6-J7-J30</f>
        <v>-2270.2122646710004</v>
      </c>
      <c r="K82" s="225">
        <f>K81+K53+K50+K77-K6-K7-K30</f>
        <v>-4406.2826472529969</v>
      </c>
      <c r="L82" s="225">
        <f>L81+L53+L50+L77-L6-L7-L30</f>
        <v>-6524.9872778280014</v>
      </c>
      <c r="M82" s="225"/>
      <c r="N82" s="225"/>
      <c r="O82" s="225"/>
      <c r="P82" s="225"/>
      <c r="V82" s="225"/>
      <c r="W82" s="225"/>
      <c r="X82" s="225"/>
    </row>
    <row r="83" spans="2:30">
      <c r="H83" s="225"/>
      <c r="I83" s="225"/>
      <c r="J83" s="225"/>
      <c r="K83" s="225"/>
      <c r="L83" s="225"/>
      <c r="M83" s="225"/>
      <c r="N83" s="225"/>
      <c r="O83" s="225"/>
      <c r="P83" s="225"/>
      <c r="V83" s="225"/>
      <c r="W83" s="225"/>
      <c r="X83" s="225"/>
    </row>
    <row r="84" spans="2:30">
      <c r="H84" s="225"/>
      <c r="I84" s="225"/>
      <c r="J84" s="225"/>
      <c r="K84" s="225"/>
      <c r="L84" s="225"/>
      <c r="M84" s="225"/>
      <c r="N84" s="225"/>
      <c r="O84" s="225"/>
      <c r="P84" s="225"/>
      <c r="V84" s="225"/>
      <c r="W84" s="225"/>
      <c r="X84" s="225"/>
    </row>
    <row r="85" spans="2:30">
      <c r="B85" s="1644" t="s">
        <v>767</v>
      </c>
      <c r="C85" s="1813"/>
      <c r="D85" s="1813"/>
      <c r="E85" s="1813"/>
      <c r="F85" s="1813"/>
      <c r="G85" s="1813"/>
      <c r="H85" s="1814"/>
      <c r="I85" s="1814"/>
      <c r="J85" s="1814"/>
      <c r="K85" s="1814"/>
      <c r="L85" s="1814"/>
      <c r="M85" s="1814"/>
      <c r="N85" s="1814"/>
      <c r="O85" s="1814"/>
      <c r="P85" s="3185"/>
      <c r="Q85" s="3185"/>
      <c r="R85" s="3185"/>
      <c r="S85" s="3185"/>
      <c r="T85" s="1814"/>
      <c r="U85" s="1814"/>
      <c r="V85" s="1814"/>
      <c r="W85" s="1814"/>
      <c r="X85" s="1814"/>
    </row>
    <row r="86" spans="2:30">
      <c r="B86" s="33" t="s">
        <v>962</v>
      </c>
      <c r="H86" s="225"/>
      <c r="I86" s="369">
        <f>PL!I55</f>
        <v>2620.1786319860016</v>
      </c>
      <c r="J86" s="369">
        <f>PL!J55</f>
        <v>3135.3503766539989</v>
      </c>
      <c r="K86" s="369">
        <f>PL!K55</f>
        <v>3538.0077388219988</v>
      </c>
      <c r="L86" s="369">
        <f>PL!L55</f>
        <v>4337.4118798020008</v>
      </c>
      <c r="M86" s="369">
        <f>PL!M55</f>
        <v>5310.1085914080013</v>
      </c>
      <c r="N86" s="369">
        <f>PL!N55</f>
        <v>6465.1904326219965</v>
      </c>
      <c r="O86" s="369">
        <f>PL!O55</f>
        <v>7856.7700000000059</v>
      </c>
      <c r="P86" s="369">
        <f>PL!P55</f>
        <v>9464.1600000000035</v>
      </c>
      <c r="Q86" s="369">
        <f ca="1">PL!Q55</f>
        <v>11112.888759006528</v>
      </c>
      <c r="R86" s="369">
        <f ca="1">PL!R55</f>
        <v>12554.662616528081</v>
      </c>
      <c r="S86" s="369">
        <f ca="1">PL!S55</f>
        <v>14225.375740105508</v>
      </c>
      <c r="T86" s="369"/>
      <c r="U86" s="369"/>
      <c r="V86" s="369" t="e">
        <f>PL!#REF!</f>
        <v>#REF!</v>
      </c>
      <c r="W86" s="369">
        <f>PL!V55</f>
        <v>5986.7974403053931</v>
      </c>
      <c r="X86" s="369"/>
      <c r="AD86" s="225"/>
    </row>
    <row r="87" spans="2:30">
      <c r="B87" s="33" t="s">
        <v>783</v>
      </c>
      <c r="H87" s="225"/>
      <c r="I87" s="1796">
        <f>PL!I118</f>
        <v>1413.854</v>
      </c>
      <c r="J87" s="1796">
        <f>PL!J118</f>
        <v>1294.8978999999999</v>
      </c>
      <c r="K87" s="1796">
        <f>PL!K118</f>
        <v>1465.5730000000001</v>
      </c>
      <c r="L87" s="1796">
        <f>PL!L118</f>
        <v>1696.5840000000001</v>
      </c>
      <c r="M87" s="1796">
        <f>PL!M118</f>
        <v>2011.223</v>
      </c>
      <c r="N87" s="1796">
        <f>PL!N118</f>
        <v>2374.3000000000002</v>
      </c>
      <c r="O87" s="1796">
        <f>PL!O118</f>
        <v>3000</v>
      </c>
      <c r="P87" s="1796">
        <f>PL!P118</f>
        <v>3000</v>
      </c>
      <c r="Q87" s="369">
        <f>PL!Q118</f>
        <v>4000</v>
      </c>
      <c r="R87" s="369">
        <f>PL!R118</f>
        <v>4000</v>
      </c>
      <c r="S87" s="369">
        <f>PL!S118</f>
        <v>4000</v>
      </c>
      <c r="T87" s="369"/>
      <c r="U87" s="369"/>
      <c r="V87" s="369" t="e">
        <f>PL!#REF!</f>
        <v>#REF!</v>
      </c>
      <c r="W87" s="369">
        <f>PL!V118</f>
        <v>2321.9573980097825</v>
      </c>
      <c r="X87" s="369"/>
    </row>
    <row r="88" spans="2:30">
      <c r="B88" s="33" t="s">
        <v>954</v>
      </c>
      <c r="H88" s="225"/>
      <c r="I88" s="2373">
        <v>1144.3510000000001</v>
      </c>
      <c r="J88" s="2373">
        <v>719.78899999999999</v>
      </c>
      <c r="K88" s="2373">
        <v>1154.23</v>
      </c>
      <c r="L88" s="2373">
        <v>1433.39</v>
      </c>
      <c r="M88" s="2373">
        <v>1828.307</v>
      </c>
      <c r="N88" s="2373">
        <v>2373.9504489999999</v>
      </c>
      <c r="O88" s="2373">
        <v>2373.9504489999999</v>
      </c>
      <c r="P88" s="2373">
        <v>2373.9504489999999</v>
      </c>
      <c r="Q88" s="369">
        <f>PL!Q104</f>
        <v>1703.5072010000004</v>
      </c>
      <c r="R88" s="369">
        <f>PL!R104</f>
        <v>1873.8579211000003</v>
      </c>
      <c r="S88" s="369">
        <f>PL!S104</f>
        <v>2061.2437132099999</v>
      </c>
      <c r="T88" s="369"/>
      <c r="U88" s="369"/>
      <c r="V88" s="369" t="e">
        <f>PL!#REF!</f>
        <v>#REF!</v>
      </c>
      <c r="W88" s="369">
        <f>PL!V104</f>
        <v>1904.9533100000001</v>
      </c>
      <c r="X88" s="369"/>
      <c r="AC88" s="1447" t="s">
        <v>1644</v>
      </c>
    </row>
    <row r="89" spans="2:30">
      <c r="B89" s="33" t="s">
        <v>967</v>
      </c>
      <c r="H89" s="225"/>
      <c r="I89" s="1796"/>
      <c r="J89" s="1796"/>
      <c r="K89" s="1796"/>
      <c r="L89" s="1796"/>
      <c r="M89" s="1796"/>
      <c r="N89" s="1796"/>
      <c r="O89" s="1796"/>
      <c r="P89" s="1796"/>
      <c r="Q89" s="369"/>
      <c r="R89" s="369"/>
      <c r="S89" s="369"/>
      <c r="T89" s="369"/>
      <c r="U89" s="369"/>
      <c r="V89" s="369"/>
      <c r="W89" s="369"/>
      <c r="X89" s="369"/>
    </row>
    <row r="90" spans="2:30">
      <c r="B90" s="33" t="s">
        <v>771</v>
      </c>
      <c r="H90" s="1797"/>
      <c r="I90" s="1796">
        <v>228.93899999999999</v>
      </c>
      <c r="J90" s="1796">
        <v>276.49400000000003</v>
      </c>
      <c r="K90" s="1796">
        <v>311.91300000000001</v>
      </c>
      <c r="L90" s="1796">
        <v>397.21499999999997</v>
      </c>
      <c r="M90" s="1796">
        <v>461.50400000000002</v>
      </c>
      <c r="N90" s="1796">
        <v>557</v>
      </c>
      <c r="O90" s="1796">
        <v>557</v>
      </c>
      <c r="P90" s="1796">
        <v>557</v>
      </c>
      <c r="Q90" s="369">
        <f ca="1">Q107</f>
        <v>654.03364258070803</v>
      </c>
      <c r="R90" s="369">
        <f ca="1">R107</f>
        <v>738.88724169985915</v>
      </c>
      <c r="S90" s="369">
        <f ca="1">S107</f>
        <v>837.21474354182146</v>
      </c>
      <c r="T90" s="369"/>
      <c r="U90" s="369"/>
      <c r="V90" s="369" t="e">
        <f>V107</f>
        <v>#REF!</v>
      </c>
      <c r="W90" s="369">
        <f>W107</f>
        <v>545.71866655515873</v>
      </c>
      <c r="X90" s="369"/>
    </row>
    <row r="91" spans="2:30">
      <c r="B91" s="33" t="s">
        <v>773</v>
      </c>
      <c r="H91" s="36"/>
      <c r="I91" s="1796">
        <v>65.242999999999995</v>
      </c>
      <c r="J91" s="1796">
        <v>95.777000000000001</v>
      </c>
      <c r="K91" s="1796">
        <v>102.80500000000001</v>
      </c>
      <c r="L91" s="1796">
        <v>0</v>
      </c>
      <c r="M91" s="1796">
        <v>273.81099999999998</v>
      </c>
      <c r="N91" s="1796">
        <v>162.18299999999999</v>
      </c>
      <c r="O91" s="1796">
        <v>162.18299999999999</v>
      </c>
      <c r="P91" s="1796">
        <v>162.18299999999999</v>
      </c>
      <c r="Q91" s="369">
        <f ca="1">Q112</f>
        <v>190.43651392220281</v>
      </c>
      <c r="R91" s="369">
        <f ca="1">R112</f>
        <v>215.14353594364138</v>
      </c>
      <c r="S91" s="369">
        <f ca="1">S112</f>
        <v>243.77378590995193</v>
      </c>
      <c r="T91" s="369"/>
      <c r="U91" s="369"/>
      <c r="V91" s="369" t="e">
        <f>V112</f>
        <v>#REF!</v>
      </c>
      <c r="W91" s="369">
        <f>W112</f>
        <v>210.05021255675243</v>
      </c>
      <c r="X91" s="369"/>
    </row>
    <row r="92" spans="2:30">
      <c r="B92" s="33" t="s">
        <v>772</v>
      </c>
      <c r="H92" s="725"/>
      <c r="I92" s="1796">
        <v>0</v>
      </c>
      <c r="J92" s="1796">
        <v>0</v>
      </c>
      <c r="K92" s="1796">
        <v>0</v>
      </c>
      <c r="L92" s="1796">
        <v>0</v>
      </c>
      <c r="M92" s="1796">
        <v>0</v>
      </c>
      <c r="N92" s="1796">
        <v>0</v>
      </c>
      <c r="O92" s="1796">
        <v>0</v>
      </c>
      <c r="P92" s="1796">
        <v>0</v>
      </c>
      <c r="Q92" s="738">
        <f ca="1">Q117</f>
        <v>0</v>
      </c>
      <c r="R92" s="738">
        <f ca="1">R117</f>
        <v>0</v>
      </c>
      <c r="S92" s="738">
        <f ca="1">S117</f>
        <v>0</v>
      </c>
      <c r="T92" s="738"/>
      <c r="U92" s="738"/>
      <c r="V92" s="738" t="e">
        <f>V117</f>
        <v>#REF!</v>
      </c>
      <c r="W92" s="738">
        <f>W117</f>
        <v>0</v>
      </c>
      <c r="X92" s="738"/>
    </row>
    <row r="93" spans="2:30">
      <c r="B93" s="33" t="s">
        <v>853</v>
      </c>
      <c r="H93" s="36"/>
      <c r="I93" s="1796">
        <v>13.967000000000001</v>
      </c>
      <c r="J93" s="1796">
        <v>81.254999999999995</v>
      </c>
      <c r="K93" s="1796">
        <v>74.924000000000007</v>
      </c>
      <c r="L93" s="1796">
        <v>201.38399999999999</v>
      </c>
      <c r="M93" s="1796">
        <v>23.800999999999998</v>
      </c>
      <c r="N93" s="1796">
        <v>34.997999999999998</v>
      </c>
      <c r="O93" s="1796">
        <v>34.997999999999998</v>
      </c>
      <c r="P93" s="1796">
        <v>34.997999999999998</v>
      </c>
      <c r="Q93" s="738">
        <f ca="1">Q122</f>
        <v>55.564443795032638</v>
      </c>
      <c r="R93" s="738">
        <f ca="1">R122</f>
        <v>62.773313082640406</v>
      </c>
      <c r="S93" s="738">
        <f ca="1">S122</f>
        <v>71.126878700527541</v>
      </c>
      <c r="T93" s="738"/>
      <c r="U93" s="738"/>
      <c r="V93" s="738" t="e">
        <f>V122</f>
        <v>#REF!</v>
      </c>
      <c r="W93" s="738">
        <f>W122</f>
        <v>0</v>
      </c>
      <c r="X93" s="738"/>
    </row>
    <row r="94" spans="2:30">
      <c r="B94" s="1815" t="s">
        <v>768</v>
      </c>
      <c r="H94" s="751"/>
      <c r="I94" s="751"/>
      <c r="J94" s="751"/>
      <c r="K94" s="751"/>
      <c r="L94" s="738"/>
      <c r="M94" s="697">
        <f t="shared" ref="M94:V94" si="62">M86-SUM(M87:M93)</f>
        <v>711.46259140800157</v>
      </c>
      <c r="N94" s="697">
        <f t="shared" si="62"/>
        <v>962.75898362199678</v>
      </c>
      <c r="O94" s="697">
        <f t="shared" ref="O94:P94" si="63">O86-SUM(O87:O93)</f>
        <v>1728.6385510000064</v>
      </c>
      <c r="P94" s="697">
        <f t="shared" si="63"/>
        <v>3336.028551000004</v>
      </c>
      <c r="Q94" s="697">
        <f ca="1">Q86-SUM(Q87:Q93)</f>
        <v>4509.3469577085843</v>
      </c>
      <c r="R94" s="697">
        <f ca="1">R86-SUM(R87:R93)</f>
        <v>5664.0006047019397</v>
      </c>
      <c r="S94" s="697">
        <f ca="1">S86-SUM(S87:S93)</f>
        <v>7012.0166187432078</v>
      </c>
      <c r="T94" s="697"/>
      <c r="U94" s="697"/>
      <c r="V94" s="697" t="e">
        <f t="shared" si="62"/>
        <v>#REF!</v>
      </c>
      <c r="W94" s="697">
        <f>W86-SUM(W87:W93)</f>
        <v>1004.1178531836986</v>
      </c>
      <c r="X94" s="697"/>
    </row>
    <row r="95" spans="2:30">
      <c r="B95" s="1815"/>
      <c r="H95" s="751"/>
      <c r="I95" s="1798"/>
      <c r="J95" s="1799"/>
      <c r="K95" s="1799"/>
      <c r="L95" s="1799"/>
      <c r="M95" s="1799"/>
      <c r="N95" s="1799"/>
      <c r="O95" s="1799"/>
      <c r="P95" s="1799"/>
      <c r="Q95" s="697"/>
      <c r="R95" s="697"/>
      <c r="S95" s="697"/>
      <c r="T95" s="697"/>
      <c r="U95" s="697"/>
      <c r="V95" s="697"/>
      <c r="W95" s="697"/>
      <c r="X95" s="697"/>
    </row>
    <row r="96" spans="2:30">
      <c r="B96" s="1815" t="s">
        <v>955</v>
      </c>
      <c r="H96" s="751"/>
      <c r="I96" s="751"/>
      <c r="J96" s="751"/>
      <c r="K96" s="751"/>
      <c r="L96" s="738"/>
      <c r="M96" s="697"/>
      <c r="N96" s="697"/>
      <c r="O96" s="697"/>
      <c r="P96" s="697"/>
      <c r="Q96" s="697"/>
      <c r="R96" s="697"/>
      <c r="S96" s="697"/>
      <c r="T96" s="697"/>
      <c r="U96" s="697"/>
      <c r="V96" s="697"/>
      <c r="W96" s="697"/>
      <c r="X96" s="697"/>
    </row>
    <row r="97" spans="2:30">
      <c r="B97" s="1850" t="s">
        <v>956</v>
      </c>
      <c r="C97" s="1851"/>
      <c r="D97" s="1851"/>
      <c r="E97" s="1851"/>
      <c r="F97" s="1851"/>
      <c r="G97" s="1851"/>
      <c r="H97" s="1852"/>
      <c r="I97" s="1852">
        <f t="shared" ref="I97:M98" si="64">I87/I$86</f>
        <v>0.53960214114422778</v>
      </c>
      <c r="J97" s="1852">
        <f t="shared" si="64"/>
        <v>0.41299942412876245</v>
      </c>
      <c r="K97" s="1852">
        <f t="shared" si="64"/>
        <v>0.41423679883978193</v>
      </c>
      <c r="L97" s="1852">
        <f t="shared" si="64"/>
        <v>0.3911512318902598</v>
      </c>
      <c r="M97" s="1852">
        <f t="shared" si="64"/>
        <v>0.37875364794879163</v>
      </c>
      <c r="N97" s="1852">
        <f t="shared" ref="N97" si="65">N87/N$86</f>
        <v>0.36724362951782208</v>
      </c>
      <c r="O97" s="1852">
        <f t="shared" ref="O97:P97" si="66">O87/O$86</f>
        <v>0.3818363016863161</v>
      </c>
      <c r="P97" s="1852">
        <f t="shared" si="66"/>
        <v>0.31698534259775818</v>
      </c>
      <c r="Q97" s="1853">
        <f>PL!Q119</f>
        <v>0.31698534259775818</v>
      </c>
      <c r="R97" s="1853">
        <f>PL!R119</f>
        <v>0.31698534259775818</v>
      </c>
      <c r="S97" s="1853">
        <f>PL!S119</f>
        <v>0.31698534259775818</v>
      </c>
      <c r="T97" s="1853"/>
      <c r="U97" s="1853"/>
      <c r="V97" s="1853" t="e">
        <f>PL!#REF!</f>
        <v>#REF!</v>
      </c>
      <c r="W97" s="1853">
        <f>PL!V119</f>
        <v>0.38784632704916389</v>
      </c>
      <c r="X97" s="1853"/>
    </row>
    <row r="98" spans="2:30">
      <c r="B98" s="1850" t="s">
        <v>957</v>
      </c>
      <c r="C98" s="1851"/>
      <c r="D98" s="1851"/>
      <c r="E98" s="1851"/>
      <c r="F98" s="1851"/>
      <c r="G98" s="1851"/>
      <c r="H98" s="1852"/>
      <c r="I98" s="1852">
        <f t="shared" si="64"/>
        <v>0.4367454134730589</v>
      </c>
      <c r="J98" s="1852">
        <f t="shared" si="64"/>
        <v>0.22957210950316453</v>
      </c>
      <c r="K98" s="1852">
        <f t="shared" si="64"/>
        <v>0.32623727397055041</v>
      </c>
      <c r="L98" s="1852">
        <f t="shared" si="64"/>
        <v>0.33047126713394653</v>
      </c>
      <c r="M98" s="1852">
        <f t="shared" si="64"/>
        <v>0.34430689477015297</v>
      </c>
      <c r="N98" s="1852">
        <f t="shared" ref="N98" si="67">N88/N$86</f>
        <v>0.36718956289694782</v>
      </c>
      <c r="O98" s="1852">
        <f t="shared" ref="O98:P98" si="68">O88/O$86</f>
        <v>0.30215348661090985</v>
      </c>
      <c r="P98" s="1852">
        <f t="shared" si="68"/>
        <v>0.2508358321287889</v>
      </c>
      <c r="Q98" s="1854">
        <f ca="1">Q88/Q86</f>
        <v>0.15329112330215486</v>
      </c>
      <c r="R98" s="1854">
        <f ca="1">R88/R86</f>
        <v>0.14925593608808621</v>
      </c>
      <c r="S98" s="1854">
        <f ca="1">S88/S86</f>
        <v>0.1448990698641969</v>
      </c>
      <c r="T98" s="1854"/>
      <c r="U98" s="1854"/>
      <c r="V98" s="1854" t="e">
        <f>V88/V86</f>
        <v>#REF!</v>
      </c>
      <c r="W98" s="1854">
        <f>W88/W86</f>
        <v>0.31819237730929917</v>
      </c>
      <c r="X98" s="1854"/>
    </row>
    <row r="99" spans="2:30">
      <c r="B99" s="1850" t="s">
        <v>968</v>
      </c>
      <c r="C99" s="1851"/>
      <c r="D99" s="1851"/>
      <c r="E99" s="1851"/>
      <c r="F99" s="1851"/>
      <c r="G99" s="1851"/>
      <c r="H99" s="1852"/>
      <c r="I99" s="1852"/>
      <c r="J99" s="1852"/>
      <c r="K99" s="1852"/>
      <c r="L99" s="1852"/>
      <c r="M99" s="1852"/>
      <c r="N99" s="1852"/>
      <c r="O99" s="1852"/>
      <c r="P99" s="1852"/>
      <c r="Q99" s="1854"/>
      <c r="R99" s="1854"/>
      <c r="S99" s="1854"/>
      <c r="T99" s="1854"/>
      <c r="U99" s="1854"/>
      <c r="V99" s="1854"/>
      <c r="W99" s="1854"/>
      <c r="X99" s="1854"/>
    </row>
    <row r="100" spans="2:30">
      <c r="B100" s="1850" t="s">
        <v>958</v>
      </c>
      <c r="C100" s="1851"/>
      <c r="D100" s="1851"/>
      <c r="E100" s="1851"/>
      <c r="F100" s="1851"/>
      <c r="G100" s="1851"/>
      <c r="H100" s="1852"/>
      <c r="I100" s="1852">
        <f t="shared" ref="I100:M103" si="69">I90/I$86</f>
        <v>8.7375340446339114E-2</v>
      </c>
      <c r="J100" s="1852">
        <f t="shared" si="69"/>
        <v>8.8185997347789397E-2</v>
      </c>
      <c r="K100" s="1852">
        <f t="shared" si="69"/>
        <v>8.8160632487438634E-2</v>
      </c>
      <c r="L100" s="1852">
        <f t="shared" si="69"/>
        <v>9.1578805750431175E-2</v>
      </c>
      <c r="M100" s="1852">
        <f t="shared" si="69"/>
        <v>8.6910463704402321E-2</v>
      </c>
      <c r="N100" s="1852">
        <f t="shared" ref="N100" si="70">N90/N$86</f>
        <v>8.6153688093933742E-2</v>
      </c>
      <c r="O100" s="1852">
        <f t="shared" ref="O100:P100" si="71">O90/O$86</f>
        <v>7.0894273346426021E-2</v>
      </c>
      <c r="P100" s="1852">
        <f t="shared" si="71"/>
        <v>5.8853611942317099E-2</v>
      </c>
      <c r="Q100" s="2035">
        <f t="shared" ref="Q100:S101" si="72">P100</f>
        <v>5.8853611942317099E-2</v>
      </c>
      <c r="R100" s="2035">
        <f t="shared" si="72"/>
        <v>5.8853611942317099E-2</v>
      </c>
      <c r="S100" s="2035">
        <f t="shared" si="72"/>
        <v>5.8853611942317099E-2</v>
      </c>
      <c r="T100" s="2035"/>
      <c r="U100" s="2035"/>
      <c r="V100" s="2035">
        <f>M100</f>
        <v>8.6910463704402321E-2</v>
      </c>
      <c r="W100" s="2035">
        <f>N100+0.5%</f>
        <v>9.1153688093933746E-2</v>
      </c>
      <c r="X100" s="2035"/>
    </row>
    <row r="101" spans="2:30">
      <c r="B101" s="1850" t="s">
        <v>959</v>
      </c>
      <c r="C101" s="1851"/>
      <c r="D101" s="1851"/>
      <c r="E101" s="1851"/>
      <c r="F101" s="1851"/>
      <c r="G101" s="1851"/>
      <c r="H101" s="1852"/>
      <c r="I101" s="1852">
        <f t="shared" si="69"/>
        <v>2.4900210696912728E-2</v>
      </c>
      <c r="J101" s="1852">
        <f t="shared" si="69"/>
        <v>3.0547463120281903E-2</v>
      </c>
      <c r="K101" s="1852">
        <f t="shared" si="69"/>
        <v>2.9057313490848825E-2</v>
      </c>
      <c r="L101" s="1852">
        <f t="shared" si="69"/>
        <v>0</v>
      </c>
      <c r="M101" s="1852">
        <f t="shared" si="69"/>
        <v>5.1564105570842504E-2</v>
      </c>
      <c r="N101" s="1852">
        <f t="shared" ref="N101" si="73">N91/N$86</f>
        <v>2.5085571985885916E-2</v>
      </c>
      <c r="O101" s="1852">
        <f t="shared" ref="O101:P101" si="74">O91/O$86</f>
        <v>2.0642452305463934E-2</v>
      </c>
      <c r="P101" s="1852">
        <f t="shared" si="74"/>
        <v>1.7136544606177403E-2</v>
      </c>
      <c r="Q101" s="2035">
        <f t="shared" si="72"/>
        <v>1.7136544606177403E-2</v>
      </c>
      <c r="R101" s="2035">
        <f t="shared" si="72"/>
        <v>1.7136544606177403E-2</v>
      </c>
      <c r="S101" s="2035">
        <f t="shared" si="72"/>
        <v>1.7136544606177403E-2</v>
      </c>
      <c r="T101" s="2035"/>
      <c r="U101" s="2035"/>
      <c r="V101" s="2035">
        <v>3.5000000000000003E-2</v>
      </c>
      <c r="W101" s="2035">
        <f>N101+1%</f>
        <v>3.5085571985885917E-2</v>
      </c>
      <c r="X101" s="2035"/>
    </row>
    <row r="102" spans="2:30">
      <c r="B102" s="1850" t="s">
        <v>960</v>
      </c>
      <c r="C102" s="1851"/>
      <c r="D102" s="1851"/>
      <c r="E102" s="1851"/>
      <c r="F102" s="1851"/>
      <c r="G102" s="1851"/>
      <c r="H102" s="1852"/>
      <c r="I102" s="1852">
        <f t="shared" si="69"/>
        <v>0</v>
      </c>
      <c r="J102" s="1852">
        <f t="shared" si="69"/>
        <v>0</v>
      </c>
      <c r="K102" s="1852">
        <f t="shared" si="69"/>
        <v>0</v>
      </c>
      <c r="L102" s="1852">
        <f t="shared" si="69"/>
        <v>0</v>
      </c>
      <c r="M102" s="1852">
        <f t="shared" si="69"/>
        <v>0</v>
      </c>
      <c r="N102" s="1852">
        <f t="shared" ref="N102" si="75">N92/N$86</f>
        <v>0</v>
      </c>
      <c r="O102" s="1852">
        <f t="shared" ref="O102:P102" si="76">O92/O$86</f>
        <v>0</v>
      </c>
      <c r="P102" s="1852">
        <f t="shared" si="76"/>
        <v>0</v>
      </c>
      <c r="Q102" s="2035">
        <v>0</v>
      </c>
      <c r="R102" s="2035">
        <v>0</v>
      </c>
      <c r="S102" s="2035">
        <v>0</v>
      </c>
      <c r="T102" s="2035"/>
      <c r="U102" s="2035"/>
      <c r="V102" s="2035">
        <v>0</v>
      </c>
      <c r="W102" s="2035">
        <v>0</v>
      </c>
      <c r="X102" s="2035"/>
    </row>
    <row r="103" spans="2:30">
      <c r="B103" s="1850" t="s">
        <v>961</v>
      </c>
      <c r="C103" s="1851"/>
      <c r="D103" s="1851"/>
      <c r="E103" s="1851"/>
      <c r="F103" s="1851"/>
      <c r="G103" s="1851"/>
      <c r="H103" s="1852"/>
      <c r="I103" s="1852">
        <f t="shared" si="69"/>
        <v>5.3305525926732383E-3</v>
      </c>
      <c r="J103" s="1852">
        <f t="shared" si="69"/>
        <v>2.5915763866465914E-2</v>
      </c>
      <c r="K103" s="1852">
        <f t="shared" si="69"/>
        <v>2.1176889800966464E-2</v>
      </c>
      <c r="L103" s="1852">
        <f t="shared" si="69"/>
        <v>4.6429531153770208E-2</v>
      </c>
      <c r="M103" s="1852">
        <f t="shared" si="69"/>
        <v>4.4822058890680886E-3</v>
      </c>
      <c r="N103" s="1852">
        <f t="shared" ref="N103" si="77">N93/N$86</f>
        <v>5.413297622821351E-3</v>
      </c>
      <c r="O103" s="1852">
        <f t="shared" ref="O103:P103" si="78">O93/O$86</f>
        <v>4.454502295472563E-3</v>
      </c>
      <c r="P103" s="1852">
        <f t="shared" si="78"/>
        <v>3.6979510067454463E-3</v>
      </c>
      <c r="Q103" s="2035">
        <v>5.0000000000000001E-3</v>
      </c>
      <c r="R103" s="2035">
        <v>5.0000000000000001E-3</v>
      </c>
      <c r="S103" s="2035">
        <v>5.0000000000000001E-3</v>
      </c>
      <c r="T103" s="2035"/>
      <c r="U103" s="2035"/>
      <c r="V103" s="2035">
        <v>0</v>
      </c>
      <c r="W103" s="2035">
        <v>0</v>
      </c>
      <c r="X103" s="2035"/>
    </row>
    <row r="104" spans="2:30">
      <c r="B104" s="33"/>
    </row>
    <row r="105" spans="2:30">
      <c r="B105" s="1815" t="s">
        <v>1645</v>
      </c>
      <c r="X105" s="250"/>
    </row>
    <row r="106" spans="2:30">
      <c r="B106" s="1816" t="s">
        <v>756</v>
      </c>
      <c r="L106" s="738"/>
      <c r="M106" s="738">
        <f>L108</f>
        <v>824.70849283200005</v>
      </c>
      <c r="N106" s="738">
        <f t="shared" ref="N106" si="79">M108</f>
        <v>1062.5210219000001</v>
      </c>
      <c r="O106" s="738">
        <f t="shared" ref="O106" si="80">N108</f>
        <v>1462.63613106</v>
      </c>
      <c r="P106" s="738">
        <f t="shared" ref="P106" si="81">O108</f>
        <v>1835.04</v>
      </c>
      <c r="Q106" s="738">
        <f>P108</f>
        <v>2161.348997002</v>
      </c>
      <c r="R106" s="738">
        <f ca="1">Q108</f>
        <v>2815.3826395827082</v>
      </c>
      <c r="S106" s="738">
        <f ca="1">R108</f>
        <v>3554.2698812825674</v>
      </c>
      <c r="T106" s="738"/>
      <c r="U106" s="738"/>
      <c r="V106" s="738">
        <f>M108</f>
        <v>1062.5210219000001</v>
      </c>
      <c r="W106" s="738">
        <f>N108</f>
        <v>1462.63613106</v>
      </c>
      <c r="X106" s="738"/>
    </row>
    <row r="107" spans="2:30">
      <c r="B107" s="1817" t="s">
        <v>761</v>
      </c>
      <c r="L107" s="738"/>
      <c r="M107" s="738">
        <f>M108-M106</f>
        <v>237.812529068</v>
      </c>
      <c r="N107" s="738">
        <f>N108-N106</f>
        <v>400.11510915999997</v>
      </c>
      <c r="O107" s="738">
        <f t="shared" ref="O107:P107" si="82">O108-O106</f>
        <v>372.40386893999994</v>
      </c>
      <c r="P107" s="738">
        <f t="shared" si="82"/>
        <v>326.30899700200007</v>
      </c>
      <c r="Q107" s="738">
        <f ca="1">(Q86*Q100)</f>
        <v>654.03364258070803</v>
      </c>
      <c r="R107" s="738">
        <f ca="1">(R86*R100)</f>
        <v>738.88724169985915</v>
      </c>
      <c r="S107" s="738">
        <f ca="1">(S86*S100)</f>
        <v>837.21474354182146</v>
      </c>
      <c r="T107" s="738"/>
      <c r="U107" s="738"/>
      <c r="V107" s="738" t="e">
        <f>(V86*V100)</f>
        <v>#REF!</v>
      </c>
      <c r="W107" s="738">
        <f>(W86*W100)</f>
        <v>545.71866655515873</v>
      </c>
      <c r="X107" s="738"/>
      <c r="AD107" s="2"/>
    </row>
    <row r="108" spans="2:30">
      <c r="B108" s="1816" t="s">
        <v>759</v>
      </c>
      <c r="L108" s="1800">
        <f>L48</f>
        <v>824.70849283200005</v>
      </c>
      <c r="M108" s="1800">
        <f>M48</f>
        <v>1062.5210219000001</v>
      </c>
      <c r="N108" s="1800">
        <f>N48</f>
        <v>1462.63613106</v>
      </c>
      <c r="O108" s="1800">
        <f t="shared" ref="O108:P108" si="83">O48</f>
        <v>1835.04</v>
      </c>
      <c r="P108" s="1800">
        <f t="shared" si="83"/>
        <v>2161.348997002</v>
      </c>
      <c r="Q108" s="738">
        <f ca="1">SUM(Q106:Q107)</f>
        <v>2815.3826395827082</v>
      </c>
      <c r="R108" s="738">
        <f ca="1">SUM(R106:R107)</f>
        <v>3554.2698812825674</v>
      </c>
      <c r="S108" s="738">
        <f ca="1">SUM(S106:S107)</f>
        <v>4391.4846248243884</v>
      </c>
      <c r="T108" s="738"/>
      <c r="U108" s="738"/>
      <c r="V108" s="738" t="e">
        <f>SUM(V106:V107)</f>
        <v>#REF!</v>
      </c>
      <c r="W108" s="738">
        <f>SUM(W106:W107)</f>
        <v>2008.3547976151588</v>
      </c>
      <c r="X108" s="738"/>
    </row>
    <row r="109" spans="2:30">
      <c r="B109" s="1816"/>
    </row>
    <row r="110" spans="2:30">
      <c r="B110" s="1815" t="s">
        <v>774</v>
      </c>
    </row>
    <row r="111" spans="2:30">
      <c r="B111" s="1816" t="s">
        <v>756</v>
      </c>
      <c r="L111" s="738"/>
      <c r="M111" s="738">
        <f t="shared" ref="M111:N111" si="84">L113</f>
        <v>570.49162564300002</v>
      </c>
      <c r="N111" s="738">
        <f t="shared" si="84"/>
        <v>1086.2707260479999</v>
      </c>
      <c r="O111" s="738">
        <f t="shared" ref="O111" si="85">N113</f>
        <v>1549.85093992</v>
      </c>
      <c r="P111" s="738">
        <f t="shared" ref="P111" si="86">O113</f>
        <v>2033.29</v>
      </c>
      <c r="Q111" s="738">
        <f>P113</f>
        <v>1556.9328919520001</v>
      </c>
      <c r="R111" s="738">
        <f ca="1">Q113</f>
        <v>1747.3694058742028</v>
      </c>
      <c r="S111" s="738">
        <f ca="1">R113</f>
        <v>1962.5129418178442</v>
      </c>
      <c r="T111" s="738"/>
      <c r="U111" s="738"/>
      <c r="V111" s="738">
        <f>M113</f>
        <v>1086.2707260479999</v>
      </c>
      <c r="W111" s="738">
        <f>N113</f>
        <v>1549.85093992</v>
      </c>
      <c r="X111" s="738"/>
    </row>
    <row r="112" spans="2:30">
      <c r="B112" s="1817" t="s">
        <v>761</v>
      </c>
      <c r="L112" s="738"/>
      <c r="M112" s="738">
        <f>M113-M111</f>
        <v>515.77910040499989</v>
      </c>
      <c r="N112" s="738">
        <f>N113-N111</f>
        <v>463.58021387200006</v>
      </c>
      <c r="O112" s="738">
        <f t="shared" ref="O112:P112" si="87">O113-O111</f>
        <v>483.43906007999999</v>
      </c>
      <c r="P112" s="738">
        <f t="shared" si="87"/>
        <v>-476.35710804799987</v>
      </c>
      <c r="Q112" s="738">
        <f ca="1">Q86*Q101</f>
        <v>190.43651392220281</v>
      </c>
      <c r="R112" s="738">
        <f ca="1">R86*R101</f>
        <v>215.14353594364138</v>
      </c>
      <c r="S112" s="738">
        <f ca="1">S86*S101</f>
        <v>243.77378590995193</v>
      </c>
      <c r="T112" s="738"/>
      <c r="U112" s="738"/>
      <c r="V112" s="738" t="e">
        <f>V86*V101</f>
        <v>#REF!</v>
      </c>
      <c r="W112" s="738">
        <f>W86*W101</f>
        <v>210.05021255675243</v>
      </c>
      <c r="X112" s="738"/>
      <c r="AD112" s="2"/>
    </row>
    <row r="113" spans="2:24">
      <c r="B113" s="1816" t="s">
        <v>759</v>
      </c>
      <c r="L113" s="1800">
        <f>L73</f>
        <v>570.49162564300002</v>
      </c>
      <c r="M113" s="1800">
        <f>M73</f>
        <v>1086.2707260479999</v>
      </c>
      <c r="N113" s="1800">
        <f>N73</f>
        <v>1549.85093992</v>
      </c>
      <c r="O113" s="1800">
        <f t="shared" ref="O113:P113" si="88">O73</f>
        <v>2033.29</v>
      </c>
      <c r="P113" s="1800">
        <f t="shared" si="88"/>
        <v>1556.9328919520001</v>
      </c>
      <c r="Q113" s="738">
        <f ca="1">SUM(Q111:Q112)</f>
        <v>1747.3694058742028</v>
      </c>
      <c r="R113" s="738">
        <f ca="1">SUM(R111:R112)</f>
        <v>1962.5129418178442</v>
      </c>
      <c r="S113" s="738">
        <f ca="1">SUM(S111:S112)</f>
        <v>2206.286727727796</v>
      </c>
      <c r="T113" s="738"/>
      <c r="U113" s="738"/>
      <c r="V113" s="738" t="e">
        <f>SUM(V111:V112)</f>
        <v>#REF!</v>
      </c>
      <c r="W113" s="2374">
        <f>SUM(W111:W112)</f>
        <v>1759.9011524767525</v>
      </c>
      <c r="X113" s="738"/>
    </row>
    <row r="114" spans="2:24">
      <c r="B114" s="1817"/>
    </row>
    <row r="115" spans="2:24">
      <c r="B115" s="1815" t="s">
        <v>775</v>
      </c>
    </row>
    <row r="116" spans="2:24">
      <c r="B116" s="1816" t="s">
        <v>756</v>
      </c>
      <c r="L116" s="738"/>
      <c r="M116" s="738">
        <f>L118</f>
        <v>0</v>
      </c>
      <c r="N116" s="738">
        <f t="shared" ref="N116" si="89">M118</f>
        <v>0</v>
      </c>
      <c r="O116" s="738">
        <f t="shared" ref="O116" si="90">N118</f>
        <v>0</v>
      </c>
      <c r="P116" s="738">
        <f t="shared" ref="P116" si="91">O118</f>
        <v>0</v>
      </c>
      <c r="Q116" s="738">
        <f>P118</f>
        <v>0</v>
      </c>
      <c r="R116" s="738">
        <f ca="1">Q118</f>
        <v>0</v>
      </c>
      <c r="S116" s="738">
        <f ca="1">R118</f>
        <v>0</v>
      </c>
      <c r="T116" s="738"/>
      <c r="U116" s="738"/>
      <c r="V116" s="738">
        <f>M118</f>
        <v>0</v>
      </c>
      <c r="W116" s="738" t="e">
        <f>V118</f>
        <v>#REF!</v>
      </c>
      <c r="X116" s="738"/>
    </row>
    <row r="117" spans="2:24">
      <c r="B117" s="1817" t="s">
        <v>761</v>
      </c>
      <c r="L117" s="738"/>
      <c r="M117" s="738">
        <f>M118-M116</f>
        <v>0</v>
      </c>
      <c r="N117" s="738">
        <f>N118-N116</f>
        <v>0</v>
      </c>
      <c r="O117" s="738">
        <f t="shared" ref="O117:P117" si="92">O118-O116</f>
        <v>0</v>
      </c>
      <c r="P117" s="738">
        <f t="shared" si="92"/>
        <v>0</v>
      </c>
      <c r="Q117" s="738">
        <f ca="1">Q86*Q102</f>
        <v>0</v>
      </c>
      <c r="R117" s="738">
        <f ca="1">R86*R102</f>
        <v>0</v>
      </c>
      <c r="S117" s="738">
        <f ca="1">S86*S102</f>
        <v>0</v>
      </c>
      <c r="T117" s="738"/>
      <c r="U117" s="738"/>
      <c r="V117" s="738" t="e">
        <f>V86*V102</f>
        <v>#REF!</v>
      </c>
      <c r="W117" s="738">
        <f>W86*W102</f>
        <v>0</v>
      </c>
      <c r="X117" s="738"/>
    </row>
    <row r="118" spans="2:24">
      <c r="B118" s="1816" t="s">
        <v>759</v>
      </c>
      <c r="L118" s="1800">
        <f>L74</f>
        <v>0</v>
      </c>
      <c r="M118" s="1800">
        <f>M74</f>
        <v>0</v>
      </c>
      <c r="N118" s="1800">
        <f>N74</f>
        <v>0</v>
      </c>
      <c r="O118" s="1800">
        <f t="shared" ref="O118:P118" si="93">O74</f>
        <v>0</v>
      </c>
      <c r="P118" s="1800">
        <f t="shared" si="93"/>
        <v>0</v>
      </c>
      <c r="Q118" s="738">
        <f ca="1">SUM(Q116:Q117)</f>
        <v>0</v>
      </c>
      <c r="R118" s="738">
        <f ca="1">SUM(R116:R117)</f>
        <v>0</v>
      </c>
      <c r="S118" s="738">
        <f ca="1">SUM(S116:S117)</f>
        <v>0</v>
      </c>
      <c r="T118" s="738"/>
      <c r="U118" s="738"/>
      <c r="V118" s="738" t="e">
        <f>SUM(V116:V117)</f>
        <v>#REF!</v>
      </c>
      <c r="W118" s="738" t="e">
        <f>SUM(W116:W117)</f>
        <v>#REF!</v>
      </c>
      <c r="X118" s="738"/>
    </row>
    <row r="119" spans="2:24">
      <c r="B119" s="33"/>
    </row>
    <row r="120" spans="2:24">
      <c r="B120" s="1815" t="s">
        <v>776</v>
      </c>
    </row>
    <row r="121" spans="2:24">
      <c r="B121" s="1816" t="s">
        <v>756</v>
      </c>
      <c r="L121" s="738"/>
      <c r="M121" s="738">
        <f t="shared" ref="M121" si="94">L123</f>
        <v>0</v>
      </c>
      <c r="N121" s="738"/>
      <c r="O121" s="738"/>
      <c r="P121" s="738"/>
      <c r="Q121" s="738">
        <f>P123</f>
        <v>3590.5609988389997</v>
      </c>
      <c r="R121" s="738">
        <f ca="1">Q123</f>
        <v>3646.1254426340324</v>
      </c>
      <c r="S121" s="738">
        <f ca="1">R123</f>
        <v>3708.8987557166729</v>
      </c>
      <c r="T121" s="738"/>
      <c r="U121" s="738"/>
      <c r="V121" s="738">
        <f>M123</f>
        <v>1179.064868147</v>
      </c>
      <c r="W121" s="738">
        <f>N123</f>
        <v>2018.555251171</v>
      </c>
      <c r="X121" s="738"/>
    </row>
    <row r="122" spans="2:24">
      <c r="B122" s="1817" t="s">
        <v>761</v>
      </c>
      <c r="L122" s="738"/>
      <c r="M122" s="738">
        <f>M123-M121</f>
        <v>1179.064868147</v>
      </c>
      <c r="N122" s="738"/>
      <c r="O122" s="738"/>
      <c r="P122" s="738"/>
      <c r="Q122" s="738">
        <f ca="1">Q86*Q103</f>
        <v>55.564443795032638</v>
      </c>
      <c r="R122" s="738">
        <f ca="1">R86*R103</f>
        <v>62.773313082640406</v>
      </c>
      <c r="S122" s="738">
        <f ca="1">S86*S103</f>
        <v>71.126878700527541</v>
      </c>
      <c r="T122" s="738"/>
      <c r="U122" s="738"/>
      <c r="V122" s="738" t="e">
        <f>V86*V103</f>
        <v>#REF!</v>
      </c>
      <c r="W122" s="738">
        <f>W86*W103</f>
        <v>0</v>
      </c>
      <c r="X122" s="738"/>
    </row>
    <row r="123" spans="2:24">
      <c r="B123" s="1816" t="s">
        <v>759</v>
      </c>
      <c r="L123" s="1800"/>
      <c r="M123" s="1800">
        <v>1179.064868147</v>
      </c>
      <c r="N123" s="1800">
        <f>N75</f>
        <v>2018.555251171</v>
      </c>
      <c r="O123" s="1800">
        <f t="shared" ref="O123:P123" si="95">O75</f>
        <v>2019.49</v>
      </c>
      <c r="P123" s="1800">
        <f t="shared" si="95"/>
        <v>3590.5609988389997</v>
      </c>
      <c r="Q123" s="738">
        <f ca="1">SUM(Q121:Q122)</f>
        <v>3646.1254426340324</v>
      </c>
      <c r="R123" s="738">
        <f ca="1">SUM(R121:R122)</f>
        <v>3708.8987557166729</v>
      </c>
      <c r="S123" s="738">
        <f ca="1">SUM(S121:S122)</f>
        <v>3780.0256344172003</v>
      </c>
      <c r="T123" s="738"/>
      <c r="U123" s="738"/>
      <c r="V123" s="738" t="e">
        <f>SUM(V121:V122)</f>
        <v>#REF!</v>
      </c>
      <c r="W123" s="2374">
        <f>SUM(W121:W122)</f>
        <v>2018.555251171</v>
      </c>
      <c r="X123" s="738"/>
    </row>
    <row r="124" spans="2:24">
      <c r="B124" s="1818"/>
      <c r="H124" s="751"/>
      <c r="I124" s="751"/>
      <c r="J124" s="751"/>
      <c r="K124" s="751"/>
      <c r="L124" s="751"/>
      <c r="M124" s="751"/>
      <c r="N124" s="751"/>
      <c r="O124" s="751"/>
      <c r="P124" s="751"/>
      <c r="Q124" s="751"/>
      <c r="R124" s="751"/>
      <c r="S124" s="751"/>
      <c r="T124" s="751"/>
      <c r="U124" s="751"/>
      <c r="V124" s="751"/>
      <c r="W124" s="751"/>
      <c r="X124" s="751"/>
    </row>
    <row r="125" spans="2:24">
      <c r="B125" s="784" t="s">
        <v>755</v>
      </c>
    </row>
    <row r="126" spans="2:24">
      <c r="B126" s="1819" t="s">
        <v>756</v>
      </c>
      <c r="I126" s="369"/>
      <c r="J126" s="369">
        <f t="shared" ref="J126:N126" si="96">I130</f>
        <v>1676.2316895270001</v>
      </c>
      <c r="K126" s="369">
        <f t="shared" si="96"/>
        <v>1912.7126945709999</v>
      </c>
      <c r="L126" s="369">
        <f t="shared" si="96"/>
        <v>1980.817143237</v>
      </c>
      <c r="M126" s="369">
        <f t="shared" si="96"/>
        <v>2018.0054393820001</v>
      </c>
      <c r="N126" s="369">
        <f t="shared" si="96"/>
        <v>2205.7363376930002</v>
      </c>
      <c r="O126" s="369">
        <f t="shared" ref="O126" si="97">N130</f>
        <v>2107.6166863829999</v>
      </c>
      <c r="P126" s="369">
        <f t="shared" ref="P126" si="98">O130</f>
        <v>2281.2199999999998</v>
      </c>
      <c r="Q126" s="369">
        <f>P130</f>
        <v>3581.1285174250002</v>
      </c>
      <c r="R126" s="369">
        <f ca="1">Q130</f>
        <v>12269.858851446086</v>
      </c>
      <c r="S126" s="369">
        <f ca="1">R130</f>
        <v>15369.274800846088</v>
      </c>
      <c r="T126" s="369"/>
      <c r="U126" s="369"/>
      <c r="V126" s="369">
        <f>M130</f>
        <v>2205.7363376930002</v>
      </c>
      <c r="W126" s="369">
        <f>N130</f>
        <v>2107.6166863829999</v>
      </c>
      <c r="X126" s="369"/>
    </row>
    <row r="127" spans="2:24">
      <c r="B127" s="1819" t="s">
        <v>757</v>
      </c>
      <c r="I127" s="369">
        <f>PL!I45</f>
        <v>439.02711468899997</v>
      </c>
      <c r="J127" s="369">
        <f>PL!J45</f>
        <v>404.92746631300002</v>
      </c>
      <c r="K127" s="369">
        <f>PL!K45</f>
        <v>312.19357217800001</v>
      </c>
      <c r="L127" s="369">
        <f>PL!L45</f>
        <v>686.86468111900001</v>
      </c>
      <c r="M127" s="1801">
        <f>PL!M45</f>
        <v>483.59804840100003</v>
      </c>
      <c r="N127" s="1801">
        <f>PL!N45</f>
        <v>42.347008961</v>
      </c>
      <c r="O127" s="1801">
        <f>PL!O45</f>
        <v>392.53</v>
      </c>
      <c r="P127" s="1801">
        <f>PL!P45</f>
        <v>658.02</v>
      </c>
      <c r="Q127" s="369">
        <f ca="1">PL!Q45</f>
        <v>2859.7303340210856</v>
      </c>
      <c r="R127" s="369">
        <f ca="1">PL!R45</f>
        <v>3099.4159494000005</v>
      </c>
      <c r="S127" s="369">
        <f ca="1">PL!S45</f>
        <v>3597.2267734200009</v>
      </c>
      <c r="T127" s="369"/>
      <c r="U127" s="369"/>
      <c r="V127" s="369" t="e">
        <f>PL!#REF!</f>
        <v>#REF!</v>
      </c>
      <c r="W127" s="369">
        <f>PL!V45</f>
        <v>127.08360922158333</v>
      </c>
      <c r="X127" s="369"/>
    </row>
    <row r="128" spans="2:24">
      <c r="B128" s="1820" t="s">
        <v>758</v>
      </c>
      <c r="I128" s="369">
        <v>-9.9380000000000006</v>
      </c>
      <c r="J128" s="369">
        <v>-81.614000000000004</v>
      </c>
      <c r="K128" s="369">
        <v>-219.91300000000001</v>
      </c>
      <c r="L128" s="369">
        <v>-247.11099999999999</v>
      </c>
      <c r="M128" s="369">
        <v>-419.45800000000003</v>
      </c>
      <c r="N128" s="369">
        <v>-227</v>
      </c>
      <c r="O128" s="369">
        <v>-285</v>
      </c>
      <c r="P128" s="369">
        <v>-171</v>
      </c>
      <c r="Q128" s="369">
        <v>0</v>
      </c>
      <c r="R128" s="369">
        <v>0</v>
      </c>
      <c r="S128" s="369">
        <v>0</v>
      </c>
      <c r="T128" s="369"/>
      <c r="U128" s="369"/>
      <c r="V128" s="369">
        <v>0</v>
      </c>
      <c r="W128" s="369">
        <v>0</v>
      </c>
      <c r="X128" s="369"/>
    </row>
    <row r="129" spans="2:35">
      <c r="B129" s="1820" t="s">
        <v>985</v>
      </c>
      <c r="I129" s="369"/>
      <c r="J129" s="369">
        <f>J130-SUM(J126:J128)</f>
        <v>-86.832461269000078</v>
      </c>
      <c r="K129" s="369">
        <f>K130-SUM(K126:K128)</f>
        <v>-24.176123511999776</v>
      </c>
      <c r="L129" s="369">
        <f>L130-SUM(L126:L128)</f>
        <v>-402.56538497400015</v>
      </c>
      <c r="M129" s="369">
        <f>M130-SUM(M126:M128)</f>
        <v>123.59084991000009</v>
      </c>
      <c r="N129" s="369">
        <f>N130-SUM(N126:N128)</f>
        <v>86.533339728999636</v>
      </c>
      <c r="O129" s="369">
        <f t="shared" ref="O129:P129" si="99">O130-SUM(O126:O128)</f>
        <v>66.073313616999712</v>
      </c>
      <c r="P129" s="369">
        <f t="shared" si="99"/>
        <v>812.88851742500037</v>
      </c>
      <c r="Q129" s="369">
        <v>5829</v>
      </c>
      <c r="R129" s="369">
        <v>0</v>
      </c>
      <c r="S129" s="369">
        <v>0</v>
      </c>
      <c r="T129" s="369"/>
      <c r="U129" s="369"/>
      <c r="V129" s="369">
        <v>0</v>
      </c>
      <c r="W129" s="369">
        <v>0</v>
      </c>
      <c r="X129" s="369"/>
    </row>
    <row r="130" spans="2:35">
      <c r="B130" s="1821" t="s">
        <v>759</v>
      </c>
      <c r="C130" s="1"/>
      <c r="D130" s="1"/>
      <c r="E130" s="1"/>
      <c r="F130" s="1"/>
      <c r="G130" s="1"/>
      <c r="H130" s="1802"/>
      <c r="I130" s="1803">
        <f>Data!R69</f>
        <v>1676.2316895270001</v>
      </c>
      <c r="J130" s="1803">
        <f>Data!S69</f>
        <v>1912.7126945709999</v>
      </c>
      <c r="K130" s="1803">
        <f>Data!T69</f>
        <v>1980.817143237</v>
      </c>
      <c r="L130" s="1803">
        <f>Data!U69</f>
        <v>2018.0054393820001</v>
      </c>
      <c r="M130" s="1803">
        <f>Data!V69</f>
        <v>2205.7363376930002</v>
      </c>
      <c r="N130" s="1803">
        <f>Data!W69</f>
        <v>2107.6166863829999</v>
      </c>
      <c r="O130" s="1803">
        <f>Data!X69</f>
        <v>2281.2199999999998</v>
      </c>
      <c r="P130" s="1803">
        <f>Data!Y69</f>
        <v>3581.1285174250002</v>
      </c>
      <c r="Q130" s="1804">
        <f ca="1">SUM(Q126:Q129)</f>
        <v>12269.858851446086</v>
      </c>
      <c r="R130" s="1804">
        <f ca="1">SUM(R126:R129)</f>
        <v>15369.274800846088</v>
      </c>
      <c r="S130" s="1804">
        <f ca="1">SUM(S126:S129)</f>
        <v>18966.501574266087</v>
      </c>
      <c r="T130" s="1804"/>
      <c r="U130" s="1804"/>
      <c r="V130" s="1804" t="e">
        <f>SUM(V126:V129)</f>
        <v>#REF!</v>
      </c>
      <c r="W130" s="2375">
        <f>SUM(W126:W129)</f>
        <v>2234.7002956045831</v>
      </c>
      <c r="X130" s="1804"/>
    </row>
    <row r="131" spans="2:35">
      <c r="B131" s="33"/>
    </row>
    <row r="132" spans="2:35">
      <c r="B132" s="784" t="s">
        <v>790</v>
      </c>
    </row>
    <row r="133" spans="2:35">
      <c r="B133" s="1822" t="s">
        <v>756</v>
      </c>
      <c r="I133" s="369"/>
      <c r="J133" s="369">
        <f t="shared" ref="J133:N133" si="100">I135</f>
        <v>793.36084479199997</v>
      </c>
      <c r="K133" s="369">
        <f t="shared" si="100"/>
        <v>893.62399451700003</v>
      </c>
      <c r="L133" s="369">
        <f t="shared" si="100"/>
        <v>903.65723628600006</v>
      </c>
      <c r="M133" s="369">
        <f t="shared" si="100"/>
        <v>1931.206629408</v>
      </c>
      <c r="N133" s="369">
        <f t="shared" si="100"/>
        <v>2409.2731185839998</v>
      </c>
      <c r="O133" s="369">
        <f t="shared" ref="O133" si="101">N135</f>
        <v>2850.5488130379999</v>
      </c>
      <c r="P133" s="369">
        <f t="shared" ref="P133" si="102">O135</f>
        <v>3393.9399999999996</v>
      </c>
      <c r="Q133" s="369">
        <f>P135</f>
        <v>3823.7629759060001</v>
      </c>
      <c r="R133" s="369">
        <f ca="1">Q135</f>
        <v>3115.023716719671</v>
      </c>
      <c r="S133" s="369">
        <f ca="1">R135</f>
        <v>3591.6026675444432</v>
      </c>
      <c r="T133" s="369"/>
      <c r="U133" s="369"/>
      <c r="V133" s="369">
        <f>M135</f>
        <v>2409.2731185839998</v>
      </c>
      <c r="W133" s="369">
        <f>N135</f>
        <v>2850.5488130379999</v>
      </c>
      <c r="X133" s="369"/>
    </row>
    <row r="134" spans="2:35">
      <c r="B134" s="1823" t="s">
        <v>786</v>
      </c>
      <c r="I134" s="369"/>
      <c r="J134" s="369">
        <f t="shared" ref="J134:W134" si="103">J135-J133</f>
        <v>100.26314972500006</v>
      </c>
      <c r="K134" s="369">
        <f t="shared" si="103"/>
        <v>10.033241769000028</v>
      </c>
      <c r="L134" s="369">
        <f t="shared" si="103"/>
        <v>1027.5493931219999</v>
      </c>
      <c r="M134" s="369">
        <f t="shared" si="103"/>
        <v>478.06648917599978</v>
      </c>
      <c r="N134" s="369">
        <f t="shared" ref="N134" si="104">N135-N133</f>
        <v>441.27569445400013</v>
      </c>
      <c r="O134" s="369">
        <f t="shared" ref="O134:P134" si="105">O135-O133</f>
        <v>543.39118696199967</v>
      </c>
      <c r="P134" s="369">
        <f t="shared" si="105"/>
        <v>429.82297590600047</v>
      </c>
      <c r="Q134" s="738">
        <f ca="1">Q135-Q133</f>
        <v>-708.73925918632904</v>
      </c>
      <c r="R134" s="738">
        <f ca="1">R135-R133</f>
        <v>476.57895082477216</v>
      </c>
      <c r="S134" s="738">
        <f ca="1">S135-S133</f>
        <v>576.86309700666288</v>
      </c>
      <c r="T134" s="738"/>
      <c r="U134" s="738"/>
      <c r="V134" s="738" t="e">
        <f t="shared" si="103"/>
        <v>#REF!</v>
      </c>
      <c r="W134" s="738">
        <f t="shared" si="103"/>
        <v>215.4047369620007</v>
      </c>
      <c r="X134" s="738"/>
    </row>
    <row r="135" spans="2:35">
      <c r="B135" s="1824" t="s">
        <v>759</v>
      </c>
      <c r="C135" s="1"/>
      <c r="D135" s="1"/>
      <c r="E135" s="1"/>
      <c r="F135" s="1"/>
      <c r="G135" s="1"/>
      <c r="H135" s="1"/>
      <c r="I135" s="1803">
        <f>Data!R70+Data!R72</f>
        <v>793.36084479199997</v>
      </c>
      <c r="J135" s="1803">
        <f>Data!S70+Data!S72</f>
        <v>893.62399451700003</v>
      </c>
      <c r="K135" s="1803">
        <f>Data!T70+Data!T72</f>
        <v>903.65723628600006</v>
      </c>
      <c r="L135" s="1803">
        <f>Data!U70+Data!U72</f>
        <v>1931.206629408</v>
      </c>
      <c r="M135" s="1803">
        <f>Data!V70+Data!V72</f>
        <v>2409.2731185839998</v>
      </c>
      <c r="N135" s="1803">
        <f>Data!W70+Data!W72</f>
        <v>2850.5488130379999</v>
      </c>
      <c r="O135" s="1803">
        <f>Data!X70+Data!X72</f>
        <v>3393.9399999999996</v>
      </c>
      <c r="P135" s="1803">
        <f>Data!Y70+Data!Y72</f>
        <v>3823.7629759060001</v>
      </c>
      <c r="Q135" s="697">
        <f ca="1">PL!Q9*BS!Q136</f>
        <v>3115.023716719671</v>
      </c>
      <c r="R135" s="697">
        <f ca="1">PL!R9*BS!R136</f>
        <v>3591.6026675444432</v>
      </c>
      <c r="S135" s="697">
        <f ca="1">PL!S9*BS!S136</f>
        <v>4168.4657645511061</v>
      </c>
      <c r="T135" s="697"/>
      <c r="U135" s="697"/>
      <c r="V135" s="697" t="e">
        <f>PL!#REF!*BS!V136</f>
        <v>#REF!</v>
      </c>
      <c r="W135" s="2375">
        <f>PL!V9*BS!W136</f>
        <v>3065.9535500000006</v>
      </c>
      <c r="X135" s="697"/>
    </row>
    <row r="136" spans="2:35">
      <c r="B136" s="1825" t="s">
        <v>913</v>
      </c>
      <c r="I136" s="1806">
        <f>I135/PL!I9</f>
        <v>3.4176646568529485E-2</v>
      </c>
      <c r="J136" s="1806">
        <f>J135/PL!J9</f>
        <v>3.2241053477996634E-2</v>
      </c>
      <c r="K136" s="1806">
        <f>K135/PL!K9</f>
        <v>3.0293164702009823E-2</v>
      </c>
      <c r="L136" s="1806">
        <f>L135/PL!L9</f>
        <v>5.4160260535124537E-2</v>
      </c>
      <c r="M136" s="1806">
        <f>M135/PL!M9</f>
        <v>5.4744352996749263E-2</v>
      </c>
      <c r="N136" s="1806">
        <f>N135/PL!N9</f>
        <v>5.4174506550334123E-2</v>
      </c>
      <c r="O136" s="1806">
        <f>O135/PL!O9</f>
        <v>5.4001676086365379E-2</v>
      </c>
      <c r="P136" s="1806">
        <f>P135/PL!P9</f>
        <v>5.446359189293936E-2</v>
      </c>
      <c r="Q136" s="1807">
        <f>P136</f>
        <v>5.446359189293936E-2</v>
      </c>
      <c r="R136" s="1807">
        <f>Q136</f>
        <v>5.446359189293936E-2</v>
      </c>
      <c r="S136" s="1807">
        <f>R136</f>
        <v>5.446359189293936E-2</v>
      </c>
      <c r="T136" s="1807"/>
      <c r="U136" s="1807"/>
      <c r="V136" s="1807">
        <v>0.04</v>
      </c>
      <c r="W136" s="1807">
        <v>5.5E-2</v>
      </c>
      <c r="X136" s="1807"/>
    </row>
    <row r="137" spans="2:35">
      <c r="B137" s="1825"/>
      <c r="I137" s="729"/>
      <c r="J137" s="729"/>
      <c r="K137" s="729"/>
      <c r="L137" s="729"/>
      <c r="M137" s="729"/>
      <c r="N137" s="729"/>
      <c r="O137" s="729"/>
      <c r="P137" s="729"/>
      <c r="Q137" s="1808"/>
      <c r="R137" s="1808"/>
      <c r="S137" s="1808"/>
      <c r="T137" s="1808"/>
      <c r="U137" s="1808"/>
      <c r="V137" s="1808"/>
      <c r="W137" s="1808"/>
      <c r="X137" s="1808"/>
    </row>
    <row r="138" spans="2:35">
      <c r="B138" s="1815" t="s">
        <v>760</v>
      </c>
      <c r="L138" s="369"/>
      <c r="M138" s="369"/>
      <c r="N138" s="369"/>
      <c r="O138" s="369"/>
      <c r="P138" s="369"/>
      <c r="Q138" s="369"/>
      <c r="R138" s="369"/>
      <c r="S138" s="369"/>
      <c r="T138" s="369"/>
      <c r="U138" s="369"/>
      <c r="V138" s="369"/>
      <c r="W138" s="369"/>
      <c r="X138" s="369"/>
    </row>
    <row r="139" spans="2:35">
      <c r="B139" s="1822" t="s">
        <v>756</v>
      </c>
      <c r="L139" s="369"/>
      <c r="M139" s="369">
        <f t="shared" ref="M139:N139" si="106">L141</f>
        <v>17799.441187777</v>
      </c>
      <c r="N139" s="369">
        <f t="shared" si="106"/>
        <v>10904.344845014</v>
      </c>
      <c r="O139" s="369">
        <f t="shared" ref="O139" si="107">N141</f>
        <v>13837.894474107001</v>
      </c>
      <c r="P139" s="369">
        <f t="shared" ref="P139" si="108">O141</f>
        <v>14446.24</v>
      </c>
      <c r="Q139" s="369">
        <f>P141</f>
        <v>19169.697497955</v>
      </c>
      <c r="R139" s="369">
        <f ca="1">Q141</f>
        <v>10351.300379180901</v>
      </c>
      <c r="S139" s="369">
        <f ca="1">R141</f>
        <v>366.00981351832525</v>
      </c>
      <c r="T139" s="369"/>
      <c r="U139" s="369"/>
      <c r="V139" s="369">
        <f>M141</f>
        <v>10904.344845014</v>
      </c>
      <c r="W139" s="369">
        <f>N141</f>
        <v>13837.894474107001</v>
      </c>
      <c r="X139" s="369"/>
    </row>
    <row r="140" spans="2:35">
      <c r="B140" s="1823" t="s">
        <v>786</v>
      </c>
      <c r="L140" s="369"/>
      <c r="M140" s="369">
        <f>M141-M139</f>
        <v>-6895.0963427629995</v>
      </c>
      <c r="N140" s="369">
        <f>N141-N139</f>
        <v>2933.5496290930005</v>
      </c>
      <c r="O140" s="369">
        <f t="shared" ref="O140:P140" si="109">O141-O139</f>
        <v>608.34552589299892</v>
      </c>
      <c r="P140" s="369">
        <f t="shared" si="109"/>
        <v>4723.4574979549998</v>
      </c>
      <c r="Q140" s="369">
        <f ca="1">-MIN(Q150,Q139)</f>
        <v>-8818.397118774099</v>
      </c>
      <c r="R140" s="369">
        <f ca="1">-MIN(R150,R139)</f>
        <v>-9985.2905656625753</v>
      </c>
      <c r="S140" s="369">
        <f ca="1">-MIN(S150,S139)</f>
        <v>-366.00981351832525</v>
      </c>
      <c r="T140" s="369"/>
      <c r="U140" s="369"/>
      <c r="V140" s="369" t="e">
        <f>-MIN(V150,V139)</f>
        <v>#REF!</v>
      </c>
      <c r="W140" s="369" t="e">
        <f>-MIN(W150,W139)</f>
        <v>#REF!</v>
      </c>
      <c r="X140" s="369"/>
    </row>
    <row r="141" spans="2:35">
      <c r="B141" s="1824" t="s">
        <v>759</v>
      </c>
      <c r="C141" s="1"/>
      <c r="D141" s="1"/>
      <c r="E141" s="1"/>
      <c r="F141" s="1"/>
      <c r="G141" s="1"/>
      <c r="H141" s="1"/>
      <c r="I141" s="1"/>
      <c r="J141" s="1"/>
      <c r="K141" s="1"/>
      <c r="L141" s="1803">
        <f>L50</f>
        <v>17799.441187777</v>
      </c>
      <c r="M141" s="1803">
        <f>M50</f>
        <v>10904.344845014</v>
      </c>
      <c r="N141" s="1803">
        <f>N50</f>
        <v>13837.894474107001</v>
      </c>
      <c r="O141" s="1803">
        <f t="shared" ref="O141:P141" si="110">O50</f>
        <v>14446.24</v>
      </c>
      <c r="P141" s="1803">
        <f t="shared" si="110"/>
        <v>19169.697497955</v>
      </c>
      <c r="Q141" s="1804">
        <f ca="1">SUM(Q139:Q140)</f>
        <v>10351.300379180901</v>
      </c>
      <c r="R141" s="1804">
        <f ca="1">SUM(R139:R140)</f>
        <v>366.00981351832525</v>
      </c>
      <c r="S141" s="1804">
        <f ca="1">SUM(S139:S140)</f>
        <v>0</v>
      </c>
      <c r="T141" s="1804"/>
      <c r="U141" s="1804"/>
      <c r="V141" s="1804" t="e">
        <f>SUM(V139:V140)</f>
        <v>#REF!</v>
      </c>
      <c r="W141" s="1804" t="e">
        <f>SUM(W139:W140)</f>
        <v>#REF!</v>
      </c>
      <c r="X141" s="1804"/>
      <c r="AA141" s="598"/>
      <c r="AB141" s="598"/>
      <c r="AC141" s="598"/>
      <c r="AD141" s="1044"/>
      <c r="AE141" s="1044"/>
      <c r="AF141" s="1044"/>
      <c r="AG141" s="1044"/>
      <c r="AH141" s="1044"/>
      <c r="AI141" s="1044"/>
    </row>
    <row r="142" spans="2:35">
      <c r="B142" s="1816"/>
      <c r="I142" s="1333"/>
      <c r="J142" s="1333"/>
      <c r="K142" s="1333"/>
      <c r="L142" s="1333"/>
      <c r="M142" s="1333"/>
      <c r="N142" s="1333"/>
      <c r="O142" s="1333"/>
      <c r="P142" s="1333"/>
      <c r="Q142" s="751"/>
      <c r="R142" s="751"/>
      <c r="S142" s="751"/>
      <c r="T142" s="751"/>
      <c r="U142" s="751"/>
      <c r="V142" s="751"/>
      <c r="W142" s="751"/>
      <c r="X142" s="751"/>
    </row>
    <row r="143" spans="2:35">
      <c r="B143" s="1816" t="s">
        <v>762</v>
      </c>
      <c r="M143" s="225">
        <f t="shared" ref="M143:W143" si="111">M9+M11+M13</f>
        <v>12305.066096121</v>
      </c>
      <c r="N143" s="225">
        <f t="shared" ref="N143" si="112">N9+N11+N13</f>
        <v>13366.092205163</v>
      </c>
      <c r="O143" s="225">
        <f t="shared" ref="O143:P143" si="113">O9+O11+O13</f>
        <v>15188.29</v>
      </c>
      <c r="P143" s="225">
        <f t="shared" si="113"/>
        <v>18619.592915371002</v>
      </c>
      <c r="Q143" s="225">
        <f ca="1">Q9+Q11+Q13</f>
        <v>13790.49249603958</v>
      </c>
      <c r="R143" s="225">
        <f ca="1">R9+R11+R13</f>
        <v>15927.36542033677</v>
      </c>
      <c r="S143" s="225">
        <f ca="1">S9+S11+S13</f>
        <v>18498.421783156427</v>
      </c>
      <c r="T143" s="225"/>
      <c r="U143" s="225"/>
      <c r="V143" s="225" t="e">
        <f t="shared" si="111"/>
        <v>#REF!</v>
      </c>
      <c r="W143" s="225" t="e">
        <f t="shared" si="111"/>
        <v>#REF!</v>
      </c>
      <c r="X143" s="225"/>
    </row>
    <row r="144" spans="2:35">
      <c r="B144" s="1816" t="s">
        <v>763</v>
      </c>
      <c r="M144" s="7" t="str">
        <f t="shared" ref="M144:W144" si="114">IF(M141&gt;M143,"Overdrawn","Ok")</f>
        <v>Ok</v>
      </c>
      <c r="N144" s="7" t="str">
        <f t="shared" ref="N144" si="115">IF(N141&gt;N143,"Overdrawn","Ok")</f>
        <v>Overdrawn</v>
      </c>
      <c r="O144" s="7" t="str">
        <f t="shared" ref="O144:P144" si="116">IF(O141&gt;O143,"Overdrawn","Ok")</f>
        <v>Ok</v>
      </c>
      <c r="P144" s="7" t="str">
        <f t="shared" si="116"/>
        <v>Overdrawn</v>
      </c>
      <c r="Q144" s="7" t="str">
        <f ca="1">IF(Q141&gt;Q143,"Overdrawn","Ok")</f>
        <v>Ok</v>
      </c>
      <c r="R144" s="7" t="str">
        <f ca="1">IF(R141&gt;R143,"Overdrawn","Ok")</f>
        <v>Ok</v>
      </c>
      <c r="S144" s="7" t="str">
        <f ca="1">IF(S141&gt;S143,"Overdrawn","Ok")</f>
        <v>Ok</v>
      </c>
      <c r="T144" s="7"/>
      <c r="U144" s="7"/>
      <c r="V144" s="7" t="e">
        <f t="shared" si="114"/>
        <v>#REF!</v>
      </c>
      <c r="W144" s="7" t="e">
        <f t="shared" si="114"/>
        <v>#REF!</v>
      </c>
      <c r="X144" s="7"/>
    </row>
    <row r="145" spans="2:24">
      <c r="B145" s="1826" t="s">
        <v>829</v>
      </c>
      <c r="C145" s="323"/>
      <c r="D145" s="323"/>
      <c r="E145" s="323"/>
      <c r="F145" s="323"/>
      <c r="G145" s="323"/>
      <c r="H145" s="323"/>
      <c r="I145" s="1806">
        <f>I50/PL!I11</f>
        <v>0.45538780278508872</v>
      </c>
      <c r="J145" s="1806">
        <f>J50/PL!J11</f>
        <v>0.44185093718233442</v>
      </c>
      <c r="K145" s="1806">
        <f>K50/PL!K11</f>
        <v>0.66951114071286233</v>
      </c>
      <c r="L145" s="1806">
        <f>L50/PL!L11</f>
        <v>0.80813621403305513</v>
      </c>
      <c r="M145" s="1806">
        <f>M50/PL!M11</f>
        <v>0.40623812218123251</v>
      </c>
      <c r="N145" s="1806">
        <f>N50/PL!N11</f>
        <v>0.42843970653178753</v>
      </c>
      <c r="O145" s="1806">
        <f>O50/PL!O11</f>
        <v>0.36899294899547774</v>
      </c>
      <c r="P145" s="1806">
        <f>P50/PL!P11</f>
        <v>0.43353270041433895</v>
      </c>
      <c r="Q145" s="1807">
        <f>P145</f>
        <v>0.43353270041433895</v>
      </c>
      <c r="R145" s="1807">
        <f>Q145</f>
        <v>0.43353270041433895</v>
      </c>
      <c r="S145" s="1807">
        <f>R145</f>
        <v>0.43353270041433895</v>
      </c>
      <c r="T145" s="1807"/>
      <c r="U145" s="1807"/>
      <c r="V145" s="1807">
        <v>0.4</v>
      </c>
      <c r="W145" s="1807">
        <f>N145</f>
        <v>0.42843970653178753</v>
      </c>
      <c r="X145" s="1807"/>
    </row>
    <row r="146" spans="2:24">
      <c r="B146" s="1815"/>
    </row>
    <row r="147" spans="2:24">
      <c r="B147" s="1822" t="s">
        <v>764</v>
      </c>
      <c r="M147" s="369">
        <f>BS!L6</f>
        <v>5417.8452932419996</v>
      </c>
      <c r="N147" s="369">
        <f>BS!M6</f>
        <v>6440.1771743219997</v>
      </c>
      <c r="O147" s="369">
        <f>BS!N6</f>
        <v>8279.1566832209992</v>
      </c>
      <c r="P147" s="369">
        <f>BS!O6</f>
        <v>9315.44</v>
      </c>
      <c r="Q147" s="369">
        <f>BS!P6</f>
        <v>10540.18164092</v>
      </c>
      <c r="R147" s="369">
        <f ca="1">BS!Q6</f>
        <v>17810.10807520993</v>
      </c>
      <c r="S147" s="369">
        <f ca="1">BS!R6</f>
        <v>20356.573508863479</v>
      </c>
      <c r="T147" s="369"/>
      <c r="U147" s="369"/>
      <c r="V147" s="369">
        <f>BS!M6</f>
        <v>6440.1771743219997</v>
      </c>
      <c r="W147" s="369" t="e">
        <f>BS!V6</f>
        <v>#REF!</v>
      </c>
      <c r="X147" s="369"/>
    </row>
    <row r="148" spans="2:24">
      <c r="B148" s="1822" t="s">
        <v>777</v>
      </c>
      <c r="M148" s="369">
        <f>SUM(CF!H70,CF!H77,CF!H80:H84)</f>
        <v>8642.1578452589965</v>
      </c>
      <c r="N148" s="369">
        <f>SUM(CF!I70,CF!I77,CF!I80:I84)</f>
        <v>119.61572434800067</v>
      </c>
      <c r="O148" s="369">
        <f>SUM(CF!J70,CF!J77,CF!J80:J84)</f>
        <v>103.23000000000314</v>
      </c>
      <c r="P148" s="369">
        <f>SUM(CF!K70,CF!K77,CF!K80:K84)</f>
        <v>-4955.0799999999927</v>
      </c>
      <c r="Q148" s="369">
        <f ca="1">SUM(CF!L70,CF!L77,CF!L80:L84)</f>
        <v>6857.4064799173539</v>
      </c>
      <c r="R148" s="369">
        <f ca="1">SUM(CF!M70,CF!M77,CF!M80:M84)</f>
        <v>2066.9355204526473</v>
      </c>
      <c r="S148" s="369">
        <f ca="1">SUM(CF!N70,CF!N77,CF!N80:N84)</f>
        <v>2203.5042240075709</v>
      </c>
      <c r="T148" s="369"/>
      <c r="U148" s="369"/>
      <c r="V148" s="369" t="e">
        <f>SUM(CF!Q70,CF!Q77,CF!Q80:Q84)</f>
        <v>#REF!</v>
      </c>
      <c r="W148" s="369">
        <f>SUM(CF!R70,CF!R77,CF!R80:R84)</f>
        <v>0</v>
      </c>
      <c r="X148" s="369"/>
    </row>
    <row r="149" spans="2:24">
      <c r="B149" s="1822" t="s">
        <v>765</v>
      </c>
      <c r="I149" s="1147"/>
      <c r="J149" s="1147"/>
      <c r="M149" s="369">
        <f>PL!M9*M151</f>
        <v>6601.4291521366495</v>
      </c>
      <c r="N149" s="369">
        <f>PL!N9*N151</f>
        <v>7892.6851241077493</v>
      </c>
      <c r="O149" s="369">
        <f>PL!O9*O151</f>
        <v>9427.3184999999994</v>
      </c>
      <c r="P149" s="369">
        <f>PL!P9*P151</f>
        <v>10531.1535</v>
      </c>
      <c r="Q149" s="369">
        <f ca="1">PL!Q9*Q151</f>
        <v>8579.1910020632549</v>
      </c>
      <c r="R149" s="369">
        <f ca="1">PL!R9*R151</f>
        <v>9891.7530300000017</v>
      </c>
      <c r="S149" s="369">
        <f ca="1">PL!S9*S151</f>
        <v>11480.510979000002</v>
      </c>
      <c r="T149" s="369"/>
      <c r="U149" s="369"/>
      <c r="V149" s="369" t="e">
        <f>PL!#REF!*V151</f>
        <v>#REF!</v>
      </c>
      <c r="W149" s="369">
        <f>PL!V9*W151</f>
        <v>8361.6915000000008</v>
      </c>
      <c r="X149" s="369"/>
    </row>
    <row r="150" spans="2:24">
      <c r="B150" s="1822" t="s">
        <v>779</v>
      </c>
      <c r="M150" s="369">
        <f t="shared" ref="M150:W150" si="117">M147+M148-M149</f>
        <v>7458.5739863643475</v>
      </c>
      <c r="N150" s="369">
        <f t="shared" ref="N150" si="118">N147+N148-N149</f>
        <v>-1332.8922254377485</v>
      </c>
      <c r="O150" s="369">
        <f t="shared" ref="O150:P150" si="119">O147+O148-O149</f>
        <v>-1044.931816778997</v>
      </c>
      <c r="P150" s="369">
        <f t="shared" si="119"/>
        <v>-6170.7934999999925</v>
      </c>
      <c r="Q150" s="369">
        <f ca="1">Q147+Q148-Q149</f>
        <v>8818.397118774099</v>
      </c>
      <c r="R150" s="369">
        <f ca="1">R147+R148-R149</f>
        <v>9985.2905656625753</v>
      </c>
      <c r="S150" s="369">
        <f ca="1">S147+S148-S149</f>
        <v>11079.566753871048</v>
      </c>
      <c r="T150" s="369"/>
      <c r="U150" s="369"/>
      <c r="V150" s="369" t="e">
        <f t="shared" si="117"/>
        <v>#REF!</v>
      </c>
      <c r="W150" s="369" t="e">
        <f t="shared" si="117"/>
        <v>#REF!</v>
      </c>
      <c r="X150" s="369"/>
    </row>
    <row r="151" spans="2:24">
      <c r="B151" s="1295"/>
      <c r="M151" s="1809">
        <v>0.15</v>
      </c>
      <c r="N151" s="1809">
        <v>0.15</v>
      </c>
      <c r="O151" s="1809">
        <v>0.15</v>
      </c>
      <c r="P151" s="1809">
        <v>0.15</v>
      </c>
      <c r="Q151" s="1809">
        <v>0.15</v>
      </c>
      <c r="R151" s="1809">
        <v>0.15</v>
      </c>
      <c r="S151" s="1809">
        <v>0.15</v>
      </c>
      <c r="T151" s="1809"/>
      <c r="U151" s="1809"/>
      <c r="V151" s="1809">
        <v>0.115</v>
      </c>
      <c r="W151" s="1809">
        <v>0.15</v>
      </c>
      <c r="X151" s="1809"/>
    </row>
    <row r="152" spans="2:24">
      <c r="B152" s="1815" t="s">
        <v>780</v>
      </c>
    </row>
    <row r="153" spans="2:24">
      <c r="B153" s="1822" t="s">
        <v>756</v>
      </c>
      <c r="I153" s="369">
        <f t="shared" ref="I153:N153" si="120">H156</f>
        <v>1809.3855793969999</v>
      </c>
      <c r="J153" s="369">
        <f t="shared" si="120"/>
        <v>2301.8513291969998</v>
      </c>
      <c r="K153" s="369">
        <f t="shared" si="120"/>
        <v>2835.0864503610001</v>
      </c>
      <c r="L153" s="369">
        <f t="shared" si="120"/>
        <v>2860.0941244239998</v>
      </c>
      <c r="M153" s="369">
        <f t="shared" si="120"/>
        <v>3477.0411388369998</v>
      </c>
      <c r="N153" s="369">
        <f t="shared" si="120"/>
        <v>4309.6562731980002</v>
      </c>
      <c r="O153" s="369">
        <f t="shared" ref="O153" si="121">N156</f>
        <v>4958.8548556870001</v>
      </c>
      <c r="P153" s="369">
        <f t="shared" ref="P153" si="122">O156</f>
        <v>5933.31</v>
      </c>
      <c r="Q153" s="369">
        <f>P156</f>
        <v>7265.098386273</v>
      </c>
      <c r="R153" s="369">
        <f ca="1">Q156</f>
        <v>7433.2586137633589</v>
      </c>
      <c r="S153" s="369">
        <f ca="1">R156</f>
        <v>7642.5501774566719</v>
      </c>
      <c r="T153" s="369"/>
      <c r="U153" s="369"/>
      <c r="V153" s="369">
        <f>M156</f>
        <v>4309.6562731980002</v>
      </c>
      <c r="W153" s="369">
        <f>N156</f>
        <v>4958.8548556870001</v>
      </c>
      <c r="X153" s="369"/>
    </row>
    <row r="154" spans="2:24">
      <c r="B154" s="1822" t="s">
        <v>766</v>
      </c>
      <c r="I154" s="369">
        <f>PL!I54</f>
        <v>613.81850905900001</v>
      </c>
      <c r="J154" s="369">
        <f>PL!J54</f>
        <v>776.361790219</v>
      </c>
      <c r="K154" s="369">
        <f>PL!K54</f>
        <v>885.73747877599999</v>
      </c>
      <c r="L154" s="369">
        <f>PL!L54</f>
        <v>1011.889219694</v>
      </c>
      <c r="M154" s="369">
        <f>PL!M54</f>
        <v>1181.2348630609999</v>
      </c>
      <c r="N154" s="369">
        <f>PL!N54</f>
        <v>1322.859306994</v>
      </c>
      <c r="O154" s="369">
        <f>PL!O54</f>
        <v>1570.65</v>
      </c>
      <c r="P154" s="369">
        <f>PL!P54</f>
        <v>1856.21</v>
      </c>
      <c r="Q154" s="369">
        <f ca="1">PL!Q54</f>
        <v>168.16022749035889</v>
      </c>
      <c r="R154" s="369">
        <f ca="1">PL!R54</f>
        <v>209.29156369331344</v>
      </c>
      <c r="S154" s="369">
        <f ca="1">PL!S54</f>
        <v>237.14306180176339</v>
      </c>
      <c r="T154" s="369"/>
      <c r="U154" s="369"/>
      <c r="V154" s="369" t="e">
        <f>PL!#REF!</f>
        <v>#REF!</v>
      </c>
      <c r="W154" s="369">
        <f>PL!V54</f>
        <v>1224.9740816658307</v>
      </c>
      <c r="X154" s="369"/>
    </row>
    <row r="155" spans="2:24">
      <c r="B155" s="1823" t="s">
        <v>758</v>
      </c>
      <c r="I155" s="369">
        <f t="shared" ref="I155:N155" si="123">I156-I153-I154</f>
        <v>-121.35275925900009</v>
      </c>
      <c r="J155" s="369">
        <f t="shared" si="123"/>
        <v>-243.12666905499975</v>
      </c>
      <c r="K155" s="369">
        <f t="shared" si="123"/>
        <v>-860.72980471300025</v>
      </c>
      <c r="L155" s="369">
        <f t="shared" si="123"/>
        <v>-394.94220528099993</v>
      </c>
      <c r="M155" s="369">
        <f t="shared" si="123"/>
        <v>-348.61972869999954</v>
      </c>
      <c r="N155" s="369">
        <f t="shared" si="123"/>
        <v>-673.66072450500019</v>
      </c>
      <c r="O155" s="369">
        <f t="shared" ref="O155:P155" si="124">O156-O153-O154</f>
        <v>-596.19485568699974</v>
      </c>
      <c r="P155" s="369">
        <f t="shared" si="124"/>
        <v>-524.42161372700048</v>
      </c>
      <c r="Q155" s="369">
        <v>-1</v>
      </c>
      <c r="R155" s="369">
        <v>0</v>
      </c>
      <c r="S155" s="369">
        <v>1</v>
      </c>
      <c r="T155" s="369"/>
      <c r="U155" s="369"/>
      <c r="V155" s="369">
        <v>0</v>
      </c>
      <c r="W155" s="369">
        <v>0</v>
      </c>
      <c r="X155" s="369"/>
    </row>
    <row r="156" spans="2:24">
      <c r="B156" s="1824" t="s">
        <v>759</v>
      </c>
      <c r="C156" s="1"/>
      <c r="D156" s="1"/>
      <c r="E156" s="1"/>
      <c r="F156" s="1"/>
      <c r="G156" s="1"/>
      <c r="H156" s="1802">
        <f>H77</f>
        <v>1809.3855793969999</v>
      </c>
      <c r="I156" s="1803">
        <f>BS!I77</f>
        <v>2301.8513291969998</v>
      </c>
      <c r="J156" s="1803">
        <f>BS!J77</f>
        <v>2835.0864503610001</v>
      </c>
      <c r="K156" s="1803">
        <f>BS!K77</f>
        <v>2860.0941244239998</v>
      </c>
      <c r="L156" s="1803">
        <f>BS!L77</f>
        <v>3477.0411388369998</v>
      </c>
      <c r="M156" s="1803">
        <f>BS!M77</f>
        <v>4309.6562731980002</v>
      </c>
      <c r="N156" s="1803">
        <f>BS!N77</f>
        <v>4958.8548556870001</v>
      </c>
      <c r="O156" s="1803">
        <f>BS!O77</f>
        <v>5933.31</v>
      </c>
      <c r="P156" s="1803">
        <f>BS!P77</f>
        <v>7265.098386273</v>
      </c>
      <c r="Q156" s="1804">
        <f ca="1">Q153+Q154</f>
        <v>7433.2586137633589</v>
      </c>
      <c r="R156" s="1804">
        <f ca="1">R153+R154</f>
        <v>7642.5501774566719</v>
      </c>
      <c r="S156" s="1804">
        <f ca="1">S153+S154</f>
        <v>7879.6932392584349</v>
      </c>
      <c r="T156" s="1804"/>
      <c r="U156" s="1804"/>
      <c r="V156" s="1804" t="e">
        <f>V153+V154</f>
        <v>#REF!</v>
      </c>
      <c r="W156" s="1804">
        <f>W153+W154</f>
        <v>6183.8289373528305</v>
      </c>
      <c r="X156" s="1804"/>
    </row>
    <row r="157" spans="2:24">
      <c r="B157" s="33"/>
    </row>
    <row r="158" spans="2:24" s="1" customFormat="1">
      <c r="B158" s="784" t="s">
        <v>970</v>
      </c>
    </row>
    <row r="159" spans="2:24">
      <c r="B159" s="33" t="s">
        <v>756</v>
      </c>
      <c r="Q159" s="225">
        <f>P164</f>
        <v>17035.071209999998</v>
      </c>
      <c r="R159" s="225">
        <f>Q164</f>
        <v>18738.578410999999</v>
      </c>
      <c r="S159" s="225">
        <f>R164</f>
        <v>20612.436332099998</v>
      </c>
      <c r="T159" s="225"/>
      <c r="U159" s="225"/>
      <c r="V159" s="225">
        <f>M164</f>
        <v>10970.265719999999</v>
      </c>
      <c r="W159" s="225">
        <f>N164</f>
        <v>12699.688749999999</v>
      </c>
      <c r="X159" s="225"/>
    </row>
    <row r="160" spans="2:24">
      <c r="B160" s="33" t="s">
        <v>470</v>
      </c>
      <c r="Q160" s="369">
        <f>PL!Q98</f>
        <v>0</v>
      </c>
      <c r="R160" s="369">
        <f>PL!R98</f>
        <v>0</v>
      </c>
      <c r="S160" s="369">
        <f>PL!S98</f>
        <v>0</v>
      </c>
      <c r="T160" s="369"/>
      <c r="U160" s="369"/>
      <c r="V160" s="369" t="e">
        <f>PL!#REF!</f>
        <v>#REF!</v>
      </c>
      <c r="W160" s="369">
        <f>PL!V98</f>
        <v>0</v>
      </c>
      <c r="X160" s="369"/>
    </row>
    <row r="161" spans="2:24">
      <c r="B161" s="33" t="s">
        <v>971</v>
      </c>
      <c r="Q161" s="369">
        <f>Q88</f>
        <v>1703.5072010000004</v>
      </c>
      <c r="R161" s="369">
        <f>R88</f>
        <v>1873.8579211000003</v>
      </c>
      <c r="S161" s="369">
        <f>S88</f>
        <v>2061.2437132099999</v>
      </c>
      <c r="T161" s="369"/>
      <c r="U161" s="369"/>
      <c r="V161" s="369" t="e">
        <f>V88</f>
        <v>#REF!</v>
      </c>
      <c r="W161" s="369">
        <f>W88</f>
        <v>1904.9533100000001</v>
      </c>
      <c r="X161" s="369"/>
    </row>
    <row r="162" spans="2:24">
      <c r="B162" s="33" t="s">
        <v>972</v>
      </c>
      <c r="Q162" s="369"/>
      <c r="R162" s="369"/>
      <c r="S162" s="369"/>
      <c r="T162" s="369"/>
      <c r="U162" s="369"/>
      <c r="V162" s="369"/>
      <c r="W162" s="369"/>
      <c r="X162" s="369"/>
    </row>
    <row r="163" spans="2:24">
      <c r="B163" s="33" t="s">
        <v>973</v>
      </c>
      <c r="M163" s="225"/>
      <c r="N163" s="225"/>
      <c r="O163" s="225"/>
      <c r="P163" s="225"/>
      <c r="Q163" s="369"/>
      <c r="R163" s="369"/>
      <c r="S163" s="369"/>
      <c r="T163" s="369"/>
      <c r="U163" s="369"/>
      <c r="V163" s="369"/>
      <c r="W163" s="369"/>
      <c r="X163" s="369"/>
    </row>
    <row r="164" spans="2:24" s="1" customFormat="1">
      <c r="B164" s="784" t="s">
        <v>759</v>
      </c>
      <c r="M164" s="1802">
        <f>M66</f>
        <v>10970.265719999999</v>
      </c>
      <c r="N164" s="1802">
        <f>N66</f>
        <v>12699.688749999999</v>
      </c>
      <c r="O164" s="1802">
        <f t="shared" ref="O164:P164" si="125">O66</f>
        <v>14710.69</v>
      </c>
      <c r="P164" s="1802">
        <f t="shared" si="125"/>
        <v>17035.071209999998</v>
      </c>
      <c r="Q164" s="228">
        <f>SUM(Q159:Q163)</f>
        <v>18738.578410999999</v>
      </c>
      <c r="R164" s="228">
        <f>SUM(R159:R163)</f>
        <v>20612.436332099998</v>
      </c>
      <c r="S164" s="228">
        <f>SUM(S159:S163)</f>
        <v>22673.680045309997</v>
      </c>
      <c r="T164" s="228"/>
      <c r="U164" s="228"/>
      <c r="V164" s="228" t="e">
        <f>SUM(V159:V163)</f>
        <v>#REF!</v>
      </c>
      <c r="W164" s="228">
        <f>SUM(W159:W163)</f>
        <v>14604.64206</v>
      </c>
      <c r="X164" s="228"/>
    </row>
    <row r="165" spans="2:24">
      <c r="B165" s="784"/>
    </row>
    <row r="166" spans="2:24" s="1" customFormat="1">
      <c r="B166" s="784" t="s">
        <v>974</v>
      </c>
      <c r="Q166" s="1804"/>
      <c r="R166" s="1804"/>
      <c r="S166" s="1804"/>
      <c r="T166" s="1804"/>
      <c r="U166" s="1804"/>
      <c r="V166" s="1804"/>
      <c r="W166" s="1804"/>
      <c r="X166" s="1804"/>
    </row>
    <row r="167" spans="2:24">
      <c r="B167" s="33" t="s">
        <v>756</v>
      </c>
      <c r="Q167" s="369"/>
      <c r="R167" s="369"/>
      <c r="S167" s="369"/>
      <c r="T167" s="369"/>
      <c r="U167" s="369"/>
      <c r="V167" s="369">
        <f>M170</f>
        <v>0</v>
      </c>
      <c r="W167" s="369"/>
      <c r="X167" s="369"/>
    </row>
    <row r="168" spans="2:24">
      <c r="B168" s="33" t="s">
        <v>975</v>
      </c>
      <c r="Q168" s="369"/>
      <c r="R168" s="369"/>
      <c r="S168" s="369"/>
      <c r="T168" s="369"/>
      <c r="U168" s="369"/>
      <c r="V168" s="369">
        <v>0</v>
      </c>
      <c r="W168" s="369"/>
      <c r="X168" s="369"/>
    </row>
    <row r="169" spans="2:24">
      <c r="B169" s="33" t="s">
        <v>976</v>
      </c>
      <c r="Q169" s="369"/>
      <c r="R169" s="369"/>
      <c r="S169" s="369"/>
      <c r="T169" s="369"/>
      <c r="U169" s="369"/>
      <c r="V169" s="369">
        <v>0</v>
      </c>
      <c r="W169" s="369"/>
      <c r="X169" s="369"/>
    </row>
    <row r="170" spans="2:24" s="1" customFormat="1">
      <c r="B170" s="784" t="s">
        <v>759</v>
      </c>
      <c r="M170" s="1810">
        <f>M68</f>
        <v>0</v>
      </c>
      <c r="N170" s="1810">
        <f>N68</f>
        <v>0</v>
      </c>
      <c r="O170" s="1810">
        <f t="shared" ref="O170:P170" si="126">O68</f>
        <v>0</v>
      </c>
      <c r="P170" s="1810">
        <f t="shared" si="126"/>
        <v>0</v>
      </c>
      <c r="Q170" s="248">
        <f>SUM(Q167:Q169)</f>
        <v>0</v>
      </c>
      <c r="R170" s="248">
        <f>SUM(R167:R169)</f>
        <v>0</v>
      </c>
      <c r="S170" s="248">
        <f>SUM(S167:S169)</f>
        <v>0</v>
      </c>
      <c r="T170" s="248"/>
      <c r="U170" s="248"/>
      <c r="V170" s="248">
        <f>SUM(V167:V169)</f>
        <v>0</v>
      </c>
      <c r="W170" s="248">
        <f>SUM(W167:W169)</f>
        <v>0</v>
      </c>
      <c r="X170" s="248"/>
    </row>
    <row r="171" spans="2:24">
      <c r="B171" s="784"/>
    </row>
    <row r="172" spans="2:24">
      <c r="B172" s="33"/>
      <c r="Q172" s="369"/>
      <c r="R172" s="369"/>
      <c r="S172" s="369"/>
      <c r="T172" s="369"/>
      <c r="U172" s="369"/>
      <c r="V172" s="369"/>
      <c r="W172" s="369"/>
      <c r="X172" s="369"/>
    </row>
    <row r="173" spans="2:24">
      <c r="B173" s="33"/>
      <c r="Q173" s="369"/>
      <c r="R173" s="369"/>
      <c r="S173" s="369"/>
      <c r="T173" s="369"/>
      <c r="U173" s="369"/>
      <c r="V173" s="369"/>
      <c r="W173" s="369"/>
      <c r="X173" s="369"/>
    </row>
    <row r="174" spans="2:24">
      <c r="B174" s="33"/>
      <c r="Q174" s="369"/>
      <c r="R174" s="369"/>
      <c r="S174" s="369"/>
      <c r="T174" s="369"/>
      <c r="U174" s="369"/>
      <c r="V174" s="369"/>
      <c r="W174" s="369"/>
      <c r="X174" s="369"/>
    </row>
    <row r="175" spans="2:24">
      <c r="B175" s="33"/>
      <c r="Q175" s="369"/>
      <c r="R175" s="369"/>
      <c r="S175" s="369"/>
      <c r="T175" s="369"/>
      <c r="U175" s="369"/>
      <c r="V175" s="369"/>
      <c r="W175" s="369"/>
      <c r="X175" s="369"/>
    </row>
    <row r="176" spans="2:24">
      <c r="B176" s="33"/>
    </row>
    <row r="177" spans="2:24">
      <c r="B177" s="784"/>
    </row>
    <row r="178" spans="2:24">
      <c r="B178" s="33"/>
      <c r="M178" s="369"/>
      <c r="N178" s="369"/>
      <c r="O178" s="369"/>
      <c r="P178" s="369"/>
      <c r="Q178" s="369"/>
      <c r="R178" s="369"/>
      <c r="S178" s="369"/>
      <c r="T178" s="369"/>
      <c r="U178" s="369"/>
      <c r="V178" s="369"/>
      <c r="W178" s="369"/>
      <c r="X178" s="369"/>
    </row>
    <row r="179" spans="2:24">
      <c r="B179" s="33"/>
      <c r="M179" s="369"/>
      <c r="N179" s="369"/>
      <c r="O179" s="369"/>
      <c r="P179" s="369"/>
      <c r="Q179" s="369"/>
      <c r="R179" s="369"/>
      <c r="S179" s="369"/>
      <c r="T179" s="369"/>
      <c r="U179" s="369"/>
      <c r="V179" s="369"/>
      <c r="W179" s="369"/>
      <c r="X179" s="369"/>
    </row>
    <row r="180" spans="2:24">
      <c r="B180" s="1827"/>
      <c r="M180" s="369"/>
      <c r="N180" s="369"/>
      <c r="O180" s="369"/>
      <c r="P180" s="369"/>
      <c r="Q180" s="369"/>
      <c r="R180" s="369"/>
      <c r="S180" s="369"/>
      <c r="T180" s="369"/>
      <c r="U180" s="369"/>
      <c r="V180" s="369"/>
      <c r="W180" s="369"/>
      <c r="X180" s="369"/>
    </row>
    <row r="181" spans="2:24">
      <c r="B181" s="784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804"/>
      <c r="N181" s="1804"/>
      <c r="O181" s="1804"/>
      <c r="P181" s="1804"/>
      <c r="Q181" s="1804"/>
      <c r="R181" s="1804"/>
      <c r="S181" s="1804"/>
      <c r="T181" s="1804"/>
      <c r="U181" s="1804"/>
      <c r="V181" s="1804"/>
      <c r="W181" s="1804"/>
      <c r="X181" s="1804"/>
    </row>
    <row r="182" spans="2:24">
      <c r="B182" s="33"/>
    </row>
    <row r="183" spans="2:24">
      <c r="B183" s="33"/>
    </row>
    <row r="184" spans="2:24">
      <c r="B184" s="33"/>
    </row>
    <row r="185" spans="2:24">
      <c r="B185" s="784" t="s">
        <v>834</v>
      </c>
      <c r="Q185" s="1804">
        <f ca="1">Q17/15</f>
        <v>1920.065645632427</v>
      </c>
      <c r="R185" s="1804">
        <f ca="1">R17/15</f>
        <v>2021.5832983489797</v>
      </c>
      <c r="S185" s="1804"/>
      <c r="T185" s="1804"/>
      <c r="U185" s="1804"/>
      <c r="V185" s="1804" t="e">
        <f>V17/15</f>
        <v>#REF!</v>
      </c>
      <c r="W185" s="1804">
        <f>W17/15</f>
        <v>1736.9758604666233</v>
      </c>
      <c r="X185" s="1804"/>
    </row>
    <row r="186" spans="2:24">
      <c r="B186" s="33"/>
    </row>
    <row r="187" spans="2:24">
      <c r="B187" s="1828" t="s">
        <v>835</v>
      </c>
      <c r="C187" s="1812"/>
      <c r="D187" s="1812"/>
      <c r="E187" s="1812"/>
      <c r="F187" s="1812"/>
      <c r="G187" s="1812"/>
      <c r="H187" s="1812"/>
      <c r="I187" s="1812"/>
      <c r="J187" s="1812"/>
      <c r="K187" s="1812"/>
      <c r="L187" s="1812"/>
      <c r="M187" s="1812"/>
      <c r="N187" s="1812"/>
      <c r="O187" s="1812"/>
      <c r="P187" s="1812"/>
      <c r="Q187" s="369">
        <f>SUM(Q188:Q188)</f>
        <v>0</v>
      </c>
      <c r="R187" s="369">
        <f>SUM(R188:R188)</f>
        <v>0</v>
      </c>
      <c r="S187" s="369"/>
      <c r="T187" s="369"/>
      <c r="U187" s="369"/>
      <c r="V187" s="369">
        <f>SUM(V188:V188)</f>
        <v>0</v>
      </c>
      <c r="W187" s="369">
        <f>SUM(W188:W188)</f>
        <v>0</v>
      </c>
      <c r="X187" s="369"/>
    </row>
    <row r="188" spans="2:24">
      <c r="B188" s="1829"/>
      <c r="C188" s="1812"/>
      <c r="D188" s="1812"/>
      <c r="E188" s="1812"/>
      <c r="F188" s="1812"/>
      <c r="G188" s="1812"/>
      <c r="H188" s="1812"/>
      <c r="I188" s="1812"/>
      <c r="J188" s="1812"/>
      <c r="K188" s="1812"/>
      <c r="L188" s="1812"/>
      <c r="M188" s="1812"/>
      <c r="N188" s="1812"/>
      <c r="O188" s="1812"/>
      <c r="P188" s="1812"/>
      <c r="Q188" s="369"/>
      <c r="R188" s="369"/>
      <c r="S188" s="369"/>
      <c r="T188" s="369"/>
      <c r="U188" s="369"/>
      <c r="V188" s="369"/>
      <c r="W188" s="369"/>
      <c r="X188" s="369"/>
    </row>
    <row r="189" spans="2:24">
      <c r="B189" s="33"/>
    </row>
    <row r="190" spans="2:24">
      <c r="B190" s="784" t="s">
        <v>836</v>
      </c>
      <c r="Q190" s="1804">
        <f>Q20*BS!Q236</f>
        <v>99.308819550657518</v>
      </c>
      <c r="R190" s="1804">
        <f>R20*BS!R236</f>
        <v>99.30881955065729</v>
      </c>
      <c r="S190" s="1804"/>
      <c r="T190" s="1804"/>
      <c r="U190" s="1804"/>
      <c r="V190" s="1804" t="e">
        <f>V20*BS!V236</f>
        <v>#REF!</v>
      </c>
      <c r="W190" s="1804">
        <f>W20*BS!Y236</f>
        <v>25.110176355460506</v>
      </c>
      <c r="X190" s="1804"/>
    </row>
    <row r="191" spans="2:24">
      <c r="B191" s="33"/>
    </row>
    <row r="192" spans="2:24">
      <c r="B192" s="1828" t="s">
        <v>837</v>
      </c>
      <c r="C192" s="1812"/>
      <c r="D192" s="1812"/>
      <c r="E192" s="1812"/>
      <c r="F192" s="1812"/>
      <c r="G192" s="1812"/>
      <c r="H192" s="1812"/>
      <c r="I192" s="1812"/>
      <c r="J192" s="1812"/>
      <c r="K192" s="1812"/>
      <c r="L192" s="1812"/>
      <c r="M192" s="1812"/>
      <c r="N192" s="1812"/>
      <c r="O192" s="1812"/>
      <c r="P192" s="1812"/>
      <c r="Q192" s="369">
        <f>Q167*BS!Q236</f>
        <v>0</v>
      </c>
      <c r="R192" s="369">
        <f>R167*BS!R236</f>
        <v>0</v>
      </c>
      <c r="S192" s="369"/>
      <c r="T192" s="369"/>
      <c r="U192" s="369"/>
      <c r="V192" s="369">
        <f>V167*BS!V236</f>
        <v>0</v>
      </c>
      <c r="W192" s="369">
        <f>W167*BS!Y236</f>
        <v>0</v>
      </c>
      <c r="X192" s="369"/>
    </row>
    <row r="193" spans="2:24">
      <c r="B193" s="33"/>
    </row>
    <row r="194" spans="2:24">
      <c r="B194" s="1224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S194" s="40"/>
      <c r="T194" s="40"/>
      <c r="U194" s="40"/>
      <c r="V194" s="40"/>
      <c r="W194" s="40"/>
      <c r="X194" s="40"/>
    </row>
    <row r="213" spans="1:30" ht="15">
      <c r="A213" s="3591" t="s">
        <v>2155</v>
      </c>
    </row>
    <row r="214" spans="1:30">
      <c r="B214" s="1544"/>
      <c r="C214" s="2611"/>
      <c r="D214" s="2611"/>
      <c r="E214" s="2611"/>
      <c r="F214" s="2611"/>
      <c r="G214" s="2611"/>
      <c r="H214" s="2611"/>
      <c r="I214" s="2611"/>
      <c r="J214" s="2611"/>
      <c r="K214" s="2611"/>
      <c r="L214" s="2611"/>
      <c r="M214" s="2611"/>
      <c r="N214" s="2611"/>
      <c r="O214" s="2611"/>
      <c r="P214" s="2611" t="s">
        <v>200</v>
      </c>
      <c r="Q214" s="1546"/>
      <c r="R214" s="1546"/>
      <c r="S214" s="2713"/>
      <c r="T214" s="2713"/>
      <c r="U214" s="2713"/>
      <c r="V214" s="1546" t="s">
        <v>28</v>
      </c>
      <c r="W214" s="2713" t="s">
        <v>200</v>
      </c>
      <c r="X214" s="1546"/>
      <c r="Y214" s="1546"/>
      <c r="Z214" s="1546"/>
    </row>
    <row r="215" spans="1:30">
      <c r="B215" s="2708" t="str">
        <f>BS!B4</f>
        <v>VND bn</v>
      </c>
      <c r="C215" s="2709">
        <v>2012</v>
      </c>
      <c r="D215" s="2709">
        <v>2013</v>
      </c>
      <c r="E215" s="2709">
        <v>2014</v>
      </c>
      <c r="F215" s="2709">
        <v>2015</v>
      </c>
      <c r="G215" s="2709">
        <v>2016</v>
      </c>
      <c r="H215" s="2709">
        <v>2017</v>
      </c>
      <c r="I215" s="2709">
        <v>2018</v>
      </c>
      <c r="J215" s="2709">
        <v>2019</v>
      </c>
      <c r="K215" s="2710">
        <v>2020</v>
      </c>
      <c r="L215" s="2710">
        <v>2021</v>
      </c>
      <c r="M215" s="2710">
        <v>2022</v>
      </c>
      <c r="N215" s="2710">
        <v>2023</v>
      </c>
      <c r="O215" s="2711">
        <v>2024</v>
      </c>
      <c r="P215" s="2711">
        <v>2025</v>
      </c>
      <c r="Q215" s="2712">
        <v>2026</v>
      </c>
      <c r="R215" s="2712">
        <v>2027</v>
      </c>
      <c r="S215" s="2712">
        <v>2028</v>
      </c>
      <c r="T215" s="2712"/>
      <c r="U215" s="2712"/>
      <c r="V215" s="2712">
        <v>2023</v>
      </c>
      <c r="W215" s="2712">
        <v>2024</v>
      </c>
      <c r="X215" s="2712"/>
      <c r="Y215" s="2712">
        <v>2024</v>
      </c>
      <c r="Z215" s="2712"/>
    </row>
    <row r="216" spans="1:30">
      <c r="B216" s="1585" t="s">
        <v>1064</v>
      </c>
      <c r="C216" s="1579"/>
      <c r="D216" s="1579"/>
      <c r="E216" s="1579"/>
      <c r="F216" s="1579"/>
      <c r="G216" s="1579"/>
      <c r="H216" s="1586">
        <f>PL!H9</f>
        <v>42658.610841353999</v>
      </c>
      <c r="I216" s="1586">
        <f>PL!I9</f>
        <v>23213.536857725001</v>
      </c>
      <c r="J216" s="1586">
        <f>PL!J9</f>
        <v>27716.960152274998</v>
      </c>
      <c r="K216" s="1586">
        <f>PL!K9</f>
        <v>29830.400526824</v>
      </c>
      <c r="L216" s="1586">
        <f>PL!L9</f>
        <v>35657.262545026999</v>
      </c>
      <c r="M216" s="1586">
        <f>PL!M9</f>
        <v>44009.527680911</v>
      </c>
      <c r="N216" s="1586">
        <f>PL!N9</f>
        <v>52617.900827384998</v>
      </c>
      <c r="O216" s="1586">
        <f>PL!O9</f>
        <v>62848.79</v>
      </c>
      <c r="P216" s="1586">
        <f>PL!P9</f>
        <v>70207.69</v>
      </c>
      <c r="Q216" s="1586">
        <f ca="1">PL!Q9</f>
        <v>57194.606680421704</v>
      </c>
      <c r="R216" s="1586">
        <f ca="1">PL!R9</f>
        <v>65945.020200000014</v>
      </c>
      <c r="S216" s="1586">
        <f ca="1">PL!S9</f>
        <v>76536.739860000016</v>
      </c>
      <c r="T216" s="1586"/>
      <c r="U216" s="1586"/>
      <c r="V216" s="1586">
        <f>PL!U9</f>
        <v>0</v>
      </c>
      <c r="W216" s="1586" t="e">
        <f>PL!#REF!</f>
        <v>#REF!</v>
      </c>
      <c r="X216" s="1586"/>
      <c r="Y216" s="1586">
        <f ca="1">PL!W9</f>
        <v>66308.23</v>
      </c>
      <c r="Z216" s="1586"/>
    </row>
    <row r="217" spans="1:30">
      <c r="B217" s="33"/>
    </row>
    <row r="218" spans="1:30">
      <c r="B218" s="967" t="s">
        <v>37</v>
      </c>
      <c r="C218" s="783">
        <f t="shared" ref="C218:S218" si="127">C219+C220</f>
        <v>1806.9097975929999</v>
      </c>
      <c r="D218" s="783">
        <f t="shared" si="127"/>
        <v>2263.5869936029994</v>
      </c>
      <c r="E218" s="783">
        <f t="shared" si="127"/>
        <v>2998.0023417289995</v>
      </c>
      <c r="F218" s="783">
        <f t="shared" si="127"/>
        <v>3971.4021193419999</v>
      </c>
      <c r="G218" s="783">
        <f t="shared" si="127"/>
        <v>4131.2985884259997</v>
      </c>
      <c r="H218" s="783">
        <f t="shared" si="127"/>
        <v>4585.4930593129993</v>
      </c>
      <c r="I218" s="783">
        <f t="shared" si="127"/>
        <v>5207.1259501060003</v>
      </c>
      <c r="J218" s="783">
        <f t="shared" si="127"/>
        <v>6295.2618462099999</v>
      </c>
      <c r="K218" s="783">
        <f t="shared" si="127"/>
        <v>7219.5516257649997</v>
      </c>
      <c r="L218" s="783">
        <f t="shared" si="127"/>
        <v>9260.9346990630002</v>
      </c>
      <c r="M218" s="783">
        <f t="shared" si="127"/>
        <v>10714.231138519999</v>
      </c>
      <c r="N218" s="783">
        <f t="shared" si="127"/>
        <v>12382.116875248999</v>
      </c>
      <c r="O218" s="783">
        <f t="shared" si="127"/>
        <v>12774.56</v>
      </c>
      <c r="P218" s="783">
        <f t="shared" si="127"/>
        <v>15385.816846287002</v>
      </c>
      <c r="Q218" s="783">
        <f t="shared" ca="1" si="127"/>
        <v>12430.373453873352</v>
      </c>
      <c r="R218" s="783">
        <f t="shared" ca="1" si="127"/>
        <v>11351.649941593918</v>
      </c>
      <c r="S218" s="783">
        <f t="shared" ca="1" si="127"/>
        <v>7969.9679404782182</v>
      </c>
      <c r="T218" s="783"/>
      <c r="U218" s="783"/>
      <c r="V218" s="783" t="e">
        <f>V219+V220</f>
        <v>#REF!</v>
      </c>
      <c r="W218" s="783" t="e">
        <f>W219+W220</f>
        <v>#REF!</v>
      </c>
      <c r="X218" s="783"/>
      <c r="Y218" s="783">
        <f>Y219+Y220</f>
        <v>13972.330495724827</v>
      </c>
      <c r="Z218" s="783"/>
    </row>
    <row r="219" spans="1:30">
      <c r="B219" s="965" t="s">
        <v>35</v>
      </c>
      <c r="C219" s="234">
        <f>BS!C17</f>
        <v>3396.114230189</v>
      </c>
      <c r="D219" s="234">
        <f>BS!D17</f>
        <v>4132.4220503349998</v>
      </c>
      <c r="E219" s="234">
        <f>BS!E17</f>
        <v>5352.5329536789995</v>
      </c>
      <c r="F219" s="234">
        <f>BS!F17</f>
        <v>6937.0723764149998</v>
      </c>
      <c r="G219" s="234">
        <f>BS!G17</f>
        <v>7932.0272986769996</v>
      </c>
      <c r="H219" s="234">
        <f>BS!H17</f>
        <v>8260.1735871439996</v>
      </c>
      <c r="I219" s="234">
        <f>BS!I17</f>
        <v>9471.9841476090005</v>
      </c>
      <c r="J219" s="234">
        <f>BS!J17</f>
        <v>11301.061772211</v>
      </c>
      <c r="K219" s="234">
        <f>BS!K17</f>
        <v>12945.570337274999</v>
      </c>
      <c r="L219" s="234">
        <f>BS!L17</f>
        <v>16080.827716168</v>
      </c>
      <c r="M219" s="234">
        <f>BS!M17</f>
        <v>19007.982397112999</v>
      </c>
      <c r="N219" s="234">
        <f>BS!N17</f>
        <v>22288.96227819</v>
      </c>
      <c r="O219" s="234">
        <f>BS!O17</f>
        <v>24457.73</v>
      </c>
      <c r="P219" s="234">
        <f>BS!P17</f>
        <v>29148.692599137001</v>
      </c>
      <c r="Q219" s="234">
        <f ca="1">Q280</f>
        <v>28800.984684486404</v>
      </c>
      <c r="R219" s="234">
        <f ca="1">R280</f>
        <v>30323.749475234697</v>
      </c>
      <c r="S219" s="234">
        <f ca="1">S280</f>
        <v>29577.732689361219</v>
      </c>
      <c r="T219" s="234"/>
      <c r="U219" s="234"/>
      <c r="V219" s="234" t="e">
        <f>BS!#REF!</f>
        <v>#REF!</v>
      </c>
      <c r="W219" s="234" t="e">
        <f>BS!V17</f>
        <v>#REF!</v>
      </c>
      <c r="X219" s="234"/>
      <c r="Y219" s="234">
        <f>Y280</f>
        <v>26054.637906999349</v>
      </c>
      <c r="Z219" s="234"/>
      <c r="AC219" s="250"/>
    </row>
    <row r="220" spans="1:30">
      <c r="B220" s="965" t="s">
        <v>1120</v>
      </c>
      <c r="C220" s="236">
        <f>BS!C18</f>
        <v>-1589.2044325960001</v>
      </c>
      <c r="D220" s="236">
        <f>BS!D18</f>
        <v>-1868.8350567320001</v>
      </c>
      <c r="E220" s="236">
        <f>BS!E18</f>
        <v>-2354.5306119500001</v>
      </c>
      <c r="F220" s="236">
        <f>BS!F18</f>
        <v>-2965.6702570729999</v>
      </c>
      <c r="G220" s="236">
        <f>BS!G18</f>
        <v>-3800.7287102509999</v>
      </c>
      <c r="H220" s="236">
        <f>BS!H18</f>
        <v>-3674.6805278309998</v>
      </c>
      <c r="I220" s="236">
        <f>BS!I18</f>
        <v>-4264.8581975030002</v>
      </c>
      <c r="J220" s="236">
        <f>BS!J18</f>
        <v>-5005.7999260010001</v>
      </c>
      <c r="K220" s="236">
        <f>BS!K18</f>
        <v>-5726.0187115099998</v>
      </c>
      <c r="L220" s="236">
        <f>BS!L18</f>
        <v>-6819.8930171049997</v>
      </c>
      <c r="M220" s="236">
        <f>BS!M18</f>
        <v>-8293.7512585929999</v>
      </c>
      <c r="N220" s="236">
        <f>BS!N18</f>
        <v>-9906.8454029410004</v>
      </c>
      <c r="O220" s="236">
        <f>BS!O18</f>
        <v>-11683.17</v>
      </c>
      <c r="P220" s="236">
        <f>BS!P18</f>
        <v>-13762.875752849999</v>
      </c>
      <c r="Q220" s="236">
        <f ca="1">-Q281</f>
        <v>-16370.611230613053</v>
      </c>
      <c r="R220" s="236">
        <f ca="1">-R281</f>
        <v>-18972.09953364078</v>
      </c>
      <c r="S220" s="236">
        <f ca="1">-S281</f>
        <v>-21607.764748883001</v>
      </c>
      <c r="T220" s="236"/>
      <c r="U220" s="236"/>
      <c r="V220" s="236" t="e">
        <f>BS!#REF!</f>
        <v>#REF!</v>
      </c>
      <c r="W220" s="236" t="e">
        <f>BS!V18</f>
        <v>#REF!</v>
      </c>
      <c r="X220" s="236"/>
      <c r="Y220" s="236">
        <f>-Y281</f>
        <v>-12082.307411274522</v>
      </c>
      <c r="Z220" s="236"/>
      <c r="AD220" s="237"/>
    </row>
    <row r="221" spans="1:30">
      <c r="B221" s="1599" t="s">
        <v>38</v>
      </c>
      <c r="C221" s="783">
        <f t="shared" ref="C221:S221" si="128">C222+C223</f>
        <v>269.10980011899994</v>
      </c>
      <c r="D221" s="783">
        <f t="shared" si="128"/>
        <v>272.62771003800003</v>
      </c>
      <c r="E221" s="783">
        <f t="shared" si="128"/>
        <v>301.80373073500004</v>
      </c>
      <c r="F221" s="783">
        <f t="shared" si="128"/>
        <v>319.11401481000007</v>
      </c>
      <c r="G221" s="783">
        <f t="shared" si="128"/>
        <v>456.22088814900002</v>
      </c>
      <c r="H221" s="783">
        <f t="shared" si="128"/>
        <v>658.13584597400006</v>
      </c>
      <c r="I221" s="783">
        <f t="shared" si="128"/>
        <v>1303.5850347549999</v>
      </c>
      <c r="J221" s="783">
        <f t="shared" si="128"/>
        <v>1194.0610220620001</v>
      </c>
      <c r="K221" s="783">
        <f t="shared" si="128"/>
        <v>1095.369004232</v>
      </c>
      <c r="L221" s="783">
        <f t="shared" si="128"/>
        <v>1133.0600578470001</v>
      </c>
      <c r="M221" s="783">
        <f t="shared" si="128"/>
        <v>1287.0601899539997</v>
      </c>
      <c r="N221" s="783">
        <f t="shared" si="128"/>
        <v>1257.0971414329999</v>
      </c>
      <c r="O221" s="783">
        <f t="shared" si="128"/>
        <v>2039.5200000000002</v>
      </c>
      <c r="P221" s="783">
        <f t="shared" si="128"/>
        <v>1942.9395476930001</v>
      </c>
      <c r="Q221" s="783">
        <f t="shared" si="128"/>
        <v>1843.6307281423426</v>
      </c>
      <c r="R221" s="783">
        <f t="shared" si="128"/>
        <v>1744.3219085916853</v>
      </c>
      <c r="S221" s="783">
        <f t="shared" si="128"/>
        <v>1645.0130890410278</v>
      </c>
      <c r="T221" s="783"/>
      <c r="U221" s="783"/>
      <c r="V221" s="783" t="e">
        <f>V222+V223</f>
        <v>#REF!</v>
      </c>
      <c r="W221" s="783" t="e">
        <f>W222+W223</f>
        <v>#REF!</v>
      </c>
      <c r="X221" s="783"/>
      <c r="Y221" s="783">
        <f>Y222+Y223</f>
        <v>1226.8561989033733</v>
      </c>
      <c r="Z221" s="783"/>
    </row>
    <row r="222" spans="1:30">
      <c r="B222" s="1600" t="s">
        <v>35</v>
      </c>
      <c r="C222" s="234">
        <f>BS!C20</f>
        <v>432.86681857399998</v>
      </c>
      <c r="D222" s="234">
        <f>BS!D20</f>
        <v>480.19102873100002</v>
      </c>
      <c r="E222" s="234">
        <f>BS!E20</f>
        <v>529.38756002000002</v>
      </c>
      <c r="F222" s="234">
        <f>BS!F20</f>
        <v>610.34510573600005</v>
      </c>
      <c r="G222" s="234">
        <f>BS!G20</f>
        <v>821.22795662600004</v>
      </c>
      <c r="H222" s="234">
        <f>BS!H20</f>
        <v>1117.4193855660001</v>
      </c>
      <c r="I222" s="234">
        <f>BS!I20</f>
        <v>1915.362421263</v>
      </c>
      <c r="J222" s="234">
        <f>BS!J20</f>
        <v>1973.814359687</v>
      </c>
      <c r="K222" s="234">
        <f>BS!K20</f>
        <v>2036.967631495</v>
      </c>
      <c r="L222" s="234">
        <f>BS!L20</f>
        <v>2249.1066470109999</v>
      </c>
      <c r="M222" s="234">
        <f>BS!M20</f>
        <v>2547.8833247849998</v>
      </c>
      <c r="N222" s="234">
        <f>BS!N20</f>
        <v>2595.5867322469999</v>
      </c>
      <c r="O222" s="234">
        <f>BS!O20</f>
        <v>3656.3</v>
      </c>
      <c r="P222" s="234">
        <f>BS!P20</f>
        <v>3868.884070908</v>
      </c>
      <c r="Q222" s="234">
        <f>Q294</f>
        <v>3868.884070908</v>
      </c>
      <c r="R222" s="234">
        <f>R294</f>
        <v>3868.884070908</v>
      </c>
      <c r="S222" s="234">
        <f>S294</f>
        <v>3868.884070908</v>
      </c>
      <c r="T222" s="234"/>
      <c r="U222" s="234"/>
      <c r="V222" s="234" t="e">
        <f>BS!#REF!</f>
        <v>#REF!</v>
      </c>
      <c r="W222" s="234" t="e">
        <f>BS!V20</f>
        <v>#REF!</v>
      </c>
      <c r="X222" s="234"/>
      <c r="Y222" s="234">
        <f>Y294</f>
        <v>2595.5867322469999</v>
      </c>
      <c r="Z222" s="234"/>
    </row>
    <row r="223" spans="1:30">
      <c r="B223" s="1600" t="s">
        <v>1121</v>
      </c>
      <c r="C223" s="236">
        <f>BS!C21</f>
        <v>-163.75701845500001</v>
      </c>
      <c r="D223" s="236">
        <f>BS!D21</f>
        <v>-207.56331869300001</v>
      </c>
      <c r="E223" s="236">
        <f>BS!E21</f>
        <v>-227.58382928500001</v>
      </c>
      <c r="F223" s="236">
        <f>BS!F21</f>
        <v>-291.23109092599998</v>
      </c>
      <c r="G223" s="236">
        <f>BS!G21</f>
        <v>-365.00706847700002</v>
      </c>
      <c r="H223" s="236">
        <f>BS!H21</f>
        <v>-459.28353959200001</v>
      </c>
      <c r="I223" s="236">
        <f>BS!I21</f>
        <v>-611.77738650799995</v>
      </c>
      <c r="J223" s="236">
        <f>BS!J21</f>
        <v>-779.75333762499997</v>
      </c>
      <c r="K223" s="236">
        <f>BS!K21</f>
        <v>-941.59862726300003</v>
      </c>
      <c r="L223" s="236">
        <f>BS!L21</f>
        <v>-1116.0465891639999</v>
      </c>
      <c r="M223" s="236">
        <f>BS!M21</f>
        <v>-1260.8231348310001</v>
      </c>
      <c r="N223" s="236">
        <f>BS!N21</f>
        <v>-1338.4895908139999</v>
      </c>
      <c r="O223" s="236">
        <f>BS!O21</f>
        <v>-1616.78</v>
      </c>
      <c r="P223" s="236">
        <f>BS!P21</f>
        <v>-1925.9445232149999</v>
      </c>
      <c r="Q223" s="236">
        <f>-Q295</f>
        <v>-2025.2533427656574</v>
      </c>
      <c r="R223" s="236">
        <f>-R295</f>
        <v>-2124.5621623163147</v>
      </c>
      <c r="S223" s="236">
        <f>-S295</f>
        <v>-2223.8709818669722</v>
      </c>
      <c r="T223" s="236"/>
      <c r="U223" s="236"/>
      <c r="V223" s="236" t="e">
        <f>BS!#REF!</f>
        <v>#REF!</v>
      </c>
      <c r="W223" s="236" t="e">
        <f>BS!V21</f>
        <v>#REF!</v>
      </c>
      <c r="X223" s="236"/>
      <c r="Y223" s="236">
        <f>-Y295</f>
        <v>-1368.7305333436266</v>
      </c>
      <c r="Z223" s="236"/>
    </row>
    <row r="224" spans="1:30">
      <c r="B224" s="967" t="s">
        <v>486</v>
      </c>
      <c r="C224" s="783">
        <f t="shared" ref="C224:S224" si="129">C225+C226</f>
        <v>0.64597339799999998</v>
      </c>
      <c r="D224" s="783">
        <f t="shared" si="129"/>
        <v>0.54587002899999992</v>
      </c>
      <c r="E224" s="783">
        <f t="shared" si="129"/>
        <v>0.74044147500000002</v>
      </c>
      <c r="F224" s="783">
        <f t="shared" si="129"/>
        <v>1.7370039269999999</v>
      </c>
      <c r="G224" s="783">
        <f t="shared" si="129"/>
        <v>2.4637166930000003</v>
      </c>
      <c r="H224" s="783">
        <f t="shared" si="129"/>
        <v>3.6561164140000004</v>
      </c>
      <c r="I224" s="783">
        <f t="shared" si="129"/>
        <v>3.0245933970000003</v>
      </c>
      <c r="J224" s="783">
        <f t="shared" si="129"/>
        <v>2.8450858160000001</v>
      </c>
      <c r="K224" s="783">
        <f t="shared" si="129"/>
        <v>2.9020776169999998</v>
      </c>
      <c r="L224" s="783">
        <f t="shared" si="129"/>
        <v>4.842789874000001</v>
      </c>
      <c r="M224" s="783">
        <f t="shared" si="129"/>
        <v>31.623636433000001</v>
      </c>
      <c r="N224" s="783">
        <f t="shared" si="129"/>
        <v>4.0186331509999995</v>
      </c>
      <c r="O224" s="783">
        <f t="shared" si="129"/>
        <v>2.0499999999999998</v>
      </c>
      <c r="P224" s="783">
        <f t="shared" si="129"/>
        <v>1.277212606</v>
      </c>
      <c r="Q224" s="783">
        <f t="shared" si="129"/>
        <v>9.4647997860000004</v>
      </c>
      <c r="R224" s="783">
        <f t="shared" si="129"/>
        <v>9.4647997860000004</v>
      </c>
      <c r="S224" s="783">
        <f t="shared" si="129"/>
        <v>9.4647997860000004</v>
      </c>
      <c r="T224" s="783"/>
      <c r="U224" s="783"/>
      <c r="V224" s="783" t="e">
        <f>V225+V226</f>
        <v>#REF!</v>
      </c>
      <c r="W224" s="783" t="e">
        <f>W225+W226</f>
        <v>#REF!</v>
      </c>
      <c r="X224" s="783"/>
      <c r="Y224" s="783">
        <f>Y225+Y226</f>
        <v>12.046297512999999</v>
      </c>
      <c r="Z224" s="783"/>
    </row>
    <row r="225" spans="2:35">
      <c r="B225" s="965" t="s">
        <v>35</v>
      </c>
      <c r="C225" s="234">
        <f>BS!C24</f>
        <v>1.172124293</v>
      </c>
      <c r="D225" s="234">
        <f>BS!D24</f>
        <v>0.79446080799999996</v>
      </c>
      <c r="E225" s="234">
        <f>BS!E24</f>
        <v>0.95894619199999998</v>
      </c>
      <c r="F225" s="234">
        <f>BS!F24</f>
        <v>2.400601505</v>
      </c>
      <c r="G225" s="234">
        <f>BS!G24</f>
        <v>3.4465069430000002</v>
      </c>
      <c r="H225" s="234">
        <f>BS!H24</f>
        <v>4.7024264430000002</v>
      </c>
      <c r="I225" s="234">
        <f>BS!I24</f>
        <v>5.2085428030000003</v>
      </c>
      <c r="J225" s="234">
        <f>BS!J24</f>
        <v>6.057653223</v>
      </c>
      <c r="K225" s="234">
        <f>BS!K24</f>
        <v>6.0314452709999999</v>
      </c>
      <c r="L225" s="234">
        <f>BS!L24</f>
        <v>8.0028916070000005</v>
      </c>
      <c r="M225" s="234">
        <f>BS!M24</f>
        <v>54.439419528000002</v>
      </c>
      <c r="N225" s="234">
        <f>BS!N24</f>
        <v>8.0324653319999992</v>
      </c>
      <c r="O225" s="234">
        <f>BS!O24</f>
        <v>5.72</v>
      </c>
      <c r="P225" s="234">
        <f>BS!P24</f>
        <v>5.8710061959999997</v>
      </c>
      <c r="Q225" s="234">
        <f t="shared" ref="Q225:S226" si="130">Q308</f>
        <v>4.8710061959999997</v>
      </c>
      <c r="R225" s="234">
        <f t="shared" si="130"/>
        <v>4.8710061959999997</v>
      </c>
      <c r="S225" s="234">
        <f t="shared" si="130"/>
        <v>4.8710061959999997</v>
      </c>
      <c r="T225" s="234"/>
      <c r="U225" s="234"/>
      <c r="V225" s="234" t="e">
        <f>BS!#REF!</f>
        <v>#REF!</v>
      </c>
      <c r="W225" s="234" t="e">
        <f>BS!V24</f>
        <v>#REF!</v>
      </c>
      <c r="X225" s="234"/>
      <c r="Y225" s="234">
        <f>Y308</f>
        <v>8.0324653319999992</v>
      </c>
      <c r="Z225" s="234"/>
    </row>
    <row r="226" spans="2:35">
      <c r="B226" s="965" t="s">
        <v>1120</v>
      </c>
      <c r="C226" s="236">
        <f>BS!C25</f>
        <v>-0.52615089500000001</v>
      </c>
      <c r="D226" s="236">
        <f>BS!D25</f>
        <v>-0.24859077900000001</v>
      </c>
      <c r="E226" s="236">
        <f>BS!E25</f>
        <v>-0.21850471699999999</v>
      </c>
      <c r="F226" s="236">
        <f>BS!F25</f>
        <v>-0.66359757799999997</v>
      </c>
      <c r="G226" s="236">
        <f>BS!G25</f>
        <v>-0.98279024999999998</v>
      </c>
      <c r="H226" s="236">
        <f>BS!H25</f>
        <v>-1.046310029</v>
      </c>
      <c r="I226" s="236">
        <f>BS!I25</f>
        <v>-2.183949406</v>
      </c>
      <c r="J226" s="236">
        <f>BS!J25</f>
        <v>-3.2125674069999999</v>
      </c>
      <c r="K226" s="236">
        <f>BS!K25</f>
        <v>-3.1293676540000002</v>
      </c>
      <c r="L226" s="236">
        <f>BS!L25</f>
        <v>-3.1601017329999999</v>
      </c>
      <c r="M226" s="236">
        <f>BS!M25</f>
        <v>-22.815783095</v>
      </c>
      <c r="N226" s="236">
        <f>BS!N25</f>
        <v>-4.0138321809999997</v>
      </c>
      <c r="O226" s="236">
        <f>BS!O25</f>
        <v>-3.67</v>
      </c>
      <c r="P226" s="236">
        <f>BS!P25</f>
        <v>-4.5937935899999998</v>
      </c>
      <c r="Q226" s="236">
        <f t="shared" si="130"/>
        <v>4.5937935899999998</v>
      </c>
      <c r="R226" s="236">
        <f t="shared" si="130"/>
        <v>4.5937935899999998</v>
      </c>
      <c r="S226" s="236">
        <f t="shared" si="130"/>
        <v>4.5937935899999998</v>
      </c>
      <c r="T226" s="236"/>
      <c r="U226" s="236"/>
      <c r="V226" s="236" t="e">
        <f>BS!#REF!</f>
        <v>#REF!</v>
      </c>
      <c r="W226" s="236" t="e">
        <f>BS!V25</f>
        <v>#REF!</v>
      </c>
      <c r="X226" s="236"/>
      <c r="Y226" s="236">
        <f>Y309</f>
        <v>4.0138321809999997</v>
      </c>
      <c r="Z226" s="236"/>
      <c r="AD226" s="735"/>
    </row>
    <row r="227" spans="2:35">
      <c r="B227" s="1601" t="s">
        <v>204</v>
      </c>
      <c r="C227" s="783">
        <f>BS!C29</f>
        <v>540.99635870099996</v>
      </c>
      <c r="D227" s="783">
        <f>BS!D29</f>
        <v>539.10269680500005</v>
      </c>
      <c r="E227" s="783">
        <f>BS!E29</f>
        <v>537.241674698</v>
      </c>
      <c r="F227" s="783">
        <f>BS!F29</f>
        <v>692.57536625800003</v>
      </c>
      <c r="G227" s="783">
        <f>BS!G29</f>
        <v>1020.980424296</v>
      </c>
      <c r="H227" s="783">
        <f>BS!H29</f>
        <v>805.55989621699996</v>
      </c>
      <c r="I227" s="783">
        <f>BS!I29</f>
        <v>1174.7780837529999</v>
      </c>
      <c r="J227" s="783">
        <f>BS!J29</f>
        <v>1650.470873492</v>
      </c>
      <c r="K227" s="783">
        <f>BS!K29</f>
        <v>2373.3932965650001</v>
      </c>
      <c r="L227" s="783">
        <f>BS!L29</f>
        <v>1290.5987456840001</v>
      </c>
      <c r="M227" s="783">
        <f>BS!M29</f>
        <v>1062.184742251</v>
      </c>
      <c r="N227" s="783">
        <f>BS!N29</f>
        <v>1315.2701360030001</v>
      </c>
      <c r="O227" s="783">
        <f>BS!O29</f>
        <v>2559.77</v>
      </c>
      <c r="P227" s="783">
        <f>BS!P29</f>
        <v>1604.9159574190001</v>
      </c>
      <c r="Q227" s="783">
        <f ca="1">Q273*43.1%</f>
        <v>-1479.0525287557052</v>
      </c>
      <c r="R227" s="783">
        <f ca="1">R273*43.1%</f>
        <v>2273.7842964960005</v>
      </c>
      <c r="S227" s="783">
        <f ca="1">S273*Assumptions!S95</f>
        <v>9142.7402711694813</v>
      </c>
      <c r="T227" s="783"/>
      <c r="U227" s="783"/>
      <c r="V227" s="783" t="e">
        <f>BS!#REF!</f>
        <v>#REF!</v>
      </c>
      <c r="W227" s="783" t="e">
        <f>BS!V29</f>
        <v>#REF!</v>
      </c>
      <c r="X227" s="783"/>
      <c r="Y227" s="783">
        <f>Y273*Assumptions!AG95</f>
        <v>1451.7172071936513</v>
      </c>
      <c r="Z227" s="783"/>
      <c r="AD227" s="1657" t="s">
        <v>88</v>
      </c>
    </row>
    <row r="228" spans="2:35">
      <c r="B228" s="1601"/>
      <c r="C228" s="783"/>
      <c r="D228" s="783"/>
      <c r="E228" s="783"/>
      <c r="F228" s="783"/>
      <c r="G228" s="783"/>
      <c r="H228" s="783"/>
      <c r="I228" s="783"/>
      <c r="J228" s="783"/>
      <c r="K228" s="783"/>
      <c r="L228" s="783"/>
      <c r="M228" s="783"/>
      <c r="N228" s="783"/>
      <c r="O228" s="783"/>
      <c r="P228" s="783"/>
      <c r="Q228" s="783"/>
      <c r="R228" s="783"/>
      <c r="S228" s="783"/>
      <c r="T228" s="783"/>
      <c r="U228" s="783"/>
      <c r="V228" s="783"/>
      <c r="W228" s="783"/>
      <c r="X228" s="783"/>
      <c r="Y228" s="783"/>
      <c r="Z228" s="783"/>
      <c r="AD228" s="1658"/>
    </row>
    <row r="229" spans="2:35">
      <c r="B229" s="306" t="s">
        <v>939</v>
      </c>
      <c r="C229" s="234">
        <f t="shared" ref="C229:P229" si="131">C220+C223+C226</f>
        <v>-1753.487601946</v>
      </c>
      <c r="D229" s="234">
        <f t="shared" si="131"/>
        <v>-2076.6469662040004</v>
      </c>
      <c r="E229" s="234">
        <f t="shared" si="131"/>
        <v>-2582.332945952</v>
      </c>
      <c r="F229" s="234">
        <f t="shared" si="131"/>
        <v>-3257.5649455769999</v>
      </c>
      <c r="G229" s="234">
        <f t="shared" si="131"/>
        <v>-4166.7185689779999</v>
      </c>
      <c r="H229" s="234">
        <f t="shared" si="131"/>
        <v>-4135.0103774519994</v>
      </c>
      <c r="I229" s="234">
        <f t="shared" si="131"/>
        <v>-4878.8195334169995</v>
      </c>
      <c r="J229" s="234">
        <f t="shared" si="131"/>
        <v>-5788.7658310330007</v>
      </c>
      <c r="K229" s="234">
        <f t="shared" si="131"/>
        <v>-6670.7467064269995</v>
      </c>
      <c r="L229" s="234">
        <f t="shared" si="131"/>
        <v>-7939.0997080019997</v>
      </c>
      <c r="M229" s="234">
        <f t="shared" si="131"/>
        <v>-9577.3901765190003</v>
      </c>
      <c r="N229" s="234">
        <f t="shared" si="131"/>
        <v>-11249.348825936002</v>
      </c>
      <c r="O229" s="234">
        <f t="shared" si="131"/>
        <v>-13303.62</v>
      </c>
      <c r="P229" s="234">
        <f t="shared" si="131"/>
        <v>-15693.414069654998</v>
      </c>
      <c r="Q229" s="234">
        <f ca="1">Q223+Q220+Q226</f>
        <v>-18391.270779788709</v>
      </c>
      <c r="R229" s="234">
        <f ca="1">R223+R220+R226</f>
        <v>-21092.067902367093</v>
      </c>
      <c r="S229" s="234">
        <f ca="1">S223+S220+S226</f>
        <v>-23827.041937159971</v>
      </c>
      <c r="T229" s="234"/>
      <c r="U229" s="234"/>
      <c r="V229" s="234" t="e">
        <f>V220+V223+V226</f>
        <v>#REF!</v>
      </c>
      <c r="W229" s="234" t="e">
        <f>W220+W223+W226</f>
        <v>#REF!</v>
      </c>
      <c r="X229" s="234"/>
      <c r="Y229" s="234">
        <f>Y223+Y220+Y226</f>
        <v>-13447.024112437148</v>
      </c>
      <c r="Z229" s="234"/>
      <c r="AD229" s="735"/>
    </row>
    <row r="230" spans="2:35">
      <c r="B230" s="1602" t="s">
        <v>940</v>
      </c>
      <c r="C230" s="707">
        <f>PL!C28</f>
        <v>399.55979001999998</v>
      </c>
      <c r="D230" s="707">
        <f>PL!D28</f>
        <v>442.985954392</v>
      </c>
      <c r="E230" s="707">
        <f>PL!E28</f>
        <v>547.27364608599999</v>
      </c>
      <c r="F230" s="707">
        <f>PL!F28</f>
        <v>732.880119304</v>
      </c>
      <c r="G230" s="707">
        <f>PL!G28</f>
        <v>933.43967711599998</v>
      </c>
      <c r="H230" s="1568">
        <f>PL!H28</f>
        <v>1039.4167683420001</v>
      </c>
      <c r="I230" s="1568">
        <f>PL!I28</f>
        <v>1164.692003074</v>
      </c>
      <c r="J230" s="1568">
        <f>PL!J28</f>
        <v>1354.613458881</v>
      </c>
      <c r="K230" s="1568">
        <f>PL!K28</f>
        <v>1490.607476892</v>
      </c>
      <c r="L230" s="1568">
        <f>PL!L28</f>
        <v>1643.9156853320001</v>
      </c>
      <c r="M230" s="1568">
        <f>PL!M28</f>
        <v>1833.0644991280001</v>
      </c>
      <c r="N230" s="1568">
        <f>PL!N28</f>
        <v>2286.514158688</v>
      </c>
      <c r="O230" s="1568">
        <f>PL!O28</f>
        <v>2535.3000000000002</v>
      </c>
      <c r="P230" s="1568">
        <f>PL!P28</f>
        <v>2899.52</v>
      </c>
      <c r="Q230" s="1568">
        <f ca="1">SUM(Q283,Q297,Q311)</f>
        <v>2697.8567101337107</v>
      </c>
      <c r="R230" s="1568">
        <f ca="1">SUM(R283,R297,R311)</f>
        <v>2700.7971225783858</v>
      </c>
      <c r="S230" s="1568">
        <f ca="1">SUM(S283,S297,S311)</f>
        <v>2734.9740347928778</v>
      </c>
      <c r="T230" s="1568"/>
      <c r="U230" s="1568"/>
      <c r="V230" s="1568">
        <f>PL!U28</f>
        <v>0</v>
      </c>
      <c r="W230" s="1568" t="e">
        <f>PL!#REF!</f>
        <v>#REF!</v>
      </c>
      <c r="X230" s="1568"/>
      <c r="Y230" s="1568">
        <f>SUM(Y283,Y297,Y311)</f>
        <v>2197.6752865011476</v>
      </c>
      <c r="Z230" s="1568"/>
      <c r="AD230" s="735"/>
    </row>
    <row r="231" spans="2:35">
      <c r="B231" s="306" t="s">
        <v>238</v>
      </c>
      <c r="C231" s="234">
        <v>671.59</v>
      </c>
      <c r="D231" s="234">
        <v>829.81</v>
      </c>
      <c r="E231" s="234">
        <v>962.56</v>
      </c>
      <c r="F231" s="234">
        <v>1274.0530000000001</v>
      </c>
      <c r="G231" s="234">
        <v>1666.3050000000001</v>
      </c>
      <c r="H231" s="234">
        <v>2223.58</v>
      </c>
      <c r="I231" s="234">
        <v>3051.39</v>
      </c>
      <c r="J231" s="234">
        <v>3784.67</v>
      </c>
      <c r="K231" s="234">
        <v>4736.59</v>
      </c>
      <c r="L231" s="234">
        <v>5686.44</v>
      </c>
      <c r="M231" s="234"/>
      <c r="N231" s="234"/>
      <c r="O231" s="234"/>
      <c r="P231" s="234"/>
      <c r="Q231" s="234">
        <f>P231</f>
        <v>0</v>
      </c>
      <c r="R231" s="234">
        <f>Q231</f>
        <v>0</v>
      </c>
      <c r="S231" s="234">
        <f>R231</f>
        <v>0</v>
      </c>
      <c r="T231" s="234"/>
      <c r="U231" s="234"/>
      <c r="V231" s="234"/>
      <c r="W231" s="234"/>
      <c r="X231" s="234"/>
      <c r="Y231" s="234">
        <f>V231</f>
        <v>0</v>
      </c>
      <c r="Z231" s="234"/>
      <c r="AC231" s="250"/>
      <c r="AD231" s="811" t="s">
        <v>1071</v>
      </c>
      <c r="AE231" s="2"/>
      <c r="AF231" s="2"/>
      <c r="AG231" s="2"/>
      <c r="AH231" s="2"/>
      <c r="AI231" s="2"/>
    </row>
    <row r="232" spans="2:35">
      <c r="B232" s="33"/>
      <c r="C232" s="234"/>
      <c r="D232" s="234"/>
      <c r="E232" s="234"/>
      <c r="F232" s="234"/>
      <c r="G232" s="234"/>
      <c r="H232" s="234"/>
      <c r="I232" s="234"/>
      <c r="J232" s="234"/>
      <c r="K232" s="234"/>
      <c r="L232" s="234"/>
      <c r="M232" s="234"/>
      <c r="N232" s="234"/>
      <c r="O232" s="234"/>
      <c r="P232" s="234"/>
      <c r="Q232" s="234"/>
      <c r="R232" s="234"/>
      <c r="S232" s="234"/>
      <c r="T232" s="234"/>
      <c r="U232" s="234"/>
      <c r="V232" s="234"/>
      <c r="W232" s="234"/>
      <c r="X232" s="234"/>
      <c r="Y232" s="234"/>
      <c r="Z232" s="234"/>
      <c r="AC232" s="250"/>
      <c r="AD232" s="735"/>
      <c r="AE232" s="2"/>
      <c r="AF232" s="2"/>
      <c r="AG232" s="2"/>
      <c r="AH232" s="2"/>
      <c r="AI232" s="2"/>
    </row>
    <row r="233" spans="2:35">
      <c r="B233" s="958" t="s">
        <v>1069</v>
      </c>
      <c r="C233" s="1289"/>
      <c r="D233" s="1289">
        <f t="shared" ref="D233:P233" si="132">(D219)+D222+D225+D227-(C219)-C222-C225-C227</f>
        <v>781.36070492199974</v>
      </c>
      <c r="E233" s="1289">
        <f t="shared" si="132"/>
        <v>1267.6108979099999</v>
      </c>
      <c r="F233" s="1289">
        <f t="shared" si="132"/>
        <v>1822.2723153250001</v>
      </c>
      <c r="G233" s="1289">
        <f t="shared" si="132"/>
        <v>1535.2887366280011</v>
      </c>
      <c r="H233" s="1289">
        <f t="shared" si="132"/>
        <v>410.17310882800041</v>
      </c>
      <c r="I233" s="1289">
        <f t="shared" si="132"/>
        <v>2379.4779000580002</v>
      </c>
      <c r="J233" s="1289">
        <f t="shared" si="132"/>
        <v>2364.0714631850001</v>
      </c>
      <c r="K233" s="1289">
        <f t="shared" si="132"/>
        <v>2430.5580519929995</v>
      </c>
      <c r="L233" s="1289">
        <f t="shared" si="132"/>
        <v>2266.5732898640017</v>
      </c>
      <c r="M233" s="1289">
        <f t="shared" si="132"/>
        <v>3043.9538832070011</v>
      </c>
      <c r="N233" s="1289">
        <f t="shared" si="132"/>
        <v>3535.3617280950002</v>
      </c>
      <c r="O233" s="1289">
        <f t="shared" si="132"/>
        <v>4471.6683882279995</v>
      </c>
      <c r="P233" s="1289">
        <f t="shared" si="132"/>
        <v>3948.843633660003</v>
      </c>
      <c r="Q233" s="1001">
        <f ca="1">SUM(Q285,Q299,Q312)</f>
        <v>-348.70791465059688</v>
      </c>
      <c r="R233" s="1001">
        <f ca="1">SUM(R285,R299,R312)</f>
        <v>1522.7647907482951</v>
      </c>
      <c r="S233" s="1001">
        <f ca="1">SUM(S285,S299,S312)</f>
        <v>-746.01678587347897</v>
      </c>
      <c r="T233" s="1001"/>
      <c r="U233" s="1289"/>
      <c r="V233" s="1289" t="e">
        <f>(V219)+V222+V225+V227-(O219)-O222-O225-O227</f>
        <v>#REF!</v>
      </c>
      <c r="W233" s="1289" t="e">
        <f>(W219)+W222+W225+W227-(V219)-V222-V225-V227</f>
        <v>#REF!</v>
      </c>
      <c r="X233" s="1290"/>
      <c r="Y233" s="1290">
        <f>SUM(Y285,Y299,Y312)</f>
        <v>3765.6756288093497</v>
      </c>
      <c r="Z233" s="1001"/>
      <c r="AC233" s="249"/>
      <c r="AD233" s="1656" t="s">
        <v>1075</v>
      </c>
      <c r="AE233" s="1265"/>
      <c r="AF233" s="1265"/>
      <c r="AG233" s="1265"/>
      <c r="AH233" s="1265"/>
      <c r="AI233" s="751"/>
    </row>
    <row r="234" spans="2:35">
      <c r="B234" s="1653" t="s">
        <v>76</v>
      </c>
      <c r="C234" s="239"/>
      <c r="D234" s="239">
        <f t="shared" ref="D234:P234" si="133">D230/(AVERAGE(C219:D219))</f>
        <v>0.11768182761846699</v>
      </c>
      <c r="E234" s="239">
        <f t="shared" si="133"/>
        <v>0.11539825879076827</v>
      </c>
      <c r="F234" s="239">
        <f t="shared" si="133"/>
        <v>0.11926829212478776</v>
      </c>
      <c r="G234" s="239">
        <f t="shared" si="133"/>
        <v>0.12555429683206082</v>
      </c>
      <c r="H234" s="239">
        <f t="shared" si="133"/>
        <v>0.12838486573522992</v>
      </c>
      <c r="I234" s="239">
        <f t="shared" si="133"/>
        <v>0.13136494954489797</v>
      </c>
      <c r="J234" s="239">
        <f t="shared" si="133"/>
        <v>0.13042030178044664</v>
      </c>
      <c r="K234" s="239">
        <f t="shared" si="133"/>
        <v>0.12295377520153244</v>
      </c>
      <c r="L234" s="239">
        <f t="shared" si="133"/>
        <v>0.11327038803128417</v>
      </c>
      <c r="M234" s="239">
        <f t="shared" si="133"/>
        <v>0.10448142830777789</v>
      </c>
      <c r="N234" s="239">
        <f t="shared" si="133"/>
        <v>0.11073526996564539</v>
      </c>
      <c r="O234" s="239">
        <f t="shared" si="133"/>
        <v>0.10846970668694189</v>
      </c>
      <c r="P234" s="239">
        <f t="shared" si="133"/>
        <v>0.10817808237950498</v>
      </c>
      <c r="Q234" s="239">
        <f ca="1">(P220-Q220)/(AVERAGE(P219:Q219))</f>
        <v>9.0000000000000011E-2</v>
      </c>
      <c r="R234" s="239">
        <f ca="1">(Q220-R220)/(AVERAGE(Q219:R219))</f>
        <v>8.7999999999999939E-2</v>
      </c>
      <c r="S234" s="239">
        <f ca="1">(R220-S220)/(AVERAGE(R219:S219))</f>
        <v>8.8000000000000023E-2</v>
      </c>
      <c r="T234" s="239"/>
      <c r="U234" s="239"/>
      <c r="V234" s="239" t="e">
        <f ca="1">V230/(AVERAGE(O219:V219))</f>
        <v>#REF!</v>
      </c>
      <c r="W234" s="239" t="e">
        <f>W230/(AVERAGE(V219:W219))</f>
        <v>#REF!</v>
      </c>
      <c r="X234" s="239"/>
      <c r="Y234" s="239">
        <f>(N220-Y220)/(AVERAGE(N219,Y219))</f>
        <v>9.0000000000000011E-2</v>
      </c>
      <c r="Z234" s="239"/>
      <c r="AD234" s="735"/>
      <c r="AE234" s="751"/>
      <c r="AF234" s="751"/>
      <c r="AG234" s="751"/>
      <c r="AH234" s="751"/>
      <c r="AI234" s="751"/>
    </row>
    <row r="235" spans="2:35">
      <c r="B235" s="306" t="s">
        <v>205</v>
      </c>
      <c r="C235" s="242"/>
      <c r="D235" s="242">
        <f t="shared" ref="D235:S235" si="134">1/D234</f>
        <v>8.497488696743158</v>
      </c>
      <c r="E235" s="242">
        <f t="shared" si="134"/>
        <v>8.66564201642875</v>
      </c>
      <c r="F235" s="242">
        <f t="shared" si="134"/>
        <v>8.3844581169463073</v>
      </c>
      <c r="G235" s="242">
        <f t="shared" si="134"/>
        <v>7.9646816176875417</v>
      </c>
      <c r="H235" s="242">
        <f t="shared" si="134"/>
        <v>7.7890800778832867</v>
      </c>
      <c r="I235" s="242">
        <f t="shared" si="134"/>
        <v>7.6123806499710147</v>
      </c>
      <c r="J235" s="242">
        <f t="shared" si="134"/>
        <v>7.6675179120765211</v>
      </c>
      <c r="K235" s="242">
        <f t="shared" si="134"/>
        <v>8.1331378264791692</v>
      </c>
      <c r="L235" s="242">
        <f t="shared" si="134"/>
        <v>8.8284327208608993</v>
      </c>
      <c r="M235" s="242">
        <f t="shared" si="134"/>
        <v>9.5710789582071332</v>
      </c>
      <c r="N235" s="242">
        <f t="shared" si="134"/>
        <v>9.0305464583257073</v>
      </c>
      <c r="O235" s="242">
        <f t="shared" si="134"/>
        <v>9.2191638619078589</v>
      </c>
      <c r="P235" s="242">
        <f t="shared" si="134"/>
        <v>9.2440166991669308</v>
      </c>
      <c r="Q235" s="243">
        <f t="shared" ca="1" si="134"/>
        <v>11.111111111111109</v>
      </c>
      <c r="R235" s="243">
        <f t="shared" ca="1" si="134"/>
        <v>11.363636363636372</v>
      </c>
      <c r="S235" s="243">
        <f t="shared" ca="1" si="134"/>
        <v>11.363636363636362</v>
      </c>
      <c r="T235" s="243"/>
      <c r="U235" s="242"/>
      <c r="V235" s="242" t="e">
        <f ca="1">1/V234</f>
        <v>#REF!</v>
      </c>
      <c r="W235" s="242" t="e">
        <f>1/W234</f>
        <v>#REF!</v>
      </c>
      <c r="X235" s="243"/>
      <c r="Y235" s="243">
        <f>1/Y234</f>
        <v>11.111111111111109</v>
      </c>
      <c r="Z235" s="243"/>
      <c r="AD235" s="735"/>
    </row>
    <row r="236" spans="2:35">
      <c r="B236" s="306" t="s">
        <v>77</v>
      </c>
      <c r="C236" s="244"/>
      <c r="D236" s="244">
        <f t="shared" ref="D236:P236" si="135">IFERROR((C223-D223)/AVERAGE(C222:D222),0)</f>
        <v>9.5955147567702459E-2</v>
      </c>
      <c r="E236" s="244">
        <f t="shared" si="135"/>
        <v>3.9661123591712387E-2</v>
      </c>
      <c r="F236" s="244">
        <f t="shared" si="135"/>
        <v>0.11168805379247751</v>
      </c>
      <c r="G236" s="244">
        <f t="shared" si="135"/>
        <v>0.10306980410664418</v>
      </c>
      <c r="H236" s="244">
        <f t="shared" si="135"/>
        <v>9.7260052473909953E-2</v>
      </c>
      <c r="I236" s="244">
        <f t="shared" si="135"/>
        <v>0.1005636782525042</v>
      </c>
      <c r="J236" s="244">
        <f t="shared" si="135"/>
        <v>8.6381237252974113E-2</v>
      </c>
      <c r="K236" s="244">
        <f t="shared" si="135"/>
        <v>8.0705104388036478E-2</v>
      </c>
      <c r="L236" s="244">
        <f t="shared" si="135"/>
        <v>8.1402211238302352E-2</v>
      </c>
      <c r="M236" s="244">
        <f t="shared" si="135"/>
        <v>6.0361412685128304E-2</v>
      </c>
      <c r="N236" s="244">
        <f t="shared" si="135"/>
        <v>3.0200022600235261E-2</v>
      </c>
      <c r="O236" s="244">
        <f t="shared" si="135"/>
        <v>8.9026056006609469E-2</v>
      </c>
      <c r="P236" s="244">
        <f t="shared" si="135"/>
        <v>8.2167963016403833E-2</v>
      </c>
      <c r="Q236" s="245">
        <f>(P223-Q223)/(AVERAGE(P222:Q222))</f>
        <v>2.5668595318585091E-2</v>
      </c>
      <c r="R236" s="245">
        <f>(Q223-R223)/(AVERAGE(Q222:R222))</f>
        <v>2.5668595318585032E-2</v>
      </c>
      <c r="S236" s="245">
        <f>(R223-S223)/(AVERAGE(R222:S222))</f>
        <v>2.5668595318585091E-2</v>
      </c>
      <c r="T236" s="245"/>
      <c r="U236" s="244"/>
      <c r="V236" s="244">
        <f>IFERROR((O223-V223)/AVERAGE(O222:V222),0)</f>
        <v>0</v>
      </c>
      <c r="W236" s="244">
        <f>IFERROR((V223-W223)/AVERAGE(V222:W222),0)</f>
        <v>0</v>
      </c>
      <c r="X236" s="245"/>
      <c r="Y236" s="245">
        <f>(N223-Y223)/(AVERAGE(N222:O222))</f>
        <v>9.6741811951406541E-3</v>
      </c>
      <c r="Z236" s="245"/>
    </row>
    <row r="237" spans="2:35">
      <c r="B237" s="306" t="s">
        <v>206</v>
      </c>
      <c r="C237" s="242">
        <f t="shared" ref="C237:S237" si="136">IFERROR(1/C236,0)</f>
        <v>0</v>
      </c>
      <c r="D237" s="242">
        <f t="shared" si="136"/>
        <v>10.421535741940644</v>
      </c>
      <c r="E237" s="242">
        <f t="shared" si="136"/>
        <v>25.213607418045026</v>
      </c>
      <c r="F237" s="242">
        <f t="shared" si="136"/>
        <v>8.9535090463484526</v>
      </c>
      <c r="G237" s="242">
        <f t="shared" si="136"/>
        <v>9.7021626136527903</v>
      </c>
      <c r="H237" s="242">
        <f t="shared" si="136"/>
        <v>10.281713556223409</v>
      </c>
      <c r="I237" s="242">
        <f t="shared" si="136"/>
        <v>9.9439481269679835</v>
      </c>
      <c r="J237" s="242">
        <f t="shared" si="136"/>
        <v>11.576588062421738</v>
      </c>
      <c r="K237" s="242">
        <f t="shared" si="136"/>
        <v>12.390789995040729</v>
      </c>
      <c r="L237" s="242">
        <f t="shared" si="136"/>
        <v>12.284678570616862</v>
      </c>
      <c r="M237" s="242">
        <f t="shared" si="136"/>
        <v>16.566875351583306</v>
      </c>
      <c r="N237" s="242">
        <f t="shared" si="136"/>
        <v>33.112558001602622</v>
      </c>
      <c r="O237" s="242">
        <f t="shared" si="136"/>
        <v>11.232666534455463</v>
      </c>
      <c r="P237" s="242">
        <f t="shared" si="136"/>
        <v>12.170193385472659</v>
      </c>
      <c r="Q237" s="242">
        <f t="shared" si="136"/>
        <v>38.95811155961308</v>
      </c>
      <c r="R237" s="242">
        <f t="shared" si="136"/>
        <v>38.958111559613165</v>
      </c>
      <c r="S237" s="242">
        <f t="shared" si="136"/>
        <v>38.95811155961308</v>
      </c>
      <c r="T237" s="242"/>
      <c r="U237" s="242"/>
      <c r="V237" s="242">
        <f>IFERROR(1/V236,0)</f>
        <v>0</v>
      </c>
      <c r="W237" s="242">
        <f>IFERROR(1/W236,0)</f>
        <v>0</v>
      </c>
      <c r="X237" s="242"/>
      <c r="Y237" s="242">
        <f>IFERROR(1/Y236,0)</f>
        <v>103.36792125645739</v>
      </c>
      <c r="Z237" s="242"/>
    </row>
    <row r="238" spans="2:35">
      <c r="B238" s="33" t="s">
        <v>937</v>
      </c>
      <c r="C238" s="239">
        <f t="shared" ref="C238:P238" si="137">IFERROR((B226-C226)/AVERAGE(B225:C225),0)</f>
        <v>0</v>
      </c>
      <c r="D238" s="239">
        <f t="shared" si="137"/>
        <v>-0.28227623188934142</v>
      </c>
      <c r="E238" s="239">
        <f t="shared" si="137"/>
        <v>-3.4317260054282921E-2</v>
      </c>
      <c r="F238" s="239">
        <f t="shared" si="137"/>
        <v>0.26497189570932889</v>
      </c>
      <c r="G238" s="239">
        <f t="shared" si="137"/>
        <v>0.109179665415366</v>
      </c>
      <c r="H238" s="239">
        <f t="shared" si="137"/>
        <v>1.5589716099318734E-2</v>
      </c>
      <c r="I238" s="239">
        <f t="shared" si="137"/>
        <v>0.2295717701796206</v>
      </c>
      <c r="J238" s="239">
        <f t="shared" si="137"/>
        <v>0.1826025392468171</v>
      </c>
      <c r="K238" s="239">
        <f t="shared" si="137"/>
        <v>-1.3764426361699838E-2</v>
      </c>
      <c r="L238" s="239">
        <f t="shared" si="137"/>
        <v>4.3798405677688895E-3</v>
      </c>
      <c r="M238" s="239">
        <f t="shared" si="137"/>
        <v>0.62956290389394787</v>
      </c>
      <c r="N238" s="239">
        <f t="shared" si="137"/>
        <v>-0.60193320422892072</v>
      </c>
      <c r="O238" s="239">
        <f t="shared" si="137"/>
        <v>-5.0002988220585E-2</v>
      </c>
      <c r="P238" s="239">
        <f t="shared" si="137"/>
        <v>0.15939834288395024</v>
      </c>
      <c r="Q238" s="236"/>
      <c r="R238" s="236"/>
      <c r="S238" s="236"/>
      <c r="T238" s="236"/>
      <c r="U238" s="239"/>
      <c r="V238" s="239">
        <f>IFERROR((O226-V226)/AVERAGE(O225:V225),0)</f>
        <v>0</v>
      </c>
      <c r="W238" s="239">
        <f>IFERROR((V226-W226)/AVERAGE(V225:W225),0)</f>
        <v>0</v>
      </c>
      <c r="X238" s="236"/>
      <c r="Y238" s="236"/>
      <c r="Z238" s="236"/>
    </row>
    <row r="239" spans="2:35">
      <c r="B239" s="33" t="s">
        <v>938</v>
      </c>
      <c r="C239" s="706">
        <f t="shared" ref="C239:P239" si="138">IFERROR(1/C238,0)</f>
        <v>0</v>
      </c>
      <c r="D239" s="706">
        <f t="shared" si="138"/>
        <v>-3.5426291236310052</v>
      </c>
      <c r="E239" s="706">
        <f t="shared" si="138"/>
        <v>-29.139855525126528</v>
      </c>
      <c r="F239" s="706">
        <f t="shared" si="138"/>
        <v>3.7739851516063743</v>
      </c>
      <c r="G239" s="706">
        <f t="shared" si="138"/>
        <v>9.1592147328495059</v>
      </c>
      <c r="H239" s="706">
        <f t="shared" si="138"/>
        <v>64.144849952957117</v>
      </c>
      <c r="I239" s="706">
        <f t="shared" si="138"/>
        <v>4.3559362687214724</v>
      </c>
      <c r="J239" s="706">
        <f t="shared" si="138"/>
        <v>5.4763751047751699</v>
      </c>
      <c r="K239" s="706">
        <f t="shared" si="138"/>
        <v>-72.651047978472022</v>
      </c>
      <c r="L239" s="706">
        <f t="shared" si="138"/>
        <v>228.3188130999491</v>
      </c>
      <c r="M239" s="706">
        <f t="shared" si="138"/>
        <v>1.5884036270479711</v>
      </c>
      <c r="N239" s="706">
        <f t="shared" si="138"/>
        <v>-1.6613139015665446</v>
      </c>
      <c r="O239" s="706">
        <f t="shared" si="138"/>
        <v>-19.998804783197428</v>
      </c>
      <c r="P239" s="706">
        <f t="shared" si="138"/>
        <v>6.2735909414569555</v>
      </c>
      <c r="Q239" s="236"/>
      <c r="R239" s="236"/>
      <c r="S239" s="236"/>
      <c r="T239" s="236"/>
      <c r="U239" s="706"/>
      <c r="V239" s="706">
        <f>IFERROR(1/V238,0)</f>
        <v>0</v>
      </c>
      <c r="W239" s="706">
        <f>IFERROR(1/W238,0)</f>
        <v>0</v>
      </c>
      <c r="X239" s="236"/>
      <c r="Y239" s="236"/>
      <c r="Z239" s="236"/>
    </row>
    <row r="240" spans="2:35">
      <c r="B240" s="33"/>
      <c r="H240" s="239"/>
      <c r="I240" s="239"/>
      <c r="J240" s="239"/>
      <c r="K240" s="239"/>
      <c r="L240" s="239"/>
      <c r="M240" s="239"/>
      <c r="N240" s="239"/>
      <c r="O240" s="239"/>
      <c r="P240" s="239"/>
      <c r="Q240" s="236"/>
      <c r="R240" s="236"/>
      <c r="S240" s="3475"/>
      <c r="T240" s="3475"/>
      <c r="U240" s="312"/>
      <c r="V240" s="239"/>
      <c r="W240" s="239"/>
      <c r="X240" s="236"/>
      <c r="Y240" s="236"/>
      <c r="Z240" s="236"/>
    </row>
    <row r="241" spans="1:26">
      <c r="A241" s="246"/>
      <c r="B241" s="3472" t="s">
        <v>78</v>
      </c>
      <c r="C241" s="3473"/>
      <c r="D241" s="3473"/>
      <c r="E241" s="3473"/>
      <c r="F241" s="3473"/>
      <c r="G241" s="3473"/>
      <c r="H241" s="3473">
        <f t="shared" ref="H241:S241" si="139">SUM(H242:H245)</f>
        <v>752.82815365899955</v>
      </c>
      <c r="I241" s="3473">
        <f t="shared" si="139"/>
        <v>-2054.7827071539991</v>
      </c>
      <c r="J241" s="3473">
        <f t="shared" si="139"/>
        <v>-1402.9284054559989</v>
      </c>
      <c r="K241" s="3473">
        <f t="shared" si="139"/>
        <v>-4806.7422921079997</v>
      </c>
      <c r="L241" s="3473">
        <f t="shared" si="139"/>
        <v>-9366.2682380240076</v>
      </c>
      <c r="M241" s="3473">
        <f t="shared" si="139"/>
        <v>4417.0488086550067</v>
      </c>
      <c r="N241" s="3473">
        <f t="shared" si="139"/>
        <v>-4292.8470121230057</v>
      </c>
      <c r="O241" s="3473">
        <f t="shared" si="139"/>
        <v>-4986.0753878869937</v>
      </c>
      <c r="P241" s="3473">
        <f t="shared" si="139"/>
        <v>-12301.671047606997</v>
      </c>
      <c r="Q241" s="3473">
        <f t="shared" ca="1" si="139"/>
        <v>-1991.6908715854242</v>
      </c>
      <c r="R241" s="3473">
        <f t="shared" ca="1" si="139"/>
        <v>-4649.9630852378514</v>
      </c>
      <c r="S241" s="2668">
        <f t="shared" ca="1" si="139"/>
        <v>-5323.6383707005207</v>
      </c>
      <c r="T241" s="2668"/>
      <c r="U241" s="2668"/>
      <c r="V241" s="1645" t="e">
        <f>SUM(V242:V245)</f>
        <v>#REF!</v>
      </c>
      <c r="W241" s="1645" t="e">
        <f>SUM(W242:W245)</f>
        <v>#REF!</v>
      </c>
      <c r="X241" s="1645"/>
      <c r="Y241" s="1645" t="e">
        <f>SUM(Y242:Y245)</f>
        <v>#REF!</v>
      </c>
      <c r="Z241" s="2668"/>
    </row>
    <row r="242" spans="1:26">
      <c r="B242" s="1355" t="s">
        <v>292</v>
      </c>
      <c r="C242" s="1356"/>
      <c r="D242" s="1356"/>
      <c r="E242" s="1356"/>
      <c r="F242" s="1356"/>
      <c r="G242" s="1356"/>
      <c r="H242" s="1357">
        <f>BS!G11-BS!H11</f>
        <v>3592.9861869930005</v>
      </c>
      <c r="I242" s="1357">
        <f>BS!H11-BS!I11</f>
        <v>-377.258713855</v>
      </c>
      <c r="J242" s="1357">
        <f>BS!I11-BS!J11</f>
        <v>51.343764985000007</v>
      </c>
      <c r="K242" s="1357">
        <f>BS!J11-BS!K11</f>
        <v>-55.124600922000127</v>
      </c>
      <c r="L242" s="1357">
        <f>BS!K11-BS!L11</f>
        <v>-218.23182623899993</v>
      </c>
      <c r="M242" s="1357">
        <f>BS!L11-BS!M11</f>
        <v>-497.80271100799996</v>
      </c>
      <c r="N242" s="1357">
        <f>BS!M11-BS!N11</f>
        <v>396.1611148909999</v>
      </c>
      <c r="O242" s="1357">
        <f>BS!N11-BS!O11</f>
        <v>-265.263075329</v>
      </c>
      <c r="P242" s="1357">
        <f>BS!O11-BS!P11</f>
        <v>-260.59249075699995</v>
      </c>
      <c r="Q242" s="1357">
        <f ca="1">BS!P11-BS!Q11</f>
        <v>510.25086556601491</v>
      </c>
      <c r="R242" s="1357">
        <f ca="1">BS!Q11-BS!R11</f>
        <v>-293.30962135465143</v>
      </c>
      <c r="S242" s="1357">
        <f ca="1">BS!R11-BS!S11</f>
        <v>-339.56117273039536</v>
      </c>
      <c r="T242" s="1357"/>
      <c r="U242" s="1357"/>
      <c r="V242" s="1357" t="e">
        <f>BS!O11-BS!#REF!</f>
        <v>#REF!</v>
      </c>
      <c r="W242" s="1357" t="e">
        <f>BS!#REF!-BS!V11</f>
        <v>#REF!</v>
      </c>
      <c r="X242" s="1357"/>
      <c r="Y242" s="1357" t="e">
        <f>BS!V11-BS!W11</f>
        <v>#REF!</v>
      </c>
      <c r="Z242" s="1357"/>
    </row>
    <row r="243" spans="1:26">
      <c r="B243" s="1355" t="s">
        <v>1025</v>
      </c>
      <c r="C243" s="1357"/>
      <c r="D243" s="1357"/>
      <c r="E243" s="1357"/>
      <c r="F243" s="1357"/>
      <c r="G243" s="1357"/>
      <c r="H243" s="1357">
        <f>(BS!G7+BS!G9+BS!G13)-(BS!H7+BS!H9+BS!H13)</f>
        <v>-255.40335641399724</v>
      </c>
      <c r="I243" s="1357">
        <f>(BS!H7+BS!H9+BS!H13)-(BS!I7+BS!I9+BS!I13)</f>
        <v>-1664.7550326530018</v>
      </c>
      <c r="J243" s="1357">
        <f>(BS!I7+BS!I9+BS!I13)-(BS!J7+BS!J9+BS!J13)</f>
        <v>-1198.7626798639976</v>
      </c>
      <c r="K243" s="1357">
        <f>(BS!J7+BS!J9+BS!J13)-(BS!K7+BS!K9+BS!K13)</f>
        <v>-5309.2025520980005</v>
      </c>
      <c r="L243" s="1357">
        <f>(BS!K7+BS!K9+BS!K13)-(BS!L7+BS!L9+BS!L13)</f>
        <v>-8810.8757239550032</v>
      </c>
      <c r="M243" s="1357">
        <f>(BS!L7+BS!L9+BS!L13)-(BS!M7+BS!M9+BS!M13)</f>
        <v>5491.9984797150028</v>
      </c>
      <c r="N243" s="1357">
        <f>(BS!M7+BS!M9+BS!M13)-(BS!N7+BS!N9+BS!N13)</f>
        <v>-4514.1584499930032</v>
      </c>
      <c r="O243" s="1357">
        <f>(BS!N7+BS!N9+BS!N13)-(BS!O7+BS!O9+BS!O13)</f>
        <v>-7237.9393614979963</v>
      </c>
      <c r="P243" s="1357">
        <f>(BS!O7+BS!O9+BS!O13)-(BS!P7+BS!P9+BS!P13)</f>
        <v>-10998.487162054</v>
      </c>
      <c r="Q243" s="1357">
        <f ca="1">(BS!P7+BS!P9+BS!P13)-(BS!Q7+BS!Q9+BS!Q13)</f>
        <v>4318.8495537654089</v>
      </c>
      <c r="R243" s="1357">
        <f ca="1">(BS!Q7+BS!Q9+BS!Q13)-(BS!R7+BS!R9+BS!R13)</f>
        <v>-1843.5633029425444</v>
      </c>
      <c r="S243" s="1357">
        <f ca="1">(BS!R7+BS!R9+BS!R13)-(BS!S7+BS!S9+BS!S13)</f>
        <v>-2231.4951900892556</v>
      </c>
      <c r="T243" s="1357"/>
      <c r="U243" s="1357"/>
      <c r="V243" s="1357" t="e">
        <f>(BS!O7+BS!O9+BS!O13)-(BS!#REF!+BS!#REF!+BS!#REF!)</f>
        <v>#REF!</v>
      </c>
      <c r="W243" s="1357" t="e">
        <f>(BS!#REF!+BS!#REF!+BS!#REF!)-(BS!V7+BS!V9+BS!V13)</f>
        <v>#REF!</v>
      </c>
      <c r="X243" s="1357"/>
      <c r="Y243" s="1357" t="e">
        <f>(BS!V7+BS!V9+BS!V13)-(BS!W7+BS!W9+BS!W13)</f>
        <v>#REF!</v>
      </c>
      <c r="Z243" s="1357"/>
    </row>
    <row r="244" spans="1:26">
      <c r="B244" s="1355" t="s">
        <v>1024</v>
      </c>
      <c r="C244" s="1356"/>
      <c r="D244" s="1356"/>
      <c r="E244" s="1356"/>
      <c r="F244" s="1356"/>
      <c r="G244" s="1356"/>
      <c r="H244" s="1356">
        <f>(BS!H43+BS!H44+BS!H45+BS!H46+BS!H47+BS!H49)-(BS!G43+BS!G44+BS!G45+BS!G46+BS!G47+BS!G49)</f>
        <v>-1234.8489986650038</v>
      </c>
      <c r="I244" s="1356">
        <f>(BS!I43+BS!I44+BS!I45+BS!I46+BS!I47+BS!I49)-(BS!H43+BS!H44+BS!H45+BS!H46+BS!H47+BS!H49)</f>
        <v>729.90783642300266</v>
      </c>
      <c r="J244" s="1356">
        <f>(BS!J43+BS!J44+BS!J45+BS!J46+BS!J47+BS!J49)-(BS!I43+BS!I44+BS!I45+BS!I46+BS!I47+BS!I49)</f>
        <v>650.05594930499865</v>
      </c>
      <c r="K244" s="1356">
        <f>(BS!K43+BS!K44+BS!K45+BS!K46+BS!K47+BS!K49)-(BS!J43+BS!J44+BS!J45+BS!J46+BS!J47+BS!J49)</f>
        <v>1600.6979781920008</v>
      </c>
      <c r="L244" s="1356">
        <f>(BS!L43+BS!L44+BS!L45+BS!L46+BS!L47+BS!L49)-(BS!K43+BS!K44+BS!K45+BS!K46+BS!K47+BS!K49)</f>
        <v>1487.0541372349962</v>
      </c>
      <c r="M244" s="1356">
        <f>(BS!M43+BS!M44+BS!M45+BS!M46+BS!M47+BS!M49)-(BS!L43+BS!L44+BS!L45+BS!L46+BS!L47+BS!L49)</f>
        <v>1417.3394746400045</v>
      </c>
      <c r="N244" s="1356">
        <f>(BS!N43+BS!N44+BS!N45+BS!N46+BS!N47+BS!N49)-(BS!M43+BS!M44+BS!M45+BS!M46+BS!M47+BS!M49)</f>
        <v>1796.847121771998</v>
      </c>
      <c r="O244" s="1356">
        <f>(BS!O43+BS!O44+BS!O45+BS!O46+BS!O47+BS!O49)-(BS!N43+BS!N44+BS!N45+BS!N46+BS!N47+BS!N49)</f>
        <v>4203.7570489400023</v>
      </c>
      <c r="P244" s="1356">
        <f>(BS!P43+BS!P44+BS!P45+BS!P46+BS!P47+BS!P49)-(BS!O43+BS!O44+BS!O45+BS!O46+BS!O47+BS!O49)</f>
        <v>1666.8386052040041</v>
      </c>
      <c r="Q244" s="1356">
        <f ca="1">(BS!Q43+BS!Q44+BS!Q45+BS!Q46+BS!Q47+BS!Q49)-(BS!P43+BS!P44+BS!P45+BS!P46+BS!P47+BS!P49)</f>
        <v>-3671.2519082323197</v>
      </c>
      <c r="R244" s="1356">
        <f ca="1">(BS!R43+BS!R44+BS!R45+BS!R46+BS!R47+BS!R49)-(BS!Q43+BS!Q44+BS!Q45+BS!Q46+BS!Q47+BS!Q49)</f>
        <v>1644.0098381722601</v>
      </c>
      <c r="S244" s="1356">
        <f ca="1">(BS!S43+BS!S44+BS!S45+BS!S46+BS!S47+BS!S49)-(BS!R43+BS!R44+BS!R45+BS!R46+BS!R47+BS!R49)</f>
        <v>1938.6804658171532</v>
      </c>
      <c r="T244" s="1356"/>
      <c r="U244" s="1356"/>
      <c r="V244" s="1356" t="e">
        <f>(BS!#REF!+BS!#REF!+BS!#REF!+BS!#REF!+BS!#REF!+BS!#REF!)-(BS!O43+BS!O44+BS!O45+BS!O46+BS!O47+BS!O49)</f>
        <v>#REF!</v>
      </c>
      <c r="W244" s="1356" t="e">
        <f>(BS!V43+BS!V44+BS!V45+BS!V46+BS!V47+BS!V49)-(BS!#REF!+BS!#REF!+BS!#REF!+BS!#REF!+BS!#REF!+BS!#REF!)</f>
        <v>#REF!</v>
      </c>
      <c r="X244" s="1356"/>
      <c r="Y244" s="1356" t="e">
        <f>(BS!W43+BS!W44+BS!W45+BS!W46+BS!W47+BS!W49)-(BS!V43+BS!V44+BS!V45+BS!V46+BS!V47+BS!V49)</f>
        <v>#REF!</v>
      </c>
      <c r="Z244" s="1356"/>
    </row>
    <row r="245" spans="1:26">
      <c r="B245" s="1646" t="s">
        <v>1021</v>
      </c>
      <c r="C245" s="1647"/>
      <c r="D245" s="1647"/>
      <c r="E245" s="1647"/>
      <c r="F245" s="1647"/>
      <c r="G245" s="1647"/>
      <c r="H245" s="1647">
        <f>CF!C63</f>
        <v>-1349.9056782549999</v>
      </c>
      <c r="I245" s="1647">
        <f>CF!D63</f>
        <v>-742.67679706900003</v>
      </c>
      <c r="J245" s="1647">
        <f>CF!E63</f>
        <v>-905.56543988199996</v>
      </c>
      <c r="K245" s="1647">
        <f>CF!F63</f>
        <v>-1043.1131172799999</v>
      </c>
      <c r="L245" s="1647">
        <f>CF!G63</f>
        <v>-1824.214825065</v>
      </c>
      <c r="M245" s="1647">
        <f>CF!H63</f>
        <v>-1994.4864346920001</v>
      </c>
      <c r="N245" s="1647">
        <f>CF!I63</f>
        <v>-1971.696798793</v>
      </c>
      <c r="O245" s="1647">
        <f>CF!J63</f>
        <v>-1686.63</v>
      </c>
      <c r="P245" s="1647">
        <f>CF!K63</f>
        <v>-2709.43</v>
      </c>
      <c r="Q245" s="1647">
        <f ca="1">CF!L63</f>
        <v>-3149.5393826845284</v>
      </c>
      <c r="R245" s="1647">
        <f ca="1">CF!M63</f>
        <v>-4157.0999991129156</v>
      </c>
      <c r="S245" s="1647">
        <f ca="1">CF!N63</f>
        <v>-4691.2624736980233</v>
      </c>
      <c r="T245" s="1647"/>
      <c r="U245" s="1647"/>
      <c r="V245" s="1647">
        <f>CF!P63</f>
        <v>0</v>
      </c>
      <c r="W245" s="1647" t="e">
        <f>CF!Q63</f>
        <v>#REF!</v>
      </c>
      <c r="X245" s="1647"/>
      <c r="Y245" s="1647">
        <f>CF!R63</f>
        <v>0</v>
      </c>
      <c r="Z245" s="2669"/>
    </row>
    <row r="246" spans="1:26">
      <c r="B246" s="33"/>
      <c r="C246" s="2694"/>
      <c r="D246" s="2694"/>
      <c r="E246" s="2694"/>
      <c r="F246" s="2694"/>
      <c r="G246" s="2694"/>
      <c r="H246" s="238"/>
    </row>
    <row r="247" spans="1:26">
      <c r="B247" s="784" t="s">
        <v>702</v>
      </c>
    </row>
    <row r="248" spans="1:26">
      <c r="B248" s="33" t="s">
        <v>745</v>
      </c>
      <c r="H248" s="269"/>
      <c r="I248" s="269"/>
      <c r="J248" s="738">
        <f>BS!J34</f>
        <v>225.929415272</v>
      </c>
      <c r="K248" s="738">
        <f>BS!K34</f>
        <v>200.03422502699999</v>
      </c>
      <c r="L248" s="738">
        <f>BS!L34</f>
        <v>465.98541032700001</v>
      </c>
      <c r="M248" s="738">
        <f>BS!M34</f>
        <v>407.94484796099999</v>
      </c>
      <c r="N248" s="738">
        <f>BS!N34</f>
        <v>1283.7900791290001</v>
      </c>
      <c r="O248" s="738">
        <f>BS!O34</f>
        <v>1097.46</v>
      </c>
      <c r="P248" s="738">
        <f>BS!P34</f>
        <v>1015.730266161</v>
      </c>
      <c r="Q248" s="1223">
        <f>P248-Q249</f>
        <v>1015.730266161</v>
      </c>
      <c r="R248" s="1223">
        <f>Q248-R249</f>
        <v>1015.730266161</v>
      </c>
      <c r="S248" s="1223">
        <f>R248-S249</f>
        <v>1015.730266161</v>
      </c>
      <c r="T248" s="1223"/>
      <c r="U248" s="738"/>
      <c r="V248" s="738" t="e">
        <f>BS!#REF!</f>
        <v>#REF!</v>
      </c>
      <c r="W248" s="738" t="e">
        <f>BS!V34</f>
        <v>#REF!</v>
      </c>
      <c r="X248" s="1223"/>
      <c r="Y248" s="1223">
        <f>N248-Y249</f>
        <v>1155.4110712161</v>
      </c>
      <c r="Z248" s="1223"/>
    </row>
    <row r="249" spans="1:26">
      <c r="B249" s="1224" t="s">
        <v>746</v>
      </c>
      <c r="C249" s="459"/>
      <c r="D249" s="459"/>
      <c r="E249" s="459"/>
      <c r="F249" s="459"/>
      <c r="G249" s="459"/>
      <c r="H249" s="40"/>
      <c r="I249" s="40"/>
      <c r="J249" s="3474"/>
      <c r="K249" s="1226"/>
      <c r="L249" s="1226"/>
      <c r="M249" s="1226"/>
      <c r="N249" s="1226"/>
      <c r="O249" s="1226"/>
      <c r="P249" s="1226"/>
      <c r="Q249" s="1226">
        <f>P249</f>
        <v>0</v>
      </c>
      <c r="R249" s="1226">
        <f>Q249</f>
        <v>0</v>
      </c>
      <c r="S249" s="1226">
        <f>R249</f>
        <v>0</v>
      </c>
      <c r="T249" s="1226"/>
      <c r="U249" s="1226"/>
      <c r="V249" s="1226"/>
      <c r="W249" s="1226"/>
      <c r="X249" s="1226"/>
      <c r="Y249" s="1226">
        <f>N248/10</f>
        <v>128.37900791290002</v>
      </c>
      <c r="Z249" s="250"/>
    </row>
    <row r="250" spans="1:26">
      <c r="C250" s="2695"/>
      <c r="D250" s="2695"/>
      <c r="E250" s="2695"/>
      <c r="F250" s="2695"/>
      <c r="G250" s="2695"/>
      <c r="J250" s="2670">
        <f>J260/J216</f>
        <v>0.11685985700470634</v>
      </c>
    </row>
    <row r="252" spans="1:26">
      <c r="B252" s="1239" t="s">
        <v>896</v>
      </c>
      <c r="H252" s="2696"/>
      <c r="I252" s="1243">
        <v>2018</v>
      </c>
      <c r="J252" s="1243">
        <v>2019</v>
      </c>
      <c r="K252" s="1243">
        <v>2020</v>
      </c>
      <c r="L252" s="1243">
        <v>2021</v>
      </c>
      <c r="M252" s="1243">
        <v>2022</v>
      </c>
      <c r="N252" s="1243">
        <v>2023</v>
      </c>
      <c r="O252" s="1243">
        <v>2024</v>
      </c>
      <c r="P252" s="1243">
        <v>2025</v>
      </c>
      <c r="Q252" s="1243" t="s">
        <v>812</v>
      </c>
      <c r="R252" s="1243" t="s">
        <v>812</v>
      </c>
      <c r="S252" s="1243" t="s">
        <v>812</v>
      </c>
      <c r="T252" s="1243"/>
      <c r="U252" s="1243"/>
      <c r="V252" s="1243">
        <v>2025</v>
      </c>
      <c r="W252" s="1243">
        <v>2026</v>
      </c>
      <c r="X252" s="1243"/>
      <c r="Y252" s="1243" t="s">
        <v>261</v>
      </c>
      <c r="Z252" s="1243"/>
    </row>
    <row r="253" spans="1:26">
      <c r="B253" s="1240" t="s">
        <v>919</v>
      </c>
      <c r="I253" s="1244">
        <f t="shared" ref="I253:S253" si="140">SUM(I283,I297)</f>
        <v>1005.505867992</v>
      </c>
      <c r="J253" s="1244">
        <f t="shared" si="140"/>
        <v>1251.8172572039998</v>
      </c>
      <c r="K253" s="1244">
        <f t="shared" si="140"/>
        <v>1375.3695067029998</v>
      </c>
      <c r="L253" s="1244">
        <f t="shared" si="140"/>
        <v>1360.2947717390002</v>
      </c>
      <c r="M253" s="1244">
        <f t="shared" si="140"/>
        <v>1439.8890536350004</v>
      </c>
      <c r="N253" s="1244">
        <f t="shared" si="140"/>
        <v>1679.5189548119997</v>
      </c>
      <c r="O253" s="1244">
        <f t="shared" si="140"/>
        <v>1263.5671414329997</v>
      </c>
      <c r="P253" s="1244">
        <f t="shared" si="140"/>
        <v>2455.3704523070001</v>
      </c>
      <c r="Q253" s="1256">
        <f t="shared" ca="1" si="140"/>
        <v>2707.0442973137106</v>
      </c>
      <c r="R253" s="1256">
        <f t="shared" ca="1" si="140"/>
        <v>2700.7971225783858</v>
      </c>
      <c r="S253" s="1256">
        <f t="shared" ca="1" si="140"/>
        <v>2734.9740347928778</v>
      </c>
      <c r="T253" s="1256"/>
      <c r="U253" s="1244"/>
      <c r="V253" s="1244" t="e">
        <f>SUM(V283,V297)</f>
        <v>#REF!</v>
      </c>
      <c r="W253" s="1244" t="e">
        <f>SUM(W283,W297)</f>
        <v>#REF!</v>
      </c>
      <c r="X253" s="1256"/>
      <c r="Y253" s="1256">
        <f>SUM(Y283,Y297)</f>
        <v>2205.7029508631476</v>
      </c>
      <c r="Z253" s="1256"/>
    </row>
    <row r="254" spans="1:26">
      <c r="B254" s="1241"/>
      <c r="C254" s="2697"/>
      <c r="D254" s="2697"/>
      <c r="E254" s="2697"/>
      <c r="F254" s="2697"/>
      <c r="G254" s="2697"/>
      <c r="I254" s="2671"/>
      <c r="J254" s="2672"/>
      <c r="K254" s="2672"/>
      <c r="L254" s="2672"/>
      <c r="M254" s="2672"/>
      <c r="N254" s="2672"/>
      <c r="O254" s="2672"/>
      <c r="P254" s="2672"/>
      <c r="Q254" s="1258"/>
      <c r="R254" s="1258"/>
      <c r="S254" s="1258"/>
      <c r="T254" s="1258"/>
      <c r="U254" s="1332"/>
      <c r="V254" s="1332"/>
      <c r="W254" s="1332"/>
      <c r="X254" s="1257"/>
      <c r="Y254" s="1257"/>
      <c r="Z254" s="1258"/>
    </row>
    <row r="255" spans="1:26">
      <c r="B255" s="1885" t="s">
        <v>1642</v>
      </c>
      <c r="C255" s="2697"/>
      <c r="D255" s="2697"/>
      <c r="E255" s="2697"/>
      <c r="F255" s="2697"/>
      <c r="G255" s="2697"/>
      <c r="I255" s="2671"/>
      <c r="J255" s="2672"/>
      <c r="K255" s="2672"/>
      <c r="L255" s="2672"/>
      <c r="M255" s="2672"/>
      <c r="N255" s="2672"/>
      <c r="O255" s="2672"/>
      <c r="P255" s="2672"/>
      <c r="Q255" s="1258"/>
      <c r="R255" s="1258"/>
      <c r="S255" s="1258"/>
      <c r="T255" s="1258"/>
      <c r="U255" s="1332"/>
      <c r="V255" s="1332"/>
      <c r="W255" s="1332"/>
      <c r="X255" s="1257"/>
      <c r="Y255" s="1257"/>
      <c r="Z255" s="1258"/>
    </row>
    <row r="256" spans="1:26">
      <c r="B256" s="1887" t="s">
        <v>921</v>
      </c>
      <c r="C256" s="2697"/>
      <c r="D256" s="2697"/>
      <c r="E256" s="2697"/>
      <c r="F256" s="2697"/>
      <c r="G256" s="2697"/>
      <c r="I256" s="2673"/>
      <c r="J256" s="2674"/>
      <c r="K256" s="2674"/>
      <c r="L256" s="2675">
        <v>1198</v>
      </c>
      <c r="M256" s="2675">
        <v>989</v>
      </c>
      <c r="N256" s="2674"/>
      <c r="O256" s="2674"/>
      <c r="P256" s="2674"/>
      <c r="Q256" s="1258"/>
      <c r="R256" s="1258"/>
      <c r="S256" s="1258"/>
      <c r="T256" s="1258"/>
      <c r="U256" s="2364"/>
      <c r="V256" s="2364"/>
      <c r="W256" s="2364"/>
      <c r="X256" s="1257"/>
      <c r="Y256" s="1257"/>
      <c r="Z256" s="1258"/>
    </row>
    <row r="257" spans="2:34">
      <c r="B257" s="1887" t="s">
        <v>895</v>
      </c>
      <c r="C257" s="2697"/>
      <c r="D257" s="2697"/>
      <c r="E257" s="2697"/>
      <c r="F257" s="2697"/>
      <c r="G257" s="2697"/>
      <c r="I257" s="2673"/>
      <c r="J257" s="2674"/>
      <c r="K257" s="2674"/>
      <c r="L257" s="2675">
        <v>1318</v>
      </c>
      <c r="M257" s="2675">
        <v>1784</v>
      </c>
      <c r="N257" s="2674"/>
      <c r="O257" s="2674"/>
      <c r="P257" s="2674"/>
      <c r="Q257" s="1258"/>
      <c r="R257" s="1258"/>
      <c r="S257" s="1258"/>
      <c r="T257" s="1258"/>
      <c r="U257" s="2364"/>
      <c r="V257" s="2364"/>
      <c r="W257" s="2364"/>
      <c r="X257" s="1257"/>
      <c r="Y257" s="1257"/>
      <c r="Z257" s="1258"/>
    </row>
    <row r="258" spans="2:34">
      <c r="B258" s="1887" t="s">
        <v>1126</v>
      </c>
      <c r="C258" s="2697"/>
      <c r="D258" s="2697"/>
      <c r="E258" s="2697"/>
      <c r="F258" s="2697"/>
      <c r="G258" s="2697"/>
      <c r="I258" s="2673"/>
      <c r="J258" s="2674"/>
      <c r="K258" s="2674"/>
      <c r="L258" s="2675">
        <v>401</v>
      </c>
      <c r="M258" s="2675">
        <v>473</v>
      </c>
      <c r="N258" s="2674"/>
      <c r="O258" s="2674"/>
      <c r="P258" s="2674"/>
      <c r="Q258" s="1258"/>
      <c r="R258" s="1258"/>
      <c r="S258" s="1258"/>
      <c r="T258" s="1258"/>
      <c r="U258" s="2364"/>
      <c r="V258" s="2364"/>
      <c r="W258" s="2364"/>
      <c r="X258" s="1257"/>
      <c r="Y258" s="1257"/>
      <c r="Z258" s="1258"/>
    </row>
    <row r="259" spans="2:34">
      <c r="C259" s="2697"/>
      <c r="D259" s="2697"/>
      <c r="E259" s="2697"/>
      <c r="F259" s="2697"/>
      <c r="G259" s="2697"/>
      <c r="I259" s="2671"/>
      <c r="J259" s="2672"/>
      <c r="K259" s="2672"/>
      <c r="L259" s="2672"/>
      <c r="M259" s="2672"/>
      <c r="N259" s="2672"/>
      <c r="O259" s="2672"/>
      <c r="P259" s="2672"/>
      <c r="Q259" s="1258"/>
      <c r="R259" s="1258"/>
      <c r="S259" s="1258"/>
      <c r="T259" s="1258"/>
      <c r="U259" s="1332"/>
      <c r="V259" s="1332"/>
      <c r="W259" s="1332"/>
      <c r="X259" s="1257"/>
      <c r="Y259" s="1257"/>
      <c r="Z259" s="1258"/>
    </row>
    <row r="260" spans="2:34">
      <c r="B260" s="1885" t="s">
        <v>920</v>
      </c>
      <c r="C260" s="39"/>
      <c r="D260" s="39"/>
      <c r="E260" s="39"/>
      <c r="F260" s="39"/>
      <c r="G260" s="39"/>
      <c r="H260" s="39"/>
      <c r="I260" s="135">
        <v>2454</v>
      </c>
      <c r="J260" s="135">
        <v>3239</v>
      </c>
      <c r="K260" s="1244">
        <v>4710</v>
      </c>
      <c r="L260" s="697">
        <f t="shared" ref="L260:S260" si="141">SUM(L262:L264)</f>
        <v>3445</v>
      </c>
      <c r="M260" s="697">
        <f t="shared" si="141"/>
        <v>0</v>
      </c>
      <c r="N260" s="697">
        <f t="shared" si="141"/>
        <v>5800</v>
      </c>
      <c r="O260" s="697">
        <f t="shared" si="141"/>
        <v>5800</v>
      </c>
      <c r="P260" s="697">
        <f t="shared" si="141"/>
        <v>5800</v>
      </c>
      <c r="Q260" s="2676">
        <f t="shared" si="141"/>
        <v>0</v>
      </c>
      <c r="R260" s="2676">
        <f t="shared" si="141"/>
        <v>0</v>
      </c>
      <c r="S260" s="2676">
        <f t="shared" si="141"/>
        <v>0</v>
      </c>
      <c r="T260" s="2676"/>
      <c r="U260" s="879"/>
      <c r="V260" s="879">
        <f>SUM(V262:V264)</f>
        <v>5800</v>
      </c>
      <c r="W260" s="879">
        <f>SUM(W262:W264)</f>
        <v>5800</v>
      </c>
      <c r="X260" s="1259"/>
      <c r="Y260" s="1259">
        <f>SUM(Y262:Y264)</f>
        <v>0</v>
      </c>
      <c r="Z260" s="2676"/>
      <c r="AD260" s="1882"/>
    </row>
    <row r="261" spans="2:34">
      <c r="B261" s="1886" t="s">
        <v>932</v>
      </c>
      <c r="C261" s="2698"/>
      <c r="D261" s="2698"/>
      <c r="E261" s="2698"/>
      <c r="F261" s="2698"/>
      <c r="G261" s="2698"/>
      <c r="H261" s="819"/>
      <c r="I261" s="1255">
        <f>I260/I216</f>
        <v>0.10571417940490864</v>
      </c>
      <c r="J261" s="1255">
        <f>J260/PL!J9</f>
        <v>0.11685985700470634</v>
      </c>
      <c r="K261" s="1255">
        <f>K260/PL!K9</f>
        <v>0.15789261682104094</v>
      </c>
      <c r="L261" s="1255">
        <f>L260/PL!L9</f>
        <v>9.6614259034881037E-2</v>
      </c>
      <c r="M261" s="1255">
        <f>M260/PL!M9</f>
        <v>0</v>
      </c>
      <c r="N261" s="1255">
        <f>N260/PL!N9</f>
        <v>0.11022864669244632</v>
      </c>
      <c r="O261" s="1255">
        <f>O260/PL!O9</f>
        <v>9.2284990689558227E-2</v>
      </c>
      <c r="P261" s="1255">
        <f>P260/PL!P9</f>
        <v>8.261203295536429E-2</v>
      </c>
      <c r="Q261" s="2677"/>
      <c r="R261" s="2677"/>
      <c r="S261" s="2677"/>
      <c r="T261" s="2677"/>
      <c r="U261" s="1255"/>
      <c r="V261" s="1255" t="e">
        <f>V260/PL!U9</f>
        <v>#DIV/0!</v>
      </c>
      <c r="W261" s="1255" t="e">
        <f>W260/PL!#REF!</f>
        <v>#REF!</v>
      </c>
      <c r="X261" s="1262"/>
      <c r="Y261" s="1261"/>
      <c r="Z261" s="2677"/>
    </row>
    <row r="262" spans="2:34">
      <c r="B262" s="1887" t="s">
        <v>921</v>
      </c>
      <c r="C262" s="39"/>
      <c r="D262" s="39"/>
      <c r="E262" s="39"/>
      <c r="F262" s="39"/>
      <c r="G262" s="39"/>
      <c r="H262" s="39"/>
      <c r="I262" s="2678">
        <v>608</v>
      </c>
      <c r="J262" s="2678">
        <v>791</v>
      </c>
      <c r="K262" s="179">
        <v>1675</v>
      </c>
      <c r="L262" s="738">
        <v>878</v>
      </c>
      <c r="M262" s="738"/>
      <c r="N262" s="738">
        <v>1800</v>
      </c>
      <c r="O262" s="738">
        <v>1800</v>
      </c>
      <c r="P262" s="738">
        <v>1800</v>
      </c>
      <c r="Q262" s="2679"/>
      <c r="R262" s="2679"/>
      <c r="S262" s="2679"/>
      <c r="T262" s="2679"/>
      <c r="U262" s="737"/>
      <c r="V262" s="737">
        <v>1800</v>
      </c>
      <c r="W262" s="737">
        <v>1800</v>
      </c>
      <c r="X262" s="1569"/>
      <c r="Y262" s="1260"/>
      <c r="Z262" s="2679"/>
    </row>
    <row r="263" spans="2:34">
      <c r="B263" s="1887" t="s">
        <v>895</v>
      </c>
      <c r="C263" s="1888"/>
      <c r="D263" s="1888"/>
      <c r="E263" s="1888"/>
      <c r="F263" s="1888"/>
      <c r="G263" s="1888"/>
      <c r="H263" s="2699"/>
      <c r="I263" s="2678">
        <v>1603</v>
      </c>
      <c r="J263" s="2678">
        <v>1971</v>
      </c>
      <c r="K263" s="179">
        <v>2413</v>
      </c>
      <c r="L263" s="249">
        <v>2013</v>
      </c>
      <c r="M263" s="249"/>
      <c r="N263" s="249">
        <v>2300</v>
      </c>
      <c r="O263" s="249">
        <v>2300</v>
      </c>
      <c r="P263" s="249">
        <v>2300</v>
      </c>
      <c r="Q263" s="2680"/>
      <c r="R263" s="2680"/>
      <c r="S263" s="2680"/>
      <c r="T263" s="2680"/>
      <c r="U263" s="249"/>
      <c r="V263" s="249">
        <v>2300</v>
      </c>
      <c r="W263" s="249">
        <v>2300</v>
      </c>
      <c r="X263" s="1569"/>
      <c r="Y263" s="1260"/>
      <c r="Z263" s="2680"/>
      <c r="AD263" s="399"/>
    </row>
    <row r="264" spans="2:34">
      <c r="B264" s="1887" t="s">
        <v>1126</v>
      </c>
      <c r="C264" s="39"/>
      <c r="D264" s="39"/>
      <c r="E264" s="39"/>
      <c r="F264" s="39"/>
      <c r="G264" s="39"/>
      <c r="H264" s="2699"/>
      <c r="I264" s="2678">
        <v>243</v>
      </c>
      <c r="J264" s="2678">
        <v>477</v>
      </c>
      <c r="K264" s="179">
        <v>622</v>
      </c>
      <c r="L264" s="249">
        <v>554</v>
      </c>
      <c r="M264" s="249"/>
      <c r="N264" s="249">
        <v>1700</v>
      </c>
      <c r="O264" s="249">
        <v>1700</v>
      </c>
      <c r="P264" s="249">
        <v>1700</v>
      </c>
      <c r="Q264" s="1258"/>
      <c r="R264" s="1258"/>
      <c r="S264" s="1258"/>
      <c r="T264" s="1258"/>
      <c r="U264" s="249"/>
      <c r="V264" s="249">
        <v>1700</v>
      </c>
      <c r="W264" s="249">
        <v>1700</v>
      </c>
      <c r="X264" s="1569"/>
      <c r="Y264" s="1260"/>
      <c r="Z264" s="1258"/>
      <c r="AC264" s="248"/>
      <c r="AD264" s="36"/>
    </row>
    <row r="265" spans="2:34">
      <c r="B265" s="1885"/>
      <c r="C265" s="39"/>
      <c r="D265" s="39"/>
      <c r="E265" s="39"/>
      <c r="F265" s="39"/>
      <c r="G265" s="39"/>
      <c r="H265" s="2699"/>
      <c r="I265" s="2678"/>
      <c r="J265" s="2678"/>
      <c r="K265" s="1244"/>
      <c r="L265" s="249"/>
      <c r="M265" s="249"/>
      <c r="N265" s="249"/>
      <c r="O265" s="249"/>
      <c r="P265" s="249"/>
      <c r="Q265" s="1258"/>
      <c r="R265" s="1258"/>
      <c r="S265" s="1258"/>
      <c r="T265" s="1258"/>
      <c r="U265" s="249"/>
      <c r="V265" s="249"/>
      <c r="W265" s="249"/>
      <c r="X265" s="1260"/>
      <c r="Y265" s="1260"/>
      <c r="Z265" s="1258"/>
      <c r="AC265" s="248"/>
      <c r="AD265" s="247"/>
      <c r="AE265" s="247"/>
      <c r="AF265" s="247"/>
      <c r="AG265" s="247"/>
      <c r="AH265" s="247"/>
    </row>
    <row r="266" spans="2:34">
      <c r="B266" s="1889" t="s">
        <v>923</v>
      </c>
      <c r="C266" s="2700"/>
      <c r="D266" s="2700"/>
      <c r="E266" s="2700"/>
      <c r="F266" s="2700"/>
      <c r="G266" s="2700"/>
      <c r="H266" s="2701"/>
      <c r="I266" s="1891">
        <f t="shared" ref="I266:S266" si="142">SUM(I267:I269)</f>
        <v>1</v>
      </c>
      <c r="J266" s="1891">
        <f t="shared" si="142"/>
        <v>1</v>
      </c>
      <c r="K266" s="1891">
        <f t="shared" si="142"/>
        <v>1</v>
      </c>
      <c r="L266" s="1891">
        <f t="shared" si="142"/>
        <v>1</v>
      </c>
      <c r="M266" s="1891" t="e">
        <f t="shared" si="142"/>
        <v>#DIV/0!</v>
      </c>
      <c r="N266" s="1891">
        <f t="shared" si="142"/>
        <v>1</v>
      </c>
      <c r="O266" s="1891">
        <f t="shared" si="142"/>
        <v>1</v>
      </c>
      <c r="P266" s="1891">
        <f t="shared" si="142"/>
        <v>1</v>
      </c>
      <c r="Q266" s="2681">
        <f t="shared" si="142"/>
        <v>1</v>
      </c>
      <c r="R266" s="2681">
        <f t="shared" si="142"/>
        <v>1</v>
      </c>
      <c r="S266" s="2681">
        <f t="shared" si="142"/>
        <v>1</v>
      </c>
      <c r="T266" s="2681"/>
      <c r="U266" s="1891"/>
      <c r="V266" s="1891">
        <f>SUM(V267:V269)</f>
        <v>1</v>
      </c>
      <c r="W266" s="1891">
        <f>SUM(W267:W269)</f>
        <v>1</v>
      </c>
      <c r="X266" s="1892"/>
      <c r="Y266" s="1892" t="e">
        <f>SUM(Y267:Y269)</f>
        <v>#DIV/0!</v>
      </c>
      <c r="Z266" s="2681"/>
      <c r="AC266" s="248"/>
      <c r="AD266" s="789"/>
      <c r="AE266" s="789"/>
      <c r="AF266" s="2"/>
      <c r="AG266" s="2"/>
      <c r="AH266" s="2"/>
    </row>
    <row r="267" spans="2:34">
      <c r="B267" s="1890" t="s">
        <v>921</v>
      </c>
      <c r="C267" s="2700"/>
      <c r="D267" s="2700"/>
      <c r="E267" s="2700"/>
      <c r="F267" s="2700"/>
      <c r="G267" s="2700"/>
      <c r="H267" s="2700"/>
      <c r="I267" s="1893">
        <f t="shared" ref="I267:P269" si="143">I262/I$260</f>
        <v>0.24775876120619397</v>
      </c>
      <c r="J267" s="1893">
        <f t="shared" si="143"/>
        <v>0.24421117628897809</v>
      </c>
      <c r="K267" s="1893">
        <f t="shared" si="143"/>
        <v>0.35562632696390656</v>
      </c>
      <c r="L267" s="1893">
        <f t="shared" si="143"/>
        <v>0.25486211901306238</v>
      </c>
      <c r="M267" s="1893" t="e">
        <f t="shared" si="143"/>
        <v>#DIV/0!</v>
      </c>
      <c r="N267" s="1893">
        <f t="shared" si="143"/>
        <v>0.31034482758620691</v>
      </c>
      <c r="O267" s="1893">
        <f t="shared" si="143"/>
        <v>0.31034482758620691</v>
      </c>
      <c r="P267" s="1893">
        <f t="shared" si="143"/>
        <v>0.31034482758620691</v>
      </c>
      <c r="Q267" s="2682">
        <f t="shared" ref="Q267:S269" si="144">P267</f>
        <v>0.31034482758620691</v>
      </c>
      <c r="R267" s="2682">
        <f t="shared" si="144"/>
        <v>0.31034482758620691</v>
      </c>
      <c r="S267" s="2682">
        <f t="shared" si="144"/>
        <v>0.31034482758620691</v>
      </c>
      <c r="T267" s="2682"/>
      <c r="U267" s="1893"/>
      <c r="V267" s="1893">
        <f t="shared" ref="V267:W269" si="145">V262/V$260</f>
        <v>0.31034482758620691</v>
      </c>
      <c r="W267" s="1893">
        <f t="shared" si="145"/>
        <v>0.31034482758620691</v>
      </c>
      <c r="X267" s="1894"/>
      <c r="Y267" s="1894" t="e">
        <f>AVERAGE(M267:V267)</f>
        <v>#DIV/0!</v>
      </c>
      <c r="Z267" s="2682"/>
      <c r="AC267" s="248"/>
    </row>
    <row r="268" spans="2:34">
      <c r="B268" s="1890" t="s">
        <v>895</v>
      </c>
      <c r="C268" s="2700"/>
      <c r="D268" s="2700"/>
      <c r="E268" s="2700"/>
      <c r="F268" s="2700"/>
      <c r="G268" s="2700"/>
      <c r="H268" s="2700"/>
      <c r="I268" s="1893">
        <f t="shared" si="143"/>
        <v>0.65321923390383052</v>
      </c>
      <c r="J268" s="1893">
        <f t="shared" si="143"/>
        <v>0.60852114850262429</v>
      </c>
      <c r="K268" s="1893">
        <f t="shared" si="143"/>
        <v>0.51231422505307855</v>
      </c>
      <c r="L268" s="1893">
        <f t="shared" si="143"/>
        <v>0.58432510885341071</v>
      </c>
      <c r="M268" s="1893" t="e">
        <f t="shared" si="143"/>
        <v>#DIV/0!</v>
      </c>
      <c r="N268" s="1893">
        <f t="shared" si="143"/>
        <v>0.39655172413793105</v>
      </c>
      <c r="O268" s="1893">
        <f t="shared" si="143"/>
        <v>0.39655172413793105</v>
      </c>
      <c r="P268" s="1893">
        <f t="shared" si="143"/>
        <v>0.39655172413793105</v>
      </c>
      <c r="Q268" s="2682">
        <f t="shared" si="144"/>
        <v>0.39655172413793105</v>
      </c>
      <c r="R268" s="2682">
        <f t="shared" si="144"/>
        <v>0.39655172413793105</v>
      </c>
      <c r="S268" s="2682">
        <f t="shared" si="144"/>
        <v>0.39655172413793105</v>
      </c>
      <c r="T268" s="2682"/>
      <c r="U268" s="1893"/>
      <c r="V268" s="1893">
        <f t="shared" si="145"/>
        <v>0.39655172413793105</v>
      </c>
      <c r="W268" s="1893">
        <f t="shared" si="145"/>
        <v>0.39655172413793105</v>
      </c>
      <c r="X268" s="1894"/>
      <c r="Y268" s="1894" t="e">
        <f>AVERAGE(M268:V268)</f>
        <v>#DIV/0!</v>
      </c>
      <c r="Z268" s="2682"/>
    </row>
    <row r="269" spans="2:34">
      <c r="B269" s="1890" t="s">
        <v>922</v>
      </c>
      <c r="C269" s="2702"/>
      <c r="D269" s="2702"/>
      <c r="E269" s="2702"/>
      <c r="F269" s="2702"/>
      <c r="G269" s="2702"/>
      <c r="H269" s="2703"/>
      <c r="I269" s="1893">
        <f t="shared" si="143"/>
        <v>9.9022004889975548E-2</v>
      </c>
      <c r="J269" s="1893">
        <f t="shared" si="143"/>
        <v>0.14726767520839765</v>
      </c>
      <c r="K269" s="1893">
        <f t="shared" si="143"/>
        <v>0.13205944798301486</v>
      </c>
      <c r="L269" s="1893">
        <f t="shared" si="143"/>
        <v>0.16081277213352685</v>
      </c>
      <c r="M269" s="1893" t="e">
        <f t="shared" si="143"/>
        <v>#DIV/0!</v>
      </c>
      <c r="N269" s="1893">
        <f t="shared" si="143"/>
        <v>0.29310344827586204</v>
      </c>
      <c r="O269" s="1893">
        <f t="shared" si="143"/>
        <v>0.29310344827586204</v>
      </c>
      <c r="P269" s="1893">
        <f t="shared" si="143"/>
        <v>0.29310344827586204</v>
      </c>
      <c r="Q269" s="2682">
        <f t="shared" si="144"/>
        <v>0.29310344827586204</v>
      </c>
      <c r="R269" s="2682">
        <f t="shared" si="144"/>
        <v>0.29310344827586204</v>
      </c>
      <c r="S269" s="2682">
        <f t="shared" si="144"/>
        <v>0.29310344827586204</v>
      </c>
      <c r="T269" s="2682"/>
      <c r="U269" s="1893"/>
      <c r="V269" s="1893">
        <f t="shared" si="145"/>
        <v>0.29310344827586204</v>
      </c>
      <c r="W269" s="1893">
        <f t="shared" si="145"/>
        <v>0.29310344827586204</v>
      </c>
      <c r="X269" s="1894"/>
      <c r="Y269" s="1894" t="e">
        <f>AVERAGE(M269:V269)</f>
        <v>#DIV/0!</v>
      </c>
      <c r="Z269" s="2682"/>
    </row>
    <row r="270" spans="2:34">
      <c r="B270" s="1890"/>
      <c r="C270" s="2702"/>
      <c r="D270" s="2702"/>
      <c r="E270" s="2702"/>
      <c r="F270" s="2702"/>
      <c r="G270" s="2702"/>
      <c r="H270" s="2703"/>
      <c r="I270" s="1591"/>
      <c r="J270" s="1591"/>
      <c r="K270" s="1591"/>
      <c r="L270" s="1591"/>
      <c r="M270" s="1591"/>
      <c r="N270" s="1591"/>
      <c r="O270" s="1591"/>
      <c r="P270" s="1591"/>
      <c r="Q270" s="2683"/>
      <c r="R270" s="2683"/>
      <c r="S270" s="2683"/>
      <c r="T270" s="2683"/>
      <c r="U270" s="1591"/>
      <c r="V270" s="1591"/>
      <c r="W270" s="1591"/>
      <c r="X270" s="1592"/>
      <c r="Y270" s="1592"/>
      <c r="Z270" s="2683"/>
    </row>
    <row r="271" spans="2:34">
      <c r="B271" s="1889" t="s">
        <v>894</v>
      </c>
      <c r="C271" s="2702"/>
      <c r="D271" s="2702"/>
      <c r="E271" s="2702"/>
      <c r="F271" s="2702"/>
      <c r="G271" s="2702"/>
      <c r="H271" s="2701"/>
      <c r="I271" s="1891">
        <f t="shared" ref="I271:P271" si="146">SUM(I285,I299)/I260</f>
        <v>0.81896975080643841</v>
      </c>
      <c r="J271" s="1891">
        <f t="shared" si="146"/>
        <v>0.58275071411732016</v>
      </c>
      <c r="K271" s="1891">
        <f t="shared" si="146"/>
        <v>0.36260160964225047</v>
      </c>
      <c r="L271" s="1891">
        <f t="shared" si="146"/>
        <v>0.97166792452830164</v>
      </c>
      <c r="M271" s="1891" t="e">
        <f t="shared" si="146"/>
        <v>#DIV/0!</v>
      </c>
      <c r="N271" s="1891">
        <f t="shared" si="146"/>
        <v>0</v>
      </c>
      <c r="O271" s="1891">
        <f t="shared" si="146"/>
        <v>0</v>
      </c>
      <c r="P271" s="1891">
        <f t="shared" si="146"/>
        <v>0</v>
      </c>
      <c r="Q271" s="2684"/>
      <c r="R271" s="2684"/>
      <c r="S271" s="2684"/>
      <c r="T271" s="2684"/>
      <c r="U271" s="1891"/>
      <c r="V271" s="1891">
        <f>SUM(V285,V299)/V260</f>
        <v>0</v>
      </c>
      <c r="W271" s="1891">
        <f>SUM(W285,W299)/W260</f>
        <v>0</v>
      </c>
      <c r="X271" s="1895"/>
      <c r="Y271" s="1590"/>
      <c r="Z271" s="2684"/>
      <c r="AD271" s="248"/>
      <c r="AE271" s="248"/>
      <c r="AF271" s="248"/>
      <c r="AG271" s="248"/>
      <c r="AH271" s="248"/>
    </row>
    <row r="272" spans="2:34">
      <c r="B272" s="1885"/>
      <c r="C272" s="39"/>
      <c r="D272" s="39"/>
      <c r="E272" s="39"/>
      <c r="F272" s="39"/>
      <c r="G272" s="39"/>
      <c r="H272" s="2704"/>
      <c r="I272" s="2685"/>
      <c r="J272" s="2686"/>
      <c r="K272" s="2685"/>
      <c r="Q272" s="1258"/>
      <c r="R272" s="1258"/>
      <c r="S272" s="1258"/>
      <c r="T272" s="1258"/>
      <c r="X272" s="1258"/>
      <c r="Y272" s="1258"/>
      <c r="Z272" s="1258"/>
      <c r="AD272" s="1291"/>
      <c r="AE272" s="1291"/>
      <c r="AF272" s="1291"/>
      <c r="AG272" s="1291"/>
      <c r="AH272" s="1291"/>
    </row>
    <row r="273" spans="2:34">
      <c r="B273" s="1888" t="s">
        <v>935</v>
      </c>
      <c r="C273" s="1888"/>
      <c r="D273" s="1888"/>
      <c r="E273" s="1888"/>
      <c r="F273" s="1888"/>
      <c r="G273" s="1888"/>
      <c r="H273" s="2699"/>
      <c r="I273" s="1287">
        <f>-Data!R416</f>
        <v>2453.675554507</v>
      </c>
      <c r="J273" s="1287">
        <f>-Data!S416</f>
        <v>3233.069745365</v>
      </c>
      <c r="K273" s="1287">
        <f>-Data!T416</f>
        <v>3017.6453577130001</v>
      </c>
      <c r="L273" s="1287">
        <f>-Data!U416</f>
        <v>2911.0011727249998</v>
      </c>
      <c r="M273" s="1287">
        <f>-Data!V416</f>
        <v>3215.2432008710002</v>
      </c>
      <c r="N273" s="1287">
        <f>-Data!W416</f>
        <v>3978.2520822239999</v>
      </c>
      <c r="O273" s="1287">
        <f>-Data!X416</f>
        <v>3275.31</v>
      </c>
      <c r="P273" s="1287">
        <f>-Data!Y423</f>
        <v>11659.62</v>
      </c>
      <c r="Q273" s="1288">
        <f ca="1">PL!Q9*BS!Q274</f>
        <v>-3431.6764008253022</v>
      </c>
      <c r="R273" s="1288">
        <f ca="1">PL!R9*BS!R274</f>
        <v>5275.6016160000008</v>
      </c>
      <c r="S273" s="1288">
        <f ca="1">PL!S9*BS!S274</f>
        <v>6122.9391888000018</v>
      </c>
      <c r="T273" s="1288"/>
      <c r="U273" s="1287"/>
      <c r="V273" s="1287">
        <f>-Data!Z416</f>
        <v>0</v>
      </c>
      <c r="W273" s="1287">
        <f>-Data!AA416</f>
        <v>623.67468245600003</v>
      </c>
      <c r="X273" s="1288"/>
      <c r="Y273" s="1288">
        <f>PL!V9*BS!Y274</f>
        <v>3902.1227000000008</v>
      </c>
      <c r="Z273" s="1288"/>
      <c r="AD273" s="1883" t="s">
        <v>1122</v>
      </c>
      <c r="AE273" s="248"/>
      <c r="AF273" s="248"/>
      <c r="AG273" s="248"/>
      <c r="AH273" s="248"/>
    </row>
    <row r="274" spans="2:34">
      <c r="B274" s="1896" t="s">
        <v>932</v>
      </c>
      <c r="C274" s="819"/>
      <c r="D274" s="819"/>
      <c r="E274" s="819"/>
      <c r="F274" s="819"/>
      <c r="G274" s="819"/>
      <c r="H274" s="2705"/>
      <c r="I274" s="1897">
        <f t="shared" ref="I274:N274" si="147">G286</f>
        <v>0</v>
      </c>
      <c r="J274" s="1897">
        <f t="shared" si="147"/>
        <v>0</v>
      </c>
      <c r="K274" s="1897">
        <f t="shared" si="147"/>
        <v>5.2202763237077912E-2</v>
      </c>
      <c r="L274" s="1897">
        <f t="shared" si="147"/>
        <v>6.5991278067767112E-2</v>
      </c>
      <c r="M274" s="1897">
        <f t="shared" si="147"/>
        <v>5.5135039441661454E-2</v>
      </c>
      <c r="N274" s="1897">
        <f t="shared" si="147"/>
        <v>8.7927613513260672E-2</v>
      </c>
      <c r="O274" s="1897">
        <f>O273/Revenue!H10</f>
        <v>5.2113126491646775E-2</v>
      </c>
      <c r="P274" s="1897">
        <f>P273/Revenue!I10</f>
        <v>0.16629517642696182</v>
      </c>
      <c r="Q274" s="1655">
        <v>-0.06</v>
      </c>
      <c r="R274" s="1655">
        <v>0.08</v>
      </c>
      <c r="S274" s="1655">
        <v>0.08</v>
      </c>
      <c r="T274" s="1655"/>
      <c r="U274" s="1897"/>
      <c r="V274" s="1897">
        <f>N286</f>
        <v>0</v>
      </c>
      <c r="W274" s="1897">
        <f>O286</f>
        <v>0</v>
      </c>
      <c r="X274" s="1655"/>
      <c r="Y274" s="1655">
        <v>7.0000000000000007E-2</v>
      </c>
      <c r="Z274" s="1655"/>
    </row>
    <row r="275" spans="2:34">
      <c r="B275" s="1263"/>
      <c r="H275" s="1119"/>
      <c r="I275" s="1255">
        <f t="shared" ref="I275:P275" si="148">I273/I260</f>
        <v>0.99986778912265695</v>
      </c>
      <c r="J275" s="1255">
        <f t="shared" si="148"/>
        <v>0.99816910940568082</v>
      </c>
      <c r="K275" s="1255">
        <f t="shared" si="148"/>
        <v>0.64068903560785562</v>
      </c>
      <c r="L275" s="1255">
        <f t="shared" si="148"/>
        <v>0.84499308351959357</v>
      </c>
      <c r="M275" s="1255" t="e">
        <f t="shared" si="148"/>
        <v>#DIV/0!</v>
      </c>
      <c r="N275" s="1255">
        <f t="shared" si="148"/>
        <v>0.68590553141793098</v>
      </c>
      <c r="O275" s="1255">
        <f t="shared" si="148"/>
        <v>0.56470862068965522</v>
      </c>
      <c r="P275" s="1255">
        <f t="shared" si="148"/>
        <v>2.0102793103448278</v>
      </c>
      <c r="Q275" s="1262"/>
      <c r="R275" s="1262"/>
      <c r="S275" s="1262"/>
      <c r="T275" s="1262"/>
      <c r="U275" s="1255"/>
      <c r="V275" s="1255">
        <f>V273/V260</f>
        <v>0</v>
      </c>
      <c r="W275" s="1255">
        <f>W273/W260</f>
        <v>0.10753011766482759</v>
      </c>
      <c r="X275" s="1255"/>
      <c r="Y275" s="1262"/>
      <c r="Z275" s="1262"/>
    </row>
    <row r="276" spans="2:34">
      <c r="B276" s="1242"/>
      <c r="H276" s="250"/>
      <c r="I276" s="1254"/>
      <c r="J276" s="1254"/>
      <c r="K276" s="1254"/>
      <c r="L276" s="1254"/>
      <c r="M276" s="1254"/>
      <c r="N276" s="1254"/>
      <c r="O276" s="1254"/>
      <c r="P276" s="1254"/>
      <c r="Q276" s="1881"/>
      <c r="R276" s="1881"/>
      <c r="S276" s="1881"/>
      <c r="T276" s="1881"/>
      <c r="U276" s="1254"/>
      <c r="V276" s="1254"/>
      <c r="W276" s="1254"/>
      <c r="X276" s="1880"/>
      <c r="Y276" s="1881"/>
      <c r="Z276" s="1881"/>
    </row>
    <row r="277" spans="2:34">
      <c r="B277" s="1239" t="s">
        <v>1070</v>
      </c>
      <c r="H277" s="2706"/>
      <c r="I277" s="1243"/>
      <c r="J277" s="1243"/>
      <c r="K277" s="1243"/>
      <c r="L277" s="1243"/>
      <c r="M277" s="1243"/>
      <c r="N277" s="1243"/>
      <c r="O277" s="1243"/>
      <c r="P277" s="1243"/>
      <c r="Q277" s="1253"/>
      <c r="R277" s="1253"/>
      <c r="S277" s="1253"/>
      <c r="T277" s="1253"/>
      <c r="U277" s="1243"/>
      <c r="V277" s="1243"/>
      <c r="W277" s="1243"/>
      <c r="X277" s="1253"/>
      <c r="Y277" s="1253"/>
      <c r="Z277" s="1253"/>
    </row>
    <row r="278" spans="2:34">
      <c r="B278" s="3444"/>
      <c r="C278" s="3445"/>
      <c r="D278" s="3445"/>
      <c r="E278" s="3445"/>
      <c r="F278" s="3445"/>
      <c r="G278" s="3445"/>
      <c r="H278" s="3446"/>
      <c r="I278" s="3447"/>
      <c r="J278" s="3447"/>
      <c r="K278" s="3447"/>
      <c r="L278" s="3447"/>
      <c r="M278" s="3447"/>
      <c r="N278" s="3447"/>
      <c r="O278" s="3447"/>
      <c r="P278" s="3447"/>
      <c r="Q278" s="3448"/>
      <c r="R278" s="3448"/>
      <c r="S278" s="3448"/>
      <c r="T278" s="3448"/>
      <c r="U278" s="3447"/>
      <c r="V278" s="3447"/>
      <c r="W278" s="3447"/>
      <c r="X278" s="3448"/>
      <c r="Y278" s="3448"/>
      <c r="Z278" s="3448"/>
    </row>
    <row r="279" spans="2:34">
      <c r="B279" s="3443" t="s">
        <v>924</v>
      </c>
      <c r="I279" s="2687"/>
      <c r="J279" s="2688"/>
      <c r="K279" s="2688"/>
      <c r="L279" s="2688"/>
      <c r="M279" s="2688"/>
      <c r="N279" s="2688"/>
      <c r="O279" s="2688"/>
      <c r="P279" s="2688"/>
      <c r="Q279" s="1258"/>
      <c r="R279" s="1258"/>
      <c r="S279" s="1258"/>
      <c r="T279" s="1258"/>
      <c r="U279" s="2688"/>
      <c r="V279" s="2688"/>
      <c r="W279" s="2688"/>
      <c r="X279" s="1258"/>
      <c r="Y279" s="1258"/>
      <c r="Z279" s="1258"/>
    </row>
    <row r="280" spans="2:34">
      <c r="B280" s="1618" t="s">
        <v>1125</v>
      </c>
      <c r="C280" s="1447"/>
      <c r="D280" s="1447"/>
      <c r="E280" s="1447"/>
      <c r="F280" s="1447"/>
      <c r="G280" s="1447"/>
      <c r="H280" s="1447"/>
      <c r="I280" s="1619">
        <v>9471.9841476090005</v>
      </c>
      <c r="J280" s="1619">
        <v>11301.061772211</v>
      </c>
      <c r="K280" s="1619">
        <v>12945.762081818</v>
      </c>
      <c r="L280" s="1620">
        <f>L219</f>
        <v>16080.827716168</v>
      </c>
      <c r="M280" s="1620">
        <f>M219</f>
        <v>19007.982397112999</v>
      </c>
      <c r="N280" s="1620">
        <f>N219</f>
        <v>22288.96227819</v>
      </c>
      <c r="O280" s="1620">
        <f>O219</f>
        <v>24457.73</v>
      </c>
      <c r="P280" s="1620">
        <f>P219</f>
        <v>29148.692599137001</v>
      </c>
      <c r="Q280" s="1257">
        <f ca="1">SUM(P280,Q285)</f>
        <v>28800.984684486404</v>
      </c>
      <c r="R280" s="1257">
        <f ca="1">SUM(Q280,R285)</f>
        <v>30323.749475234697</v>
      </c>
      <c r="S280" s="1257">
        <f ca="1">SUM(R280,S285)</f>
        <v>29577.732689361219</v>
      </c>
      <c r="T280" s="1257"/>
      <c r="U280" s="1620"/>
      <c r="V280" s="1620" t="e">
        <f>V219</f>
        <v>#REF!</v>
      </c>
      <c r="W280" s="1620" t="e">
        <f>W219</f>
        <v>#REF!</v>
      </c>
      <c r="X280" s="1257"/>
      <c r="Y280" s="1257">
        <f>SUM(N280,Y285)</f>
        <v>26054.637906999349</v>
      </c>
      <c r="Z280" s="1257"/>
    </row>
    <row r="281" spans="2:34">
      <c r="B281" s="1629" t="s">
        <v>925</v>
      </c>
      <c r="I281" s="1619">
        <v>4264.8581975030002</v>
      </c>
      <c r="J281" s="1619">
        <v>5005.7999260010001</v>
      </c>
      <c r="K281" s="1619">
        <v>5726.0344757020002</v>
      </c>
      <c r="L281" s="1620">
        <f>-L220</f>
        <v>6819.8930171049997</v>
      </c>
      <c r="M281" s="1620">
        <f>-M220</f>
        <v>8293.7512585929999</v>
      </c>
      <c r="N281" s="1620">
        <f>-N220</f>
        <v>9906.8454029410004</v>
      </c>
      <c r="O281" s="1620">
        <f>-O220</f>
        <v>11683.17</v>
      </c>
      <c r="P281" s="1620">
        <f>-P220</f>
        <v>13762.875752849999</v>
      </c>
      <c r="Q281" s="1257">
        <f ca="1">P281+Q283</f>
        <v>16370.611230613053</v>
      </c>
      <c r="R281" s="1257">
        <f ca="1">Q281+R283</f>
        <v>18972.09953364078</v>
      </c>
      <c r="S281" s="1257">
        <f ca="1">R281+S283</f>
        <v>21607.764748883001</v>
      </c>
      <c r="T281" s="1257"/>
      <c r="U281" s="1620"/>
      <c r="V281" s="1620" t="e">
        <f>-V220</f>
        <v>#REF!</v>
      </c>
      <c r="W281" s="1620" t="e">
        <f>-W220</f>
        <v>#REF!</v>
      </c>
      <c r="X281" s="1257"/>
      <c r="Y281" s="1257">
        <f>N281+Y283</f>
        <v>12082.307411274522</v>
      </c>
      <c r="Z281" s="1257"/>
    </row>
    <row r="282" spans="2:34">
      <c r="B282" s="1616" t="s">
        <v>1124</v>
      </c>
      <c r="C282" s="1"/>
      <c r="D282" s="1"/>
      <c r="E282" s="1"/>
      <c r="F282" s="1"/>
      <c r="G282" s="1"/>
      <c r="H282" s="1"/>
      <c r="I282" s="1617">
        <f t="shared" ref="I282:S282" si="149">I280-I281</f>
        <v>5207.1259501060003</v>
      </c>
      <c r="J282" s="1617">
        <f t="shared" si="149"/>
        <v>6295.2618462099999</v>
      </c>
      <c r="K282" s="1617">
        <f t="shared" si="149"/>
        <v>7219.7276061160001</v>
      </c>
      <c r="L282" s="1617">
        <f t="shared" si="149"/>
        <v>9260.9346990630002</v>
      </c>
      <c r="M282" s="1617">
        <f t="shared" si="149"/>
        <v>10714.231138519999</v>
      </c>
      <c r="N282" s="1617">
        <f t="shared" si="149"/>
        <v>12382.116875248999</v>
      </c>
      <c r="O282" s="1617">
        <f t="shared" si="149"/>
        <v>12774.56</v>
      </c>
      <c r="P282" s="1617">
        <f t="shared" si="149"/>
        <v>15385.816846287002</v>
      </c>
      <c r="Q282" s="1643">
        <f t="shared" ca="1" si="149"/>
        <v>12430.373453873352</v>
      </c>
      <c r="R282" s="1643">
        <f t="shared" ca="1" si="149"/>
        <v>11351.649941593918</v>
      </c>
      <c r="S282" s="1643">
        <f t="shared" ca="1" si="149"/>
        <v>7969.9679404782182</v>
      </c>
      <c r="T282" s="1643"/>
      <c r="U282" s="1617"/>
      <c r="V282" s="1617" t="e">
        <f>V280-V281</f>
        <v>#REF!</v>
      </c>
      <c r="W282" s="1617" t="e">
        <f>W280-W281</f>
        <v>#REF!</v>
      </c>
      <c r="X282" s="1643"/>
      <c r="Y282" s="1643">
        <f>Y280-Y281</f>
        <v>13972.330495724827</v>
      </c>
      <c r="Z282" s="1643"/>
    </row>
    <row r="283" spans="2:34">
      <c r="B283" s="1621" t="s">
        <v>926</v>
      </c>
      <c r="C283" s="1622"/>
      <c r="D283" s="1622"/>
      <c r="E283" s="1622"/>
      <c r="F283" s="1622"/>
      <c r="G283" s="1622"/>
      <c r="H283" s="1622"/>
      <c r="I283" s="1623">
        <v>1005.505867992</v>
      </c>
      <c r="J283" s="1623">
        <v>1142.293244511</v>
      </c>
      <c r="K283" s="1623">
        <f>Data!AU191</f>
        <v>1276.6774888729999</v>
      </c>
      <c r="L283" s="1623">
        <f>Data!AV191</f>
        <v>1397.9858253540001</v>
      </c>
      <c r="M283" s="1623">
        <f>Data!AW191</f>
        <v>1593.8891857420001</v>
      </c>
      <c r="N283" s="1623">
        <f>Data!AX191</f>
        <v>1649.5559062909999</v>
      </c>
      <c r="O283" s="1623">
        <f>Data!AY191</f>
        <v>2045.99</v>
      </c>
      <c r="P283" s="1623">
        <f>Data!AZ191</f>
        <v>2358.79</v>
      </c>
      <c r="Q283" s="1624">
        <f ca="1">AVERAGE(P280:Q280)*Q284</f>
        <v>2607.735477763053</v>
      </c>
      <c r="R283" s="1624">
        <f ca="1">AVERAGE(Q280:R280)*R284</f>
        <v>2601.4883030277283</v>
      </c>
      <c r="S283" s="1624">
        <f ca="1">AVERAGE(R280:S280)*S284</f>
        <v>2635.6652152422203</v>
      </c>
      <c r="T283" s="1624"/>
      <c r="U283" s="1623"/>
      <c r="V283" s="1623" t="e">
        <f>#REF!</f>
        <v>#REF!</v>
      </c>
      <c r="W283" s="1623">
        <f>Data!AZ191</f>
        <v>2358.79</v>
      </c>
      <c r="X283" s="1624"/>
      <c r="Y283" s="1624">
        <f>AVERAGE(N280,Y280)*Y284</f>
        <v>2175.4620083335208</v>
      </c>
      <c r="Z283" s="1624"/>
    </row>
    <row r="284" spans="2:34">
      <c r="B284" s="1636" t="s">
        <v>927</v>
      </c>
      <c r="C284" s="1334"/>
      <c r="D284" s="1334"/>
      <c r="E284" s="1334"/>
      <c r="F284" s="1334"/>
      <c r="G284" s="1334"/>
      <c r="H284" s="1334"/>
      <c r="I284" s="3439">
        <v>0.11341043577808059</v>
      </c>
      <c r="J284" s="3439">
        <f t="shared" ref="J284:P284" si="150">J283/AVERAGE(I280:J280)</f>
        <v>0.10997840652931055</v>
      </c>
      <c r="K284" s="3439">
        <f t="shared" si="150"/>
        <v>0.10530678133836151</v>
      </c>
      <c r="L284" s="3439">
        <f t="shared" si="150"/>
        <v>9.6324496613859806E-2</v>
      </c>
      <c r="M284" s="3439">
        <f t="shared" si="150"/>
        <v>9.0848859257197684E-2</v>
      </c>
      <c r="N284" s="3439">
        <f t="shared" si="150"/>
        <v>7.9887551936862367E-2</v>
      </c>
      <c r="O284" s="3439">
        <f t="shared" si="150"/>
        <v>8.7535177369311809E-2</v>
      </c>
      <c r="P284" s="3439">
        <f t="shared" si="150"/>
        <v>8.8004007192898318E-2</v>
      </c>
      <c r="Q284" s="3440">
        <v>0.09</v>
      </c>
      <c r="R284" s="3440">
        <v>8.7999999999999995E-2</v>
      </c>
      <c r="S284" s="3440">
        <v>8.7999999999999995E-2</v>
      </c>
      <c r="T284" s="3440"/>
      <c r="U284" s="3439"/>
      <c r="V284" s="3439" t="e">
        <f ca="1">V283/AVERAGE(O280:V280)</f>
        <v>#REF!</v>
      </c>
      <c r="W284" s="3439" t="e">
        <f>W283/AVERAGE(V280:W280)</f>
        <v>#REF!</v>
      </c>
      <c r="X284" s="3440"/>
      <c r="Y284" s="3440">
        <v>0.09</v>
      </c>
      <c r="Z284" s="3440"/>
    </row>
    <row r="285" spans="2:34">
      <c r="B285" s="1625" t="s">
        <v>936</v>
      </c>
      <c r="C285" s="2707"/>
      <c r="D285" s="2707"/>
      <c r="E285" s="2707"/>
      <c r="F285" s="2707"/>
      <c r="G285" s="2707"/>
      <c r="H285" s="2707"/>
      <c r="I285" s="1626">
        <f t="shared" ref="I285:S285" si="151">SUM(I287:I288,I290)</f>
        <v>1211.8107684789998</v>
      </c>
      <c r="J285" s="1626">
        <f t="shared" si="151"/>
        <v>1829.077624602</v>
      </c>
      <c r="K285" s="1626">
        <f t="shared" si="151"/>
        <v>1644.7003096069998</v>
      </c>
      <c r="L285" s="1626">
        <f t="shared" si="151"/>
        <v>3135.2579999999994</v>
      </c>
      <c r="M285" s="3441">
        <f t="shared" si="151"/>
        <v>0</v>
      </c>
      <c r="N285" s="3441">
        <f t="shared" si="151"/>
        <v>0</v>
      </c>
      <c r="O285" s="3441">
        <f t="shared" si="151"/>
        <v>0</v>
      </c>
      <c r="P285" s="3441">
        <f t="shared" si="151"/>
        <v>0</v>
      </c>
      <c r="Q285" s="1627">
        <f t="shared" ca="1" si="151"/>
        <v>-347.70791465059688</v>
      </c>
      <c r="R285" s="1627">
        <f t="shared" ca="1" si="151"/>
        <v>1522.7647907482951</v>
      </c>
      <c r="S285" s="1627">
        <f t="shared" ca="1" si="151"/>
        <v>-746.01678587347897</v>
      </c>
      <c r="T285" s="1627"/>
      <c r="U285" s="3441"/>
      <c r="V285" s="3441">
        <f>SUM(V287:V288,V290)</f>
        <v>0</v>
      </c>
      <c r="W285" s="3441">
        <f>SUM(W287:W288,W290)</f>
        <v>0</v>
      </c>
      <c r="X285" s="1627"/>
      <c r="Y285" s="1627">
        <f>SUM(Y287:Y288,Y290)</f>
        <v>3765.6756288093497</v>
      </c>
      <c r="Z285" s="1627"/>
      <c r="AD285" s="1264" t="s">
        <v>1076</v>
      </c>
    </row>
    <row r="286" spans="2:34">
      <c r="B286" s="1636" t="s">
        <v>932</v>
      </c>
      <c r="C286" s="3442"/>
      <c r="D286" s="3442"/>
      <c r="E286" s="3442"/>
      <c r="F286" s="3442"/>
      <c r="G286" s="3442"/>
      <c r="H286" s="3442"/>
      <c r="I286" s="1637">
        <f>I285/PL!I9</f>
        <v>5.2202763237077912E-2</v>
      </c>
      <c r="J286" s="1637">
        <f>J285/PL!J9</f>
        <v>6.5991278067767112E-2</v>
      </c>
      <c r="K286" s="1637">
        <f>K285/PL!K9</f>
        <v>5.5135039441661454E-2</v>
      </c>
      <c r="L286" s="1637">
        <f>L285/PL!L9</f>
        <v>8.7927613513260672E-2</v>
      </c>
      <c r="M286" s="1637">
        <f>M285/PL!M9</f>
        <v>0</v>
      </c>
      <c r="N286" s="1637">
        <f>N285/PL!N9</f>
        <v>0</v>
      </c>
      <c r="O286" s="1637">
        <f>O285/PL!O9</f>
        <v>0</v>
      </c>
      <c r="P286" s="1637">
        <f>P285/PL!P9</f>
        <v>0</v>
      </c>
      <c r="Q286" s="1262">
        <f ca="1">Q285/PL!Q9</f>
        <v>-6.0793829144317E-3</v>
      </c>
      <c r="R286" s="1262">
        <f ca="1">R285/PL!R9</f>
        <v>2.3091429589831181E-2</v>
      </c>
      <c r="S286" s="1262">
        <f ca="1">S285/PL!S9</f>
        <v>-9.7471722369947156E-3</v>
      </c>
      <c r="T286" s="1262"/>
      <c r="U286" s="1637"/>
      <c r="V286" s="1637" t="e">
        <f>V285/PL!U9</f>
        <v>#DIV/0!</v>
      </c>
      <c r="W286" s="1637" t="e">
        <f>W285/PL!#REF!</f>
        <v>#REF!</v>
      </c>
      <c r="X286" s="1262"/>
      <c r="Y286" s="1262">
        <f>Y285/PL!V9</f>
        <v>6.755228225310661E-2</v>
      </c>
      <c r="Z286" s="1262"/>
    </row>
    <row r="287" spans="2:34">
      <c r="B287" s="1629" t="s">
        <v>1063</v>
      </c>
      <c r="I287" s="2689">
        <v>217.66993259099999</v>
      </c>
      <c r="J287" s="2690">
        <v>684.61288760500008</v>
      </c>
      <c r="K287" s="2690">
        <v>924.47273279599995</v>
      </c>
      <c r="L287" s="1245">
        <v>2253.4009999999998</v>
      </c>
      <c r="M287" s="2363"/>
      <c r="N287" s="2363"/>
      <c r="O287" s="2363"/>
      <c r="P287" s="2363"/>
      <c r="Q287" s="1630">
        <f>P227</f>
        <v>1604.9159574190001</v>
      </c>
      <c r="R287" s="1630">
        <f ca="1">Q227</f>
        <v>-1479.0525287557052</v>
      </c>
      <c r="S287" s="1630">
        <f ca="1">R227</f>
        <v>2273.7842964960005</v>
      </c>
      <c r="T287" s="1630"/>
      <c r="U287" s="2363"/>
      <c r="V287" s="2363"/>
      <c r="W287" s="2363"/>
      <c r="X287" s="1630"/>
      <c r="Y287" s="1630">
        <f>N227</f>
        <v>1315.2701360030001</v>
      </c>
      <c r="Z287" s="1630"/>
      <c r="AD287" s="1884" t="s">
        <v>1199</v>
      </c>
    </row>
    <row r="288" spans="2:34">
      <c r="B288" s="1629" t="s">
        <v>931</v>
      </c>
      <c r="I288" s="1619">
        <v>1612.568835888</v>
      </c>
      <c r="J288" s="1619">
        <v>2023.0837236809998</v>
      </c>
      <c r="K288" s="1619">
        <v>1670.096249192</v>
      </c>
      <c r="L288" s="1619">
        <v>1376.0609999999999</v>
      </c>
      <c r="M288" s="1619"/>
      <c r="N288" s="1619"/>
      <c r="O288" s="1619"/>
      <c r="P288" s="1619"/>
      <c r="Q288" s="1630">
        <f ca="1">Q273-Q227</f>
        <v>-1952.6238720695969</v>
      </c>
      <c r="R288" s="1630">
        <f ca="1">R273-R227</f>
        <v>3001.8173195040004</v>
      </c>
      <c r="S288" s="1630">
        <f ca="1">S273-S227</f>
        <v>-3019.8010823694794</v>
      </c>
      <c r="T288" s="1630"/>
      <c r="U288" s="1619"/>
      <c r="V288" s="1619"/>
      <c r="W288" s="1619"/>
      <c r="X288" s="1630"/>
      <c r="Y288" s="1630">
        <f>Y273-Y227</f>
        <v>2450.4054928063497</v>
      </c>
      <c r="Z288" s="1630"/>
      <c r="AD288" s="1884" t="s">
        <v>1123</v>
      </c>
    </row>
    <row r="289" spans="2:37">
      <c r="B289" s="1631" t="s">
        <v>932</v>
      </c>
      <c r="I289" s="1255">
        <f>I288/PL!I9</f>
        <v>6.9466744588357263E-2</v>
      </c>
      <c r="J289" s="1255">
        <f>J288/PL!J9</f>
        <v>7.2990822679194337E-2</v>
      </c>
      <c r="K289" s="1255">
        <f>K288/PL!K9</f>
        <v>5.5986383678966065E-2</v>
      </c>
      <c r="L289" s="1255">
        <f>L288/PL!L9</f>
        <v>3.8591324790071824E-2</v>
      </c>
      <c r="M289" s="1255">
        <f>M288/PL!M9</f>
        <v>0</v>
      </c>
      <c r="N289" s="1255">
        <f>N288/PL!N9</f>
        <v>0</v>
      </c>
      <c r="O289" s="1255">
        <f>O288/PL!O9</f>
        <v>0</v>
      </c>
      <c r="P289" s="1255">
        <f>P288/PL!P9</f>
        <v>0</v>
      </c>
      <c r="Q289" s="1286">
        <f ca="1">Q288/PL!Q9</f>
        <v>-3.4139999999999997E-2</v>
      </c>
      <c r="R289" s="1286">
        <f ca="1">R288/PL!R9</f>
        <v>4.5519999999999998E-2</v>
      </c>
      <c r="S289" s="1286">
        <f ca="1">S288/PL!S9</f>
        <v>-3.9455575033549371E-2</v>
      </c>
      <c r="T289" s="1286"/>
      <c r="U289" s="1255"/>
      <c r="V289" s="1255" t="e">
        <f>V288/PL!U9</f>
        <v>#DIV/0!</v>
      </c>
      <c r="W289" s="1255" t="e">
        <f>W288/PL!#REF!</f>
        <v>#REF!</v>
      </c>
      <c r="X289" s="1286"/>
      <c r="Y289" s="1286">
        <f>Y288/PL!V9</f>
        <v>4.3957711656900093E-2</v>
      </c>
      <c r="Z289" s="1286"/>
    </row>
    <row r="290" spans="2:37">
      <c r="B290" s="1629" t="s">
        <v>930</v>
      </c>
      <c r="I290" s="1619">
        <v>-618.428</v>
      </c>
      <c r="J290" s="1619">
        <v>-878.61898668399988</v>
      </c>
      <c r="K290" s="1619">
        <v>-949.86867238100001</v>
      </c>
      <c r="L290" s="369">
        <f>-31.086-463.118</f>
        <v>-494.20400000000001</v>
      </c>
      <c r="M290" s="369"/>
      <c r="N290" s="369"/>
      <c r="O290" s="369"/>
      <c r="P290" s="369"/>
      <c r="Q290" s="1257"/>
      <c r="R290" s="1257"/>
      <c r="S290" s="1257"/>
      <c r="T290" s="1257"/>
      <c r="U290" s="369"/>
      <c r="V290" s="369"/>
      <c r="W290" s="369"/>
      <c r="X290" s="1257"/>
      <c r="Y290" s="1257"/>
      <c r="Z290" s="1257"/>
    </row>
    <row r="291" spans="2:37">
      <c r="B291" s="1632" t="s">
        <v>928</v>
      </c>
      <c r="C291" s="3438"/>
      <c r="D291" s="3438"/>
      <c r="E291" s="3438"/>
      <c r="F291" s="3438"/>
      <c r="G291" s="3438"/>
      <c r="H291" s="3438"/>
      <c r="I291" s="1633">
        <v>-7.486864452370727E-2</v>
      </c>
      <c r="J291" s="1633">
        <f t="shared" ref="J291:P291" si="152">J290/I280</f>
        <v>-9.2759761100929247E-2</v>
      </c>
      <c r="K291" s="1633">
        <f t="shared" si="152"/>
        <v>-8.4051276908927344E-2</v>
      </c>
      <c r="L291" s="1633">
        <f t="shared" si="152"/>
        <v>-3.8174963889850658E-2</v>
      </c>
      <c r="M291" s="1633">
        <f t="shared" si="152"/>
        <v>0</v>
      </c>
      <c r="N291" s="1633">
        <f t="shared" si="152"/>
        <v>0</v>
      </c>
      <c r="O291" s="1633">
        <f t="shared" si="152"/>
        <v>0</v>
      </c>
      <c r="P291" s="1633">
        <f t="shared" si="152"/>
        <v>0</v>
      </c>
      <c r="Q291" s="1634"/>
      <c r="R291" s="1634"/>
      <c r="S291" s="1634"/>
      <c r="T291" s="1634"/>
      <c r="U291" s="1633"/>
      <c r="V291" s="1633">
        <f>V290/O280</f>
        <v>0</v>
      </c>
      <c r="W291" s="1633" t="e">
        <f>W290/V280</f>
        <v>#REF!</v>
      </c>
      <c r="X291" s="1634"/>
      <c r="Y291" s="1634"/>
      <c r="Z291" s="1634"/>
    </row>
    <row r="292" spans="2:37">
      <c r="B292" s="3449"/>
      <c r="C292" s="3450"/>
      <c r="D292" s="3450"/>
      <c r="E292" s="3450"/>
      <c r="F292" s="3450"/>
      <c r="G292" s="3450"/>
      <c r="H292" s="3450"/>
      <c r="I292" s="3451"/>
      <c r="J292" s="3451"/>
      <c r="K292" s="3451"/>
      <c r="L292" s="3452"/>
      <c r="M292" s="3452"/>
      <c r="N292" s="3452"/>
      <c r="O292" s="3452"/>
      <c r="P292" s="3452"/>
      <c r="Q292" s="3453"/>
      <c r="R292" s="3453"/>
      <c r="S292" s="3453"/>
      <c r="T292" s="3453"/>
      <c r="U292" s="3452"/>
      <c r="V292" s="3452"/>
      <c r="W292" s="3452"/>
      <c r="X292" s="3454"/>
      <c r="Y292" s="3454"/>
      <c r="Z292" s="3453"/>
    </row>
    <row r="293" spans="2:37">
      <c r="B293" s="3443" t="s">
        <v>929</v>
      </c>
      <c r="I293" s="2691"/>
      <c r="J293" s="2691"/>
      <c r="K293" s="2692"/>
      <c r="L293" s="734"/>
      <c r="M293" s="734"/>
      <c r="N293" s="734"/>
      <c r="O293" s="734"/>
      <c r="P293" s="734"/>
      <c r="Q293" s="1258"/>
      <c r="R293" s="1258"/>
      <c r="S293" s="1258"/>
      <c r="T293" s="1258"/>
      <c r="U293" s="734"/>
      <c r="V293" s="734"/>
      <c r="W293" s="734"/>
      <c r="X293" s="1258"/>
      <c r="Y293" s="1258"/>
      <c r="Z293" s="1258"/>
    </row>
    <row r="294" spans="2:37">
      <c r="B294" s="1618" t="s">
        <v>1125</v>
      </c>
      <c r="C294" s="1447"/>
      <c r="D294" s="1447"/>
      <c r="E294" s="1447"/>
      <c r="F294" s="1447"/>
      <c r="G294" s="1447"/>
      <c r="H294" s="1447"/>
      <c r="I294" s="1619">
        <v>1915.362421263</v>
      </c>
      <c r="J294" s="1619">
        <v>1973.814359687</v>
      </c>
      <c r="K294" s="1619">
        <v>2036.9676314950002</v>
      </c>
      <c r="L294" s="1620">
        <f>L222</f>
        <v>2249.1066470109999</v>
      </c>
      <c r="M294" s="1620">
        <f>M222</f>
        <v>2547.8833247849998</v>
      </c>
      <c r="N294" s="1620">
        <f>N222</f>
        <v>2595.5867322469999</v>
      </c>
      <c r="O294" s="1620">
        <f>O222</f>
        <v>3656.3</v>
      </c>
      <c r="P294" s="1620">
        <f>P222</f>
        <v>3868.884070908</v>
      </c>
      <c r="Q294" s="1257">
        <f>P294+Q299</f>
        <v>3868.884070908</v>
      </c>
      <c r="R294" s="1257">
        <f>Q294+R299</f>
        <v>3868.884070908</v>
      </c>
      <c r="S294" s="1257">
        <f>R294+S299</f>
        <v>3868.884070908</v>
      </c>
      <c r="T294" s="1257"/>
      <c r="U294" s="1620"/>
      <c r="V294" s="1620" t="e">
        <f>V222</f>
        <v>#REF!</v>
      </c>
      <c r="W294" s="1620" t="e">
        <f>W222</f>
        <v>#REF!</v>
      </c>
      <c r="X294" s="1257"/>
      <c r="Y294" s="1257">
        <f>N294+Y299</f>
        <v>2595.5867322469999</v>
      </c>
      <c r="Z294" s="1257"/>
      <c r="AD294" s="1447" t="s">
        <v>1129</v>
      </c>
    </row>
    <row r="295" spans="2:37">
      <c r="B295" s="1629" t="s">
        <v>925</v>
      </c>
      <c r="I295" s="1619">
        <v>611.77738650799995</v>
      </c>
      <c r="J295" s="1619">
        <v>779.75333762499997</v>
      </c>
      <c r="K295" s="1619">
        <v>941.59862726300003</v>
      </c>
      <c r="L295" s="1620">
        <f>-L223</f>
        <v>1116.0465891639999</v>
      </c>
      <c r="M295" s="1620">
        <f>-M223</f>
        <v>1260.8231348310001</v>
      </c>
      <c r="N295" s="1620">
        <f>-N223</f>
        <v>1338.4895908139999</v>
      </c>
      <c r="O295" s="1620">
        <f>-O223</f>
        <v>1616.78</v>
      </c>
      <c r="P295" s="1620">
        <f>-P223</f>
        <v>1925.9445232149999</v>
      </c>
      <c r="Q295" s="1257">
        <f>P295+Q297</f>
        <v>2025.2533427656574</v>
      </c>
      <c r="R295" s="1257">
        <f>Q295+R297</f>
        <v>2124.5621623163147</v>
      </c>
      <c r="S295" s="1257">
        <f>R295+S297</f>
        <v>2223.8709818669722</v>
      </c>
      <c r="T295" s="1257"/>
      <c r="U295" s="1620"/>
      <c r="V295" s="1620" t="e">
        <f>-V223</f>
        <v>#REF!</v>
      </c>
      <c r="W295" s="1620" t="e">
        <f>-W223</f>
        <v>#REF!</v>
      </c>
      <c r="X295" s="1257"/>
      <c r="Y295" s="1257">
        <f>N295+Y297</f>
        <v>1368.7305333436266</v>
      </c>
      <c r="Z295" s="1257"/>
    </row>
    <row r="296" spans="2:37">
      <c r="B296" s="1616" t="s">
        <v>1124</v>
      </c>
      <c r="C296" s="1"/>
      <c r="D296" s="1"/>
      <c r="E296" s="1"/>
      <c r="F296" s="1"/>
      <c r="G296" s="1"/>
      <c r="H296" s="1"/>
      <c r="I296" s="1617">
        <f t="shared" ref="I296:S296" si="153">I294-I295</f>
        <v>1303.5850347549999</v>
      </c>
      <c r="J296" s="1617">
        <f t="shared" si="153"/>
        <v>1194.0610220620001</v>
      </c>
      <c r="K296" s="1617">
        <f t="shared" si="153"/>
        <v>1095.3690042320002</v>
      </c>
      <c r="L296" s="1617">
        <f t="shared" si="153"/>
        <v>1133.0600578470001</v>
      </c>
      <c r="M296" s="1617">
        <f t="shared" si="153"/>
        <v>1287.0601899539997</v>
      </c>
      <c r="N296" s="1617">
        <f t="shared" si="153"/>
        <v>1257.0971414329999</v>
      </c>
      <c r="O296" s="1617">
        <f t="shared" si="153"/>
        <v>2039.5200000000002</v>
      </c>
      <c r="P296" s="1617">
        <f t="shared" si="153"/>
        <v>1942.9395476930001</v>
      </c>
      <c r="Q296" s="1643">
        <f t="shared" si="153"/>
        <v>1843.6307281423426</v>
      </c>
      <c r="R296" s="1643">
        <f t="shared" si="153"/>
        <v>1744.3219085916853</v>
      </c>
      <c r="S296" s="1643">
        <f t="shared" si="153"/>
        <v>1645.0130890410278</v>
      </c>
      <c r="T296" s="1643"/>
      <c r="U296" s="1617"/>
      <c r="V296" s="1617" t="e">
        <f>V294-V295</f>
        <v>#REF!</v>
      </c>
      <c r="W296" s="1617" t="e">
        <f>W294-W295</f>
        <v>#REF!</v>
      </c>
      <c r="X296" s="1643"/>
      <c r="Y296" s="1643">
        <f>Y294-Y295</f>
        <v>1226.8561989033733</v>
      </c>
      <c r="Z296" s="1643"/>
    </row>
    <row r="297" spans="2:37">
      <c r="B297" s="1621" t="s">
        <v>933</v>
      </c>
      <c r="C297" s="1622"/>
      <c r="D297" s="1622"/>
      <c r="E297" s="1622"/>
      <c r="F297" s="1622"/>
      <c r="G297" s="1622"/>
      <c r="H297" s="1622"/>
      <c r="I297" s="1623"/>
      <c r="J297" s="1623">
        <f t="shared" ref="J297:P297" si="154">I296-J296</f>
        <v>109.5240126929998</v>
      </c>
      <c r="K297" s="1623">
        <f t="shared" si="154"/>
        <v>98.692017829999941</v>
      </c>
      <c r="L297" s="1623">
        <f t="shared" si="154"/>
        <v>-37.691053614999873</v>
      </c>
      <c r="M297" s="1623">
        <f t="shared" si="154"/>
        <v>-154.00013210699967</v>
      </c>
      <c r="N297" s="1623">
        <f t="shared" si="154"/>
        <v>29.963048520999791</v>
      </c>
      <c r="O297" s="1623">
        <f t="shared" si="154"/>
        <v>-782.42285856700028</v>
      </c>
      <c r="P297" s="1623">
        <f t="shared" si="154"/>
        <v>96.580452307000087</v>
      </c>
      <c r="Q297" s="1624">
        <f>AVERAGE(P294:Q294)*Q298</f>
        <v>99.308819550657503</v>
      </c>
      <c r="R297" s="1624">
        <f>AVERAGE(Q294:R294)*R298</f>
        <v>99.308819550657503</v>
      </c>
      <c r="S297" s="1624">
        <f>AVERAGE(R294:S294)*S298</f>
        <v>99.308819550657503</v>
      </c>
      <c r="T297" s="1624"/>
      <c r="U297" s="1623"/>
      <c r="V297" s="1623" t="e">
        <f>O296-V296</f>
        <v>#REF!</v>
      </c>
      <c r="W297" s="1623" t="e">
        <f>V296-W296</f>
        <v>#REF!</v>
      </c>
      <c r="X297" s="1624"/>
      <c r="Y297" s="1624">
        <f>AVERAGE(Y294,N294)*Y298</f>
        <v>30.240942529626668</v>
      </c>
      <c r="Z297" s="1624"/>
    </row>
    <row r="298" spans="2:37">
      <c r="B298" s="1628" t="s">
        <v>927</v>
      </c>
      <c r="I298" s="1635">
        <v>0.10056367825250424</v>
      </c>
      <c r="J298" s="1635">
        <f t="shared" ref="J298:P298" si="155">J297/AVERAGE(I294:J294)</f>
        <v>5.6322465581647663E-2</v>
      </c>
      <c r="K298" s="1635">
        <f t="shared" si="155"/>
        <v>4.9213354426633819E-2</v>
      </c>
      <c r="L298" s="1635">
        <f t="shared" si="155"/>
        <v>-1.7587681018042398E-2</v>
      </c>
      <c r="M298" s="1635">
        <f t="shared" si="155"/>
        <v>-6.4206985218833723E-2</v>
      </c>
      <c r="N298" s="1635">
        <f t="shared" si="155"/>
        <v>1.1650908117968024E-2</v>
      </c>
      <c r="O298" s="1635">
        <f t="shared" si="155"/>
        <v>-0.25029975496238349</v>
      </c>
      <c r="P298" s="1635">
        <f t="shared" si="155"/>
        <v>2.5668595318585088E-2</v>
      </c>
      <c r="Q298" s="1638">
        <f>P298</f>
        <v>2.5668595318585088E-2</v>
      </c>
      <c r="R298" s="1638">
        <f>Q298</f>
        <v>2.5668595318585088E-2</v>
      </c>
      <c r="S298" s="1638">
        <f>R298</f>
        <v>2.5668595318585088E-2</v>
      </c>
      <c r="T298" s="1638"/>
      <c r="U298" s="1635"/>
      <c r="V298" s="1635" t="e">
        <f>V297/AVERAGE(O294:V294)</f>
        <v>#REF!</v>
      </c>
      <c r="W298" s="1635" t="e">
        <f>W297/AVERAGE(V294:W294)</f>
        <v>#REF!</v>
      </c>
      <c r="X298" s="1638"/>
      <c r="Y298" s="1638">
        <f>N298</f>
        <v>1.1650908117968024E-2</v>
      </c>
      <c r="Z298" s="1638"/>
    </row>
    <row r="299" spans="2:37">
      <c r="B299" s="1625" t="s">
        <v>936</v>
      </c>
      <c r="C299" s="2707"/>
      <c r="D299" s="2707"/>
      <c r="E299" s="2707"/>
      <c r="F299" s="2707"/>
      <c r="G299" s="2707"/>
      <c r="H299" s="2707"/>
      <c r="I299" s="1626">
        <f t="shared" ref="I299:S299" si="156">SUM(I301:I302,I304)</f>
        <v>797.94100000000003</v>
      </c>
      <c r="J299" s="1626">
        <f t="shared" si="156"/>
        <v>58.451938423999991</v>
      </c>
      <c r="K299" s="1626">
        <f t="shared" si="156"/>
        <v>63.153271808</v>
      </c>
      <c r="L299" s="1626">
        <f t="shared" si="156"/>
        <v>212.13800000000001</v>
      </c>
      <c r="M299" s="1626">
        <f t="shared" si="156"/>
        <v>0</v>
      </c>
      <c r="N299" s="1626">
        <f t="shared" si="156"/>
        <v>0</v>
      </c>
      <c r="O299" s="1626">
        <f t="shared" si="156"/>
        <v>0</v>
      </c>
      <c r="P299" s="1626">
        <f t="shared" si="156"/>
        <v>0</v>
      </c>
      <c r="Q299" s="1627">
        <f t="shared" si="156"/>
        <v>0</v>
      </c>
      <c r="R299" s="1627">
        <f t="shared" si="156"/>
        <v>0</v>
      </c>
      <c r="S299" s="1627">
        <f t="shared" si="156"/>
        <v>0</v>
      </c>
      <c r="T299" s="1627"/>
      <c r="U299" s="1626"/>
      <c r="V299" s="1626">
        <f>SUM(V301:V302,V304)</f>
        <v>0</v>
      </c>
      <c r="W299" s="1626">
        <f>SUM(W301:W302,W304)</f>
        <v>0</v>
      </c>
      <c r="X299" s="1627"/>
      <c r="Y299" s="1627">
        <f>SUM(Y301:Y302,Y304)</f>
        <v>0</v>
      </c>
      <c r="Z299" s="1627"/>
      <c r="AD299" s="249">
        <f>M296-N296</f>
        <v>29.963048520999791</v>
      </c>
      <c r="AJ299" s="6">
        <f>1198</f>
        <v>1198</v>
      </c>
      <c r="AK299" s="6">
        <v>989</v>
      </c>
    </row>
    <row r="300" spans="2:37">
      <c r="B300" s="1628" t="s">
        <v>932</v>
      </c>
      <c r="C300" s="1"/>
      <c r="D300" s="1"/>
      <c r="E300" s="1"/>
      <c r="F300" s="1"/>
      <c r="G300" s="1"/>
      <c r="H300" s="1"/>
      <c r="I300" s="1255">
        <f>I299/PL!I9</f>
        <v>3.4373951926867242E-2</v>
      </c>
      <c r="J300" s="1255">
        <f>J299/PL!J9</f>
        <v>2.1088870533734296E-3</v>
      </c>
      <c r="K300" s="1255">
        <f>K299/PL!K9</f>
        <v>2.1170775682750726E-3</v>
      </c>
      <c r="L300" s="1255">
        <f>L299/PL!L9</f>
        <v>5.9493630430019146E-3</v>
      </c>
      <c r="M300" s="1255">
        <f>M299/PL!M9</f>
        <v>0</v>
      </c>
      <c r="N300" s="1255">
        <f>N299/PL!N9</f>
        <v>0</v>
      </c>
      <c r="O300" s="1255">
        <f>O299/PL!O9</f>
        <v>0</v>
      </c>
      <c r="P300" s="1255">
        <f>P299/PL!P9</f>
        <v>0</v>
      </c>
      <c r="Q300" s="1262">
        <f ca="1">Q299/PL!Q9</f>
        <v>0</v>
      </c>
      <c r="R300" s="1262">
        <f ca="1">R299/PL!R9</f>
        <v>0</v>
      </c>
      <c r="S300" s="1262">
        <f ca="1">S299/PL!S9</f>
        <v>0</v>
      </c>
      <c r="T300" s="1262"/>
      <c r="U300" s="1255"/>
      <c r="V300" s="1255" t="e">
        <f>V299/PL!U9</f>
        <v>#DIV/0!</v>
      </c>
      <c r="W300" s="1255" t="e">
        <f>W299/PL!#REF!</f>
        <v>#REF!</v>
      </c>
      <c r="X300" s="1262"/>
      <c r="Y300" s="1262">
        <f>Y299/PL!V9</f>
        <v>0</v>
      </c>
      <c r="Z300" s="1262"/>
      <c r="AJ300" s="6">
        <f>1318</f>
        <v>1318</v>
      </c>
      <c r="AK300" s="6">
        <v>1784</v>
      </c>
    </row>
    <row r="301" spans="2:37">
      <c r="B301" s="1629" t="s">
        <v>1063</v>
      </c>
      <c r="I301" s="2689">
        <v>285.42700000000002</v>
      </c>
      <c r="J301" s="2690">
        <v>31.339175061999999</v>
      </c>
      <c r="K301" s="2689">
        <v>23.834388117</v>
      </c>
      <c r="L301" s="1246">
        <v>100.536</v>
      </c>
      <c r="M301" s="1246"/>
      <c r="N301" s="1246"/>
      <c r="O301" s="1246"/>
      <c r="P301" s="1246"/>
      <c r="Q301" s="1630">
        <v>0</v>
      </c>
      <c r="R301" s="1630">
        <v>0</v>
      </c>
      <c r="S301" s="1630">
        <v>0</v>
      </c>
      <c r="T301" s="1630"/>
      <c r="U301" s="1246"/>
      <c r="V301" s="1246"/>
      <c r="W301" s="1246"/>
      <c r="X301" s="1630"/>
      <c r="Y301" s="1630">
        <v>0</v>
      </c>
      <c r="Z301" s="1630"/>
      <c r="AJ301" s="6">
        <f>401</f>
        <v>401</v>
      </c>
      <c r="AK301" s="6">
        <v>473</v>
      </c>
    </row>
    <row r="302" spans="2:37">
      <c r="B302" s="1629" t="s">
        <v>931</v>
      </c>
      <c r="I302" s="1619">
        <v>512.51400000000001</v>
      </c>
      <c r="J302" s="1619">
        <v>120.83172723999999</v>
      </c>
      <c r="K302" s="1619">
        <v>62.353025201999998</v>
      </c>
      <c r="L302" s="1619">
        <v>110.375</v>
      </c>
      <c r="M302" s="1619"/>
      <c r="N302" s="1619"/>
      <c r="O302" s="1619"/>
      <c r="P302" s="1619"/>
      <c r="Q302" s="1630">
        <f>P302</f>
        <v>0</v>
      </c>
      <c r="R302" s="1630">
        <f>Q302</f>
        <v>0</v>
      </c>
      <c r="S302" s="1630">
        <f>R302</f>
        <v>0</v>
      </c>
      <c r="T302" s="1630"/>
      <c r="U302" s="1619"/>
      <c r="V302" s="1619"/>
      <c r="W302" s="1619"/>
      <c r="X302" s="1630"/>
      <c r="Y302" s="1630">
        <f>N302</f>
        <v>0</v>
      </c>
      <c r="Z302" s="1630"/>
      <c r="AJ302" s="6">
        <f>SUM(AJ299:AJ301)</f>
        <v>2917</v>
      </c>
      <c r="AK302" s="6">
        <f>SUM(AK299:AK301)</f>
        <v>3246</v>
      </c>
    </row>
    <row r="303" spans="2:37">
      <c r="B303" s="1631" t="s">
        <v>932</v>
      </c>
      <c r="I303" s="1255">
        <v>0.45865859015896632</v>
      </c>
      <c r="J303" s="1255">
        <f t="shared" ref="J303:S303" si="157">J302/I294</f>
        <v>6.3085568505788545E-2</v>
      </c>
      <c r="K303" s="1255">
        <f t="shared" si="157"/>
        <v>3.159011631260384E-2</v>
      </c>
      <c r="L303" s="1255">
        <f t="shared" si="157"/>
        <v>5.4185937122128942E-2</v>
      </c>
      <c r="M303" s="1255">
        <f t="shared" si="157"/>
        <v>0</v>
      </c>
      <c r="N303" s="1255">
        <f t="shared" si="157"/>
        <v>0</v>
      </c>
      <c r="O303" s="1255">
        <f t="shared" si="157"/>
        <v>0</v>
      </c>
      <c r="P303" s="1255">
        <f t="shared" si="157"/>
        <v>0</v>
      </c>
      <c r="Q303" s="1262">
        <f t="shared" si="157"/>
        <v>0</v>
      </c>
      <c r="R303" s="1262">
        <f t="shared" si="157"/>
        <v>0</v>
      </c>
      <c r="S303" s="1262">
        <f t="shared" si="157"/>
        <v>0</v>
      </c>
      <c r="T303" s="1262"/>
      <c r="U303" s="1255"/>
      <c r="V303" s="1255">
        <f>V302/O294</f>
        <v>0</v>
      </c>
      <c r="W303" s="1255" t="e">
        <f>W302/V294</f>
        <v>#REF!</v>
      </c>
      <c r="X303" s="1262"/>
      <c r="Y303" s="1262">
        <f>Y302/N294</f>
        <v>0</v>
      </c>
      <c r="Z303" s="1262"/>
    </row>
    <row r="304" spans="2:37">
      <c r="B304" s="1629" t="s">
        <v>930</v>
      </c>
      <c r="I304" s="2693"/>
      <c r="J304" s="1619">
        <v>-93.718963878000011</v>
      </c>
      <c r="K304" s="1619">
        <v>-23.034141511000001</v>
      </c>
      <c r="L304" s="369">
        <f>-1.817+3.044</f>
        <v>1.2270000000000001</v>
      </c>
      <c r="M304" s="369"/>
      <c r="N304" s="369"/>
      <c r="O304" s="369"/>
      <c r="P304" s="369"/>
      <c r="Q304" s="1257"/>
      <c r="R304" s="1257"/>
      <c r="S304" s="1257"/>
      <c r="T304" s="1257"/>
      <c r="U304" s="369"/>
      <c r="V304" s="369"/>
      <c r="W304" s="369"/>
      <c r="X304" s="1257"/>
      <c r="Y304" s="1257"/>
      <c r="Z304" s="1257"/>
    </row>
    <row r="305" spans="2:26">
      <c r="B305" s="1632" t="s">
        <v>928</v>
      </c>
      <c r="C305" s="3438"/>
      <c r="D305" s="3438"/>
      <c r="E305" s="3438"/>
      <c r="F305" s="3438"/>
      <c r="G305" s="3438"/>
      <c r="H305" s="3438"/>
      <c r="I305" s="1639">
        <v>0</v>
      </c>
      <c r="J305" s="1639">
        <f t="shared" ref="J305:P305" si="158">J304/I294</f>
        <v>-4.8930146502613972E-2</v>
      </c>
      <c r="K305" s="1639">
        <f t="shared" si="158"/>
        <v>-1.1669862162038719E-2</v>
      </c>
      <c r="L305" s="1639">
        <f t="shared" si="158"/>
        <v>6.0236597824554674E-4</v>
      </c>
      <c r="M305" s="1639">
        <f t="shared" si="158"/>
        <v>0</v>
      </c>
      <c r="N305" s="1639">
        <f t="shared" si="158"/>
        <v>0</v>
      </c>
      <c r="O305" s="1639">
        <f t="shared" si="158"/>
        <v>0</v>
      </c>
      <c r="P305" s="1639">
        <f t="shared" si="158"/>
        <v>0</v>
      </c>
      <c r="Q305" s="1640"/>
      <c r="R305" s="1640"/>
      <c r="S305" s="1640"/>
      <c r="T305" s="1640"/>
      <c r="U305" s="1639"/>
      <c r="V305" s="1639">
        <f>V304/O294</f>
        <v>0</v>
      </c>
      <c r="W305" s="1639" t="e">
        <f>W304/V294</f>
        <v>#REF!</v>
      </c>
      <c r="X305" s="1640"/>
      <c r="Y305" s="1640"/>
      <c r="Z305" s="1640"/>
    </row>
    <row r="306" spans="2:26">
      <c r="Q306" s="1258"/>
      <c r="R306" s="1258"/>
      <c r="S306" s="1258"/>
      <c r="T306" s="1258"/>
      <c r="X306" s="1258"/>
      <c r="Y306" s="1258"/>
      <c r="Z306" s="1258"/>
    </row>
    <row r="307" spans="2:26">
      <c r="B307" s="3430" t="s">
        <v>486</v>
      </c>
      <c r="C307" s="3431"/>
      <c r="D307" s="3431"/>
      <c r="E307" s="3431"/>
      <c r="F307" s="3431"/>
      <c r="G307" s="3431"/>
      <c r="H307" s="3431"/>
      <c r="I307" s="3431"/>
      <c r="J307" s="3431"/>
      <c r="K307" s="3431"/>
      <c r="L307" s="3431"/>
      <c r="M307" s="3431"/>
      <c r="N307" s="3431"/>
      <c r="O307" s="3431"/>
      <c r="P307" s="3431"/>
      <c r="Q307" s="3432"/>
      <c r="R307" s="3432"/>
      <c r="S307" s="3432"/>
      <c r="T307" s="3432"/>
      <c r="U307" s="3431"/>
      <c r="V307" s="3431"/>
      <c r="W307" s="3431"/>
      <c r="X307" s="3432"/>
      <c r="Y307" s="3432"/>
      <c r="Z307" s="3432"/>
    </row>
    <row r="308" spans="2:26">
      <c r="B308" s="1618" t="s">
        <v>1125</v>
      </c>
      <c r="I308" s="2228">
        <f>Data!R55</f>
        <v>5.2085428030000003</v>
      </c>
      <c r="J308" s="2228">
        <f>Data!S55</f>
        <v>6.057653223</v>
      </c>
      <c r="K308" s="2228">
        <f>Data!T55</f>
        <v>6.0314452709999999</v>
      </c>
      <c r="L308" s="2228">
        <f>Data!U55</f>
        <v>8.0028916070000005</v>
      </c>
      <c r="M308" s="2228">
        <f>Data!V55</f>
        <v>54.439419528000002</v>
      </c>
      <c r="N308" s="2228">
        <f>Data!W55</f>
        <v>8.0324653319999992</v>
      </c>
      <c r="O308" s="2228">
        <f>Data!X55</f>
        <v>5.72</v>
      </c>
      <c r="P308" s="2228">
        <f>Data!Y55</f>
        <v>5.8710061959999997</v>
      </c>
      <c r="Q308" s="3433">
        <f>P308+Q312</f>
        <v>4.8710061959999997</v>
      </c>
      <c r="R308" s="3433">
        <f>Q308+R312</f>
        <v>4.8710061959999997</v>
      </c>
      <c r="S308" s="3433">
        <f>R308+S312</f>
        <v>4.8710061959999997</v>
      </c>
      <c r="T308" s="3433"/>
      <c r="U308" s="2228"/>
      <c r="V308" s="2228">
        <f>Data!Y55</f>
        <v>5.8710061959999997</v>
      </c>
      <c r="W308" s="2228">
        <f>Data!AA55</f>
        <v>0</v>
      </c>
      <c r="X308" s="3433"/>
      <c r="Y308" s="3433">
        <f>N308+Y312</f>
        <v>8.0324653319999992</v>
      </c>
      <c r="Z308" s="3433"/>
    </row>
    <row r="309" spans="2:26">
      <c r="B309" s="1618" t="s">
        <v>925</v>
      </c>
      <c r="I309" s="3434">
        <f>-Data!R56</f>
        <v>2.183949406</v>
      </c>
      <c r="J309" s="3434">
        <f>-Data!S56</f>
        <v>3.2125674069999999</v>
      </c>
      <c r="K309" s="3434">
        <f>-Data!T56</f>
        <v>3.1293676540000002</v>
      </c>
      <c r="L309" s="3434">
        <f>-Data!U56</f>
        <v>3.1601017329999999</v>
      </c>
      <c r="M309" s="3434">
        <f>-Data!V56</f>
        <v>22.815783095</v>
      </c>
      <c r="N309" s="3434">
        <f>-Data!W56</f>
        <v>4.0138321809999997</v>
      </c>
      <c r="O309" s="3434">
        <f>-Data!X56</f>
        <v>3.67</v>
      </c>
      <c r="P309" s="3434">
        <f>-Data!Y56</f>
        <v>4.5937935899999998</v>
      </c>
      <c r="Q309" s="3435">
        <f>P309</f>
        <v>4.5937935899999998</v>
      </c>
      <c r="R309" s="3435">
        <f>Q309</f>
        <v>4.5937935899999998</v>
      </c>
      <c r="S309" s="3435">
        <f>R309</f>
        <v>4.5937935899999998</v>
      </c>
      <c r="T309" s="3435"/>
      <c r="U309" s="3434"/>
      <c r="V309" s="3434">
        <f>-Data!Y56</f>
        <v>4.5937935899999998</v>
      </c>
      <c r="W309" s="3434">
        <f>-Data!AA56</f>
        <v>0</v>
      </c>
      <c r="X309" s="3435"/>
      <c r="Y309" s="3435">
        <f>N309</f>
        <v>4.0138321809999997</v>
      </c>
      <c r="Z309" s="3435"/>
    </row>
    <row r="310" spans="2:26">
      <c r="B310" s="1616" t="s">
        <v>1124</v>
      </c>
      <c r="I310" s="1617">
        <f t="shared" ref="I310:P310" si="159">I308-I309</f>
        <v>3.0245933970000003</v>
      </c>
      <c r="J310" s="1617">
        <f t="shared" si="159"/>
        <v>2.8450858160000001</v>
      </c>
      <c r="K310" s="1617">
        <f t="shared" si="159"/>
        <v>2.9020776169999998</v>
      </c>
      <c r="L310" s="1617">
        <f t="shared" si="159"/>
        <v>4.842789874000001</v>
      </c>
      <c r="M310" s="1617">
        <f t="shared" si="159"/>
        <v>31.623636433000001</v>
      </c>
      <c r="N310" s="1617">
        <f t="shared" si="159"/>
        <v>4.0186331509999995</v>
      </c>
      <c r="O310" s="1617">
        <f t="shared" si="159"/>
        <v>2.0499999999999998</v>
      </c>
      <c r="P310" s="1617">
        <f t="shared" si="159"/>
        <v>1.277212606</v>
      </c>
      <c r="Q310" s="3435">
        <f>Q308+Q309</f>
        <v>9.4647997860000004</v>
      </c>
      <c r="R310" s="3435">
        <f>R308+R309</f>
        <v>9.4647997860000004</v>
      </c>
      <c r="S310" s="3435">
        <f>S308+S309</f>
        <v>9.4647997860000004</v>
      </c>
      <c r="T310" s="3435"/>
      <c r="U310" s="1617"/>
      <c r="V310" s="1617">
        <f>V308-V309</f>
        <v>1.277212606</v>
      </c>
      <c r="W310" s="1617">
        <f>W308-W309</f>
        <v>0</v>
      </c>
      <c r="X310" s="3435"/>
      <c r="Y310" s="3435">
        <f>Y308+Y309</f>
        <v>12.046297512999999</v>
      </c>
      <c r="Z310" s="3435"/>
    </row>
    <row r="311" spans="2:26">
      <c r="B311" s="1621" t="s">
        <v>926</v>
      </c>
      <c r="C311" s="802"/>
      <c r="D311" s="802"/>
      <c r="E311" s="802"/>
      <c r="F311" s="802"/>
      <c r="G311" s="802"/>
      <c r="H311" s="802"/>
      <c r="I311" s="802"/>
      <c r="J311" s="802"/>
      <c r="K311" s="802"/>
      <c r="L311" s="802"/>
      <c r="M311" s="3436">
        <f>L310-M310</f>
        <v>-26.780846559</v>
      </c>
      <c r="N311" s="3436">
        <f>M310-N310</f>
        <v>27.605003282000002</v>
      </c>
      <c r="O311" s="3436">
        <f>N310-O310</f>
        <v>1.9686331509999997</v>
      </c>
      <c r="P311" s="3436">
        <f>O310-P310</f>
        <v>0.77278739399999985</v>
      </c>
      <c r="Q311" s="3437">
        <f>P226-Q309</f>
        <v>-9.1875871799999995</v>
      </c>
      <c r="R311" s="3437">
        <f>Q226-R309</f>
        <v>0</v>
      </c>
      <c r="S311" s="3437">
        <f>R226-S309</f>
        <v>0</v>
      </c>
      <c r="T311" s="3437"/>
      <c r="U311" s="3436"/>
      <c r="V311" s="3436">
        <f>O310-V310</f>
        <v>0.77278739399999985</v>
      </c>
      <c r="W311" s="3436">
        <f>V310-W310</f>
        <v>1.277212606</v>
      </c>
      <c r="X311" s="3437"/>
      <c r="Y311" s="3437">
        <f>N226-Y309</f>
        <v>-8.0276643619999994</v>
      </c>
      <c r="Z311" s="3437"/>
    </row>
    <row r="312" spans="2:26">
      <c r="B312" s="1641" t="s">
        <v>936</v>
      </c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1642">
        <v>-1</v>
      </c>
      <c r="R312" s="1642">
        <v>0</v>
      </c>
      <c r="S312" s="1642">
        <v>0</v>
      </c>
      <c r="T312" s="1642"/>
      <c r="U312" s="40"/>
      <c r="V312" s="40"/>
      <c r="W312" s="40"/>
      <c r="X312" s="1642"/>
      <c r="Y312" s="1642">
        <v>0</v>
      </c>
      <c r="Z312" s="1642"/>
    </row>
    <row r="316" spans="2:26">
      <c r="J316" s="249"/>
      <c r="K316" s="249"/>
      <c r="L316" s="249"/>
    </row>
  </sheetData>
  <phoneticPr fontId="24" type="noConversion"/>
  <printOptions horizontalCentered="1" verticalCentered="1"/>
  <pageMargins left="0.24791666700000001" right="0.24791666700000001" top="0.25" bottom="0.25" header="0" footer="0"/>
  <pageSetup paperSize="9" scale="78" firstPageNumber="0" orientation="portrait" horizontalDpi="300" verticalDpi="300" r:id="rId1"/>
  <headerFooter alignWithMargins="0"/>
  <rowBreaks count="1" manualBreakCount="1">
    <brk id="39" max="16383" man="1"/>
  </row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109E8-E680-4FB9-99D2-3762F8E39347}">
  <sheetPr>
    <tabColor rgb="FF70AD47"/>
  </sheetPr>
  <dimension ref="B3:W110"/>
  <sheetViews>
    <sheetView showGridLines="0" zoomScale="115" zoomScaleNormal="115" workbookViewId="0">
      <pane xSplit="1" ySplit="1" topLeftCell="B2" activePane="bottomRight" state="frozen"/>
      <selection activeCell="L68" sqref="L68"/>
      <selection pane="topRight"/>
      <selection pane="bottomLeft"/>
      <selection pane="bottomRight" activeCell="B2" sqref="B2"/>
    </sheetView>
  </sheetViews>
  <sheetFormatPr defaultColWidth="14.42578125" defaultRowHeight="12.75"/>
  <cols>
    <col min="1" max="1" width="4" style="6" customWidth="1"/>
    <col min="2" max="2" width="51.28515625" style="6" bestFit="1" customWidth="1"/>
    <col min="3" max="6" width="13.42578125" style="6" hidden="1" customWidth="1"/>
    <col min="7" max="13" width="13.42578125" style="6" customWidth="1"/>
    <col min="14" max="14" width="13.140625" style="6" customWidth="1"/>
    <col min="15" max="15" width="13.42578125" style="1474" customWidth="1"/>
    <col min="16" max="16" width="13.42578125" style="6" customWidth="1"/>
    <col min="17" max="17" width="23.5703125" style="6" customWidth="1"/>
    <col min="18" max="18" width="14.5703125" style="6" customWidth="1"/>
    <col min="19" max="20" width="13.42578125" style="6" customWidth="1"/>
    <col min="21" max="21" width="14.42578125" style="6" customWidth="1"/>
    <col min="22" max="16384" width="14.42578125" style="6"/>
  </cols>
  <sheetData>
    <row r="3" spans="2:21">
      <c r="H3" s="251"/>
      <c r="I3" s="251"/>
      <c r="J3" s="2656">
        <v>45657</v>
      </c>
      <c r="K3" s="3426"/>
      <c r="L3" s="2657">
        <v>46387</v>
      </c>
      <c r="M3" s="2658">
        <v>46752</v>
      </c>
      <c r="N3" s="2658">
        <v>47118</v>
      </c>
      <c r="O3" s="2659"/>
      <c r="P3" s="251"/>
      <c r="Q3" s="251"/>
      <c r="R3" s="251"/>
      <c r="S3" s="251"/>
      <c r="T3" s="251"/>
      <c r="U3" s="251"/>
    </row>
    <row r="4" spans="2:21" ht="12.75" customHeight="1">
      <c r="B4" s="1446" t="s">
        <v>615</v>
      </c>
      <c r="C4" s="1550"/>
      <c r="D4" s="1551"/>
      <c r="E4" s="1551"/>
      <c r="F4" s="1551"/>
      <c r="G4" s="1551"/>
      <c r="H4" s="1551"/>
      <c r="I4" s="1551"/>
      <c r="J4" s="1551"/>
      <c r="K4" s="1551" t="s">
        <v>200</v>
      </c>
      <c r="L4" s="1546"/>
      <c r="M4" s="1547"/>
      <c r="N4" s="1547"/>
      <c r="O4" s="2660"/>
      <c r="P4" s="2630"/>
      <c r="R4" s="1546"/>
    </row>
    <row r="5" spans="2:21">
      <c r="B5" s="1554" t="str">
        <f>BS!B215</f>
        <v>VND bn</v>
      </c>
      <c r="C5" s="1552">
        <v>2017</v>
      </c>
      <c r="D5" s="1553">
        <v>2018</v>
      </c>
      <c r="E5" s="1553">
        <v>2019</v>
      </c>
      <c r="F5" s="1553">
        <v>2020</v>
      </c>
      <c r="G5" s="1553">
        <v>2021</v>
      </c>
      <c r="H5" s="1553">
        <v>2022</v>
      </c>
      <c r="I5" s="1553">
        <v>2023</v>
      </c>
      <c r="J5" s="1553">
        <v>2024</v>
      </c>
      <c r="K5" s="1553">
        <v>2025</v>
      </c>
      <c r="L5" s="1548">
        <v>2026</v>
      </c>
      <c r="M5" s="1549">
        <v>2027</v>
      </c>
      <c r="N5" s="1549">
        <v>2028</v>
      </c>
      <c r="O5" s="2631"/>
      <c r="P5" s="2631"/>
      <c r="Q5" s="1548">
        <v>2023</v>
      </c>
      <c r="R5" s="1548"/>
    </row>
    <row r="6" spans="2:21">
      <c r="B6" s="420"/>
      <c r="C6" s="919"/>
      <c r="D6" s="252"/>
      <c r="E6" s="252"/>
      <c r="F6" s="252"/>
      <c r="G6" s="252"/>
      <c r="L6" s="378"/>
      <c r="M6" s="587"/>
      <c r="N6" s="587"/>
      <c r="P6" s="1474"/>
      <c r="Q6" s="378"/>
      <c r="R6" s="378"/>
    </row>
    <row r="7" spans="2:21">
      <c r="B7" s="421" t="str">
        <f>PL!B55</f>
        <v>Net profit attributable to equity shareholders</v>
      </c>
      <c r="C7" s="427">
        <f>PL!H55</f>
        <v>2931.5308625619946</v>
      </c>
      <c r="D7" s="253">
        <f>PL!I55</f>
        <v>2620.1786319860016</v>
      </c>
      <c r="E7" s="253">
        <f>PL!J55</f>
        <v>3135.3503766539989</v>
      </c>
      <c r="F7" s="253">
        <f>PL!K55</f>
        <v>3538.0077388219988</v>
      </c>
      <c r="G7" s="253">
        <f>PL!L55</f>
        <v>4337.4118798020008</v>
      </c>
      <c r="H7" s="253">
        <f>PL!M55</f>
        <v>5310.1085914080013</v>
      </c>
      <c r="I7" s="253">
        <f>PL!N55</f>
        <v>6465.1904326219965</v>
      </c>
      <c r="J7" s="253">
        <f>PL!O55</f>
        <v>7856.7700000000059</v>
      </c>
      <c r="K7" s="253">
        <f>PL!P55</f>
        <v>9464.1600000000035</v>
      </c>
      <c r="L7" s="253">
        <f ca="1">PL!Q55</f>
        <v>11112.888759006528</v>
      </c>
      <c r="M7" s="976">
        <f ca="1">PL!R55</f>
        <v>12554.662616528081</v>
      </c>
      <c r="N7" s="976">
        <f ca="1">PL!S55</f>
        <v>14225.375740105508</v>
      </c>
      <c r="O7" s="2628"/>
      <c r="P7" s="2628"/>
      <c r="Q7" s="253" t="e">
        <f>PL!#REF!</f>
        <v>#REF!</v>
      </c>
      <c r="R7" s="253"/>
    </row>
    <row r="8" spans="2:21">
      <c r="B8" s="422" t="s">
        <v>79</v>
      </c>
      <c r="C8" s="428">
        <f>+BS!H230</f>
        <v>1039.4167683420001</v>
      </c>
      <c r="D8" s="254">
        <f>+BS!I230</f>
        <v>1164.692003074</v>
      </c>
      <c r="E8" s="254">
        <f>+BS!J230</f>
        <v>1354.613458881</v>
      </c>
      <c r="F8" s="254">
        <f>+BS!K230</f>
        <v>1490.607476892</v>
      </c>
      <c r="G8" s="254">
        <f>+BS!L230</f>
        <v>1643.9156853320001</v>
      </c>
      <c r="H8" s="254">
        <f>+BS!M230</f>
        <v>1833.0644991280001</v>
      </c>
      <c r="I8" s="254">
        <f>+BS!N230</f>
        <v>2286.514158688</v>
      </c>
      <c r="J8" s="254">
        <f>+BS!O230</f>
        <v>2535.3000000000002</v>
      </c>
      <c r="K8" s="254">
        <f>+BS!P230</f>
        <v>2899.52</v>
      </c>
      <c r="L8" s="254">
        <f ca="1">+BS!Q230</f>
        <v>2697.8567101337107</v>
      </c>
      <c r="M8" s="977">
        <f ca="1">+BS!R230</f>
        <v>2700.7971225783858</v>
      </c>
      <c r="N8" s="977">
        <f ca="1">+BS!S230</f>
        <v>2734.9740347928778</v>
      </c>
      <c r="O8" s="2629"/>
      <c r="P8" s="2629"/>
      <c r="Q8" s="254">
        <f>+BS!V230</f>
        <v>0</v>
      </c>
      <c r="R8" s="254"/>
    </row>
    <row r="9" spans="2:21">
      <c r="B9" s="422" t="s">
        <v>80</v>
      </c>
      <c r="C9" s="429">
        <f>PL!H35*(1-PL!H51)</f>
        <v>305.57817858101828</v>
      </c>
      <c r="D9" s="255">
        <f>PL!I35*(1-PL!I51)</f>
        <v>199.81457390252879</v>
      </c>
      <c r="E9" s="255">
        <f>PL!J35*(1-PL!J51)</f>
        <v>301.04978721495689</v>
      </c>
      <c r="F9" s="255">
        <f>PL!K35*(1-PL!K51)</f>
        <v>323.86246723796364</v>
      </c>
      <c r="G9" s="255">
        <f>PL!L35*(1-PL!L51)</f>
        <v>408.54586947442851</v>
      </c>
      <c r="H9" s="255">
        <f>PL!M35*(1-PL!M51)</f>
        <v>547.04666811064044</v>
      </c>
      <c r="I9" s="255">
        <f>PL!N35*(1-PL!N51)</f>
        <v>704.62941463555865</v>
      </c>
      <c r="J9" s="255">
        <f>PL!O35*(1-PL!O51)</f>
        <v>469.80141836334633</v>
      </c>
      <c r="K9" s="255">
        <f>PL!P35*(1-PL!P51)</f>
        <v>697.95783762711551</v>
      </c>
      <c r="L9" s="255">
        <f ca="1">PL!Q35*(1-PL!Q51)</f>
        <v>785.31357195069791</v>
      </c>
      <c r="M9" s="978">
        <f ca="1">PL!R35*(1-PL!R51)</f>
        <v>831.01079418953486</v>
      </c>
      <c r="N9" s="978">
        <f ca="1">PL!S35*(1-PL!S51)</f>
        <v>840.18180377950216</v>
      </c>
      <c r="O9" s="2632"/>
      <c r="P9" s="2632"/>
      <c r="Q9" s="255" t="e">
        <f>PL!#REF!*(1-PL!#REF!)</f>
        <v>#REF!</v>
      </c>
      <c r="R9" s="255"/>
    </row>
    <row r="10" spans="2:21">
      <c r="B10" s="423" t="s">
        <v>241</v>
      </c>
      <c r="C10" s="429">
        <f>-PL!H87</f>
        <v>-293.15308625619946</v>
      </c>
      <c r="D10" s="255">
        <f>-PL!I87</f>
        <v>-228.93899999999996</v>
      </c>
      <c r="E10" s="255">
        <f>-PL!J87</f>
        <v>-276.49400000000003</v>
      </c>
      <c r="F10" s="255">
        <f>-PL!K87</f>
        <v>-311.91300000000001</v>
      </c>
      <c r="G10" s="255">
        <f>-PL!L87</f>
        <v>-397.21499999999997</v>
      </c>
      <c r="H10" s="255">
        <f>-PL!M87</f>
        <v>-461.50400000000002</v>
      </c>
      <c r="I10" s="255">
        <f>-PL!N87</f>
        <v>-561.8926984364432</v>
      </c>
      <c r="J10" s="255">
        <f>-PL!O87</f>
        <v>-682.83552391881938</v>
      </c>
      <c r="K10" s="255">
        <f>-PL!P87</f>
        <v>-822.53453417263461</v>
      </c>
      <c r="L10" s="255">
        <f ca="1">-PL!Q87</f>
        <v>-654.03364258070803</v>
      </c>
      <c r="M10" s="978">
        <f ca="1">-PL!R87</f>
        <v>-738.88724169985915</v>
      </c>
      <c r="N10" s="978">
        <f ca="1">-PL!S87</f>
        <v>-837.21474354182146</v>
      </c>
      <c r="O10" s="2632"/>
      <c r="P10" s="2632"/>
      <c r="Q10" s="255" t="e">
        <f>-PL!#REF!</f>
        <v>#REF!</v>
      </c>
      <c r="R10" s="255"/>
    </row>
    <row r="11" spans="2:21">
      <c r="B11" s="423"/>
      <c r="C11" s="429"/>
      <c r="D11" s="255"/>
      <c r="E11" s="255"/>
      <c r="F11" s="255"/>
      <c r="G11" s="255"/>
      <c r="H11" s="255"/>
      <c r="I11" s="255"/>
      <c r="J11" s="255"/>
      <c r="K11" s="255"/>
      <c r="L11" s="255"/>
      <c r="M11" s="978"/>
      <c r="N11" s="978"/>
      <c r="O11" s="2632"/>
      <c r="P11" s="2632"/>
      <c r="Q11" s="255"/>
      <c r="R11" s="255"/>
    </row>
    <row r="12" spans="2:21">
      <c r="B12" s="424" t="s">
        <v>81</v>
      </c>
      <c r="C12" s="430">
        <f>SUM(C7:C10)</f>
        <v>3983.3727232288138</v>
      </c>
      <c r="D12" s="256">
        <f>SUM(D7:D10)</f>
        <v>3755.7462089625305</v>
      </c>
      <c r="E12" s="256">
        <f>SUM(E7:E10)</f>
        <v>4514.5196227499564</v>
      </c>
      <c r="F12" s="256">
        <f t="shared" ref="F12:Q12" si="0">SUM(F7:F11)</f>
        <v>5040.5646829519628</v>
      </c>
      <c r="G12" s="256">
        <f t="shared" si="0"/>
        <v>5992.6584346084292</v>
      </c>
      <c r="H12" s="256">
        <f t="shared" si="0"/>
        <v>7228.7157586466428</v>
      </c>
      <c r="I12" s="256">
        <f t="shared" ref="I12:J12" si="1">SUM(I7:I11)</f>
        <v>8894.4413075091143</v>
      </c>
      <c r="J12" s="256">
        <f t="shared" si="1"/>
        <v>10179.035894444534</v>
      </c>
      <c r="K12" s="256">
        <f t="shared" ref="K12" si="2">SUM(K7:K11)</f>
        <v>12239.103303454483</v>
      </c>
      <c r="L12" s="256">
        <f ca="1">SUM(L7:L11)</f>
        <v>13942.025398510228</v>
      </c>
      <c r="M12" s="979">
        <f ca="1">SUM(M7:M11)</f>
        <v>15347.583291596144</v>
      </c>
      <c r="N12" s="979">
        <f ca="1">SUM(N7:N11)</f>
        <v>16963.316835136065</v>
      </c>
      <c r="O12" s="2633"/>
      <c r="P12" s="2633"/>
      <c r="Q12" s="256" t="e">
        <f t="shared" si="0"/>
        <v>#REF!</v>
      </c>
      <c r="R12" s="256"/>
    </row>
    <row r="13" spans="2:21">
      <c r="B13" s="420"/>
      <c r="C13" s="429"/>
      <c r="D13" s="255"/>
      <c r="E13" s="255"/>
      <c r="F13" s="255"/>
      <c r="G13" s="255"/>
      <c r="H13" s="255"/>
      <c r="I13" s="255"/>
      <c r="J13" s="255"/>
      <c r="K13" s="255"/>
      <c r="L13" s="255"/>
      <c r="M13" s="978"/>
      <c r="N13" s="978"/>
      <c r="O13" s="2632"/>
      <c r="P13" s="2632"/>
      <c r="Q13" s="255"/>
      <c r="R13" s="255"/>
    </row>
    <row r="14" spans="2:21">
      <c r="B14" s="2036" t="s">
        <v>82</v>
      </c>
      <c r="C14" s="2037">
        <f>SUM(C15:C17)</f>
        <v>2102.7338319139994</v>
      </c>
      <c r="D14" s="2038">
        <f>SUM(D15:D18)</f>
        <v>-2054.7827071539991</v>
      </c>
      <c r="E14" s="2038">
        <f t="shared" ref="E14:Q14" si="3">SUM(E15:E18)</f>
        <v>-1402.9284054559989</v>
      </c>
      <c r="F14" s="2038">
        <f t="shared" si="3"/>
        <v>-4806.7422921079997</v>
      </c>
      <c r="G14" s="2038">
        <f t="shared" si="3"/>
        <v>-9366.2682380240076</v>
      </c>
      <c r="H14" s="2038">
        <f t="shared" si="3"/>
        <v>4417.0488086550067</v>
      </c>
      <c r="I14" s="2038">
        <f t="shared" ref="I14:J14" si="4">SUM(I15:I18)</f>
        <v>-4292.8470121230057</v>
      </c>
      <c r="J14" s="2038">
        <f t="shared" si="4"/>
        <v>-4986.0753878869937</v>
      </c>
      <c r="K14" s="2038">
        <f t="shared" ref="K14" si="5">SUM(K15:K18)</f>
        <v>-12301.671047606997</v>
      </c>
      <c r="L14" s="2038">
        <f ca="1">SUM(L15:L18)</f>
        <v>-1991.6908715854242</v>
      </c>
      <c r="M14" s="2039">
        <f ca="1">SUM(M15:M18)</f>
        <v>-4649.9630852378514</v>
      </c>
      <c r="N14" s="2039">
        <f ca="1">SUM(N15:N18)</f>
        <v>-5323.6383707005207</v>
      </c>
      <c r="O14" s="2628"/>
      <c r="P14" s="2628"/>
      <c r="Q14" s="2038" t="e">
        <f t="shared" si="3"/>
        <v>#REF!</v>
      </c>
      <c r="R14" s="2038"/>
    </row>
    <row r="15" spans="2:21">
      <c r="B15" s="2040" t="s">
        <v>207</v>
      </c>
      <c r="C15" s="2041">
        <f>BS!H242</f>
        <v>3592.9861869930005</v>
      </c>
      <c r="D15" s="2042">
        <f>BS!I242</f>
        <v>-377.258713855</v>
      </c>
      <c r="E15" s="2042">
        <f>BS!J242</f>
        <v>51.343764985000007</v>
      </c>
      <c r="F15" s="2042">
        <f>BS!K242</f>
        <v>-55.124600922000127</v>
      </c>
      <c r="G15" s="2042">
        <f>BS!L242</f>
        <v>-218.23182623899993</v>
      </c>
      <c r="H15" s="2042">
        <f>BS!M242</f>
        <v>-497.80271100799996</v>
      </c>
      <c r="I15" s="2042">
        <f>BS!N242</f>
        <v>396.1611148909999</v>
      </c>
      <c r="J15" s="2042">
        <f>BS!O242</f>
        <v>-265.263075329</v>
      </c>
      <c r="K15" s="2042">
        <f>BS!P242</f>
        <v>-260.59249075699995</v>
      </c>
      <c r="L15" s="2042">
        <f ca="1">BS!Q242</f>
        <v>510.25086556601491</v>
      </c>
      <c r="M15" s="2043">
        <f ca="1">BS!R242</f>
        <v>-293.30962135465143</v>
      </c>
      <c r="N15" s="2043">
        <f ca="1">BS!S242</f>
        <v>-339.56117273039536</v>
      </c>
      <c r="O15" s="2629"/>
      <c r="P15" s="2629"/>
      <c r="Q15" s="2042" t="e">
        <f>BS!V242</f>
        <v>#REF!</v>
      </c>
      <c r="R15" s="2042"/>
    </row>
    <row r="16" spans="2:21">
      <c r="B16" s="2040" t="s">
        <v>208</v>
      </c>
      <c r="C16" s="2041">
        <f>BS!H243</f>
        <v>-255.40335641399724</v>
      </c>
      <c r="D16" s="2042">
        <f>BS!I243</f>
        <v>-1664.7550326530018</v>
      </c>
      <c r="E16" s="2042">
        <f>BS!J243</f>
        <v>-1198.7626798639976</v>
      </c>
      <c r="F16" s="2042">
        <f>BS!K243</f>
        <v>-5309.2025520980005</v>
      </c>
      <c r="G16" s="2042">
        <f>BS!L243</f>
        <v>-8810.8757239550032</v>
      </c>
      <c r="H16" s="2042">
        <f>BS!M243</f>
        <v>5491.9984797150028</v>
      </c>
      <c r="I16" s="2042">
        <f>BS!N243</f>
        <v>-4514.1584499930032</v>
      </c>
      <c r="J16" s="2042">
        <f>BS!O243</f>
        <v>-7237.9393614979963</v>
      </c>
      <c r="K16" s="2042">
        <f>BS!P243</f>
        <v>-10998.487162054</v>
      </c>
      <c r="L16" s="2042">
        <f ca="1">BS!Q243</f>
        <v>4318.8495537654089</v>
      </c>
      <c r="M16" s="2043">
        <f ca="1">BS!R243</f>
        <v>-1843.5633029425444</v>
      </c>
      <c r="N16" s="2043">
        <f ca="1">BS!S243</f>
        <v>-2231.4951900892556</v>
      </c>
      <c r="O16" s="2629"/>
      <c r="P16" s="2629"/>
      <c r="Q16" s="2042" t="e">
        <f>BS!V243</f>
        <v>#REF!</v>
      </c>
      <c r="R16" s="2042"/>
    </row>
    <row r="17" spans="2:18">
      <c r="B17" s="2040" t="s">
        <v>209</v>
      </c>
      <c r="C17" s="2041">
        <f>BS!H244</f>
        <v>-1234.8489986650038</v>
      </c>
      <c r="D17" s="2042">
        <f>BS!I244</f>
        <v>729.90783642300266</v>
      </c>
      <c r="E17" s="2042">
        <f>BS!J244</f>
        <v>650.05594930499865</v>
      </c>
      <c r="F17" s="2042">
        <f>BS!K244</f>
        <v>1600.6979781920008</v>
      </c>
      <c r="G17" s="2042">
        <f>BS!L244</f>
        <v>1487.0541372349962</v>
      </c>
      <c r="H17" s="2042">
        <f>BS!M244</f>
        <v>1417.3394746400045</v>
      </c>
      <c r="I17" s="2042">
        <f>BS!N244</f>
        <v>1796.847121771998</v>
      </c>
      <c r="J17" s="2042">
        <f>BS!O244</f>
        <v>4203.7570489400023</v>
      </c>
      <c r="K17" s="2042">
        <f>BS!P244</f>
        <v>1666.8386052040041</v>
      </c>
      <c r="L17" s="2042">
        <f ca="1">BS!Q244</f>
        <v>-3671.2519082323197</v>
      </c>
      <c r="M17" s="2043">
        <f ca="1">BS!R244</f>
        <v>1644.0098381722601</v>
      </c>
      <c r="N17" s="2043">
        <f ca="1">BS!S244</f>
        <v>1938.6804658171532</v>
      </c>
      <c r="O17" s="2629"/>
      <c r="P17" s="2629"/>
      <c r="Q17" s="2042" t="e">
        <f>BS!V244</f>
        <v>#REF!</v>
      </c>
      <c r="R17" s="2042"/>
    </row>
    <row r="18" spans="2:18">
      <c r="B18" s="2040" t="s">
        <v>1022</v>
      </c>
      <c r="C18" s="2041"/>
      <c r="D18" s="2042">
        <f>BS!I245</f>
        <v>-742.67679706900003</v>
      </c>
      <c r="E18" s="2042">
        <f>BS!J245</f>
        <v>-905.56543988199996</v>
      </c>
      <c r="F18" s="2042">
        <f>BS!K245</f>
        <v>-1043.1131172799999</v>
      </c>
      <c r="G18" s="2042">
        <f>BS!L245</f>
        <v>-1824.214825065</v>
      </c>
      <c r="H18" s="2042">
        <f>BS!M245</f>
        <v>-1994.4864346920001</v>
      </c>
      <c r="I18" s="2042">
        <f>BS!N245</f>
        <v>-1971.696798793</v>
      </c>
      <c r="J18" s="2042">
        <f>BS!O245</f>
        <v>-1686.63</v>
      </c>
      <c r="K18" s="2042">
        <f>BS!P245</f>
        <v>-2709.43</v>
      </c>
      <c r="L18" s="2042">
        <f ca="1">BS!Q245</f>
        <v>-3149.5393826845284</v>
      </c>
      <c r="M18" s="2043">
        <f ca="1">BS!R245</f>
        <v>-4157.0999991129156</v>
      </c>
      <c r="N18" s="2043">
        <f ca="1">BS!S245</f>
        <v>-4691.2624736980233</v>
      </c>
      <c r="O18" s="2629"/>
      <c r="P18" s="2629"/>
      <c r="Q18" s="2042">
        <f>BS!V245</f>
        <v>0</v>
      </c>
      <c r="R18" s="2042"/>
    </row>
    <row r="19" spans="2:18">
      <c r="B19" s="422"/>
      <c r="C19" s="428"/>
      <c r="D19" s="254"/>
      <c r="E19" s="254"/>
      <c r="F19" s="254"/>
      <c r="G19" s="254"/>
      <c r="H19" s="254"/>
      <c r="I19" s="254"/>
      <c r="J19" s="254"/>
      <c r="K19" s="254"/>
      <c r="L19" s="254"/>
      <c r="M19" s="977"/>
      <c r="N19" s="977"/>
      <c r="O19" s="2629"/>
      <c r="P19" s="2629"/>
      <c r="Q19" s="254"/>
      <c r="R19" s="254"/>
    </row>
    <row r="20" spans="2:18">
      <c r="B20" s="421" t="s">
        <v>83</v>
      </c>
      <c r="C20" s="431">
        <f t="shared" ref="C20:Q20" si="6">SUM(C21:C21)</f>
        <v>-410.17310882800041</v>
      </c>
      <c r="D20" s="257">
        <f t="shared" si="6"/>
        <v>-2379.4779000580002</v>
      </c>
      <c r="E20" s="257">
        <f t="shared" si="6"/>
        <v>-2364.0714631850001</v>
      </c>
      <c r="F20" s="257">
        <f t="shared" si="6"/>
        <v>-2430.5580519929995</v>
      </c>
      <c r="G20" s="257">
        <f t="shared" si="6"/>
        <v>-2266.5732898640017</v>
      </c>
      <c r="H20" s="257">
        <f t="shared" si="6"/>
        <v>-3043.9538832070011</v>
      </c>
      <c r="I20" s="257">
        <f t="shared" si="6"/>
        <v>-3535.3617280950002</v>
      </c>
      <c r="J20" s="257">
        <f t="shared" si="6"/>
        <v>-4471.6683882279995</v>
      </c>
      <c r="K20" s="257">
        <f t="shared" si="6"/>
        <v>-3948.843633660003</v>
      </c>
      <c r="L20" s="257">
        <f ca="1">SUM(L21:L21)</f>
        <v>348.70791465059688</v>
      </c>
      <c r="M20" s="980">
        <f ca="1">SUM(M21:M21)</f>
        <v>-1522.7647907482951</v>
      </c>
      <c r="N20" s="980">
        <f ca="1">SUM(N21:N21)</f>
        <v>746.01678587347897</v>
      </c>
      <c r="O20" s="2634"/>
      <c r="P20" s="2634"/>
      <c r="Q20" s="257" t="e">
        <f t="shared" si="6"/>
        <v>#REF!</v>
      </c>
      <c r="R20" s="257"/>
    </row>
    <row r="21" spans="2:18">
      <c r="B21" s="422" t="s">
        <v>83</v>
      </c>
      <c r="C21" s="429">
        <f>-BS!H233</f>
        <v>-410.17310882800041</v>
      </c>
      <c r="D21" s="255">
        <f>-BS!I233</f>
        <v>-2379.4779000580002</v>
      </c>
      <c r="E21" s="255">
        <f>-BS!J233</f>
        <v>-2364.0714631850001</v>
      </c>
      <c r="F21" s="255">
        <f>-BS!K233</f>
        <v>-2430.5580519929995</v>
      </c>
      <c r="G21" s="255">
        <f>-BS!L233</f>
        <v>-2266.5732898640017</v>
      </c>
      <c r="H21" s="255">
        <f>-BS!M233</f>
        <v>-3043.9538832070011</v>
      </c>
      <c r="I21" s="255">
        <f>-BS!N233</f>
        <v>-3535.3617280950002</v>
      </c>
      <c r="J21" s="255">
        <f>-BS!O233</f>
        <v>-4471.6683882279995</v>
      </c>
      <c r="K21" s="255">
        <f>-BS!P233</f>
        <v>-3948.843633660003</v>
      </c>
      <c r="L21" s="255">
        <f ca="1">-BS!Q233</f>
        <v>348.70791465059688</v>
      </c>
      <c r="M21" s="978">
        <f ca="1">-BS!R233</f>
        <v>-1522.7647907482951</v>
      </c>
      <c r="N21" s="978">
        <f ca="1">-BS!S233</f>
        <v>746.01678587347897</v>
      </c>
      <c r="O21" s="2632"/>
      <c r="P21" s="2632"/>
      <c r="Q21" s="255" t="e">
        <f>-BS!V233</f>
        <v>#REF!</v>
      </c>
      <c r="R21" s="255"/>
    </row>
    <row r="22" spans="2:18">
      <c r="B22" s="422"/>
      <c r="C22" s="429"/>
      <c r="D22" s="255"/>
      <c r="E22" s="255"/>
      <c r="F22" s="255"/>
      <c r="G22" s="255"/>
      <c r="H22" s="255"/>
      <c r="I22" s="255"/>
      <c r="J22" s="255"/>
      <c r="K22" s="255"/>
      <c r="L22" s="255"/>
      <c r="M22" s="978"/>
      <c r="N22" s="978"/>
      <c r="O22" s="2632"/>
      <c r="P22" s="2632"/>
      <c r="Q22" s="255"/>
      <c r="R22" s="255"/>
    </row>
    <row r="23" spans="2:18">
      <c r="B23" s="425" t="s">
        <v>84</v>
      </c>
      <c r="C23" s="431">
        <f t="shared" ref="C23:Q23" si="7">C12+C14+C20</f>
        <v>5675.9334463148125</v>
      </c>
      <c r="D23" s="257">
        <f t="shared" si="7"/>
        <v>-678.51439824946874</v>
      </c>
      <c r="E23" s="257">
        <f t="shared" si="7"/>
        <v>747.51975410895739</v>
      </c>
      <c r="F23" s="257">
        <f t="shared" si="7"/>
        <v>-2196.7356611490363</v>
      </c>
      <c r="G23" s="257">
        <f t="shared" si="7"/>
        <v>-5640.1830932795801</v>
      </c>
      <c r="H23" s="257">
        <f t="shared" si="7"/>
        <v>8601.8106840946475</v>
      </c>
      <c r="I23" s="257">
        <f t="shared" ref="I23:J23" si="8">I12+I14+I20</f>
        <v>1066.2325672911084</v>
      </c>
      <c r="J23" s="257">
        <f t="shared" si="8"/>
        <v>721.29211832954115</v>
      </c>
      <c r="K23" s="257">
        <f t="shared" ref="K23" si="9">K12+K14+K20</f>
        <v>-4011.4113778125161</v>
      </c>
      <c r="L23" s="257">
        <f ca="1">L12+L14+L20</f>
        <v>12299.042441575401</v>
      </c>
      <c r="M23" s="980">
        <f ca="1">M12+M14+M20</f>
        <v>9174.8554156099981</v>
      </c>
      <c r="N23" s="980">
        <f ca="1">N12+N14+N20</f>
        <v>12385.695250309023</v>
      </c>
      <c r="O23" s="2634"/>
      <c r="P23" s="2634"/>
      <c r="Q23" s="257" t="e">
        <f t="shared" si="7"/>
        <v>#REF!</v>
      </c>
      <c r="R23" s="257"/>
    </row>
    <row r="24" spans="2:18">
      <c r="B24" s="420"/>
      <c r="C24" s="431"/>
      <c r="D24" s="257"/>
      <c r="E24" s="257"/>
      <c r="F24" s="257"/>
      <c r="G24" s="257"/>
      <c r="H24" s="257"/>
      <c r="I24" s="257"/>
      <c r="J24" s="257"/>
      <c r="K24" s="257"/>
      <c r="L24" s="257"/>
      <c r="M24" s="980"/>
      <c r="N24" s="980"/>
      <c r="O24" s="2634"/>
      <c r="P24" s="2634"/>
      <c r="Q24" s="257"/>
      <c r="R24" s="257"/>
    </row>
    <row r="25" spans="2:18">
      <c r="B25" s="422" t="s">
        <v>114</v>
      </c>
      <c r="C25" s="429">
        <f>-PL!H35*(1-PL!H51)</f>
        <v>-305.57817858101828</v>
      </c>
      <c r="D25" s="255">
        <f>-PL!I35*(1-PL!I51)</f>
        <v>-199.81457390252879</v>
      </c>
      <c r="E25" s="255">
        <f>-PL!J35*(1-PL!J51)</f>
        <v>-301.04978721495689</v>
      </c>
      <c r="F25" s="255">
        <f>-PL!K35*(1-PL!K51)</f>
        <v>-323.86246723796364</v>
      </c>
      <c r="G25" s="255">
        <f>-PL!L35*(1-PL!L51)</f>
        <v>-408.54586947442851</v>
      </c>
      <c r="H25" s="255">
        <f>-PL!M35*(1-PL!M51)</f>
        <v>-547.04666811064044</v>
      </c>
      <c r="I25" s="255">
        <f>-PL!N35*(1-PL!N51)</f>
        <v>-704.62941463555865</v>
      </c>
      <c r="J25" s="255">
        <f>-PL!O35*(1-PL!O51)</f>
        <v>-469.80141836334633</v>
      </c>
      <c r="K25" s="255">
        <f>-PL!P35*(1-PL!P51)</f>
        <v>-697.95783762711551</v>
      </c>
      <c r="L25" s="255">
        <f ca="1">-PL!Q35*(1-PL!Q51)</f>
        <v>-785.31357195069791</v>
      </c>
      <c r="M25" s="978">
        <f ca="1">-PL!R35*(1-PL!R51)</f>
        <v>-831.01079418953486</v>
      </c>
      <c r="N25" s="978">
        <f ca="1">-PL!S35*(1-PL!S51)</f>
        <v>-840.18180377950216</v>
      </c>
      <c r="O25" s="2632"/>
      <c r="P25" s="2632"/>
      <c r="Q25" s="255" t="e">
        <f>-PL!#REF!*(1-PL!#REF!)</f>
        <v>#REF!</v>
      </c>
      <c r="R25" s="255"/>
    </row>
    <row r="26" spans="2:18">
      <c r="B26" s="422" t="s">
        <v>85</v>
      </c>
      <c r="C26" s="429" t="e">
        <f>(+BS!H50+BS!H53+BS!H54)-(+BS!#REF!+BS!#REF!+BS!#REF!)</f>
        <v>#REF!</v>
      </c>
      <c r="D26" s="255">
        <f>(+BS!I50+BS!I53+BS!I54)-(+BS!H50+BS!H53+BS!H54)</f>
        <v>2351.8706116069998</v>
      </c>
      <c r="E26" s="255">
        <f>(+BS!J50+BS!J53+BS!J54)-(+BS!I50+BS!I53+BS!I54)</f>
        <v>876.43837097300002</v>
      </c>
      <c r="F26" s="255">
        <f>(+BS!K50+BS!K53+BS!K54)-(+BS!J50+BS!J53+BS!J54)</f>
        <v>4820.1019031290007</v>
      </c>
      <c r="G26" s="255">
        <f>(+BS!L50+BS!L53+BS!L54)-(+BS!K50+BS!K53+BS!K54)</f>
        <v>7491.9353009719998</v>
      </c>
      <c r="H26" s="255">
        <f>(+BS!M50+BS!M53+BS!M54)-(+BS!L50+BS!L53+BS!L54)</f>
        <v>-7640.8286222280003</v>
      </c>
      <c r="I26" s="255">
        <f>(+BS!N50+BS!N53+BS!N54)-(+BS!M50+BS!M53+BS!M54)</f>
        <v>1858.5750384160001</v>
      </c>
      <c r="J26" s="255">
        <f>(+BS!O50+BS!O53+BS!O54)-(+BS!N50+BS!N53+BS!N54)</f>
        <v>1346.4727654540002</v>
      </c>
      <c r="K26" s="255">
        <f>(+BS!P50+BS!P53+BS!P54)-(+BS!O50+BS!O53+BS!O54)</f>
        <v>6072.5578850659967</v>
      </c>
      <c r="L26" s="255">
        <f ca="1">(+BS!Q50+BS!Q53+BS!Q54)-(+BS!X50+BS!X53+BS!X54)</f>
        <v>22367.587839438573</v>
      </c>
      <c r="M26" s="978">
        <f ca="1">(+BS!R50+BS!R53+BS!R54)-(+BS!Q50+BS!Q53+BS!Q54)</f>
        <v>479.52991320090223</v>
      </c>
      <c r="N26" s="978">
        <f ca="1">(+BS!S50+BS!S53+BS!S54)-(+BS!R50+BS!R53+BS!R54)</f>
        <v>0</v>
      </c>
      <c r="O26" s="2632"/>
      <c r="P26" s="2632"/>
      <c r="Q26" s="255">
        <f>(+BS!V50+BS!V53+BS!V54)-(+BS!M50+BS!M53+BS!M54)</f>
        <v>764.3784505609965</v>
      </c>
      <c r="R26" s="255"/>
    </row>
    <row r="27" spans="2:18">
      <c r="B27" s="420"/>
      <c r="C27" s="429"/>
      <c r="D27" s="255"/>
      <c r="E27" s="255"/>
      <c r="F27" s="255"/>
      <c r="G27" s="255"/>
      <c r="H27" s="255"/>
      <c r="I27" s="255"/>
      <c r="J27" s="255"/>
      <c r="K27" s="255"/>
      <c r="L27" s="255"/>
      <c r="M27" s="978"/>
      <c r="N27" s="978"/>
      <c r="O27" s="2632"/>
      <c r="P27" s="2632"/>
      <c r="Q27" s="255"/>
      <c r="R27" s="255"/>
    </row>
    <row r="28" spans="2:18">
      <c r="B28" s="425" t="s">
        <v>86</v>
      </c>
      <c r="C28" s="431" t="e">
        <f t="shared" ref="C28:H28" si="10">C23+SUM(C24:C27)</f>
        <v>#REF!</v>
      </c>
      <c r="D28" s="257">
        <f t="shared" si="10"/>
        <v>1473.541639455002</v>
      </c>
      <c r="E28" s="257">
        <f t="shared" si="10"/>
        <v>1322.9083378670005</v>
      </c>
      <c r="F28" s="257">
        <f t="shared" si="10"/>
        <v>2299.5037747420006</v>
      </c>
      <c r="G28" s="257">
        <f t="shared" si="10"/>
        <v>1443.2063382179913</v>
      </c>
      <c r="H28" s="257">
        <f t="shared" si="10"/>
        <v>413.93539375600631</v>
      </c>
      <c r="I28" s="257">
        <f t="shared" ref="I28:J28" si="11">I23+SUM(I24:I27)</f>
        <v>2220.1781910715499</v>
      </c>
      <c r="J28" s="257">
        <f t="shared" si="11"/>
        <v>1597.963465420195</v>
      </c>
      <c r="K28" s="257">
        <f t="shared" ref="K28" si="12">K23+SUM(K24:K27)</f>
        <v>1363.188669626365</v>
      </c>
      <c r="L28" s="257">
        <f ca="1">L23+SUM(L24:L27)</f>
        <v>33881.316709063278</v>
      </c>
      <c r="M28" s="980">
        <f ca="1">M23+SUM(M24:M27)</f>
        <v>8823.3745346213655</v>
      </c>
      <c r="N28" s="980">
        <f ca="1">N23+SUM(N24:N27)</f>
        <v>11545.513446529521</v>
      </c>
      <c r="O28" s="2634"/>
      <c r="P28" s="2634"/>
      <c r="Q28" s="257" t="e">
        <f>Q23+SUM(Q24:Q27)</f>
        <v>#REF!</v>
      </c>
      <c r="R28" s="257"/>
    </row>
    <row r="29" spans="2:18" hidden="1">
      <c r="B29" s="421"/>
      <c r="C29" s="432"/>
      <c r="D29" s="258"/>
      <c r="E29" s="258"/>
      <c r="F29" s="258"/>
      <c r="G29" s="258"/>
      <c r="H29" s="258"/>
      <c r="I29" s="258"/>
      <c r="J29" s="258"/>
      <c r="K29" s="258"/>
      <c r="L29" s="258"/>
      <c r="M29" s="223"/>
      <c r="N29" s="223"/>
      <c r="P29" s="2635"/>
      <c r="Q29" s="258"/>
      <c r="R29" s="258"/>
    </row>
    <row r="30" spans="2:18" hidden="1">
      <c r="B30" s="421" t="s">
        <v>3</v>
      </c>
      <c r="C30" s="433"/>
      <c r="D30" s="259"/>
      <c r="E30" s="259"/>
      <c r="F30" s="259"/>
      <c r="G30" s="259"/>
      <c r="H30" s="259"/>
      <c r="I30" s="259"/>
      <c r="J30" s="259"/>
      <c r="K30" s="259"/>
      <c r="L30" s="259"/>
      <c r="M30" s="223"/>
      <c r="N30" s="223"/>
      <c r="P30" s="2636"/>
      <c r="Q30" s="259"/>
      <c r="R30" s="259"/>
    </row>
    <row r="31" spans="2:18" hidden="1">
      <c r="B31" s="422"/>
      <c r="C31" s="433"/>
      <c r="D31" s="259"/>
      <c r="E31" s="259"/>
      <c r="F31" s="259"/>
      <c r="G31" s="259"/>
      <c r="H31" s="259"/>
      <c r="I31" s="259"/>
      <c r="J31" s="259"/>
      <c r="K31" s="259"/>
      <c r="L31" s="259"/>
      <c r="M31" s="223"/>
      <c r="N31" s="223"/>
      <c r="P31" s="2636"/>
      <c r="Q31" s="259"/>
      <c r="R31" s="259"/>
    </row>
    <row r="32" spans="2:18" hidden="1">
      <c r="B32" s="421" t="s">
        <v>4</v>
      </c>
      <c r="C32" s="432"/>
      <c r="D32" s="258"/>
      <c r="E32" s="258"/>
      <c r="F32" s="258"/>
      <c r="G32" s="258"/>
      <c r="H32" s="258"/>
      <c r="I32" s="258"/>
      <c r="J32" s="258"/>
      <c r="K32" s="258"/>
      <c r="L32" s="258"/>
      <c r="M32" s="223"/>
      <c r="N32" s="223"/>
      <c r="P32" s="2635"/>
      <c r="Q32" s="258"/>
      <c r="R32" s="258"/>
    </row>
    <row r="33" spans="2:21">
      <c r="B33" s="426"/>
      <c r="C33" s="434"/>
      <c r="D33" s="260"/>
      <c r="E33" s="260"/>
      <c r="F33" s="260"/>
      <c r="G33" s="260"/>
      <c r="H33" s="260"/>
      <c r="I33" s="260"/>
      <c r="J33" s="260"/>
      <c r="K33" s="260"/>
      <c r="L33" s="260"/>
      <c r="M33" s="973"/>
      <c r="N33" s="973"/>
      <c r="P33" s="2635"/>
      <c r="Q33" s="260"/>
      <c r="R33" s="260"/>
    </row>
    <row r="35" spans="2:21">
      <c r="C35" s="250"/>
      <c r="D35" s="250"/>
      <c r="F35" s="6" t="s">
        <v>288</v>
      </c>
      <c r="G35" s="316">
        <f ca="1">TODAY()</f>
        <v>46230</v>
      </c>
    </row>
    <row r="36" spans="2:21">
      <c r="D36" s="250"/>
      <c r="F36" s="6" t="s">
        <v>286</v>
      </c>
      <c r="G36" s="261">
        <f ca="1">(1+Valuation!C27)^(1/2)</f>
        <v>1.0484510900057544</v>
      </c>
    </row>
    <row r="37" spans="2:21">
      <c r="F37" s="6" t="s">
        <v>287</v>
      </c>
      <c r="H37" s="262"/>
      <c r="I37" s="262"/>
      <c r="J37" s="262"/>
      <c r="K37" s="262"/>
      <c r="L37" s="262">
        <f t="shared" ref="L37:M37" ca="1" si="13">YEARFRAC($G$35,L3)</f>
        <v>0.42777777777777776</v>
      </c>
      <c r="M37" s="262">
        <f t="shared" ca="1" si="13"/>
        <v>1.4277777777777778</v>
      </c>
      <c r="N37" s="262">
        <f t="shared" ref="N37" ca="1" si="14">YEARFRAC($G$35,N3)</f>
        <v>2.4277777777777776</v>
      </c>
      <c r="O37" s="2661"/>
      <c r="P37" s="262"/>
      <c r="Q37" s="262">
        <f ca="1">YEARFRAC($G$35,Q3)</f>
        <v>126.575</v>
      </c>
      <c r="R37" s="262"/>
    </row>
    <row r="38" spans="2:21" s="263" customFormat="1">
      <c r="F38" s="264" t="s">
        <v>291</v>
      </c>
      <c r="G38" s="264"/>
      <c r="H38" s="675"/>
      <c r="I38" s="675"/>
      <c r="J38" s="675"/>
      <c r="K38" s="675"/>
      <c r="L38" s="675">
        <f ca="1">L23/(1+Valuation!$C$27)^L37</f>
        <v>11811.123059816775</v>
      </c>
      <c r="M38" s="675">
        <f ca="1">M23/(1+Valuation!$C$27)^M37</f>
        <v>8015.3551882559022</v>
      </c>
      <c r="N38" s="675">
        <f ca="1">N23/(1+Valuation!$C$27)^N37</f>
        <v>9843.4554958395038</v>
      </c>
      <c r="O38" s="2652"/>
      <c r="P38" s="675"/>
      <c r="Q38" s="675" t="e">
        <f ca="1">Q23/(1+Valuation!$C$27)^Q37</f>
        <v>#REF!</v>
      </c>
      <c r="R38" s="675"/>
    </row>
    <row r="39" spans="2:21">
      <c r="H39" s="262"/>
      <c r="I39" s="262"/>
      <c r="J39" s="262"/>
      <c r="K39" s="262"/>
      <c r="L39" s="262"/>
      <c r="M39" s="262"/>
      <c r="N39" s="262"/>
      <c r="O39" s="2661"/>
      <c r="P39" s="262"/>
      <c r="Q39" s="262"/>
      <c r="R39" s="262"/>
      <c r="S39" s="262"/>
      <c r="T39" s="262"/>
    </row>
    <row r="41" spans="2:21">
      <c r="H41" s="249"/>
      <c r="I41" s="249"/>
      <c r="J41" s="249"/>
      <c r="K41" s="249"/>
      <c r="L41" s="249"/>
      <c r="M41" s="249"/>
      <c r="N41" s="249"/>
      <c r="O41" s="2649"/>
      <c r="P41" s="249"/>
      <c r="Q41" s="249"/>
      <c r="R41" s="249"/>
      <c r="S41" s="249"/>
      <c r="T41" s="249"/>
      <c r="U41" s="249"/>
    </row>
    <row r="42" spans="2:21">
      <c r="H42" s="1474"/>
      <c r="I42" s="1474"/>
      <c r="J42" s="1474"/>
      <c r="K42" s="1474"/>
      <c r="L42" s="1474"/>
      <c r="M42" s="1474"/>
      <c r="N42" s="1474"/>
      <c r="P42" s="1474"/>
      <c r="Q42" s="1474"/>
      <c r="R42" s="1474"/>
      <c r="S42" s="1474"/>
      <c r="T42" s="1474"/>
      <c r="U42" s="1474"/>
    </row>
    <row r="43" spans="2:21">
      <c r="H43" s="1474"/>
      <c r="I43" s="1474"/>
      <c r="J43" s="1474"/>
      <c r="K43" s="1474"/>
      <c r="L43" s="1474"/>
      <c r="M43" s="1474"/>
      <c r="N43" s="1474"/>
      <c r="P43" s="1474"/>
      <c r="Q43" s="1474"/>
      <c r="R43" s="1474"/>
      <c r="S43" s="1474"/>
      <c r="T43" s="1474"/>
      <c r="U43" s="1474"/>
    </row>
    <row r="44" spans="2:21">
      <c r="F44" s="32">
        <f ca="1">Valuation!C34</f>
        <v>8.9249688134254684E-2</v>
      </c>
      <c r="H44" s="2386"/>
      <c r="I44" s="2386"/>
      <c r="J44" s="2386"/>
      <c r="K44" s="2386"/>
      <c r="L44" s="2386"/>
      <c r="M44" s="2386"/>
      <c r="N44" s="2386"/>
      <c r="O44" s="2386"/>
      <c r="P44" s="2386"/>
      <c r="Q44" s="2386"/>
      <c r="R44" s="2386"/>
      <c r="S44" s="2386"/>
      <c r="T44" s="2386"/>
      <c r="U44" s="2386"/>
    </row>
    <row r="45" spans="2:21">
      <c r="F45" s="32">
        <f ca="1">Valuation!C35</f>
        <v>9.4249688134254689E-2</v>
      </c>
      <c r="H45" s="2386"/>
      <c r="I45" s="2386"/>
      <c r="J45" s="2386"/>
      <c r="K45" s="2386"/>
      <c r="L45" s="2386"/>
      <c r="M45" s="2386"/>
      <c r="N45" s="2386"/>
      <c r="O45" s="2386"/>
      <c r="P45" s="2386"/>
      <c r="Q45" s="2386"/>
      <c r="R45" s="2386"/>
      <c r="S45" s="2386"/>
      <c r="T45" s="2386"/>
      <c r="U45" s="2386"/>
    </row>
    <row r="46" spans="2:21">
      <c r="F46" s="265">
        <f ca="1">Valuation!C36</f>
        <v>9.9249688134254693E-2</v>
      </c>
      <c r="G46" s="266"/>
      <c r="H46" s="2386"/>
      <c r="I46" s="2386"/>
      <c r="J46" s="2386"/>
      <c r="K46" s="2386"/>
      <c r="L46" s="2386"/>
      <c r="M46" s="2386"/>
      <c r="N46" s="2386"/>
      <c r="O46" s="2386"/>
      <c r="P46" s="2386"/>
      <c r="Q46" s="2386"/>
      <c r="R46" s="2386"/>
      <c r="S46" s="2386"/>
      <c r="T46" s="2386"/>
      <c r="U46" s="2386"/>
    </row>
    <row r="47" spans="2:21">
      <c r="F47" s="32">
        <f ca="1">Valuation!C37</f>
        <v>0.1042496881342547</v>
      </c>
      <c r="H47" s="2386"/>
      <c r="I47" s="2386"/>
      <c r="J47" s="2386"/>
      <c r="K47" s="2386"/>
      <c r="L47" s="2386"/>
      <c r="M47" s="2386"/>
      <c r="N47" s="2386"/>
      <c r="O47" s="2386"/>
      <c r="P47" s="2386"/>
      <c r="Q47" s="2386"/>
      <c r="R47" s="2386"/>
      <c r="S47" s="2386"/>
      <c r="T47" s="2386"/>
      <c r="U47" s="2386"/>
    </row>
    <row r="48" spans="2:21">
      <c r="F48" s="32">
        <f ca="1">Valuation!C38</f>
        <v>0.1092496881342547</v>
      </c>
      <c r="H48" s="2386"/>
      <c r="I48" s="2386"/>
      <c r="J48" s="2386"/>
      <c r="K48" s="2386"/>
      <c r="L48" s="2386"/>
      <c r="M48" s="2386"/>
      <c r="N48" s="2386"/>
      <c r="O48" s="2386"/>
      <c r="P48" s="2386"/>
      <c r="Q48" s="2386"/>
      <c r="R48" s="2386"/>
      <c r="S48" s="2386"/>
      <c r="T48" s="2386"/>
      <c r="U48" s="2386"/>
    </row>
    <row r="49" spans="2:23">
      <c r="F49" s="32">
        <f ca="1">Valuation!C39</f>
        <v>0.11424968813425471</v>
      </c>
      <c r="H49" s="2386"/>
      <c r="I49" s="2386"/>
      <c r="J49" s="2386"/>
      <c r="K49" s="2386"/>
      <c r="L49" s="2386"/>
      <c r="M49" s="2386"/>
      <c r="N49" s="2386"/>
      <c r="O49" s="2386"/>
      <c r="P49" s="2386"/>
      <c r="Q49" s="2386"/>
      <c r="R49" s="2386"/>
      <c r="S49" s="2386"/>
      <c r="T49" s="2386"/>
      <c r="U49" s="2386"/>
    </row>
    <row r="50" spans="2:23">
      <c r="G50" s="237"/>
    </row>
    <row r="54" spans="2:23">
      <c r="B54" s="354"/>
    </row>
    <row r="55" spans="2:23">
      <c r="B55" s="1445" t="s">
        <v>1033</v>
      </c>
      <c r="C55" s="1550"/>
      <c r="D55" s="1551"/>
      <c r="E55" s="1551"/>
      <c r="F55" s="1551"/>
      <c r="G55" s="1551"/>
      <c r="H55" s="1551"/>
      <c r="I55" s="1551"/>
      <c r="J55" s="3427"/>
      <c r="K55" s="3427"/>
      <c r="L55" s="3428"/>
      <c r="M55" s="3428"/>
      <c r="N55" s="3429"/>
      <c r="O55" s="2630"/>
      <c r="P55" s="2642"/>
      <c r="Q55" s="1546" t="s">
        <v>28</v>
      </c>
      <c r="R55" s="1546"/>
      <c r="S55" s="1546"/>
      <c r="T55" s="1546"/>
      <c r="U55" s="1547"/>
    </row>
    <row r="56" spans="2:23">
      <c r="B56" s="1557"/>
      <c r="C56" s="1552">
        <v>2017</v>
      </c>
      <c r="D56" s="1553">
        <v>2018</v>
      </c>
      <c r="E56" s="1553">
        <v>2019</v>
      </c>
      <c r="F56" s="1553">
        <v>2020</v>
      </c>
      <c r="G56" s="1553">
        <v>2021</v>
      </c>
      <c r="H56" s="1553">
        <v>2022</v>
      </c>
      <c r="I56" s="1553">
        <v>2023</v>
      </c>
      <c r="J56" s="1553">
        <v>2024</v>
      </c>
      <c r="K56" s="1553">
        <v>2025</v>
      </c>
      <c r="L56" s="1555">
        <v>2026</v>
      </c>
      <c r="M56" s="1555">
        <v>2027</v>
      </c>
      <c r="N56" s="1556">
        <v>2028</v>
      </c>
      <c r="O56" s="2631"/>
      <c r="P56" s="1548"/>
      <c r="Q56" s="1555">
        <v>2023</v>
      </c>
      <c r="R56" s="1555"/>
    </row>
    <row r="57" spans="2:23" s="1" customFormat="1">
      <c r="B57" s="389" t="s">
        <v>172</v>
      </c>
      <c r="C57" s="920">
        <f>Data!Q395+Data!Q412</f>
        <v>3761.473975552</v>
      </c>
      <c r="D57" s="920">
        <f>Data!R395+Data!R412</f>
        <v>3427.6891218669998</v>
      </c>
      <c r="E57" s="920">
        <f>Data!S395+Data!S412</f>
        <v>4025.8912356649998</v>
      </c>
      <c r="F57" s="920">
        <f>Data!T395+Data!T412</f>
        <v>4485.1697011849992</v>
      </c>
      <c r="G57" s="2366">
        <f>Data!U395+Data!U412</f>
        <v>5292.1717863889999</v>
      </c>
      <c r="H57" s="920">
        <f>Data!V395+Data!V412</f>
        <v>6440.4362681510001</v>
      </c>
      <c r="I57" s="920">
        <f>Data!W395+Data!W412</f>
        <v>8231.6612685159998</v>
      </c>
      <c r="J57" s="920">
        <f>Data!X395+Data!X412</f>
        <v>9859.75</v>
      </c>
      <c r="K57" s="920">
        <f>Data!Y395+Data!Y412</f>
        <v>10791.69</v>
      </c>
      <c r="L57" s="1805">
        <f ca="1">PL!Q53</f>
        <v>11281.048986496886</v>
      </c>
      <c r="M57" s="1805">
        <f ca="1">PL!R53</f>
        <v>12763.954180221395</v>
      </c>
      <c r="N57" s="1805">
        <f ca="1">PL!S53</f>
        <v>14462.518801907272</v>
      </c>
      <c r="O57" s="1477"/>
      <c r="P57" s="1804"/>
      <c r="Q57" s="1805" t="e">
        <f>PL!#REF!</f>
        <v>#REF!</v>
      </c>
      <c r="R57" s="2380"/>
      <c r="W57" s="248"/>
    </row>
    <row r="58" spans="2:23">
      <c r="B58" s="33" t="s">
        <v>464</v>
      </c>
      <c r="C58" s="792">
        <f>Data!Q396</f>
        <v>1039.4167683420001</v>
      </c>
      <c r="D58" s="792">
        <f>Data!R396</f>
        <v>1164.692003074</v>
      </c>
      <c r="E58" s="792">
        <f>Data!S396</f>
        <v>1354.613458881</v>
      </c>
      <c r="F58" s="792">
        <f>Data!T396</f>
        <v>1490.607476892</v>
      </c>
      <c r="G58" s="2367">
        <f>Data!U396</f>
        <v>1643.9156853320001</v>
      </c>
      <c r="H58" s="792">
        <f>Data!V396</f>
        <v>1833.0644991280001</v>
      </c>
      <c r="I58" s="792">
        <f>Data!W396</f>
        <v>2286.514158688</v>
      </c>
      <c r="J58" s="792">
        <f>Data!X396</f>
        <v>2535.3000000000002</v>
      </c>
      <c r="K58" s="792">
        <f>Data!Y396</f>
        <v>2899.52</v>
      </c>
      <c r="L58" s="1494">
        <f ca="1">BS!Q230</f>
        <v>2697.8567101337107</v>
      </c>
      <c r="M58" s="1494">
        <f ca="1">BS!R230</f>
        <v>2700.7971225783858</v>
      </c>
      <c r="N58" s="1494">
        <f ca="1">BS!S230</f>
        <v>2734.9740347928778</v>
      </c>
      <c r="O58" s="1949"/>
      <c r="P58" s="369"/>
      <c r="Q58" s="2637">
        <f>BS!V230</f>
        <v>0</v>
      </c>
      <c r="R58" s="2379"/>
      <c r="W58" s="248"/>
    </row>
    <row r="59" spans="2:23">
      <c r="B59" s="33" t="s">
        <v>475</v>
      </c>
      <c r="C59" s="792">
        <f>Data!Q398</f>
        <v>184.56826673899999</v>
      </c>
      <c r="D59" s="792">
        <f>Data!R398</f>
        <v>120.544469503</v>
      </c>
      <c r="E59" s="792">
        <f>Data!S398</f>
        <v>287.78575501500001</v>
      </c>
      <c r="F59" s="792">
        <f>Data!T398</f>
        <v>313.85113848600002</v>
      </c>
      <c r="G59" s="2367">
        <f>Data!U398</f>
        <v>352.20792415400001</v>
      </c>
      <c r="H59" s="792">
        <f>Data!V398</f>
        <v>880.25374025199994</v>
      </c>
      <c r="I59" s="792">
        <f>Data!W398</f>
        <v>677.92874905300005</v>
      </c>
      <c r="J59" s="792">
        <f>Data!X398</f>
        <v>1148.95</v>
      </c>
      <c r="K59" s="792">
        <f>Data!Y398</f>
        <v>630.21</v>
      </c>
      <c r="L59" s="1494">
        <f>(BS!P8-BS!Q8)+(BS!P10-BS!Q10)+(BS!P12-BS!Q12)+(BS!P31-BS!Q31)+(BS!P33-BS!Q33)</f>
        <v>0</v>
      </c>
      <c r="M59" s="1494">
        <f>(BS!Q8-BS!R8)+(BS!Q10-BS!R10)+(BS!Q12-BS!R12)+(BS!Q31-BS!R31)+(BS!Q33-BS!R33)</f>
        <v>0</v>
      </c>
      <c r="N59" s="1494">
        <f>(BS!R8-BS!S8)+(BS!R10-BS!S10)+(BS!R12-BS!S12)+(BS!R31-BS!S31)+(BS!R33-BS!S33)</f>
        <v>0</v>
      </c>
      <c r="O59" s="1949"/>
      <c r="P59" s="369"/>
      <c r="Q59" s="1494">
        <f>(BS!M8-BS!V8)+(BS!M10-BS!V10)+(BS!M12-BS!V12)+(BS!M31-BS!V31)+(BS!M33-BS!V33)</f>
        <v>121.18267374799996</v>
      </c>
      <c r="R59" s="2379"/>
      <c r="W59" s="248"/>
    </row>
    <row r="60" spans="2:23">
      <c r="B60" s="1727" t="s">
        <v>1090</v>
      </c>
      <c r="C60" s="792">
        <f>SUM(Data!Q403)</f>
        <v>0</v>
      </c>
      <c r="D60" s="792">
        <f>SUM(Data!R403)</f>
        <v>0</v>
      </c>
      <c r="E60" s="792">
        <f>SUM(Data!S403)</f>
        <v>0</v>
      </c>
      <c r="F60" s="792">
        <f>SUM(Data!T403)</f>
        <v>0</v>
      </c>
      <c r="G60" s="2367">
        <f>SUM(Data!U403)</f>
        <v>0</v>
      </c>
      <c r="H60" s="792">
        <f>SUM(Data!V403)</f>
        <v>0</v>
      </c>
      <c r="I60" s="792">
        <f>SUM(Data!W403)</f>
        <v>0</v>
      </c>
      <c r="J60" s="792">
        <f>SUM(Data!X403)</f>
        <v>0</v>
      </c>
      <c r="K60" s="792">
        <f>SUM(Data!Y403)</f>
        <v>0</v>
      </c>
      <c r="L60" s="1494">
        <f ca="1">-PL!Q45</f>
        <v>-2859.7303340210856</v>
      </c>
      <c r="M60" s="1494">
        <f ca="1">-PL!R45</f>
        <v>-3099.4159494000005</v>
      </c>
      <c r="N60" s="1494">
        <f ca="1">-PL!S45</f>
        <v>-3597.2267734200009</v>
      </c>
      <c r="O60" s="1949"/>
      <c r="P60" s="369"/>
      <c r="Q60" s="1494" t="e">
        <f>-PL!#REF!</f>
        <v>#REF!</v>
      </c>
      <c r="R60" s="2379"/>
      <c r="W60" s="248"/>
    </row>
    <row r="61" spans="2:23">
      <c r="B61" s="33" t="s">
        <v>476</v>
      </c>
      <c r="C61" s="792">
        <f>Data!Q402</f>
        <v>368.54567954800001</v>
      </c>
      <c r="D61" s="792">
        <f>Data!R402</f>
        <v>238.34443174699999</v>
      </c>
      <c r="E61" s="792">
        <f>Data!S402</f>
        <v>358.98753745200003</v>
      </c>
      <c r="F61" s="792">
        <f>Data!T402</f>
        <v>385.33775489599998</v>
      </c>
      <c r="G61" s="2367">
        <f>Data!U402</f>
        <v>483.995846804</v>
      </c>
      <c r="H61" s="792">
        <f>Data!V402</f>
        <v>645.72555630800002</v>
      </c>
      <c r="I61" s="792">
        <f>Data!W402</f>
        <v>832.64861126100004</v>
      </c>
      <c r="J61" s="792">
        <f>Data!X402</f>
        <v>551.64</v>
      </c>
      <c r="K61" s="792">
        <f>Data!Y402</f>
        <v>809.76</v>
      </c>
      <c r="L61" s="1494">
        <f ca="1">PL!Q35</f>
        <v>923.89831994199756</v>
      </c>
      <c r="M61" s="1494">
        <f ca="1">PL!R35</f>
        <v>977.65975787004106</v>
      </c>
      <c r="N61" s="1494">
        <f ca="1">PL!S35</f>
        <v>988.44918091706143</v>
      </c>
      <c r="O61" s="1949"/>
      <c r="P61" s="369"/>
      <c r="Q61" s="1494" t="e">
        <f>PL!#REF!</f>
        <v>#REF!</v>
      </c>
      <c r="R61" s="2379"/>
      <c r="W61" s="248"/>
    </row>
    <row r="62" spans="2:23">
      <c r="B62" s="33" t="s">
        <v>477</v>
      </c>
      <c r="C62" s="792">
        <f>Data!Q411</f>
        <v>-386.40984220600001</v>
      </c>
      <c r="D62" s="792">
        <f>Data!R411</f>
        <v>-263.54329955499998</v>
      </c>
      <c r="E62" s="792">
        <f>Data!S411</f>
        <v>-338.49704820699998</v>
      </c>
      <c r="F62" s="792">
        <f>Data!T411</f>
        <v>-401.91378473200001</v>
      </c>
      <c r="G62" s="2367">
        <f>Data!U411</f>
        <v>-451.55566583799998</v>
      </c>
      <c r="H62" s="792">
        <f>Data!V411</f>
        <v>-635.68896953800004</v>
      </c>
      <c r="I62" s="792">
        <f>Data!W411</f>
        <v>-832.03837594499998</v>
      </c>
      <c r="J62" s="792">
        <f>Data!X411</f>
        <v>-607.15</v>
      </c>
      <c r="K62" s="792">
        <f>Data!Y411</f>
        <v>-812.47</v>
      </c>
      <c r="L62" s="1494">
        <f ca="1">-PL!Q35</f>
        <v>-923.89831994199756</v>
      </c>
      <c r="M62" s="1494">
        <f ca="1">-PL!R35</f>
        <v>-977.65975787004106</v>
      </c>
      <c r="N62" s="1494">
        <f ca="1">-PL!S35</f>
        <v>-988.44918091706143</v>
      </c>
      <c r="O62" s="1949"/>
      <c r="P62" s="369"/>
      <c r="Q62" s="1494" t="e">
        <f>-PL!#REF!</f>
        <v>#REF!</v>
      </c>
      <c r="R62" s="2379"/>
      <c r="W62" s="248"/>
    </row>
    <row r="63" spans="2:23">
      <c r="B63" s="33" t="s">
        <v>1023</v>
      </c>
      <c r="C63" s="792">
        <f>Data!Q404+Data!Q397+Data!Q434+SUM(Data!Q399:Q401)</f>
        <v>-1349.9056782549999</v>
      </c>
      <c r="D63" s="792">
        <f>Data!R404+Data!R397+Data!R434+SUM(Data!R399:R401)</f>
        <v>-742.67679706900003</v>
      </c>
      <c r="E63" s="792">
        <f>Data!S404+Data!S397+Data!S434+SUM(Data!S399:S401)</f>
        <v>-905.56543988199996</v>
      </c>
      <c r="F63" s="792">
        <f>Data!T404+Data!T397+Data!T434+SUM(Data!T399:T401)</f>
        <v>-1043.1131172799999</v>
      </c>
      <c r="G63" s="2367">
        <f>Data!U404+Data!U397+Data!U434+SUM(Data!U399:U401)</f>
        <v>-1824.214825065</v>
      </c>
      <c r="H63" s="792">
        <f>Data!V404+Data!V397+Data!V434+SUM(Data!V399:V401)</f>
        <v>-1994.4864346920001</v>
      </c>
      <c r="I63" s="792">
        <f>Data!W404+Data!W397+Data!W434+SUM(Data!W399:W401)</f>
        <v>-1971.696798793</v>
      </c>
      <c r="J63" s="792">
        <f>Data!X404+Data!X397+Data!X434+SUM(Data!X399:X401)</f>
        <v>-1686.63</v>
      </c>
      <c r="K63" s="792">
        <f>Data!Y404+Data!Y397+Data!Y434+SUM(Data!Y399:Y401)</f>
        <v>-2709.43</v>
      </c>
      <c r="L63" s="1494">
        <f ca="1">(BS!P35-BS!Q35)+(BS!P32-BS!Q32)+(BS!P34-BS!Q34)+(BS!Q54-BS!P54)-(PL!Q39+PL!Q45)</f>
        <v>-3149.5393826845284</v>
      </c>
      <c r="M63" s="1494">
        <f ca="1">(BS!Q35-BS!R35)+(BS!Q32-BS!R32)+(BS!Q34-BS!R34)+(BS!R54-BS!Q54)-(PL!R39+PL!R45)</f>
        <v>-4157.0999991129156</v>
      </c>
      <c r="N63" s="1494">
        <f ca="1">(BS!R35-BS!S35)+(BS!R32-BS!S32)+(BS!R34-BS!S34)+(BS!S54-BS!R54)-(PL!S39+PL!S45)</f>
        <v>-4691.2624736980233</v>
      </c>
      <c r="O63" s="1949"/>
      <c r="P63" s="369"/>
      <c r="Q63" s="1494" t="e">
        <f>(BS!M35-BS!V35)+(BS!M32-BS!V32)+(BS!M34-BS!V34)+(BS!V54-BS!M54)-(PL!#REF!+PL!#REF!)</f>
        <v>#REF!</v>
      </c>
      <c r="R63" s="2379"/>
      <c r="W63" s="248"/>
    </row>
    <row r="64" spans="2:23" ht="13.5" customHeight="1">
      <c r="B64" s="1653" t="s">
        <v>1495</v>
      </c>
      <c r="C64" s="792">
        <f>Data!Q406</f>
        <v>-2311.600942433</v>
      </c>
      <c r="D64" s="792">
        <f>Data!R406</f>
        <v>-159.34447286700001</v>
      </c>
      <c r="E64" s="792">
        <f>Data!S406</f>
        <v>-481.20292128199998</v>
      </c>
      <c r="F64" s="792">
        <f>Data!T406</f>
        <v>311.57147517200002</v>
      </c>
      <c r="G64" s="2367">
        <f>Data!U406</f>
        <v>-693.50320010600001</v>
      </c>
      <c r="H64" s="792">
        <f>Data!V406</f>
        <v>-1949.0233272959999</v>
      </c>
      <c r="I64" s="792">
        <f>Data!W406</f>
        <v>-1163.209212196</v>
      </c>
      <c r="J64" s="792">
        <f>Data!X406</f>
        <v>-1913.66</v>
      </c>
      <c r="K64" s="792">
        <f>Data!Y406</f>
        <v>-2814.39</v>
      </c>
      <c r="L64" s="1494">
        <f ca="1">BS!P9-BS!Q9</f>
        <v>3645.0466406741671</v>
      </c>
      <c r="M64" s="1494">
        <f ca="1">BS!Q9-BS!R9</f>
        <v>-1390.4766688644995</v>
      </c>
      <c r="N64" s="1494">
        <f ca="1">BS!R9-BS!S9</f>
        <v>-1683.0677815890413</v>
      </c>
      <c r="O64" s="1949"/>
      <c r="P64" s="369"/>
      <c r="Q64" s="1494" t="e">
        <f>BS!M9-BS!V9</f>
        <v>#REF!</v>
      </c>
      <c r="R64" s="2379"/>
      <c r="W64" s="248"/>
    </row>
    <row r="65" spans="2:23">
      <c r="B65" s="306" t="s">
        <v>465</v>
      </c>
      <c r="C65" s="792">
        <f>Data!Q407</f>
        <v>-617.88789621700005</v>
      </c>
      <c r="D65" s="792">
        <f>Data!R407</f>
        <v>-229.10821869</v>
      </c>
      <c r="E65" s="792">
        <f>Data!S407</f>
        <v>256.05882941700003</v>
      </c>
      <c r="F65" s="792">
        <f>Data!T407</f>
        <v>-55.124600921999999</v>
      </c>
      <c r="G65" s="2367">
        <f>Data!U407</f>
        <v>-218.23182623899999</v>
      </c>
      <c r="H65" s="792">
        <f>Data!V407</f>
        <v>-497.80271100800002</v>
      </c>
      <c r="I65" s="792">
        <f>Data!W407</f>
        <v>396.16111489100001</v>
      </c>
      <c r="J65" s="792">
        <f>Data!X407</f>
        <v>-265.27</v>
      </c>
      <c r="K65" s="792">
        <f>Data!Y407</f>
        <v>-308.49</v>
      </c>
      <c r="L65" s="1494">
        <f ca="1">BS!P11-BS!Q11</f>
        <v>510.25086556601491</v>
      </c>
      <c r="M65" s="1494">
        <f ca="1">BS!Q11-BS!R11</f>
        <v>-293.30962135465143</v>
      </c>
      <c r="N65" s="1494">
        <f ca="1">BS!R11-BS!S11</f>
        <v>-339.56117273039536</v>
      </c>
      <c r="O65" s="1949"/>
      <c r="P65" s="369"/>
      <c r="Q65" s="1494" t="e">
        <f>BS!M11-BS!V11</f>
        <v>#REF!</v>
      </c>
      <c r="R65" s="2379"/>
      <c r="W65" s="248"/>
    </row>
    <row r="66" spans="2:23">
      <c r="B66" s="306" t="s">
        <v>684</v>
      </c>
      <c r="C66" s="792">
        <f>Data!Q409+Data!Q413</f>
        <v>-143.62464018</v>
      </c>
      <c r="D66" s="792">
        <f>Data!R409+Data!R413</f>
        <v>-367.68875943400002</v>
      </c>
      <c r="E66" s="792">
        <f>Data!S409+Data!S413</f>
        <v>-684.59793146600009</v>
      </c>
      <c r="F66" s="792">
        <f>Data!T409+Data!T413</f>
        <v>51.528448148000003</v>
      </c>
      <c r="G66" s="2367">
        <f>Data!U409+Data!U413</f>
        <v>-375.54313413400001</v>
      </c>
      <c r="H66" s="792">
        <f>Data!V409+Data!V413</f>
        <v>-633.95141358299998</v>
      </c>
      <c r="I66" s="792">
        <f>Data!W409+Data!W413</f>
        <v>65.247409504999993</v>
      </c>
      <c r="J66" s="792">
        <f>Data!X409+Data!X413</f>
        <v>-393.96</v>
      </c>
      <c r="K66" s="792">
        <f>Data!Y409+Data!Y413</f>
        <v>-594.70000000000005</v>
      </c>
      <c r="L66" s="1494">
        <f ca="1">(BS!P13-BS!Q13)</f>
        <v>673.80291309123731</v>
      </c>
      <c r="M66" s="1494">
        <f ca="1">(BS!Q13-BS!R13)</f>
        <v>-453.08663407803942</v>
      </c>
      <c r="N66" s="1494">
        <f ca="1">(BS!R13-BS!S13)</f>
        <v>-548.42740850021755</v>
      </c>
      <c r="O66" s="1949"/>
      <c r="P66" s="369"/>
      <c r="Q66" s="1494" t="e">
        <f>(BS!M13-BS!V13)</f>
        <v>#REF!</v>
      </c>
      <c r="R66" s="2379"/>
      <c r="W66" s="248"/>
    </row>
    <row r="67" spans="2:23">
      <c r="B67" s="1040" t="s">
        <v>682</v>
      </c>
      <c r="C67" s="1039">
        <f>Data!Q410</f>
        <v>0</v>
      </c>
      <c r="D67" s="1039">
        <f>Data!R410</f>
        <v>0</v>
      </c>
      <c r="E67" s="1039">
        <f>Data!S410</f>
        <v>0</v>
      </c>
      <c r="F67" s="1039">
        <f>Data!T410</f>
        <v>0</v>
      </c>
      <c r="G67" s="2368">
        <f>Data!U410</f>
        <v>0</v>
      </c>
      <c r="H67" s="1039">
        <f>Data!V410</f>
        <v>0</v>
      </c>
      <c r="I67" s="1039">
        <f>Data!W410</f>
        <v>0</v>
      </c>
      <c r="J67" s="1039">
        <f>Data!X410</f>
        <v>0</v>
      </c>
      <c r="K67" s="1039">
        <f>Data!Y410</f>
        <v>0</v>
      </c>
      <c r="L67" s="2638"/>
      <c r="M67" s="2638"/>
      <c r="N67" s="2638"/>
      <c r="O67" s="2662"/>
      <c r="P67" s="2643"/>
      <c r="Q67" s="2638"/>
      <c r="R67" s="2381"/>
      <c r="W67" s="248"/>
    </row>
    <row r="68" spans="2:23">
      <c r="B68" s="306" t="s">
        <v>466</v>
      </c>
      <c r="C68" s="792">
        <f>Data!Q408</f>
        <v>1709.299259291</v>
      </c>
      <c r="D68" s="792">
        <f>Data!R408</f>
        <v>644.98503148999998</v>
      </c>
      <c r="E68" s="792">
        <f>Data!S408</f>
        <v>305.73766800099997</v>
      </c>
      <c r="F68" s="792">
        <f>Data!T408</f>
        <v>1060.519849887</v>
      </c>
      <c r="G68" s="2369">
        <f>Data!U408</f>
        <v>1910.0900014490001</v>
      </c>
      <c r="H68" s="792">
        <f>Data!V408</f>
        <v>1299.834862339</v>
      </c>
      <c r="I68" s="792">
        <f>Data!W408</f>
        <v>1380.2557708889999</v>
      </c>
      <c r="J68" s="792">
        <f>Data!X408</f>
        <v>2875.57</v>
      </c>
      <c r="K68" s="792">
        <f>Data!Y408</f>
        <v>2571.04</v>
      </c>
      <c r="L68" s="1494">
        <f ca="1">(BS!Q43-BS!P43)+(BS!Q44-BS!P44)</f>
        <v>-1292.7567303474316</v>
      </c>
      <c r="M68" s="1494">
        <f ca="1">(BS!R43-BS!Q43)+(BS!R44-BS!Q44)</f>
        <v>739.39904842079898</v>
      </c>
      <c r="N68" s="1494">
        <f ca="1">(BS!S43-BS!R43)+(BS!S44-BS!R44)</f>
        <v>855.99376808006423</v>
      </c>
      <c r="O68" s="1949"/>
      <c r="P68" s="369"/>
      <c r="Q68" s="1494" t="e">
        <f>(BS!V43-BS!M43)+(BS!V44-BS!M44)</f>
        <v>#REF!</v>
      </c>
      <c r="R68" s="2379"/>
      <c r="W68" s="248"/>
    </row>
    <row r="69" spans="2:23">
      <c r="B69" s="306" t="s">
        <v>683</v>
      </c>
      <c r="C69" s="793">
        <f>Data!Q414</f>
        <v>-265.69128526600002</v>
      </c>
      <c r="D69" s="793">
        <f>Data!R414</f>
        <v>-245.57341772999999</v>
      </c>
      <c r="E69" s="793">
        <f>Data!S414</f>
        <v>-292.11060030599998</v>
      </c>
      <c r="F69" s="793">
        <f>Data!T414</f>
        <v>-258.86384821600001</v>
      </c>
      <c r="G69" s="2370">
        <f>Data!U414</f>
        <v>-339.45099161399997</v>
      </c>
      <c r="H69" s="793">
        <f>Data!V414</f>
        <v>-349.95390998300002</v>
      </c>
      <c r="I69" s="793">
        <f>Data!W414</f>
        <v>-347.73508256399998</v>
      </c>
      <c r="J69" s="793">
        <f>Data!X414</f>
        <v>-408.67</v>
      </c>
      <c r="K69" s="793">
        <f>Data!Y414</f>
        <v>-379.7</v>
      </c>
      <c r="L69" s="1494">
        <f ca="1">SUM(BS!Q45,BS!Q46,BS!Q47,BS!Q49)-SUM(BS!P45,BS!P46,BS!P47,BS!P49)</f>
        <v>-2378.4951778848881</v>
      </c>
      <c r="M69" s="1494">
        <f ca="1">SUM(BS!R45,BS!R46,BS!R47,BS!R49)-SUM(BS!Q45,BS!Q46,BS!Q47,BS!Q49)</f>
        <v>904.6107897514612</v>
      </c>
      <c r="N69" s="1494">
        <f ca="1">SUM(BS!S45,BS!S46,BS!S47,BS!S49)-SUM(BS!R45,BS!R46,BS!R47,BS!R49)</f>
        <v>1082.6866977370919</v>
      </c>
      <c r="O69" s="1949"/>
      <c r="P69" s="369"/>
      <c r="Q69" s="2639" t="e">
        <f>SUM(BS!V45,BS!V46,BS!V47,BS!V49)-SUM(BS!M45,BS!M46,BS!M47,BS!M49)</f>
        <v>#REF!</v>
      </c>
      <c r="R69" s="2382"/>
      <c r="W69" s="248"/>
    </row>
    <row r="70" spans="2:23" s="1" customFormat="1">
      <c r="B70" s="390" t="s">
        <v>467</v>
      </c>
      <c r="C70" s="794">
        <f t="shared" ref="C70:Q70" si="15">SUM(C57:C69)</f>
        <v>1988.1836649150016</v>
      </c>
      <c r="D70" s="794">
        <f t="shared" ref="D70:I70" si="16">SUM(D57:D69)</f>
        <v>3588.3200923360005</v>
      </c>
      <c r="E70" s="794">
        <f t="shared" si="16"/>
        <v>3887.1005432880006</v>
      </c>
      <c r="F70" s="794">
        <f t="shared" si="16"/>
        <v>6339.5704935159993</v>
      </c>
      <c r="G70" s="2371">
        <f t="shared" si="16"/>
        <v>5779.8816011320014</v>
      </c>
      <c r="H70" s="2065">
        <f t="shared" si="16"/>
        <v>5038.4081600779991</v>
      </c>
      <c r="I70" s="2065">
        <f t="shared" si="16"/>
        <v>9555.7376133050002</v>
      </c>
      <c r="J70" s="2065">
        <f t="shared" ref="J70" si="17">SUM(J57:J69)</f>
        <v>11695.87</v>
      </c>
      <c r="K70" s="2065">
        <f t="shared" ref="K70" si="18">SUM(K57:K69)</f>
        <v>10083.040000000003</v>
      </c>
      <c r="L70" s="2647">
        <f ca="1">SUM(L57:L69)</f>
        <v>9127.4844910240827</v>
      </c>
      <c r="M70" s="2647">
        <f ca="1">SUM(M57:M69)</f>
        <v>7715.3722681619338</v>
      </c>
      <c r="N70" s="2647">
        <f ca="1">SUM(N57:N69)</f>
        <v>8276.6276925796265</v>
      </c>
      <c r="O70" s="1477"/>
      <c r="P70" s="697"/>
      <c r="Q70" s="2405" t="e">
        <f t="shared" si="15"/>
        <v>#REF!</v>
      </c>
      <c r="R70" s="2383"/>
      <c r="W70" s="248"/>
    </row>
    <row r="71" spans="2:23" s="1" customFormat="1">
      <c r="B71" s="33"/>
      <c r="C71" s="795"/>
      <c r="D71" s="795"/>
      <c r="E71" s="795"/>
      <c r="F71" s="795"/>
      <c r="G71" s="795"/>
      <c r="H71" s="795"/>
      <c r="I71" s="795"/>
      <c r="J71" s="795"/>
      <c r="K71" s="795"/>
      <c r="L71" s="1494"/>
      <c r="M71" s="1494"/>
      <c r="N71" s="1494"/>
      <c r="O71" s="1949"/>
      <c r="P71" s="369"/>
      <c r="Q71" s="2640"/>
      <c r="R71" s="2384"/>
      <c r="W71" s="248"/>
    </row>
    <row r="72" spans="2:23">
      <c r="B72" s="33" t="s">
        <v>478</v>
      </c>
      <c r="C72" s="792">
        <f>SUM(Data!Q416:Q417)</f>
        <v>-1100.497925077</v>
      </c>
      <c r="D72" s="792">
        <f>SUM(Data!R416:R417)</f>
        <v>-2452.9022756999998</v>
      </c>
      <c r="E72" s="792">
        <f>SUM(Data!S416:S417)</f>
        <v>-3230.8181897989998</v>
      </c>
      <c r="F72" s="792">
        <f>SUM(Data!T416:T417)</f>
        <v>-3014.3222869030001</v>
      </c>
      <c r="G72" s="792">
        <f>SUM(Data!U416:U417)</f>
        <v>-2908.1342824399999</v>
      </c>
      <c r="H72" s="792">
        <f>SUM(Data!V416:V417)</f>
        <v>-3209.5811708430001</v>
      </c>
      <c r="I72" s="792">
        <f>SUM(Data!W416:W417)</f>
        <v>-3948.982427209</v>
      </c>
      <c r="J72" s="792">
        <f>SUM(Data!X416:X417)</f>
        <v>-3261.08</v>
      </c>
      <c r="K72" s="792">
        <f>SUM(Data!Y416:Y417)</f>
        <v>-5143.4800000000005</v>
      </c>
      <c r="L72" s="1494">
        <f ca="1">-((BS!Q16-BS!P16)+(BS!Q26-BS!P26)+(BS!Q23-BS!P23)+(BS!Q19-BS!P19)+L58)-(BS!Q29-BS!P29)</f>
        <v>3432.6764008253026</v>
      </c>
      <c r="M72" s="1494">
        <f ca="1">-((BS!R16-BS!Q16)+(BS!R26-BS!Q26)+(BS!R23-BS!Q23)+(BS!R19-BS!Q19)+M58)-(BS!R29-BS!Q29)</f>
        <v>-5275.6016160000008</v>
      </c>
      <c r="N72" s="1494">
        <f ca="1">-((BS!S16-BS!R16)+(BS!S26-BS!R26)+(BS!S23-BS!R23)+(BS!S19-BS!R19)+N58)-(BS!S29-BS!R29)</f>
        <v>-6122.9391888000018</v>
      </c>
      <c r="O72" s="1949"/>
      <c r="P72" s="369"/>
      <c r="Q72" s="1494" t="e">
        <f>-((BS!V16-BS!M16)+(BS!V26-BS!M26)+(BS!V23-BS!M23)+(BS!V19-BS!M19)+Q58)-(BS!V29-BS!M29)</f>
        <v>#REF!</v>
      </c>
      <c r="R72" s="2379"/>
      <c r="W72" s="248"/>
    </row>
    <row r="73" spans="2:23">
      <c r="B73" s="33" t="s">
        <v>479</v>
      </c>
      <c r="C73" s="792">
        <f>SUM(Data!Q418:Q419)</f>
        <v>-942.50821580599995</v>
      </c>
      <c r="D73" s="792">
        <f>SUM(Data!R418:R419)</f>
        <v>-1188.2207150639999</v>
      </c>
      <c r="E73" s="792">
        <f>SUM(Data!S418:S419)</f>
        <v>-1206.8736857450001</v>
      </c>
      <c r="F73" s="792">
        <f>SUM(Data!T418:T419)</f>
        <v>-5954.0913217389998</v>
      </c>
      <c r="G73" s="792">
        <f>SUM(Data!U418:U419)</f>
        <v>-8237.1091357039986</v>
      </c>
      <c r="H73" s="792">
        <f>SUM(Data!V418:V419)</f>
        <v>7674.0800992419972</v>
      </c>
      <c r="I73" s="792">
        <f>SUM(Data!W418:W419)</f>
        <v>-3077.9379873139987</v>
      </c>
      <c r="J73" s="792">
        <f>SUM(Data!X418:X419)</f>
        <v>-5672.8099999999977</v>
      </c>
      <c r="K73" s="792">
        <f>SUM(Data!Y418:Y419)</f>
        <v>-7829.7299999999959</v>
      </c>
      <c r="L73" s="2638">
        <f>(BS!P7-BS!Q7)</f>
        <v>0</v>
      </c>
      <c r="M73" s="2638">
        <f>(BS!Q7-BS!R7)</f>
        <v>0</v>
      </c>
      <c r="N73" s="2638">
        <f>(BS!R7-BS!S7)</f>
        <v>0</v>
      </c>
      <c r="O73" s="2662"/>
      <c r="P73" s="369"/>
      <c r="Q73" s="2638">
        <f>(BS!M7-BS!V7)</f>
        <v>-833.57999999999993</v>
      </c>
      <c r="R73" s="2381"/>
      <c r="W73" s="248"/>
    </row>
    <row r="74" spans="2:23">
      <c r="B74" s="33" t="s">
        <v>468</v>
      </c>
      <c r="C74" s="792">
        <f>SUM(Data!Q420:Q421)</f>
        <v>-973.83378157499999</v>
      </c>
      <c r="D74" s="792">
        <f>SUM(Data!R420:R421)</f>
        <v>-529.31444439699999</v>
      </c>
      <c r="E74" s="792">
        <f>SUM(Data!S420:S421)</f>
        <v>10.202887775999997</v>
      </c>
      <c r="F74" s="792">
        <f>SUM(Data!T420:T421)</f>
        <v>-70.172751758000004</v>
      </c>
      <c r="G74" s="792">
        <f>SUM(Data!U420:U421)</f>
        <v>-450.45853233599996</v>
      </c>
      <c r="H74" s="792">
        <f>SUM(Data!V420:V421)</f>
        <v>-500.891806594</v>
      </c>
      <c r="I74" s="792">
        <f>SUM(Data!W420:W421)</f>
        <v>-1658.6792765179998</v>
      </c>
      <c r="J74" s="792">
        <f>SUM(Data!X420:X421)</f>
        <v>-1058.0900000000001</v>
      </c>
      <c r="K74" s="792">
        <f>SUM(Data!Y420:Y421)</f>
        <v>-687.17000000000007</v>
      </c>
      <c r="L74" s="1494">
        <f>-BS!Q129</f>
        <v>-5829</v>
      </c>
      <c r="M74" s="1494">
        <f>-BS!R129</f>
        <v>0</v>
      </c>
      <c r="N74" s="1494">
        <f>-BS!S129</f>
        <v>0</v>
      </c>
      <c r="O74" s="1949"/>
      <c r="P74" s="369"/>
      <c r="Q74" s="1494">
        <f>-BS!V129</f>
        <v>0</v>
      </c>
      <c r="R74" s="2379"/>
      <c r="W74" s="248"/>
    </row>
    <row r="75" spans="2:23">
      <c r="B75" s="33" t="s">
        <v>838</v>
      </c>
      <c r="C75" s="792">
        <f>Data!Q422</f>
        <v>408.05631839</v>
      </c>
      <c r="D75" s="792">
        <f>Data!R422</f>
        <v>473.70587373199999</v>
      </c>
      <c r="E75" s="792">
        <f>Data!S422</f>
        <v>582.42049280599997</v>
      </c>
      <c r="F75" s="792">
        <f>Data!T422</f>
        <v>894.46207331599999</v>
      </c>
      <c r="G75" s="792">
        <f>Data!U422</f>
        <v>1182.8118341490001</v>
      </c>
      <c r="H75" s="792">
        <f>Data!V422</f>
        <v>1793.6248155200001</v>
      </c>
      <c r="I75" s="792">
        <f>Data!W422</f>
        <v>2137.22552533</v>
      </c>
      <c r="J75" s="792">
        <f>Data!X422</f>
        <v>1530.17</v>
      </c>
      <c r="K75" s="792">
        <f>Data!Y422</f>
        <v>2000.76</v>
      </c>
      <c r="L75" s="1494">
        <f ca="1">BS!Q128+(PL!Q39+PL!Q45)</f>
        <v>3417.50632888164</v>
      </c>
      <c r="M75" s="1494">
        <f ca="1">BS!R128+(PL!R39+PL!R45)</f>
        <v>4103.743819115487</v>
      </c>
      <c r="N75" s="1494">
        <f ca="1">BS!S128+(PL!S39+PL!S45)</f>
        <v>4626.6788172346087</v>
      </c>
      <c r="O75" s="1949"/>
      <c r="P75" s="369"/>
      <c r="Q75" s="1494" t="e">
        <f>BS!V128+(PL!#REF!+PL!#REF!)</f>
        <v>#REF!</v>
      </c>
      <c r="R75" s="2379"/>
      <c r="W75" s="248"/>
    </row>
    <row r="76" spans="2:23">
      <c r="B76" s="33" t="s">
        <v>685</v>
      </c>
      <c r="C76" s="792"/>
      <c r="D76" s="792"/>
      <c r="E76" s="792"/>
      <c r="F76" s="792"/>
      <c r="G76" s="792"/>
      <c r="H76" s="792"/>
      <c r="I76" s="792"/>
      <c r="J76" s="792"/>
      <c r="K76" s="792"/>
      <c r="L76" s="1494">
        <f ca="1">-BS!Q134</f>
        <v>708.73925918632904</v>
      </c>
      <c r="M76" s="1494">
        <f ca="1">-BS!R134</f>
        <v>-476.57895082477216</v>
      </c>
      <c r="N76" s="1494">
        <f ca="1">-BS!S134</f>
        <v>-576.86309700666288</v>
      </c>
      <c r="O76" s="1949"/>
      <c r="P76" s="369"/>
      <c r="Q76" s="1494" t="e">
        <f>-BS!V134</f>
        <v>#REF!</v>
      </c>
      <c r="R76" s="2379"/>
      <c r="W76" s="248"/>
    </row>
    <row r="77" spans="2:23" s="1" customFormat="1">
      <c r="B77" s="390" t="s">
        <v>469</v>
      </c>
      <c r="C77" s="791">
        <f t="shared" ref="C77:H77" si="19">SUM(C72:C75)</f>
        <v>-2608.7836040679999</v>
      </c>
      <c r="D77" s="791">
        <f t="shared" si="19"/>
        <v>-3696.7315614290005</v>
      </c>
      <c r="E77" s="791">
        <f t="shared" si="19"/>
        <v>-3845.0684949619999</v>
      </c>
      <c r="F77" s="791">
        <f t="shared" si="19"/>
        <v>-8144.1242870840006</v>
      </c>
      <c r="G77" s="791">
        <f t="shared" si="19"/>
        <v>-10412.890116330998</v>
      </c>
      <c r="H77" s="791">
        <f t="shared" si="19"/>
        <v>5757.2319373249975</v>
      </c>
      <c r="I77" s="791">
        <f t="shared" ref="I77:J77" si="20">SUM(I72:I75)</f>
        <v>-6548.3741657109995</v>
      </c>
      <c r="J77" s="791">
        <f t="shared" si="20"/>
        <v>-8461.8099999999977</v>
      </c>
      <c r="K77" s="791">
        <f t="shared" ref="K77" si="21">SUM(K72:K75)</f>
        <v>-11659.619999999995</v>
      </c>
      <c r="L77" s="2647">
        <f ca="1">SUM(L71:L76)</f>
        <v>1729.9219888932716</v>
      </c>
      <c r="M77" s="2647">
        <f ca="1">SUM(M71:M76)</f>
        <v>-1648.436747709286</v>
      </c>
      <c r="N77" s="2647">
        <f ca="1">SUM(N71:N76)</f>
        <v>-2073.123468572056</v>
      </c>
      <c r="O77" s="1477"/>
      <c r="P77" s="1804"/>
      <c r="Q77" s="2641" t="e">
        <f>SUM(Q71:Q76)</f>
        <v>#REF!</v>
      </c>
      <c r="R77" s="791"/>
      <c r="W77" s="248"/>
    </row>
    <row r="78" spans="2:23" s="1" customFormat="1">
      <c r="B78" s="33"/>
      <c r="C78" s="795"/>
      <c r="D78" s="795"/>
      <c r="E78" s="795"/>
      <c r="F78" s="795"/>
      <c r="G78" s="795"/>
      <c r="H78" s="795"/>
      <c r="I78" s="795"/>
      <c r="J78" s="795"/>
      <c r="K78" s="795"/>
      <c r="L78" s="1494"/>
      <c r="M78" s="1494"/>
      <c r="N78" s="1494"/>
      <c r="O78" s="1949"/>
      <c r="P78" s="369"/>
      <c r="Q78" s="2640"/>
      <c r="R78" s="795"/>
      <c r="W78" s="248"/>
    </row>
    <row r="79" spans="2:23" s="1" customFormat="1">
      <c r="B79" s="1048" t="s">
        <v>491</v>
      </c>
      <c r="C79" s="1039">
        <f>Data!Q426+Data!Q427</f>
        <v>-620.68334835800124</v>
      </c>
      <c r="D79" s="1039">
        <f>Data!R426+Data!R427</f>
        <v>2234.5550849729998</v>
      </c>
      <c r="E79" s="1039">
        <f>Data!S426+Data!S427</f>
        <v>899.26535421600056</v>
      </c>
      <c r="F79" s="1039">
        <f>Data!T426+Data!T427</f>
        <v>4878.5561456220003</v>
      </c>
      <c r="G79" s="1039">
        <f>Data!U426+Data!U427</f>
        <v>7532.5413440149969</v>
      </c>
      <c r="H79" s="1039">
        <f>Data!V426+Data!V427</f>
        <v>-7619.8259641790028</v>
      </c>
      <c r="I79" s="1039">
        <f>Data!W426+Data!W427</f>
        <v>1719.3637845509984</v>
      </c>
      <c r="J79" s="1039">
        <f>Data!X426+Data!X427</f>
        <v>933.04999999999927</v>
      </c>
      <c r="K79" s="1039">
        <f>Data!Y426+Data!Y427</f>
        <v>6179.8299999999945</v>
      </c>
      <c r="L79" s="2638">
        <f ca="1">BS!Q50-BS!P50</f>
        <v>412.51995437257574</v>
      </c>
      <c r="M79" s="2638">
        <f ca="1">BS!R50-BS!Q50</f>
        <v>479.52991320090223</v>
      </c>
      <c r="N79" s="2638">
        <f ca="1">BS!S50-BS!R50</f>
        <v>0</v>
      </c>
      <c r="O79" s="2662"/>
      <c r="P79" s="2643"/>
      <c r="Q79" s="2638">
        <f>BS!V50-BS!M50</f>
        <v>1719.3637845509966</v>
      </c>
      <c r="R79" s="1039"/>
      <c r="W79" s="248"/>
    </row>
    <row r="80" spans="2:23">
      <c r="B80" s="33" t="s">
        <v>492</v>
      </c>
      <c r="C80" s="792"/>
      <c r="D80" s="792"/>
      <c r="E80" s="792"/>
      <c r="F80" s="792"/>
      <c r="G80" s="792"/>
      <c r="H80" s="792"/>
      <c r="I80" s="792"/>
      <c r="J80" s="792"/>
      <c r="K80" s="792"/>
      <c r="L80" s="1494">
        <f>BS!Q53-BS!P53</f>
        <v>0</v>
      </c>
      <c r="M80" s="1494">
        <f>BS!R53-BS!Q53</f>
        <v>0</v>
      </c>
      <c r="N80" s="1494">
        <f>BS!S53-BS!R53</f>
        <v>0</v>
      </c>
      <c r="O80" s="1949"/>
      <c r="P80" s="369"/>
      <c r="Q80" s="1494">
        <f>BS!V53-BS!M53</f>
        <v>-954.98533399000007</v>
      </c>
      <c r="R80" s="792"/>
      <c r="W80" s="248"/>
    </row>
    <row r="81" spans="2:23">
      <c r="B81" s="33" t="s">
        <v>470</v>
      </c>
      <c r="C81" s="792">
        <f>Data!Q424</f>
        <v>39.143700000000003</v>
      </c>
      <c r="D81" s="792">
        <f>Data!R424</f>
        <v>26.545559999999998</v>
      </c>
      <c r="E81" s="792">
        <f>Data!S424</f>
        <v>71.715000000000003</v>
      </c>
      <c r="F81" s="792">
        <f>Data!T424</f>
        <v>59.633580760000001</v>
      </c>
      <c r="G81" s="792">
        <f>Data!U424</f>
        <v>87.611404675000003</v>
      </c>
      <c r="H81" s="792">
        <f>Data!V424</f>
        <v>77.028689275000005</v>
      </c>
      <c r="I81" s="792">
        <f>Data!W424</f>
        <v>73.0505</v>
      </c>
      <c r="J81" s="792">
        <f>Data!X424</f>
        <v>163.34</v>
      </c>
      <c r="K81" s="792">
        <f>Data!Y424</f>
        <v>1196.24</v>
      </c>
      <c r="L81" s="1494">
        <f>BS!Q160</f>
        <v>0</v>
      </c>
      <c r="M81" s="1494">
        <f>BS!R160</f>
        <v>0</v>
      </c>
      <c r="N81" s="1494">
        <f>BS!S160</f>
        <v>0</v>
      </c>
      <c r="O81" s="1949"/>
      <c r="P81" s="369"/>
      <c r="Q81" s="1494" t="e">
        <f>BS!V160</f>
        <v>#REF!</v>
      </c>
      <c r="R81" s="792"/>
      <c r="W81" s="248"/>
    </row>
    <row r="82" spans="2:23">
      <c r="B82" s="33" t="s">
        <v>471</v>
      </c>
      <c r="C82" s="792">
        <f>Data!Q425</f>
        <v>-0.13</v>
      </c>
      <c r="D82" s="792">
        <f>Data!R425</f>
        <v>0</v>
      </c>
      <c r="E82" s="792">
        <f>Data!S425</f>
        <v>-0.269625</v>
      </c>
      <c r="F82" s="792">
        <f>Data!T425</f>
        <v>0</v>
      </c>
      <c r="G82" s="792">
        <f>Data!U425</f>
        <v>0</v>
      </c>
      <c r="H82" s="792">
        <f>Data!V425</f>
        <v>0</v>
      </c>
      <c r="I82" s="792">
        <f>Data!W425</f>
        <v>0</v>
      </c>
      <c r="J82" s="792">
        <f>Data!X425</f>
        <v>0</v>
      </c>
      <c r="K82" s="792">
        <f>Data!Y425</f>
        <v>0</v>
      </c>
      <c r="L82" s="1494">
        <f>BS!Q68-BS!P68</f>
        <v>0</v>
      </c>
      <c r="M82" s="1494">
        <f>BS!R68-BS!Q68</f>
        <v>0</v>
      </c>
      <c r="N82" s="1494">
        <f>BS!S68-BS!R68</f>
        <v>0</v>
      </c>
      <c r="O82" s="1949"/>
      <c r="P82" s="369"/>
      <c r="Q82" s="1494">
        <f>BS!V68-BS!M68</f>
        <v>0</v>
      </c>
      <c r="R82" s="792"/>
      <c r="W82" s="248"/>
    </row>
    <row r="83" spans="2:23">
      <c r="B83" s="33" t="s">
        <v>482</v>
      </c>
      <c r="C83" s="792">
        <f>Data!Q429</f>
        <v>-1330.4322874750001</v>
      </c>
      <c r="D83" s="792">
        <f>Data!R429</f>
        <v>-1707.6214843749999</v>
      </c>
      <c r="E83" s="792">
        <f>Data!S429</f>
        <v>-1483.5585937999999</v>
      </c>
      <c r="F83" s="792">
        <f>Data!T429</f>
        <v>-1899.0793829249999</v>
      </c>
      <c r="G83" s="792">
        <f>Data!U429</f>
        <v>-2254.1839459749999</v>
      </c>
      <c r="H83" s="792">
        <f>Data!V429</f>
        <v>-2222.1347959949999</v>
      </c>
      <c r="I83" s="792">
        <f>Data!W429</f>
        <v>-2930.6284481349999</v>
      </c>
      <c r="J83" s="792">
        <f>Data!X429</f>
        <v>-3291.86</v>
      </c>
      <c r="K83" s="792">
        <f>Data!Y429</f>
        <v>-4573.75</v>
      </c>
      <c r="L83" s="1494">
        <f>-PL!Q118</f>
        <v>-4000</v>
      </c>
      <c r="M83" s="1494">
        <f>-PL!R118</f>
        <v>-4000</v>
      </c>
      <c r="N83" s="1494">
        <f>-PL!S118</f>
        <v>-4000</v>
      </c>
      <c r="O83" s="1949"/>
      <c r="P83" s="369"/>
      <c r="Q83" s="1494" t="e">
        <f>-PL!#REF!</f>
        <v>#REF!</v>
      </c>
      <c r="R83" s="792"/>
      <c r="W83" s="248"/>
    </row>
    <row r="84" spans="2:23">
      <c r="B84" s="33" t="s">
        <v>483</v>
      </c>
      <c r="C84" s="793">
        <f>Data!Q428</f>
        <v>0</v>
      </c>
      <c r="D84" s="793">
        <f>Data!R428</f>
        <v>0</v>
      </c>
      <c r="E84" s="793">
        <f>Data!S428</f>
        <v>-1.5227724659999999</v>
      </c>
      <c r="F84" s="793">
        <f>Data!T428</f>
        <v>-1.75379342</v>
      </c>
      <c r="G84" s="793">
        <f>Data!U428</f>
        <v>-1.306368312</v>
      </c>
      <c r="H84" s="793">
        <f>Data!V428</f>
        <v>-8.3761454240000006</v>
      </c>
      <c r="I84" s="793">
        <f>Data!W428</f>
        <v>-30.169775111</v>
      </c>
      <c r="J84" s="793">
        <f>Data!X428</f>
        <v>-2.31</v>
      </c>
      <c r="K84" s="793">
        <f>Data!Y428</f>
        <v>-0.99</v>
      </c>
      <c r="L84" s="1494">
        <f>SUM(BS!Q72)-SUM(BS!P72)</f>
        <v>0</v>
      </c>
      <c r="M84" s="1494">
        <f>SUM(BS!R72)-SUM(BS!Q72)</f>
        <v>0</v>
      </c>
      <c r="N84" s="1494">
        <f>SUM(BS!S72)-SUM(BS!R72)</f>
        <v>0</v>
      </c>
      <c r="O84" s="1949"/>
      <c r="P84" s="369"/>
      <c r="Q84" s="2639">
        <f>SUM(BS!V72)-SUM(BS!M72)</f>
        <v>0</v>
      </c>
      <c r="R84" s="793"/>
      <c r="W84" s="248"/>
    </row>
    <row r="85" spans="2:23" s="1" customFormat="1">
      <c r="B85" s="390" t="s">
        <v>472</v>
      </c>
      <c r="C85" s="368">
        <f t="shared" ref="C85:Q85" si="22">SUM(C79:C84)</f>
        <v>-1912.1019358330013</v>
      </c>
      <c r="D85" s="368">
        <f t="shared" si="22"/>
        <v>553.47916059799991</v>
      </c>
      <c r="E85" s="368">
        <f t="shared" si="22"/>
        <v>-514.37063704999935</v>
      </c>
      <c r="F85" s="368">
        <f t="shared" si="22"/>
        <v>3037.3565500370005</v>
      </c>
      <c r="G85" s="368">
        <f t="shared" si="22"/>
        <v>5364.662434402997</v>
      </c>
      <c r="H85" s="368">
        <f t="shared" si="22"/>
        <v>-9773.308216323001</v>
      </c>
      <c r="I85" s="368">
        <f t="shared" ref="I85:J85" si="23">SUM(I79:I84)</f>
        <v>-1168.3839386950015</v>
      </c>
      <c r="J85" s="2644">
        <f t="shared" si="23"/>
        <v>-2197.7800000000011</v>
      </c>
      <c r="K85" s="2644">
        <f t="shared" ref="K85" si="24">SUM(K79:K84)</f>
        <v>2801.3299999999945</v>
      </c>
      <c r="L85" s="2647">
        <f ca="1">SUM(L79:L84)</f>
        <v>-3587.4800456274243</v>
      </c>
      <c r="M85" s="2647">
        <f ca="1">SUM(M79:M84)</f>
        <v>-3520.4700867990978</v>
      </c>
      <c r="N85" s="2647">
        <f ca="1">SUM(N79:N84)</f>
        <v>-4000</v>
      </c>
      <c r="O85" s="1477"/>
      <c r="P85" s="1804"/>
      <c r="Q85" s="2323" t="e">
        <f t="shared" si="22"/>
        <v>#REF!</v>
      </c>
      <c r="R85" s="365"/>
      <c r="W85" s="248"/>
    </row>
    <row r="86" spans="2:23">
      <c r="B86" s="33"/>
      <c r="C86" s="370"/>
      <c r="D86" s="370"/>
      <c r="E86" s="370"/>
      <c r="F86" s="370"/>
      <c r="G86" s="370"/>
      <c r="H86" s="370"/>
      <c r="I86" s="370"/>
      <c r="J86" s="2645"/>
      <c r="K86" s="2645"/>
      <c r="L86" s="1494"/>
      <c r="M86" s="1494"/>
      <c r="N86" s="1494"/>
      <c r="O86" s="1949"/>
      <c r="P86" s="369"/>
      <c r="Q86" s="369"/>
      <c r="R86" s="369"/>
      <c r="W86" s="248"/>
    </row>
    <row r="87" spans="2:23" s="1" customFormat="1">
      <c r="B87" s="1724" t="s">
        <v>473</v>
      </c>
      <c r="C87" s="1725">
        <f t="shared" ref="C87:H87" si="25">SUM(C70,C77,C85)</f>
        <v>-2532.7018749859999</v>
      </c>
      <c r="D87" s="1725">
        <f t="shared" si="25"/>
        <v>445.06769150499986</v>
      </c>
      <c r="E87" s="1725">
        <f t="shared" si="25"/>
        <v>-472.33858872399867</v>
      </c>
      <c r="F87" s="1725">
        <f t="shared" si="25"/>
        <v>1232.8027564689992</v>
      </c>
      <c r="G87" s="1725">
        <f t="shared" si="25"/>
        <v>731.65391920399998</v>
      </c>
      <c r="H87" s="1725">
        <f t="shared" si="25"/>
        <v>1022.3318810799956</v>
      </c>
      <c r="I87" s="1725">
        <f t="shared" ref="I87:J87" si="26">SUM(I70,I77,I85)</f>
        <v>1838.9795088989993</v>
      </c>
      <c r="J87" s="2646">
        <f t="shared" si="26"/>
        <v>1036.280000000002</v>
      </c>
      <c r="K87" s="2646">
        <f t="shared" ref="K87" si="27">SUM(K70,K77,K85)</f>
        <v>1224.7500000000018</v>
      </c>
      <c r="L87" s="2648">
        <f ca="1">L70+L77+L85</f>
        <v>7269.9264342899296</v>
      </c>
      <c r="M87" s="2648">
        <f ca="1">M70+M77+M85</f>
        <v>2546.4654336535496</v>
      </c>
      <c r="N87" s="2648">
        <f ca="1">N70+N77+N85</f>
        <v>2203.5042240075709</v>
      </c>
      <c r="O87" s="1477"/>
      <c r="P87" s="1112"/>
      <c r="Q87" s="1726" t="e">
        <f>Q70+Q77+Q85</f>
        <v>#REF!</v>
      </c>
      <c r="R87" s="1726"/>
      <c r="W87" s="248"/>
    </row>
    <row r="88" spans="2:23" ht="13.5" thickBot="1"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2654"/>
      <c r="P88" s="9"/>
      <c r="Q88" s="369"/>
      <c r="R88" s="369"/>
      <c r="S88" s="369"/>
      <c r="T88" s="369"/>
      <c r="U88" s="369"/>
    </row>
    <row r="89" spans="2:23" s="1" customFormat="1">
      <c r="B89" s="363" t="s">
        <v>480</v>
      </c>
      <c r="C89" s="366">
        <f>Data!Q433</f>
        <v>6013.3613897739997</v>
      </c>
      <c r="D89" s="366">
        <f>Data!R433</f>
        <v>3480.6595147879998</v>
      </c>
      <c r="E89" s="366">
        <f>Data!S433</f>
        <v>3925.7272062930001</v>
      </c>
      <c r="F89" s="366">
        <f>Data!T433</f>
        <v>3453.388617569</v>
      </c>
      <c r="G89" s="366">
        <f>Data!U433</f>
        <v>4686.1913740379996</v>
      </c>
      <c r="H89" s="366">
        <f>Data!V433</f>
        <v>5417.8452932419996</v>
      </c>
      <c r="I89" s="366">
        <f>Data!W433</f>
        <v>6440.1771743219997</v>
      </c>
      <c r="J89" s="366">
        <f>Data!X433</f>
        <v>8279.16</v>
      </c>
      <c r="K89" s="366">
        <f>Data!Y433</f>
        <v>9315.44</v>
      </c>
      <c r="L89" s="366">
        <f t="shared" ref="L89:N89" si="28">K90</f>
        <v>10540.18</v>
      </c>
      <c r="M89" s="366">
        <f t="shared" ca="1" si="28"/>
        <v>17810.10643428993</v>
      </c>
      <c r="N89" s="366">
        <f t="shared" ca="1" si="28"/>
        <v>20356.571867943479</v>
      </c>
      <c r="O89" s="2663"/>
      <c r="P89" s="366"/>
      <c r="Q89" s="366">
        <f>H90</f>
        <v>6440.1771743219997</v>
      </c>
      <c r="R89" s="366"/>
      <c r="S89" s="366"/>
      <c r="T89" s="366"/>
      <c r="U89" s="371"/>
    </row>
    <row r="90" spans="2:23" s="1" customFormat="1" ht="13.5" thickBot="1">
      <c r="B90" s="364" t="s">
        <v>481</v>
      </c>
      <c r="C90" s="367">
        <f>Data!Q435</f>
        <v>3480.6595147879998</v>
      </c>
      <c r="D90" s="367">
        <f>Data!R435</f>
        <v>3925.7272062930001</v>
      </c>
      <c r="E90" s="367">
        <f>Data!S435</f>
        <v>3453.388617569</v>
      </c>
      <c r="F90" s="367">
        <f>Data!T435</f>
        <v>4686.1913740379996</v>
      </c>
      <c r="G90" s="367">
        <f>Data!U435</f>
        <v>5417.8452932419996</v>
      </c>
      <c r="H90" s="367">
        <f>Data!V435</f>
        <v>6440.1771743219997</v>
      </c>
      <c r="I90" s="367">
        <f>Data!W435</f>
        <v>8279.1566832209992</v>
      </c>
      <c r="J90" s="367">
        <f>Data!X435</f>
        <v>9315.44</v>
      </c>
      <c r="K90" s="367">
        <f>Data!Y435</f>
        <v>10540.18</v>
      </c>
      <c r="L90" s="367">
        <f t="shared" ref="L90:M90" ca="1" si="29">L89+L87</f>
        <v>17810.10643428993</v>
      </c>
      <c r="M90" s="367">
        <f t="shared" ca="1" si="29"/>
        <v>20356.571867943479</v>
      </c>
      <c r="N90" s="367">
        <f t="shared" ref="N90" ca="1" si="30">N89+N87</f>
        <v>22560.07609195105</v>
      </c>
      <c r="O90" s="2664"/>
      <c r="P90" s="367"/>
      <c r="Q90" s="367" t="e">
        <f>Q89+Q87</f>
        <v>#REF!</v>
      </c>
      <c r="R90" s="367"/>
      <c r="S90" s="367"/>
      <c r="T90" s="367"/>
      <c r="U90" s="372"/>
    </row>
    <row r="91" spans="2:23" s="1" customFormat="1">
      <c r="B91" s="2385" t="s">
        <v>987</v>
      </c>
      <c r="C91" s="2010"/>
      <c r="D91" s="2010"/>
      <c r="E91" s="2010"/>
      <c r="F91" s="2010"/>
      <c r="G91" s="2010"/>
      <c r="H91" s="588"/>
      <c r="I91" s="588"/>
      <c r="J91" s="588"/>
      <c r="K91" s="588"/>
      <c r="L91" s="588"/>
      <c r="M91" s="588"/>
      <c r="N91" s="588"/>
      <c r="O91" s="2624"/>
      <c r="P91" s="588"/>
      <c r="Q91" s="588" t="e">
        <f>BS!V80</f>
        <v>#REF!</v>
      </c>
      <c r="R91" s="588"/>
      <c r="S91" s="588">
        <f>BS!X80</f>
        <v>0</v>
      </c>
      <c r="T91" s="588">
        <f ca="1">BS!Q80</f>
        <v>0</v>
      </c>
      <c r="U91" s="588">
        <f ca="1">BS!R80</f>
        <v>8.1854523159563541E-12</v>
      </c>
    </row>
    <row r="92" spans="2:23">
      <c r="B92" s="1881"/>
      <c r="C92" s="2356"/>
      <c r="D92" s="2356"/>
      <c r="E92" s="2356"/>
      <c r="F92" s="2356"/>
      <c r="G92" s="2356"/>
      <c r="H92" s="2356"/>
      <c r="I92" s="2356"/>
      <c r="J92" s="3202"/>
      <c r="K92" s="3202"/>
      <c r="L92" s="2356"/>
      <c r="M92" s="2356"/>
      <c r="N92" s="2356"/>
      <c r="O92" s="2356"/>
      <c r="P92" s="2356"/>
      <c r="Q92" s="2356"/>
      <c r="R92" s="2649"/>
      <c r="S92" s="2649"/>
      <c r="T92" s="2649"/>
      <c r="U92" s="1474"/>
    </row>
    <row r="93" spans="2:23">
      <c r="B93" s="1881"/>
      <c r="C93" s="2356"/>
      <c r="D93" s="2356"/>
      <c r="E93" s="2356"/>
      <c r="F93" s="2356"/>
      <c r="G93" s="2356"/>
      <c r="H93" s="2356"/>
      <c r="I93" s="2356"/>
      <c r="J93" s="2356"/>
      <c r="K93" s="2356"/>
      <c r="L93" s="2356"/>
      <c r="M93" s="2356"/>
      <c r="N93" s="2356"/>
      <c r="O93" s="2356"/>
      <c r="P93" s="2356"/>
      <c r="Q93" s="1722"/>
      <c r="R93" s="1722"/>
      <c r="S93" s="1722"/>
      <c r="T93" s="1722"/>
      <c r="U93" s="1474"/>
    </row>
    <row r="94" spans="2:23">
      <c r="B94" s="1474"/>
      <c r="C94" s="2650"/>
      <c r="D94" s="2650"/>
      <c r="E94" s="2650"/>
      <c r="F94" s="2650"/>
      <c r="G94" s="2650"/>
      <c r="H94" s="2650"/>
      <c r="I94" s="2650"/>
      <c r="J94" s="2650"/>
      <c r="K94" s="2650"/>
      <c r="L94" s="2650"/>
      <c r="M94" s="2650"/>
      <c r="N94" s="2650"/>
      <c r="O94" s="2650"/>
      <c r="P94" s="2650"/>
      <c r="Q94" s="2650"/>
      <c r="R94" s="2650"/>
      <c r="S94" s="2650"/>
      <c r="T94" s="2650"/>
      <c r="U94" s="2650"/>
    </row>
    <row r="95" spans="2:23">
      <c r="B95" s="2085"/>
      <c r="C95" s="1474"/>
      <c r="D95" s="1474"/>
      <c r="E95" s="1474"/>
      <c r="F95" s="1474"/>
      <c r="G95" s="1474"/>
      <c r="H95" s="1474"/>
      <c r="I95" s="1474"/>
      <c r="J95" s="1474"/>
      <c r="K95" s="1474"/>
      <c r="L95" s="1474"/>
      <c r="M95" s="1474"/>
      <c r="N95" s="1474"/>
      <c r="P95" s="1474"/>
      <c r="Q95" s="1474"/>
      <c r="R95" s="1615"/>
      <c r="S95" s="1474"/>
      <c r="T95" s="1474"/>
      <c r="U95" s="1474"/>
    </row>
    <row r="96" spans="2:23">
      <c r="B96" s="1474"/>
      <c r="C96" s="1615"/>
      <c r="D96" s="1615"/>
      <c r="E96" s="1615"/>
      <c r="F96" s="1615"/>
      <c r="G96" s="1615"/>
      <c r="H96" s="1615"/>
      <c r="I96" s="1615"/>
      <c r="J96" s="1615"/>
      <c r="K96" s="1615"/>
      <c r="L96" s="1615"/>
      <c r="M96" s="1615"/>
      <c r="N96" s="1615"/>
      <c r="O96" s="1615"/>
      <c r="P96" s="1615"/>
      <c r="Q96" s="1615"/>
      <c r="R96" s="1615"/>
      <c r="S96" s="1615"/>
      <c r="T96" s="1615"/>
      <c r="U96" s="1615"/>
    </row>
    <row r="97" spans="2:21">
      <c r="B97" s="1474"/>
      <c r="C97" s="1474"/>
      <c r="D97" s="1474"/>
      <c r="E97" s="1474"/>
      <c r="F97" s="1474"/>
      <c r="G97" s="1474"/>
      <c r="H97" s="1474"/>
      <c r="I97" s="1474"/>
      <c r="J97" s="1474"/>
      <c r="K97" s="1474"/>
      <c r="L97" s="1474"/>
      <c r="M97" s="1474"/>
      <c r="N97" s="1474"/>
      <c r="P97" s="1474"/>
      <c r="Q97" s="1913"/>
      <c r="R97" s="1913"/>
      <c r="S97" s="1913"/>
      <c r="T97" s="1913"/>
      <c r="U97" s="1913"/>
    </row>
    <row r="98" spans="2:21">
      <c r="B98" s="1474"/>
      <c r="C98" s="1474"/>
      <c r="D98" s="1474"/>
      <c r="E98" s="1474"/>
      <c r="F98" s="1474"/>
      <c r="G98" s="1474"/>
      <c r="H98" s="1474"/>
      <c r="I98" s="1474"/>
      <c r="J98" s="1474"/>
      <c r="K98" s="1474"/>
      <c r="L98" s="1474"/>
      <c r="M98" s="1474"/>
      <c r="N98" s="1474"/>
      <c r="P98" s="1474"/>
      <c r="Q98" s="1474"/>
      <c r="R98" s="1474"/>
      <c r="S98" s="1474"/>
      <c r="T98" s="1474"/>
      <c r="U98" s="1474"/>
    </row>
    <row r="99" spans="2:21">
      <c r="B99" s="1471"/>
      <c r="C99" s="1471"/>
      <c r="D99" s="1471"/>
      <c r="E99" s="1471"/>
      <c r="F99" s="2651"/>
      <c r="G99" s="2651"/>
      <c r="H99" s="2651"/>
      <c r="I99" s="2651"/>
      <c r="J99" s="2651"/>
      <c r="K99" s="2651"/>
      <c r="L99" s="2651"/>
      <c r="M99" s="2651"/>
      <c r="N99" s="2651"/>
      <c r="O99" s="2651"/>
      <c r="P99" s="2651"/>
      <c r="Q99" s="2652"/>
      <c r="R99" s="2652"/>
      <c r="S99" s="2652"/>
      <c r="T99" s="2652"/>
      <c r="U99" s="2652"/>
    </row>
    <row r="100" spans="2:21">
      <c r="B100" s="1471"/>
      <c r="C100" s="1471"/>
      <c r="D100" s="1471"/>
      <c r="E100" s="1471"/>
      <c r="F100" s="1471"/>
      <c r="G100" s="1471"/>
      <c r="H100" s="1471"/>
      <c r="I100" s="1471"/>
      <c r="J100" s="1471"/>
      <c r="K100" s="1471"/>
      <c r="L100" s="1471"/>
      <c r="M100" s="1471"/>
      <c r="N100" s="1471"/>
      <c r="O100" s="1471"/>
      <c r="P100" s="1471"/>
      <c r="Q100" s="2653"/>
      <c r="R100" s="2653"/>
      <c r="S100" s="2653"/>
      <c r="T100" s="2653"/>
      <c r="U100" s="2653"/>
    </row>
    <row r="101" spans="2:21">
      <c r="B101" s="1474"/>
      <c r="C101" s="1474"/>
      <c r="D101" s="1474"/>
      <c r="E101" s="1474"/>
      <c r="F101" s="1474"/>
      <c r="G101" s="1474"/>
      <c r="H101" s="1474"/>
      <c r="I101" s="1474"/>
      <c r="J101" s="1474"/>
      <c r="K101" s="1474"/>
      <c r="L101" s="1474"/>
      <c r="M101" s="1474"/>
      <c r="N101" s="1474"/>
      <c r="P101" s="1474"/>
      <c r="Q101" s="1474"/>
      <c r="R101" s="1474"/>
      <c r="S101" s="1474"/>
      <c r="T101" s="1474"/>
      <c r="U101" s="1474"/>
    </row>
    <row r="102" spans="2:21">
      <c r="B102" s="1474"/>
      <c r="C102" s="1474"/>
      <c r="D102" s="1474"/>
      <c r="E102" s="1474"/>
      <c r="F102" s="1474"/>
      <c r="G102" s="1474"/>
      <c r="H102" s="1474"/>
      <c r="I102" s="1474"/>
      <c r="J102" s="1474"/>
      <c r="K102" s="1474"/>
      <c r="L102" s="1474"/>
      <c r="M102" s="1474"/>
      <c r="N102" s="1474"/>
      <c r="P102" s="1474"/>
      <c r="Q102" s="1474"/>
      <c r="R102" s="1474"/>
      <c r="S102" s="1474"/>
      <c r="T102" s="1474"/>
      <c r="U102" s="1474"/>
    </row>
    <row r="103" spans="2:21">
      <c r="B103" s="1474"/>
      <c r="C103" s="1474"/>
      <c r="D103" s="1474"/>
      <c r="E103" s="1474"/>
      <c r="F103" s="1474"/>
      <c r="G103" s="1474"/>
      <c r="H103" s="1474"/>
      <c r="I103" s="1474"/>
      <c r="J103" s="1474"/>
      <c r="K103" s="1474"/>
      <c r="L103" s="1474"/>
      <c r="M103" s="1474"/>
      <c r="N103" s="1474"/>
      <c r="P103" s="1474"/>
      <c r="Q103" s="1913"/>
      <c r="R103" s="1913"/>
      <c r="S103" s="1913"/>
      <c r="T103" s="1913"/>
      <c r="U103" s="1913"/>
    </row>
    <row r="104" spans="2:21">
      <c r="B104" s="1474"/>
      <c r="C104" s="1474"/>
      <c r="D104" s="1474"/>
      <c r="E104" s="1474"/>
      <c r="F104" s="1474"/>
      <c r="G104" s="1474"/>
      <c r="H104" s="1474"/>
      <c r="I104" s="1474"/>
      <c r="J104" s="1474"/>
      <c r="K104" s="1474"/>
      <c r="L104" s="1474"/>
      <c r="M104" s="1474"/>
      <c r="N104" s="1474"/>
      <c r="P104" s="1474"/>
      <c r="Q104" s="1722"/>
      <c r="R104" s="1474"/>
      <c r="S104" s="1474"/>
      <c r="T104" s="1474"/>
      <c r="U104" s="1474"/>
    </row>
    <row r="105" spans="2:21">
      <c r="B105" s="1474"/>
      <c r="C105" s="1474"/>
      <c r="D105" s="1474"/>
      <c r="E105" s="1474"/>
      <c r="F105" s="1474"/>
      <c r="G105" s="1474"/>
      <c r="H105" s="1474"/>
      <c r="I105" s="1474"/>
      <c r="J105" s="1474"/>
      <c r="K105" s="1474"/>
      <c r="L105" s="1474"/>
      <c r="M105" s="1474"/>
      <c r="N105" s="1474"/>
      <c r="P105" s="1474"/>
      <c r="Q105" s="1474"/>
      <c r="R105" s="1474"/>
      <c r="S105" s="1474"/>
      <c r="T105" s="1474"/>
      <c r="U105" s="1474"/>
    </row>
    <row r="106" spans="2:21">
      <c r="B106" s="1474"/>
      <c r="C106" s="1474"/>
      <c r="D106" s="1474"/>
      <c r="E106" s="1474"/>
      <c r="F106" s="1474"/>
      <c r="G106" s="1474"/>
      <c r="H106" s="1474"/>
      <c r="I106" s="1474"/>
      <c r="J106" s="1474"/>
      <c r="K106" s="1474"/>
      <c r="L106" s="1474"/>
      <c r="M106" s="1474"/>
      <c r="N106" s="1474"/>
      <c r="P106" s="1474"/>
      <c r="Q106" s="1474"/>
      <c r="R106" s="1474"/>
      <c r="S106" s="1474"/>
      <c r="T106" s="1474"/>
      <c r="U106" s="1474"/>
    </row>
    <row r="107" spans="2:21">
      <c r="B107" s="1474"/>
      <c r="C107" s="1474"/>
      <c r="D107" s="1474"/>
      <c r="E107" s="1474"/>
      <c r="F107" s="1474"/>
      <c r="G107" s="1474"/>
      <c r="H107" s="1474"/>
      <c r="I107" s="1474"/>
      <c r="J107" s="1474"/>
      <c r="K107" s="1474"/>
      <c r="L107" s="1474"/>
      <c r="M107" s="1474"/>
      <c r="N107" s="1474"/>
      <c r="P107" s="1474"/>
      <c r="Q107" s="2654"/>
      <c r="R107" s="2654"/>
      <c r="S107" s="2654"/>
      <c r="T107" s="2654"/>
      <c r="U107" s="2654"/>
    </row>
    <row r="108" spans="2:21">
      <c r="B108" s="2606"/>
      <c r="C108" s="1474"/>
      <c r="D108" s="1474"/>
      <c r="E108" s="1474"/>
      <c r="F108" s="1474"/>
      <c r="G108" s="2650"/>
      <c r="H108" s="2650"/>
      <c r="I108" s="2650"/>
      <c r="J108" s="2650"/>
      <c r="K108" s="2650"/>
      <c r="L108" s="2650"/>
      <c r="M108" s="2650"/>
      <c r="N108" s="2650"/>
      <c r="O108" s="2650"/>
      <c r="P108" s="2650"/>
      <c r="Q108" s="2650"/>
      <c r="R108" s="2650"/>
      <c r="S108" s="2650"/>
      <c r="T108" s="2650"/>
      <c r="U108" s="2650"/>
    </row>
    <row r="109" spans="2:21">
      <c r="B109" s="2606"/>
      <c r="C109" s="2606"/>
      <c r="D109" s="2606"/>
      <c r="E109" s="2655"/>
      <c r="F109" s="2655"/>
      <c r="G109" s="2655"/>
      <c r="H109" s="2655"/>
      <c r="I109" s="2655"/>
      <c r="J109" s="2655"/>
      <c r="K109" s="2655"/>
      <c r="L109" s="2655"/>
      <c r="M109" s="2655"/>
      <c r="N109" s="2655"/>
      <c r="O109" s="2655"/>
      <c r="P109" s="2655"/>
      <c r="Q109" s="2655"/>
      <c r="R109" s="2655"/>
      <c r="S109" s="2655"/>
      <c r="T109" s="2655"/>
      <c r="U109" s="2655"/>
    </row>
    <row r="110" spans="2:21">
      <c r="B110" s="1474"/>
      <c r="C110" s="1474"/>
      <c r="D110" s="1474"/>
      <c r="E110" s="1474"/>
      <c r="F110" s="1474"/>
      <c r="G110" s="1474"/>
      <c r="H110" s="1474"/>
      <c r="I110" s="1474"/>
      <c r="J110" s="1474"/>
      <c r="K110" s="1474"/>
      <c r="L110" s="1474"/>
      <c r="M110" s="1474"/>
      <c r="N110" s="1474"/>
      <c r="P110" s="1474"/>
      <c r="Q110" s="1474"/>
      <c r="R110" s="1474"/>
      <c r="S110" s="1474"/>
      <c r="T110" s="1474"/>
      <c r="U110" s="1474"/>
    </row>
  </sheetData>
  <phoneticPr fontId="24" type="noConversion"/>
  <printOptions horizontalCentered="1"/>
  <pageMargins left="0.56999999999999995" right="0.64" top="0.98402777777777795" bottom="0.98402777777777795" header="0.51180555555555596" footer="0.51180555555555596"/>
  <pageSetup firstPageNumber="0" orientation="landscape" horizontalDpi="300" verticalDpi="300"/>
  <headerFooter alignWithMargins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BC445-8F9C-46A9-909C-913FD9EDBCBF}">
  <sheetPr>
    <tabColor rgb="FFFFC000"/>
  </sheetPr>
  <dimension ref="A3:AK157"/>
  <sheetViews>
    <sheetView showGridLines="0" zoomScaleNormal="100" workbookViewId="0">
      <pane xSplit="1" ySplit="1" topLeftCell="B2" activePane="bottomRight" state="frozen"/>
      <selection activeCell="Q78" sqref="Q78"/>
      <selection pane="topRight"/>
      <selection pane="bottomLeft"/>
      <selection pane="bottomRight" activeCell="B2" sqref="B2"/>
    </sheetView>
  </sheetViews>
  <sheetFormatPr defaultColWidth="14.42578125" defaultRowHeight="12.75" outlineLevelCol="1"/>
  <cols>
    <col min="1" max="1" width="7.42578125" style="6" bestFit="1" customWidth="1"/>
    <col min="2" max="2" width="40.7109375" style="6" customWidth="1"/>
    <col min="3" max="3" width="13.85546875" style="6" hidden="1" customWidth="1" outlineLevel="1"/>
    <col min="4" max="4" width="12.28515625" style="6" hidden="1" customWidth="1" outlineLevel="1"/>
    <col min="5" max="8" width="14" style="6" hidden="1" customWidth="1" outlineLevel="1"/>
    <col min="9" max="9" width="17.7109375" style="6" hidden="1" customWidth="1" collapsed="1"/>
    <col min="10" max="12" width="17.7109375" style="6" hidden="1" customWidth="1"/>
    <col min="13" max="13" width="17.7109375" style="6" bestFit="1" customWidth="1"/>
    <col min="14" max="15" width="17.7109375" style="6" customWidth="1"/>
    <col min="16" max="17" width="14" style="6" bestFit="1" customWidth="1"/>
    <col min="18" max="20" width="14.42578125" style="6"/>
    <col min="21" max="22" width="20" style="6" customWidth="1"/>
    <col min="23" max="31" width="14.42578125" style="6"/>
    <col min="32" max="33" width="14" style="6" bestFit="1" customWidth="1"/>
    <col min="34" max="35" width="14.42578125" style="6"/>
    <col min="38" max="16384" width="14.42578125" style="6"/>
  </cols>
  <sheetData>
    <row r="3" spans="2:37" ht="12.75" customHeight="1">
      <c r="B3" s="1673" t="s">
        <v>1077</v>
      </c>
      <c r="C3" s="1674"/>
      <c r="D3" s="1675"/>
      <c r="E3" s="1675"/>
      <c r="F3" s="1675"/>
      <c r="G3" s="1675"/>
      <c r="H3" s="1675"/>
      <c r="I3" s="1674"/>
      <c r="J3" s="1675"/>
      <c r="K3" s="1675"/>
      <c r="L3" s="1675"/>
      <c r="M3" s="1676" t="s">
        <v>200</v>
      </c>
      <c r="N3" s="1676"/>
      <c r="O3" s="1676"/>
      <c r="P3" s="1545"/>
      <c r="Q3" s="1546"/>
      <c r="R3" s="1546"/>
      <c r="S3" s="1547"/>
      <c r="AF3" s="1545"/>
      <c r="AG3" s="1546" t="s">
        <v>28</v>
      </c>
    </row>
    <row r="4" spans="2:37">
      <c r="B4" s="1681"/>
      <c r="C4" s="1677">
        <v>2012</v>
      </c>
      <c r="D4" s="1678">
        <v>2013</v>
      </c>
      <c r="E4" s="1678">
        <v>2014</v>
      </c>
      <c r="F4" s="1678">
        <v>2015</v>
      </c>
      <c r="G4" s="1678">
        <v>2016</v>
      </c>
      <c r="H4" s="1678">
        <v>2017</v>
      </c>
      <c r="I4" s="1677">
        <v>2018</v>
      </c>
      <c r="J4" s="1678">
        <v>2019</v>
      </c>
      <c r="K4" s="1678">
        <v>2020</v>
      </c>
      <c r="L4" s="1679">
        <v>2021</v>
      </c>
      <c r="M4" s="1679">
        <v>2022</v>
      </c>
      <c r="N4" s="1679">
        <v>2023</v>
      </c>
      <c r="O4" s="1679">
        <v>2024</v>
      </c>
      <c r="P4" s="2799">
        <v>2025</v>
      </c>
      <c r="Q4" s="1543">
        <v>2026</v>
      </c>
      <c r="R4" s="1543">
        <v>2027</v>
      </c>
      <c r="S4" s="2800">
        <v>2028</v>
      </c>
      <c r="AF4" s="1680">
        <v>2023</v>
      </c>
      <c r="AG4" s="972">
        <v>2024</v>
      </c>
    </row>
    <row r="5" spans="2:37">
      <c r="B5" s="1227" t="s">
        <v>1062</v>
      </c>
      <c r="C5" s="1227"/>
      <c r="D5" s="1228"/>
      <c r="E5" s="1228"/>
      <c r="F5" s="1228"/>
      <c r="G5" s="1228"/>
      <c r="H5" s="1229"/>
      <c r="I5" s="1237"/>
      <c r="J5" s="1230"/>
      <c r="K5" s="1230"/>
      <c r="L5" s="1230"/>
      <c r="M5" s="1230"/>
      <c r="N5" s="1230"/>
      <c r="O5" s="1230"/>
      <c r="P5" s="1231"/>
      <c r="Q5" s="1232"/>
      <c r="R5" s="1232"/>
      <c r="S5" s="1233"/>
      <c r="U5" s="802" t="s">
        <v>1059</v>
      </c>
      <c r="V5" s="802"/>
      <c r="W5" s="1622"/>
      <c r="X5" s="802"/>
      <c r="Y5" s="1622"/>
      <c r="Z5" s="1622"/>
      <c r="AA5" s="1622"/>
      <c r="AB5" s="1622"/>
      <c r="AC5" s="1622"/>
      <c r="AF5" s="1231"/>
      <c r="AG5" s="1232"/>
    </row>
    <row r="6" spans="2:37">
      <c r="B6" s="1577" t="s">
        <v>1111</v>
      </c>
      <c r="C6" s="1577"/>
      <c r="D6" s="1578"/>
      <c r="E6" s="1578"/>
      <c r="F6" s="1578"/>
      <c r="G6" s="1578"/>
      <c r="H6" s="1579"/>
      <c r="I6" s="1580"/>
      <c r="J6" s="1581"/>
      <c r="K6" s="1581"/>
      <c r="L6" s="1581"/>
      <c r="M6" s="1581"/>
      <c r="N6" s="1581"/>
      <c r="O6" s="1581"/>
      <c r="P6" s="1580"/>
      <c r="Q6" s="1581"/>
      <c r="R6" s="1581"/>
      <c r="S6" s="1582"/>
      <c r="U6" s="2"/>
      <c r="V6" s="1"/>
      <c r="W6" s="1"/>
      <c r="AF6" s="1580"/>
      <c r="AG6" s="1581"/>
    </row>
    <row r="7" spans="2:37">
      <c r="B7" s="1753" t="s">
        <v>57</v>
      </c>
      <c r="C7" s="1743"/>
      <c r="D7" s="1743">
        <f>PL!D10</f>
        <v>9.8949128718582635E-2</v>
      </c>
      <c r="E7" s="1743">
        <f>PL!E10</f>
        <v>0.20781377670543089</v>
      </c>
      <c r="F7" s="1743">
        <f>PL!F10</f>
        <v>0.16281508185270765</v>
      </c>
      <c r="G7" s="1743">
        <f>PL!G10</f>
        <v>4.1406279802804091E-2</v>
      </c>
      <c r="H7" s="1744">
        <f>PL!H10</f>
        <v>7.9105135303566554E-2</v>
      </c>
      <c r="I7" s="1742">
        <f>PL!I10</f>
        <v>-0.45582998602426605</v>
      </c>
      <c r="J7" s="1743">
        <f>PL!J10</f>
        <v>0.19399987697485854</v>
      </c>
      <c r="K7" s="1743">
        <f>PL!K10</f>
        <v>7.6250799616477183E-2</v>
      </c>
      <c r="L7" s="1743">
        <f>PL!L10</f>
        <v>0.19533301314420459</v>
      </c>
      <c r="M7" s="1744">
        <f>PL!M10</f>
        <v>0.23423741868397752</v>
      </c>
      <c r="N7" s="1744">
        <f>PL!N10</f>
        <v>0.19560248882670583</v>
      </c>
      <c r="O7" s="1744">
        <f>PL!O10</f>
        <v>0.19443742550995746</v>
      </c>
      <c r="P7" s="1743">
        <f ca="1">PL!R10</f>
        <v>0.15299368292663984</v>
      </c>
      <c r="Q7" s="1745">
        <f ca="1">PL!Q10</f>
        <v>-0.18535125311170753</v>
      </c>
      <c r="R7" s="1745">
        <f ca="1">PL!R10</f>
        <v>0.15299368292663984</v>
      </c>
      <c r="S7" s="1746">
        <f ca="1">PL!S10</f>
        <v>0.16061439708225311</v>
      </c>
      <c r="U7" s="1447" t="s">
        <v>1112</v>
      </c>
      <c r="V7" s="1"/>
      <c r="W7" s="1"/>
      <c r="AF7" s="1745" t="e">
        <f>PL!#REF!</f>
        <v>#REF!</v>
      </c>
      <c r="AG7" s="1745">
        <f>PL!V10</f>
        <v>5.9422917361760641E-2</v>
      </c>
      <c r="AJ7" s="1744">
        <f>PL!P10</f>
        <v>0.11708896861817064</v>
      </c>
      <c r="AK7" s="1744">
        <f ca="1">PL!Q10</f>
        <v>-0.18535125311170753</v>
      </c>
    </row>
    <row r="8" spans="2:37">
      <c r="B8" s="1682" t="s">
        <v>1078</v>
      </c>
      <c r="C8" s="1577"/>
      <c r="D8" s="1578"/>
      <c r="E8" s="1578"/>
      <c r="F8" s="1578"/>
      <c r="G8" s="1578"/>
      <c r="H8" s="1579"/>
      <c r="I8" s="1580"/>
      <c r="J8" s="1581"/>
      <c r="K8" s="1581"/>
      <c r="L8" s="1581"/>
      <c r="M8" s="1582"/>
      <c r="N8" s="1582"/>
      <c r="O8" s="1582"/>
      <c r="P8" s="1581"/>
      <c r="Q8" s="1581"/>
      <c r="R8" s="1581"/>
      <c r="S8" s="1582"/>
      <c r="U8" s="1"/>
      <c r="V8" s="1"/>
      <c r="W8" s="1"/>
      <c r="AF8" s="1581"/>
      <c r="AG8" s="1581"/>
      <c r="AJ8" s="1582"/>
      <c r="AK8" s="1582"/>
    </row>
    <row r="9" spans="2:37">
      <c r="B9" s="1685" t="s">
        <v>892</v>
      </c>
      <c r="C9" s="1577"/>
      <c r="D9" s="1578"/>
      <c r="E9" s="1578"/>
      <c r="F9" s="1578"/>
      <c r="G9" s="1578"/>
      <c r="H9" s="1579"/>
      <c r="I9" s="1580"/>
      <c r="J9" s="1683">
        <f>Revenue!C170</f>
        <v>0.18326412791486124</v>
      </c>
      <c r="K9" s="1683">
        <f>Revenue!D170</f>
        <v>9.3513505646757533E-2</v>
      </c>
      <c r="L9" s="1683">
        <f>Revenue!E170</f>
        <v>5.3402096157045387E-2</v>
      </c>
      <c r="M9" s="1684">
        <f>Revenue!F170</f>
        <v>0.15950726468730259</v>
      </c>
      <c r="N9" s="1684">
        <f>Revenue!G170</f>
        <v>0.26995369109234546</v>
      </c>
      <c r="O9" s="1684">
        <f>Revenue!H170</f>
        <v>0.3218575718575718</v>
      </c>
      <c r="P9" s="1683">
        <f>Revenue!K170</f>
        <v>0.23</v>
      </c>
      <c r="Q9" s="1683"/>
      <c r="R9" s="1683"/>
      <c r="S9" s="1684"/>
      <c r="U9" s="1447" t="s">
        <v>1131</v>
      </c>
      <c r="V9" s="1"/>
      <c r="W9" s="1"/>
      <c r="AF9" s="1683">
        <v>0.215</v>
      </c>
      <c r="AG9" s="1683">
        <v>0.2</v>
      </c>
      <c r="AJ9" s="1684">
        <f>Revenue!I170</f>
        <v>0.25371196754563896</v>
      </c>
      <c r="AK9" s="1684">
        <f>Revenue!J170</f>
        <v>0.22</v>
      </c>
    </row>
    <row r="10" spans="2:37">
      <c r="B10" s="1685" t="s">
        <v>889</v>
      </c>
      <c r="C10" s="1577"/>
      <c r="D10" s="1578"/>
      <c r="E10" s="1578"/>
      <c r="F10" s="1578"/>
      <c r="G10" s="1578"/>
      <c r="H10" s="1579"/>
      <c r="I10" s="1580"/>
      <c r="J10" s="1683">
        <f>Revenue!C171</f>
        <v>0.44580085629597099</v>
      </c>
      <c r="K10" s="1683">
        <f>Revenue!D171</f>
        <v>9.2651369041291343E-2</v>
      </c>
      <c r="L10" s="1683">
        <f>Revenue!E171</f>
        <v>0.51806810284920091</v>
      </c>
      <c r="M10" s="1684">
        <f>Revenue!F171</f>
        <v>0.49919890135042344</v>
      </c>
      <c r="N10" s="1684">
        <f>Revenue!G171</f>
        <v>8.6259541984732735E-2</v>
      </c>
      <c r="O10" s="1684">
        <f>Revenue!H171</f>
        <v>8.9388615600843213E-2</v>
      </c>
      <c r="P10" s="1683">
        <f>Revenue!K171</f>
        <v>0.1</v>
      </c>
      <c r="Q10" s="1683"/>
      <c r="R10" s="1683"/>
      <c r="S10" s="1684"/>
      <c r="U10" s="1447" t="s">
        <v>1132</v>
      </c>
      <c r="V10" s="1"/>
      <c r="W10" s="1"/>
      <c r="AF10" s="1683">
        <v>0.2</v>
      </c>
      <c r="AG10" s="1683">
        <v>0.22</v>
      </c>
      <c r="AJ10" s="1684">
        <f>Revenue!I171</f>
        <v>5.3154431686234016E-2</v>
      </c>
      <c r="AK10" s="1684">
        <f>Revenue!J171</f>
        <v>7.0000000000000007E-2</v>
      </c>
    </row>
    <row r="11" spans="2:37">
      <c r="B11" s="1685" t="s">
        <v>890</v>
      </c>
      <c r="C11" s="1577"/>
      <c r="D11" s="1578"/>
      <c r="E11" s="1578"/>
      <c r="F11" s="1578"/>
      <c r="G11" s="1578"/>
      <c r="H11" s="1579"/>
      <c r="I11" s="1580"/>
      <c r="J11" s="1683">
        <f>Revenue!C172</f>
        <v>0.25721813590954024</v>
      </c>
      <c r="K11" s="1683">
        <f>Revenue!D172</f>
        <v>-3.6558388636628303E-2</v>
      </c>
      <c r="L11" s="1683">
        <f>Revenue!E172</f>
        <v>0.15206445115810685</v>
      </c>
      <c r="M11" s="1684">
        <f>Revenue!F172</f>
        <v>0.19405594405594395</v>
      </c>
      <c r="N11" s="1684">
        <f>Revenue!G172</f>
        <v>0.27086383601756947</v>
      </c>
      <c r="O11" s="1684">
        <f>Revenue!H172</f>
        <v>0.51843317972350222</v>
      </c>
      <c r="P11" s="1683">
        <f>Revenue!K172</f>
        <v>0.2</v>
      </c>
      <c r="Q11" s="1683"/>
      <c r="R11" s="1683"/>
      <c r="S11" s="1684"/>
      <c r="U11" s="1447"/>
      <c r="V11" s="1"/>
      <c r="W11" s="1"/>
      <c r="AF11" s="1683">
        <v>0.22</v>
      </c>
      <c r="AG11" s="1683">
        <v>0.2</v>
      </c>
      <c r="AJ11" s="1684">
        <f>Revenue!I172</f>
        <v>0.36305007587253413</v>
      </c>
      <c r="AK11" s="1684">
        <f>Revenue!J172</f>
        <v>0.18</v>
      </c>
    </row>
    <row r="12" spans="2:37">
      <c r="B12" s="1685" t="s">
        <v>891</v>
      </c>
      <c r="C12" s="1577"/>
      <c r="D12" s="1578"/>
      <c r="E12" s="1578"/>
      <c r="F12" s="1578"/>
      <c r="G12" s="1578"/>
      <c r="H12" s="1579"/>
      <c r="I12" s="1580"/>
      <c r="J12" s="1683">
        <f>Revenue!C173</f>
        <v>0.45063631066485366</v>
      </c>
      <c r="K12" s="1683">
        <f>Revenue!D173</f>
        <v>0.2335545465129818</v>
      </c>
      <c r="L12" s="1683">
        <f>Revenue!E173</f>
        <v>0.27229825389334583</v>
      </c>
      <c r="M12" s="1684">
        <f>Revenue!F173</f>
        <v>0.36387240356083095</v>
      </c>
      <c r="N12" s="1684">
        <f>Revenue!G173</f>
        <v>0.66249660048952941</v>
      </c>
      <c r="O12" s="1684">
        <f>Revenue!H173</f>
        <v>0.3479469982005563</v>
      </c>
      <c r="P12" s="1683">
        <f>Revenue!K173</f>
        <v>0.08</v>
      </c>
      <c r="Q12" s="1683"/>
      <c r="R12" s="1683"/>
      <c r="S12" s="1684"/>
      <c r="U12" s="1447"/>
      <c r="V12" s="1"/>
      <c r="W12" s="1"/>
      <c r="AF12" s="1683">
        <v>0.4</v>
      </c>
      <c r="AG12" s="1683">
        <v>0.25</v>
      </c>
      <c r="AJ12" s="1684">
        <f>Revenue!I173</f>
        <v>-8.1310679611650283E-3</v>
      </c>
      <c r="AK12" s="1684">
        <f>Revenue!J173</f>
        <v>7.0000000000000007E-2</v>
      </c>
    </row>
    <row r="13" spans="2:37">
      <c r="B13" s="1682" t="s">
        <v>1079</v>
      </c>
      <c r="C13" s="1577"/>
      <c r="D13" s="1578"/>
      <c r="E13" s="1578"/>
      <c r="F13" s="1578"/>
      <c r="G13" s="1578"/>
      <c r="H13" s="1579"/>
      <c r="I13" s="1580"/>
      <c r="J13" s="1683"/>
      <c r="K13" s="1683"/>
      <c r="L13" s="1683"/>
      <c r="M13" s="1684"/>
      <c r="N13" s="1684"/>
      <c r="O13" s="1684"/>
      <c r="P13" s="1683"/>
      <c r="Q13" s="1683"/>
      <c r="R13" s="1683"/>
      <c r="S13" s="1684"/>
      <c r="U13" s="1"/>
      <c r="V13" s="1"/>
      <c r="W13" s="1"/>
      <c r="AF13" s="1683"/>
      <c r="AG13" s="1683"/>
      <c r="AJ13" s="1684"/>
      <c r="AK13" s="1684"/>
    </row>
    <row r="14" spans="2:37">
      <c r="B14" s="1572" t="s">
        <v>855</v>
      </c>
      <c r="C14" s="1577"/>
      <c r="D14" s="1578"/>
      <c r="E14" s="1578"/>
      <c r="F14" s="1578"/>
      <c r="G14" s="1578"/>
      <c r="H14" s="1579"/>
      <c r="I14" s="1580"/>
      <c r="J14" s="1683">
        <v>-4.5872392298503817E-3</v>
      </c>
      <c r="K14" s="1683">
        <v>-2.6479538059853147E-2</v>
      </c>
      <c r="L14" s="1683">
        <v>0.31776799748245055</v>
      </c>
      <c r="M14" s="1684">
        <v>8.1492481255852844E-2</v>
      </c>
      <c r="N14" s="1684">
        <v>8.1492481255852844E-2</v>
      </c>
      <c r="O14" s="1684">
        <v>8.1492481255852844E-2</v>
      </c>
      <c r="P14" s="1683">
        <v>8.1492481255852844E-2</v>
      </c>
      <c r="Q14" s="1683">
        <v>0.08</v>
      </c>
      <c r="R14" s="1683">
        <v>0.08</v>
      </c>
      <c r="S14" s="1684">
        <v>0.08</v>
      </c>
      <c r="U14" s="1447" t="s">
        <v>1133</v>
      </c>
      <c r="V14" s="1"/>
      <c r="W14" s="1"/>
      <c r="AF14" s="1728">
        <v>0.03</v>
      </c>
      <c r="AG14" s="1683">
        <v>0.1</v>
      </c>
      <c r="AJ14" s="1684">
        <v>8.1492481255852844E-2</v>
      </c>
      <c r="AK14" s="1684">
        <v>8.1492481255852844E-2</v>
      </c>
    </row>
    <row r="15" spans="2:37">
      <c r="B15" s="1682" t="s">
        <v>1080</v>
      </c>
      <c r="C15" s="1577"/>
      <c r="D15" s="1578"/>
      <c r="E15" s="1578"/>
      <c r="F15" s="1578"/>
      <c r="G15" s="1578"/>
      <c r="H15" s="1579"/>
      <c r="I15" s="1580"/>
      <c r="J15" s="1581"/>
      <c r="K15" s="1581"/>
      <c r="L15" s="1581"/>
      <c r="M15" s="1582"/>
      <c r="N15" s="1582"/>
      <c r="O15" s="1582"/>
      <c r="P15" s="1581"/>
      <c r="Q15" s="1581"/>
      <c r="R15" s="1581"/>
      <c r="S15" s="1582"/>
      <c r="U15" s="1"/>
      <c r="V15" s="1"/>
      <c r="W15" s="1"/>
      <c r="AF15" s="1581"/>
      <c r="AG15" s="1581"/>
      <c r="AJ15" s="1582"/>
      <c r="AK15" s="1582"/>
    </row>
    <row r="16" spans="2:37">
      <c r="B16" s="1570" t="s">
        <v>1028</v>
      </c>
      <c r="C16" s="1577"/>
      <c r="D16" s="1578"/>
      <c r="E16" s="1578"/>
      <c r="F16" s="1578"/>
      <c r="G16" s="1578"/>
      <c r="H16" s="1579"/>
      <c r="I16" s="1580"/>
      <c r="M16" s="223"/>
      <c r="N16" s="223"/>
      <c r="O16" s="223"/>
      <c r="S16" s="223"/>
      <c r="U16" s="1"/>
      <c r="V16" s="1"/>
      <c r="W16" s="1"/>
      <c r="AJ16" s="223"/>
      <c r="AK16" s="223"/>
    </row>
    <row r="17" spans="2:37">
      <c r="B17" s="1729" t="s">
        <v>895</v>
      </c>
      <c r="C17" s="1730"/>
      <c r="D17" s="1731"/>
      <c r="E17" s="1731"/>
      <c r="F17" s="1731"/>
      <c r="G17" s="1731"/>
      <c r="H17" s="1732"/>
      <c r="I17" s="1733"/>
      <c r="J17" s="1734">
        <v>0.18043166165088786</v>
      </c>
      <c r="K17" s="1734">
        <v>0.11006596754424192</v>
      </c>
      <c r="L17" s="1734">
        <v>0.11150038331635681</v>
      </c>
      <c r="M17" s="1735">
        <v>0.15527709241027865</v>
      </c>
      <c r="N17" s="1735">
        <v>0.15527709241027865</v>
      </c>
      <c r="O17" s="1735">
        <v>0.15527709241027865</v>
      </c>
      <c r="P17" s="1734">
        <v>0.15527709241027865</v>
      </c>
      <c r="Q17" s="1736">
        <f>Revenue!J23</f>
        <v>0.11499999999999999</v>
      </c>
      <c r="R17" s="1736">
        <f>Revenue!K23</f>
        <v>0.12000000000000011</v>
      </c>
      <c r="S17" s="1737">
        <f>Revenue!L23</f>
        <v>0.12000000000000011</v>
      </c>
      <c r="U17" s="1"/>
      <c r="V17" s="1"/>
      <c r="W17" s="1"/>
      <c r="AF17" s="1736" t="e">
        <f>Revenue!#REF!</f>
        <v>#REF!</v>
      </c>
      <c r="AG17" s="1736">
        <f>Revenue!O23</f>
        <v>0.11859547007465543</v>
      </c>
      <c r="AJ17" s="1735">
        <v>0.15527709241027865</v>
      </c>
      <c r="AK17" s="1735">
        <v>0.15527709241027865</v>
      </c>
    </row>
    <row r="18" spans="2:37">
      <c r="B18" s="1695" t="s">
        <v>899</v>
      </c>
      <c r="C18" s="1577"/>
      <c r="D18" s="1578"/>
      <c r="E18" s="1578"/>
      <c r="F18" s="1578"/>
      <c r="G18" s="1578"/>
      <c r="H18" s="1579"/>
      <c r="I18" s="1580"/>
      <c r="J18" s="725"/>
      <c r="K18" s="725">
        <f>Revenue!D200</f>
        <v>0.10714285714285721</v>
      </c>
      <c r="L18" s="725">
        <f>Revenue!E200</f>
        <v>8.9192805113720297E-3</v>
      </c>
      <c r="M18" s="1126">
        <f>Revenue!F200</f>
        <v>9.0909090909090828E-2</v>
      </c>
      <c r="N18" s="1126">
        <f>Revenue!G200</f>
        <v>5.8616963803349575E-2</v>
      </c>
      <c r="O18" s="1126">
        <f>Revenue!H200</f>
        <v>0.12273539168155145</v>
      </c>
      <c r="P18" s="725">
        <f>Revenue!K200</f>
        <v>0.123</v>
      </c>
      <c r="Q18" s="725">
        <v>0.06</v>
      </c>
      <c r="R18" s="725">
        <v>0.06</v>
      </c>
      <c r="S18" s="1126">
        <v>0.06</v>
      </c>
      <c r="U18" s="1447" t="s">
        <v>1134</v>
      </c>
      <c r="V18" s="1"/>
      <c r="W18" s="1"/>
      <c r="X18" s="1738"/>
      <c r="Z18" s="1738" t="s">
        <v>1092</v>
      </c>
      <c r="AF18" s="725">
        <v>0.06</v>
      </c>
      <c r="AG18" s="725">
        <v>0.05</v>
      </c>
      <c r="AJ18" s="1126">
        <f>Revenue!I200</f>
        <v>0.13715909090909095</v>
      </c>
      <c r="AK18" s="1126">
        <f>Revenue!J200</f>
        <v>0.125</v>
      </c>
    </row>
    <row r="19" spans="2:37">
      <c r="B19" s="1695" t="s">
        <v>900</v>
      </c>
      <c r="C19" s="1577"/>
      <c r="D19" s="1578"/>
      <c r="E19" s="1578"/>
      <c r="F19" s="1578"/>
      <c r="G19" s="1578"/>
      <c r="H19" s="1579"/>
      <c r="I19" s="1580"/>
      <c r="J19" s="725"/>
      <c r="K19" s="725">
        <v>0.11500134661998374</v>
      </c>
      <c r="L19" s="725">
        <v>0.27826086956521734</v>
      </c>
      <c r="M19" s="1126">
        <v>0.23771730914588063</v>
      </c>
      <c r="N19" s="1126">
        <v>0.23771730914588063</v>
      </c>
      <c r="O19" s="1126">
        <v>0.23771730914588063</v>
      </c>
      <c r="P19" s="725">
        <v>0.23771730914588063</v>
      </c>
      <c r="Q19" s="1686">
        <v>0.18</v>
      </c>
      <c r="R19" s="1686">
        <v>0.15</v>
      </c>
      <c r="S19" s="1687">
        <v>0.15</v>
      </c>
      <c r="U19" s="1447"/>
      <c r="V19" s="1"/>
      <c r="W19" s="1"/>
      <c r="AF19" s="1686">
        <v>0.23</v>
      </c>
      <c r="AG19" s="1686">
        <v>0.2</v>
      </c>
      <c r="AJ19" s="1126">
        <v>0.23771730914588063</v>
      </c>
      <c r="AK19" s="1126">
        <v>0.23771730914588063</v>
      </c>
    </row>
    <row r="20" spans="2:37">
      <c r="B20" s="1685" t="s">
        <v>856</v>
      </c>
      <c r="C20" s="1577"/>
      <c r="D20" s="1578"/>
      <c r="E20" s="1578"/>
      <c r="F20" s="1578"/>
      <c r="G20" s="1578"/>
      <c r="H20" s="1579"/>
      <c r="I20" s="1580"/>
      <c r="J20" s="725">
        <v>0.13214872053264815</v>
      </c>
      <c r="K20" s="725">
        <v>-1.6036694716512812E-2</v>
      </c>
      <c r="L20" s="725">
        <v>1.433194637078139E-2</v>
      </c>
      <c r="M20" s="1126">
        <v>0.2759264683136482</v>
      </c>
      <c r="N20" s="1126">
        <v>0.2759264683136482</v>
      </c>
      <c r="O20" s="1126">
        <v>0.2759264683136482</v>
      </c>
      <c r="P20" s="725">
        <v>0.2759264683136482</v>
      </c>
      <c r="Q20" s="1688">
        <v>0.1</v>
      </c>
      <c r="R20" s="1688">
        <v>0.1</v>
      </c>
      <c r="S20" s="1689">
        <v>0.1</v>
      </c>
      <c r="U20" s="1447" t="s">
        <v>1095</v>
      </c>
      <c r="V20" s="1"/>
      <c r="W20" s="1"/>
      <c r="AF20" s="1688">
        <v>-0.05</v>
      </c>
      <c r="AG20" s="1688">
        <v>0.1</v>
      </c>
      <c r="AJ20" s="1126">
        <v>0.2759264683136482</v>
      </c>
      <c r="AK20" s="1126">
        <v>0.2759264683136482</v>
      </c>
    </row>
    <row r="21" spans="2:37">
      <c r="B21" s="1570" t="s">
        <v>882</v>
      </c>
      <c r="C21" s="1577"/>
      <c r="D21" s="1578"/>
      <c r="E21" s="1578"/>
      <c r="F21" s="1578"/>
      <c r="G21" s="1578"/>
      <c r="H21" s="1579"/>
      <c r="I21" s="1580"/>
      <c r="J21" s="725">
        <v>0.56490822757534787</v>
      </c>
      <c r="K21" s="725">
        <v>1.5765867342744988E-2</v>
      </c>
      <c r="L21" s="725">
        <v>0.34584941583365492</v>
      </c>
      <c r="M21" s="1126">
        <v>0.67586601343120711</v>
      </c>
      <c r="N21" s="1126">
        <v>0.67586601343120711</v>
      </c>
      <c r="O21" s="1126">
        <v>0.67586601343120711</v>
      </c>
      <c r="P21" s="725">
        <v>0.67586601343120711</v>
      </c>
      <c r="Q21" s="1688">
        <v>0.2</v>
      </c>
      <c r="R21" s="1688">
        <v>0.2</v>
      </c>
      <c r="S21" s="1689">
        <v>0.2</v>
      </c>
      <c r="U21" s="1447" t="s">
        <v>1096</v>
      </c>
      <c r="V21" s="1"/>
      <c r="W21" s="1"/>
      <c r="AF21" s="1688">
        <v>0.42</v>
      </c>
      <c r="AG21" s="1688">
        <v>0.35</v>
      </c>
      <c r="AJ21" s="1126">
        <v>0.67586601343120711</v>
      </c>
      <c r="AK21" s="1126">
        <v>0.67586601343120711</v>
      </c>
    </row>
    <row r="22" spans="2:37">
      <c r="B22" s="1682"/>
      <c r="C22" s="1577"/>
      <c r="D22" s="1578"/>
      <c r="E22" s="1578"/>
      <c r="F22" s="1578"/>
      <c r="G22" s="1578"/>
      <c r="H22" s="1579"/>
      <c r="I22" s="1580"/>
      <c r="J22" s="725"/>
      <c r="K22" s="725"/>
      <c r="L22" s="725"/>
      <c r="M22" s="1126"/>
      <c r="N22" s="1126"/>
      <c r="O22" s="1126"/>
      <c r="P22" s="725"/>
      <c r="Q22" s="1690"/>
      <c r="R22" s="1690"/>
      <c r="S22" s="1691"/>
      <c r="U22" s="1"/>
      <c r="V22" s="1"/>
      <c r="W22" s="1"/>
      <c r="AF22" s="1690"/>
      <c r="AG22" s="1690"/>
      <c r="AJ22" s="1126"/>
      <c r="AK22" s="1126"/>
    </row>
    <row r="23" spans="2:37">
      <c r="B23" s="1571" t="s">
        <v>1101</v>
      </c>
      <c r="C23" s="1578"/>
      <c r="D23" s="1578"/>
      <c r="E23" s="1578"/>
      <c r="F23" s="1578"/>
      <c r="G23" s="1578"/>
      <c r="H23" s="1579"/>
      <c r="J23" s="1692"/>
      <c r="K23" s="1692"/>
      <c r="L23" s="1692"/>
      <c r="M23" s="1693"/>
      <c r="N23" s="1693"/>
      <c r="O23" s="1693"/>
      <c r="P23" s="1692"/>
      <c r="Q23" s="1692"/>
      <c r="R23" s="1692"/>
      <c r="S23" s="1693"/>
      <c r="U23" s="1"/>
      <c r="V23" s="1"/>
      <c r="W23" s="1"/>
      <c r="AF23" s="1692"/>
      <c r="AG23" s="1692"/>
      <c r="AJ23" s="1693"/>
      <c r="AK23" s="1693"/>
    </row>
    <row r="24" spans="2:37">
      <c r="B24" s="1695" t="s">
        <v>878</v>
      </c>
      <c r="C24" s="1578"/>
      <c r="D24" s="1578"/>
      <c r="E24" s="1578"/>
      <c r="F24" s="1578"/>
      <c r="G24" s="1578"/>
      <c r="H24" s="1579"/>
      <c r="I24" s="1688">
        <f>Revenue!B57/Revenue!B37</f>
        <v>0.71818388210290318</v>
      </c>
      <c r="J24" s="1688">
        <f>Revenue!C57/Revenue!C37</f>
        <v>0.71706331262973944</v>
      </c>
      <c r="K24" s="1688">
        <f>Revenue!D57/Revenue!D37</f>
        <v>0.71357974265947588</v>
      </c>
      <c r="L24" s="1688">
        <f>Revenue!E57/Revenue!E37</f>
        <v>0.72628474452743508</v>
      </c>
      <c r="M24" s="1689">
        <f>Revenue!F57/Revenue!F37</f>
        <v>0.72144622819411053</v>
      </c>
      <c r="N24" s="1689">
        <f>Revenue!G57/Revenue!G37</f>
        <v>0.73206001389665165</v>
      </c>
      <c r="O24" s="1689">
        <f>Revenue!H57/Revenue!H37</f>
        <v>0.74824865957045861</v>
      </c>
      <c r="P24" s="1688" t="e">
        <f ca="1">Revenue!K57/Revenue!K37</f>
        <v>#DIV/0!</v>
      </c>
      <c r="Q24" s="1688">
        <v>0.72499999999999998</v>
      </c>
      <c r="R24" s="1688">
        <v>0.72499999999999998</v>
      </c>
      <c r="S24" s="1689">
        <v>0.72499999999999998</v>
      </c>
      <c r="U24" s="1447" t="s">
        <v>1114</v>
      </c>
      <c r="V24" s="1"/>
      <c r="W24" s="1"/>
      <c r="AF24" s="1688">
        <f>AVERAGE(K24:M24)</f>
        <v>0.72043690512700709</v>
      </c>
      <c r="AG24" s="1688">
        <v>0.72499999999999998</v>
      </c>
      <c r="AJ24" s="1689">
        <f>Revenue!I57/Revenue!I37</f>
        <v>0.70739379833538552</v>
      </c>
      <c r="AK24" s="1689" t="e">
        <f ca="1">Revenue!J57/Revenue!J37</f>
        <v>#DIV/0!</v>
      </c>
    </row>
    <row r="25" spans="2:37">
      <c r="B25" s="1571"/>
      <c r="C25" s="1578"/>
      <c r="D25" s="1578"/>
      <c r="E25" s="1578"/>
      <c r="F25" s="1578"/>
      <c r="G25" s="1578"/>
      <c r="H25" s="1579"/>
      <c r="J25" s="1692"/>
      <c r="K25" s="1692"/>
      <c r="L25" s="1692"/>
      <c r="M25" s="1693"/>
      <c r="N25" s="1693"/>
      <c r="O25" s="1693"/>
      <c r="P25" s="1692"/>
      <c r="Q25" s="1692"/>
      <c r="R25" s="1692"/>
      <c r="S25" s="1693"/>
      <c r="U25" s="1"/>
      <c r="V25" s="1"/>
      <c r="W25" s="1"/>
      <c r="AF25" s="1692"/>
      <c r="AG25" s="1692"/>
      <c r="AJ25" s="1693"/>
      <c r="AK25" s="1693"/>
    </row>
    <row r="26" spans="2:37">
      <c r="B26" s="1747" t="s">
        <v>880</v>
      </c>
      <c r="C26" s="1578"/>
      <c r="D26" s="1578"/>
      <c r="E26" s="1578"/>
      <c r="F26" s="1578"/>
      <c r="G26" s="1578"/>
      <c r="H26" s="1579"/>
      <c r="J26" s="1692"/>
      <c r="K26" s="1692"/>
      <c r="L26" s="1692"/>
      <c r="M26" s="1693"/>
      <c r="N26" s="1693"/>
      <c r="O26" s="1693"/>
      <c r="P26" s="1692"/>
      <c r="Q26" s="1692"/>
      <c r="R26" s="1692"/>
      <c r="S26" s="1693"/>
      <c r="U26" s="1"/>
      <c r="V26" s="1"/>
      <c r="W26" s="1"/>
      <c r="AF26" s="1692"/>
      <c r="AG26" s="1692"/>
      <c r="AJ26" s="1693"/>
      <c r="AK26" s="1693"/>
    </row>
    <row r="27" spans="2:37">
      <c r="B27" s="1776" t="s">
        <v>58</v>
      </c>
      <c r="C27" s="1743">
        <f>PL!C11/PL!C9</f>
        <v>0.80921822384761011</v>
      </c>
      <c r="D27" s="1743">
        <f>PL!D11/PL!D9</f>
        <v>0.79505788318661441</v>
      </c>
      <c r="E27" s="1743">
        <f>PL!E11/PL!E9</f>
        <v>0.81042773890380526</v>
      </c>
      <c r="F27" s="1743">
        <f>PL!F11/PL!F9</f>
        <v>0.80258484332088742</v>
      </c>
      <c r="G27" s="1743">
        <f>PL!G11/PL!G9</f>
        <v>0.78654638037973312</v>
      </c>
      <c r="H27" s="1744">
        <f>PL!H11/PL!H9</f>
        <v>0.77302578556508683</v>
      </c>
      <c r="I27" s="1742">
        <f>PL!I11/PL!I9</f>
        <v>0.62423309127983218</v>
      </c>
      <c r="J27" s="1743">
        <f>PL!J11/PL!J9</f>
        <v>0.61352004100483015</v>
      </c>
      <c r="K27" s="1743">
        <f>PL!K11/PL!K9</f>
        <v>0.60397254927556343</v>
      </c>
      <c r="L27" s="1743">
        <f>PL!L11/PL!L9</f>
        <v>0.61769459392560111</v>
      </c>
      <c r="M27" s="1744">
        <f>PL!M11/PL!M9</f>
        <v>0.60991904376551043</v>
      </c>
      <c r="N27" s="1744">
        <f>PL!N11/PL!N9</f>
        <v>0.61382812455135649</v>
      </c>
      <c r="O27" s="1744">
        <f>PL!O11/PL!O9</f>
        <v>0.62293084719689906</v>
      </c>
      <c r="P27" s="1743">
        <f ca="1">PL!R11/PL!R9</f>
        <v>0.66219423279797118</v>
      </c>
      <c r="Q27" s="1774">
        <f ca="1">PL!Q11/PL!Q9</f>
        <v>0.6533987052562843</v>
      </c>
      <c r="R27" s="1774">
        <f ca="1">PL!R11/PL!R9</f>
        <v>0.66219423279797118</v>
      </c>
      <c r="S27" s="1775">
        <f ca="1">PL!S11/PL!S9</f>
        <v>0.66581082852218587</v>
      </c>
      <c r="U27" s="1"/>
      <c r="V27" s="1"/>
      <c r="W27" s="1"/>
      <c r="AF27" s="1774" t="e">
        <f>PL!#REF!/PL!#REF!</f>
        <v>#REF!</v>
      </c>
      <c r="AG27" s="1774">
        <f>PL!V11/PL!V9</f>
        <v>0.64849563205423189</v>
      </c>
      <c r="AJ27" s="1744">
        <f>PL!P11/PL!P9</f>
        <v>0.62980878590365241</v>
      </c>
      <c r="AK27" s="1744">
        <f ca="1">PL!Q11/PL!Q9</f>
        <v>0.6533987052562843</v>
      </c>
    </row>
    <row r="28" spans="2:37">
      <c r="B28" s="1695" t="s">
        <v>741</v>
      </c>
      <c r="C28" s="1578"/>
      <c r="D28" s="1578"/>
      <c r="E28" s="1578"/>
      <c r="F28" s="1578"/>
      <c r="G28" s="1578"/>
      <c r="H28" s="1579"/>
      <c r="I28" s="1688">
        <f>Revenue!B59/Revenue!B10</f>
        <v>0.11031447154094852</v>
      </c>
      <c r="J28" s="1688">
        <f>Revenue!C59/Revenue!C10</f>
        <v>0.10770375739807234</v>
      </c>
      <c r="K28" s="1688">
        <f>Revenue!D59/Revenue!D10</f>
        <v>8.4357961261734102E-2</v>
      </c>
      <c r="L28" s="1688">
        <f>Revenue!E59/Revenue!E10</f>
        <v>0.10535702474219057</v>
      </c>
      <c r="M28" s="1689">
        <f>Revenue!F59/Revenue!F10</f>
        <v>8.6807624236424935E-2</v>
      </c>
      <c r="N28" s="1689">
        <f>Revenue!G59/Revenue!G10</f>
        <v>7.6608045940719099E-2</v>
      </c>
      <c r="O28" s="1689">
        <f>Revenue!H59/Revenue!H10</f>
        <v>7.9082085339317945E-2</v>
      </c>
      <c r="P28" s="1688">
        <f ca="1">Revenue!K59/Revenue!K10</f>
        <v>5.6228849031641888E-2</v>
      </c>
      <c r="Q28" s="1688">
        <v>0.08</v>
      </c>
      <c r="R28" s="1688">
        <v>0.08</v>
      </c>
      <c r="S28" s="1689">
        <v>0.08</v>
      </c>
      <c r="U28" s="1933" t="s">
        <v>1102</v>
      </c>
      <c r="V28" s="1"/>
      <c r="W28" s="1"/>
      <c r="AF28" s="1688">
        <v>9.4E-2</v>
      </c>
      <c r="AG28" s="1688">
        <v>0.08</v>
      </c>
      <c r="AJ28" s="1689">
        <f>Revenue!I59/Revenue!I10</f>
        <v>8.0848015243690577E-2</v>
      </c>
      <c r="AK28" s="1689">
        <f ca="1">Revenue!J59/Revenue!J10</f>
        <v>5.6510029919753055E-2</v>
      </c>
    </row>
    <row r="29" spans="2:37">
      <c r="B29" s="1776" t="s">
        <v>874</v>
      </c>
      <c r="C29" s="1731"/>
      <c r="D29" s="1731"/>
      <c r="E29" s="1731"/>
      <c r="F29" s="1731"/>
      <c r="G29" s="1731"/>
      <c r="H29" s="1732"/>
      <c r="I29" s="2032">
        <f>Revenue!B60/Revenue!B10</f>
        <v>0.23846842350631545</v>
      </c>
      <c r="J29" s="2032">
        <f>Revenue!C60/Revenue!C10</f>
        <v>0.26562117973844163</v>
      </c>
      <c r="K29" s="2032">
        <f>Revenue!D60/Revenue!D10</f>
        <v>0.2963914957177593</v>
      </c>
      <c r="L29" s="2032">
        <f>Revenue!E60/Revenue!E10</f>
        <v>0.30716552964773852</v>
      </c>
      <c r="M29" s="2032">
        <f>Revenue!F60/Revenue!F10</f>
        <v>0.30815482175924508</v>
      </c>
      <c r="N29" s="2032">
        <f>Revenue!G60/Revenue!G10</f>
        <v>0.31755613401889093</v>
      </c>
      <c r="O29" s="2032">
        <f>Revenue!H60/Revenue!H10</f>
        <v>0.31495637356842687</v>
      </c>
      <c r="P29" s="2032">
        <f ca="1">Revenue!K60/Revenue!K10</f>
        <v>0.25545160929746702</v>
      </c>
      <c r="Q29" s="2033">
        <v>0.30499999999999999</v>
      </c>
      <c r="R29" s="2033">
        <v>0.30499999999999999</v>
      </c>
      <c r="S29" s="2034">
        <v>0.30499999999999999</v>
      </c>
      <c r="U29" s="1933" t="s">
        <v>1102</v>
      </c>
      <c r="V29" s="1"/>
      <c r="W29" s="1"/>
      <c r="Z29" s="1738" t="s">
        <v>1099</v>
      </c>
      <c r="AF29" s="2033">
        <v>0.309</v>
      </c>
      <c r="AG29" s="2033">
        <v>0.313</v>
      </c>
      <c r="AJ29" s="2032">
        <f>Revenue!I60/Revenue!I10</f>
        <v>0.30936260667944532</v>
      </c>
      <c r="AK29" s="2032">
        <f ca="1">Revenue!J60/Revenue!J10</f>
        <v>0.24297006091599624</v>
      </c>
    </row>
    <row r="30" spans="2:37">
      <c r="B30" s="1750" t="s">
        <v>879</v>
      </c>
      <c r="C30" s="1748"/>
      <c r="D30" s="1749"/>
      <c r="E30" s="1749"/>
      <c r="F30" s="1749"/>
      <c r="G30" s="1749"/>
      <c r="H30" s="1749"/>
      <c r="I30" s="696">
        <f>Revenue!B40</f>
        <v>27843</v>
      </c>
      <c r="J30" s="1468">
        <f>Revenue!C40</f>
        <v>28781</v>
      </c>
      <c r="K30" s="1468">
        <f>Revenue!D40</f>
        <v>30651</v>
      </c>
      <c r="L30" s="1468">
        <f>Revenue!E40</f>
        <v>37180</v>
      </c>
      <c r="M30" s="1469">
        <v>42408</v>
      </c>
      <c r="N30" s="1469">
        <v>42409</v>
      </c>
      <c r="O30" s="1469">
        <v>42410</v>
      </c>
      <c r="P30" s="1468">
        <v>42413</v>
      </c>
      <c r="Q30" s="1740">
        <v>58500.152030703597</v>
      </c>
      <c r="R30" s="2665">
        <f>Q30*(1+R31)</f>
        <v>63472.664953313404</v>
      </c>
      <c r="S30" s="1741">
        <f>R30*(1+S31)</f>
        <v>68867.841474345041</v>
      </c>
      <c r="U30" s="1447" t="s">
        <v>1098</v>
      </c>
      <c r="V30" s="1"/>
      <c r="W30" s="1"/>
      <c r="AF30" s="1740">
        <f>M30+(AG30-M30)/2</f>
        <v>46204</v>
      </c>
      <c r="AG30" s="1740">
        <v>50000</v>
      </c>
      <c r="AJ30" s="1469">
        <v>42411</v>
      </c>
      <c r="AK30" s="1469">
        <v>42412</v>
      </c>
    </row>
    <row r="31" spans="2:37">
      <c r="B31" s="1750" t="s">
        <v>1081</v>
      </c>
      <c r="C31" s="1749"/>
      <c r="D31" s="1749"/>
      <c r="E31" s="1749"/>
      <c r="F31" s="1749"/>
      <c r="G31" s="1749"/>
      <c r="H31" s="1749"/>
      <c r="I31" s="7"/>
      <c r="J31" s="1751">
        <f>Revenue!C46</f>
        <v>0.28861861778714526</v>
      </c>
      <c r="K31" s="1751">
        <f>Revenue!D46</f>
        <v>0.1331639408657519</v>
      </c>
      <c r="L31" s="1751">
        <f>Revenue!E46</f>
        <v>3.3824633054615472E-3</v>
      </c>
      <c r="M31" s="1752">
        <f>Revenue!F46</f>
        <v>9.2847965902214558E-2</v>
      </c>
      <c r="N31" s="1752">
        <f>Revenue!G46</f>
        <v>6.9152674782195334E-2</v>
      </c>
      <c r="O31" s="1752">
        <f>Revenue!H46</f>
        <v>0</v>
      </c>
      <c r="P31" s="1751">
        <f>Revenue!K46</f>
        <v>0.1</v>
      </c>
      <c r="Q31" s="1751">
        <v>8.7999999999999995E-2</v>
      </c>
      <c r="R31" s="1751">
        <v>8.5000000000000006E-2</v>
      </c>
      <c r="S31" s="1752">
        <v>8.5000000000000006E-2</v>
      </c>
      <c r="T31" s="237"/>
      <c r="U31" s="1"/>
      <c r="V31" s="1"/>
      <c r="W31" s="1"/>
      <c r="AF31" s="1751">
        <v>0.09</v>
      </c>
      <c r="AG31" s="1751">
        <v>9.5000000000000001E-2</v>
      </c>
      <c r="AJ31" s="1752">
        <f>Revenue!I46</f>
        <v>8.7999999999999995E-2</v>
      </c>
      <c r="AK31" s="1752">
        <f>Revenue!J46</f>
        <v>0.1</v>
      </c>
    </row>
    <row r="32" spans="2:37">
      <c r="B32" s="1695" t="s">
        <v>875</v>
      </c>
      <c r="C32" s="1578"/>
      <c r="D32" s="1578"/>
      <c r="E32" s="1578"/>
      <c r="F32" s="1578"/>
      <c r="G32" s="1578"/>
      <c r="H32" s="1579"/>
      <c r="I32" s="1688">
        <f>Revenue!B61/Revenue!B10</f>
        <v>5.7936747978963109E-2</v>
      </c>
      <c r="J32" s="1688">
        <f>Revenue!C61/Revenue!C10</f>
        <v>6.3317251477112174E-2</v>
      </c>
      <c r="K32" s="1688">
        <f>Revenue!D61/Revenue!D10</f>
        <v>3.5657157831669624E-2</v>
      </c>
      <c r="L32" s="1688">
        <f>Revenue!E61/Revenue!E10</f>
        <v>3.348408706468442E-2</v>
      </c>
      <c r="M32" s="1689">
        <f>Revenue!F61/Revenue!F10</f>
        <v>3.0049344735549939E-2</v>
      </c>
      <c r="N32" s="1689">
        <f>Revenue!G61/Revenue!G10</f>
        <v>3.1811653555513852E-2</v>
      </c>
      <c r="O32" s="1689">
        <f>Revenue!H61/Revenue!H10</f>
        <v>3.0134836747674473E-2</v>
      </c>
      <c r="P32" s="1688">
        <f ca="1">Revenue!K61/Revenue!K10</f>
        <v>1.8393041091672002E-2</v>
      </c>
      <c r="Q32" s="1688">
        <v>3.5000000000000003E-2</v>
      </c>
      <c r="R32" s="1688">
        <v>3.5000000000000003E-2</v>
      </c>
      <c r="S32" s="1689">
        <v>3.5000000000000003E-2</v>
      </c>
      <c r="U32" s="1447" t="s">
        <v>1115</v>
      </c>
      <c r="V32" s="1"/>
      <c r="W32" s="1"/>
      <c r="AF32" s="1688">
        <v>3.5000000000000003E-2</v>
      </c>
      <c r="AG32" s="1688">
        <v>3.5000000000000003E-2</v>
      </c>
      <c r="AJ32" s="1689">
        <f>Revenue!I61/Revenue!I10</f>
        <v>2.8270856355211454E-2</v>
      </c>
      <c r="AK32" s="1689">
        <f ca="1">Revenue!J61/Revenue!J10</f>
        <v>2.135869694375421E-2</v>
      </c>
    </row>
    <row r="33" spans="2:37">
      <c r="B33" s="1695" t="s">
        <v>876</v>
      </c>
      <c r="C33" s="1578"/>
      <c r="D33" s="1578"/>
      <c r="E33" s="1578"/>
      <c r="F33" s="1578"/>
      <c r="G33" s="1578"/>
      <c r="H33" s="1579"/>
      <c r="I33" s="1688">
        <f>Revenue!B62/Revenue!B10</f>
        <v>0.17636469708857816</v>
      </c>
      <c r="J33" s="1688">
        <f>Revenue!C62/Revenue!C10</f>
        <v>0.14429891643791645</v>
      </c>
      <c r="K33" s="1688">
        <f>Revenue!D62/Revenue!D10</f>
        <v>0.15451316699624776</v>
      </c>
      <c r="L33" s="1688">
        <f>Revenue!E62/Revenue!E10</f>
        <v>0.14465747060994397</v>
      </c>
      <c r="M33" s="1689">
        <f>Revenue!F62/Revenue!F10</f>
        <v>0.15865731838634836</v>
      </c>
      <c r="N33" s="1689">
        <f>Revenue!G62/Revenue!G10</f>
        <v>0.14605012700372733</v>
      </c>
      <c r="O33" s="1689">
        <f>Revenue!H62/Revenue!H10</f>
        <v>0.16587202477037341</v>
      </c>
      <c r="P33" s="1688">
        <f ca="1">Revenue!K62/Revenue!K10</f>
        <v>0.12049039078208977</v>
      </c>
      <c r="Q33" s="1688">
        <v>0.15</v>
      </c>
      <c r="R33" s="1688">
        <v>0.15260931866418004</v>
      </c>
      <c r="S33" s="1689">
        <v>0.15260931866418004</v>
      </c>
      <c r="U33" s="1849" t="s">
        <v>1057</v>
      </c>
      <c r="V33" s="1"/>
      <c r="W33" s="1"/>
      <c r="AF33" s="1688">
        <f>AVERAGE(K33:M33)</f>
        <v>0.15260931866418004</v>
      </c>
      <c r="AG33" s="1688">
        <v>0.15</v>
      </c>
      <c r="AJ33" s="1689">
        <f>Revenue!I62/Revenue!I10</f>
        <v>0.18656573140889784</v>
      </c>
      <c r="AK33" s="1689">
        <f ca="1">Revenue!J62/Revenue!J10</f>
        <v>0.11954044790716993</v>
      </c>
    </row>
    <row r="34" spans="2:37">
      <c r="B34" s="1695" t="s">
        <v>877</v>
      </c>
      <c r="C34" s="1578"/>
      <c r="D34" s="1578"/>
      <c r="E34" s="1578"/>
      <c r="F34" s="1578"/>
      <c r="G34" s="1578"/>
      <c r="H34" s="1579"/>
      <c r="I34" s="1688">
        <f>Revenue!B63/Revenue!B10</f>
        <v>4.1148751165026982E-2</v>
      </c>
      <c r="J34" s="1688">
        <f>Revenue!C63/Revenue!C10</f>
        <v>3.2578935953287494E-2</v>
      </c>
      <c r="K34" s="1688">
        <f>Revenue!D63/Revenue!D10</f>
        <v>3.3052767468152694E-2</v>
      </c>
      <c r="L34" s="1688">
        <f>Revenue!E63/Revenue!E10</f>
        <v>2.7030481861043534E-2</v>
      </c>
      <c r="M34" s="1689">
        <f>Revenue!F63/Revenue!F10</f>
        <v>2.6249934647942185E-2</v>
      </c>
      <c r="N34" s="1689">
        <f>Revenue!G63/Revenue!G10</f>
        <v>4.1801007110154026E-2</v>
      </c>
      <c r="O34" s="1689">
        <f>Revenue!H63/Revenue!H10</f>
        <v>3.2873533989481764E-2</v>
      </c>
      <c r="P34" s="1688">
        <f ca="1">Revenue!K63/Revenue!K10</f>
        <v>3.3000000000000002E-2</v>
      </c>
      <c r="Q34" s="1688">
        <f ca="1">P34</f>
        <v>3.3000000000000002E-2</v>
      </c>
      <c r="R34" s="1688">
        <f ca="1">Q34</f>
        <v>3.3000000000000002E-2</v>
      </c>
      <c r="S34" s="1689">
        <f ca="1">R34</f>
        <v>3.3000000000000002E-2</v>
      </c>
      <c r="U34" s="1849" t="s">
        <v>1057</v>
      </c>
      <c r="V34" s="1"/>
      <c r="W34" s="1"/>
      <c r="AF34" s="1688">
        <f>AVERAGE(K34:M34)</f>
        <v>2.8777727992379473E-2</v>
      </c>
      <c r="AG34" s="1688">
        <v>3.5000000000000003E-2</v>
      </c>
      <c r="AJ34" s="1689">
        <f>Revenue!I63/Revenue!I10</f>
        <v>2.5603159711163125E-2</v>
      </c>
      <c r="AK34" s="1689">
        <f ca="1">Revenue!J63/Revenue!J10</f>
        <v>3.3000000000000002E-2</v>
      </c>
    </row>
    <row r="35" spans="2:37">
      <c r="B35" s="1571"/>
      <c r="C35" s="1578"/>
      <c r="D35" s="1578"/>
      <c r="E35" s="1578"/>
      <c r="F35" s="1578"/>
      <c r="G35" s="1578"/>
      <c r="H35" s="1579"/>
      <c r="J35" s="1692"/>
      <c r="K35" s="1692"/>
      <c r="L35" s="1692"/>
      <c r="M35" s="1693"/>
      <c r="N35" s="1693"/>
      <c r="O35" s="1693"/>
      <c r="P35" s="1692"/>
      <c r="Q35" s="1692"/>
      <c r="R35" s="1692"/>
      <c r="S35" s="1693"/>
      <c r="V35" s="1"/>
      <c r="W35" s="1"/>
      <c r="AF35" s="1692"/>
      <c r="AG35" s="1692"/>
      <c r="AJ35" s="1693"/>
      <c r="AK35" s="1693"/>
    </row>
    <row r="36" spans="2:37">
      <c r="B36" s="1696" t="s">
        <v>141</v>
      </c>
      <c r="M36" s="223"/>
      <c r="N36" s="223"/>
      <c r="O36" s="223"/>
      <c r="Q36" s="1474"/>
      <c r="R36" s="1474"/>
      <c r="S36" s="1698"/>
      <c r="U36" s="1"/>
      <c r="V36" s="1"/>
      <c r="W36" s="1"/>
      <c r="AF36" s="1474"/>
      <c r="AG36" s="1474"/>
      <c r="AJ36" s="223"/>
      <c r="AK36" s="223"/>
    </row>
    <row r="37" spans="2:37">
      <c r="B37" s="1753" t="s">
        <v>59</v>
      </c>
      <c r="C37" s="1743">
        <f>PL!C14</f>
        <v>0.19078177615238984</v>
      </c>
      <c r="D37" s="1743">
        <f>PL!D14</f>
        <v>0.20494211681338564</v>
      </c>
      <c r="E37" s="1743">
        <f>PL!E14</f>
        <v>0.18957226109619471</v>
      </c>
      <c r="F37" s="1743">
        <f>PL!F14</f>
        <v>0.19741515667911261</v>
      </c>
      <c r="G37" s="1743">
        <f>PL!G14</f>
        <v>0.21345361962026688</v>
      </c>
      <c r="H37" s="1744">
        <f>PL!H14</f>
        <v>0.2269742144349132</v>
      </c>
      <c r="I37" s="1742">
        <f>PL!I14</f>
        <v>0.37576690872016782</v>
      </c>
      <c r="J37" s="1743">
        <f>PL!J14</f>
        <v>0.38647995899516985</v>
      </c>
      <c r="K37" s="1743">
        <f>PL!K14</f>
        <v>0.39602745072443657</v>
      </c>
      <c r="L37" s="1743">
        <f>PL!L14</f>
        <v>0.38230540607439883</v>
      </c>
      <c r="M37" s="1744">
        <f>PL!M14</f>
        <v>0.39008095623448957</v>
      </c>
      <c r="N37" s="1744">
        <f>PL!N14</f>
        <v>0.38617187544864356</v>
      </c>
      <c r="O37" s="1744">
        <f>PL!O14</f>
        <v>0.37706915280310094</v>
      </c>
      <c r="P37" s="1743">
        <f ca="1">PL!R14</f>
        <v>0.33780576720202882</v>
      </c>
      <c r="Q37" s="1745">
        <f ca="1">PL!Q14</f>
        <v>0.3466012947437157</v>
      </c>
      <c r="R37" s="1745">
        <f ca="1">PL!R14</f>
        <v>0.33780576720202882</v>
      </c>
      <c r="S37" s="1746">
        <f ca="1">PL!S14</f>
        <v>0.33418917147781407</v>
      </c>
      <c r="U37" s="1"/>
      <c r="V37" s="1"/>
      <c r="W37" s="1"/>
      <c r="AF37" s="1745" t="e">
        <f>PL!#REF!</f>
        <v>#REF!</v>
      </c>
      <c r="AG37" s="1745">
        <f>PL!V14</f>
        <v>0.35150436794576811</v>
      </c>
      <c r="AJ37" s="1744">
        <f>PL!P14</f>
        <v>0.37019121409634759</v>
      </c>
      <c r="AK37" s="1744">
        <f ca="1">PL!Q14</f>
        <v>0.3466012947437157</v>
      </c>
    </row>
    <row r="38" spans="2:37">
      <c r="B38" s="391"/>
      <c r="M38" s="223"/>
      <c r="N38" s="223"/>
      <c r="O38" s="223"/>
      <c r="Q38" s="40"/>
      <c r="R38" s="40"/>
      <c r="S38" s="973"/>
      <c r="U38" s="1"/>
      <c r="V38" s="1"/>
      <c r="W38" s="1"/>
      <c r="AJ38" s="223"/>
      <c r="AK38" s="223"/>
    </row>
    <row r="39" spans="2:37">
      <c r="B39" s="1777" t="s">
        <v>1103</v>
      </c>
      <c r="C39" s="378"/>
      <c r="D39" s="378"/>
      <c r="E39" s="378"/>
      <c r="F39" s="378"/>
      <c r="G39" s="378"/>
      <c r="H39" s="378"/>
      <c r="I39" s="378"/>
      <c r="J39" s="378"/>
      <c r="K39" s="378"/>
      <c r="L39" s="378"/>
      <c r="M39" s="587"/>
      <c r="N39" s="587"/>
      <c r="O39" s="587"/>
      <c r="P39" s="3431"/>
      <c r="Q39" s="1333">
        <f t="shared" ref="Q39:S39" si="0">Q30/P30-1</f>
        <v>0.37929766889169825</v>
      </c>
      <c r="R39" s="1333">
        <f t="shared" si="0"/>
        <v>8.4999999999999964E-2</v>
      </c>
      <c r="S39" s="1666">
        <f t="shared" si="0"/>
        <v>8.4999999999999964E-2</v>
      </c>
      <c r="U39" s="1"/>
      <c r="V39" s="1"/>
      <c r="W39" s="1"/>
      <c r="AF39" s="378"/>
      <c r="AG39" s="2387">
        <f>AG30/AF30-1</f>
        <v>8.2157388970651946E-2</v>
      </c>
      <c r="AJ39" s="587"/>
      <c r="AK39" s="587"/>
    </row>
    <row r="40" spans="2:37">
      <c r="B40" s="391"/>
      <c r="M40" s="223"/>
      <c r="N40" s="223"/>
      <c r="O40" s="223"/>
      <c r="S40" s="223"/>
      <c r="U40" s="1"/>
      <c r="V40" s="1"/>
      <c r="W40" s="1"/>
      <c r="AJ40" s="223"/>
      <c r="AK40" s="223"/>
    </row>
    <row r="41" spans="2:37">
      <c r="B41" s="1903" t="s">
        <v>1104</v>
      </c>
      <c r="C41" s="1578"/>
      <c r="D41" s="1578"/>
      <c r="E41" s="1578"/>
      <c r="F41" s="1578"/>
      <c r="G41" s="1578"/>
      <c r="H41" s="1579"/>
      <c r="I41" s="1697"/>
      <c r="J41" s="1686"/>
      <c r="K41" s="1686"/>
      <c r="L41" s="1686"/>
      <c r="M41" s="1687"/>
      <c r="N41" s="1687"/>
      <c r="O41" s="1687"/>
      <c r="P41" s="1686"/>
      <c r="Q41" s="1688"/>
      <c r="R41" s="1688"/>
      <c r="S41" s="1689"/>
      <c r="U41" s="1"/>
      <c r="V41" s="1"/>
      <c r="W41" s="1"/>
      <c r="AF41" s="1688"/>
      <c r="AG41" s="1688"/>
      <c r="AJ41" s="1687"/>
      <c r="AK41" s="1687"/>
    </row>
    <row r="42" spans="2:37">
      <c r="B42" s="1685" t="s">
        <v>826</v>
      </c>
      <c r="C42" s="239">
        <f>PL!C19</f>
        <v>3.4881775963952644E-2</v>
      </c>
      <c r="D42" s="239">
        <f>PL!D19</f>
        <v>5.0192872188073508E-2</v>
      </c>
      <c r="E42" s="239">
        <f>PL!E19</f>
        <v>4.9558461714184272E-2</v>
      </c>
      <c r="F42" s="239">
        <f>PL!F19</f>
        <v>5.8664080035796512E-2</v>
      </c>
      <c r="G42" s="239">
        <f>PL!G19</f>
        <v>6.6743144243575511E-2</v>
      </c>
      <c r="H42" s="241">
        <f>PL!H19</f>
        <v>7.2075422590634222E-2</v>
      </c>
      <c r="I42" s="240">
        <f>PL!I19</f>
        <v>8.8217215243463515E-2</v>
      </c>
      <c r="J42" s="239">
        <f>PL!J19</f>
        <v>8.4639788548905665E-2</v>
      </c>
      <c r="K42" s="239">
        <f>PL!K19</f>
        <v>9.0966305870178302E-2</v>
      </c>
      <c r="L42" s="239">
        <f>PL!L19</f>
        <v>0.10109050801163431</v>
      </c>
      <c r="M42" s="241">
        <f>PL!M19</f>
        <v>0.10285138083357186</v>
      </c>
      <c r="N42" s="241">
        <f>PL!N19</f>
        <v>9.9634379641224929E-2</v>
      </c>
      <c r="O42" s="241">
        <f>PL!O19</f>
        <v>9.7312295113398367E-2</v>
      </c>
      <c r="P42" s="239">
        <f>PL!R19</f>
        <v>7.9000000000000001E-2</v>
      </c>
      <c r="Q42" s="1700">
        <v>9.6000000000000002E-2</v>
      </c>
      <c r="R42" s="1700">
        <v>9.6000000000000002E-2</v>
      </c>
      <c r="S42" s="1701">
        <v>9.6000000000000002E-2</v>
      </c>
      <c r="U42" s="1447" t="s">
        <v>1105</v>
      </c>
      <c r="V42" s="1"/>
      <c r="W42" s="1"/>
      <c r="AF42" s="1782">
        <v>0.10299999999999999</v>
      </c>
      <c r="AG42" s="1700">
        <v>0.1</v>
      </c>
      <c r="AJ42" s="241">
        <f>PL!P19</f>
        <v>0.10797734550161101</v>
      </c>
      <c r="AK42" s="241">
        <f>PL!Q19</f>
        <v>0.08</v>
      </c>
    </row>
    <row r="43" spans="2:37">
      <c r="B43" s="1685" t="s">
        <v>60</v>
      </c>
      <c r="C43" s="239">
        <f>PL!C22</f>
        <v>6.5164534460181375E-2</v>
      </c>
      <c r="D43" s="239">
        <f>PL!D22</f>
        <v>6.8317348405751557E-2</v>
      </c>
      <c r="E43" s="239">
        <f>PL!E22</f>
        <v>6.8496159731598047E-2</v>
      </c>
      <c r="F43" s="239">
        <f>PL!F22</f>
        <v>6.1428029542517908E-2</v>
      </c>
      <c r="G43" s="239">
        <f>PL!G22</f>
        <v>6.959413769368214E-2</v>
      </c>
      <c r="H43" s="241">
        <f>PL!H22</f>
        <v>8.0666684783910259E-2</v>
      </c>
      <c r="I43" s="240">
        <f>PL!I22</f>
        <v>0.15306965641685646</v>
      </c>
      <c r="J43" s="239">
        <f>PL!J22</f>
        <v>0.15222646161309594</v>
      </c>
      <c r="K43" s="239">
        <f>PL!K22</f>
        <v>0.15069748907808633</v>
      </c>
      <c r="L43" s="239">
        <f>PL!L22</f>
        <v>0.12935165535351131</v>
      </c>
      <c r="M43" s="241">
        <f>PL!M22</f>
        <v>0.13284124964717142</v>
      </c>
      <c r="N43" s="241">
        <f>PL!N22</f>
        <v>0.12591482241174515</v>
      </c>
      <c r="O43" s="241">
        <f>PL!O22</f>
        <v>0.11255650267889007</v>
      </c>
      <c r="P43" s="239">
        <f ca="1">PL!R22</f>
        <v>9.5000000000000001E-2</v>
      </c>
      <c r="Q43" s="1700">
        <v>0.112</v>
      </c>
      <c r="R43" s="1700">
        <v>0.111</v>
      </c>
      <c r="S43" s="1701">
        <v>0.111</v>
      </c>
      <c r="U43" s="1447" t="s">
        <v>1106</v>
      </c>
      <c r="V43" s="1"/>
      <c r="W43" s="1"/>
      <c r="AF43" s="1700">
        <v>0.13200000000000001</v>
      </c>
      <c r="AG43" s="1700">
        <f>12.8%</f>
        <v>0.128</v>
      </c>
      <c r="AJ43" s="241">
        <f>PL!P22</f>
        <v>0.10441576983945776</v>
      </c>
      <c r="AK43" s="241">
        <f ca="1">PL!Q22</f>
        <v>9.6000000000000002E-2</v>
      </c>
    </row>
    <row r="44" spans="2:37">
      <c r="B44" s="1685" t="s">
        <v>918</v>
      </c>
      <c r="C44" s="239">
        <f>PL!C51</f>
        <v>0.17496911332155385</v>
      </c>
      <c r="D44" s="239">
        <f>PL!D51</f>
        <v>0.17900764353148596</v>
      </c>
      <c r="E44" s="239">
        <f>PL!E51</f>
        <v>0.15456069551818841</v>
      </c>
      <c r="F44" s="239">
        <f>PL!F51</f>
        <v>0.14487635950108343</v>
      </c>
      <c r="G44" s="239">
        <f>PL!G51</f>
        <v>0.1453956716827981</v>
      </c>
      <c r="H44" s="241">
        <f>PL!H51</f>
        <v>0.17085399303610815</v>
      </c>
      <c r="I44" s="240">
        <f>PL!I51</f>
        <v>0.16165621139985442</v>
      </c>
      <c r="J44" s="239">
        <f>PL!J51</f>
        <v>0.16139209357592244</v>
      </c>
      <c r="K44" s="239">
        <f>PL!K51</f>
        <v>0.15953611312918994</v>
      </c>
      <c r="L44" s="239">
        <f>PL!L51</f>
        <v>0.15588972059945352</v>
      </c>
      <c r="M44" s="241">
        <f>PL!M51</f>
        <v>0.15281861966493313</v>
      </c>
      <c r="N44" s="241">
        <f>PL!N51</f>
        <v>0.15374936665247479</v>
      </c>
      <c r="O44" s="241">
        <f>PL!O51</f>
        <v>0.14835505336207247</v>
      </c>
      <c r="P44" s="239">
        <f ca="1">PL!R51</f>
        <v>0.15</v>
      </c>
      <c r="Q44" s="1700">
        <f ca="1">AVERAGE(P44:P44)</f>
        <v>0.15</v>
      </c>
      <c r="R44" s="1700">
        <f ca="1">AVERAGE(P44:Q44)</f>
        <v>0.15</v>
      </c>
      <c r="S44" s="1701">
        <f ca="1">AVERAGE(P44:R44)</f>
        <v>0.15</v>
      </c>
      <c r="U44" s="1447" t="s">
        <v>1107</v>
      </c>
      <c r="AF44" s="1700">
        <v>0.153</v>
      </c>
      <c r="AG44" s="1700">
        <v>0.153</v>
      </c>
      <c r="AJ44" s="241">
        <f>PL!P51</f>
        <v>0.13806827007123643</v>
      </c>
      <c r="AK44" s="241">
        <f ca="1">PL!Q51</f>
        <v>0.15</v>
      </c>
    </row>
    <row r="45" spans="2:37">
      <c r="B45" s="1685"/>
      <c r="C45" s="239"/>
      <c r="D45" s="239"/>
      <c r="E45" s="239"/>
      <c r="F45" s="239"/>
      <c r="G45" s="239"/>
      <c r="H45" s="239"/>
      <c r="I45" s="239"/>
      <c r="J45" s="239"/>
      <c r="K45" s="239"/>
      <c r="L45" s="239"/>
      <c r="M45" s="241"/>
      <c r="N45" s="241"/>
      <c r="O45" s="241"/>
      <c r="P45" s="239"/>
      <c r="Q45" s="1700"/>
      <c r="R45" s="1700"/>
      <c r="S45" s="1701"/>
      <c r="AF45" s="1700"/>
      <c r="AG45" s="1700"/>
      <c r="AJ45" s="241"/>
      <c r="AK45" s="241"/>
    </row>
    <row r="46" spans="2:37">
      <c r="B46" s="1571" t="s">
        <v>1108</v>
      </c>
      <c r="M46" s="223"/>
      <c r="N46" s="223"/>
      <c r="O46" s="223"/>
      <c r="S46" s="223"/>
      <c r="U46" s="1"/>
      <c r="V46" s="1"/>
      <c r="W46" s="1"/>
      <c r="AJ46" s="223"/>
      <c r="AK46" s="223"/>
    </row>
    <row r="47" spans="2:37">
      <c r="B47" s="1778" t="s">
        <v>1083</v>
      </c>
      <c r="C47" s="1583"/>
      <c r="D47" s="1583">
        <f>PL!D45/(BS!D30+BS!D31)</f>
        <v>3.0451469759251081E-2</v>
      </c>
      <c r="E47" s="1583">
        <f>PL!E45/(BS!E30+BS!E31)</f>
        <v>5.0472840198135242E-2</v>
      </c>
      <c r="F47" s="1583">
        <f>PL!F45/(BS!F30+BS!F31)</f>
        <v>4.736147463562343E-2</v>
      </c>
      <c r="G47" s="1583">
        <f>PL!G45/(BS!G30+BS!G31)</f>
        <v>4.2517478788063653E-2</v>
      </c>
      <c r="H47" s="1584">
        <f>PL!H45/(BS!H30+BS!H31)</f>
        <v>3.9860149432147059E-2</v>
      </c>
      <c r="I47" s="1781">
        <f>PL!I45/(BS!I30+BS!I31)</f>
        <v>0.1993342849222349</v>
      </c>
      <c r="J47" s="1583">
        <f>PL!J45/(BS!J30+BS!J31)</f>
        <v>0.16219468189540465</v>
      </c>
      <c r="K47" s="1583">
        <f>PL!K45/(BS!K30+BS!K31)</f>
        <v>0.12095017878889222</v>
      </c>
      <c r="L47" s="1583">
        <f>PL!L45/(BS!L30+BS!L31)</f>
        <v>0.22142684641762903</v>
      </c>
      <c r="M47" s="1584">
        <f>PL!M45/(BS!M30+BS!M31)</f>
        <v>0.14933704882635365</v>
      </c>
      <c r="N47" s="1584">
        <f>PL!N45/(BS!N30+BS!N31)</f>
        <v>1.2697719132221442E-2</v>
      </c>
      <c r="O47" s="1584">
        <f>PL!O45/(BS!O30+BS!O31)</f>
        <v>0.11829998583522451</v>
      </c>
      <c r="P47" s="1583">
        <f ca="1">PL!R45/(BS!R30+BS!R31)</f>
        <v>0.19021998823180991</v>
      </c>
      <c r="Q47" s="1779"/>
      <c r="R47" s="1779"/>
      <c r="S47" s="1780"/>
      <c r="U47" s="1"/>
      <c r="V47" s="1"/>
      <c r="W47" s="1"/>
      <c r="AF47" s="1779">
        <v>0.12</v>
      </c>
      <c r="AG47" s="1779">
        <v>0.6</v>
      </c>
      <c r="AJ47" s="1583">
        <f>PL!P45/(BS!P30+BS!P31)</f>
        <v>0.13888537129981676</v>
      </c>
      <c r="AK47" s="1583">
        <f ca="1">PL!Q45/(BS!Q30+BS!Q31)</f>
        <v>0.22485948444152046</v>
      </c>
    </row>
    <row r="48" spans="2:37">
      <c r="B48" s="1778"/>
      <c r="C48" s="1583"/>
      <c r="D48" s="1583"/>
      <c r="E48" s="1583"/>
      <c r="F48" s="1583"/>
      <c r="G48" s="1583"/>
      <c r="H48" s="1583"/>
      <c r="I48" s="1583"/>
      <c r="J48" s="1583"/>
      <c r="K48" s="1583"/>
      <c r="L48" s="1583"/>
      <c r="M48" s="1584"/>
      <c r="N48" s="1584"/>
      <c r="O48" s="1584"/>
      <c r="P48" s="1583"/>
      <c r="Q48" s="1583"/>
      <c r="R48" s="1583"/>
      <c r="S48" s="1584"/>
      <c r="U48" s="1"/>
      <c r="V48" s="1"/>
      <c r="W48" s="1"/>
      <c r="AF48" s="1583"/>
      <c r="AG48" s="1583"/>
      <c r="AJ48" s="1584"/>
      <c r="AK48" s="1584"/>
    </row>
    <row r="49" spans="2:37">
      <c r="B49" s="1571" t="s">
        <v>1109</v>
      </c>
      <c r="C49" s="239"/>
      <c r="D49" s="239"/>
      <c r="E49" s="239"/>
      <c r="F49" s="239"/>
      <c r="G49" s="239"/>
      <c r="H49" s="239"/>
      <c r="I49" s="239"/>
      <c r="J49" s="239"/>
      <c r="K49" s="239"/>
      <c r="L49" s="239"/>
      <c r="M49" s="241"/>
      <c r="N49" s="241"/>
      <c r="O49" s="241"/>
      <c r="P49" s="239"/>
      <c r="Q49" s="1700"/>
      <c r="R49" s="1700"/>
      <c r="S49" s="1701"/>
      <c r="U49" s="1"/>
      <c r="V49" s="1"/>
      <c r="W49" s="1"/>
      <c r="AF49" s="1700"/>
      <c r="AG49" s="1700"/>
      <c r="AJ49" s="241"/>
      <c r="AK49" s="241"/>
    </row>
    <row r="50" spans="2:37">
      <c r="B50" s="1572" t="s">
        <v>1084</v>
      </c>
      <c r="C50" s="239"/>
      <c r="D50" s="239"/>
      <c r="E50" s="239"/>
      <c r="F50" s="239"/>
      <c r="G50" s="239"/>
      <c r="H50" s="239"/>
      <c r="I50" s="239">
        <f>PL!I42/PL!I9</f>
        <v>2.6040377387336307E-3</v>
      </c>
      <c r="J50" s="239">
        <f>PL!J42/PL!J9</f>
        <v>4.0655094372515797E-3</v>
      </c>
      <c r="K50" s="239">
        <f>PL!K42/PL!K9</f>
        <v>4.4049420935814059E-3</v>
      </c>
      <c r="L50" s="239">
        <f>PL!L42/PL!L9</f>
        <v>3.736102216309357E-3</v>
      </c>
      <c r="M50" s="241">
        <f>PL!M42/PL!M9</f>
        <v>4.1882732184365147E-3</v>
      </c>
      <c r="N50" s="241">
        <f>PL!N42/PL!N9</f>
        <v>3.8191567462800115E-3</v>
      </c>
      <c r="O50" s="241">
        <f>PL!O42/PL!O9</f>
        <v>2.7916209683591362E-3</v>
      </c>
      <c r="P50" s="239">
        <v>3.0000000000000001E-3</v>
      </c>
      <c r="Q50" s="1700">
        <f t="shared" ref="Q50:S51" si="1">P50</f>
        <v>3.0000000000000001E-3</v>
      </c>
      <c r="R50" s="1700">
        <f t="shared" si="1"/>
        <v>3.0000000000000001E-3</v>
      </c>
      <c r="S50" s="1701">
        <f t="shared" si="1"/>
        <v>3.0000000000000001E-3</v>
      </c>
      <c r="U50" s="1"/>
      <c r="V50" s="1"/>
      <c r="W50" s="1"/>
      <c r="AF50" s="1700">
        <f>0.35%</f>
        <v>3.4999999999999996E-3</v>
      </c>
      <c r="AG50" s="1700">
        <f>0.3%</f>
        <v>3.0000000000000001E-3</v>
      </c>
      <c r="AJ50" s="241">
        <f>PL!P42/PL!P9</f>
        <v>2.0352471360331036E-3</v>
      </c>
      <c r="AK50" s="241">
        <f ca="1">PL!Q42/PL!Q9</f>
        <v>3.0000000000000001E-3</v>
      </c>
    </row>
    <row r="51" spans="2:37">
      <c r="B51" s="1572" t="s">
        <v>1085</v>
      </c>
      <c r="C51" s="239"/>
      <c r="D51" s="239"/>
      <c r="E51" s="239"/>
      <c r="F51" s="239"/>
      <c r="G51" s="239"/>
      <c r="H51" s="239"/>
      <c r="I51" s="239">
        <f>PL!I43/PL!I9</f>
        <v>1.1534331995208101E-4</v>
      </c>
      <c r="J51" s="239">
        <f>PL!J43/PL!J9</f>
        <v>2.0935273731393388E-3</v>
      </c>
      <c r="K51" s="239">
        <f>PL!K43/PL!K9</f>
        <v>1.9644061051177228E-3</v>
      </c>
      <c r="L51" s="239">
        <f>PL!L43/PL!L9</f>
        <v>6.8728981640285482E-4</v>
      </c>
      <c r="M51" s="241">
        <f>PL!M43/PL!M9</f>
        <v>2.5296928742384417E-3</v>
      </c>
      <c r="N51" s="241">
        <f>PL!N43/PL!N9</f>
        <v>2.0847552840023023E-3</v>
      </c>
      <c r="O51" s="241">
        <f>PL!O43/PL!O9</f>
        <v>2.0821403244199294E-3</v>
      </c>
      <c r="P51" s="239">
        <v>2E-3</v>
      </c>
      <c r="Q51" s="1700">
        <f t="shared" si="1"/>
        <v>2E-3</v>
      </c>
      <c r="R51" s="1700">
        <f t="shared" si="1"/>
        <v>2E-3</v>
      </c>
      <c r="S51" s="1701">
        <f t="shared" si="1"/>
        <v>2E-3</v>
      </c>
      <c r="U51" s="1"/>
      <c r="V51" s="1"/>
      <c r="W51" s="1"/>
      <c r="AF51" s="1700">
        <f>M51</f>
        <v>2.5296928742384417E-3</v>
      </c>
      <c r="AG51" s="1700">
        <f>AF51</f>
        <v>2.5296928742384417E-3</v>
      </c>
      <c r="AJ51" s="241">
        <f>PL!P43/PL!P9</f>
        <v>7.2556154461142356E-4</v>
      </c>
      <c r="AK51" s="241">
        <f ca="1">PL!Q43/PL!Q9</f>
        <v>1.3067974105125688E-3</v>
      </c>
    </row>
    <row r="52" spans="2:37">
      <c r="B52" s="1572"/>
      <c r="C52" s="239"/>
      <c r="D52" s="239"/>
      <c r="E52" s="239"/>
      <c r="F52" s="239"/>
      <c r="G52" s="239"/>
      <c r="H52" s="239"/>
      <c r="I52" s="239"/>
      <c r="J52" s="239"/>
      <c r="K52" s="239"/>
      <c r="L52" s="239"/>
      <c r="M52" s="241"/>
      <c r="N52" s="241"/>
      <c r="O52" s="241"/>
      <c r="P52" s="239"/>
      <c r="Q52" s="1700"/>
      <c r="R52" s="1700"/>
      <c r="S52" s="1701"/>
      <c r="U52" s="1"/>
      <c r="V52" s="1"/>
      <c r="W52" s="1"/>
      <c r="AF52" s="1700"/>
      <c r="AG52" s="1700"/>
      <c r="AJ52" s="241"/>
      <c r="AK52" s="241"/>
    </row>
    <row r="53" spans="2:37">
      <c r="B53" s="1571" t="s">
        <v>1128</v>
      </c>
      <c r="C53" s="239"/>
      <c r="D53" s="239"/>
      <c r="E53" s="239"/>
      <c r="F53" s="239"/>
      <c r="G53" s="239"/>
      <c r="H53" s="239"/>
      <c r="I53" s="239"/>
      <c r="J53" s="239"/>
      <c r="K53" s="239"/>
      <c r="L53" s="239"/>
      <c r="M53" s="241"/>
      <c r="N53" s="241"/>
      <c r="O53" s="241"/>
      <c r="P53" s="239"/>
      <c r="Q53" s="1700"/>
      <c r="R53" s="1700"/>
      <c r="S53" s="1701"/>
      <c r="U53" s="1"/>
      <c r="V53" s="1"/>
      <c r="W53" s="1"/>
      <c r="AF53" s="1700"/>
      <c r="AG53" s="1700"/>
      <c r="AJ53" s="241"/>
      <c r="AK53" s="241"/>
    </row>
    <row r="54" spans="2:37">
      <c r="B54" s="1747" t="s">
        <v>265</v>
      </c>
      <c r="C54" s="239"/>
      <c r="D54" s="239"/>
      <c r="E54" s="239"/>
      <c r="F54" s="239"/>
      <c r="G54" s="239"/>
      <c r="H54" s="239"/>
      <c r="I54" s="239"/>
      <c r="J54" s="239"/>
      <c r="K54" s="239"/>
      <c r="L54" s="239"/>
      <c r="M54" s="241"/>
      <c r="N54" s="241"/>
      <c r="O54" s="241"/>
      <c r="P54" s="239"/>
      <c r="Q54" s="1700"/>
      <c r="R54" s="1700"/>
      <c r="S54" s="1701"/>
      <c r="U54" s="1"/>
      <c r="V54" s="1"/>
      <c r="W54" s="1"/>
      <c r="AF54" s="1700"/>
      <c r="AG54" s="1700"/>
      <c r="AJ54" s="241"/>
      <c r="AK54" s="241"/>
    </row>
    <row r="55" spans="2:37">
      <c r="B55" s="1695" t="s">
        <v>275</v>
      </c>
      <c r="C55" s="239"/>
      <c r="D55" s="239"/>
      <c r="E55" s="239"/>
      <c r="F55" s="239"/>
      <c r="G55" s="239"/>
      <c r="H55" s="239"/>
      <c r="I55" s="239">
        <f>PL!C376</f>
        <v>5.1018479998045284E-2</v>
      </c>
      <c r="J55" s="239">
        <f>PL!D376</f>
        <v>5.1791143714595582E-2</v>
      </c>
      <c r="K55" s="239">
        <f>PL!E376</f>
        <v>5.2485536248615197E-2</v>
      </c>
      <c r="L55" s="239">
        <f>PL!F376</f>
        <v>4.6455832213792458E-2</v>
      </c>
      <c r="M55" s="241">
        <f>PL!G376</f>
        <v>5.9143104188321305E-2</v>
      </c>
      <c r="N55" s="241">
        <f>PL!H376</f>
        <v>7.5147575381359077E-2</v>
      </c>
      <c r="O55" s="241">
        <f>PL!I376</f>
        <v>4.3515598659408558E-2</v>
      </c>
      <c r="P55" s="239">
        <f>PL!L376</f>
        <v>0.04</v>
      </c>
      <c r="Q55" s="239">
        <f>P55</f>
        <v>0.04</v>
      </c>
      <c r="R55" s="239">
        <f>Q55</f>
        <v>0.04</v>
      </c>
      <c r="S55" s="241">
        <f>R55</f>
        <v>0.04</v>
      </c>
      <c r="U55" s="1"/>
      <c r="V55" s="1"/>
      <c r="W55" s="1"/>
      <c r="AF55" s="239">
        <v>5.5E-2</v>
      </c>
      <c r="AG55" s="239">
        <v>5.3999999999999999E-2</v>
      </c>
      <c r="AJ55" s="241">
        <f>PL!J376</f>
        <v>4.8214117898323791E-2</v>
      </c>
      <c r="AK55" s="241">
        <f>PL!K376</f>
        <v>3.5000000000000003E-2</v>
      </c>
    </row>
    <row r="56" spans="2:37">
      <c r="B56" s="1747" t="s">
        <v>269</v>
      </c>
      <c r="C56" s="239"/>
      <c r="D56" s="239"/>
      <c r="E56" s="239"/>
      <c r="F56" s="239"/>
      <c r="G56" s="239"/>
      <c r="H56" s="239"/>
      <c r="I56" s="239"/>
      <c r="J56" s="239"/>
      <c r="K56" s="239"/>
      <c r="L56" s="239"/>
      <c r="M56" s="241"/>
      <c r="N56" s="241"/>
      <c r="O56" s="241"/>
      <c r="P56" s="239"/>
      <c r="Q56" s="1700"/>
      <c r="R56" s="1700"/>
      <c r="S56" s="1701"/>
      <c r="U56" s="1"/>
      <c r="V56" s="1"/>
      <c r="W56" s="1"/>
      <c r="AF56" s="1700"/>
      <c r="AG56" s="1700"/>
      <c r="AJ56" s="241"/>
      <c r="AK56" s="241"/>
    </row>
    <row r="57" spans="2:37">
      <c r="B57" s="1695" t="s">
        <v>941</v>
      </c>
      <c r="C57" s="239"/>
      <c r="D57" s="239"/>
      <c r="E57" s="239"/>
      <c r="F57" s="239"/>
      <c r="G57" s="239"/>
      <c r="H57" s="239"/>
      <c r="I57" s="239">
        <f>PL!C387/PL!I9</f>
        <v>5.0404210576408884E-3</v>
      </c>
      <c r="J57" s="239">
        <f>PL!D387/PL!J9</f>
        <v>4.9702673428526269E-3</v>
      </c>
      <c r="K57" s="239">
        <f>PL!E387/PL!K9</f>
        <v>3.4307478846612744E-3</v>
      </c>
      <c r="L57" s="239">
        <f>PL!F387/PL!L9</f>
        <v>7.1900141055207274E-3</v>
      </c>
      <c r="M57" s="241">
        <f>PL!G387/PL!M9</f>
        <v>1.0597751737092613E-2</v>
      </c>
      <c r="N57" s="241">
        <f>PL!H387/PL!N9</f>
        <v>7.1051123782084917E-3</v>
      </c>
      <c r="O57" s="241">
        <f>PL!I387/PL!O9</f>
        <v>9.153875516139609E-3</v>
      </c>
      <c r="P57" s="239">
        <f ca="1">PL!L387/PL!R9</f>
        <v>8.0000000000000002E-3</v>
      </c>
      <c r="Q57" s="1700">
        <f ca="1">P57</f>
        <v>8.0000000000000002E-3</v>
      </c>
      <c r="R57" s="1700">
        <f ca="1">Q57</f>
        <v>8.0000000000000002E-3</v>
      </c>
      <c r="S57" s="1701">
        <f ca="1">R57</f>
        <v>8.0000000000000002E-3</v>
      </c>
      <c r="U57" s="1"/>
      <c r="V57" s="1"/>
      <c r="W57" s="1"/>
      <c r="AF57" s="1700">
        <v>0.01</v>
      </c>
      <c r="AG57" s="1700">
        <v>8.0000000000000002E-3</v>
      </c>
      <c r="AJ57" s="241">
        <f>PL!J387/PL!P9</f>
        <v>1.3571020496472679E-2</v>
      </c>
      <c r="AK57" s="241">
        <f ca="1">PL!K387/PL!Q9</f>
        <v>8.0000000000000002E-3</v>
      </c>
    </row>
    <row r="58" spans="2:37">
      <c r="B58" s="1695" t="s">
        <v>1000</v>
      </c>
      <c r="C58" s="239"/>
      <c r="D58" s="239"/>
      <c r="E58" s="239"/>
      <c r="F58" s="239"/>
      <c r="G58" s="239"/>
      <c r="H58" s="239"/>
      <c r="I58" s="239">
        <f>PL!C388/SUM(PL!C381:C382)</f>
        <v>5.0907868666733705E-2</v>
      </c>
      <c r="J58" s="239">
        <f>PL!D388/SUM(PL!D381:D382)</f>
        <v>4.1537529316300909E-3</v>
      </c>
      <c r="K58" s="239">
        <f>PL!E388/SUM(PL!E381:E382)</f>
        <v>3.9126084227814857E-3</v>
      </c>
      <c r="L58" s="239">
        <f>PL!F388/SUM(PL!F381:F382)</f>
        <v>4.8288693876629256E-3</v>
      </c>
      <c r="M58" s="241">
        <f>PL!G388/SUM(PL!G381:G382)</f>
        <v>7.5780221386566912E-2</v>
      </c>
      <c r="N58" s="241">
        <f>PL!H388/SUM(PL!H381:H382)</f>
        <v>0.110091736129767</v>
      </c>
      <c r="O58" s="241">
        <f>PL!I388/SUM(PL!I381:I382)</f>
        <v>4.5148116937836269E-2</v>
      </c>
      <c r="P58" s="239">
        <f>PL!L388/SUM(PL!L381:L382)</f>
        <v>5.0000000000000001E-3</v>
      </c>
      <c r="Q58" s="1700">
        <v>5.0000000000000001E-3</v>
      </c>
      <c r="R58" s="1700">
        <v>5.0000000000000001E-3</v>
      </c>
      <c r="S58" s="1701">
        <v>5.0000000000000001E-3</v>
      </c>
      <c r="U58" s="1"/>
      <c r="V58" s="1"/>
      <c r="W58" s="1"/>
      <c r="AF58" s="1700">
        <v>5.0000000000000001E-3</v>
      </c>
      <c r="AG58" s="1700">
        <v>5.0000000000000001E-3</v>
      </c>
      <c r="AJ58" s="241">
        <f>PL!J388/SUM(PL!J381:J382)</f>
        <v>8.019587038533485E-2</v>
      </c>
      <c r="AK58" s="241">
        <f>PL!K388/SUM(PL!K381:K382)</f>
        <v>5.0000000000000001E-3</v>
      </c>
    </row>
    <row r="59" spans="2:37">
      <c r="B59" s="1747" t="s">
        <v>271</v>
      </c>
      <c r="C59" s="239"/>
      <c r="D59" s="239"/>
      <c r="E59" s="239"/>
      <c r="F59" s="239"/>
      <c r="G59" s="239"/>
      <c r="H59" s="239"/>
      <c r="I59" s="239"/>
      <c r="J59" s="239"/>
      <c r="K59" s="239"/>
      <c r="L59" s="239"/>
      <c r="M59" s="241"/>
      <c r="N59" s="241"/>
      <c r="O59" s="241"/>
      <c r="P59" s="239"/>
      <c r="Q59" s="1700"/>
      <c r="R59" s="1700"/>
      <c r="S59" s="1701"/>
      <c r="U59" s="1"/>
      <c r="V59" s="1"/>
      <c r="W59" s="1"/>
      <c r="AF59" s="1700"/>
      <c r="AG59" s="1700"/>
      <c r="AJ59" s="241"/>
      <c r="AK59" s="241"/>
    </row>
    <row r="60" spans="2:37">
      <c r="B60" s="1695" t="s">
        <v>283</v>
      </c>
      <c r="C60" s="239"/>
      <c r="D60" s="239"/>
      <c r="E60" s="239"/>
      <c r="F60" s="239"/>
      <c r="G60" s="239"/>
      <c r="H60" s="239"/>
      <c r="I60" s="239">
        <f>PL!C407/PL!C405</f>
        <v>1.8255255965635306</v>
      </c>
      <c r="J60" s="239">
        <f>PL!D407/PL!D405</f>
        <v>1.9907646450072589</v>
      </c>
      <c r="K60" s="239">
        <f>PL!E407/PL!E405</f>
        <v>3.5660124110420717</v>
      </c>
      <c r="L60" s="239">
        <f>PL!F407/PL!F405</f>
        <v>4.2990386544782568</v>
      </c>
      <c r="M60" s="241">
        <f>PL!G407/PL!G405</f>
        <v>1.7892549524440842</v>
      </c>
      <c r="N60" s="241">
        <f>PL!H407/PL!H405</f>
        <v>1.8875002734659703</v>
      </c>
      <c r="O60" s="241">
        <f>PL!I407/PL!I405</f>
        <v>2.1051784839935648</v>
      </c>
      <c r="P60" s="239">
        <f ca="1">PL!L407/PL!L405</f>
        <v>2.7163122447285453</v>
      </c>
      <c r="Q60" s="239">
        <f ca="1">PL!K407/PL!K405</f>
        <v>3.0401181359132776</v>
      </c>
      <c r="R60" s="239">
        <f ca="1">PL!L407/PL!L405</f>
        <v>2.7163122447285453</v>
      </c>
      <c r="S60" s="241">
        <f ca="1">PL!M407/PL!M405</f>
        <v>2.3457746384179083</v>
      </c>
      <c r="U60" s="1"/>
      <c r="V60" s="1"/>
      <c r="W60" s="1"/>
      <c r="AF60" s="240" t="e">
        <f>PL!P407/PL!P405</f>
        <v>#REF!</v>
      </c>
      <c r="AG60" s="239">
        <f>PL!I407/PL!I405</f>
        <v>2.1051784839935648</v>
      </c>
      <c r="AJ60" s="239">
        <f>PL!J407/PL!J405</f>
        <v>2.0604138314120157</v>
      </c>
      <c r="AK60" s="239">
        <f ca="1">PL!K407/PL!K405</f>
        <v>3.0401181359132776</v>
      </c>
    </row>
    <row r="61" spans="2:37">
      <c r="B61" s="1695" t="s">
        <v>911</v>
      </c>
      <c r="C61" s="239"/>
      <c r="D61" s="239"/>
      <c r="E61" s="239"/>
      <c r="F61" s="239"/>
      <c r="G61" s="239"/>
      <c r="H61" s="239"/>
      <c r="I61" s="239">
        <f>PL!D414/AVERAGE(PL!C397:D397)</f>
        <v>4.8416739804303013E-2</v>
      </c>
      <c r="J61" s="239">
        <f>PL!E414/AVERAGE(PL!D397:E397)</f>
        <v>3.7404874204815627E-2</v>
      </c>
      <c r="K61" s="239">
        <f>PL!F414/AVERAGE(PL!E397:F397)</f>
        <v>2.9479625030812036E-2</v>
      </c>
      <c r="L61" s="239">
        <f>PL!G414/AVERAGE(PL!F397:G397)</f>
        <v>3.9763966392244408E-2</v>
      </c>
      <c r="M61" s="241">
        <f ca="1">PL!P414/AVERAGE(PL!G397:P397)</f>
        <v>3.9763966392244408E-2</v>
      </c>
      <c r="N61" s="241" t="e">
        <f ca="1">#REF!/AVERAGE(PL!H397:Q397)</f>
        <v>#REF!</v>
      </c>
      <c r="O61" s="241">
        <f ca="1">PL!R414/AVERAGE(PL!I397:R397)</f>
        <v>0</v>
      </c>
      <c r="P61" s="239">
        <f ca="1">PL!U414/AVERAGE(PL!L397:U397)</f>
        <v>0</v>
      </c>
      <c r="Q61" s="1700">
        <v>4.1000000000000002E-2</v>
      </c>
      <c r="R61" s="1700">
        <v>4.1000000000000002E-2</v>
      </c>
      <c r="S61" s="1701">
        <v>4.1000000000000002E-2</v>
      </c>
      <c r="U61" s="1"/>
      <c r="V61" s="1"/>
      <c r="W61" s="1"/>
      <c r="AF61" s="1782">
        <v>3.9763966392244408E-2</v>
      </c>
      <c r="AG61" s="1700">
        <v>4.1000000000000002E-2</v>
      </c>
      <c r="AJ61" s="241">
        <f ca="1">PL!S414/AVERAGE(PL!J397:S397)</f>
        <v>0</v>
      </c>
      <c r="AK61" s="241">
        <f ca="1">PL!T414/AVERAGE(PL!K397:T397)</f>
        <v>0</v>
      </c>
    </row>
    <row r="62" spans="2:37">
      <c r="B62" s="1747" t="s">
        <v>284</v>
      </c>
      <c r="C62" s="239"/>
      <c r="D62" s="239"/>
      <c r="E62" s="239"/>
      <c r="F62" s="239"/>
      <c r="G62" s="239"/>
      <c r="H62" s="239"/>
      <c r="I62" s="239"/>
      <c r="J62" s="239"/>
      <c r="K62" s="239"/>
      <c r="L62" s="239"/>
      <c r="M62" s="241"/>
      <c r="N62" s="241"/>
      <c r="O62" s="241"/>
      <c r="P62" s="239"/>
      <c r="Q62" s="1700"/>
      <c r="R62" s="1700"/>
      <c r="S62" s="1701"/>
      <c r="U62" s="1"/>
      <c r="V62" s="1"/>
      <c r="W62" s="1"/>
      <c r="AF62" s="1700"/>
      <c r="AG62" s="1700"/>
      <c r="AJ62" s="241"/>
      <c r="AK62" s="241"/>
    </row>
    <row r="63" spans="2:37">
      <c r="B63" s="1695" t="s">
        <v>1110</v>
      </c>
      <c r="C63" s="239"/>
      <c r="D63" s="239"/>
      <c r="E63" s="239"/>
      <c r="F63" s="239"/>
      <c r="G63" s="239"/>
      <c r="H63" s="239"/>
      <c r="I63" s="239">
        <f>PL!C417/PL!I9</f>
        <v>4.8141306809440735E-3</v>
      </c>
      <c r="J63" s="239">
        <f>PL!D417/PL!J9</f>
        <v>6.5894289099740636E-3</v>
      </c>
      <c r="K63" s="239">
        <f>PL!E417/PL!K9</f>
        <v>6.6690479414149824E-3</v>
      </c>
      <c r="L63" s="239">
        <f>PL!F417/PL!L9</f>
        <v>7.0446500739870469E-3</v>
      </c>
      <c r="M63" s="241">
        <f>PL!G417/PL!M9</f>
        <v>1.1461875482812686E-2</v>
      </c>
      <c r="N63" s="241">
        <f>PL!H417/PL!N9</f>
        <v>7.0823587713717689E-3</v>
      </c>
      <c r="O63" s="241">
        <f>PL!I417/PL!O9</f>
        <v>8.0644352898440845E-3</v>
      </c>
      <c r="P63" s="239">
        <f ca="1">PL!L417/PL!R9</f>
        <v>7.0000000000000001E-3</v>
      </c>
      <c r="Q63" s="239">
        <v>7.0000000000000001E-3</v>
      </c>
      <c r="R63" s="239">
        <v>7.0000000000000001E-3</v>
      </c>
      <c r="S63" s="241">
        <v>7.0000000000000001E-3</v>
      </c>
      <c r="U63" s="1"/>
      <c r="V63" s="1"/>
      <c r="W63" s="1"/>
      <c r="AF63" s="239">
        <v>7.0000000000000001E-3</v>
      </c>
      <c r="AG63" s="239">
        <v>7.0000000000000001E-3</v>
      </c>
      <c r="AJ63" s="241">
        <f>PL!J417/PL!P9</f>
        <v>6.7627919391736145E-3</v>
      </c>
      <c r="AK63" s="241">
        <f ca="1">PL!K417/PL!Q9</f>
        <v>7.0000000000000001E-3</v>
      </c>
    </row>
    <row r="64" spans="2:37">
      <c r="B64" s="1695"/>
      <c r="C64" s="239"/>
      <c r="D64" s="239"/>
      <c r="E64" s="239"/>
      <c r="F64" s="239"/>
      <c r="G64" s="239"/>
      <c r="H64" s="239"/>
      <c r="I64" s="239"/>
      <c r="J64" s="239"/>
      <c r="K64" s="239"/>
      <c r="L64" s="239"/>
      <c r="M64" s="241"/>
      <c r="N64" s="241"/>
      <c r="O64" s="241"/>
      <c r="P64" s="239"/>
      <c r="Q64" s="239"/>
      <c r="R64" s="239"/>
      <c r="S64" s="241"/>
      <c r="U64" s="1"/>
      <c r="V64" s="1"/>
      <c r="W64" s="1"/>
      <c r="AF64" s="239"/>
      <c r="AG64" s="239"/>
      <c r="AJ64" s="241"/>
      <c r="AK64" s="241"/>
    </row>
    <row r="65" spans="1:37">
      <c r="B65" s="1940" t="s">
        <v>821</v>
      </c>
      <c r="C65" s="1937" t="e">
        <f t="shared" ref="C65:H65" si="2">C63/C26</f>
        <v>#DIV/0!</v>
      </c>
      <c r="D65" s="1938" t="e">
        <f t="shared" si="2"/>
        <v>#DIV/0!</v>
      </c>
      <c r="E65" s="1938" t="e">
        <f t="shared" si="2"/>
        <v>#DIV/0!</v>
      </c>
      <c r="F65" s="1938" t="e">
        <f t="shared" si="2"/>
        <v>#DIV/0!</v>
      </c>
      <c r="G65" s="1938" t="e">
        <f t="shared" si="2"/>
        <v>#DIV/0!</v>
      </c>
      <c r="H65" s="1938" t="e">
        <f t="shared" si="2"/>
        <v>#DIV/0!</v>
      </c>
      <c r="I65" s="1938">
        <f>PL!I49</f>
        <v>0.16617900920696058</v>
      </c>
      <c r="J65" s="1938">
        <f>PL!J49</f>
        <v>0.16829156177587301</v>
      </c>
      <c r="K65" s="1938">
        <f>PL!K49</f>
        <v>0.17644605962410762</v>
      </c>
      <c r="L65" s="1938">
        <f>PL!L49</f>
        <v>0.17772554561516193</v>
      </c>
      <c r="M65" s="1939">
        <f>PL!M49</f>
        <v>0.17410509413859249</v>
      </c>
      <c r="N65" s="1939">
        <f>PL!N49</f>
        <v>0.17490257030132775</v>
      </c>
      <c r="O65" s="1939">
        <f>PL!O49</f>
        <v>0.17613163276492683</v>
      </c>
      <c r="P65" s="1938">
        <f ca="1">PL!R49</f>
        <v>0.22771115449007631</v>
      </c>
      <c r="Q65" s="1938">
        <f ca="1">PL!Q49</f>
        <v>0.23204674544249013</v>
      </c>
      <c r="R65" s="1938">
        <f ca="1">PL!R49</f>
        <v>0.22771115449007631</v>
      </c>
      <c r="S65" s="1939">
        <f ca="1">PL!S49</f>
        <v>0.22230797958427501</v>
      </c>
      <c r="U65" s="1"/>
      <c r="V65" s="1"/>
      <c r="W65" s="1"/>
      <c r="AF65" s="1938" t="e">
        <f>PL!#REF!</f>
        <v>#REF!</v>
      </c>
      <c r="AG65" s="1938">
        <f>PL!V49</f>
        <v>0.12937163829778739</v>
      </c>
      <c r="AJ65" s="1939">
        <f>PL!P49</f>
        <v>0.18706953611491853</v>
      </c>
      <c r="AK65" s="1939">
        <f ca="1">PL!Q49</f>
        <v>0.23204674544249013</v>
      </c>
    </row>
    <row r="66" spans="1:37">
      <c r="B66" s="1783"/>
      <c r="C66" s="1784"/>
      <c r="D66" s="1784"/>
      <c r="E66" s="1784"/>
      <c r="F66" s="1784"/>
      <c r="G66" s="1784"/>
      <c r="H66" s="1785"/>
      <c r="I66" s="1786"/>
      <c r="J66" s="1787"/>
      <c r="K66" s="1787"/>
      <c r="L66" s="1787"/>
      <c r="M66" s="1788"/>
      <c r="N66" s="1788"/>
      <c r="O66" s="1788"/>
      <c r="P66" s="1787"/>
      <c r="Q66" s="1789"/>
      <c r="R66" s="1789"/>
      <c r="S66" s="3478"/>
      <c r="U66" s="1"/>
      <c r="V66" s="1"/>
      <c r="W66" s="1"/>
      <c r="AF66" s="1789"/>
      <c r="AG66" s="1789"/>
      <c r="AJ66" s="1788"/>
      <c r="AK66" s="1788"/>
    </row>
    <row r="67" spans="1:37">
      <c r="S67" s="223"/>
      <c r="U67" s="1499"/>
      <c r="V67" s="1499"/>
      <c r="W67" s="1499" t="s">
        <v>1058</v>
      </c>
      <c r="AJ67" s="6"/>
      <c r="AK67" s="6"/>
    </row>
    <row r="68" spans="1:37">
      <c r="Q68" s="40"/>
      <c r="R68" s="40"/>
      <c r="S68" s="973"/>
      <c r="W68" s="1499" t="s">
        <v>1058</v>
      </c>
      <c r="AJ68" s="6"/>
      <c r="AK68" s="6"/>
    </row>
    <row r="69" spans="1:37">
      <c r="B69" s="1644" t="s">
        <v>916</v>
      </c>
      <c r="C69" s="1702"/>
      <c r="D69" s="1703"/>
      <c r="E69" s="1703"/>
      <c r="F69" s="1703"/>
      <c r="G69" s="1703"/>
      <c r="H69" s="1704"/>
      <c r="I69" s="1702"/>
      <c r="J69" s="1703"/>
      <c r="K69" s="1703"/>
      <c r="L69" s="1703"/>
      <c r="M69" s="1704"/>
      <c r="N69" s="1704"/>
      <c r="O69" s="1704"/>
      <c r="P69" s="1704"/>
      <c r="Q69" s="2666"/>
      <c r="R69" s="2666"/>
      <c r="S69" s="2801"/>
      <c r="AF69" s="1703"/>
      <c r="AG69" s="1703"/>
      <c r="AJ69" s="1704"/>
      <c r="AK69" s="1704"/>
    </row>
    <row r="70" spans="1:37">
      <c r="B70" s="1660" t="s">
        <v>1074</v>
      </c>
      <c r="C70" s="1649"/>
      <c r="D70" s="1649"/>
      <c r="E70" s="1649"/>
      <c r="F70" s="1649"/>
      <c r="G70" s="1649"/>
      <c r="H70" s="1650"/>
      <c r="I70" s="1273"/>
      <c r="J70" s="1273"/>
      <c r="K70" s="1273"/>
      <c r="L70" s="1273"/>
      <c r="M70" s="1274"/>
      <c r="N70" s="1274"/>
      <c r="O70" s="1274"/>
      <c r="P70" s="1274"/>
      <c r="Q70" s="1651"/>
      <c r="R70" s="1651"/>
      <c r="S70" s="1652"/>
      <c r="AF70" s="1651"/>
      <c r="AG70" s="1651"/>
      <c r="AJ70" s="1274"/>
      <c r="AK70" s="1274"/>
    </row>
    <row r="71" spans="1:37">
      <c r="B71" s="1660" t="s">
        <v>1088</v>
      </c>
      <c r="C71" s="1649"/>
      <c r="D71" s="1649"/>
      <c r="E71" s="1649"/>
      <c r="F71" s="1649"/>
      <c r="G71" s="1649"/>
      <c r="H71" s="1649"/>
      <c r="I71" s="1273"/>
      <c r="J71" s="1273"/>
      <c r="K71" s="1273"/>
      <c r="L71" s="1273"/>
      <c r="M71" s="1274"/>
      <c r="N71" s="1274"/>
      <c r="O71" s="1274"/>
      <c r="P71" s="1274"/>
      <c r="Q71" s="1651"/>
      <c r="R71" s="1651"/>
      <c r="S71" s="1652"/>
      <c r="AF71" s="1651"/>
      <c r="AG71" s="1651"/>
      <c r="AJ71" s="1274"/>
      <c r="AK71" s="1274"/>
    </row>
    <row r="72" spans="1:37">
      <c r="B72" s="1614" t="s">
        <v>748</v>
      </c>
      <c r="D72" s="2">
        <f>AVERAGE(BS!C11:D11)/PL!D11</f>
        <v>0.14109966298204993</v>
      </c>
      <c r="E72" s="2">
        <f>AVERAGE(BS!D11:E11)/PL!E11</f>
        <v>0.15130968348262738</v>
      </c>
      <c r="F72" s="2">
        <f>AVERAGE(BS!E11:F11)/PL!F11</f>
        <v>0.16386142902896841</v>
      </c>
      <c r="G72" s="2">
        <f>AVERAGE(BS!F11:G11)/PL!G11</f>
        <v>0.15998705583449099</v>
      </c>
      <c r="H72" s="2">
        <f>AVERAGE(BS!G11:H11)/PL!H11</f>
        <v>8.5532490687740881E-2</v>
      </c>
      <c r="I72" s="2">
        <f>AVERAGE(BS!H11:I11)/PL!I11</f>
        <v>8.3686559999044174E-2</v>
      </c>
      <c r="J72" s="2">
        <f>AVERAGE(BS!I11:J11)/PL!J11</f>
        <v>8.0896090663172632E-2</v>
      </c>
      <c r="K72" s="2">
        <f>AVERAGE(BS!J11:K11)/PL!K11</f>
        <v>7.6457836905969967E-2</v>
      </c>
      <c r="L72" s="2">
        <f>AVERAGE(BS!K11:L11)/PL!L11</f>
        <v>6.8748191023019933E-2</v>
      </c>
      <c r="M72" s="1666">
        <f>AVERAGE(BS!L11:M11)/PL!M11</f>
        <v>6.9748875412342051E-2</v>
      </c>
      <c r="N72" s="1666">
        <f>AVERAGE(BS!M11:N11)/PL!N11</f>
        <v>5.9539810484122796E-2</v>
      </c>
      <c r="O72" s="1666">
        <f>AVERAGE(BS!N11:O11)/PL!O11</f>
        <v>4.7447435785169779E-2</v>
      </c>
      <c r="P72" s="1666">
        <f ca="1">AVERAGE(BS!Q11:R11)/PL!R11</f>
        <v>4.3216969587849915E-2</v>
      </c>
      <c r="Q72" s="1276">
        <f>Q73/365</f>
        <v>4.6575342465753428E-2</v>
      </c>
      <c r="R72" s="1276">
        <f>R73/365</f>
        <v>4.6575342465753428E-2</v>
      </c>
      <c r="S72" s="1277">
        <f>S73/365</f>
        <v>4.6575342465753428E-2</v>
      </c>
      <c r="AF72" s="1276">
        <f>AF73/365</f>
        <v>7.3972602739726029E-2</v>
      </c>
      <c r="AG72" s="1276">
        <f>AG73/365</f>
        <v>7.3972602739726029E-2</v>
      </c>
      <c r="AJ72" s="1666">
        <f>AVERAGE(BS!O11:P11)/PL!P11</f>
        <v>4.795658013015007E-2</v>
      </c>
      <c r="AK72" s="1666">
        <f ca="1">AVERAGE(BS!P11:Q11)/PL!Q11</f>
        <v>5.3402193196929522E-2</v>
      </c>
    </row>
    <row r="73" spans="1:37">
      <c r="B73" s="1670" t="s">
        <v>1066</v>
      </c>
      <c r="D73" s="36">
        <f>D72*365</f>
        <v>51.501376988448222</v>
      </c>
      <c r="E73" s="36">
        <f t="shared" ref="E73:L73" si="3">E72*365</f>
        <v>55.228034471158992</v>
      </c>
      <c r="F73" s="36">
        <f t="shared" si="3"/>
        <v>59.809421595573468</v>
      </c>
      <c r="G73" s="36">
        <f t="shared" si="3"/>
        <v>58.395275379589215</v>
      </c>
      <c r="H73" s="36">
        <f t="shared" si="3"/>
        <v>31.219359101025422</v>
      </c>
      <c r="I73" s="36">
        <f t="shared" si="3"/>
        <v>30.545594399651122</v>
      </c>
      <c r="J73" s="36">
        <f t="shared" si="3"/>
        <v>29.527073092058011</v>
      </c>
      <c r="K73" s="36">
        <f t="shared" si="3"/>
        <v>27.907110470679036</v>
      </c>
      <c r="L73" s="36">
        <f t="shared" si="3"/>
        <v>25.093089723402276</v>
      </c>
      <c r="M73" s="1667">
        <f>M72*365</f>
        <v>25.458339525504847</v>
      </c>
      <c r="N73" s="1667">
        <f>N72*365</f>
        <v>21.732030826704822</v>
      </c>
      <c r="O73" s="1667">
        <f>O72*365</f>
        <v>17.318314061586971</v>
      </c>
      <c r="P73" s="1667">
        <f t="shared" ref="P73" ca="1" si="4">P72*365</f>
        <v>15.774193899565219</v>
      </c>
      <c r="Q73" s="1540">
        <v>17</v>
      </c>
      <c r="R73" s="1540">
        <f>Q73</f>
        <v>17</v>
      </c>
      <c r="S73" s="1668">
        <f>R73</f>
        <v>17</v>
      </c>
      <c r="U73" s="1538" t="s">
        <v>1087</v>
      </c>
      <c r="AF73" s="1540">
        <v>27</v>
      </c>
      <c r="AG73" s="1540">
        <v>27</v>
      </c>
      <c r="AJ73" s="1667">
        <f>AJ72*365</f>
        <v>17.504151747504775</v>
      </c>
      <c r="AK73" s="1667">
        <f ca="1">AK72*365</f>
        <v>19.491800516879277</v>
      </c>
    </row>
    <row r="74" spans="1:37">
      <c r="B74" s="1614" t="s">
        <v>749</v>
      </c>
      <c r="D74" s="2">
        <f>AVERAGE(BS!C9:D9)/PL!D9</f>
        <v>0.12703302227218147</v>
      </c>
      <c r="E74" s="2">
        <f>AVERAGE(BS!D9:E9)/PL!E9</f>
        <v>0.11606508864739822</v>
      </c>
      <c r="F74" s="2">
        <f>AVERAGE(BS!E9:F9)/PL!F9</f>
        <v>0.11059972846816832</v>
      </c>
      <c r="G74" s="2">
        <f>AVERAGE(BS!F9:G9)/PL!G9</f>
        <v>0.11751102741564666</v>
      </c>
      <c r="H74" s="2">
        <f>AVERAGE(BS!G9:H9)/PL!H9</f>
        <v>0.11547520721499066</v>
      </c>
      <c r="I74" s="2">
        <f>AVERAGE(BS!H9:I9)/PL!I9</f>
        <v>0.22831343630911541</v>
      </c>
      <c r="J74" s="2">
        <f>AVERAGE(BS!I9:J9)/PL!J9</f>
        <v>0.20518996043738921</v>
      </c>
      <c r="K74" s="2">
        <f>AVERAGE(BS!J9:K9)/PL!K9</f>
        <v>0.19070026052124764</v>
      </c>
      <c r="L74" s="2">
        <f>AVERAGE(BS!K9:L9)/PL!L9</f>
        <v>0.16513254048689455</v>
      </c>
      <c r="M74" s="1666">
        <f>AVERAGE(BS!L9:M9)/PL!M9</f>
        <v>0.16135180502504107</v>
      </c>
      <c r="N74" s="1666">
        <f>AVERAGE(BS!M9:N9)/PL!N9</f>
        <v>0.16199547956021373</v>
      </c>
      <c r="O74" s="1666">
        <f>AVERAGE(BS!N9:O9)/PL!O9</f>
        <v>0.15588738627255197</v>
      </c>
      <c r="P74" s="1666">
        <f ca="1">AVERAGE(BS!Q9:R9)/PL!R9</f>
        <v>0.14836141307725431</v>
      </c>
      <c r="Q74" s="1672">
        <f>Q75/365</f>
        <v>0.15890410958904111</v>
      </c>
      <c r="R74" s="1672">
        <f>R75/365</f>
        <v>0.15890410958904111</v>
      </c>
      <c r="S74" s="1669">
        <f>S75/365</f>
        <v>0.15890410958904111</v>
      </c>
      <c r="AF74" s="1285">
        <f>AF75/365</f>
        <v>0.17239486867772774</v>
      </c>
      <c r="AG74" s="1285">
        <f>AG75/365</f>
        <v>0.17260273972602741</v>
      </c>
      <c r="AJ74" s="1666">
        <f>AVERAGE(BS!O9:P9)/PL!P9</f>
        <v>0.16572632348765498</v>
      </c>
      <c r="AK74" s="1666">
        <f ca="1">AVERAGE(BS!P9:Q9)/PL!Q9</f>
        <v>0.19076940994018332</v>
      </c>
    </row>
    <row r="75" spans="1:37">
      <c r="B75" s="1670" t="s">
        <v>1067</v>
      </c>
      <c r="D75" s="36">
        <f>D74*365</f>
        <v>46.367053129346239</v>
      </c>
      <c r="E75" s="36">
        <f t="shared" ref="E75:L75" si="5">E74*365</f>
        <v>42.363757356300347</v>
      </c>
      <c r="F75" s="36">
        <f t="shared" si="5"/>
        <v>40.368900890881434</v>
      </c>
      <c r="G75" s="36">
        <f t="shared" si="5"/>
        <v>42.891525006711028</v>
      </c>
      <c r="H75" s="36">
        <f t="shared" si="5"/>
        <v>42.14845063347159</v>
      </c>
      <c r="I75" s="36">
        <f t="shared" si="5"/>
        <v>83.334404252827127</v>
      </c>
      <c r="J75" s="36">
        <f t="shared" si="5"/>
        <v>74.894335559647061</v>
      </c>
      <c r="K75" s="36">
        <f t="shared" si="5"/>
        <v>69.605595090255392</v>
      </c>
      <c r="L75" s="36">
        <f t="shared" si="5"/>
        <v>60.273377277716513</v>
      </c>
      <c r="M75" s="1667">
        <f>M74*365</f>
        <v>58.89340883413999</v>
      </c>
      <c r="N75" s="1667">
        <f>N74*365</f>
        <v>59.128350039478015</v>
      </c>
      <c r="O75" s="1667">
        <f>O74*365</f>
        <v>56.898895989481467</v>
      </c>
      <c r="P75" s="1667">
        <v>57</v>
      </c>
      <c r="Q75" s="1540">
        <v>58</v>
      </c>
      <c r="R75" s="1540">
        <f>Q75</f>
        <v>58</v>
      </c>
      <c r="S75" s="1668">
        <f>R75</f>
        <v>58</v>
      </c>
      <c r="U75" s="1538" t="s">
        <v>1086</v>
      </c>
      <c r="AF75" s="1540">
        <f>AVERAGE(K75:M75)</f>
        <v>62.924127067370627</v>
      </c>
      <c r="AG75" s="1540">
        <f>63</f>
        <v>63</v>
      </c>
      <c r="AJ75" s="1667">
        <f>AJ74*365</f>
        <v>60.490108072994069</v>
      </c>
      <c r="AK75" s="1667">
        <f ca="1">AK74*365</f>
        <v>69.630834628166909</v>
      </c>
    </row>
    <row r="76" spans="1:37">
      <c r="A76" s="223"/>
      <c r="B76" s="1708"/>
      <c r="C76" s="1588"/>
      <c r="D76" s="1588"/>
      <c r="E76" s="1588"/>
      <c r="F76" s="1588"/>
      <c r="G76" s="1588"/>
      <c r="H76" s="1589"/>
      <c r="I76" s="1587"/>
      <c r="J76" s="1588"/>
      <c r="K76" s="1588"/>
      <c r="L76" s="1588"/>
      <c r="M76" s="1589"/>
      <c r="N76" s="1589"/>
      <c r="O76" s="1589"/>
      <c r="P76" s="1589"/>
      <c r="Q76" s="1878"/>
      <c r="R76" s="1878"/>
      <c r="S76" s="1879"/>
      <c r="AF76" s="1878"/>
      <c r="AG76" s="1878"/>
      <c r="AJ76" s="1589"/>
      <c r="AK76" s="1589"/>
    </row>
    <row r="77" spans="1:37">
      <c r="A77" s="223"/>
      <c r="B77" s="1709" t="s">
        <v>61</v>
      </c>
      <c r="C77" s="239">
        <f>BS!C11/PL!C11</f>
        <v>0.13618126776336201</v>
      </c>
      <c r="D77" s="239">
        <f>BS!D11/PL!D11</f>
        <v>0.15607272543120115</v>
      </c>
      <c r="E77" s="239">
        <f>BS!E11/PL!E11</f>
        <v>0.17585082771570168</v>
      </c>
      <c r="F77" s="239">
        <f>BS!F11/PL!F11</f>
        <v>0.17501650537006511</v>
      </c>
      <c r="G77" s="239">
        <f>BS!G11/PL!G11</f>
        <v>0.14848939005983458</v>
      </c>
      <c r="H77" s="241">
        <f>BS!H11/PL!H11</f>
        <v>3.1054025670969793E-2</v>
      </c>
      <c r="I77" s="240">
        <f>BS!I11/PL!I11</f>
        <v>9.6703868018503572E-2</v>
      </c>
      <c r="J77" s="239">
        <f>BS!J11/PL!J11</f>
        <v>7.9386416004873867E-2</v>
      </c>
      <c r="K77" s="239">
        <f>BS!K11/PL!K11</f>
        <v>7.7987652832261486E-2</v>
      </c>
      <c r="L77" s="239">
        <f>BS!L11/PL!L11</f>
        <v>7.3702308401699584E-2</v>
      </c>
      <c r="M77" s="241">
        <f>BS!M11/PL!M11</f>
        <v>7.9021621341185469E-2</v>
      </c>
      <c r="N77" s="241">
        <f>BS!N11/PL!N11</f>
        <v>5.3406971701430779E-2</v>
      </c>
      <c r="O77" s="241">
        <f>BS!O11/PL!O11</f>
        <v>5.0835175585465818E-2</v>
      </c>
      <c r="P77" s="241">
        <f ca="1">BS!R11/PL!R11</f>
        <v>4.6575342465753428E-2</v>
      </c>
      <c r="Q77" s="1267">
        <v>0.05</v>
      </c>
      <c r="R77" s="1267">
        <f t="shared" ref="R77:S78" si="6">Q77</f>
        <v>0.05</v>
      </c>
      <c r="S77" s="1268">
        <f t="shared" si="6"/>
        <v>0.05</v>
      </c>
      <c r="AF77" s="1267">
        <f>M77</f>
        <v>7.9021621341185469E-2</v>
      </c>
      <c r="AG77" s="1267">
        <v>7.0000000000000007E-2</v>
      </c>
      <c r="AJ77" s="241">
        <f>BS!P11/PL!P11</f>
        <v>5.0903297631499082E-2</v>
      </c>
      <c r="AK77" s="241">
        <f ca="1">BS!Q11/PL!Q11</f>
        <v>4.6575342465753428E-2</v>
      </c>
    </row>
    <row r="78" spans="1:37">
      <c r="A78" s="223"/>
      <c r="B78" s="1709" t="s">
        <v>62</v>
      </c>
      <c r="C78" s="239">
        <f>BS!C9/PL!C9</f>
        <v>0.13046116738585126</v>
      </c>
      <c r="D78" s="239">
        <f>BS!D9/PL!D9</f>
        <v>0.1353515708926353</v>
      </c>
      <c r="E78" s="239">
        <f>BS!E9/PL!E9</f>
        <v>0.12006689940949571</v>
      </c>
      <c r="F78" s="239">
        <f>BS!F9/PL!F9</f>
        <v>0.11794408874985449</v>
      </c>
      <c r="G78" s="239">
        <f>BS!G9/PL!G9</f>
        <v>0.12176741921282186</v>
      </c>
      <c r="H78" s="241">
        <f>BS!H9/PL!H9</f>
        <v>0.11810930634039089</v>
      </c>
      <c r="I78" s="240">
        <f>BS!I9/PL!I9</f>
        <v>0.2395820092354099</v>
      </c>
      <c r="J78" s="239">
        <f>BS!J9/PL!J9</f>
        <v>0.20972495109168296</v>
      </c>
      <c r="K78" s="239">
        <f>BS!K9/PL!K9</f>
        <v>0.18653427688600441</v>
      </c>
      <c r="L78" s="239">
        <f>BS!L9/PL!L9</f>
        <v>0.17421293915655231</v>
      </c>
      <c r="M78" s="241">
        <f>BS!M9/PL!M9</f>
        <v>0.18155334469650924</v>
      </c>
      <c r="N78" s="241">
        <f>BS!N9/PL!N9</f>
        <v>0.17214003342130565</v>
      </c>
      <c r="O78" s="241">
        <f>BS!O9/PL!O9</f>
        <v>0.16765668837856704</v>
      </c>
      <c r="P78" s="241">
        <f ca="1">BS!R9/PL!R9</f>
        <v>0.15890410958904111</v>
      </c>
      <c r="Q78" s="1267">
        <f>16.5%</f>
        <v>0.16500000000000001</v>
      </c>
      <c r="R78" s="1267">
        <f t="shared" si="6"/>
        <v>0.16500000000000001</v>
      </c>
      <c r="S78" s="1268">
        <f t="shared" si="6"/>
        <v>0.16500000000000001</v>
      </c>
      <c r="AF78" s="1267">
        <f>M78</f>
        <v>0.18155334469650924</v>
      </c>
      <c r="AG78" s="1267">
        <v>0.17499999999999999</v>
      </c>
      <c r="AJ78" s="241">
        <f>BS!P9/PL!P9</f>
        <v>0.18136908775266641</v>
      </c>
      <c r="AK78" s="241">
        <f ca="1">BS!Q9/PL!Q9</f>
        <v>0.15890410958904111</v>
      </c>
    </row>
    <row r="79" spans="1:37">
      <c r="A79" s="223"/>
      <c r="B79" s="1709" t="s">
        <v>63</v>
      </c>
      <c r="C79" s="239">
        <f>BS!C43/PL!C11</f>
        <v>9.0913279858379742E-2</v>
      </c>
      <c r="D79" s="239">
        <f>BS!D43/PL!D11</f>
        <v>0.10238028535900283</v>
      </c>
      <c r="E79" s="239">
        <f>BS!E43/PL!E11</f>
        <v>0.11410801614069176</v>
      </c>
      <c r="F79" s="239">
        <f>BS!F43/PL!F11</f>
        <v>9.2400259870344364E-2</v>
      </c>
      <c r="G79" s="239">
        <f>BS!G43/PL!G11</f>
        <v>0.120841672571065</v>
      </c>
      <c r="H79" s="241">
        <f>BS!H43/PL!H11</f>
        <v>6.9115666496409905E-2</v>
      </c>
      <c r="I79" s="240">
        <f>BS!I43/PL!I11</f>
        <v>0.17322293366206387</v>
      </c>
      <c r="J79" s="239">
        <f>BS!J43/PL!J11</f>
        <v>0.15535496774645988</v>
      </c>
      <c r="K79" s="239">
        <f>BS!K43/PL!K11</f>
        <v>0.15677115137800951</v>
      </c>
      <c r="L79" s="239">
        <f>BS!L43/PL!L11</f>
        <v>0.13011469808368878</v>
      </c>
      <c r="M79" s="241">
        <f>BS!M43/PL!M11</f>
        <v>0.11955799566645826</v>
      </c>
      <c r="N79" s="241">
        <f>BS!N43/PL!N11</f>
        <v>8.0591655661738093E-2</v>
      </c>
      <c r="O79" s="241">
        <f>BS!O43/PL!O11</f>
        <v>0.11299767946473158</v>
      </c>
      <c r="P79" s="241">
        <f ca="1">BS!R43/PL!R11</f>
        <v>9.0410958904109592E-2</v>
      </c>
      <c r="Q79" s="1267">
        <v>0.1</v>
      </c>
      <c r="R79" s="1267">
        <f t="shared" ref="Q79:S80" si="7">Q79</f>
        <v>0.1</v>
      </c>
      <c r="S79" s="1268">
        <f t="shared" si="7"/>
        <v>0.1</v>
      </c>
      <c r="AF79" s="1267">
        <f>M79</f>
        <v>0.11955799566645826</v>
      </c>
      <c r="AG79" s="1267">
        <f>10%</f>
        <v>0.1</v>
      </c>
      <c r="AJ79" s="241">
        <f>BS!P43/PL!P11</f>
        <v>8.6777596660456452E-2</v>
      </c>
      <c r="AK79" s="241">
        <f ca="1">BS!Q43/PL!Q11</f>
        <v>9.0410958904109592E-2</v>
      </c>
    </row>
    <row r="80" spans="1:37">
      <c r="A80" s="223"/>
      <c r="B80" s="1710" t="s">
        <v>1187</v>
      </c>
      <c r="C80" s="1706"/>
      <c r="D80" s="1662">
        <f>PL!D9/BS!D32</f>
        <v>22288.017971257959</v>
      </c>
      <c r="E80" s="1662">
        <f>PL!E9/BS!E32</f>
        <v>88.117252236533048</v>
      </c>
      <c r="F80" s="1662">
        <f>PL!F9/BS!F32</f>
        <v>94.312292279977441</v>
      </c>
      <c r="G80" s="1662">
        <f>PL!G9/BS!G32</f>
        <v>90.946614132815597</v>
      </c>
      <c r="H80" s="1663">
        <f>PL!H9/BS!H32</f>
        <v>148.95479075498022</v>
      </c>
      <c r="I80" s="1662">
        <f>PL!I9/BS!I32</f>
        <v>141.10078798469877</v>
      </c>
      <c r="J80" s="1662">
        <f>PL!J9/BS!J32</f>
        <v>87.376284648215275</v>
      </c>
      <c r="K80" s="1662">
        <f>PL!K9/BS!K32</f>
        <v>100.23587477121346</v>
      </c>
      <c r="L80" s="1662">
        <f>PL!L9/BS!L32</f>
        <v>160.63762424076859</v>
      </c>
      <c r="M80" s="1663">
        <f>PL!M9/BS!M32</f>
        <v>158.61383595702023</v>
      </c>
      <c r="N80" s="1663">
        <f>PL!N9/BS!N32</f>
        <v>175.53074454929606</v>
      </c>
      <c r="O80" s="1663">
        <f>PL!O9/BS!O32</f>
        <v>163.66019998958387</v>
      </c>
      <c r="P80" s="1663">
        <v>164</v>
      </c>
      <c r="Q80" s="1664">
        <f t="shared" si="7"/>
        <v>164</v>
      </c>
      <c r="R80" s="1664">
        <f t="shared" si="7"/>
        <v>164</v>
      </c>
      <c r="S80" s="1665">
        <f t="shared" si="7"/>
        <v>164</v>
      </c>
      <c r="AF80" s="1664">
        <f>M80</f>
        <v>158.61383595702023</v>
      </c>
      <c r="AG80" s="1664">
        <v>160</v>
      </c>
      <c r="AJ80" s="1663">
        <f>PL!P9/BS!P32</f>
        <v>113.84146885827519</v>
      </c>
      <c r="AK80" s="1663">
        <f ca="1">PL!Q9/BS!Q32</f>
        <v>164</v>
      </c>
    </row>
    <row r="81" spans="1:37">
      <c r="A81" s="223"/>
      <c r="B81" s="1710"/>
      <c r="C81" s="1706"/>
      <c r="D81" s="1662"/>
      <c r="E81" s="1662"/>
      <c r="F81" s="1662"/>
      <c r="G81" s="1662"/>
      <c r="H81" s="1662"/>
      <c r="I81" s="1662"/>
      <c r="J81" s="1662"/>
      <c r="K81" s="1662"/>
      <c r="L81" s="1662"/>
      <c r="M81" s="1663"/>
      <c r="N81" s="1663"/>
      <c r="O81" s="1663"/>
      <c r="P81" s="1663"/>
      <c r="Q81" s="1664"/>
      <c r="R81" s="1664"/>
      <c r="S81" s="1665"/>
      <c r="AF81" s="1664"/>
      <c r="AG81" s="1664"/>
      <c r="AJ81" s="1663"/>
      <c r="AK81" s="1663"/>
    </row>
    <row r="82" spans="1:37">
      <c r="A82" s="223"/>
      <c r="B82" s="1660" t="s">
        <v>314</v>
      </c>
      <c r="C82" s="1706"/>
      <c r="D82" s="1662"/>
      <c r="E82" s="1662"/>
      <c r="F82" s="1662"/>
      <c r="G82" s="1662"/>
      <c r="H82" s="1662"/>
      <c r="I82" s="1662"/>
      <c r="J82" s="1662"/>
      <c r="K82" s="1662"/>
      <c r="L82" s="1662"/>
      <c r="M82" s="1663"/>
      <c r="N82" s="1663"/>
      <c r="O82" s="1663"/>
      <c r="P82" s="1663"/>
      <c r="Q82" s="1664"/>
      <c r="R82" s="1664"/>
      <c r="S82" s="1665"/>
      <c r="AF82" s="1664"/>
      <c r="AG82" s="1664"/>
      <c r="AJ82" s="1663"/>
      <c r="AK82" s="1663"/>
    </row>
    <row r="83" spans="1:37">
      <c r="A83" s="223"/>
      <c r="B83" s="1614" t="s">
        <v>750</v>
      </c>
      <c r="D83" s="2">
        <f>AVERAGE(BS!C43:D43)/PL!D11</f>
        <v>9.3290583952227044E-2</v>
      </c>
      <c r="E83" s="2">
        <f>AVERAGE(BS!D43:E43)/PL!E11</f>
        <v>9.8632698988492001E-2</v>
      </c>
      <c r="F83" s="2">
        <f>AVERAGE(BS!E43:F43)/PL!F11</f>
        <v>9.5745017450472619E-2</v>
      </c>
      <c r="G83" s="2">
        <f>AVERAGE(BS!F43:G43)/PL!G11</f>
        <v>0.10568866061722851</v>
      </c>
      <c r="H83" s="2">
        <f>AVERAGE(BS!G43:H43)/PL!H11</f>
        <v>9.1528765847459559E-2</v>
      </c>
      <c r="I83" s="2">
        <f>AVERAGE(BS!H43:I43)/PL!I11</f>
        <v>0.16525428923227978</v>
      </c>
      <c r="J83" s="2">
        <f>AVERAGE(BS!I43:J43)/PL!J11</f>
        <v>0.15148305500571821</v>
      </c>
      <c r="K83" s="2">
        <f>AVERAGE(BS!J43:K43)/PL!K11</f>
        <v>0.15170063932589548</v>
      </c>
      <c r="L83" s="2">
        <f>AVERAGE(BS!K43:L43)/PL!L11</f>
        <v>0.12917692446891488</v>
      </c>
      <c r="M83" s="1666">
        <f>AVERAGE(BS!L43:M43)/PL!M11</f>
        <v>0.11316154106462972</v>
      </c>
      <c r="N83" s="1666">
        <f>AVERAGE(BS!M43:N43)/PL!N11</f>
        <v>8.9976473350315223E-2</v>
      </c>
      <c r="O83" s="1666">
        <f>AVERAGE(BS!N43:O43)/PL!O11</f>
        <v>8.9742101185426984E-2</v>
      </c>
      <c r="P83" s="1666">
        <f ca="1">AVERAGE(BS!Q43:R43)/PL!R11</f>
        <v>8.3891764494061591E-2</v>
      </c>
      <c r="Q83" s="1672">
        <f>Q84/365</f>
        <v>9.0410958904109592E-2</v>
      </c>
      <c r="R83" s="1672">
        <f>R84/365</f>
        <v>9.0410958904109592E-2</v>
      </c>
      <c r="S83" s="1669">
        <f>S84/365</f>
        <v>9.0410958904109592E-2</v>
      </c>
      <c r="AF83" s="1285">
        <f>AF84/365</f>
        <v>9.3150684931506855E-2</v>
      </c>
      <c r="AG83" s="1285">
        <f>AG84/365</f>
        <v>9.3150684931506855E-2</v>
      </c>
      <c r="AJ83" s="1666">
        <f>AVERAGE(BS!O43:P43)/PL!P11</f>
        <v>9.3413313555223268E-2</v>
      </c>
      <c r="AK83" s="1666">
        <f ca="1">AVERAGE(BS!P43:Q43)/PL!Q11</f>
        <v>9.6543329104489428E-2</v>
      </c>
    </row>
    <row r="84" spans="1:37">
      <c r="A84" s="223"/>
      <c r="B84" s="1670" t="s">
        <v>1068</v>
      </c>
      <c r="D84" s="36">
        <f>D83*365</f>
        <v>34.051063142562867</v>
      </c>
      <c r="E84" s="36">
        <f t="shared" ref="E84:L84" si="8">E83*365</f>
        <v>36.000935130799583</v>
      </c>
      <c r="F84" s="36">
        <f t="shared" si="8"/>
        <v>34.946931369422508</v>
      </c>
      <c r="G84" s="36">
        <f t="shared" si="8"/>
        <v>38.576361125288408</v>
      </c>
      <c r="H84" s="36">
        <f t="shared" si="8"/>
        <v>33.407999534322741</v>
      </c>
      <c r="I84" s="36">
        <f t="shared" si="8"/>
        <v>60.31781556978212</v>
      </c>
      <c r="J84" s="36">
        <f t="shared" si="8"/>
        <v>55.291315077087148</v>
      </c>
      <c r="K84" s="36">
        <f t="shared" si="8"/>
        <v>55.370733353951849</v>
      </c>
      <c r="L84" s="36">
        <f t="shared" si="8"/>
        <v>47.149577431153929</v>
      </c>
      <c r="M84" s="1667">
        <f>M83*365</f>
        <v>41.303962488589846</v>
      </c>
      <c r="N84" s="1667">
        <f>N83*365</f>
        <v>32.841412772865056</v>
      </c>
      <c r="O84" s="1667">
        <f>O83*365</f>
        <v>32.755866932680853</v>
      </c>
      <c r="P84" s="1667">
        <f t="shared" ref="P84" ca="1" si="9">P83*365</f>
        <v>30.620494040332481</v>
      </c>
      <c r="Q84" s="1540">
        <v>33</v>
      </c>
      <c r="R84" s="1540">
        <v>33</v>
      </c>
      <c r="S84" s="1668">
        <v>33</v>
      </c>
      <c r="AF84" s="1540">
        <v>34</v>
      </c>
      <c r="AG84" s="1540">
        <v>34</v>
      </c>
      <c r="AJ84" s="1667">
        <f>AJ83*365</f>
        <v>34.095859447656494</v>
      </c>
      <c r="AK84" s="1667">
        <f ca="1">AK83*365</f>
        <v>35.238315123138641</v>
      </c>
    </row>
    <row r="85" spans="1:37">
      <c r="A85" s="223"/>
      <c r="B85" s="1712"/>
      <c r="D85" s="36"/>
      <c r="E85" s="36"/>
      <c r="F85" s="36"/>
      <c r="G85" s="36"/>
      <c r="H85" s="36"/>
      <c r="I85" s="36"/>
      <c r="J85" s="36"/>
      <c r="K85" s="36"/>
      <c r="L85" s="36"/>
      <c r="M85" s="1667"/>
      <c r="N85" s="1667"/>
      <c r="O85" s="1667"/>
      <c r="P85" s="1667"/>
      <c r="Q85" s="1540"/>
      <c r="R85" s="1540"/>
      <c r="S85" s="1668"/>
      <c r="AF85" s="1540"/>
      <c r="AG85" s="1540"/>
      <c r="AJ85" s="1667"/>
      <c r="AK85" s="1667"/>
    </row>
    <row r="86" spans="1:37">
      <c r="A86" s="223"/>
      <c r="B86" s="1711" t="s">
        <v>754</v>
      </c>
      <c r="C86" s="239"/>
      <c r="D86" s="239">
        <f>AVERAGE(BS!C44:D44)/PL!D11</f>
        <v>1.5881950412387089E-2</v>
      </c>
      <c r="E86" s="239">
        <f>AVERAGE(BS!D44:E44)/PL!E11</f>
        <v>1.4989433237941222E-2</v>
      </c>
      <c r="F86" s="239">
        <f>AVERAGE(BS!E44:F44)/PL!F11</f>
        <v>1.4183865553945758E-2</v>
      </c>
      <c r="G86" s="239">
        <f>AVERAGE(BS!F44:G44)/PL!G11</f>
        <v>1.8038062754067944E-2</v>
      </c>
      <c r="H86" s="241">
        <f>AVERAGE(BS!G44:H44)/PL!H11</f>
        <v>2.3067790394460615E-2</v>
      </c>
      <c r="I86" s="239">
        <f>AVERAGE(BS!H44:I44)/PL!I11</f>
        <v>6.0603718311616595E-2</v>
      </c>
      <c r="J86" s="239">
        <f>AVERAGE(BS!I44:J44)/PL!J11</f>
        <v>4.6598607751097004E-2</v>
      </c>
      <c r="K86" s="239">
        <f>AVERAGE(BS!J44:K44)/PL!K11</f>
        <v>4.1883793526470349E-2</v>
      </c>
      <c r="L86" s="239">
        <f>AVERAGE(BS!K44:L44)/PL!L11</f>
        <v>3.6128720809696105E-2</v>
      </c>
      <c r="M86" s="241">
        <f>AVERAGE(BS!L44:M44)/PL!M11</f>
        <v>3.0488621047241808E-2</v>
      </c>
      <c r="N86" s="241">
        <f>AVERAGE(BS!M44:N44)/PL!N11</f>
        <v>2.5634952114528552E-2</v>
      </c>
      <c r="O86" s="241">
        <f>AVERAGE(BS!N44:O44)/PL!O11</f>
        <v>2.6684023841488415E-2</v>
      </c>
      <c r="P86" s="241">
        <f ca="1">AVERAGE(BS!Q44:R44)/PL!R11</f>
        <v>2.5053131487544757E-2</v>
      </c>
      <c r="Q86" s="1267">
        <v>2.7E-2</v>
      </c>
      <c r="R86" s="1267">
        <f t="shared" ref="R86:S87" si="10">Q86</f>
        <v>2.7E-2</v>
      </c>
      <c r="S86" s="1268">
        <f t="shared" si="10"/>
        <v>2.7E-2</v>
      </c>
      <c r="U86" s="1538" t="s">
        <v>1057</v>
      </c>
      <c r="AF86" s="1267">
        <f>AVERAGE(K86:M86)</f>
        <v>3.6167045127802756E-2</v>
      </c>
      <c r="AG86" s="1267">
        <f>N86</f>
        <v>2.5634952114528552E-2</v>
      </c>
      <c r="AJ86" s="241">
        <f>AVERAGE(BS!O44:P44)/PL!P11</f>
        <v>3.487897278235591E-2</v>
      </c>
      <c r="AK86" s="241">
        <f ca="1">AVERAGE(BS!P44:Q44)/PL!Q11</f>
        <v>3.8163939958771417E-2</v>
      </c>
    </row>
    <row r="87" spans="1:37">
      <c r="A87" s="223"/>
      <c r="B87" s="1711" t="s">
        <v>751</v>
      </c>
      <c r="C87" s="239"/>
      <c r="D87" s="239">
        <f>AVERAGE(BS!C45:D45)/(PL!D17+PL!D20)</f>
        <v>0.112496028139772</v>
      </c>
      <c r="E87" s="239">
        <f>AVERAGE(BS!D45:E45)/(PL!E17+PL!E20)</f>
        <v>9.3685334463807057E-2</v>
      </c>
      <c r="F87" s="239">
        <f>AVERAGE(BS!E45:F45)/(PL!F17+PL!F20)</f>
        <v>7.0631366298585282E-2</v>
      </c>
      <c r="G87" s="239">
        <f>AVERAGE(BS!F45:G45)/(PL!G17+PL!G20)</f>
        <v>8.153163697737012E-2</v>
      </c>
      <c r="H87" s="241">
        <f>AVERAGE(BS!G45:H45)/(PL!H17+PL!H20)</f>
        <v>8.774715659721008E-2</v>
      </c>
      <c r="I87" s="239">
        <f>AVERAGE(BS!H45:I45)/(PL!I17+PL!I20)</f>
        <v>8.7474777290263442E-2</v>
      </c>
      <c r="J87" s="239">
        <f>AVERAGE(BS!I45:J45)/(PL!J17+PL!J20)</f>
        <v>6.2243313893312419E-2</v>
      </c>
      <c r="K87" s="239">
        <f>AVERAGE(BS!J45:K45)/(PL!K17+PL!K20)</f>
        <v>5.9910884626395607E-2</v>
      </c>
      <c r="L87" s="239">
        <f>AVERAGE(BS!K45:L45)/(PL!L17+PL!L20)</f>
        <v>7.1548325027236001E-2</v>
      </c>
      <c r="M87" s="241">
        <f>AVERAGE(BS!L45:M45)/(PL!M17+PL!M20)</f>
        <v>5.7928681637542001E-2</v>
      </c>
      <c r="N87" s="241">
        <f>AVERAGE(BS!M45:N45)/(PL!N17+PL!N20)</f>
        <v>4.6053020652507728E-2</v>
      </c>
      <c r="O87" s="241">
        <f>AVERAGE(BS!N45:O45)/(PL!O17+PL!O20)</f>
        <v>4.41273706111069E-2</v>
      </c>
      <c r="P87" s="241">
        <f ca="1">AVERAGE(BS!Q45:R45)/(PL!R17+PL!R20)</f>
        <v>4.1300082812885837E-2</v>
      </c>
      <c r="Q87" s="1267">
        <v>4.3999999999999997E-2</v>
      </c>
      <c r="R87" s="1267">
        <f t="shared" si="10"/>
        <v>4.3999999999999997E-2</v>
      </c>
      <c r="S87" s="1268">
        <f t="shared" si="10"/>
        <v>4.3999999999999997E-2</v>
      </c>
      <c r="U87" s="1538" t="s">
        <v>1178</v>
      </c>
      <c r="AF87" s="1267">
        <f>M87</f>
        <v>5.7928681637542001E-2</v>
      </c>
      <c r="AG87" s="1267">
        <f>N87</f>
        <v>4.6053020652507728E-2</v>
      </c>
      <c r="AJ87" s="241">
        <f>AVERAGE(BS!O45:P45)/(PL!P17+PL!P20)</f>
        <v>4.4374851656995243E-2</v>
      </c>
      <c r="AK87" s="241">
        <f ca="1">AVERAGE(BS!P45:Q45)/(PL!Q17+PL!Q20)</f>
        <v>5.9816102309996184E-2</v>
      </c>
    </row>
    <row r="88" spans="1:37">
      <c r="A88" s="223"/>
      <c r="B88" s="1795" t="s">
        <v>64</v>
      </c>
      <c r="C88" s="239"/>
      <c r="D88" s="239">
        <f>AVERAGE(BS!C46,BS!D46)/PL!D9</f>
        <v>1.5118867109781607E-2</v>
      </c>
      <c r="E88" s="239">
        <f>AVERAGE(BS!D46,BS!E46)/PL!E9</f>
        <v>1.8878045913158458E-2</v>
      </c>
      <c r="F88" s="239">
        <f>AVERAGE(BS!E46,BS!F46)/PL!F9</f>
        <v>1.8705865188164944E-2</v>
      </c>
      <c r="G88" s="239">
        <f>AVERAGE(BS!F46,BS!G46)/PL!G9</f>
        <v>1.9235348686843748E-2</v>
      </c>
      <c r="H88" s="239">
        <f>AVERAGE(BS!G46,BS!H46)/PL!H9</f>
        <v>1.9423162899968944E-2</v>
      </c>
      <c r="I88" s="240">
        <f>AVERAGE(BS!H46,BS!I46)/PL!I9</f>
        <v>4.3546056131451016E-2</v>
      </c>
      <c r="J88" s="239">
        <f>AVERAGE(BS!I46,BS!J46)/PL!J9</f>
        <v>4.4560938927121985E-2</v>
      </c>
      <c r="K88" s="239">
        <f>AVERAGE(BS!J46,BS!K46)/PL!K9</f>
        <v>5.4428518064684024E-2</v>
      </c>
      <c r="L88" s="239">
        <f>AVERAGE(BS!K46,BS!L46)/PL!L9</f>
        <v>6.863388247560008E-2</v>
      </c>
      <c r="M88" s="241">
        <f>AVERAGE(BS!L46,BS!M46)/PL!M9</f>
        <v>7.0472547833346791E-2</v>
      </c>
      <c r="N88" s="241">
        <f>AVERAGE(BS!M46,BS!N46)/PL!N9</f>
        <v>6.6622189252978553E-2</v>
      </c>
      <c r="O88" s="241">
        <f>AVERAGE(BS!N46,BS!O46)/PL!O9</f>
        <v>6.4244284258185402E-2</v>
      </c>
      <c r="P88" s="241">
        <f ca="1">AVERAGE(BS!Q46,BS!R46)/PL!R9</f>
        <v>5.9753838094563125E-2</v>
      </c>
      <c r="Q88" s="1267">
        <f>6.4%</f>
        <v>6.4000000000000001E-2</v>
      </c>
      <c r="R88" s="1267">
        <f t="shared" ref="R88:S89" si="11">Q88</f>
        <v>6.4000000000000001E-2</v>
      </c>
      <c r="S88" s="1268">
        <f t="shared" si="11"/>
        <v>6.4000000000000001E-2</v>
      </c>
      <c r="AF88" s="1267">
        <f>M88</f>
        <v>7.0472547833346791E-2</v>
      </c>
      <c r="AG88" s="1267">
        <f>N88</f>
        <v>6.6622189252978553E-2</v>
      </c>
      <c r="AJ88" s="241">
        <f>AVERAGE(BS!O46,BS!P46)/PL!P9</f>
        <v>7.1355579718439671E-2</v>
      </c>
      <c r="AK88" s="241">
        <f ca="1">AVERAGE(BS!P46,BS!Q46)/PL!Q9</f>
        <v>8.1641139006457919E-2</v>
      </c>
    </row>
    <row r="89" spans="1:37">
      <c r="A89" s="223"/>
      <c r="B89" s="1709" t="s">
        <v>188</v>
      </c>
      <c r="C89" s="239"/>
      <c r="D89" s="239">
        <f>AVERAGE(BS!C47,BS!D47)/PL!D50</f>
        <v>0.54812046340362253</v>
      </c>
      <c r="E89" s="239">
        <f>AVERAGE(BS!D47,BS!E47)/PL!E50</f>
        <v>0.58819991843818709</v>
      </c>
      <c r="F89" s="239">
        <f>AVERAGE(BS!E47,BS!F47)/PL!F50</f>
        <v>0.68912622259025247</v>
      </c>
      <c r="G89" s="239">
        <f>AVERAGE(BS!F47,BS!G47)/PL!G50</f>
        <v>0.75414674947268345</v>
      </c>
      <c r="H89" s="241">
        <f>AVERAGE(BS!G47,BS!H47)/PL!H50</f>
        <v>0.45591067312190497</v>
      </c>
      <c r="I89" s="240">
        <f>AVERAGE(BS!H47,BS!I47)/PL!I50</f>
        <v>0.58662371889390552</v>
      </c>
      <c r="J89" s="239">
        <f>AVERAGE(BS!I47,BS!J47)/PL!J50</f>
        <v>0.64137914494779003</v>
      </c>
      <c r="K89" s="239">
        <f>AVERAGE(BS!J47,BS!K47)/PL!K50</f>
        <v>0.71478950863924018</v>
      </c>
      <c r="L89" s="239">
        <f>AVERAGE(BS!K47,BS!L47)/PL!L50</f>
        <v>0.588935432357797</v>
      </c>
      <c r="M89" s="241">
        <f>AVERAGE(BS!L47,BS!M47)/PL!M50</f>
        <v>0.50741375660730903</v>
      </c>
      <c r="N89" s="241">
        <f>AVERAGE(BS!M47,BS!N47)/PL!N50</f>
        <v>0.74313441168731076</v>
      </c>
      <c r="O89" s="241">
        <f>AVERAGE(BS!N47,BS!O47)/PL!O50</f>
        <v>1.1360022302334007</v>
      </c>
      <c r="P89" s="241">
        <f ca="1">AVERAGE(BS!Q47,BS!R47)/PL!R50</f>
        <v>1.017263265497139</v>
      </c>
      <c r="Q89" s="1267">
        <v>1.08</v>
      </c>
      <c r="R89" s="1267">
        <f t="shared" si="11"/>
        <v>1.08</v>
      </c>
      <c r="S89" s="1268">
        <f t="shared" si="11"/>
        <v>1.08</v>
      </c>
      <c r="AF89" s="1267">
        <f>M89</f>
        <v>0.50741375660730903</v>
      </c>
      <c r="AG89" s="1267">
        <v>0.55000000000000004</v>
      </c>
      <c r="AJ89" s="241">
        <f>AVERAGE(BS!O47,BS!P47)/PL!P50</f>
        <v>1.2383093937891196</v>
      </c>
      <c r="AK89" s="241">
        <f ca="1">AVERAGE(BS!P47,BS!Q47)/PL!Q50</f>
        <v>1.0905791701100107</v>
      </c>
    </row>
    <row r="90" spans="1:37">
      <c r="A90" s="223"/>
      <c r="B90" s="1709" t="s">
        <v>65</v>
      </c>
      <c r="C90" s="239"/>
      <c r="D90" s="239">
        <f>AVERAGE(BS!C49,BS!D49)/PL!D9</f>
        <v>3.1310832370891224E-2</v>
      </c>
      <c r="E90" s="239">
        <f>AVERAGE(BS!D49,BS!E49)/PL!E9</f>
        <v>3.546543854891996E-2</v>
      </c>
      <c r="F90" s="239">
        <f>AVERAGE(BS!E49,BS!F49)/PL!F9</f>
        <v>4.1805694501638957E-2</v>
      </c>
      <c r="G90" s="239">
        <f>AVERAGE(BS!F49,BS!G49)/PL!G9</f>
        <v>4.5741391444501331E-2</v>
      </c>
      <c r="H90" s="241">
        <f>AVERAGE(BS!G49,BS!H49)/PL!H9</f>
        <v>4.1631720686233935E-2</v>
      </c>
      <c r="I90" s="240">
        <f>AVERAGE(BS!H49,BS!I49)/PL!I9</f>
        <v>8.1621628354899847E-2</v>
      </c>
      <c r="J90" s="239">
        <f>AVERAGE(BS!I49,BS!J49)/PL!J9</f>
        <v>8.0428696636183059E-2</v>
      </c>
      <c r="K90" s="239">
        <f>AVERAGE(BS!J49,BS!K49)/PL!K9</f>
        <v>9.071475916071485E-2</v>
      </c>
      <c r="L90" s="239">
        <f>AVERAGE(BS!K49,BS!L49)/PL!L9</f>
        <v>8.7934575663010286E-2</v>
      </c>
      <c r="M90" s="241">
        <f>AVERAGE(BS!L49,BS!M49)/PL!M9</f>
        <v>8.3919106389840459E-2</v>
      </c>
      <c r="N90" s="241">
        <f>AVERAGE(BS!M49,BS!N49)/PL!N9</f>
        <v>8.7709410825965103E-2</v>
      </c>
      <c r="O90" s="241">
        <f>AVERAGE(BS!N49,BS!O49)/PL!O9</f>
        <v>8.607297671105521E-2</v>
      </c>
      <c r="P90" s="241">
        <f ca="1">AVERAGE(BS!Q49,BS!R49)/PL!R9</f>
        <v>8.9609958623350375E-2</v>
      </c>
      <c r="Q90" s="1267">
        <f ca="1">P90</f>
        <v>8.9609958623350375E-2</v>
      </c>
      <c r="R90" s="1267">
        <f ca="1">Q90</f>
        <v>8.9609958623350375E-2</v>
      </c>
      <c r="S90" s="1268">
        <f ca="1">R90</f>
        <v>8.9609958623350375E-2</v>
      </c>
      <c r="AF90" s="1267">
        <f>M90</f>
        <v>8.3919106389840459E-2</v>
      </c>
      <c r="AG90" s="1267">
        <f>N90</f>
        <v>8.7709410825965103E-2</v>
      </c>
      <c r="AJ90" s="241">
        <f>AVERAGE(BS!O49,BS!P49)/PL!P9</f>
        <v>8.2593021729799154E-2</v>
      </c>
      <c r="AK90" s="241">
        <f ca="1">AVERAGE(BS!P49,BS!Q49)/PL!Q9</f>
        <v>0.10331971622004055</v>
      </c>
    </row>
    <row r="91" spans="1:37">
      <c r="A91" s="223"/>
      <c r="B91" s="1707"/>
      <c r="C91" s="287"/>
      <c r="D91" s="287"/>
      <c r="E91" s="287"/>
      <c r="F91" s="287"/>
      <c r="G91" s="287"/>
      <c r="H91" s="287"/>
      <c r="I91" s="287"/>
      <c r="J91" s="287"/>
      <c r="K91" s="287"/>
      <c r="L91" s="287"/>
      <c r="M91" s="1707"/>
      <c r="N91" s="1707"/>
      <c r="O91" s="1707"/>
      <c r="P91" s="1707"/>
      <c r="Q91" s="1906"/>
      <c r="R91" s="1906"/>
      <c r="S91" s="1907"/>
      <c r="AF91" s="1906"/>
      <c r="AG91" s="1906"/>
      <c r="AJ91" s="1707"/>
      <c r="AK91" s="1707"/>
    </row>
    <row r="92" spans="1:37" s="1648" customFormat="1">
      <c r="A92" s="1671"/>
      <c r="B92" s="1660" t="s">
        <v>1072</v>
      </c>
      <c r="C92" s="1588"/>
      <c r="D92" s="1588"/>
      <c r="E92" s="1588"/>
      <c r="F92" s="1588"/>
      <c r="G92" s="1588"/>
      <c r="H92" s="1589"/>
      <c r="I92" s="1587"/>
      <c r="J92" s="1588"/>
      <c r="K92" s="1588"/>
      <c r="L92" s="1588"/>
      <c r="M92" s="1589"/>
      <c r="N92" s="1589"/>
      <c r="O92" s="1589"/>
      <c r="P92" s="1589"/>
      <c r="Q92" s="1878"/>
      <c r="R92" s="1878"/>
      <c r="S92" s="1879"/>
      <c r="AF92" s="1878"/>
      <c r="AG92" s="1878"/>
      <c r="AJ92" s="1589"/>
      <c r="AK92" s="1589"/>
    </row>
    <row r="93" spans="1:37" s="1648" customFormat="1">
      <c r="A93" s="1671"/>
      <c r="B93" s="1659" t="s">
        <v>1073</v>
      </c>
      <c r="C93" s="1588"/>
      <c r="D93" s="1588"/>
      <c r="E93" s="1588"/>
      <c r="F93" s="1588"/>
      <c r="G93" s="1588"/>
      <c r="H93" s="1589"/>
      <c r="I93" s="1588"/>
      <c r="J93" s="1588"/>
      <c r="K93" s="1588"/>
      <c r="L93" s="1588"/>
      <c r="M93" s="1589"/>
      <c r="N93" s="1589"/>
      <c r="O93" s="1589"/>
      <c r="P93" s="1589"/>
      <c r="Q93" s="1878"/>
      <c r="R93" s="1878"/>
      <c r="S93" s="1879"/>
      <c r="AF93" s="1877">
        <f>BS!V260</f>
        <v>5800</v>
      </c>
      <c r="AG93" s="1878"/>
      <c r="AJ93" s="1589"/>
      <c r="AK93" s="1589"/>
    </row>
    <row r="94" spans="1:37" s="1648" customFormat="1">
      <c r="A94" s="1671"/>
      <c r="B94" s="1659" t="s">
        <v>1127</v>
      </c>
      <c r="C94" s="1588"/>
      <c r="D94" s="1588"/>
      <c r="E94" s="1588"/>
      <c r="F94" s="1588"/>
      <c r="G94" s="1588"/>
      <c r="H94" s="1589"/>
      <c r="I94" s="1588"/>
      <c r="J94" s="1588"/>
      <c r="K94" s="1588"/>
      <c r="L94" s="1588"/>
      <c r="M94" s="1589"/>
      <c r="N94" s="1589"/>
      <c r="O94" s="1589"/>
      <c r="P94" s="1589"/>
      <c r="Q94" s="1267">
        <v>0.06</v>
      </c>
      <c r="R94" s="1267">
        <v>0.06</v>
      </c>
      <c r="S94" s="1268">
        <v>0.06</v>
      </c>
      <c r="AF94" s="1914">
        <v>7.0000000000000007E-2</v>
      </c>
      <c r="AG94" s="1267">
        <v>0.06</v>
      </c>
      <c r="AJ94" s="1589"/>
      <c r="AK94" s="1589"/>
    </row>
    <row r="95" spans="1:37" s="1648" customFormat="1">
      <c r="A95" s="1671"/>
      <c r="B95" s="1614" t="s">
        <v>934</v>
      </c>
      <c r="C95" s="239"/>
      <c r="D95" s="239">
        <f>BS!D227/BS!D233</f>
        <v>0.68995368388638978</v>
      </c>
      <c r="E95" s="239">
        <f>BS!E227/BS!E233</f>
        <v>0.42382222777020018</v>
      </c>
      <c r="F95" s="239">
        <f>BS!F227/BS!F233</f>
        <v>0.38006139940422684</v>
      </c>
      <c r="G95" s="239">
        <f>BS!G227/BS!G233</f>
        <v>0.66500873740428057</v>
      </c>
      <c r="H95" s="241">
        <f>BS!H227/BS!H233</f>
        <v>1.963951021847214</v>
      </c>
      <c r="I95" s="239">
        <f>BS!I227/BS!I233</f>
        <v>0.49371254245494967</v>
      </c>
      <c r="J95" s="239">
        <f>BS!J227/BS!J233</f>
        <v>0.69814762336685021</v>
      </c>
      <c r="K95" s="239">
        <f>BS!K227/BS!K233</f>
        <v>0.976480810494888</v>
      </c>
      <c r="L95" s="239">
        <f>BS!L227/BS!L233</f>
        <v>0.56940525658512375</v>
      </c>
      <c r="M95" s="241">
        <f>BS!M227/BS!M233</f>
        <v>0.34894902584132453</v>
      </c>
      <c r="N95" s="241">
        <f>BS!N227/BS!N233</f>
        <v>0.37203269061571309</v>
      </c>
      <c r="O95" s="241">
        <f>BS!O227/BS!O233</f>
        <v>0.57244182210353201</v>
      </c>
      <c r="P95" s="241">
        <f ca="1">BS!R227/BS!R233</f>
        <v>1.4931946879193669</v>
      </c>
      <c r="Q95" s="1267">
        <f t="shared" ref="Q95:S97" ca="1" si="12">P95</f>
        <v>1.4931946879193669</v>
      </c>
      <c r="R95" s="1267">
        <f t="shared" ca="1" si="12"/>
        <v>1.4931946879193669</v>
      </c>
      <c r="S95" s="1268">
        <f t="shared" ca="1" si="12"/>
        <v>1.4931946879193669</v>
      </c>
      <c r="AF95" s="1267">
        <f>AVERAGE(L95:M95)</f>
        <v>0.45917714121322417</v>
      </c>
      <c r="AG95" s="1267">
        <f>N95</f>
        <v>0.37203269061571309</v>
      </c>
      <c r="AJ95" s="241">
        <f>BS!P227/BS!P233</f>
        <v>0.40642681916768547</v>
      </c>
      <c r="AK95" s="241">
        <f ca="1">BS!Q227/BS!Q233</f>
        <v>4.2415226801998642</v>
      </c>
    </row>
    <row r="96" spans="1:37" s="1648" customFormat="1">
      <c r="A96" s="1671"/>
      <c r="B96" s="1614" t="s">
        <v>747</v>
      </c>
      <c r="C96" s="1649">
        <f>BS!C29/PL!C9</f>
        <v>2.1996815328594998E-2</v>
      </c>
      <c r="D96" s="1649">
        <f>BS!D29/PL!D9</f>
        <v>1.994616384076927E-2</v>
      </c>
      <c r="E96" s="1649">
        <f>BS!E29/PL!E9</f>
        <v>1.6457262370648686E-2</v>
      </c>
      <c r="F96" s="1649">
        <f>BS!F29/PL!F9</f>
        <v>1.8245017451518328E-2</v>
      </c>
      <c r="G96" s="1649">
        <f>BS!G29/PL!G9</f>
        <v>2.5827029928367405E-2</v>
      </c>
      <c r="H96" s="1650">
        <f>BS!H29/PL!H9</f>
        <v>1.888387550201415E-2</v>
      </c>
      <c r="I96" s="1273">
        <f>BS!I29/PL!I9</f>
        <v>5.0607457663740599E-2</v>
      </c>
      <c r="J96" s="1273">
        <f>BS!J29/PL!J9</f>
        <v>5.9547326417631337E-2</v>
      </c>
      <c r="K96" s="1273">
        <f>BS!K29/PL!K9</f>
        <v>7.9562904106192101E-2</v>
      </c>
      <c r="L96" s="1273">
        <f>BS!L29/PL!L9</f>
        <v>3.6194554869551969E-2</v>
      </c>
      <c r="M96" s="1274">
        <f>BS!M29/PL!M9</f>
        <v>2.4135336101589643E-2</v>
      </c>
      <c r="N96" s="1274">
        <f>BS!N29/PL!N9</f>
        <v>2.4996628814931122E-2</v>
      </c>
      <c r="O96" s="1274">
        <f>BS!O29/PL!O9</f>
        <v>4.0729025968519045E-2</v>
      </c>
      <c r="P96" s="1274">
        <f ca="1">BS!R29/PL!R9</f>
        <v>3.4479999999999997E-2</v>
      </c>
      <c r="Q96" s="1651">
        <f t="shared" ca="1" si="12"/>
        <v>3.4479999999999997E-2</v>
      </c>
      <c r="R96" s="1651">
        <f t="shared" ca="1" si="12"/>
        <v>3.4479999999999997E-2</v>
      </c>
      <c r="S96" s="1652">
        <f t="shared" ca="1" si="12"/>
        <v>3.4479999999999997E-2</v>
      </c>
      <c r="AF96" s="1651">
        <f>AVERAGE(L96:M96)</f>
        <v>3.0164945485570804E-2</v>
      </c>
      <c r="AG96" s="1651">
        <f>N96</f>
        <v>2.4996628814931122E-2</v>
      </c>
      <c r="AJ96" s="1274">
        <f>BS!P29/PL!P9</f>
        <v>2.2859546545670423E-2</v>
      </c>
      <c r="AK96" s="1274">
        <f ca="1">BS!Q29/PL!Q9</f>
        <v>-2.5859999999999998E-2</v>
      </c>
    </row>
    <row r="97" spans="1:37" s="1648" customFormat="1">
      <c r="A97" s="1671"/>
      <c r="B97" s="1654" t="s">
        <v>770</v>
      </c>
      <c r="C97" s="1649">
        <f>BS!C17/PL!C9</f>
        <v>0.13808539808965428</v>
      </c>
      <c r="D97" s="1649">
        <f>BS!D17/PL!D9</f>
        <v>0.152894741138726</v>
      </c>
      <c r="E97" s="1649">
        <f>BS!E17/PL!E9</f>
        <v>0.16396352575543482</v>
      </c>
      <c r="F97" s="1649">
        <f>BS!F17/PL!F9</f>
        <v>0.1827483516400269</v>
      </c>
      <c r="G97" s="1649">
        <f>BS!G17/PL!G9</f>
        <v>0.20065096407388652</v>
      </c>
      <c r="H97" s="1650">
        <f>BS!H17/PL!H9</f>
        <v>0.19363437824694571</v>
      </c>
      <c r="I97" s="1273">
        <f>BS!I17/PL!I9</f>
        <v>0.4080370951510956</v>
      </c>
      <c r="J97" s="1273">
        <f>BS!J17/PL!J9</f>
        <v>0.40773092395860783</v>
      </c>
      <c r="K97" s="1273">
        <f>BS!K17/PL!K9</f>
        <v>0.43397239422360834</v>
      </c>
      <c r="L97" s="1273">
        <f>BS!L17/PL!L9</f>
        <v>0.45098323787087069</v>
      </c>
      <c r="M97" s="1274">
        <f>BS!M17/PL!M9</f>
        <v>0.43190607576908063</v>
      </c>
      <c r="N97" s="1274">
        <f>BS!N17/PL!N9</f>
        <v>0.42360037036273601</v>
      </c>
      <c r="O97" s="1274">
        <f>BS!O17/PL!O9</f>
        <v>0.38915196298926358</v>
      </c>
      <c r="P97" s="1274">
        <f ca="1">BS!R17/PL!R9</f>
        <v>0.45983380372419225</v>
      </c>
      <c r="Q97" s="1651">
        <f t="shared" ca="1" si="12"/>
        <v>0.45983380372419225</v>
      </c>
      <c r="R97" s="1651">
        <f t="shared" ca="1" si="12"/>
        <v>0.45983380372419225</v>
      </c>
      <c r="S97" s="1652">
        <f t="shared" ca="1" si="12"/>
        <v>0.45983380372419225</v>
      </c>
      <c r="AF97" s="1651">
        <f>M97</f>
        <v>0.43190607576908063</v>
      </c>
      <c r="AG97" s="1651">
        <f>N97</f>
        <v>0.42360037036273601</v>
      </c>
      <c r="AJ97" s="1274">
        <f>BS!P17/PL!P9</f>
        <v>0.41517806096649812</v>
      </c>
      <c r="AK97" s="1274">
        <f ca="1">BS!Q17/PL!Q9</f>
        <v>0.50356119844330138</v>
      </c>
    </row>
    <row r="98" spans="1:37" s="1648" customFormat="1">
      <c r="A98" s="1671"/>
      <c r="B98" s="1715" t="s">
        <v>914</v>
      </c>
      <c r="C98" s="1713"/>
      <c r="D98" s="1713">
        <f>-BS!D31/BS!D30</f>
        <v>0.20502572899314858</v>
      </c>
      <c r="E98" s="1713">
        <f>-BS!E31/BS!E30</f>
        <v>0.17114375746335939</v>
      </c>
      <c r="F98" s="1713">
        <f>-BS!F31/BS!F30</f>
        <v>0.19486883866866939</v>
      </c>
      <c r="G98" s="1713">
        <f>-BS!G31/BS!G30</f>
        <v>0.21105709037215145</v>
      </c>
      <c r="H98" s="1714">
        <f>-BS!H31/BS!H30</f>
        <v>0.14383121429415574</v>
      </c>
      <c r="I98" s="1713">
        <f>-BS!I31/BS!I30</f>
        <v>0.10816597510595448</v>
      </c>
      <c r="J98" s="1713">
        <f>-BS!J31/BS!J30</f>
        <v>0.11038755107487601</v>
      </c>
      <c r="K98" s="1713">
        <f>-BS!K31/BS!K30</f>
        <v>0.10514894069579363</v>
      </c>
      <c r="L98" s="1713">
        <f>-BS!L31/BS!L30</f>
        <v>0.2145284580097466</v>
      </c>
      <c r="M98" s="1714">
        <f>-BS!M31/BS!M30</f>
        <v>0.29831146642993306</v>
      </c>
      <c r="N98" s="1714">
        <f>-BS!N31/BS!N30</f>
        <v>0.32737035326443775</v>
      </c>
      <c r="O98" s="1714">
        <f>-BS!O31/BS!O30</f>
        <v>0.41533102150423962</v>
      </c>
      <c r="P98" s="1714">
        <f ca="1">-BS!R31/BS!R30</f>
        <v>0.14065949762057015</v>
      </c>
      <c r="Q98" s="1713">
        <f t="shared" ref="Q98:S99" ca="1" si="13">P98</f>
        <v>0.14065949762057015</v>
      </c>
      <c r="R98" s="1713">
        <f t="shared" ca="1" si="13"/>
        <v>0.14065949762057015</v>
      </c>
      <c r="S98" s="1714">
        <f t="shared" ca="1" si="13"/>
        <v>0.14065949762057015</v>
      </c>
      <c r="AF98" s="2023">
        <f>M98</f>
        <v>0.29831146642993306</v>
      </c>
      <c r="AG98" s="1713">
        <f>N98</f>
        <v>0.32737035326443775</v>
      </c>
      <c r="AJ98" s="1714">
        <f>-BS!P31/BS!P30</f>
        <v>0.36017104390401677</v>
      </c>
      <c r="AK98" s="1714">
        <f ca="1">-BS!Q31/BS!Q30</f>
        <v>0.17335377682164349</v>
      </c>
    </row>
    <row r="99" spans="1:37" s="1648" customFormat="1">
      <c r="A99" s="1671"/>
      <c r="B99" s="1904" t="s">
        <v>915</v>
      </c>
      <c r="C99" s="1842"/>
      <c r="D99" s="1843">
        <f>BS!D35/BS!D79</f>
        <v>3.6823091019932065E-2</v>
      </c>
      <c r="E99" s="1843">
        <f>BS!E35/BS!E79</f>
        <v>2.8714181979347726E-2</v>
      </c>
      <c r="F99" s="1843">
        <f>BS!F35/BS!F79</f>
        <v>3.936200652445325E-2</v>
      </c>
      <c r="G99" s="1843">
        <f>BS!G35/BS!G79</f>
        <v>3.708417203090484E-2</v>
      </c>
      <c r="H99" s="1844">
        <f>BS!H35/BS!H79</f>
        <v>3.4875171833727743E-2</v>
      </c>
      <c r="I99" s="1843">
        <f>BS!I35/BS!I79</f>
        <v>3.4418501075092298E-2</v>
      </c>
      <c r="J99" s="1843">
        <f>BS!J35/BS!J79</f>
        <v>6.8496496244430174E-2</v>
      </c>
      <c r="K99" s="1843">
        <f>BS!K35/BS!K79</f>
        <v>6.5967096593826019E-2</v>
      </c>
      <c r="L99" s="1843">
        <f>BS!L35/BS!L79</f>
        <v>5.8752876300222454E-2</v>
      </c>
      <c r="M99" s="1844">
        <f>BS!M35/BS!M79</f>
        <v>7.2531049885017337E-2</v>
      </c>
      <c r="N99" s="1844">
        <f>BS!N35/BS!N79</f>
        <v>6.2246279060619039E-2</v>
      </c>
      <c r="O99" s="1844">
        <f>BS!O35/BS!O79</f>
        <v>6.0291127858646633E-2</v>
      </c>
      <c r="P99" s="1844">
        <f ca="1">BS!R35/BS!R79</f>
        <v>4.5959138050655428E-2</v>
      </c>
      <c r="Q99" s="2024">
        <f t="shared" ca="1" si="13"/>
        <v>4.5959138050655428E-2</v>
      </c>
      <c r="R99" s="1843">
        <f t="shared" ca="1" si="13"/>
        <v>4.5959138050655428E-2</v>
      </c>
      <c r="S99" s="1844">
        <f t="shared" ca="1" si="13"/>
        <v>4.5959138050655428E-2</v>
      </c>
      <c r="AF99" s="2024">
        <f>AVERAGE(L99:M99)</f>
        <v>6.5641963092619895E-2</v>
      </c>
      <c r="AG99" s="1843">
        <f>N99</f>
        <v>6.2246279060619039E-2</v>
      </c>
      <c r="AJ99" s="1844">
        <f>BS!P35/BS!P79</f>
        <v>5.3738057366789348E-2</v>
      </c>
      <c r="AK99" s="1844">
        <f ca="1">BS!Q35/BS!Q79</f>
        <v>5.1391439694488887E-2</v>
      </c>
    </row>
    <row r="100" spans="1:37" s="1648" customFormat="1">
      <c r="B100" s="1905"/>
      <c r="C100" s="1649"/>
      <c r="D100" s="1649"/>
      <c r="E100" s="1649"/>
      <c r="F100" s="1649"/>
      <c r="G100" s="1649"/>
      <c r="H100" s="1649"/>
      <c r="I100" s="1273"/>
      <c r="J100" s="1273"/>
      <c r="K100" s="1273"/>
      <c r="L100" s="1273"/>
      <c r="M100" s="1273"/>
      <c r="N100" s="1273"/>
      <c r="O100" s="1273"/>
      <c r="P100" s="1273"/>
      <c r="Q100" s="2022"/>
      <c r="R100" s="2022"/>
      <c r="S100" s="2802"/>
      <c r="AF100" s="2022"/>
      <c r="AG100" s="2022"/>
      <c r="AJ100" s="1273"/>
      <c r="AK100" s="1273"/>
    </row>
    <row r="101" spans="1:37">
      <c r="S101" s="223"/>
      <c r="AJ101" s="6"/>
      <c r="AK101" s="6"/>
    </row>
    <row r="102" spans="1:37" s="287" customFormat="1">
      <c r="Q102" s="3476"/>
      <c r="R102" s="3476"/>
      <c r="S102" s="3477"/>
    </row>
    <row r="103" spans="1:37">
      <c r="B103" s="1716" t="s">
        <v>917</v>
      </c>
      <c r="C103" s="1717"/>
      <c r="D103" s="1718"/>
      <c r="E103" s="1718"/>
      <c r="F103" s="1718"/>
      <c r="G103" s="1718"/>
      <c r="H103" s="1719"/>
      <c r="I103" s="1644"/>
      <c r="J103" s="1718"/>
      <c r="K103" s="1718"/>
      <c r="L103" s="1718"/>
      <c r="M103" s="1718"/>
      <c r="N103" s="1718"/>
      <c r="O103" s="1718"/>
      <c r="P103" s="1718"/>
      <c r="Q103" s="2667"/>
      <c r="R103" s="2667"/>
      <c r="S103" s="2803"/>
      <c r="AF103" s="1644"/>
      <c r="AG103" s="1718"/>
      <c r="AJ103" s="1718"/>
      <c r="AK103" s="1718"/>
    </row>
    <row r="104" spans="1:37">
      <c r="B104" s="1236" t="s">
        <v>52</v>
      </c>
      <c r="C104" s="1272">
        <f>BS!C73/PL!C55</f>
        <v>4.3564135149869967E-2</v>
      </c>
      <c r="D104" s="1273">
        <f>BS!D73/PL!D55</f>
        <v>4.8931104504093319E-2</v>
      </c>
      <c r="E104" s="1273">
        <f>BS!E73/PL!E55</f>
        <v>4.8649449390876558E-2</v>
      </c>
      <c r="F104" s="1273">
        <f>BS!F73/PL!F55</f>
        <v>4.0932578623012195E-2</v>
      </c>
      <c r="G104" s="1273">
        <f>BS!G73/PL!G55</f>
        <v>6.3743152530457023E-2</v>
      </c>
      <c r="H104" s="1274">
        <f>BS!H73/PL!H55</f>
        <v>5.8386080539645134E-2</v>
      </c>
      <c r="I104" s="1272">
        <f>BS!I73/PL!I55</f>
        <v>8.5094397183905893E-2</v>
      </c>
      <c r="J104" s="1273">
        <f>BS!J73/PL!J55</f>
        <v>9.8083638600285558E-2</v>
      </c>
      <c r="K104" s="1273">
        <f>BS!K73/PL!K55</f>
        <v>0.12503409053827855</v>
      </c>
      <c r="L104" s="1273">
        <f>BS!L73/PL!L55</f>
        <v>0.13152811894567931</v>
      </c>
      <c r="M104" s="1273">
        <f>BS!M73/PL!M55</f>
        <v>0.20456657474117115</v>
      </c>
      <c r="N104" s="1273">
        <f>BS!N73/PL!N55</f>
        <v>0.23972239581680019</v>
      </c>
      <c r="O104" s="1273">
        <f>BS!O73/PL!O55</f>
        <v>0.25879464461858986</v>
      </c>
      <c r="P104" s="1273">
        <f ca="1">BS!R73/PL!R55</f>
        <v>0.15631745764591209</v>
      </c>
      <c r="Q104" s="1276">
        <f ca="1">P104</f>
        <v>0.15631745764591209</v>
      </c>
      <c r="R104" s="1276">
        <f ca="1">Q104</f>
        <v>0.15631745764591209</v>
      </c>
      <c r="S104" s="1277">
        <f ca="1">R104</f>
        <v>0.15631745764591209</v>
      </c>
      <c r="AF104" s="1275">
        <f>M104</f>
        <v>0.20456657474117115</v>
      </c>
      <c r="AG104" s="1276">
        <f>N104</f>
        <v>0.23972239581680019</v>
      </c>
      <c r="AJ104" s="1273">
        <f>BS!P73/PL!P55</f>
        <v>0.16450830205237438</v>
      </c>
      <c r="AK104" s="1273">
        <f ca="1">BS!Q73/PL!Q55</f>
        <v>0.15723809027225558</v>
      </c>
    </row>
    <row r="105" spans="1:37">
      <c r="B105" s="1236" t="s">
        <v>53</v>
      </c>
      <c r="C105" s="1272">
        <f>BS!C74/PL!C55</f>
        <v>0</v>
      </c>
      <c r="D105" s="1273">
        <f>BS!D74/PL!D55</f>
        <v>0</v>
      </c>
      <c r="E105" s="1273">
        <f>BS!E74/PL!E55</f>
        <v>0</v>
      </c>
      <c r="F105" s="1273">
        <f>BS!F74/PL!F55</f>
        <v>0</v>
      </c>
      <c r="G105" s="1273">
        <f>BS!G74/PL!G55</f>
        <v>0</v>
      </c>
      <c r="H105" s="1274">
        <f>BS!H74/PL!H55</f>
        <v>0</v>
      </c>
      <c r="I105" s="1272">
        <f>BS!I74/PL!I55</f>
        <v>0</v>
      </c>
      <c r="J105" s="1273">
        <f>BS!J74/PL!J55</f>
        <v>0</v>
      </c>
      <c r="K105" s="1273">
        <f>BS!K74/PL!K55</f>
        <v>0</v>
      </c>
      <c r="L105" s="1273">
        <f>BS!L74/PL!L55</f>
        <v>0</v>
      </c>
      <c r="M105" s="1273">
        <f>BS!M74/PL!M55</f>
        <v>0</v>
      </c>
      <c r="N105" s="1273">
        <f>BS!N74/PL!N55</f>
        <v>0</v>
      </c>
      <c r="O105" s="1273">
        <f>BS!O74/PL!O55</f>
        <v>0</v>
      </c>
      <c r="P105" s="1273">
        <f ca="1">BS!R74/PL!R55</f>
        <v>0</v>
      </c>
      <c r="Q105" s="1276">
        <f t="shared" ref="Q105:S107" ca="1" si="14">P105</f>
        <v>0</v>
      </c>
      <c r="R105" s="1276">
        <f t="shared" ca="1" si="14"/>
        <v>0</v>
      </c>
      <c r="S105" s="1277">
        <f t="shared" ca="1" si="14"/>
        <v>0</v>
      </c>
      <c r="AF105" s="1275">
        <f>M105</f>
        <v>0</v>
      </c>
      <c r="AG105" s="1276">
        <f>N105</f>
        <v>0</v>
      </c>
      <c r="AJ105" s="1273">
        <f>BS!P74/PL!P55</f>
        <v>0</v>
      </c>
      <c r="AK105" s="1273">
        <f ca="1">BS!Q74/PL!Q55</f>
        <v>0</v>
      </c>
    </row>
    <row r="106" spans="1:37" hidden="1">
      <c r="B106" s="1236"/>
      <c r="C106" s="1278"/>
      <c r="D106" s="1279"/>
      <c r="E106" s="1279"/>
      <c r="F106" s="1279"/>
      <c r="G106" s="1279"/>
      <c r="H106" s="1280"/>
      <c r="I106" s="1278"/>
      <c r="J106" s="1279"/>
      <c r="K106" s="1279"/>
      <c r="L106" s="1279"/>
      <c r="M106" s="1279"/>
      <c r="N106" s="1279"/>
      <c r="O106" s="1279"/>
      <c r="P106" s="1279"/>
      <c r="Q106" s="1276"/>
      <c r="R106" s="1276"/>
      <c r="S106" s="1277"/>
      <c r="AF106" s="1275"/>
      <c r="AG106" s="1276"/>
      <c r="AJ106" s="1279"/>
      <c r="AK106" s="1279"/>
    </row>
    <row r="107" spans="1:37">
      <c r="B107" s="1236" t="s">
        <v>769</v>
      </c>
      <c r="C107" s="1272">
        <f>BS!C48/PL!C55</f>
        <v>0.15238287435385384</v>
      </c>
      <c r="D107" s="1273">
        <f>BS!D48/PL!D55</f>
        <v>0.13132462589259603</v>
      </c>
      <c r="E107" s="1273">
        <f>BS!E48/PL!E55</f>
        <v>0.12818956264579848</v>
      </c>
      <c r="F107" s="1273">
        <f>BS!F48/PL!F55</f>
        <v>0.16009165352387431</v>
      </c>
      <c r="G107" s="1273">
        <f>BS!G48/PL!G55</f>
        <v>0.16019952816932134</v>
      </c>
      <c r="H107" s="1274">
        <f>BS!H48/PL!H55</f>
        <v>0.1071506975875671</v>
      </c>
      <c r="I107" s="1272">
        <f>BS!I48/PL!I55</f>
        <v>0.17293967889263395</v>
      </c>
      <c r="J107" s="1273">
        <f>BS!J48/PL!J55</f>
        <v>0.17204361376212698</v>
      </c>
      <c r="K107" s="1273">
        <f>BS!K48/PL!K55</f>
        <v>0.1843970244915914</v>
      </c>
      <c r="L107" s="1273">
        <f>BS!L48/PL!L55</f>
        <v>0.19013838567474189</v>
      </c>
      <c r="M107" s="1273">
        <f>BS!M48/PL!M55</f>
        <v>0.20009402889033337</v>
      </c>
      <c r="N107" s="1273">
        <f>BS!N48/PL!N55</f>
        <v>0.22623249018000222</v>
      </c>
      <c r="O107" s="1273">
        <f>BS!O48/PL!O55</f>
        <v>0.23356162901548583</v>
      </c>
      <c r="P107" s="1273">
        <f ca="1">BS!R48/PL!R55</f>
        <v>0.28310357592592</v>
      </c>
      <c r="Q107" s="1276">
        <f t="shared" ca="1" si="14"/>
        <v>0.28310357592592</v>
      </c>
      <c r="R107" s="1276">
        <f t="shared" ca="1" si="14"/>
        <v>0.28310357592592</v>
      </c>
      <c r="S107" s="1277">
        <f t="shared" ca="1" si="14"/>
        <v>0.28310357592592</v>
      </c>
      <c r="AF107" s="1275">
        <f>M107</f>
        <v>0.20009402889033337</v>
      </c>
      <c r="AG107" s="1276">
        <f>N107</f>
        <v>0.22623249018000222</v>
      </c>
      <c r="AJ107" s="1273">
        <f>BS!P48/PL!P55</f>
        <v>0.22837198409599999</v>
      </c>
      <c r="AK107" s="1273">
        <f ca="1">BS!Q48/PL!Q55</f>
        <v>0.25334390549900532</v>
      </c>
    </row>
    <row r="108" spans="1:37" hidden="1">
      <c r="B108" s="1236"/>
      <c r="C108" s="1278"/>
      <c r="D108" s="751"/>
      <c r="E108" s="751"/>
      <c r="F108" s="751"/>
      <c r="G108" s="751"/>
      <c r="H108" s="751"/>
      <c r="I108" s="1281"/>
      <c r="J108" s="751"/>
      <c r="K108" s="751"/>
      <c r="L108" s="751"/>
      <c r="M108" s="751"/>
      <c r="N108" s="751"/>
      <c r="O108" s="751"/>
      <c r="P108" s="751"/>
      <c r="Q108" s="1267"/>
      <c r="R108" s="1267"/>
      <c r="S108" s="1268"/>
      <c r="AF108" s="1266"/>
      <c r="AG108" s="1267"/>
      <c r="AJ108" s="751"/>
      <c r="AK108" s="751"/>
    </row>
    <row r="109" spans="1:37">
      <c r="B109" s="1234" t="s">
        <v>66</v>
      </c>
      <c r="C109" s="240"/>
      <c r="D109" s="239">
        <f>PL!D120/PL!C120-1</f>
        <v>0.5</v>
      </c>
      <c r="E109" s="239">
        <f>PL!E120/PL!D120-1</f>
        <v>-0.33333333333333337</v>
      </c>
      <c r="F109" s="239">
        <f>PL!F120/PL!E120-1</f>
        <v>0</v>
      </c>
      <c r="G109" s="239">
        <f>PL!G120/PL!F120-1</f>
        <v>0</v>
      </c>
      <c r="H109" s="241">
        <f>PL!H120/PL!G120-1</f>
        <v>0.25</v>
      </c>
      <c r="I109" s="239">
        <f>PL!I120/PL!H120-1</f>
        <v>-0.19999999999999996</v>
      </c>
      <c r="J109" s="239">
        <f>PL!J120/PL!I120-1</f>
        <v>0</v>
      </c>
      <c r="K109" s="239">
        <f>PL!K120/PL!J120-1</f>
        <v>0</v>
      </c>
      <c r="L109" s="239">
        <f>PL!L120/PL!K120-1</f>
        <v>0</v>
      </c>
      <c r="M109" s="239">
        <f>PL!M120/PL!L120-1</f>
        <v>0</v>
      </c>
      <c r="N109" s="239">
        <f>PL!N120/PL!M120-1</f>
        <v>0</v>
      </c>
      <c r="O109" s="239">
        <f>PL!O120/PL!N120-1</f>
        <v>0</v>
      </c>
      <c r="P109" s="239">
        <f>PL!R120/PL!Q120-1</f>
        <v>0</v>
      </c>
      <c r="Q109" s="1267">
        <f ca="1">PL!Q120/PL!W120-1</f>
        <v>-1.5278863281332433E-2</v>
      </c>
      <c r="R109" s="1267">
        <f>PL!R120/PL!Q120-1</f>
        <v>0</v>
      </c>
      <c r="S109" s="1268">
        <f>PL!S120/PL!R120-1</f>
        <v>0</v>
      </c>
      <c r="AF109" s="1267">
        <f>PL!N120/PL!S120-1</f>
        <v>0</v>
      </c>
      <c r="AG109" s="1267" t="e">
        <f>PL!O120/PL!U120-1</f>
        <v>#DIV/0!</v>
      </c>
      <c r="AJ109" s="239">
        <f>PL!P120/PL!O120-1</f>
        <v>0</v>
      </c>
      <c r="AK109" s="239">
        <f>PL!Q120/PL!P120-1</f>
        <v>0</v>
      </c>
    </row>
    <row r="110" spans="1:37" hidden="1">
      <c r="B110" s="1234"/>
      <c r="C110" s="796"/>
      <c r="D110" s="244"/>
      <c r="E110" s="244"/>
      <c r="F110" s="244"/>
      <c r="G110" s="244"/>
      <c r="H110" s="921"/>
      <c r="I110" s="244"/>
      <c r="J110" s="244"/>
      <c r="K110" s="244"/>
      <c r="L110" s="244"/>
      <c r="M110" s="244"/>
      <c r="N110" s="244"/>
      <c r="O110" s="244"/>
      <c r="P110" s="244"/>
      <c r="Q110" s="1283"/>
      <c r="R110" s="1283"/>
      <c r="S110" s="1284"/>
      <c r="AF110" s="1282"/>
      <c r="AG110" s="1283"/>
      <c r="AJ110" s="244"/>
      <c r="AK110" s="244"/>
    </row>
    <row r="111" spans="1:37" hidden="1">
      <c r="B111" s="1234"/>
      <c r="C111" s="796"/>
      <c r="D111" s="244"/>
      <c r="E111" s="244"/>
      <c r="F111" s="244"/>
      <c r="G111" s="244"/>
      <c r="H111" s="921"/>
      <c r="I111" s="244"/>
      <c r="J111" s="244"/>
      <c r="K111" s="244"/>
      <c r="L111" s="244"/>
      <c r="M111" s="244"/>
      <c r="N111" s="244"/>
      <c r="O111" s="244"/>
      <c r="P111" s="244"/>
      <c r="Q111" s="1283"/>
      <c r="R111" s="1283"/>
      <c r="S111" s="1284"/>
      <c r="AF111" s="1282"/>
      <c r="AG111" s="1283"/>
      <c r="AJ111" s="244"/>
      <c r="AK111" s="244"/>
    </row>
    <row r="112" spans="1:37" hidden="1">
      <c r="B112" s="1234"/>
      <c r="C112" s="796"/>
      <c r="D112" s="244"/>
      <c r="E112" s="244"/>
      <c r="F112" s="244"/>
      <c r="G112" s="244"/>
      <c r="H112" s="921"/>
      <c r="I112" s="244"/>
      <c r="J112" s="244"/>
      <c r="K112" s="244"/>
      <c r="L112" s="244"/>
      <c r="M112" s="244"/>
      <c r="N112" s="244"/>
      <c r="O112" s="244"/>
      <c r="P112" s="244"/>
      <c r="Q112" s="1283"/>
      <c r="R112" s="1283"/>
      <c r="S112" s="1284"/>
      <c r="AF112" s="1282"/>
      <c r="AG112" s="1283"/>
      <c r="AJ112" s="244"/>
      <c r="AK112" s="244"/>
    </row>
    <row r="113" spans="1:37">
      <c r="A113" s="3651"/>
      <c r="B113" s="1234" t="s">
        <v>67</v>
      </c>
      <c r="C113" s="240">
        <f>BS!C53/BS!C76</f>
        <v>3.5272537064119126E-3</v>
      </c>
      <c r="D113" s="239">
        <f>BS!D53/BS!D76</f>
        <v>7.6860354528723576E-3</v>
      </c>
      <c r="E113" s="239">
        <f>BS!E53/BS!E76</f>
        <v>1.799725129402989E-2</v>
      </c>
      <c r="F113" s="239">
        <f>BS!F53/BS!F76</f>
        <v>7.1594937739955428E-2</v>
      </c>
      <c r="G113" s="239">
        <f>BS!G53/BS!G76</f>
        <v>7.6922641512800732E-2</v>
      </c>
      <c r="H113" s="241">
        <f>BS!H53/BS!H76</f>
        <v>4.9454044957206178E-2</v>
      </c>
      <c r="I113" s="239">
        <f>BS!I53/BS!I76</f>
        <v>2.940670333003368E-2</v>
      </c>
      <c r="J113" s="239">
        <f>BS!J53/BS!J76</f>
        <v>2.5047552028441725E-2</v>
      </c>
      <c r="K113" s="239">
        <f>BS!K53/BS!K76</f>
        <v>4.3046823479780026E-2</v>
      </c>
      <c r="L113" s="239">
        <f>BS!L53/BS!L76</f>
        <v>0.12799262298422384</v>
      </c>
      <c r="M113" s="239">
        <f>BS!M53/BS!M76</f>
        <v>7.0217497058263786E-2</v>
      </c>
      <c r="N113" s="239">
        <f>BS!N53/BS!N76</f>
        <v>8.3316126462119645E-3</v>
      </c>
      <c r="O113" s="239">
        <f>BS!O53/BS!O76</f>
        <v>1.6819369662974898E-2</v>
      </c>
      <c r="P113" s="239">
        <f ca="1">BS!R53/BS!R76</f>
        <v>3.7504975242470769E-2</v>
      </c>
      <c r="Q113" s="1267">
        <f ca="1">BS!Q53/BS!Q76</f>
        <v>4.433065785164967E-2</v>
      </c>
      <c r="R113" s="1267">
        <f ca="1">BS!R53/BS!R76</f>
        <v>3.7504975242470769E-2</v>
      </c>
      <c r="S113" s="1268">
        <f ca="1">BS!S53/BS!S76</f>
        <v>3.1651148700336494E-2</v>
      </c>
      <c r="AF113" s="1267">
        <f>BS!N53/BS!N76</f>
        <v>8.3316126462119645E-3</v>
      </c>
      <c r="AG113" s="1267">
        <f>BS!O53/BS!O76</f>
        <v>1.6819369662974898E-2</v>
      </c>
      <c r="AJ113" s="239">
        <f>BS!P53/BS!P76</f>
        <v>5.2178117401880143E-2</v>
      </c>
      <c r="AK113" s="239">
        <f ca="1">BS!Q53/BS!Q76</f>
        <v>4.433065785164967E-2</v>
      </c>
    </row>
    <row r="114" spans="1:37">
      <c r="A114" s="3651"/>
      <c r="B114" s="1234" t="s">
        <v>68</v>
      </c>
      <c r="C114" s="240">
        <f>BS!C54/BS!C76</f>
        <v>4.4260792453737541E-2</v>
      </c>
      <c r="D114" s="239">
        <f>BS!D54/BS!D76</f>
        <v>2.671148401076355E-2</v>
      </c>
      <c r="E114" s="239">
        <f>BS!E54/BS!E76</f>
        <v>3.6413254603356447E-2</v>
      </c>
      <c r="F114" s="239">
        <f>BS!F54/BS!F76</f>
        <v>3.2792750497219782E-2</v>
      </c>
      <c r="G114" s="239">
        <f>BS!G54/BS!G76</f>
        <v>2.3394264803761656E-2</v>
      </c>
      <c r="H114" s="241">
        <f>BS!H54/BS!H76</f>
        <v>8.377476945380137E-3</v>
      </c>
      <c r="I114" s="239">
        <f>BS!I54/BS!I76</f>
        <v>1.316054672028171E-2</v>
      </c>
      <c r="J114" s="239">
        <f>BS!J54/BS!J76</f>
        <v>1.0229646533488823E-2</v>
      </c>
      <c r="K114" s="239">
        <f>BS!K54/BS!K76</f>
        <v>5.4712781631550663E-3</v>
      </c>
      <c r="L114" s="239">
        <f>BS!L54/BS!L76</f>
        <v>1.2404092917504602E-2</v>
      </c>
      <c r="M114" s="239">
        <f>BS!M54/BS!M76</f>
        <v>1.4030240670732292E-2</v>
      </c>
      <c r="N114" s="239">
        <f>BS!N54/BS!N76</f>
        <v>1.9622995724140085E-2</v>
      </c>
      <c r="O114" s="239">
        <f>BS!O54/BS!O76</f>
        <v>3.1386960289613221E-2</v>
      </c>
      <c r="P114" s="239">
        <f ca="1">BS!R54/BS!R76</f>
        <v>1.7367278555521566E-2</v>
      </c>
      <c r="Q114" s="1267">
        <f ca="1">P114</f>
        <v>1.7367278555521566E-2</v>
      </c>
      <c r="R114" s="1267">
        <f ca="1">Q114</f>
        <v>1.7367278555521566E-2</v>
      </c>
      <c r="S114" s="1268">
        <f ca="1">R114</f>
        <v>1.7367278555521566E-2</v>
      </c>
      <c r="Y114" s="1474"/>
      <c r="Z114" s="1474"/>
      <c r="AA114" s="1474"/>
      <c r="AB114" s="1474"/>
      <c r="AF114" s="1266">
        <f>M114</f>
        <v>1.4030240670732292E-2</v>
      </c>
      <c r="AG114" s="1267">
        <f>N114</f>
        <v>1.9622995724140085E-2</v>
      </c>
      <c r="AJ114" s="239">
        <f>BS!P54/BS!P76</f>
        <v>2.416191168138633E-2</v>
      </c>
      <c r="AK114" s="239">
        <f ca="1">BS!Q54/BS!Q76</f>
        <v>2.0528020042185718E-2</v>
      </c>
    </row>
    <row r="115" spans="1:37">
      <c r="A115" s="3651"/>
      <c r="B115" s="1234" t="s">
        <v>69</v>
      </c>
      <c r="C115" s="240">
        <f>BS!C50/BS!C76</f>
        <v>0.46260013637645259</v>
      </c>
      <c r="D115" s="239">
        <f>BS!D50/BS!D76</f>
        <v>0.57800365615775062</v>
      </c>
      <c r="E115" s="239">
        <f>BS!E50/BS!E76</f>
        <v>0.84950323557645657</v>
      </c>
      <c r="F115" s="239">
        <f>BS!F50/BS!F76</f>
        <v>0.95459106263433957</v>
      </c>
      <c r="G115" s="239">
        <f>BS!G50/BS!G76</f>
        <v>0.96656666268149527</v>
      </c>
      <c r="H115" s="241">
        <f>BS!H50/BS!H76</f>
        <v>0.36022329817442478</v>
      </c>
      <c r="I115" s="239">
        <f>BS!I50/BS!I76</f>
        <v>0.52904719491002383</v>
      </c>
      <c r="J115" s="239">
        <f>BS!J50/BS!J76</f>
        <v>0.53806405425101256</v>
      </c>
      <c r="K115" s="239">
        <f>BS!K50/BS!K76</f>
        <v>0.76608263040464175</v>
      </c>
      <c r="L115" s="239">
        <f>BS!L50/BS!L76</f>
        <v>0.99211285076729006</v>
      </c>
      <c r="M115" s="239">
        <f>BS!M50/BS!M76</f>
        <v>0.51810805643014057</v>
      </c>
      <c r="N115" s="239">
        <f>BS!N50/BS!N76</f>
        <v>0.55408856556884589</v>
      </c>
      <c r="O115" s="239">
        <f>BS!O50/BS!O76</f>
        <v>0.4848671990741828</v>
      </c>
      <c r="P115" s="239">
        <f ca="1">BS!R50/BS!R76</f>
        <v>0.39521971590078991</v>
      </c>
      <c r="Q115" s="1267">
        <f ca="1">BS!Q50/BS!Q76</f>
        <v>0.45598127274731526</v>
      </c>
      <c r="R115" s="1267">
        <f ca="1">BS!R50/BS!R76</f>
        <v>0.39521971590078991</v>
      </c>
      <c r="S115" s="1268">
        <f ca="1">BS!S50/BS!S76</f>
        <v>0.3335332956870008</v>
      </c>
      <c r="Y115" s="1474"/>
      <c r="Z115" s="1474"/>
      <c r="AA115" s="1474"/>
      <c r="AB115" s="1474"/>
      <c r="AF115" s="1267">
        <f>BS!N50/BS!N76</f>
        <v>0.55408856556884589</v>
      </c>
      <c r="AG115" s="1267">
        <f>BS!O50/BS!O76</f>
        <v>0.4848671990741828</v>
      </c>
      <c r="AJ115" s="239">
        <f>BS!P50/BS!P76</f>
        <v>0.52539341671868878</v>
      </c>
      <c r="AK115" s="239">
        <f ca="1">BS!Q50/BS!Q76</f>
        <v>0.45598127274731526</v>
      </c>
    </row>
    <row r="116" spans="1:37" s="286" customFormat="1" ht="11.25" customHeight="1">
      <c r="A116" s="3651"/>
      <c r="B116" s="1235" t="s">
        <v>994</v>
      </c>
      <c r="C116" s="1269"/>
      <c r="D116" s="1270">
        <f>AVERAGE(BS!C50:D50)/PL!D11</f>
        <v>0.16348840871328216</v>
      </c>
      <c r="E116" s="1270">
        <f>AVERAGE(BS!D50:E50)/PL!E11</f>
        <v>0.20579435984848832</v>
      </c>
      <c r="F116" s="1270">
        <f>AVERAGE(BS!E50:F50)/PL!F11</f>
        <v>0.24476131618234534</v>
      </c>
      <c r="G116" s="1270">
        <f>AVERAGE(BS!F50:G50)/PL!G11</f>
        <v>0.27977044009492474</v>
      </c>
      <c r="H116" s="1271">
        <f>AVERAGE(BS!G50:H50)/PL!H11</f>
        <v>0.20201922077628884</v>
      </c>
      <c r="I116" s="1270">
        <f>AVERAGE(BS!H50:I50)/PL!I11</f>
        <v>0.36975055418993463</v>
      </c>
      <c r="J116" s="1270">
        <f>AVERAGE(BS!I50:J50)/PL!J11</f>
        <v>0.4149538005260805</v>
      </c>
      <c r="K116" s="1270">
        <f>AVERAGE(BS!J50:K50)/PL!K11</f>
        <v>0.5432737146259492</v>
      </c>
      <c r="L116" s="1270">
        <f>AVERAGE(BS!K50:L50)/PL!L11</f>
        <v>0.67789890885003423</v>
      </c>
      <c r="M116" s="1270">
        <f>AVERAGE(BS!L50:M50)/PL!M11</f>
        <v>0.5346755033515237</v>
      </c>
      <c r="N116" s="1270">
        <f>AVERAGE(BS!M50:N50)/PL!N11</f>
        <v>0.38302639800653415</v>
      </c>
      <c r="O116" s="1270">
        <f>AVERAGE(BS!N50:O50)/PL!O11</f>
        <v>0.36122361906577066</v>
      </c>
      <c r="P116" s="1270">
        <f ca="1">AVERAGE(BS!Q50:R50)/PL!R11</f>
        <v>0.45392038488865455</v>
      </c>
      <c r="Q116" s="1270">
        <f t="shared" ref="Q116:S118" ca="1" si="15">P116</f>
        <v>0.45392038488865455</v>
      </c>
      <c r="R116" s="1270">
        <f t="shared" ca="1" si="15"/>
        <v>0.45392038488865455</v>
      </c>
      <c r="S116" s="1271">
        <f t="shared" ca="1" si="15"/>
        <v>0.45392038488865455</v>
      </c>
      <c r="T116" s="1474"/>
      <c r="U116" s="1474"/>
      <c r="V116" s="1474"/>
      <c r="W116" s="1474"/>
      <c r="X116" s="1474"/>
      <c r="Y116" s="1474"/>
      <c r="Z116" s="1474"/>
      <c r="AA116" s="1474"/>
      <c r="AB116" s="1474"/>
      <c r="AF116" s="1269">
        <f>M116</f>
        <v>0.5346755033515237</v>
      </c>
      <c r="AG116" s="1270">
        <f>N116</f>
        <v>0.38302639800653415</v>
      </c>
      <c r="AJ116" s="1270">
        <f>AVERAGE(BS!O50:P50)/PL!P11</f>
        <v>0.38012097379217286</v>
      </c>
      <c r="AK116" s="1270">
        <f ca="1">AVERAGE(BS!P50:Q50)/PL!Q11</f>
        <v>0.51847739370190882</v>
      </c>
    </row>
    <row r="117" spans="1:37">
      <c r="A117" s="289"/>
      <c r="B117" s="1234" t="s">
        <v>995</v>
      </c>
      <c r="C117" s="960"/>
      <c r="D117" s="239">
        <f>AVERAGE(BS!C50:D50)/PL!D9</f>
        <v>0.12998274815713015</v>
      </c>
      <c r="E117" s="239">
        <f>AVERAGE(BS!D50:E50)/PL!E9</f>
        <v>0.16678145773116643</v>
      </c>
      <c r="F117" s="239">
        <f>AVERAGE(BS!E50:F50)/PL!F9</f>
        <v>0.19644172259922182</v>
      </c>
      <c r="G117" s="239">
        <f>AVERAGE(BS!F50:G50)/PL!G9</f>
        <v>0.22005242699390801</v>
      </c>
      <c r="H117" s="241">
        <f>AVERAGE(BS!G50:H50)/PL!H9</f>
        <v>0.15616606683983739</v>
      </c>
      <c r="I117" s="239">
        <f>AVERAGE(BS!H50:I50)/PL!I9</f>
        <v>0.23081053144441399</v>
      </c>
      <c r="J117" s="239">
        <f>AVERAGE(BS!I50:J50)/PL!J9</f>
        <v>0.25458247271387102</v>
      </c>
      <c r="K117" s="239">
        <f>AVERAGE(BS!J50:K50)/PL!K9</f>
        <v>0.32812241037703949</v>
      </c>
      <c r="L117" s="239">
        <f>AVERAGE(BS!K50:L50)/PL!L9</f>
        <v>0.41873449122472994</v>
      </c>
      <c r="M117" s="239">
        <f>AVERAGE(BS!L50:M50)/PL!M9</f>
        <v>0.32610877172900432</v>
      </c>
      <c r="N117" s="239">
        <f>AVERAGE(BS!M50:N50)/PL!N9</f>
        <v>0.23511237554201228</v>
      </c>
      <c r="O117" s="239">
        <f>AVERAGE(BS!N50:O50)/PL!O9</f>
        <v>0.22501733505217045</v>
      </c>
      <c r="P117" s="239">
        <f ca="1">AVERAGE(BS!Q50:R50)/PL!R9</f>
        <v>0.30058346102270239</v>
      </c>
      <c r="Q117" s="1267">
        <f ca="1">P117</f>
        <v>0.30058346102270239</v>
      </c>
      <c r="R117" s="1267">
        <f t="shared" ca="1" si="15"/>
        <v>0.30058346102270239</v>
      </c>
      <c r="S117" s="1268">
        <f t="shared" ca="1" si="15"/>
        <v>0.30058346102270239</v>
      </c>
      <c r="T117" s="1474"/>
      <c r="U117" s="1474"/>
      <c r="V117" s="1474"/>
      <c r="W117" s="1474"/>
      <c r="AF117" s="1266">
        <v>0.22</v>
      </c>
      <c r="AG117" s="1267">
        <f>N117</f>
        <v>0.23511237554201228</v>
      </c>
      <c r="AJ117" s="239">
        <f>AVERAGE(BS!O50:P50)/PL!P9</f>
        <v>0.23940352900056244</v>
      </c>
      <c r="AK117" s="239">
        <f ca="1">AVERAGE(BS!P50:Q50)/PL!Q9</f>
        <v>0.33877245774948</v>
      </c>
    </row>
    <row r="118" spans="1:37">
      <c r="B118" s="1234" t="s">
        <v>996</v>
      </c>
      <c r="C118" s="960"/>
      <c r="D118" s="239">
        <f>AVERAGE(BS!C53:D53)/PL!D9</f>
        <v>1.4283523238137479E-3</v>
      </c>
      <c r="E118" s="239">
        <f>AVERAGE(BS!D53:E53)/PL!E9</f>
        <v>3.0299677426240831E-3</v>
      </c>
      <c r="F118" s="239">
        <f>AVERAGE(BS!E53:F53)/PL!F9</f>
        <v>9.9681119364118231E-3</v>
      </c>
      <c r="G118" s="239">
        <f>AVERAGE(BS!F53:G53)/PL!G9</f>
        <v>1.7037720221202205E-2</v>
      </c>
      <c r="H118" s="241">
        <f>AVERAGE(BS!G53:H53)/PL!H9</f>
        <v>1.5212724990880224E-2</v>
      </c>
      <c r="I118" s="239">
        <f>AVERAGE(BS!H53:I53)/PL!I9</f>
        <v>2.0074561369110112E-2</v>
      </c>
      <c r="J118" s="239">
        <f>AVERAGE(BS!I53:J53)/PL!J9</f>
        <v>1.2926425171758685E-2</v>
      </c>
      <c r="K118" s="239">
        <f>AVERAGE(BS!J53:K53)/PL!K9</f>
        <v>1.7223469936834997E-2</v>
      </c>
      <c r="L118" s="239">
        <f>AVERAGE(BS!K53:L53)/PL!L9</f>
        <v>4.1704062429124812E-2</v>
      </c>
      <c r="M118" s="239">
        <f>AVERAGE(BS!L53:M53)/PL!M9</f>
        <v>4.2878656349145748E-2</v>
      </c>
      <c r="N118" s="239">
        <f>AVERAGE(BS!M53:N53)/PL!N9</f>
        <v>1.6020264058829291E-2</v>
      </c>
      <c r="O118" s="239">
        <f>AVERAGE(BS!N53:O53)/PL!O9</f>
        <v>5.6420735941137452E-3</v>
      </c>
      <c r="P118" s="239">
        <f ca="1">AVERAGE(BS!Q53:R53)/PL!R9</f>
        <v>2.8869351808675309E-2</v>
      </c>
      <c r="Q118" s="1267">
        <f t="shared" ca="1" si="15"/>
        <v>2.8869351808675309E-2</v>
      </c>
      <c r="R118" s="1267">
        <f ca="1">Q118</f>
        <v>2.8869351808675309E-2</v>
      </c>
      <c r="S118" s="1268">
        <f ca="1">R118</f>
        <v>2.8869351808675309E-2</v>
      </c>
      <c r="AF118" s="1266">
        <f>AVERAGE(I118:K118)</f>
        <v>1.6741485492567931E-2</v>
      </c>
      <c r="AG118" s="1267">
        <v>0.04</v>
      </c>
      <c r="AJ118" s="239">
        <f>AVERAGE(BS!O53:P53)/PL!P9</f>
        <v>1.7127112344701843E-2</v>
      </c>
      <c r="AK118" s="239">
        <f ca="1">AVERAGE(BS!P53:Q53)/PL!Q9</f>
        <v>3.3286180265589389E-2</v>
      </c>
    </row>
    <row r="119" spans="1:37">
      <c r="B119" s="1234"/>
      <c r="C119" s="960"/>
      <c r="D119" s="272"/>
      <c r="E119" s="272"/>
      <c r="F119" s="272"/>
      <c r="G119" s="272"/>
      <c r="H119" s="1322"/>
      <c r="I119" s="272"/>
      <c r="J119" s="272"/>
      <c r="K119" s="272"/>
      <c r="L119" s="272"/>
      <c r="M119" s="272"/>
      <c r="N119" s="272"/>
      <c r="O119" s="272"/>
      <c r="P119" s="1248"/>
      <c r="Q119" s="1248"/>
      <c r="R119" s="1248"/>
      <c r="S119" s="1249"/>
      <c r="AF119" s="1247"/>
      <c r="AG119" s="1248"/>
    </row>
    <row r="120" spans="1:37">
      <c r="B120" s="1325"/>
      <c r="C120" s="961"/>
      <c r="D120" s="290"/>
      <c r="E120" s="290"/>
      <c r="F120" s="290"/>
      <c r="G120" s="290"/>
      <c r="H120" s="1323"/>
      <c r="I120" s="290"/>
      <c r="J120" s="290"/>
      <c r="K120" s="290"/>
      <c r="L120" s="290"/>
      <c r="M120" s="290"/>
      <c r="N120" s="290"/>
      <c r="O120" s="290"/>
      <c r="P120" s="1251"/>
      <c r="Q120" s="1251"/>
      <c r="R120" s="1251"/>
      <c r="S120" s="1252"/>
      <c r="AF120" s="1250"/>
      <c r="AG120" s="1251"/>
    </row>
    <row r="121" spans="1:37" hidden="1"/>
    <row r="122" spans="1:37" hidden="1">
      <c r="B122" s="785"/>
      <c r="C122" s="268"/>
      <c r="D122" s="268"/>
      <c r="E122" s="268"/>
      <c r="F122" s="268"/>
      <c r="G122" s="268"/>
      <c r="H122" s="268"/>
      <c r="I122" s="268"/>
      <c r="J122" s="268"/>
      <c r="K122" s="268"/>
      <c r="L122" s="268"/>
      <c r="M122" s="268"/>
      <c r="N122" s="268"/>
      <c r="O122" s="268"/>
      <c r="P122" s="268"/>
      <c r="Q122" s="268"/>
      <c r="R122" s="268"/>
      <c r="S122" s="268"/>
      <c r="AF122" s="268"/>
      <c r="AG122" s="268"/>
    </row>
    <row r="123" spans="1:37" hidden="1"/>
    <row r="124" spans="1:37" hidden="1">
      <c r="B124" s="805"/>
    </row>
    <row r="125" spans="1:37" hidden="1">
      <c r="B125" s="806"/>
      <c r="C125" s="268"/>
      <c r="D125" s="268"/>
      <c r="E125" s="268"/>
      <c r="F125" s="268"/>
      <c r="G125" s="268"/>
      <c r="H125" s="268"/>
      <c r="I125" s="268"/>
      <c r="J125" s="268"/>
      <c r="K125" s="268"/>
      <c r="L125" s="268"/>
      <c r="M125" s="268"/>
      <c r="N125" s="268"/>
      <c r="O125" s="268"/>
      <c r="P125" s="268"/>
      <c r="Q125" s="268"/>
      <c r="R125" s="268"/>
      <c r="S125" s="268"/>
      <c r="AF125" s="268"/>
      <c r="AG125" s="268"/>
    </row>
    <row r="126" spans="1:37" hidden="1">
      <c r="B126" s="806"/>
      <c r="C126" s="268"/>
      <c r="D126" s="268"/>
      <c r="E126" s="268"/>
      <c r="F126" s="268"/>
      <c r="G126" s="268"/>
      <c r="H126" s="268"/>
      <c r="I126" s="268"/>
      <c r="J126" s="268"/>
      <c r="K126" s="268"/>
      <c r="L126" s="268"/>
      <c r="M126" s="268"/>
      <c r="N126" s="268"/>
      <c r="O126" s="268"/>
      <c r="P126" s="32"/>
      <c r="Q126" s="32"/>
      <c r="R126" s="32"/>
      <c r="S126" s="32"/>
      <c r="AF126" s="32"/>
      <c r="AG126" s="32"/>
    </row>
    <row r="127" spans="1:37" hidden="1">
      <c r="B127" s="806"/>
      <c r="C127" s="268"/>
      <c r="D127" s="268"/>
      <c r="E127" s="268"/>
      <c r="F127" s="268"/>
      <c r="G127" s="268"/>
      <c r="H127" s="268"/>
      <c r="I127" s="268"/>
      <c r="J127" s="268"/>
      <c r="K127" s="268"/>
      <c r="L127" s="268"/>
      <c r="M127" s="268"/>
      <c r="N127" s="268"/>
      <c r="O127" s="268"/>
      <c r="P127" s="32"/>
      <c r="Q127" s="32"/>
      <c r="R127" s="32"/>
      <c r="S127" s="32"/>
      <c r="AF127" s="32"/>
      <c r="AG127" s="32"/>
    </row>
    <row r="128" spans="1:37">
      <c r="M128" s="1474"/>
      <c r="N128" s="1474"/>
      <c r="O128" s="1474"/>
      <c r="P128" s="1474"/>
      <c r="Q128" s="1474"/>
      <c r="R128" s="1474"/>
      <c r="S128" s="1474"/>
      <c r="AF128" s="1474"/>
      <c r="AG128" s="1474"/>
    </row>
    <row r="129" spans="3:33">
      <c r="M129" s="1474"/>
      <c r="N129" s="1474"/>
      <c r="O129" s="1474"/>
      <c r="P129" s="1474"/>
      <c r="Q129" s="1474"/>
      <c r="R129" s="1474"/>
      <c r="S129" s="1474"/>
      <c r="AF129" s="1474"/>
      <c r="AG129" s="1474"/>
    </row>
    <row r="130" spans="3:33">
      <c r="M130" s="1474"/>
      <c r="N130" s="1474"/>
      <c r="O130" s="1474"/>
      <c r="P130" s="1474"/>
      <c r="Q130" s="1474"/>
      <c r="R130" s="1474"/>
      <c r="S130" s="1474"/>
      <c r="W130" s="1"/>
      <c r="AF130" s="1474"/>
      <c r="AG130" s="1474"/>
    </row>
    <row r="131" spans="3:33">
      <c r="W131" s="1499"/>
    </row>
    <row r="132" spans="3:33">
      <c r="U132" s="1538"/>
      <c r="W132" s="1499"/>
    </row>
    <row r="133" spans="3:33">
      <c r="U133" s="1539"/>
      <c r="W133" s="1499"/>
    </row>
    <row r="134" spans="3:33">
      <c r="U134" s="1538"/>
      <c r="W134" s="1499"/>
    </row>
    <row r="135" spans="3:33">
      <c r="M135" s="1474"/>
      <c r="N135" s="1474"/>
      <c r="O135" s="1474"/>
      <c r="P135" s="1474"/>
      <c r="Q135" s="1474"/>
      <c r="R135" s="1474"/>
      <c r="S135" s="1474"/>
      <c r="T135" s="1474"/>
      <c r="U135" s="1539"/>
      <c r="W135" s="1499"/>
      <c r="AF135" s="1474"/>
      <c r="AG135" s="1474"/>
    </row>
    <row r="136" spans="3:33">
      <c r="M136" s="1474"/>
      <c r="N136" s="1474"/>
      <c r="O136" s="1474"/>
      <c r="P136" s="1474"/>
      <c r="Q136" s="1474"/>
      <c r="R136" s="1474"/>
      <c r="S136" s="1474"/>
      <c r="T136" s="1474"/>
      <c r="U136" s="1538"/>
      <c r="W136" s="1499"/>
      <c r="AF136" s="1474"/>
      <c r="AG136" s="1474"/>
    </row>
    <row r="137" spans="3:33">
      <c r="D137" s="268"/>
      <c r="E137" s="268"/>
      <c r="F137" s="268"/>
      <c r="G137" s="268"/>
      <c r="H137" s="268"/>
      <c r="I137" s="268"/>
      <c r="J137" s="268"/>
      <c r="K137" s="268"/>
      <c r="L137" s="268"/>
      <c r="M137" s="1720"/>
      <c r="N137" s="1720"/>
      <c r="O137" s="1720"/>
      <c r="P137" s="1721"/>
      <c r="Q137" s="1721"/>
      <c r="R137" s="1721"/>
      <c r="S137" s="1721"/>
      <c r="T137" s="1474"/>
      <c r="W137" s="1499"/>
      <c r="AF137" s="1721"/>
      <c r="AG137" s="1721"/>
    </row>
    <row r="138" spans="3:33">
      <c r="M138" s="1474"/>
      <c r="N138" s="1474"/>
      <c r="O138" s="1474"/>
      <c r="P138" s="1474"/>
      <c r="Q138" s="1474"/>
      <c r="R138" s="1474"/>
      <c r="S138" s="1474"/>
      <c r="T138" s="1474"/>
      <c r="AF138" s="1474"/>
      <c r="AG138" s="1474"/>
    </row>
    <row r="139" spans="3:33">
      <c r="C139" s="268"/>
      <c r="D139" s="268"/>
      <c r="E139" s="268"/>
      <c r="F139" s="268"/>
      <c r="G139" s="268"/>
      <c r="H139" s="268"/>
      <c r="I139" s="268"/>
      <c r="J139" s="268"/>
      <c r="K139" s="268"/>
      <c r="L139" s="268"/>
      <c r="M139" s="1720"/>
      <c r="N139" s="1720"/>
      <c r="O139" s="1720"/>
      <c r="P139" s="1721"/>
      <c r="Q139" s="1721"/>
      <c r="R139" s="1721"/>
      <c r="S139" s="1721"/>
      <c r="T139" s="1474"/>
      <c r="AF139" s="1721"/>
      <c r="AG139" s="1721"/>
    </row>
    <row r="140" spans="3:33">
      <c r="M140" s="1474"/>
      <c r="N140" s="1474"/>
      <c r="O140" s="1474"/>
      <c r="P140" s="1474"/>
      <c r="Q140" s="1474"/>
      <c r="R140" s="1474"/>
      <c r="S140" s="1474"/>
      <c r="T140" s="1474"/>
      <c r="AF140" s="1474"/>
      <c r="AG140" s="1474"/>
    </row>
    <row r="141" spans="3:33">
      <c r="M141" s="1474"/>
      <c r="N141" s="1474"/>
      <c r="O141" s="1474"/>
      <c r="P141" s="1474"/>
      <c r="Q141" s="1474"/>
      <c r="R141" s="1474"/>
      <c r="S141" s="1474"/>
      <c r="T141" s="1474"/>
      <c r="AF141" s="1474"/>
      <c r="AG141" s="1474"/>
    </row>
    <row r="142" spans="3:33">
      <c r="D142" s="268"/>
      <c r="E142" s="268"/>
      <c r="F142" s="268"/>
      <c r="G142" s="268"/>
      <c r="H142" s="268"/>
      <c r="I142" s="268"/>
      <c r="J142" s="268"/>
      <c r="K142" s="268"/>
      <c r="L142" s="268"/>
      <c r="M142" s="1720"/>
      <c r="N142" s="1720"/>
      <c r="O142" s="1720"/>
      <c r="P142" s="1474"/>
      <c r="Q142" s="1474"/>
      <c r="R142" s="1474"/>
      <c r="S142" s="1474"/>
      <c r="T142" s="1474"/>
      <c r="AF142" s="1474"/>
      <c r="AG142" s="1474"/>
    </row>
    <row r="143" spans="3:33">
      <c r="I143" s="268"/>
      <c r="J143" s="268"/>
      <c r="K143" s="268"/>
      <c r="L143" s="268"/>
      <c r="M143" s="1720"/>
      <c r="N143" s="1720"/>
      <c r="O143" s="1720"/>
      <c r="P143" s="1474"/>
      <c r="Q143" s="1474"/>
      <c r="R143" s="1474"/>
      <c r="S143" s="1474"/>
      <c r="T143" s="1474"/>
      <c r="AF143" s="1474"/>
      <c r="AG143" s="1474"/>
    </row>
    <row r="144" spans="3:33">
      <c r="D144" s="36"/>
      <c r="E144" s="36"/>
      <c r="F144" s="36"/>
      <c r="G144" s="36"/>
      <c r="H144" s="36"/>
      <c r="I144" s="36"/>
      <c r="J144" s="36"/>
      <c r="K144" s="36"/>
      <c r="L144" s="36"/>
      <c r="M144" s="1722"/>
      <c r="N144" s="1722"/>
      <c r="O144" s="1722"/>
      <c r="P144" s="1722"/>
      <c r="Q144" s="1722"/>
      <c r="R144" s="1722"/>
      <c r="S144" s="1722"/>
      <c r="T144" s="1474"/>
      <c r="AF144" s="1722"/>
      <c r="AG144" s="1722"/>
    </row>
    <row r="145" spans="4:33">
      <c r="M145" s="1474"/>
      <c r="N145" s="1474"/>
      <c r="O145" s="1474"/>
      <c r="P145" s="1474"/>
      <c r="Q145" s="1474"/>
      <c r="R145" s="1474"/>
      <c r="S145" s="1474"/>
      <c r="T145" s="1474"/>
      <c r="AF145" s="1474"/>
      <c r="AG145" s="1474"/>
    </row>
    <row r="146" spans="4:33">
      <c r="D146" s="268"/>
      <c r="E146" s="268"/>
      <c r="F146" s="268"/>
      <c r="G146" s="268"/>
      <c r="H146" s="268"/>
      <c r="I146" s="268"/>
      <c r="J146" s="268"/>
      <c r="K146" s="268"/>
      <c r="L146" s="268"/>
      <c r="M146" s="1720"/>
      <c r="N146" s="1720"/>
      <c r="O146" s="1720"/>
      <c r="P146" s="1721"/>
      <c r="Q146" s="1721"/>
      <c r="R146" s="1721"/>
      <c r="S146" s="1721"/>
      <c r="T146" s="1474"/>
      <c r="AF146" s="1721"/>
      <c r="AG146" s="1721"/>
    </row>
    <row r="147" spans="4:33">
      <c r="M147" s="1474"/>
      <c r="N147" s="1474"/>
      <c r="O147" s="1474"/>
      <c r="P147" s="1474"/>
      <c r="Q147" s="1474"/>
      <c r="R147" s="1474"/>
      <c r="S147" s="1474"/>
      <c r="T147" s="1474"/>
      <c r="AF147" s="1474"/>
      <c r="AG147" s="1474"/>
    </row>
    <row r="148" spans="4:33">
      <c r="M148" s="1474"/>
      <c r="N148" s="1474"/>
      <c r="O148" s="1474"/>
      <c r="P148" s="1474"/>
      <c r="Q148" s="1474"/>
      <c r="R148" s="1474"/>
      <c r="S148" s="1474"/>
      <c r="T148" s="1474"/>
      <c r="AF148" s="1474"/>
      <c r="AG148" s="1474"/>
    </row>
    <row r="149" spans="4:33">
      <c r="M149" s="1474"/>
      <c r="N149" s="1474"/>
      <c r="O149" s="1474"/>
      <c r="P149" s="1474"/>
      <c r="Q149" s="1474"/>
      <c r="R149" s="1474"/>
      <c r="S149" s="1474"/>
      <c r="T149" s="1474"/>
      <c r="AF149" s="1474"/>
      <c r="AG149" s="1474"/>
    </row>
    <row r="150" spans="4:33">
      <c r="M150" s="1474"/>
      <c r="N150" s="1474"/>
      <c r="O150" s="1474"/>
      <c r="P150" s="1474"/>
      <c r="Q150" s="1474"/>
      <c r="R150" s="1474"/>
      <c r="S150" s="1474"/>
      <c r="T150" s="1474"/>
      <c r="AF150" s="1474"/>
      <c r="AG150" s="1474"/>
    </row>
    <row r="151" spans="4:33">
      <c r="M151" s="1474"/>
      <c r="N151" s="1474"/>
      <c r="O151" s="1474"/>
      <c r="P151" s="1474"/>
      <c r="Q151" s="1474"/>
      <c r="R151" s="1474"/>
      <c r="S151" s="1474"/>
      <c r="T151" s="1474"/>
      <c r="AF151" s="1474"/>
      <c r="AG151" s="1474"/>
    </row>
    <row r="152" spans="4:33">
      <c r="M152" s="1474"/>
      <c r="N152" s="1474"/>
      <c r="O152" s="1474"/>
      <c r="P152" s="1474"/>
      <c r="Q152" s="1474"/>
      <c r="R152" s="1474"/>
      <c r="S152" s="1474"/>
      <c r="T152" s="1474"/>
      <c r="AF152" s="1474"/>
      <c r="AG152" s="1474"/>
    </row>
    <row r="153" spans="4:33">
      <c r="M153" s="1474"/>
      <c r="N153" s="1474"/>
      <c r="O153" s="1474"/>
      <c r="P153" s="1474"/>
      <c r="Q153" s="1474"/>
      <c r="R153" s="1474"/>
      <c r="S153" s="1474"/>
      <c r="T153" s="1474"/>
      <c r="AF153" s="1474"/>
      <c r="AG153" s="1474"/>
    </row>
    <row r="154" spans="4:33">
      <c r="M154" s="1474"/>
      <c r="N154" s="1474"/>
      <c r="O154" s="1474"/>
      <c r="P154" s="1474"/>
      <c r="Q154" s="1474"/>
      <c r="R154" s="1474"/>
      <c r="S154" s="1474"/>
      <c r="T154" s="1474"/>
      <c r="AF154" s="1474"/>
      <c r="AG154" s="1474"/>
    </row>
    <row r="155" spans="4:33">
      <c r="M155" s="1474"/>
      <c r="N155" s="1474"/>
      <c r="O155" s="1474"/>
      <c r="P155" s="1474"/>
      <c r="Q155" s="1474"/>
      <c r="R155" s="1474"/>
      <c r="S155" s="1474"/>
      <c r="T155" s="1474"/>
      <c r="AF155" s="1474"/>
      <c r="AG155" s="1474"/>
    </row>
    <row r="156" spans="4:33">
      <c r="M156" s="1474"/>
      <c r="N156" s="1474"/>
      <c r="O156" s="1474"/>
      <c r="P156" s="1474"/>
      <c r="Q156" s="1474"/>
      <c r="R156" s="1474"/>
      <c r="S156" s="1474"/>
      <c r="T156" s="1474"/>
      <c r="AF156" s="1474"/>
      <c r="AG156" s="1474"/>
    </row>
    <row r="157" spans="4:33">
      <c r="M157" s="1474"/>
      <c r="N157" s="1474"/>
      <c r="O157" s="1474"/>
      <c r="P157" s="1474"/>
      <c r="Q157" s="1474"/>
      <c r="R157" s="1474"/>
      <c r="S157" s="1474"/>
      <c r="T157" s="1474"/>
      <c r="AF157" s="1474"/>
      <c r="AG157" s="1474"/>
    </row>
  </sheetData>
  <mergeCells count="1">
    <mergeCell ref="A113:A116"/>
  </mergeCells>
  <phoneticPr fontId="24" type="noConversion"/>
  <hyperlinks>
    <hyperlink ref="Z18" r:id="rId1" xr:uid="{C5954FD4-CBD0-471A-A667-05660F33C28D}"/>
    <hyperlink ref="Z29" r:id="rId2" xr:uid="{30F3AE69-BC26-4B7C-89F5-E6AAC4C6CE80}"/>
  </hyperlinks>
  <pageMargins left="0.56000000000000005" right="0.45" top="0.98402777777777795" bottom="0.98402777777777795" header="0.51180555555555596" footer="0.51180555555555596"/>
  <pageSetup firstPageNumber="0" orientation="landscape" horizontalDpi="300" verticalDpi="300" r:id="rId3"/>
  <headerFooter alignWithMargins="0"/>
  <legacy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0A5E2-EA0C-4DFD-BFC7-7CF673576DCC}">
  <sheetPr>
    <tabColor rgb="FF5B9BD5"/>
  </sheetPr>
  <dimension ref="A1:CM514"/>
  <sheetViews>
    <sheetView showGridLines="0" workbookViewId="0">
      <pane xSplit="2" topLeftCell="C1" activePane="topRight" state="frozen"/>
      <selection pane="topRight"/>
    </sheetView>
  </sheetViews>
  <sheetFormatPr defaultRowHeight="12.75"/>
  <sheetData>
    <row r="1" spans="1:68" ht="15.75">
      <c r="AG1" s="2483"/>
      <c r="AH1" s="360"/>
      <c r="AI1" s="360"/>
      <c r="AJ1" s="360"/>
      <c r="AK1" s="360"/>
      <c r="AL1" s="360"/>
      <c r="AM1" s="360"/>
      <c r="AN1" s="360"/>
      <c r="AO1" s="360"/>
      <c r="AP1" s="360"/>
      <c r="AQ1" s="360"/>
      <c r="AR1" s="360"/>
    </row>
    <row r="2" spans="1:68" ht="15.75">
      <c r="AG2" s="2483"/>
      <c r="AH2" s="360"/>
      <c r="AI2" s="360"/>
      <c r="AJ2" s="360"/>
      <c r="AK2" s="360"/>
      <c r="AL2" s="360"/>
      <c r="AM2" s="360"/>
      <c r="AN2" s="360"/>
      <c r="AO2" s="360"/>
      <c r="AP2" s="360"/>
      <c r="AQ2" s="360"/>
      <c r="AR2" s="360"/>
    </row>
    <row r="3" spans="1:68" ht="15.75">
      <c r="AG3" s="2483"/>
      <c r="AH3" s="360"/>
      <c r="AI3" s="360"/>
      <c r="AJ3" s="360"/>
      <c r="AK3" s="360"/>
      <c r="AL3" s="360"/>
      <c r="AM3" s="360"/>
      <c r="AN3" s="360"/>
      <c r="AO3" s="360"/>
      <c r="AP3" s="360"/>
      <c r="AQ3" s="360"/>
      <c r="AR3" s="360"/>
    </row>
    <row r="4" spans="1:68" ht="15.75">
      <c r="AG4" s="2483"/>
      <c r="AH4" s="360"/>
      <c r="AI4" s="360"/>
      <c r="AJ4" s="360"/>
      <c r="AK4" s="360"/>
      <c r="AL4" s="360"/>
      <c r="AM4" s="360"/>
      <c r="AN4" s="360"/>
      <c r="AO4" s="360"/>
      <c r="AP4" s="360"/>
      <c r="AQ4" s="360"/>
      <c r="AR4" s="360"/>
    </row>
    <row r="5" spans="1:68" ht="30">
      <c r="A5" s="1062" t="s">
        <v>322</v>
      </c>
      <c r="B5" s="358" t="s">
        <v>842</v>
      </c>
      <c r="AG5" s="2482"/>
    </row>
    <row r="6" spans="1:68" ht="30">
      <c r="A6" s="1062" t="s">
        <v>323</v>
      </c>
      <c r="B6" s="358" t="s">
        <v>840</v>
      </c>
      <c r="L6" s="329"/>
      <c r="AG6" s="2482"/>
    </row>
    <row r="7" spans="1:68" ht="15.75">
      <c r="C7" s="1063"/>
      <c r="L7" s="329"/>
      <c r="AG7" s="2214"/>
    </row>
    <row r="8" spans="1:68" ht="15">
      <c r="A8" s="1062" t="s">
        <v>324</v>
      </c>
      <c r="B8" s="358" t="s">
        <v>841</v>
      </c>
      <c r="D8" s="1062" t="s">
        <v>325</v>
      </c>
      <c r="E8" s="358" t="s">
        <v>326</v>
      </c>
      <c r="F8" s="358" t="s">
        <v>704</v>
      </c>
      <c r="AG8" s="2482"/>
    </row>
    <row r="9" spans="1:68" ht="15">
      <c r="A9" s="1062" t="s">
        <v>328</v>
      </c>
      <c r="B9" s="358" t="s">
        <v>329</v>
      </c>
      <c r="D9" s="1062" t="s">
        <v>330</v>
      </c>
      <c r="E9" s="358" t="s">
        <v>331</v>
      </c>
      <c r="F9" s="358" t="s">
        <v>332</v>
      </c>
      <c r="AG9" s="2482"/>
    </row>
    <row r="10" spans="1:68">
      <c r="V10" s="1116"/>
      <c r="W10" s="1116"/>
      <c r="X10" s="1116"/>
      <c r="Y10" s="1116"/>
      <c r="Z10" s="1116"/>
      <c r="AA10" s="1116"/>
      <c r="AB10" s="1116"/>
      <c r="AC10" s="1116"/>
      <c r="AD10" s="1116"/>
      <c r="AE10" s="1116"/>
      <c r="AF10" s="1447"/>
      <c r="AG10" s="1116"/>
    </row>
    <row r="11" spans="1:68" ht="45">
      <c r="A11" s="2197"/>
      <c r="B11" s="2198" t="s">
        <v>697</v>
      </c>
      <c r="C11" s="2198" t="s">
        <v>500</v>
      </c>
      <c r="D11" s="2198" t="s">
        <v>333</v>
      </c>
      <c r="E11" s="2198" t="s">
        <v>334</v>
      </c>
      <c r="F11" s="2198" t="s">
        <v>335</v>
      </c>
      <c r="G11" s="2198" t="s">
        <v>336</v>
      </c>
      <c r="H11" s="2198" t="s">
        <v>337</v>
      </c>
      <c r="I11" s="2198" t="s">
        <v>160</v>
      </c>
      <c r="J11" s="2198" t="s">
        <v>338</v>
      </c>
      <c r="K11" s="2198" t="s">
        <v>339</v>
      </c>
      <c r="L11" s="2198" t="s">
        <v>340</v>
      </c>
      <c r="M11" s="2198" t="s">
        <v>341</v>
      </c>
      <c r="N11" s="2198" t="s">
        <v>342</v>
      </c>
      <c r="O11" s="2198" t="s">
        <v>343</v>
      </c>
      <c r="P11" s="2198" t="s">
        <v>344</v>
      </c>
      <c r="Q11" s="2198" t="s">
        <v>345</v>
      </c>
      <c r="R11" s="2198" t="s">
        <v>346</v>
      </c>
      <c r="S11" s="2198" t="s">
        <v>347</v>
      </c>
      <c r="T11" s="2198" t="s">
        <v>348</v>
      </c>
      <c r="U11" s="2198" t="s">
        <v>327</v>
      </c>
      <c r="V11" s="2198" t="s">
        <v>704</v>
      </c>
      <c r="W11" s="2325" t="s">
        <v>1628</v>
      </c>
      <c r="X11" s="3425">
        <v>2024</v>
      </c>
      <c r="Y11" s="2325" t="s">
        <v>2079</v>
      </c>
      <c r="Z11" s="2325"/>
      <c r="AA11" s="2198"/>
      <c r="AB11" s="3066" t="s">
        <v>1015</v>
      </c>
      <c r="AC11" s="3067" t="s">
        <v>1036</v>
      </c>
      <c r="AD11" s="3067" t="s">
        <v>1242</v>
      </c>
      <c r="AE11" s="3067" t="s">
        <v>1354</v>
      </c>
      <c r="AF11" s="3067" t="s">
        <v>1498</v>
      </c>
      <c r="AG11" s="3068" t="s">
        <v>1704</v>
      </c>
      <c r="AH11" s="3068" t="s">
        <v>1789</v>
      </c>
      <c r="AI11" s="3068" t="s">
        <v>1792</v>
      </c>
      <c r="AJ11" s="3069" t="s">
        <v>1793</v>
      </c>
      <c r="AK11" s="3557" t="s">
        <v>2004</v>
      </c>
      <c r="AL11" s="3557" t="s">
        <v>2075</v>
      </c>
      <c r="AM11" s="3557" t="s">
        <v>2076</v>
      </c>
      <c r="AN11" s="3557" t="s">
        <v>2088</v>
      </c>
      <c r="AO11" s="2355"/>
      <c r="AP11" s="2355"/>
      <c r="AS11" s="2303" t="s">
        <v>1356</v>
      </c>
      <c r="AT11" s="2303" t="s">
        <v>642</v>
      </c>
      <c r="AU11" s="2303" t="s">
        <v>643</v>
      </c>
      <c r="AV11" s="2303" t="s">
        <v>644</v>
      </c>
      <c r="AW11" s="2303" t="s">
        <v>645</v>
      </c>
      <c r="AX11" s="2303" t="s">
        <v>646</v>
      </c>
      <c r="AY11" s="2303" t="s">
        <v>647</v>
      </c>
      <c r="AZ11" s="2303" t="s">
        <v>648</v>
      </c>
      <c r="BA11" s="2303" t="s">
        <v>649</v>
      </c>
      <c r="BB11" s="2303" t="s">
        <v>650</v>
      </c>
      <c r="BC11" s="2303" t="s">
        <v>651</v>
      </c>
      <c r="BD11" s="2303" t="s">
        <v>652</v>
      </c>
      <c r="BE11" s="2303" t="s">
        <v>257</v>
      </c>
      <c r="BF11" s="2303" t="s">
        <v>653</v>
      </c>
      <c r="BG11" s="2303" t="s">
        <v>654</v>
      </c>
      <c r="BH11" s="2303" t="s">
        <v>655</v>
      </c>
      <c r="BI11" s="2303" t="s">
        <v>256</v>
      </c>
      <c r="BJ11" s="2303" t="s">
        <v>656</v>
      </c>
      <c r="BK11" s="2303" t="s">
        <v>290</v>
      </c>
      <c r="BL11" s="2303" t="s">
        <v>791</v>
      </c>
      <c r="BM11" s="2303" t="s">
        <v>792</v>
      </c>
      <c r="BN11" s="2303" t="s">
        <v>815</v>
      </c>
      <c r="BO11" s="2303" t="s">
        <v>1031</v>
      </c>
      <c r="BP11" s="2303" t="s">
        <v>1241</v>
      </c>
    </row>
    <row r="12" spans="1:68" ht="15">
      <c r="A12" s="2602" t="s">
        <v>349</v>
      </c>
      <c r="B12" s="2602" t="s">
        <v>350</v>
      </c>
      <c r="C12" s="2602" t="s">
        <v>350</v>
      </c>
      <c r="D12" s="2602" t="s">
        <v>350</v>
      </c>
      <c r="E12" s="2602" t="s">
        <v>350</v>
      </c>
      <c r="F12" s="2602" t="s">
        <v>350</v>
      </c>
      <c r="G12" s="2602" t="s">
        <v>350</v>
      </c>
      <c r="H12" s="2602" t="s">
        <v>350</v>
      </c>
      <c r="I12" s="2602" t="s">
        <v>350</v>
      </c>
      <c r="J12" s="2602" t="s">
        <v>350</v>
      </c>
      <c r="K12" s="2602" t="s">
        <v>350</v>
      </c>
      <c r="L12" s="2602" t="s">
        <v>350</v>
      </c>
      <c r="M12" s="2602" t="s">
        <v>350</v>
      </c>
      <c r="N12" s="2602" t="s">
        <v>350</v>
      </c>
      <c r="O12" s="2602" t="s">
        <v>350</v>
      </c>
      <c r="P12" s="2602" t="s">
        <v>350</v>
      </c>
      <c r="Q12" s="2602" t="s">
        <v>350</v>
      </c>
      <c r="R12" s="2602" t="s">
        <v>350</v>
      </c>
      <c r="S12" s="2602" t="s">
        <v>350</v>
      </c>
      <c r="T12" s="2602" t="s">
        <v>350</v>
      </c>
      <c r="U12" s="2602" t="s">
        <v>350</v>
      </c>
      <c r="V12" s="2602" t="s">
        <v>350</v>
      </c>
      <c r="W12" s="2602" t="s">
        <v>350</v>
      </c>
      <c r="X12" s="2602" t="s">
        <v>350</v>
      </c>
      <c r="Y12" s="1447" t="s">
        <v>1194</v>
      </c>
      <c r="Z12" s="1447"/>
      <c r="AA12" s="2602"/>
      <c r="AB12" s="3070" t="s">
        <v>1194</v>
      </c>
      <c r="AC12" s="2205" t="s">
        <v>350</v>
      </c>
      <c r="AD12" s="2223"/>
      <c r="AE12" s="1447" t="s">
        <v>1194</v>
      </c>
      <c r="AF12" s="1447" t="s">
        <v>1194</v>
      </c>
      <c r="AG12" s="3058" t="s">
        <v>1194</v>
      </c>
      <c r="AH12" s="1447" t="s">
        <v>657</v>
      </c>
      <c r="AI12" s="3561" t="s">
        <v>1358</v>
      </c>
      <c r="AJ12" s="3562" t="s">
        <v>1194</v>
      </c>
      <c r="AK12" s="3563" t="s">
        <v>1194</v>
      </c>
      <c r="AL12" s="3563" t="s">
        <v>1194</v>
      </c>
      <c r="AM12" s="3563" t="s">
        <v>1358</v>
      </c>
      <c r="AN12" s="3563" t="s">
        <v>1194</v>
      </c>
      <c r="AO12" s="3563"/>
      <c r="AP12" s="3564"/>
      <c r="AS12" s="2302" t="s">
        <v>1357</v>
      </c>
      <c r="AT12" s="2302" t="s">
        <v>1194</v>
      </c>
      <c r="AU12" s="2302" t="s">
        <v>1358</v>
      </c>
      <c r="AV12" s="2302" t="s">
        <v>1194</v>
      </c>
      <c r="AW12" s="2302" t="s">
        <v>1194</v>
      </c>
      <c r="AX12" s="2302" t="s">
        <v>1194</v>
      </c>
      <c r="AY12" s="2302" t="s">
        <v>1358</v>
      </c>
      <c r="AZ12" s="2302" t="s">
        <v>1194</v>
      </c>
      <c r="BA12" s="2302" t="s">
        <v>1194</v>
      </c>
      <c r="BB12" s="2302" t="s">
        <v>1194</v>
      </c>
      <c r="BC12" s="2302" t="s">
        <v>1358</v>
      </c>
      <c r="BD12" s="2302" t="s">
        <v>1194</v>
      </c>
      <c r="BE12" s="2302" t="s">
        <v>1194</v>
      </c>
      <c r="BF12" s="2302" t="s">
        <v>1194</v>
      </c>
      <c r="BG12" s="2302" t="s">
        <v>1358</v>
      </c>
      <c r="BH12" s="2302" t="s">
        <v>1194</v>
      </c>
      <c r="BI12" s="2302" t="s">
        <v>1194</v>
      </c>
      <c r="BJ12" s="2302" t="s">
        <v>1194</v>
      </c>
      <c r="BK12" s="2302" t="s">
        <v>1358</v>
      </c>
      <c r="BL12" s="2302" t="s">
        <v>1194</v>
      </c>
      <c r="BM12" s="2302" t="s">
        <v>1194</v>
      </c>
      <c r="BN12" s="2302" t="s">
        <v>1194</v>
      </c>
      <c r="BO12" s="2302" t="s">
        <v>1358</v>
      </c>
      <c r="BP12" s="2302" t="s">
        <v>1194</v>
      </c>
    </row>
    <row r="13" spans="1:68" ht="15">
      <c r="A13" s="2602" t="s">
        <v>351</v>
      </c>
      <c r="B13" s="2602"/>
      <c r="C13" s="2602"/>
      <c r="D13" s="2602"/>
      <c r="E13" s="2602"/>
      <c r="F13" s="2602"/>
      <c r="G13" s="2602"/>
      <c r="H13" s="2602" t="s">
        <v>698</v>
      </c>
      <c r="I13" s="2602" t="s">
        <v>352</v>
      </c>
      <c r="J13" s="2602"/>
      <c r="K13" s="2602" t="s">
        <v>352</v>
      </c>
      <c r="L13" s="2602" t="s">
        <v>352</v>
      </c>
      <c r="M13" s="2602" t="s">
        <v>352</v>
      </c>
      <c r="N13" s="2602" t="s">
        <v>352</v>
      </c>
      <c r="O13" s="2602" t="s">
        <v>352</v>
      </c>
      <c r="P13" s="2602" t="s">
        <v>352</v>
      </c>
      <c r="Q13" s="2602" t="s">
        <v>352</v>
      </c>
      <c r="R13" s="2602" t="s">
        <v>352</v>
      </c>
      <c r="S13" s="2602" t="s">
        <v>352</v>
      </c>
      <c r="T13" s="2602" t="s">
        <v>352</v>
      </c>
      <c r="U13" s="2602" t="s">
        <v>658</v>
      </c>
      <c r="V13" s="2602" t="s">
        <v>658</v>
      </c>
      <c r="W13" s="2602" t="s">
        <v>658</v>
      </c>
      <c r="X13" s="2602" t="s">
        <v>658</v>
      </c>
      <c r="Y13" s="1447"/>
      <c r="Z13" s="1447"/>
      <c r="AA13" s="2602"/>
      <c r="AB13" s="3070"/>
      <c r="AC13" s="2205" t="s">
        <v>658</v>
      </c>
      <c r="AD13" s="2205"/>
      <c r="AE13" s="1447"/>
      <c r="AF13" s="1447"/>
      <c r="AG13" s="3058"/>
      <c r="AH13" s="1447"/>
      <c r="AI13" s="3565"/>
      <c r="AJ13" s="3558"/>
      <c r="AP13" s="1985"/>
      <c r="AS13" s="2302" t="s">
        <v>1359</v>
      </c>
      <c r="AT13" s="2302"/>
      <c r="AU13" s="2302"/>
      <c r="AV13" s="2302"/>
      <c r="AW13" s="2302"/>
      <c r="AX13" s="2302"/>
      <c r="AY13" s="2302" t="s">
        <v>1360</v>
      </c>
      <c r="AZ13" s="2302"/>
      <c r="BA13" s="2302"/>
      <c r="BB13" s="2302"/>
      <c r="BC13" s="2302" t="s">
        <v>1360</v>
      </c>
      <c r="BD13" s="2302"/>
      <c r="BE13" s="2302"/>
      <c r="BF13" s="2302"/>
      <c r="BG13" s="2302"/>
      <c r="BH13" s="2302"/>
      <c r="BI13" s="2302"/>
      <c r="BJ13" s="2302"/>
      <c r="BK13" s="2302" t="s">
        <v>1361</v>
      </c>
      <c r="BL13" s="2302"/>
      <c r="BM13" s="2302"/>
      <c r="BN13" s="2302"/>
      <c r="BO13" s="2302" t="s">
        <v>1361</v>
      </c>
      <c r="BP13" s="2302"/>
    </row>
    <row r="14" spans="1:68" ht="15">
      <c r="A14" s="2602" t="s">
        <v>353</v>
      </c>
      <c r="B14" s="2602"/>
      <c r="C14" s="2602"/>
      <c r="D14" s="2602"/>
      <c r="E14" s="2602"/>
      <c r="F14" s="2602"/>
      <c r="G14" s="2602"/>
      <c r="H14" s="2602" t="s">
        <v>354</v>
      </c>
      <c r="I14" s="2602" t="s">
        <v>354</v>
      </c>
      <c r="J14" s="2602"/>
      <c r="K14" s="2602" t="s">
        <v>354</v>
      </c>
      <c r="L14" s="2602" t="s">
        <v>623</v>
      </c>
      <c r="M14" s="2602" t="s">
        <v>623</v>
      </c>
      <c r="N14" s="2602" t="s">
        <v>354</v>
      </c>
      <c r="O14" s="2602" t="s">
        <v>354</v>
      </c>
      <c r="P14" s="2602" t="s">
        <v>354</v>
      </c>
      <c r="Q14" s="2602" t="s">
        <v>354</v>
      </c>
      <c r="R14" s="2602" t="s">
        <v>844</v>
      </c>
      <c r="S14" s="2602" t="s">
        <v>354</v>
      </c>
      <c r="T14" s="2602" t="s">
        <v>354</v>
      </c>
      <c r="U14" s="2602" t="s">
        <v>354</v>
      </c>
      <c r="V14" s="2602" t="s">
        <v>354</v>
      </c>
      <c r="W14" s="2602" t="s">
        <v>354</v>
      </c>
      <c r="X14" s="2602" t="s">
        <v>354</v>
      </c>
      <c r="Y14" s="1447"/>
      <c r="Z14" s="1447"/>
      <c r="AA14" s="2602"/>
      <c r="AB14" s="3070"/>
      <c r="AC14" s="2205" t="s">
        <v>354</v>
      </c>
      <c r="AD14" s="2205"/>
      <c r="AE14" s="1447"/>
      <c r="AF14" s="1447"/>
      <c r="AG14" s="3058"/>
      <c r="AH14" s="1447"/>
      <c r="AI14" s="3565"/>
      <c r="AJ14" s="3558"/>
      <c r="AP14" s="1985"/>
      <c r="AS14" s="2302" t="s">
        <v>1362</v>
      </c>
      <c r="AT14" s="2302"/>
      <c r="AU14" s="2302"/>
      <c r="AV14" s="2302"/>
      <c r="AW14" s="2302"/>
      <c r="AX14" s="2302"/>
      <c r="AY14" s="2302" t="s">
        <v>1363</v>
      </c>
      <c r="AZ14" s="2302"/>
      <c r="BA14" s="2302"/>
      <c r="BB14" s="2302"/>
      <c r="BC14" s="2302" t="s">
        <v>1363</v>
      </c>
      <c r="BD14" s="2302"/>
      <c r="BE14" s="2302"/>
      <c r="BF14" s="2302"/>
      <c r="BG14" s="2302"/>
      <c r="BH14" s="2302"/>
      <c r="BI14" s="2302"/>
      <c r="BJ14" s="2302"/>
      <c r="BK14" s="2302" t="s">
        <v>1363</v>
      </c>
      <c r="BL14" s="2302"/>
      <c r="BM14" s="2302"/>
      <c r="BN14" s="2302"/>
      <c r="BO14" s="2302" t="s">
        <v>1363</v>
      </c>
      <c r="BP14" s="2302"/>
    </row>
    <row r="15" spans="1:68" ht="15.75">
      <c r="A15" s="2602" t="s">
        <v>501</v>
      </c>
      <c r="B15" s="2603">
        <v>509.89100000000002</v>
      </c>
      <c r="C15" s="2603">
        <v>917.13900000000001</v>
      </c>
      <c r="D15" s="2603">
        <v>1495.172</v>
      </c>
      <c r="E15" s="2603">
        <v>2020.706678004</v>
      </c>
      <c r="F15" s="2603">
        <v>3074.3803187439999</v>
      </c>
      <c r="G15" s="2603">
        <v>4342.6218649080001</v>
      </c>
      <c r="H15" s="2603">
        <v>4658.2633024119996</v>
      </c>
      <c r="I15" s="2603">
        <v>7678.5052056439999</v>
      </c>
      <c r="J15" s="2603">
        <v>8839.0223625399994</v>
      </c>
      <c r="K15" s="2603">
        <v>11372.728248044999</v>
      </c>
      <c r="L15" s="2603">
        <v>10229.470211202</v>
      </c>
      <c r="M15" s="2603">
        <v>12908.243472406</v>
      </c>
      <c r="N15" s="2603">
        <v>16709.157051316</v>
      </c>
      <c r="O15" s="2603">
        <v>18959.009136105</v>
      </c>
      <c r="P15" s="2603">
        <v>21908.662957422999</v>
      </c>
      <c r="Q15" s="2603">
        <v>16059.937820645</v>
      </c>
      <c r="R15" s="2603">
        <v>18406.087226041</v>
      </c>
      <c r="S15" s="2603">
        <v>18979.176128930001</v>
      </c>
      <c r="T15" s="2603">
        <v>25265.933056475998</v>
      </c>
      <c r="U15" s="2603">
        <v>35118.372900846</v>
      </c>
      <c r="V15" s="2603">
        <v>30937.711076141</v>
      </c>
      <c r="W15" s="2604">
        <v>36705.751751876</v>
      </c>
      <c r="X15" s="2605">
        <v>45535.94</v>
      </c>
      <c r="Y15" s="2225">
        <v>58102.970741618999</v>
      </c>
      <c r="Z15" s="2215"/>
      <c r="AA15" s="2603"/>
      <c r="AB15" s="3071">
        <v>29524.492711605999</v>
      </c>
      <c r="AC15" s="3059">
        <v>38758.427341944</v>
      </c>
      <c r="AD15" s="2215">
        <v>39531.943273981</v>
      </c>
      <c r="AE15" s="2215">
        <v>36709.543350385</v>
      </c>
      <c r="AF15" s="2215">
        <v>37679.149034488997</v>
      </c>
      <c r="AG15" s="3060">
        <v>40823.156206093001</v>
      </c>
      <c r="AH15" s="2215">
        <v>42605.105704316004</v>
      </c>
      <c r="AI15" s="3566">
        <v>45535.94</v>
      </c>
      <c r="AJ15" s="3559">
        <v>46075.510989597002</v>
      </c>
      <c r="AK15" s="3079">
        <v>52711.179992741003</v>
      </c>
      <c r="AL15" s="3079">
        <v>53632.976863548</v>
      </c>
      <c r="AM15" s="3079">
        <v>58137.438254907996</v>
      </c>
      <c r="AN15" s="3079">
        <v>41527.87306012</v>
      </c>
      <c r="AO15" s="3079"/>
      <c r="AP15" s="3567"/>
      <c r="AQ15" s="1068"/>
      <c r="AR15" s="1068"/>
      <c r="AS15" s="2304" t="s">
        <v>1364</v>
      </c>
      <c r="AT15" s="2304">
        <v>15891.378282225</v>
      </c>
      <c r="AU15" s="2304">
        <v>16757.931160406999</v>
      </c>
      <c r="AV15" s="2304">
        <v>17461.655201328002</v>
      </c>
      <c r="AW15" s="2304">
        <v>18373.436282760002</v>
      </c>
      <c r="AX15" s="2304">
        <v>16918.516176001998</v>
      </c>
      <c r="AY15" s="2304">
        <v>17849.605068190001</v>
      </c>
      <c r="AZ15" s="2304">
        <v>18431.909603327</v>
      </c>
      <c r="BA15" s="2304">
        <v>19038.081282518</v>
      </c>
      <c r="BB15" s="2304">
        <v>19577.485114151001</v>
      </c>
      <c r="BC15" s="2304">
        <v>20974.738294596002</v>
      </c>
      <c r="BD15" s="2304">
        <v>22473.334313472998</v>
      </c>
      <c r="BE15" s="2304">
        <v>25608.346381473999</v>
      </c>
      <c r="BF15" s="2304">
        <v>27905.525240833002</v>
      </c>
      <c r="BG15" s="2304">
        <v>29634.333850917999</v>
      </c>
      <c r="BH15" s="2304">
        <v>30655.506375345001</v>
      </c>
      <c r="BI15" s="2304">
        <v>35116.784160545001</v>
      </c>
      <c r="BJ15" s="2304">
        <v>36617.350544579996</v>
      </c>
      <c r="BK15" s="2304">
        <v>37159.706261300998</v>
      </c>
      <c r="BL15" s="2304">
        <v>35269.474823621997</v>
      </c>
      <c r="BM15" s="2304">
        <v>30933.924692831999</v>
      </c>
      <c r="BN15" s="2304">
        <v>29524.492711605999</v>
      </c>
      <c r="BO15" s="2304">
        <v>38758.427341944</v>
      </c>
      <c r="BP15" s="2304">
        <v>39531.943273981</v>
      </c>
    </row>
    <row r="16" spans="1:68" ht="15">
      <c r="A16" s="2602" t="s">
        <v>502</v>
      </c>
      <c r="B16" s="2603">
        <v>102.747</v>
      </c>
      <c r="C16" s="2603">
        <v>79.956000000000003</v>
      </c>
      <c r="D16" s="2603">
        <v>372.68099999999998</v>
      </c>
      <c r="E16" s="2603">
        <v>415.05816051099998</v>
      </c>
      <c r="F16" s="2603">
        <v>669.45169734599995</v>
      </c>
      <c r="G16" s="2603">
        <v>895.51480343100002</v>
      </c>
      <c r="H16" s="2603">
        <v>1242.502927497</v>
      </c>
      <c r="I16" s="2603">
        <v>2310.5100266310001</v>
      </c>
      <c r="J16" s="2603">
        <v>1436.12776553</v>
      </c>
      <c r="K16" s="2603">
        <v>2902.3828232820001</v>
      </c>
      <c r="L16" s="2603">
        <v>2318.9150220900001</v>
      </c>
      <c r="M16" s="2603">
        <v>2750.9711440149999</v>
      </c>
      <c r="N16" s="2603">
        <v>4336.2824477690001</v>
      </c>
      <c r="O16" s="2603">
        <v>3584.7091517690001</v>
      </c>
      <c r="P16" s="2603">
        <v>6013.3613897739997</v>
      </c>
      <c r="Q16" s="2603">
        <v>3480.6595147879998</v>
      </c>
      <c r="R16" s="2603">
        <v>3925.7272062930001</v>
      </c>
      <c r="S16" s="2603">
        <v>3453.388617569</v>
      </c>
      <c r="T16" s="2603">
        <v>4686.1913740379996</v>
      </c>
      <c r="U16" s="2603">
        <v>5417.8452932419996</v>
      </c>
      <c r="V16" s="2603">
        <v>6440.1771743219997</v>
      </c>
      <c r="W16" s="2604">
        <v>8279.1566832209992</v>
      </c>
      <c r="X16" s="2605">
        <v>9315.44</v>
      </c>
      <c r="Y16" s="2225">
        <v>10540.18164092</v>
      </c>
      <c r="Z16" s="2215"/>
      <c r="AA16" s="2603"/>
      <c r="AB16" s="3072">
        <v>3289.4244512290002</v>
      </c>
      <c r="AC16" s="2227">
        <v>6236.4751014060002</v>
      </c>
      <c r="AD16" s="2225">
        <v>7153.6250697949999</v>
      </c>
      <c r="AE16" s="2215">
        <v>8279.1566832209992</v>
      </c>
      <c r="AF16" s="2215">
        <v>6341.4575049960004</v>
      </c>
      <c r="AG16" s="3060">
        <v>6836.2625491950002</v>
      </c>
      <c r="AH16" s="2215">
        <v>7935.6324073570004</v>
      </c>
      <c r="AI16" s="3568">
        <v>9315.44</v>
      </c>
      <c r="AJ16" s="3559">
        <v>6755.6452142520002</v>
      </c>
      <c r="AK16" s="3079">
        <v>10019.630995136</v>
      </c>
      <c r="AL16" s="3079">
        <v>9853.5127313699995</v>
      </c>
      <c r="AM16" s="3079">
        <v>10522.105729991999</v>
      </c>
      <c r="AN16" s="3079">
        <v>7993.5776116420002</v>
      </c>
      <c r="AO16" s="3079"/>
      <c r="AP16" s="3567"/>
      <c r="AS16" s="2304" t="s">
        <v>1365</v>
      </c>
      <c r="AT16" s="2304">
        <v>3076.1444069710001</v>
      </c>
      <c r="AU16" s="2304">
        <v>4060.0900134090002</v>
      </c>
      <c r="AV16" s="2304">
        <v>3982.1451346650001</v>
      </c>
      <c r="AW16" s="2304">
        <v>3926.3162978290002</v>
      </c>
      <c r="AX16" s="2304">
        <v>2678.2048377149999</v>
      </c>
      <c r="AY16" s="2304">
        <v>3081.0073613569998</v>
      </c>
      <c r="AZ16" s="2304">
        <v>3230.3521536759999</v>
      </c>
      <c r="BA16" s="2304">
        <v>3457.6557517330002</v>
      </c>
      <c r="BB16" s="2304">
        <v>3891.5055674270002</v>
      </c>
      <c r="BC16" s="2304">
        <v>4180.4547578929996</v>
      </c>
      <c r="BD16" s="2304">
        <v>4306.7821894369999</v>
      </c>
      <c r="BE16" s="2304">
        <v>4684.8678683609996</v>
      </c>
      <c r="BF16" s="2304">
        <v>5162.6859005189999</v>
      </c>
      <c r="BG16" s="2304">
        <v>4978.8813372209997</v>
      </c>
      <c r="BH16" s="2304">
        <v>5446.7840836879996</v>
      </c>
      <c r="BI16" s="2304">
        <v>5417.8452740470002</v>
      </c>
      <c r="BJ16" s="2304">
        <v>4825.8406568649998</v>
      </c>
      <c r="BK16" s="2304">
        <v>5219.9501546040001</v>
      </c>
      <c r="BL16" s="2304">
        <v>3737.2918039259998</v>
      </c>
      <c r="BM16" s="2304">
        <v>6440.1771742680003</v>
      </c>
      <c r="BN16" s="2304">
        <v>3289.4244512290002</v>
      </c>
      <c r="BO16" s="2304">
        <v>6236.4751014060002</v>
      </c>
      <c r="BP16" s="2304">
        <v>7153.6250697949999</v>
      </c>
    </row>
    <row r="17" spans="1:68" ht="15">
      <c r="A17" s="2602" t="s">
        <v>503</v>
      </c>
      <c r="B17" s="2603">
        <v>102.747</v>
      </c>
      <c r="C17" s="2603">
        <v>79.956000000000003</v>
      </c>
      <c r="D17" s="2603">
        <v>372.68099999999998</v>
      </c>
      <c r="E17" s="2603">
        <v>415.05816051099998</v>
      </c>
      <c r="F17" s="2603">
        <v>669.45169734599995</v>
      </c>
      <c r="G17" s="2603">
        <v>815.40230343099995</v>
      </c>
      <c r="H17" s="2603">
        <v>1088.0224902279999</v>
      </c>
      <c r="I17" s="2603">
        <v>1491.5365808280001</v>
      </c>
      <c r="J17" s="2603">
        <v>861.71847265400004</v>
      </c>
      <c r="K17" s="2603">
        <v>1498.138209402</v>
      </c>
      <c r="L17" s="2603">
        <v>1448.573791559</v>
      </c>
      <c r="M17" s="2603">
        <v>1426.911070762</v>
      </c>
      <c r="N17" s="2603">
        <v>2072.2063193160002</v>
      </c>
      <c r="O17" s="2603">
        <v>1879.397318868</v>
      </c>
      <c r="P17" s="2603">
        <v>2708.3969619730001</v>
      </c>
      <c r="Q17" s="2603">
        <v>1886.43521872</v>
      </c>
      <c r="R17" s="2603">
        <v>2682.437141849</v>
      </c>
      <c r="S17" s="2603">
        <v>2611.6444179629998</v>
      </c>
      <c r="T17" s="2603">
        <v>2216.742790757</v>
      </c>
      <c r="U17" s="2603">
        <v>3447.3774911370001</v>
      </c>
      <c r="V17" s="2603">
        <v>3880.8601111799999</v>
      </c>
      <c r="W17" s="2605">
        <v>5975.1276859030004</v>
      </c>
      <c r="X17" s="2605">
        <v>6725.62</v>
      </c>
      <c r="Y17" s="2195">
        <v>8084.8269911139996</v>
      </c>
      <c r="Z17" s="2195"/>
      <c r="AA17" s="2603"/>
      <c r="AB17" s="3072">
        <v>3068.0131654520001</v>
      </c>
      <c r="AC17" s="2200">
        <v>4116.495111876</v>
      </c>
      <c r="AD17" s="2195">
        <v>4868.7320472319998</v>
      </c>
      <c r="AE17" s="2195">
        <v>5975.1276859030004</v>
      </c>
      <c r="AF17" s="2195">
        <v>5411.9203659559998</v>
      </c>
      <c r="AG17" s="3061">
        <v>5619.9920394800001</v>
      </c>
      <c r="AH17" s="2195">
        <v>5251.3613059520003</v>
      </c>
      <c r="AI17" s="3568">
        <v>6725.62</v>
      </c>
      <c r="AJ17" s="3560">
        <v>5342.7467109360005</v>
      </c>
      <c r="AK17" s="1972">
        <v>7755.4508529089999</v>
      </c>
      <c r="AL17" s="1972">
        <v>7677.693654613</v>
      </c>
      <c r="AM17" s="1972">
        <v>8084.7510801859999</v>
      </c>
      <c r="AN17" s="1972">
        <v>5022.685693032</v>
      </c>
      <c r="AO17" s="1972"/>
      <c r="AP17" s="3569"/>
      <c r="AS17" s="2305" t="s">
        <v>1366</v>
      </c>
      <c r="AT17" s="2305">
        <v>1543.897642209</v>
      </c>
      <c r="AU17" s="2305">
        <v>2414.8970733390001</v>
      </c>
      <c r="AV17" s="2305">
        <v>2414.2031346650001</v>
      </c>
      <c r="AW17" s="2305">
        <v>2704.220233385</v>
      </c>
      <c r="AX17" s="2305">
        <v>2130.5538100970002</v>
      </c>
      <c r="AY17" s="2305">
        <v>2807.5542238190001</v>
      </c>
      <c r="AZ17" s="2305">
        <v>2416.9949110030002</v>
      </c>
      <c r="BA17" s="2305">
        <v>2613.0751783989999</v>
      </c>
      <c r="BB17" s="2305">
        <v>2540.1836076559998</v>
      </c>
      <c r="BC17" s="2305">
        <v>2107.1728443279999</v>
      </c>
      <c r="BD17" s="2305">
        <v>2358.7762504500001</v>
      </c>
      <c r="BE17" s="2305">
        <v>2215.41928508</v>
      </c>
      <c r="BF17" s="2305">
        <v>2631.9725157329999</v>
      </c>
      <c r="BG17" s="2305">
        <v>2671.6133584300001</v>
      </c>
      <c r="BH17" s="2305">
        <v>2936.2326732639999</v>
      </c>
      <c r="BI17" s="2305">
        <v>3447.3774719419998</v>
      </c>
      <c r="BJ17" s="2305">
        <v>2854.8188882069999</v>
      </c>
      <c r="BK17" s="2305">
        <v>3951.871648589</v>
      </c>
      <c r="BL17" s="2305">
        <v>3482.9631039259998</v>
      </c>
      <c r="BM17" s="2305">
        <v>3880.860111126</v>
      </c>
      <c r="BN17" s="2305">
        <v>3068.0131654520001</v>
      </c>
      <c r="BO17" s="2305">
        <v>4116.495111876</v>
      </c>
      <c r="BP17" s="2305">
        <v>4868.7320472319998</v>
      </c>
    </row>
    <row r="18" spans="1:68" ht="15">
      <c r="A18" s="2602" t="s">
        <v>504</v>
      </c>
      <c r="B18" s="2603">
        <v>0</v>
      </c>
      <c r="C18" s="2603">
        <v>0</v>
      </c>
      <c r="D18" s="2603">
        <v>0</v>
      </c>
      <c r="E18" s="2603">
        <v>0</v>
      </c>
      <c r="F18" s="2603">
        <v>0</v>
      </c>
      <c r="G18" s="2603">
        <v>80.112499999999997</v>
      </c>
      <c r="H18" s="2603">
        <v>154.48043726899999</v>
      </c>
      <c r="I18" s="2603">
        <v>818.973445803</v>
      </c>
      <c r="J18" s="2603">
        <v>574.40929287599999</v>
      </c>
      <c r="K18" s="2603">
        <v>1404.2446138800001</v>
      </c>
      <c r="L18" s="2603">
        <v>870.34123053099995</v>
      </c>
      <c r="M18" s="2603">
        <v>1324.0600732529999</v>
      </c>
      <c r="N18" s="2603">
        <v>2264.0761284529999</v>
      </c>
      <c r="O18" s="2603">
        <v>1705.3118329009999</v>
      </c>
      <c r="P18" s="2603">
        <v>3304.9644278010001</v>
      </c>
      <c r="Q18" s="2603">
        <v>1594.2242960680001</v>
      </c>
      <c r="R18" s="2603">
        <v>1243.2900644440001</v>
      </c>
      <c r="S18" s="2603">
        <v>841.74419960600005</v>
      </c>
      <c r="T18" s="2603">
        <v>2469.4485832810001</v>
      </c>
      <c r="U18" s="2603">
        <v>1970.4678021049999</v>
      </c>
      <c r="V18" s="2603">
        <v>2559.3170631419998</v>
      </c>
      <c r="W18" s="2605">
        <v>2304.0289973180002</v>
      </c>
      <c r="X18" s="2605">
        <v>2589.8200000000002</v>
      </c>
      <c r="Y18" s="2195">
        <v>2455.354649806</v>
      </c>
      <c r="Z18" s="2195"/>
      <c r="AA18" s="2603"/>
      <c r="AB18" s="3072">
        <v>221.41128577699999</v>
      </c>
      <c r="AC18" s="2200">
        <v>2119.9799895299998</v>
      </c>
      <c r="AD18" s="2195">
        <v>2284.8930225630002</v>
      </c>
      <c r="AE18" s="2195">
        <v>2304.0289973180002</v>
      </c>
      <c r="AF18" s="2195">
        <v>929.53713904000006</v>
      </c>
      <c r="AG18" s="3061">
        <v>1216.2705097149999</v>
      </c>
      <c r="AH18" s="2195">
        <v>2684.2711014050001</v>
      </c>
      <c r="AI18" s="3568">
        <v>2589.8200000000002</v>
      </c>
      <c r="AJ18" s="3560">
        <v>1412.898503316</v>
      </c>
      <c r="AK18" s="1972">
        <v>2264.180142227</v>
      </c>
      <c r="AL18" s="1972">
        <v>2175.8190767569999</v>
      </c>
      <c r="AM18" s="1972">
        <v>2437.354649806</v>
      </c>
      <c r="AN18" s="1972">
        <v>2970.8919186100002</v>
      </c>
      <c r="AO18" s="1972"/>
      <c r="AP18" s="3569"/>
      <c r="AS18" s="2305" t="s">
        <v>1367</v>
      </c>
      <c r="AT18" s="2305">
        <v>1532.2467647620001</v>
      </c>
      <c r="AU18" s="2305">
        <v>1645.1929400700001</v>
      </c>
      <c r="AV18" s="2305">
        <v>1567.942</v>
      </c>
      <c r="AW18" s="2305">
        <v>1222.0960644439999</v>
      </c>
      <c r="AX18" s="2305">
        <v>547.65102761799994</v>
      </c>
      <c r="AY18" s="2305">
        <v>273.45313753800002</v>
      </c>
      <c r="AZ18" s="2305">
        <v>813.35724267299997</v>
      </c>
      <c r="BA18" s="2305">
        <v>844.58057333399995</v>
      </c>
      <c r="BB18" s="2305">
        <v>1351.3219597709999</v>
      </c>
      <c r="BC18" s="2305">
        <v>2073.2819135650002</v>
      </c>
      <c r="BD18" s="2305">
        <v>1948.005938987</v>
      </c>
      <c r="BE18" s="2305">
        <v>2469.4485832810001</v>
      </c>
      <c r="BF18" s="2305">
        <v>2530.713384786</v>
      </c>
      <c r="BG18" s="2305">
        <v>2307.2679787910001</v>
      </c>
      <c r="BH18" s="2305">
        <v>2510.5514104240001</v>
      </c>
      <c r="BI18" s="2305">
        <v>1970.4678021049999</v>
      </c>
      <c r="BJ18" s="2305">
        <v>1971.0217686579999</v>
      </c>
      <c r="BK18" s="2305">
        <v>1268.0785060149999</v>
      </c>
      <c r="BL18" s="2305">
        <v>254.3287</v>
      </c>
      <c r="BM18" s="2305">
        <v>2559.3170631419998</v>
      </c>
      <c r="BN18" s="2305">
        <v>221.41128577699999</v>
      </c>
      <c r="BO18" s="2305">
        <v>2119.9799895299998</v>
      </c>
      <c r="BP18" s="2305">
        <v>2284.8930225630002</v>
      </c>
    </row>
    <row r="19" spans="1:68" ht="15">
      <c r="A19" s="2602" t="s">
        <v>505</v>
      </c>
      <c r="B19" s="2603">
        <v>0</v>
      </c>
      <c r="C19" s="2603">
        <v>0</v>
      </c>
      <c r="D19" s="2603">
        <v>0</v>
      </c>
      <c r="E19" s="2603">
        <v>0</v>
      </c>
      <c r="F19" s="2603">
        <v>0</v>
      </c>
      <c r="G19" s="2603">
        <v>0</v>
      </c>
      <c r="H19" s="2603">
        <v>0</v>
      </c>
      <c r="I19" s="2603">
        <v>619.74947001999999</v>
      </c>
      <c r="J19" s="2603">
        <v>563.89217162199998</v>
      </c>
      <c r="K19" s="2603">
        <v>861.59746881000001</v>
      </c>
      <c r="L19" s="2603">
        <v>662.02076765799995</v>
      </c>
      <c r="M19" s="2603">
        <v>1443.4493649210001</v>
      </c>
      <c r="N19" s="2603">
        <v>1428.479061776</v>
      </c>
      <c r="O19" s="2603">
        <v>2617.4419177200002</v>
      </c>
      <c r="P19" s="2603">
        <v>3472.087285737</v>
      </c>
      <c r="Q19" s="2603">
        <v>4379.4462120730004</v>
      </c>
      <c r="R19" s="2603">
        <v>5568.6237271370001</v>
      </c>
      <c r="S19" s="2603">
        <v>6708.9781623250001</v>
      </c>
      <c r="T19" s="2603">
        <v>12435.918124268999</v>
      </c>
      <c r="U19" s="2603">
        <v>20730.720735456001</v>
      </c>
      <c r="V19" s="2603">
        <v>13047.234131949999</v>
      </c>
      <c r="W19" s="2604">
        <v>16104.20535801</v>
      </c>
      <c r="X19" s="2605">
        <v>21785.21</v>
      </c>
      <c r="Y19" s="2225">
        <v>29612.986737439998</v>
      </c>
      <c r="Z19" s="2215"/>
      <c r="AA19" s="2603"/>
      <c r="AB19" s="3072">
        <v>13860.719245281</v>
      </c>
      <c r="AC19" s="2227">
        <v>20451.941376989002</v>
      </c>
      <c r="AD19" s="2225">
        <v>19618.195845890001</v>
      </c>
      <c r="AE19" s="2215">
        <v>16104.20535801</v>
      </c>
      <c r="AF19" s="2215">
        <v>18230.159723426001</v>
      </c>
      <c r="AG19" s="3060">
        <v>19916.062543668999</v>
      </c>
      <c r="AH19" s="2215">
        <v>19442.595123063998</v>
      </c>
      <c r="AI19" s="3568">
        <v>21785.21</v>
      </c>
      <c r="AJ19" s="3559">
        <v>23768.377985784999</v>
      </c>
      <c r="AK19" s="3079">
        <v>26619.399709977999</v>
      </c>
      <c r="AL19" s="3079">
        <v>27125.585559832001</v>
      </c>
      <c r="AM19" s="3079">
        <v>29630.986737439998</v>
      </c>
      <c r="AN19" s="3079">
        <v>18751.535880406998</v>
      </c>
      <c r="AO19" s="3079"/>
      <c r="AP19" s="3567"/>
      <c r="AS19" s="2304" t="s">
        <v>1368</v>
      </c>
      <c r="AT19" s="2304">
        <v>4798.5382455839999</v>
      </c>
      <c r="AU19" s="2304">
        <v>4866.2802837589998</v>
      </c>
      <c r="AV19" s="2304">
        <v>5067.1361246220004</v>
      </c>
      <c r="AW19" s="2304">
        <v>5567.9957141069999</v>
      </c>
      <c r="AX19" s="2304">
        <v>5727.8960264119996</v>
      </c>
      <c r="AY19" s="2304">
        <v>5892.0759448879999</v>
      </c>
      <c r="AZ19" s="2304">
        <v>6305.3394162120003</v>
      </c>
      <c r="BA19" s="2304">
        <v>6777.8985088890004</v>
      </c>
      <c r="BB19" s="2304">
        <v>6943.4028773970003</v>
      </c>
      <c r="BC19" s="2304">
        <v>8823.2200857499993</v>
      </c>
      <c r="BD19" s="2304">
        <v>9990.8234955879998</v>
      </c>
      <c r="BE19" s="2304">
        <v>12435.918124268999</v>
      </c>
      <c r="BF19" s="2304">
        <v>14057.681981618</v>
      </c>
      <c r="BG19" s="2304">
        <v>15532.505379957</v>
      </c>
      <c r="BH19" s="2304">
        <v>16055.301795066</v>
      </c>
      <c r="BI19" s="2304">
        <v>20730.720735456001</v>
      </c>
      <c r="BJ19" s="2304">
        <v>21606.129233008</v>
      </c>
      <c r="BK19" s="2304">
        <v>21520.473393082</v>
      </c>
      <c r="BL19" s="2304">
        <v>20389.025847692999</v>
      </c>
      <c r="BM19" s="2304">
        <v>13036.072272619</v>
      </c>
      <c r="BN19" s="2304">
        <v>13860.719245281</v>
      </c>
      <c r="BO19" s="2304">
        <v>20451.941376989002</v>
      </c>
      <c r="BP19" s="2304">
        <v>19618.195845890001</v>
      </c>
    </row>
    <row r="20" spans="1:68" ht="15">
      <c r="A20" s="2602" t="s">
        <v>506</v>
      </c>
      <c r="B20" s="2603">
        <v>0</v>
      </c>
      <c r="C20" s="2603">
        <v>0</v>
      </c>
      <c r="D20" s="2603">
        <v>0</v>
      </c>
      <c r="E20" s="2603">
        <v>0</v>
      </c>
      <c r="F20" s="2603">
        <v>0</v>
      </c>
      <c r="G20" s="2603">
        <v>0</v>
      </c>
      <c r="H20" s="2603">
        <v>0</v>
      </c>
      <c r="I20" s="2603">
        <v>619.74947001999999</v>
      </c>
      <c r="J20" s="2603">
        <v>565.89217162199998</v>
      </c>
      <c r="K20" s="2603">
        <v>861.59746881000001</v>
      </c>
      <c r="L20" s="2603">
        <v>677.62738941199996</v>
      </c>
      <c r="M20" s="2603">
        <v>1452.8548620409999</v>
      </c>
      <c r="N20" s="2603">
        <v>0</v>
      </c>
      <c r="O20" s="2603">
        <v>0</v>
      </c>
      <c r="P20" s="2603">
        <v>0</v>
      </c>
      <c r="Q20" s="2603">
        <v>0</v>
      </c>
      <c r="R20" s="2603">
        <v>0</v>
      </c>
      <c r="S20" s="2603">
        <v>0</v>
      </c>
      <c r="T20" s="2603">
        <v>0</v>
      </c>
      <c r="U20" s="2603">
        <v>0</v>
      </c>
      <c r="V20" s="2603">
        <v>0</v>
      </c>
      <c r="W20" s="2605">
        <v>0</v>
      </c>
      <c r="X20" s="2606">
        <v>0</v>
      </c>
      <c r="Y20" s="2195">
        <v>0</v>
      </c>
      <c r="Z20" s="2195"/>
      <c r="AA20" s="2603"/>
      <c r="AB20" s="3072">
        <v>0</v>
      </c>
      <c r="AC20" s="2200">
        <v>0</v>
      </c>
      <c r="AD20" s="2195">
        <v>0</v>
      </c>
      <c r="AE20" s="2195">
        <v>0</v>
      </c>
      <c r="AF20" s="2195">
        <v>0</v>
      </c>
      <c r="AG20" s="3061">
        <v>0</v>
      </c>
      <c r="AH20" s="2195">
        <v>0</v>
      </c>
      <c r="AI20" s="3565">
        <v>0</v>
      </c>
      <c r="AJ20" s="3560">
        <v>0</v>
      </c>
      <c r="AK20" s="1972">
        <v>0</v>
      </c>
      <c r="AL20" s="1972">
        <v>0</v>
      </c>
      <c r="AM20" s="1972">
        <v>0</v>
      </c>
      <c r="AN20" s="1972">
        <v>0</v>
      </c>
      <c r="AO20" s="1972"/>
      <c r="AP20" s="3569"/>
      <c r="AS20" s="2305" t="s">
        <v>1369</v>
      </c>
      <c r="AT20" s="2305">
        <v>0</v>
      </c>
      <c r="AU20" s="2305">
        <v>0</v>
      </c>
      <c r="AV20" s="2305">
        <v>0</v>
      </c>
      <c r="AW20" s="2305">
        <v>0</v>
      </c>
      <c r="AX20" s="2305">
        <v>0</v>
      </c>
      <c r="AY20" s="2305">
        <v>0</v>
      </c>
      <c r="AZ20" s="2305">
        <v>0</v>
      </c>
      <c r="BA20" s="2305">
        <v>0</v>
      </c>
      <c r="BB20" s="2305">
        <v>0</v>
      </c>
      <c r="BC20" s="2305">
        <v>0</v>
      </c>
      <c r="BD20" s="2305">
        <v>0</v>
      </c>
      <c r="BE20" s="2305">
        <v>0</v>
      </c>
      <c r="BF20" s="2305">
        <v>0</v>
      </c>
      <c r="BG20" s="2305">
        <v>0</v>
      </c>
      <c r="BH20" s="2305">
        <v>0</v>
      </c>
      <c r="BI20" s="2305">
        <v>0</v>
      </c>
      <c r="BJ20" s="2305">
        <v>0</v>
      </c>
      <c r="BK20" s="2305">
        <v>0</v>
      </c>
      <c r="BL20" s="2305">
        <v>0</v>
      </c>
      <c r="BM20" s="2305">
        <v>0</v>
      </c>
      <c r="BN20" s="2305">
        <v>0</v>
      </c>
      <c r="BO20" s="2305">
        <v>0</v>
      </c>
      <c r="BP20" s="2305">
        <v>0</v>
      </c>
    </row>
    <row r="21" spans="1:68" ht="15">
      <c r="A21" s="2602" t="s">
        <v>507</v>
      </c>
      <c r="B21" s="2603">
        <v>0</v>
      </c>
      <c r="C21" s="2603">
        <v>0</v>
      </c>
      <c r="D21" s="2603">
        <v>0</v>
      </c>
      <c r="E21" s="2603">
        <v>0</v>
      </c>
      <c r="F21" s="2603">
        <v>0</v>
      </c>
      <c r="G21" s="2603">
        <v>0</v>
      </c>
      <c r="H21" s="2603">
        <v>0</v>
      </c>
      <c r="I21" s="2603">
        <v>0</v>
      </c>
      <c r="J21" s="2603">
        <v>-2</v>
      </c>
      <c r="K21" s="2603">
        <v>0</v>
      </c>
      <c r="L21" s="2603">
        <v>-15.606621754000001</v>
      </c>
      <c r="M21" s="2603">
        <v>-9.4054971199999997</v>
      </c>
      <c r="N21" s="2603">
        <v>0</v>
      </c>
      <c r="O21" s="2603">
        <v>0</v>
      </c>
      <c r="P21" s="2603">
        <v>0</v>
      </c>
      <c r="Q21" s="2603">
        <v>0</v>
      </c>
      <c r="R21" s="2603">
        <v>0</v>
      </c>
      <c r="S21" s="2603">
        <v>0</v>
      </c>
      <c r="T21" s="2603">
        <v>0</v>
      </c>
      <c r="U21" s="2603">
        <v>0</v>
      </c>
      <c r="V21" s="2603">
        <v>0</v>
      </c>
      <c r="W21" s="2605">
        <v>0</v>
      </c>
      <c r="X21" s="2606">
        <v>0</v>
      </c>
      <c r="Y21" s="2195">
        <v>0</v>
      </c>
      <c r="Z21" s="2195"/>
      <c r="AA21" s="2603"/>
      <c r="AB21" s="3072">
        <v>0</v>
      </c>
      <c r="AC21" s="2200">
        <v>0</v>
      </c>
      <c r="AD21" s="2195">
        <v>0</v>
      </c>
      <c r="AE21" s="2195">
        <v>0</v>
      </c>
      <c r="AF21" s="2195">
        <v>0</v>
      </c>
      <c r="AG21" s="3061">
        <v>0</v>
      </c>
      <c r="AH21" s="2195">
        <v>0</v>
      </c>
      <c r="AI21" s="3570">
        <v>0</v>
      </c>
      <c r="AJ21" s="3560">
        <v>0</v>
      </c>
      <c r="AK21" s="1972">
        <v>0</v>
      </c>
      <c r="AL21" s="1972">
        <v>0</v>
      </c>
      <c r="AM21" s="1972">
        <v>0</v>
      </c>
      <c r="AN21" s="1972">
        <v>0</v>
      </c>
      <c r="AO21" s="1972"/>
      <c r="AP21" s="3569"/>
      <c r="AS21" s="2305" t="s">
        <v>1370</v>
      </c>
      <c r="AT21" s="2305">
        <v>0</v>
      </c>
      <c r="AU21" s="2305">
        <v>0</v>
      </c>
      <c r="AV21" s="2305">
        <v>0</v>
      </c>
      <c r="AW21" s="2305">
        <v>0</v>
      </c>
      <c r="AX21" s="2305">
        <v>0</v>
      </c>
      <c r="AY21" s="2305">
        <v>0</v>
      </c>
      <c r="AZ21" s="2305">
        <v>0</v>
      </c>
      <c r="BA21" s="2305">
        <v>0</v>
      </c>
      <c r="BB21" s="2305">
        <v>0</v>
      </c>
      <c r="BC21" s="2305">
        <v>0</v>
      </c>
      <c r="BD21" s="2305">
        <v>0</v>
      </c>
      <c r="BE21" s="2305">
        <v>0</v>
      </c>
      <c r="BF21" s="2305">
        <v>0</v>
      </c>
      <c r="BG21" s="2305">
        <v>0</v>
      </c>
      <c r="BH21" s="2305">
        <v>0</v>
      </c>
      <c r="BI21" s="2305">
        <v>0</v>
      </c>
      <c r="BJ21" s="2305">
        <v>0</v>
      </c>
      <c r="BK21" s="2305">
        <v>0</v>
      </c>
      <c r="BL21" s="2305">
        <v>0</v>
      </c>
      <c r="BM21" s="2305">
        <v>0</v>
      </c>
      <c r="BN21" s="2305">
        <v>0</v>
      </c>
      <c r="BO21" s="2305">
        <v>0</v>
      </c>
      <c r="BP21" s="2305">
        <v>0</v>
      </c>
    </row>
    <row r="22" spans="1:68" ht="15">
      <c r="A22" s="2602" t="s">
        <v>508</v>
      </c>
      <c r="B22" s="2603">
        <v>0</v>
      </c>
      <c r="C22" s="2603">
        <v>0</v>
      </c>
      <c r="D22" s="2603">
        <v>0</v>
      </c>
      <c r="E22" s="2603">
        <v>0</v>
      </c>
      <c r="F22" s="2603">
        <v>0</v>
      </c>
      <c r="G22" s="2603">
        <v>0</v>
      </c>
      <c r="H22" s="2603">
        <v>0</v>
      </c>
      <c r="I22" s="2603">
        <v>0</v>
      </c>
      <c r="J22" s="2603">
        <v>0</v>
      </c>
      <c r="K22" s="2603">
        <v>0</v>
      </c>
      <c r="L22" s="2603">
        <v>0</v>
      </c>
      <c r="M22" s="2603">
        <v>0</v>
      </c>
      <c r="N22" s="2603">
        <v>1428.479061776</v>
      </c>
      <c r="O22" s="2603">
        <v>2617.4419177200002</v>
      </c>
      <c r="P22" s="2603">
        <v>3472.087285737</v>
      </c>
      <c r="Q22" s="2603">
        <v>4379.4462120730004</v>
      </c>
      <c r="R22" s="2603">
        <v>5568.6237271370001</v>
      </c>
      <c r="S22" s="2603">
        <v>6708.9781623250001</v>
      </c>
      <c r="T22" s="2603">
        <v>12435.918124268999</v>
      </c>
      <c r="U22" s="2603">
        <v>20730.720735456001</v>
      </c>
      <c r="V22" s="2603">
        <v>13047.234131949999</v>
      </c>
      <c r="W22" s="2605">
        <v>16104.20535801</v>
      </c>
      <c r="X22" s="2605">
        <v>21785.21</v>
      </c>
      <c r="Y22" s="2195">
        <v>29612.986737439998</v>
      </c>
      <c r="Z22" s="2195"/>
      <c r="AA22" s="2603"/>
      <c r="AB22" s="3072">
        <v>13860.719245281</v>
      </c>
      <c r="AC22" s="2200">
        <v>20451.941376989002</v>
      </c>
      <c r="AD22" s="2195">
        <v>19618.195845890001</v>
      </c>
      <c r="AE22" s="2195">
        <v>16104.20535801</v>
      </c>
      <c r="AF22" s="2195">
        <v>18230.159723426001</v>
      </c>
      <c r="AG22" s="3061">
        <v>19916.062543668999</v>
      </c>
      <c r="AH22" s="2195">
        <v>19442.595123063998</v>
      </c>
      <c r="AI22" s="3568">
        <v>21785.21</v>
      </c>
      <c r="AJ22" s="3560">
        <v>23768.377985784999</v>
      </c>
      <c r="AK22" s="1972">
        <v>26619.399709977999</v>
      </c>
      <c r="AL22" s="1972">
        <v>27125.585559832001</v>
      </c>
      <c r="AM22" s="1972">
        <v>29630.986737439998</v>
      </c>
      <c r="AN22" s="1972">
        <v>18787.408055631</v>
      </c>
      <c r="AO22" s="1972"/>
      <c r="AP22" s="3569"/>
      <c r="AS22" s="2305" t="s">
        <v>1371</v>
      </c>
      <c r="AT22" s="2305">
        <v>4798.5382455839999</v>
      </c>
      <c r="AU22" s="2305">
        <v>4866.2802837589998</v>
      </c>
      <c r="AV22" s="2305">
        <v>5067.1361246220004</v>
      </c>
      <c r="AW22" s="2305">
        <v>5567.9957141069999</v>
      </c>
      <c r="AX22" s="2305">
        <v>5727.8960264119996</v>
      </c>
      <c r="AY22" s="2305">
        <v>5892.0759448879999</v>
      </c>
      <c r="AZ22" s="2305">
        <v>6305.3394162120003</v>
      </c>
      <c r="BA22" s="2305">
        <v>6777.8985088890004</v>
      </c>
      <c r="BB22" s="2305">
        <v>6943.4028773970003</v>
      </c>
      <c r="BC22" s="2305">
        <v>8823.2200857499993</v>
      </c>
      <c r="BD22" s="2305">
        <v>9990.8234955879998</v>
      </c>
      <c r="BE22" s="2305">
        <v>12435.918124268999</v>
      </c>
      <c r="BF22" s="2305">
        <v>14057.681981618</v>
      </c>
      <c r="BG22" s="2305">
        <v>15532.505379957</v>
      </c>
      <c r="BH22" s="2305">
        <v>16055.301795066</v>
      </c>
      <c r="BI22" s="2305">
        <v>20730.720735456001</v>
      </c>
      <c r="BJ22" s="2305">
        <v>21606.129233008</v>
      </c>
      <c r="BK22" s="2305">
        <v>21520.473393082</v>
      </c>
      <c r="BL22" s="2305">
        <v>20389.025847692999</v>
      </c>
      <c r="BM22" s="2305">
        <v>13036.072272619</v>
      </c>
      <c r="BN22" s="2305">
        <v>13860.719245281</v>
      </c>
      <c r="BO22" s="2305">
        <v>20451.941376989002</v>
      </c>
      <c r="BP22" s="2305">
        <v>19618.195845890001</v>
      </c>
    </row>
    <row r="23" spans="1:68" ht="15">
      <c r="A23" s="2602" t="s">
        <v>509</v>
      </c>
      <c r="B23" s="2603">
        <v>275.85500000000002</v>
      </c>
      <c r="C23" s="2603">
        <v>619.65599999999995</v>
      </c>
      <c r="D23" s="2603">
        <v>756.30399999999997</v>
      </c>
      <c r="E23" s="2603">
        <v>1197.3947440300001</v>
      </c>
      <c r="F23" s="2603">
        <v>1756.8452400640001</v>
      </c>
      <c r="G23" s="2603">
        <v>1849.2830136330001</v>
      </c>
      <c r="H23" s="2603">
        <v>1994.16998792</v>
      </c>
      <c r="I23" s="2603">
        <v>2545.5512476640001</v>
      </c>
      <c r="J23" s="2603">
        <v>3248.8763437349999</v>
      </c>
      <c r="K23" s="2603">
        <v>3781.5137265200001</v>
      </c>
      <c r="L23" s="2603">
        <v>3775.6421410849998</v>
      </c>
      <c r="M23" s="2603">
        <v>4411.5343709549998</v>
      </c>
      <c r="N23" s="2603">
        <v>4823.5961669509998</v>
      </c>
      <c r="O23" s="2603">
        <v>5534.2090116210002</v>
      </c>
      <c r="P23" s="2603">
        <v>6640.135921823</v>
      </c>
      <c r="Q23" s="2603">
        <v>6151.7823994079999</v>
      </c>
      <c r="R23" s="2603">
        <v>6426.9462790739999</v>
      </c>
      <c r="S23" s="2603">
        <v>6536.2511486220001</v>
      </c>
      <c r="T23" s="2603">
        <v>6265.4118633710004</v>
      </c>
      <c r="U23" s="2603">
        <v>6882.1828949869996</v>
      </c>
      <c r="V23" s="2603">
        <v>8502.8951618390001</v>
      </c>
      <c r="W23" s="2604">
        <v>9674.3432373439991</v>
      </c>
      <c r="X23" s="2605">
        <v>11381.52</v>
      </c>
      <c r="Y23" s="2225">
        <v>14400.800569076</v>
      </c>
      <c r="Z23" s="2215"/>
      <c r="AA23" s="2603"/>
      <c r="AB23" s="3072">
        <v>9293.9336662959995</v>
      </c>
      <c r="AC23" s="2227">
        <v>9006.4955994489992</v>
      </c>
      <c r="AD23" s="2225">
        <v>9819.3197203269992</v>
      </c>
      <c r="AE23" s="2215">
        <v>9533.9350532429999</v>
      </c>
      <c r="AF23" s="2215">
        <v>10054.871366216999</v>
      </c>
      <c r="AG23" s="3060">
        <v>10992.515047452</v>
      </c>
      <c r="AH23" s="2215">
        <v>11875.150699489001</v>
      </c>
      <c r="AI23" s="3568">
        <v>11381.52</v>
      </c>
      <c r="AJ23" s="3559">
        <v>11997.831491114999</v>
      </c>
      <c r="AK23" s="3079">
        <v>12525.313635529999</v>
      </c>
      <c r="AL23" s="3079">
        <v>13077.014449004</v>
      </c>
      <c r="AM23" s="3079">
        <v>14402.017450105001</v>
      </c>
      <c r="AN23" s="3079">
        <v>12347.990314058001</v>
      </c>
      <c r="AO23" s="3079"/>
      <c r="AP23" s="3567"/>
      <c r="AS23" s="2304" t="s">
        <v>1372</v>
      </c>
      <c r="AT23" s="2304">
        <v>5709.6356085019997</v>
      </c>
      <c r="AU23" s="2304">
        <v>5429.5546303709998</v>
      </c>
      <c r="AV23" s="2304">
        <v>5704.79078458</v>
      </c>
      <c r="AW23" s="2304">
        <v>6424.0050500899997</v>
      </c>
      <c r="AX23" s="2304">
        <v>5872.4914792179998</v>
      </c>
      <c r="AY23" s="2304">
        <v>6452.9042375449999</v>
      </c>
      <c r="AZ23" s="2304">
        <v>6515.9117936080002</v>
      </c>
      <c r="BA23" s="2304">
        <v>6520.4562155840003</v>
      </c>
      <c r="BB23" s="2304">
        <v>6587.706294394</v>
      </c>
      <c r="BC23" s="2304">
        <v>5803.6336937449996</v>
      </c>
      <c r="BD23" s="2304">
        <v>5930.7727379939997</v>
      </c>
      <c r="BE23" s="2304">
        <v>6263.0245436200003</v>
      </c>
      <c r="BF23" s="2304">
        <v>6051.0769463189999</v>
      </c>
      <c r="BG23" s="2304">
        <v>6675.9951281820004</v>
      </c>
      <c r="BH23" s="2304">
        <v>6654.8183538470003</v>
      </c>
      <c r="BI23" s="2304">
        <v>6882.319562187</v>
      </c>
      <c r="BJ23" s="2304">
        <v>7635.3936601719997</v>
      </c>
      <c r="BK23" s="2304">
        <v>7494.5460426660002</v>
      </c>
      <c r="BL23" s="2304">
        <v>8184.6611594280002</v>
      </c>
      <c r="BM23" s="2304">
        <v>8510.1522057059992</v>
      </c>
      <c r="BN23" s="2304">
        <v>9293.9336662959995</v>
      </c>
      <c r="BO23" s="2304">
        <v>9006.4955994489992</v>
      </c>
      <c r="BP23" s="2304">
        <v>9819.3197203269992</v>
      </c>
    </row>
    <row r="24" spans="1:68" ht="15">
      <c r="A24" s="2602" t="s">
        <v>510</v>
      </c>
      <c r="B24" s="2603">
        <v>211.48099999999999</v>
      </c>
      <c r="C24" s="2603">
        <v>478.24599999999998</v>
      </c>
      <c r="D24" s="2603">
        <v>592.08799999999997</v>
      </c>
      <c r="E24" s="2603">
        <v>1025.3249241020001</v>
      </c>
      <c r="F24" s="2603">
        <v>1509.767129454</v>
      </c>
      <c r="G24" s="2603">
        <v>1511.116511987</v>
      </c>
      <c r="H24" s="2603">
        <v>1541.2920259330001</v>
      </c>
      <c r="I24" s="2603">
        <v>1885.7050394140001</v>
      </c>
      <c r="J24" s="2603">
        <v>2355.7790829710002</v>
      </c>
      <c r="K24" s="2603">
        <v>3055.1704407010002</v>
      </c>
      <c r="L24" s="2603">
        <v>3208.6015840609998</v>
      </c>
      <c r="M24" s="2603">
        <v>3658.2671970169999</v>
      </c>
      <c r="N24" s="2603">
        <v>3919.5426713010002</v>
      </c>
      <c r="O24" s="2603">
        <v>4477.1220789979998</v>
      </c>
      <c r="P24" s="2603">
        <v>4813.6449169010002</v>
      </c>
      <c r="Q24" s="2603">
        <v>5038.3789359169996</v>
      </c>
      <c r="R24" s="2603">
        <v>5561.5458018339996</v>
      </c>
      <c r="S24" s="2603">
        <v>5812.9381123459998</v>
      </c>
      <c r="T24" s="2603">
        <v>5564.3921914909997</v>
      </c>
      <c r="U24" s="2603">
        <v>6211.9565102460001</v>
      </c>
      <c r="V24" s="2603">
        <v>7990.076948983</v>
      </c>
      <c r="W24" s="2605">
        <v>9057.6472069850006</v>
      </c>
      <c r="X24" s="2605">
        <v>10537.02</v>
      </c>
      <c r="Y24" s="2195">
        <v>12733.504688522</v>
      </c>
      <c r="Z24" s="2195"/>
      <c r="AA24" s="2603"/>
      <c r="AB24" s="3072">
        <v>7918.1652050989996</v>
      </c>
      <c r="AC24" s="2200">
        <v>8039.5998438400002</v>
      </c>
      <c r="AD24" s="2195">
        <v>8927.0018323559998</v>
      </c>
      <c r="AE24" s="2195">
        <v>9044.7091448980009</v>
      </c>
      <c r="AF24" s="2195">
        <v>9393.7640589570001</v>
      </c>
      <c r="AG24" s="3061">
        <v>10309.248199833</v>
      </c>
      <c r="AH24" s="2195">
        <v>10799.828515306999</v>
      </c>
      <c r="AI24" s="3568">
        <v>10537.02</v>
      </c>
      <c r="AJ24" s="3560">
        <v>10855.474371546001</v>
      </c>
      <c r="AK24" s="1972">
        <v>11175.300447723999</v>
      </c>
      <c r="AL24" s="1972">
        <v>11454.536291627999</v>
      </c>
      <c r="AM24" s="1972">
        <v>12734.600596550001</v>
      </c>
      <c r="AN24" s="1972">
        <v>10175.295201576</v>
      </c>
      <c r="AO24" s="1972"/>
      <c r="AP24" s="3569"/>
      <c r="AS24" s="2305" t="s">
        <v>1373</v>
      </c>
      <c r="AT24" s="2305">
        <v>4294.2394515249998</v>
      </c>
      <c r="AU24" s="2305">
        <v>4226.9179573629999</v>
      </c>
      <c r="AV24" s="2305">
        <v>4528.1341428149999</v>
      </c>
      <c r="AW24" s="2305">
        <v>5561.1402018340004</v>
      </c>
      <c r="AX24" s="2305">
        <v>4934.9927912720004</v>
      </c>
      <c r="AY24" s="2305">
        <v>5397.9876652559997</v>
      </c>
      <c r="AZ24" s="2305">
        <v>5586.7767796449998</v>
      </c>
      <c r="BA24" s="2305">
        <v>5740.4891208480003</v>
      </c>
      <c r="BB24" s="2305">
        <v>5475.5127865929999</v>
      </c>
      <c r="BC24" s="2305">
        <v>5005.5762547220002</v>
      </c>
      <c r="BD24" s="2305">
        <v>5144.9968126639997</v>
      </c>
      <c r="BE24" s="2305">
        <v>5587.9374229519999</v>
      </c>
      <c r="BF24" s="2305">
        <v>5277.490091007</v>
      </c>
      <c r="BG24" s="2305">
        <v>5531.8661633270003</v>
      </c>
      <c r="BH24" s="2305">
        <v>5827.0871676070001</v>
      </c>
      <c r="BI24" s="2305">
        <v>6211.9565102460001</v>
      </c>
      <c r="BJ24" s="2305">
        <v>6583.9219770259997</v>
      </c>
      <c r="BK24" s="2305">
        <v>6459.9157378979999</v>
      </c>
      <c r="BL24" s="2305">
        <v>7096.4265305790004</v>
      </c>
      <c r="BM24" s="2305">
        <v>7977.1555960060005</v>
      </c>
      <c r="BN24" s="2305">
        <v>7918.1652050989996</v>
      </c>
      <c r="BO24" s="2305">
        <v>8039.5998438400002</v>
      </c>
      <c r="BP24" s="2305">
        <v>8927.0018323559998</v>
      </c>
    </row>
    <row r="25" spans="1:68" ht="15">
      <c r="A25" s="2602" t="s">
        <v>511</v>
      </c>
      <c r="B25" s="2603">
        <v>49.804000000000002</v>
      </c>
      <c r="C25" s="2603">
        <v>90.058999999999997</v>
      </c>
      <c r="D25" s="2603">
        <v>122.42400000000001</v>
      </c>
      <c r="E25" s="2603">
        <v>121.923450712</v>
      </c>
      <c r="F25" s="2603">
        <v>162.09937620100001</v>
      </c>
      <c r="G25" s="2603">
        <v>160.98372221</v>
      </c>
      <c r="H25" s="2603">
        <v>271.88871962799999</v>
      </c>
      <c r="I25" s="2603">
        <v>395.08055051999997</v>
      </c>
      <c r="J25" s="2603">
        <v>241.61302408</v>
      </c>
      <c r="K25" s="2603">
        <v>202.30558419900001</v>
      </c>
      <c r="L25" s="2603">
        <v>209.64430831300001</v>
      </c>
      <c r="M25" s="2603">
        <v>253.62330713700001</v>
      </c>
      <c r="N25" s="2603">
        <v>399.98919606099997</v>
      </c>
      <c r="O25" s="2603">
        <v>346.03017812399997</v>
      </c>
      <c r="P25" s="2603">
        <v>502.79806347099998</v>
      </c>
      <c r="Q25" s="2603">
        <v>95.340696038999994</v>
      </c>
      <c r="R25" s="2603">
        <v>218.427501076</v>
      </c>
      <c r="S25" s="2603">
        <v>274.77913189899999</v>
      </c>
      <c r="T25" s="2603">
        <v>459.33619647799998</v>
      </c>
      <c r="U25" s="2603">
        <v>400.70713183599997</v>
      </c>
      <c r="V25" s="2603">
        <v>292.91635708000001</v>
      </c>
      <c r="W25" s="2605">
        <v>482.07473273099998</v>
      </c>
      <c r="X25" s="2606">
        <v>610.38</v>
      </c>
      <c r="Y25" s="2195">
        <v>915.17665228500005</v>
      </c>
      <c r="Z25" s="2195"/>
      <c r="AA25" s="2603"/>
      <c r="AB25" s="3072">
        <v>646.44772320599998</v>
      </c>
      <c r="AC25" s="2200">
        <v>500.90700267900002</v>
      </c>
      <c r="AD25" s="2195">
        <v>419.60159133299999</v>
      </c>
      <c r="AE25" s="2195">
        <v>348.405863076</v>
      </c>
      <c r="AF25" s="2195">
        <v>628.462570207</v>
      </c>
      <c r="AG25" s="3061">
        <v>599.12186818199996</v>
      </c>
      <c r="AH25" s="2195">
        <v>566.09701197799995</v>
      </c>
      <c r="AI25" s="3565">
        <v>610.38</v>
      </c>
      <c r="AJ25" s="3560">
        <v>654.47970271099996</v>
      </c>
      <c r="AK25" s="1972">
        <v>806.03913768999996</v>
      </c>
      <c r="AL25" s="1972">
        <v>801.25169914200001</v>
      </c>
      <c r="AM25" s="1972">
        <v>952.73793272199998</v>
      </c>
      <c r="AN25" s="1972">
        <v>1476.727313028</v>
      </c>
      <c r="AO25" s="1972"/>
      <c r="AP25" s="3569"/>
      <c r="AS25" s="2305" t="s">
        <v>1374</v>
      </c>
      <c r="AT25" s="2305">
        <v>277.09560649100001</v>
      </c>
      <c r="AU25" s="2305">
        <v>235.00153597400001</v>
      </c>
      <c r="AV25" s="2305">
        <v>244.17323629200001</v>
      </c>
      <c r="AW25" s="2305">
        <v>218.427501076</v>
      </c>
      <c r="AX25" s="2305">
        <v>279.12643540599998</v>
      </c>
      <c r="AY25" s="2305">
        <v>373.533640166</v>
      </c>
      <c r="AZ25" s="2305">
        <v>398.98897406100002</v>
      </c>
      <c r="BA25" s="2305">
        <v>274.82558539500002</v>
      </c>
      <c r="BB25" s="2305">
        <v>373.80587760399999</v>
      </c>
      <c r="BC25" s="2305">
        <v>432.21203112900002</v>
      </c>
      <c r="BD25" s="2305">
        <v>464.97052645100001</v>
      </c>
      <c r="BE25" s="2305">
        <v>459.33619647799998</v>
      </c>
      <c r="BF25" s="2305">
        <v>467.365468959</v>
      </c>
      <c r="BG25" s="2305">
        <v>579.92772150600001</v>
      </c>
      <c r="BH25" s="2305">
        <v>338.65881857900001</v>
      </c>
      <c r="BI25" s="2305">
        <v>400.84678903600002</v>
      </c>
      <c r="BJ25" s="2305">
        <v>340.90344719000001</v>
      </c>
      <c r="BK25" s="2305">
        <v>318.13575338800001</v>
      </c>
      <c r="BL25" s="2305">
        <v>378.82942477699999</v>
      </c>
      <c r="BM25" s="2305">
        <v>293.03940061600002</v>
      </c>
      <c r="BN25" s="2305">
        <v>646.44772320599998</v>
      </c>
      <c r="BO25" s="2305">
        <v>500.90700267900002</v>
      </c>
      <c r="BP25" s="2305">
        <v>419.60159133299999</v>
      </c>
    </row>
    <row r="26" spans="1:68" ht="15">
      <c r="A26" s="2602" t="s">
        <v>512</v>
      </c>
      <c r="B26" s="2603">
        <v>0</v>
      </c>
      <c r="C26" s="2603">
        <v>0</v>
      </c>
      <c r="D26" s="2603">
        <v>0</v>
      </c>
      <c r="E26" s="2603">
        <v>0</v>
      </c>
      <c r="F26" s="2603">
        <v>0</v>
      </c>
      <c r="G26" s="2603">
        <v>61.41779202</v>
      </c>
      <c r="H26" s="2603">
        <v>92.724478378000001</v>
      </c>
      <c r="I26" s="2603">
        <v>94.000086461999999</v>
      </c>
      <c r="J26" s="2603">
        <v>0</v>
      </c>
      <c r="K26" s="2603">
        <v>0</v>
      </c>
      <c r="L26" s="2603">
        <v>0</v>
      </c>
      <c r="M26" s="2603">
        <v>0</v>
      </c>
      <c r="N26" s="2603">
        <v>0</v>
      </c>
      <c r="O26" s="2603">
        <v>0</v>
      </c>
      <c r="P26" s="2603">
        <v>0</v>
      </c>
      <c r="Q26" s="2603">
        <v>0</v>
      </c>
      <c r="R26" s="2603">
        <v>0</v>
      </c>
      <c r="S26" s="2603">
        <v>0</v>
      </c>
      <c r="T26" s="2603">
        <v>0</v>
      </c>
      <c r="U26" s="2603">
        <v>0</v>
      </c>
      <c r="V26" s="2603">
        <v>0</v>
      </c>
      <c r="W26" s="2605">
        <v>0</v>
      </c>
      <c r="X26" s="2606">
        <v>0</v>
      </c>
      <c r="Y26" s="2195">
        <v>0</v>
      </c>
      <c r="Z26" s="2195"/>
      <c r="AA26" s="2603"/>
      <c r="AB26" s="3072">
        <v>0</v>
      </c>
      <c r="AC26" s="2200">
        <v>0</v>
      </c>
      <c r="AD26" s="2195">
        <v>0</v>
      </c>
      <c r="AE26" s="2195">
        <v>0</v>
      </c>
      <c r="AF26" s="2195">
        <v>0</v>
      </c>
      <c r="AG26" s="3061">
        <v>0</v>
      </c>
      <c r="AH26" s="2195">
        <v>0</v>
      </c>
      <c r="AI26" s="3565">
        <v>0</v>
      </c>
      <c r="AJ26" s="3560">
        <v>0</v>
      </c>
      <c r="AK26" s="1972">
        <v>0</v>
      </c>
      <c r="AL26" s="1972">
        <v>0</v>
      </c>
      <c r="AM26" s="1972">
        <v>0</v>
      </c>
      <c r="AN26" s="1972">
        <v>0</v>
      </c>
      <c r="AO26" s="1972"/>
      <c r="AP26" s="3569"/>
      <c r="AS26" s="2305" t="s">
        <v>1375</v>
      </c>
      <c r="AT26" s="2305">
        <v>0</v>
      </c>
      <c r="AU26" s="2305">
        <v>0</v>
      </c>
      <c r="AV26" s="2305">
        <v>0</v>
      </c>
      <c r="AW26" s="2305">
        <v>0</v>
      </c>
      <c r="AX26" s="2305">
        <v>0</v>
      </c>
      <c r="AY26" s="2305">
        <v>0</v>
      </c>
      <c r="AZ26" s="2305">
        <v>0</v>
      </c>
      <c r="BA26" s="2305">
        <v>0</v>
      </c>
      <c r="BB26" s="2305">
        <v>0</v>
      </c>
      <c r="BC26" s="2305">
        <v>0</v>
      </c>
      <c r="BD26" s="2305">
        <v>0</v>
      </c>
      <c r="BE26" s="2305">
        <v>0</v>
      </c>
      <c r="BF26" s="2305">
        <v>0</v>
      </c>
      <c r="BG26" s="2305">
        <v>0</v>
      </c>
      <c r="BH26" s="2305">
        <v>0</v>
      </c>
      <c r="BI26" s="2305">
        <v>0</v>
      </c>
      <c r="BJ26" s="2305">
        <v>0</v>
      </c>
      <c r="BK26" s="2305">
        <v>0</v>
      </c>
      <c r="BL26" s="2305">
        <v>0</v>
      </c>
      <c r="BM26" s="2305">
        <v>0</v>
      </c>
      <c r="BN26" s="2305">
        <v>0</v>
      </c>
      <c r="BO26" s="2305">
        <v>0</v>
      </c>
      <c r="BP26" s="2305">
        <v>0</v>
      </c>
    </row>
    <row r="27" spans="1:68" ht="15">
      <c r="A27" s="2602" t="s">
        <v>513</v>
      </c>
      <c r="B27" s="2603">
        <v>0</v>
      </c>
      <c r="C27" s="2603">
        <v>0</v>
      </c>
      <c r="D27" s="2603">
        <v>0</v>
      </c>
      <c r="E27" s="2603">
        <v>0</v>
      </c>
      <c r="F27" s="2603">
        <v>0</v>
      </c>
      <c r="G27" s="2603">
        <v>0</v>
      </c>
      <c r="H27" s="2603">
        <v>0</v>
      </c>
      <c r="I27" s="2603">
        <v>0</v>
      </c>
      <c r="J27" s="2603">
        <v>153.81357377200001</v>
      </c>
      <c r="K27" s="2603">
        <v>259.63499053300001</v>
      </c>
      <c r="L27" s="2603">
        <v>272.48469283899999</v>
      </c>
      <c r="M27" s="2603">
        <v>419.88861685400002</v>
      </c>
      <c r="N27" s="2603">
        <v>366.33808621600002</v>
      </c>
      <c r="O27" s="2603">
        <v>516.83747945499999</v>
      </c>
      <c r="P27" s="2603">
        <v>621.15241213700006</v>
      </c>
      <c r="Q27" s="2603">
        <v>431.58119334000003</v>
      </c>
      <c r="R27" s="2603">
        <v>251.954356007</v>
      </c>
      <c r="S27" s="2603">
        <v>318.33938920200001</v>
      </c>
      <c r="T27" s="2603">
        <v>197.97268048699999</v>
      </c>
      <c r="U27" s="2603">
        <v>168.939964952</v>
      </c>
      <c r="V27" s="2603">
        <v>199.25224355899999</v>
      </c>
      <c r="W27" s="2605">
        <v>176.77089441199999</v>
      </c>
      <c r="X27" s="2606">
        <v>136.1</v>
      </c>
      <c r="Y27" s="2195">
        <v>200.40526996700001</v>
      </c>
      <c r="Z27" s="2195"/>
      <c r="AA27" s="2603"/>
      <c r="AB27" s="3072">
        <v>231.84298593400001</v>
      </c>
      <c r="AC27" s="2200">
        <v>227.3807851</v>
      </c>
      <c r="AD27" s="2195">
        <v>229.67878231</v>
      </c>
      <c r="AE27" s="2195">
        <v>182.965994736</v>
      </c>
      <c r="AF27" s="2195">
        <v>190.429912043</v>
      </c>
      <c r="AG27" s="3061">
        <v>196.821565607</v>
      </c>
      <c r="AH27" s="2195">
        <v>194.158152911</v>
      </c>
      <c r="AI27" s="3565">
        <v>136.1</v>
      </c>
      <c r="AJ27" s="3560">
        <v>153.81110420100001</v>
      </c>
      <c r="AK27" s="1972">
        <v>164.04611715499999</v>
      </c>
      <c r="AL27" s="1972">
        <v>192.402178808</v>
      </c>
      <c r="AM27" s="1972">
        <v>200.40526996700001</v>
      </c>
      <c r="AN27" s="1972">
        <v>255.231754306</v>
      </c>
      <c r="AO27" s="1972"/>
      <c r="AP27" s="3569"/>
      <c r="AS27" s="2305" t="s">
        <v>1376</v>
      </c>
      <c r="AT27" s="2305">
        <v>397.506401676</v>
      </c>
      <c r="AU27" s="2305">
        <v>320.33446691799998</v>
      </c>
      <c r="AV27" s="2305">
        <v>302.501200783</v>
      </c>
      <c r="AW27" s="2305">
        <v>251.954356007</v>
      </c>
      <c r="AX27" s="2305">
        <v>250.55711889400001</v>
      </c>
      <c r="AY27" s="2305">
        <v>270.61889952600001</v>
      </c>
      <c r="AZ27" s="2305">
        <v>283.47842328299998</v>
      </c>
      <c r="BA27" s="2305">
        <v>429.31795854900002</v>
      </c>
      <c r="BB27" s="2305">
        <v>333.31149315499999</v>
      </c>
      <c r="BC27" s="2305">
        <v>276.042606836</v>
      </c>
      <c r="BD27" s="2305">
        <v>268.08399372600002</v>
      </c>
      <c r="BE27" s="2305">
        <v>197.97268048699999</v>
      </c>
      <c r="BF27" s="2305">
        <v>194.746840384</v>
      </c>
      <c r="BG27" s="2305">
        <v>204.22467675300001</v>
      </c>
      <c r="BH27" s="2305">
        <v>119.879763439</v>
      </c>
      <c r="BI27" s="2305">
        <v>168.939964952</v>
      </c>
      <c r="BJ27" s="2305">
        <v>175.086330906</v>
      </c>
      <c r="BK27" s="2305">
        <v>182.11404541499999</v>
      </c>
      <c r="BL27" s="2305">
        <v>186.10064899100001</v>
      </c>
      <c r="BM27" s="2305">
        <v>199.25224355899999</v>
      </c>
      <c r="BN27" s="2305">
        <v>231.84298593400001</v>
      </c>
      <c r="BO27" s="2305">
        <v>227.3807851</v>
      </c>
      <c r="BP27" s="2305">
        <v>229.67878231</v>
      </c>
    </row>
    <row r="28" spans="1:68" ht="15">
      <c r="A28" s="2602" t="s">
        <v>514</v>
      </c>
      <c r="B28" s="2603">
        <v>0</v>
      </c>
      <c r="C28" s="2603">
        <v>0</v>
      </c>
      <c r="D28" s="2603">
        <v>0</v>
      </c>
      <c r="E28" s="2603">
        <v>0</v>
      </c>
      <c r="F28" s="2603">
        <v>0</v>
      </c>
      <c r="G28" s="2603">
        <v>0</v>
      </c>
      <c r="H28" s="2603">
        <v>0</v>
      </c>
      <c r="I28" s="2603">
        <v>0</v>
      </c>
      <c r="J28" s="2603">
        <v>0</v>
      </c>
      <c r="K28" s="2603">
        <v>0</v>
      </c>
      <c r="L28" s="2603">
        <v>0</v>
      </c>
      <c r="M28" s="2603">
        <v>0</v>
      </c>
      <c r="N28" s="2603">
        <v>0</v>
      </c>
      <c r="O28" s="2603">
        <v>0</v>
      </c>
      <c r="P28" s="2603">
        <v>0</v>
      </c>
      <c r="Q28" s="2603">
        <v>0</v>
      </c>
      <c r="R28" s="2603">
        <v>0.91004918800000001</v>
      </c>
      <c r="S28" s="2603">
        <v>0.39417686099999999</v>
      </c>
      <c r="T28" s="2603">
        <v>185.532228683</v>
      </c>
      <c r="U28" s="2603">
        <v>34.762219999999999</v>
      </c>
      <c r="V28" s="2603">
        <v>0.88256090099999995</v>
      </c>
      <c r="W28" s="2605">
        <v>0.51543000000000005</v>
      </c>
      <c r="X28" s="2606">
        <v>9.81</v>
      </c>
      <c r="Y28" s="2195">
        <v>9.1959108189999998</v>
      </c>
      <c r="Z28" s="2195"/>
      <c r="AA28" s="2603"/>
      <c r="AB28" s="3072">
        <v>50.766311424000001</v>
      </c>
      <c r="AC28" s="2200">
        <v>50.562368657</v>
      </c>
      <c r="AD28" s="2195">
        <v>50.54696612</v>
      </c>
      <c r="AE28" s="2195">
        <v>0.51543000000000005</v>
      </c>
      <c r="AF28" s="2195">
        <v>0.65751999999999999</v>
      </c>
      <c r="AG28" s="3061">
        <v>18.634399999999999</v>
      </c>
      <c r="AH28" s="2195">
        <v>33.543914999999998</v>
      </c>
      <c r="AI28" s="3565">
        <v>9.81</v>
      </c>
      <c r="AJ28" s="3560">
        <v>9.7579079009999994</v>
      </c>
      <c r="AK28" s="1972">
        <v>10.069852325999999</v>
      </c>
      <c r="AL28" s="1972">
        <v>45.227471491000003</v>
      </c>
      <c r="AM28" s="1972">
        <v>9.1959108189999998</v>
      </c>
      <c r="AN28" s="1972"/>
      <c r="AO28" s="1972"/>
      <c r="AP28" s="3569"/>
      <c r="AS28" s="2305" t="s">
        <v>1377</v>
      </c>
      <c r="AT28" s="2305">
        <v>0</v>
      </c>
      <c r="AU28" s="2305">
        <v>0</v>
      </c>
      <c r="AV28" s="2305">
        <v>0</v>
      </c>
      <c r="AW28" s="2305">
        <v>0.91004918800000001</v>
      </c>
      <c r="AX28" s="2305">
        <v>0.92551065799999999</v>
      </c>
      <c r="AY28" s="2305">
        <v>50.781019440000001</v>
      </c>
      <c r="AZ28" s="2305">
        <v>0.54822910000000002</v>
      </c>
      <c r="BA28" s="2305">
        <v>2.717176861</v>
      </c>
      <c r="BB28" s="2305">
        <v>230.160921124</v>
      </c>
      <c r="BC28" s="2305">
        <v>0</v>
      </c>
      <c r="BD28" s="2305">
        <v>2.116879E-2</v>
      </c>
      <c r="BE28" s="2305">
        <v>185.532228683</v>
      </c>
      <c r="BF28" s="2305">
        <v>0</v>
      </c>
      <c r="BG28" s="2305">
        <v>235.41651999999999</v>
      </c>
      <c r="BH28" s="2305">
        <v>260.40890000000002</v>
      </c>
      <c r="BI28" s="2305">
        <v>34.762219999999999</v>
      </c>
      <c r="BJ28" s="2305">
        <v>300.49674665499998</v>
      </c>
      <c r="BK28" s="2305">
        <v>230.51432</v>
      </c>
      <c r="BL28" s="2305">
        <v>100.614829</v>
      </c>
      <c r="BM28" s="2305">
        <v>0.88256090099999995</v>
      </c>
      <c r="BN28" s="2305">
        <v>50.766311424000001</v>
      </c>
      <c r="BO28" s="2305">
        <v>50.562368657</v>
      </c>
      <c r="BP28" s="2305">
        <v>50.54696612</v>
      </c>
    </row>
    <row r="29" spans="1:68" ht="15">
      <c r="A29" s="2602" t="s">
        <v>515</v>
      </c>
      <c r="B29" s="2603">
        <v>14.57</v>
      </c>
      <c r="C29" s="2603">
        <v>51.350999999999999</v>
      </c>
      <c r="D29" s="2603">
        <v>41.792000000000002</v>
      </c>
      <c r="E29" s="2603">
        <v>50.873278485999997</v>
      </c>
      <c r="F29" s="2603">
        <v>84.997204409000005</v>
      </c>
      <c r="G29" s="2603">
        <v>122.55989049999999</v>
      </c>
      <c r="H29" s="2603">
        <v>107.083598814</v>
      </c>
      <c r="I29" s="2603">
        <v>192.90848600499999</v>
      </c>
      <c r="J29" s="2603">
        <v>556.19793539700004</v>
      </c>
      <c r="K29" s="2603">
        <v>368.964010051</v>
      </c>
      <c r="L29" s="2603">
        <v>265.93858307800002</v>
      </c>
      <c r="M29" s="2603">
        <v>320.02694789899999</v>
      </c>
      <c r="N29" s="2603">
        <v>380.80928178400001</v>
      </c>
      <c r="O29" s="2603">
        <v>476.42150122599998</v>
      </c>
      <c r="P29" s="2603">
        <v>845.22876085400003</v>
      </c>
      <c r="Q29" s="2603">
        <v>767.00037149900004</v>
      </c>
      <c r="R29" s="2603">
        <v>658.77547987499997</v>
      </c>
      <c r="S29" s="2603">
        <v>491.31595306700001</v>
      </c>
      <c r="T29" s="2603">
        <v>480.83335241499998</v>
      </c>
      <c r="U29" s="2603">
        <v>595.81303019200004</v>
      </c>
      <c r="V29" s="2603">
        <v>719.20307456900002</v>
      </c>
      <c r="W29" s="2605">
        <v>869.49161829599996</v>
      </c>
      <c r="X29" s="2606">
        <v>707.75</v>
      </c>
      <c r="Y29" s="2195">
        <v>1128.6847917570001</v>
      </c>
      <c r="Z29" s="2195"/>
      <c r="AA29" s="2603"/>
      <c r="AB29" s="3072">
        <v>1194.7027713089999</v>
      </c>
      <c r="AC29" s="2200">
        <v>950.33304509300001</v>
      </c>
      <c r="AD29" s="2195">
        <v>1003.092487869</v>
      </c>
      <c r="AE29" s="2195">
        <v>869.49526561300002</v>
      </c>
      <c r="AF29" s="2195">
        <v>819.71753259599996</v>
      </c>
      <c r="AG29" s="3061">
        <v>853.76584460499998</v>
      </c>
      <c r="AH29" s="2195">
        <v>900.12185611400002</v>
      </c>
      <c r="AI29" s="3565">
        <v>707.75</v>
      </c>
      <c r="AJ29" s="3560">
        <v>894.960947874</v>
      </c>
      <c r="AK29" s="1972">
        <v>988.04118177800001</v>
      </c>
      <c r="AL29" s="1972">
        <v>1196.8552080540001</v>
      </c>
      <c r="AM29" s="1972">
        <v>1091.2444843210001</v>
      </c>
      <c r="AN29" s="1972">
        <v>783.12521398599995</v>
      </c>
      <c r="AO29" s="1972"/>
      <c r="AP29" s="3569"/>
      <c r="AS29" s="2305" t="s">
        <v>1378</v>
      </c>
      <c r="AT29" s="2305">
        <v>936.91630772200006</v>
      </c>
      <c r="AU29" s="2305">
        <v>860.48015254100005</v>
      </c>
      <c r="AV29" s="2305">
        <v>874.03672366499995</v>
      </c>
      <c r="AW29" s="2305">
        <v>656.23985089099995</v>
      </c>
      <c r="AX29" s="2305">
        <v>677.41767248300005</v>
      </c>
      <c r="AY29" s="2305">
        <v>641.27814437500001</v>
      </c>
      <c r="AZ29" s="2305">
        <v>543.71155644299995</v>
      </c>
      <c r="BA29" s="2305">
        <v>434.62198868399997</v>
      </c>
      <c r="BB29" s="2305">
        <v>548.47521020700003</v>
      </c>
      <c r="BC29" s="2305">
        <v>522.710577339</v>
      </c>
      <c r="BD29" s="2305">
        <v>529.15481536799996</v>
      </c>
      <c r="BE29" s="2305">
        <v>459.20889323900002</v>
      </c>
      <c r="BF29" s="2305">
        <v>603.96755292299997</v>
      </c>
      <c r="BG29" s="2305">
        <v>632.60539904200004</v>
      </c>
      <c r="BH29" s="2305">
        <v>629.74988333299996</v>
      </c>
      <c r="BI29" s="2305">
        <v>595.81004019199997</v>
      </c>
      <c r="BJ29" s="2305">
        <v>793.79686217999995</v>
      </c>
      <c r="BK29" s="2305">
        <v>875.15467944600005</v>
      </c>
      <c r="BL29" s="2305">
        <v>1033.125403561</v>
      </c>
      <c r="BM29" s="2305">
        <v>741.72441422500003</v>
      </c>
      <c r="BN29" s="2305">
        <v>1194.7027713089999</v>
      </c>
      <c r="BO29" s="2305">
        <v>950.33304509300001</v>
      </c>
      <c r="BP29" s="2305">
        <v>1003.092487869</v>
      </c>
    </row>
    <row r="30" spans="1:68" ht="15">
      <c r="A30" s="2602" t="s">
        <v>516</v>
      </c>
      <c r="B30" s="2603">
        <v>0</v>
      </c>
      <c r="C30" s="2603">
        <v>0</v>
      </c>
      <c r="D30" s="2603">
        <v>0</v>
      </c>
      <c r="E30" s="2603">
        <v>-0.72690927000000005</v>
      </c>
      <c r="F30" s="2603">
        <v>-1.847E-2</v>
      </c>
      <c r="G30" s="2603">
        <v>-6.7949030840000004</v>
      </c>
      <c r="H30" s="2603">
        <v>-18.818834833</v>
      </c>
      <c r="I30" s="2603">
        <v>-22.142914737000002</v>
      </c>
      <c r="J30" s="2603">
        <v>-58.527272484999997</v>
      </c>
      <c r="K30" s="2603">
        <v>-104.561298964</v>
      </c>
      <c r="L30" s="2603">
        <v>-181.02702720600001</v>
      </c>
      <c r="M30" s="2603">
        <v>-240.27169795200001</v>
      </c>
      <c r="N30" s="2603">
        <v>-243.083068411</v>
      </c>
      <c r="O30" s="2603">
        <v>-282.202226182</v>
      </c>
      <c r="P30" s="2603">
        <v>-142.68823154</v>
      </c>
      <c r="Q30" s="2603">
        <v>-180.51879738700001</v>
      </c>
      <c r="R30" s="2603">
        <v>-264.666908906</v>
      </c>
      <c r="S30" s="2603">
        <v>-361.51561475300002</v>
      </c>
      <c r="T30" s="2603">
        <v>-622.65478618300006</v>
      </c>
      <c r="U30" s="2603">
        <v>-529.99596223900005</v>
      </c>
      <c r="V30" s="2603">
        <v>-699.43602325300003</v>
      </c>
      <c r="W30" s="2605">
        <v>-912.15664507999998</v>
      </c>
      <c r="X30" s="2606">
        <v>-619.53</v>
      </c>
      <c r="Y30" s="2195">
        <v>-586.16674427400005</v>
      </c>
      <c r="Z30" s="2195"/>
      <c r="AA30" s="2603"/>
      <c r="AB30" s="3072">
        <v>-747.99133067599996</v>
      </c>
      <c r="AC30" s="2200">
        <v>-762.28744591999998</v>
      </c>
      <c r="AD30" s="2195">
        <v>-810.60193966099996</v>
      </c>
      <c r="AE30" s="2195">
        <v>-912.15664507999998</v>
      </c>
      <c r="AF30" s="2195">
        <v>-978.16022758600002</v>
      </c>
      <c r="AG30" s="3061">
        <v>-985.07683077499996</v>
      </c>
      <c r="AH30" s="2195">
        <v>-618.59875182099995</v>
      </c>
      <c r="AI30" s="3570">
        <v>-619.53</v>
      </c>
      <c r="AJ30" s="3560">
        <v>-570.65254311800004</v>
      </c>
      <c r="AK30" s="1972">
        <v>-618.18310114300004</v>
      </c>
      <c r="AL30" s="1972">
        <v>-613.25840011900004</v>
      </c>
      <c r="AM30" s="1972">
        <v>-586.16674427400005</v>
      </c>
      <c r="AN30" s="1972">
        <v>-342.38916883799999</v>
      </c>
      <c r="AO30" s="1972"/>
      <c r="AP30" s="3569"/>
      <c r="AS30" s="2305" t="s">
        <v>1379</v>
      </c>
      <c r="AT30" s="2305">
        <v>-196.122158912</v>
      </c>
      <c r="AU30" s="2305">
        <v>-213.179482425</v>
      </c>
      <c r="AV30" s="2305">
        <v>-244.05451897500001</v>
      </c>
      <c r="AW30" s="2305">
        <v>-264.666908906</v>
      </c>
      <c r="AX30" s="2305">
        <v>-270.528049495</v>
      </c>
      <c r="AY30" s="2305">
        <v>-281.29513121799999</v>
      </c>
      <c r="AZ30" s="2305">
        <v>-297.59216892400002</v>
      </c>
      <c r="BA30" s="2305">
        <v>-361.51561475300002</v>
      </c>
      <c r="BB30" s="2305">
        <v>-373.55999428899997</v>
      </c>
      <c r="BC30" s="2305">
        <v>-432.907776281</v>
      </c>
      <c r="BD30" s="2305">
        <v>-476.45457900500003</v>
      </c>
      <c r="BE30" s="2305">
        <v>-626.962878219</v>
      </c>
      <c r="BF30" s="2305">
        <v>-492.49300695400001</v>
      </c>
      <c r="BG30" s="2305">
        <v>-508.04535244599998</v>
      </c>
      <c r="BH30" s="2305">
        <v>-520.96617911099997</v>
      </c>
      <c r="BI30" s="2305">
        <v>-529.99596223900005</v>
      </c>
      <c r="BJ30" s="2305">
        <v>-558.81170378499996</v>
      </c>
      <c r="BK30" s="2305">
        <v>-571.28849348100005</v>
      </c>
      <c r="BL30" s="2305">
        <v>-610.43567747999998</v>
      </c>
      <c r="BM30" s="2305">
        <v>-701.90200960100003</v>
      </c>
      <c r="BN30" s="2305">
        <v>-747.99133067599996</v>
      </c>
      <c r="BO30" s="2305">
        <v>-762.28744591999998</v>
      </c>
      <c r="BP30" s="2305">
        <v>-810.60193966099996</v>
      </c>
    </row>
    <row r="31" spans="1:68" ht="15">
      <c r="A31" s="2602" t="s">
        <v>517</v>
      </c>
      <c r="B31" s="2603">
        <v>0</v>
      </c>
      <c r="C31" s="2603">
        <v>0</v>
      </c>
      <c r="D31" s="2603">
        <v>0</v>
      </c>
      <c r="E31" s="2603">
        <v>0</v>
      </c>
      <c r="F31" s="2603">
        <v>0</v>
      </c>
      <c r="G31" s="2603">
        <v>0</v>
      </c>
      <c r="H31" s="2603">
        <v>0</v>
      </c>
      <c r="I31" s="2603">
        <v>0</v>
      </c>
      <c r="J31" s="2603">
        <v>0</v>
      </c>
      <c r="K31" s="2603">
        <v>0</v>
      </c>
      <c r="L31" s="2603">
        <v>0</v>
      </c>
      <c r="M31" s="2603">
        <v>0</v>
      </c>
      <c r="N31" s="2603">
        <v>0</v>
      </c>
      <c r="O31" s="2603">
        <v>0</v>
      </c>
      <c r="P31" s="2603">
        <v>0</v>
      </c>
      <c r="Q31" s="2603">
        <v>0</v>
      </c>
      <c r="R31" s="2603">
        <v>0</v>
      </c>
      <c r="S31" s="2603">
        <v>0</v>
      </c>
      <c r="T31" s="2603">
        <v>0</v>
      </c>
      <c r="U31" s="2603">
        <v>0</v>
      </c>
      <c r="V31" s="2603">
        <v>0</v>
      </c>
      <c r="W31" s="2605">
        <v>0</v>
      </c>
      <c r="X31" s="2606">
        <v>0</v>
      </c>
      <c r="Y31" s="2195">
        <v>0</v>
      </c>
      <c r="Z31" s="2195"/>
      <c r="AA31" s="2603"/>
      <c r="AB31" s="3072">
        <v>0</v>
      </c>
      <c r="AC31" s="2200">
        <v>0</v>
      </c>
      <c r="AD31" s="2195">
        <v>0</v>
      </c>
      <c r="AE31" s="2195">
        <v>0</v>
      </c>
      <c r="AF31" s="2195">
        <v>0</v>
      </c>
      <c r="AG31" s="3061">
        <v>0</v>
      </c>
      <c r="AH31" s="2195">
        <v>0</v>
      </c>
      <c r="AI31" s="3565">
        <v>0</v>
      </c>
      <c r="AJ31" s="3560">
        <v>0</v>
      </c>
      <c r="AK31" s="1972">
        <v>0</v>
      </c>
      <c r="AL31" s="1972">
        <v>0</v>
      </c>
      <c r="AM31" s="1972">
        <v>0</v>
      </c>
      <c r="AN31" s="1972">
        <v>0</v>
      </c>
      <c r="AO31" s="1972"/>
      <c r="AP31" s="3569"/>
      <c r="AS31" s="2305" t="s">
        <v>1380</v>
      </c>
      <c r="AT31" s="2305">
        <v>0</v>
      </c>
      <c r="AU31" s="2305">
        <v>0</v>
      </c>
      <c r="AV31" s="2305">
        <v>0</v>
      </c>
      <c r="AW31" s="2305">
        <v>0</v>
      </c>
      <c r="AX31" s="2305">
        <v>0</v>
      </c>
      <c r="AY31" s="2305">
        <v>0</v>
      </c>
      <c r="AZ31" s="2305">
        <v>0</v>
      </c>
      <c r="BA31" s="2305">
        <v>0</v>
      </c>
      <c r="BB31" s="2305">
        <v>0</v>
      </c>
      <c r="BC31" s="2305">
        <v>0</v>
      </c>
      <c r="BD31" s="2305">
        <v>0</v>
      </c>
      <c r="BE31" s="2305">
        <v>0</v>
      </c>
      <c r="BF31" s="2305">
        <v>0</v>
      </c>
      <c r="BG31" s="2305">
        <v>0</v>
      </c>
      <c r="BH31" s="2305">
        <v>0</v>
      </c>
      <c r="BI31" s="2305">
        <v>0</v>
      </c>
      <c r="BJ31" s="2305">
        <v>0</v>
      </c>
      <c r="BK31" s="2305">
        <v>0</v>
      </c>
      <c r="BL31" s="2305">
        <v>0</v>
      </c>
      <c r="BM31" s="2305">
        <v>0</v>
      </c>
      <c r="BN31" s="2305">
        <v>0</v>
      </c>
      <c r="BO31" s="2305">
        <v>0</v>
      </c>
      <c r="BP31" s="2305">
        <v>0</v>
      </c>
    </row>
    <row r="32" spans="1:68" ht="15">
      <c r="A32" s="2602" t="s">
        <v>436</v>
      </c>
      <c r="B32" s="2603">
        <v>124.333</v>
      </c>
      <c r="C32" s="2603">
        <v>206.90899999999999</v>
      </c>
      <c r="D32" s="2603">
        <v>355.82400000000001</v>
      </c>
      <c r="E32" s="2603">
        <v>384.295847493</v>
      </c>
      <c r="F32" s="2603">
        <v>584.48519439400002</v>
      </c>
      <c r="G32" s="2603">
        <v>1428.218348569</v>
      </c>
      <c r="H32" s="2603">
        <v>1223.957881179</v>
      </c>
      <c r="I32" s="2603">
        <v>1426.0433186610001</v>
      </c>
      <c r="J32" s="2603">
        <v>2448.4718986900002</v>
      </c>
      <c r="K32" s="2603">
        <v>3275.8498004329999</v>
      </c>
      <c r="L32" s="2603">
        <v>2699.5088066520002</v>
      </c>
      <c r="M32" s="2603">
        <v>3328.8809618099999</v>
      </c>
      <c r="N32" s="2603">
        <v>4572.6361841400003</v>
      </c>
      <c r="O32" s="2603">
        <v>5268.0996172200003</v>
      </c>
      <c r="P32" s="2603">
        <v>4553.8084759490002</v>
      </c>
      <c r="Q32" s="2603">
        <v>1020.21242359</v>
      </c>
      <c r="R32" s="2603">
        <v>1340.687216347</v>
      </c>
      <c r="S32" s="2603">
        <v>1284.2007339429999</v>
      </c>
      <c r="T32" s="2603">
        <v>1290.0915243520001</v>
      </c>
      <c r="U32" s="2603">
        <v>1507.342901619</v>
      </c>
      <c r="V32" s="2603">
        <v>1965.787736563</v>
      </c>
      <c r="W32" s="2604">
        <v>1593.411075233</v>
      </c>
      <c r="X32" s="2605">
        <v>1856.76</v>
      </c>
      <c r="Y32" s="2225">
        <v>2167.1886829189998</v>
      </c>
      <c r="Z32" s="2215"/>
      <c r="AA32" s="2603"/>
      <c r="AB32" s="3072">
        <v>2085.3094462260001</v>
      </c>
      <c r="AC32" s="2227">
        <v>2028.260743417</v>
      </c>
      <c r="AD32" s="2225">
        <v>1757.5475117850001</v>
      </c>
      <c r="AE32" s="2215">
        <v>1593.411075233</v>
      </c>
      <c r="AF32" s="2215">
        <v>1856.4036414689999</v>
      </c>
      <c r="AG32" s="3060">
        <v>1883.5177816830001</v>
      </c>
      <c r="AH32" s="2215">
        <v>2059.1109743219999</v>
      </c>
      <c r="AI32" s="3568">
        <v>1856.76</v>
      </c>
      <c r="AJ32" s="3559">
        <v>2107.939084995</v>
      </c>
      <c r="AK32" s="3079">
        <v>2074.111218172</v>
      </c>
      <c r="AL32" s="3079">
        <v>2050.3159100170001</v>
      </c>
      <c r="AM32" s="3079">
        <v>2193.7698023389999</v>
      </c>
      <c r="AN32" s="3079">
        <v>1094.571460159</v>
      </c>
      <c r="AO32" s="3079"/>
      <c r="AP32" s="3567"/>
      <c r="AS32" s="2304" t="s">
        <v>1381</v>
      </c>
      <c r="AT32" s="2304">
        <v>1181.169445667</v>
      </c>
      <c r="AU32" s="2304">
        <v>1276.1582518069999</v>
      </c>
      <c r="AV32" s="2304">
        <v>1545.2440457299999</v>
      </c>
      <c r="AW32" s="2304">
        <v>1340.687216347</v>
      </c>
      <c r="AX32" s="2304">
        <v>1465.4884001959999</v>
      </c>
      <c r="AY32" s="2304">
        <v>1508.550852201</v>
      </c>
      <c r="AZ32" s="2304">
        <v>1425.1722579530001</v>
      </c>
      <c r="BA32" s="2304">
        <v>1284.2007339429999</v>
      </c>
      <c r="BB32" s="2304">
        <v>1209.8398632989999</v>
      </c>
      <c r="BC32" s="2304">
        <v>1300.202611747</v>
      </c>
      <c r="BD32" s="2304">
        <v>1295.5481771889999</v>
      </c>
      <c r="BE32" s="2304">
        <v>1290.0915243520001</v>
      </c>
      <c r="BF32" s="2304">
        <v>1638.474324623</v>
      </c>
      <c r="BG32" s="2304">
        <v>1849.606883871</v>
      </c>
      <c r="BH32" s="2304">
        <v>1955.0720579429999</v>
      </c>
      <c r="BI32" s="2304">
        <v>1507.342901619</v>
      </c>
      <c r="BJ32" s="2304">
        <v>1841.8947214299999</v>
      </c>
      <c r="BK32" s="2304">
        <v>2207.460290255</v>
      </c>
      <c r="BL32" s="2304">
        <v>2188.156229832</v>
      </c>
      <c r="BM32" s="2304">
        <v>1965.787736563</v>
      </c>
      <c r="BN32" s="2304">
        <v>2085.3094462260001</v>
      </c>
      <c r="BO32" s="2304">
        <v>2028.260743417</v>
      </c>
      <c r="BP32" s="2304">
        <v>1757.5475117850001</v>
      </c>
    </row>
    <row r="33" spans="1:68" ht="15">
      <c r="A33" s="2602" t="s">
        <v>518</v>
      </c>
      <c r="B33" s="2603">
        <v>124.333</v>
      </c>
      <c r="C33" s="2603">
        <v>206.90899999999999</v>
      </c>
      <c r="D33" s="2603">
        <v>355.82400000000001</v>
      </c>
      <c r="E33" s="2603">
        <v>384.295847493</v>
      </c>
      <c r="F33" s="2603">
        <v>584.48519439400002</v>
      </c>
      <c r="G33" s="2603">
        <v>1430.100351304</v>
      </c>
      <c r="H33" s="2603">
        <v>1230.8720648999999</v>
      </c>
      <c r="I33" s="2603">
        <v>1434.7090596380001</v>
      </c>
      <c r="J33" s="2603">
        <v>2460.4537180409998</v>
      </c>
      <c r="K33" s="2603">
        <v>3294.682950896</v>
      </c>
      <c r="L33" s="2603">
        <v>2710.301221144</v>
      </c>
      <c r="M33" s="2603">
        <v>3353.8055932389998</v>
      </c>
      <c r="N33" s="2603">
        <v>4652.3332449830004</v>
      </c>
      <c r="O33" s="2603">
        <v>5332.0316543620002</v>
      </c>
      <c r="P33" s="2603">
        <v>4617.0301395160004</v>
      </c>
      <c r="Q33" s="2603">
        <v>1024.0439525229999</v>
      </c>
      <c r="R33" s="2603">
        <v>1401.3026663779999</v>
      </c>
      <c r="S33" s="2603">
        <v>1349.9589013929999</v>
      </c>
      <c r="T33" s="2603">
        <v>1405.083502315</v>
      </c>
      <c r="U33" s="2603">
        <v>1623.315328554</v>
      </c>
      <c r="V33" s="2603">
        <v>2121.1180395619999</v>
      </c>
      <c r="W33" s="2605">
        <v>1724.956924671</v>
      </c>
      <c r="X33" s="2605">
        <v>1990.22</v>
      </c>
      <c r="Y33" s="2195">
        <v>2250.812490757</v>
      </c>
      <c r="Z33" s="2195"/>
      <c r="AA33" s="2603"/>
      <c r="AB33" s="3072">
        <v>2236.2673372240001</v>
      </c>
      <c r="AC33" s="2200">
        <v>2178.8248468940001</v>
      </c>
      <c r="AD33" s="2195">
        <v>1896.440753051</v>
      </c>
      <c r="AE33" s="2195">
        <v>1724.956924671</v>
      </c>
      <c r="AF33" s="2195">
        <v>1996.5979491200001</v>
      </c>
      <c r="AG33" s="3061">
        <v>2020.867809584</v>
      </c>
      <c r="AH33" s="2195">
        <v>2193.9609547939999</v>
      </c>
      <c r="AI33" s="3568">
        <v>1990.22</v>
      </c>
      <c r="AJ33" s="3560">
        <v>2238.8731668589999</v>
      </c>
      <c r="AK33" s="1972">
        <v>2157.8141169390001</v>
      </c>
      <c r="AL33" s="1972">
        <v>2134.3469139829999</v>
      </c>
      <c r="AM33" s="1972">
        <v>2277.393610177</v>
      </c>
      <c r="AN33" s="1972">
        <v>1163.8446585429999</v>
      </c>
      <c r="AO33" s="1972"/>
      <c r="AP33" s="3569"/>
      <c r="AS33" s="2305" t="s">
        <v>1382</v>
      </c>
      <c r="AT33" s="2305">
        <v>1184.5165927820001</v>
      </c>
      <c r="AU33" s="2305">
        <v>1279.505398922</v>
      </c>
      <c r="AV33" s="2305">
        <v>1548.591192845</v>
      </c>
      <c r="AW33" s="2305">
        <v>1401.3026663779999</v>
      </c>
      <c r="AX33" s="2305">
        <v>1526.1038502270001</v>
      </c>
      <c r="AY33" s="2305">
        <v>1580.2949331530001</v>
      </c>
      <c r="AZ33" s="2305">
        <v>1491.0949751539999</v>
      </c>
      <c r="BA33" s="2305">
        <v>1349.9589013929999</v>
      </c>
      <c r="BB33" s="2305">
        <v>1285.5980307489999</v>
      </c>
      <c r="BC33" s="2305">
        <v>1375.2537145020001</v>
      </c>
      <c r="BD33" s="2305">
        <v>1375.484867442</v>
      </c>
      <c r="BE33" s="2305">
        <v>1405.083502315</v>
      </c>
      <c r="BF33" s="2305">
        <v>1760.6421566399999</v>
      </c>
      <c r="BG33" s="2305">
        <v>1975.988437987</v>
      </c>
      <c r="BH33" s="2305">
        <v>2075.6493927420001</v>
      </c>
      <c r="BI33" s="2305">
        <v>1623.315328554</v>
      </c>
      <c r="BJ33" s="2305">
        <v>1949.021697571</v>
      </c>
      <c r="BK33" s="2305">
        <v>2307.2208874889998</v>
      </c>
      <c r="BL33" s="2305">
        <v>2296.5132654089998</v>
      </c>
      <c r="BM33" s="2305">
        <v>2121.1180395619999</v>
      </c>
      <c r="BN33" s="2305">
        <v>2236.2673372240001</v>
      </c>
      <c r="BO33" s="2305">
        <v>2178.8248468940001</v>
      </c>
      <c r="BP33" s="2305">
        <v>1896.440753051</v>
      </c>
    </row>
    <row r="34" spans="1:68" ht="15">
      <c r="A34" s="2602" t="s">
        <v>519</v>
      </c>
      <c r="B34" s="2603">
        <v>0</v>
      </c>
      <c r="C34" s="2603">
        <v>0</v>
      </c>
      <c r="D34" s="2603">
        <v>0</v>
      </c>
      <c r="E34" s="2603">
        <v>0</v>
      </c>
      <c r="F34" s="2603">
        <v>0</v>
      </c>
      <c r="G34" s="2603">
        <v>-1.8820027349999999</v>
      </c>
      <c r="H34" s="2603">
        <v>-6.9141837209999997</v>
      </c>
      <c r="I34" s="2603">
        <v>-8.6657409770000005</v>
      </c>
      <c r="J34" s="2603">
        <v>-11.981819351</v>
      </c>
      <c r="K34" s="2603">
        <v>-18.833150462999999</v>
      </c>
      <c r="L34" s="2603">
        <v>-10.792414492000001</v>
      </c>
      <c r="M34" s="2603">
        <v>-24.924631429000002</v>
      </c>
      <c r="N34" s="2603">
        <v>-79.697060843000003</v>
      </c>
      <c r="O34" s="2603">
        <v>-63.932037141999999</v>
      </c>
      <c r="P34" s="2603">
        <v>-63.221663567</v>
      </c>
      <c r="Q34" s="2603">
        <v>-3.831528933</v>
      </c>
      <c r="R34" s="2603">
        <v>-60.615450031000002</v>
      </c>
      <c r="S34" s="2603">
        <v>-65.758167450000002</v>
      </c>
      <c r="T34" s="2603">
        <v>-114.991977963</v>
      </c>
      <c r="U34" s="2603">
        <v>-115.972426935</v>
      </c>
      <c r="V34" s="2603">
        <v>-155.330302999</v>
      </c>
      <c r="W34" s="2605">
        <v>-131.545849438</v>
      </c>
      <c r="X34" s="2606">
        <v>-133.47</v>
      </c>
      <c r="Y34" s="2195">
        <v>-83.623807838000005</v>
      </c>
      <c r="Z34" s="2195"/>
      <c r="AA34" s="2603"/>
      <c r="AB34" s="3072">
        <v>-150.95789099800001</v>
      </c>
      <c r="AC34" s="2200">
        <v>-150.564103477</v>
      </c>
      <c r="AD34" s="2195">
        <v>-138.89324126599999</v>
      </c>
      <c r="AE34" s="2195">
        <v>-131.545849438</v>
      </c>
      <c r="AF34" s="2195">
        <v>-140.194307651</v>
      </c>
      <c r="AG34" s="3061">
        <v>-137.350027901</v>
      </c>
      <c r="AH34" s="2195">
        <v>-134.849980472</v>
      </c>
      <c r="AI34" s="3570">
        <v>-133.47</v>
      </c>
      <c r="AJ34" s="3560">
        <v>-130.93408186400001</v>
      </c>
      <c r="AK34" s="1972">
        <v>-83.702898766999994</v>
      </c>
      <c r="AL34" s="1972">
        <v>-84.031003966</v>
      </c>
      <c r="AM34" s="1972">
        <v>-83.623807838000005</v>
      </c>
      <c r="AN34" s="1972">
        <v>-69.273198383999997</v>
      </c>
      <c r="AO34" s="1972"/>
      <c r="AP34" s="3569"/>
      <c r="AS34" s="2305" t="s">
        <v>1383</v>
      </c>
      <c r="AT34" s="2305">
        <v>-3.3471471149999998</v>
      </c>
      <c r="AU34" s="2305">
        <v>-3.3471471149999998</v>
      </c>
      <c r="AV34" s="2305">
        <v>-3.3471471149999998</v>
      </c>
      <c r="AW34" s="2305">
        <v>-60.615450031000002</v>
      </c>
      <c r="AX34" s="2305">
        <v>-60.615450031000002</v>
      </c>
      <c r="AY34" s="2305">
        <v>-71.744080952000004</v>
      </c>
      <c r="AZ34" s="2305">
        <v>-65.922717200999998</v>
      </c>
      <c r="BA34" s="2305">
        <v>-65.758167450000002</v>
      </c>
      <c r="BB34" s="2305">
        <v>-75.758167450000002</v>
      </c>
      <c r="BC34" s="2305">
        <v>-75.051102755000002</v>
      </c>
      <c r="BD34" s="2305">
        <v>-79.936690252999995</v>
      </c>
      <c r="BE34" s="2305">
        <v>-114.991977963</v>
      </c>
      <c r="BF34" s="2305">
        <v>-122.16783201699999</v>
      </c>
      <c r="BG34" s="2305">
        <v>-126.381554116</v>
      </c>
      <c r="BH34" s="2305">
        <v>-120.577334799</v>
      </c>
      <c r="BI34" s="2305">
        <v>-115.972426935</v>
      </c>
      <c r="BJ34" s="2305">
        <v>-107.126976141</v>
      </c>
      <c r="BK34" s="2305">
        <v>-99.760597234000002</v>
      </c>
      <c r="BL34" s="2305">
        <v>-108.357035577</v>
      </c>
      <c r="BM34" s="2305">
        <v>-155.330302999</v>
      </c>
      <c r="BN34" s="2305">
        <v>-150.95789099800001</v>
      </c>
      <c r="BO34" s="2305">
        <v>-150.564103477</v>
      </c>
      <c r="BP34" s="2305">
        <v>-138.89324126599999</v>
      </c>
    </row>
    <row r="35" spans="1:68" ht="15">
      <c r="A35" s="2602" t="s">
        <v>33</v>
      </c>
      <c r="B35" s="2603">
        <v>6.9560000000000004</v>
      </c>
      <c r="C35" s="2603">
        <v>10.618</v>
      </c>
      <c r="D35" s="2603">
        <v>10.363</v>
      </c>
      <c r="E35" s="2603">
        <v>23.957925970000002</v>
      </c>
      <c r="F35" s="2603">
        <v>63.598186939999998</v>
      </c>
      <c r="G35" s="2603">
        <v>169.60569927500001</v>
      </c>
      <c r="H35" s="2603">
        <v>197.63250581599999</v>
      </c>
      <c r="I35" s="2603">
        <v>776.65114266800003</v>
      </c>
      <c r="J35" s="2603">
        <v>1141.654182963</v>
      </c>
      <c r="K35" s="2603">
        <v>551.38442899999995</v>
      </c>
      <c r="L35" s="2603">
        <v>773.38347371700002</v>
      </c>
      <c r="M35" s="2603">
        <v>973.40763070499997</v>
      </c>
      <c r="N35" s="2603">
        <v>1548.1631906800001</v>
      </c>
      <c r="O35" s="2603">
        <v>1954.5494377749999</v>
      </c>
      <c r="P35" s="2603">
        <v>1229.2698841399999</v>
      </c>
      <c r="Q35" s="2603">
        <v>1027.8372707860001</v>
      </c>
      <c r="R35" s="2603">
        <v>1144.10279719</v>
      </c>
      <c r="S35" s="2603">
        <v>996.35746647099995</v>
      </c>
      <c r="T35" s="2603">
        <v>588.32017044600002</v>
      </c>
      <c r="U35" s="2603">
        <v>580.28107554200005</v>
      </c>
      <c r="V35" s="2603">
        <v>981.61687146700001</v>
      </c>
      <c r="W35" s="2605">
        <v>1054.6353980680001</v>
      </c>
      <c r="X35" s="2605">
        <v>1197.01</v>
      </c>
      <c r="Y35" s="2195">
        <v>1381.8131112640001</v>
      </c>
      <c r="Z35" s="2195"/>
      <c r="AA35" s="2603"/>
      <c r="AB35" s="3072">
        <v>995.10590257399997</v>
      </c>
      <c r="AC35" s="2200">
        <v>1035.254520683</v>
      </c>
      <c r="AD35" s="2195">
        <v>1183.2551261839999</v>
      </c>
      <c r="AE35" s="2195">
        <v>1198.8351806779999</v>
      </c>
      <c r="AF35" s="2195">
        <v>1196.256798381</v>
      </c>
      <c r="AG35" s="3061">
        <v>1194.7982840940001</v>
      </c>
      <c r="AH35" s="2195">
        <v>1292.6165000840001</v>
      </c>
      <c r="AI35" s="3568">
        <v>1197.01</v>
      </c>
      <c r="AJ35" s="3560">
        <v>1445.7172134499999</v>
      </c>
      <c r="AK35" s="1972">
        <v>1472.7244339250001</v>
      </c>
      <c r="AL35" s="1972">
        <v>1526.548213325</v>
      </c>
      <c r="AM35" s="1972">
        <v>1388.558535032</v>
      </c>
      <c r="AN35" s="1972">
        <v>1340.1977938540001</v>
      </c>
      <c r="AO35" s="1972"/>
      <c r="AP35" s="3569"/>
      <c r="AS35" s="2305" t="s">
        <v>1384</v>
      </c>
      <c r="AT35" s="2305">
        <v>1125.8905755010001</v>
      </c>
      <c r="AU35" s="2305">
        <v>1125.8479810609999</v>
      </c>
      <c r="AV35" s="2305">
        <v>1162.339111731</v>
      </c>
      <c r="AW35" s="2305">
        <v>1114.432004387</v>
      </c>
      <c r="AX35" s="2305">
        <v>1174.4354324609999</v>
      </c>
      <c r="AY35" s="2305">
        <v>915.06667219899998</v>
      </c>
      <c r="AZ35" s="2305">
        <v>955.13398187799999</v>
      </c>
      <c r="BA35" s="2305">
        <v>997.87007236900001</v>
      </c>
      <c r="BB35" s="2305">
        <v>945.03051163400005</v>
      </c>
      <c r="BC35" s="2305">
        <v>867.22714546099996</v>
      </c>
      <c r="BD35" s="2305">
        <v>949.40771326499998</v>
      </c>
      <c r="BE35" s="2305">
        <v>934.44432087200005</v>
      </c>
      <c r="BF35" s="2305">
        <v>995.60608775399999</v>
      </c>
      <c r="BG35" s="2305">
        <v>597.34512168699996</v>
      </c>
      <c r="BH35" s="2305">
        <v>543.53008480100004</v>
      </c>
      <c r="BI35" s="2305">
        <v>578.55568723600004</v>
      </c>
      <c r="BJ35" s="2305">
        <v>708.092273105</v>
      </c>
      <c r="BK35" s="2305">
        <v>717.27638069399995</v>
      </c>
      <c r="BL35" s="2305">
        <v>770.339782743</v>
      </c>
      <c r="BM35" s="2305">
        <v>981.73530367599994</v>
      </c>
      <c r="BN35" s="2305">
        <v>995.10590257399997</v>
      </c>
      <c r="BO35" s="2305">
        <v>1035.254520683</v>
      </c>
      <c r="BP35" s="2305">
        <v>1183.2551261839999</v>
      </c>
    </row>
    <row r="36" spans="1:68" ht="15">
      <c r="A36" s="2602" t="s">
        <v>520</v>
      </c>
      <c r="B36" s="2603">
        <v>0</v>
      </c>
      <c r="C36" s="2603">
        <v>0</v>
      </c>
      <c r="D36" s="2603">
        <v>0</v>
      </c>
      <c r="E36" s="2603">
        <v>4.0596580769999999</v>
      </c>
      <c r="F36" s="2603">
        <v>17.262964358000001</v>
      </c>
      <c r="G36" s="2603">
        <v>35.806669927000002</v>
      </c>
      <c r="H36" s="2603">
        <v>40.370582395</v>
      </c>
      <c r="I36" s="2603">
        <v>93.984073972999994</v>
      </c>
      <c r="J36" s="2603">
        <v>72.424202825999998</v>
      </c>
      <c r="K36" s="2603">
        <v>81.837721115999997</v>
      </c>
      <c r="L36" s="2603">
        <v>114.20168223</v>
      </c>
      <c r="M36" s="2603">
        <v>178.52996911899999</v>
      </c>
      <c r="N36" s="2603">
        <v>592.79447966199996</v>
      </c>
      <c r="O36" s="2603">
        <v>829.52143443600005</v>
      </c>
      <c r="P36" s="2603">
        <v>700.73699946500005</v>
      </c>
      <c r="Q36" s="2603">
        <v>759.94804985300004</v>
      </c>
      <c r="R36" s="2603">
        <v>962.47797592999996</v>
      </c>
      <c r="S36" s="2603">
        <v>692.50077186099998</v>
      </c>
      <c r="T36" s="2603">
        <v>274.48173869499999</v>
      </c>
      <c r="U36" s="2603">
        <v>290.95047296899997</v>
      </c>
      <c r="V36" s="2603">
        <v>409.346699247</v>
      </c>
      <c r="W36" s="2605">
        <v>449.24573786500002</v>
      </c>
      <c r="X36" s="2606">
        <v>479.71</v>
      </c>
      <c r="Y36" s="2195">
        <v>641.07024059599996</v>
      </c>
      <c r="Z36" s="2195"/>
      <c r="AA36" s="2603"/>
      <c r="AB36" s="3072">
        <v>503.24587408999997</v>
      </c>
      <c r="AC36" s="2200">
        <v>516.74183553299997</v>
      </c>
      <c r="AD36" s="2195">
        <v>629.74816645400006</v>
      </c>
      <c r="AE36" s="2195">
        <v>582.94983201100001</v>
      </c>
      <c r="AF36" s="2195">
        <v>626.34362822499997</v>
      </c>
      <c r="AG36" s="3061">
        <v>581.24602948400002</v>
      </c>
      <c r="AH36" s="2195">
        <v>617.79847544699999</v>
      </c>
      <c r="AI36" s="3565">
        <v>479.71</v>
      </c>
      <c r="AJ36" s="3560">
        <v>664.88094482500003</v>
      </c>
      <c r="AK36" s="1972">
        <v>721.17264934000002</v>
      </c>
      <c r="AL36" s="1972">
        <v>727.36708861600005</v>
      </c>
      <c r="AM36" s="1972">
        <v>641.97403576900001</v>
      </c>
      <c r="AN36" s="1972">
        <v>592.43167018300005</v>
      </c>
      <c r="AO36" s="1972"/>
      <c r="AP36" s="3569"/>
      <c r="AS36" s="2305" t="s">
        <v>1385</v>
      </c>
      <c r="AT36" s="2305">
        <v>879.06249437099996</v>
      </c>
      <c r="AU36" s="2305">
        <v>940.99740105199999</v>
      </c>
      <c r="AV36" s="2305">
        <v>975.41289547500003</v>
      </c>
      <c r="AW36" s="2305">
        <v>960.96381481200001</v>
      </c>
      <c r="AX36" s="2305">
        <v>1014.072327438</v>
      </c>
      <c r="AY36" s="2305">
        <v>737.16064008000001</v>
      </c>
      <c r="AZ36" s="2305">
        <v>754.31171120800002</v>
      </c>
      <c r="BA36" s="2305">
        <v>694.01493297900004</v>
      </c>
      <c r="BB36" s="2305">
        <v>736.07241583899997</v>
      </c>
      <c r="BC36" s="2305">
        <v>648.377095553</v>
      </c>
      <c r="BD36" s="2305">
        <v>657.71165811000003</v>
      </c>
      <c r="BE36" s="2305">
        <v>620.95520648000002</v>
      </c>
      <c r="BF36" s="2305">
        <v>670.74987627400003</v>
      </c>
      <c r="BG36" s="2305">
        <v>334.61204586999997</v>
      </c>
      <c r="BH36" s="2305">
        <v>276.29934787100001</v>
      </c>
      <c r="BI36" s="2305">
        <v>290.95047296899997</v>
      </c>
      <c r="BJ36" s="2305">
        <v>394.619151977</v>
      </c>
      <c r="BK36" s="2305">
        <v>397.22319810099998</v>
      </c>
      <c r="BL36" s="2305">
        <v>427.20160684400003</v>
      </c>
      <c r="BM36" s="2305">
        <v>409.346699247</v>
      </c>
      <c r="BN36" s="2305">
        <v>503.24587408999997</v>
      </c>
      <c r="BO36" s="2305">
        <v>516.74183553299997</v>
      </c>
      <c r="BP36" s="2305">
        <v>629.74816645400006</v>
      </c>
    </row>
    <row r="37" spans="1:68" ht="15">
      <c r="A37" s="2602" t="s">
        <v>521</v>
      </c>
      <c r="B37" s="2603">
        <v>0</v>
      </c>
      <c r="C37" s="2603">
        <v>0</v>
      </c>
      <c r="D37" s="2603">
        <v>0</v>
      </c>
      <c r="E37" s="2603">
        <v>19.898267893</v>
      </c>
      <c r="F37" s="2603">
        <v>40.847030590999999</v>
      </c>
      <c r="G37" s="2603">
        <v>130.80948542100001</v>
      </c>
      <c r="H37" s="2603">
        <v>143.67973366199999</v>
      </c>
      <c r="I37" s="2603">
        <v>209.29562006</v>
      </c>
      <c r="J37" s="2603">
        <v>310.143861018</v>
      </c>
      <c r="K37" s="2603">
        <v>405.237862119</v>
      </c>
      <c r="L37" s="2603">
        <v>621.883774582</v>
      </c>
      <c r="M37" s="2603">
        <v>757.07361110199997</v>
      </c>
      <c r="N37" s="2603">
        <v>921.62502467800005</v>
      </c>
      <c r="O37" s="2603">
        <v>1106.18198508</v>
      </c>
      <c r="P37" s="2603">
        <v>405.36107931599997</v>
      </c>
      <c r="Q37" s="2603">
        <v>156.14588805599999</v>
      </c>
      <c r="R37" s="2603">
        <v>138.81260201500001</v>
      </c>
      <c r="S37" s="2603">
        <v>175.754512449</v>
      </c>
      <c r="T37" s="2603">
        <v>268.31449027999997</v>
      </c>
      <c r="U37" s="2603">
        <v>256.817647142</v>
      </c>
      <c r="V37" s="2603">
        <v>392.86430578699998</v>
      </c>
      <c r="W37" s="2605">
        <v>528.98457499100004</v>
      </c>
      <c r="X37" s="2606">
        <v>648.70000000000005</v>
      </c>
      <c r="Y37" s="2195">
        <v>609.51746510400005</v>
      </c>
      <c r="Z37" s="2195"/>
      <c r="AA37" s="2603"/>
      <c r="AB37" s="3072">
        <v>405.70625742800001</v>
      </c>
      <c r="AC37" s="2200">
        <v>477.09840482800001</v>
      </c>
      <c r="AD37" s="2195">
        <v>506.46509917200001</v>
      </c>
      <c r="AE37" s="2195">
        <v>531.70362557600004</v>
      </c>
      <c r="AF37" s="2195">
        <v>480.44346684999999</v>
      </c>
      <c r="AG37" s="3061">
        <v>518.86307879499998</v>
      </c>
      <c r="AH37" s="2195">
        <v>604.63008822799998</v>
      </c>
      <c r="AI37" s="3565">
        <v>648.70000000000005</v>
      </c>
      <c r="AJ37" s="3560">
        <v>641.33864011499998</v>
      </c>
      <c r="AK37" s="1972">
        <v>636.66750927400005</v>
      </c>
      <c r="AL37" s="1972">
        <v>665.43675563700003</v>
      </c>
      <c r="AM37" s="1972">
        <v>609.51746510400005</v>
      </c>
      <c r="AN37" s="1972">
        <v>626.23924810899996</v>
      </c>
      <c r="AO37" s="1972"/>
      <c r="AP37" s="3569"/>
      <c r="AS37" s="2305" t="s">
        <v>1386</v>
      </c>
      <c r="AT37" s="2305">
        <v>151.91361254700001</v>
      </c>
      <c r="AU37" s="2305">
        <v>147.36765564699999</v>
      </c>
      <c r="AV37" s="2305">
        <v>167.53016269599999</v>
      </c>
      <c r="AW37" s="2305">
        <v>138.81260201500001</v>
      </c>
      <c r="AX37" s="2305">
        <v>143.417512671</v>
      </c>
      <c r="AY37" s="2305">
        <v>125.997016773</v>
      </c>
      <c r="AZ37" s="2305">
        <v>119.70733051400001</v>
      </c>
      <c r="BA37" s="2305">
        <v>175.754512449</v>
      </c>
      <c r="BB37" s="2305">
        <v>184.87899597200001</v>
      </c>
      <c r="BC37" s="2305">
        <v>176.651765342</v>
      </c>
      <c r="BD37" s="2305">
        <v>226.54334534899999</v>
      </c>
      <c r="BE37" s="2305">
        <v>268.31449027999997</v>
      </c>
      <c r="BF37" s="2305">
        <v>250.94371033900001</v>
      </c>
      <c r="BG37" s="2305">
        <v>240.684478781</v>
      </c>
      <c r="BH37" s="2305">
        <v>243.80013565199999</v>
      </c>
      <c r="BI37" s="2305">
        <v>256.10380884800003</v>
      </c>
      <c r="BJ37" s="2305">
        <v>271.29703903199999</v>
      </c>
      <c r="BK37" s="2305">
        <v>299.77420193</v>
      </c>
      <c r="BL37" s="2305">
        <v>323.529979594</v>
      </c>
      <c r="BM37" s="2305">
        <v>385.749208732</v>
      </c>
      <c r="BN37" s="2305">
        <v>405.70625742800001</v>
      </c>
      <c r="BO37" s="2305">
        <v>477.09840482800001</v>
      </c>
      <c r="BP37" s="2305">
        <v>506.46509917200001</v>
      </c>
    </row>
    <row r="38" spans="1:68" ht="15">
      <c r="A38" s="2602" t="s">
        <v>522</v>
      </c>
      <c r="B38" s="2603">
        <v>0</v>
      </c>
      <c r="C38" s="2603">
        <v>0</v>
      </c>
      <c r="D38" s="2603">
        <v>0</v>
      </c>
      <c r="E38" s="2603">
        <v>0</v>
      </c>
      <c r="F38" s="2603">
        <v>1.284084462</v>
      </c>
      <c r="G38" s="2603">
        <v>0</v>
      </c>
      <c r="H38" s="2603">
        <v>1.363407276</v>
      </c>
      <c r="I38" s="2603">
        <v>25.940696199000001</v>
      </c>
      <c r="J38" s="2603">
        <v>12.448920935</v>
      </c>
      <c r="K38" s="2603">
        <v>38.095433386000003</v>
      </c>
      <c r="L38" s="2603">
        <v>14.373755379</v>
      </c>
      <c r="M38" s="2603">
        <v>10.025030013</v>
      </c>
      <c r="N38" s="2603">
        <v>33.743686339999996</v>
      </c>
      <c r="O38" s="2603">
        <v>18.846018259000001</v>
      </c>
      <c r="P38" s="2603">
        <v>123.171805359</v>
      </c>
      <c r="Q38" s="2603">
        <v>111.743332877</v>
      </c>
      <c r="R38" s="2603">
        <v>42.812219245000001</v>
      </c>
      <c r="S38" s="2603">
        <v>128.102182161</v>
      </c>
      <c r="T38" s="2603">
        <v>45.523941471000001</v>
      </c>
      <c r="U38" s="2603">
        <v>32.512955431000002</v>
      </c>
      <c r="V38" s="2603">
        <v>179.405866433</v>
      </c>
      <c r="W38" s="2605">
        <v>76.405085212000003</v>
      </c>
      <c r="X38" s="2606">
        <v>68.599999999999994</v>
      </c>
      <c r="Y38" s="2195">
        <v>131.225405564</v>
      </c>
      <c r="Z38" s="2195"/>
      <c r="AA38" s="2603"/>
      <c r="AB38" s="3072">
        <v>86.153771055999997</v>
      </c>
      <c r="AC38" s="2200">
        <v>41.414280322000003</v>
      </c>
      <c r="AD38" s="2195">
        <v>47.041860558000003</v>
      </c>
      <c r="AE38" s="2195">
        <v>84.181723090999995</v>
      </c>
      <c r="AF38" s="2195">
        <v>89.469703306</v>
      </c>
      <c r="AG38" s="3061">
        <v>94.689175814999999</v>
      </c>
      <c r="AH38" s="2195">
        <v>70.187936409000002</v>
      </c>
      <c r="AI38" s="3565">
        <v>68.599999999999994</v>
      </c>
      <c r="AJ38" s="3560">
        <v>139.49762851</v>
      </c>
      <c r="AK38" s="1972">
        <v>114.884275311</v>
      </c>
      <c r="AL38" s="1972">
        <v>133.74436907200001</v>
      </c>
      <c r="AM38" s="1972">
        <v>137.067034159</v>
      </c>
      <c r="AN38" s="1972">
        <v>121.526875562</v>
      </c>
      <c r="AO38" s="1972"/>
      <c r="AP38" s="3569"/>
      <c r="AS38" s="2305" t="s">
        <v>1387</v>
      </c>
      <c r="AT38" s="2305">
        <v>94.914468583000001</v>
      </c>
      <c r="AU38" s="2305">
        <v>37.482924361999999</v>
      </c>
      <c r="AV38" s="2305">
        <v>19.396053559999999</v>
      </c>
      <c r="AW38" s="2305">
        <v>14.655587560000001</v>
      </c>
      <c r="AX38" s="2305">
        <v>16.945592351999998</v>
      </c>
      <c r="AY38" s="2305">
        <v>51.909015345999997</v>
      </c>
      <c r="AZ38" s="2305">
        <v>81.114940156000003</v>
      </c>
      <c r="BA38" s="2305">
        <v>128.100626941</v>
      </c>
      <c r="BB38" s="2305">
        <v>24.079099823</v>
      </c>
      <c r="BC38" s="2305">
        <v>42.198284565999998</v>
      </c>
      <c r="BD38" s="2305">
        <v>65.152709806000004</v>
      </c>
      <c r="BE38" s="2305">
        <v>45.174624111999997</v>
      </c>
      <c r="BF38" s="2305">
        <v>73.912501141000007</v>
      </c>
      <c r="BG38" s="2305">
        <v>22.048597036</v>
      </c>
      <c r="BH38" s="2305">
        <v>23.430601278000001</v>
      </c>
      <c r="BI38" s="2305">
        <v>31.501405419000001</v>
      </c>
      <c r="BJ38" s="2305">
        <v>42.176082096000002</v>
      </c>
      <c r="BK38" s="2305">
        <v>20.278980662999999</v>
      </c>
      <c r="BL38" s="2305">
        <v>19.608196305</v>
      </c>
      <c r="BM38" s="2305">
        <v>186.639395697</v>
      </c>
      <c r="BN38" s="2305">
        <v>86.153771055999997</v>
      </c>
      <c r="BO38" s="2305">
        <v>41.414280322000003</v>
      </c>
      <c r="BP38" s="2305">
        <v>47.041860558000003</v>
      </c>
    </row>
    <row r="39" spans="1:68" ht="15">
      <c r="A39" s="2602" t="s">
        <v>523</v>
      </c>
      <c r="B39" s="2603">
        <v>0</v>
      </c>
      <c r="C39" s="2603">
        <v>0</v>
      </c>
      <c r="D39" s="2603">
        <v>0</v>
      </c>
      <c r="E39" s="2603">
        <v>0</v>
      </c>
      <c r="F39" s="2603">
        <v>0</v>
      </c>
      <c r="G39" s="2603">
        <v>0</v>
      </c>
      <c r="H39" s="2603">
        <v>0</v>
      </c>
      <c r="I39" s="2603">
        <v>0</v>
      </c>
      <c r="J39" s="2603">
        <v>0</v>
      </c>
      <c r="K39" s="2603">
        <v>0</v>
      </c>
      <c r="L39" s="2603">
        <v>0</v>
      </c>
      <c r="M39" s="2603">
        <v>0</v>
      </c>
      <c r="N39" s="2603">
        <v>0</v>
      </c>
      <c r="O39" s="2603">
        <v>0</v>
      </c>
      <c r="P39" s="2603">
        <v>0</v>
      </c>
      <c r="Q39" s="2603">
        <v>0</v>
      </c>
      <c r="R39" s="2603">
        <v>0</v>
      </c>
      <c r="S39" s="2603">
        <v>0</v>
      </c>
      <c r="T39" s="2603">
        <v>0</v>
      </c>
      <c r="U39" s="2603">
        <v>0</v>
      </c>
      <c r="V39" s="2603">
        <v>0</v>
      </c>
      <c r="W39" s="2605">
        <v>0</v>
      </c>
      <c r="X39" s="2606">
        <v>0</v>
      </c>
      <c r="Y39" s="2195">
        <v>0</v>
      </c>
      <c r="Z39" s="2195"/>
      <c r="AA39" s="2603"/>
      <c r="AB39" s="3072">
        <v>0</v>
      </c>
      <c r="AC39" s="2200">
        <v>0</v>
      </c>
      <c r="AD39" s="2195">
        <v>0</v>
      </c>
      <c r="AE39" s="2195">
        <v>0</v>
      </c>
      <c r="AF39" s="2195">
        <v>0</v>
      </c>
      <c r="AG39" s="3061">
        <v>0</v>
      </c>
      <c r="AH39" s="2195">
        <v>0</v>
      </c>
      <c r="AI39" s="3565">
        <v>0</v>
      </c>
      <c r="AJ39" s="3560">
        <v>0</v>
      </c>
      <c r="AK39" s="1972">
        <v>0</v>
      </c>
      <c r="AL39" s="1972">
        <v>0</v>
      </c>
      <c r="AM39" s="1972">
        <v>0</v>
      </c>
      <c r="AN39" s="1972">
        <v>0</v>
      </c>
      <c r="AO39" s="1972"/>
      <c r="AP39" s="3569"/>
      <c r="AS39" s="2305" t="s">
        <v>1388</v>
      </c>
      <c r="AT39" s="2305">
        <v>0</v>
      </c>
      <c r="AU39" s="2305">
        <v>0</v>
      </c>
      <c r="AV39" s="2305">
        <v>0</v>
      </c>
      <c r="AW39" s="2305">
        <v>0</v>
      </c>
      <c r="AX39" s="2305">
        <v>0</v>
      </c>
      <c r="AY39" s="2305">
        <v>0</v>
      </c>
      <c r="AZ39" s="2305">
        <v>0</v>
      </c>
      <c r="BA39" s="2305">
        <v>0</v>
      </c>
      <c r="BB39" s="2305">
        <v>0</v>
      </c>
      <c r="BC39" s="2305">
        <v>0</v>
      </c>
      <c r="BD39" s="2305">
        <v>0</v>
      </c>
      <c r="BE39" s="2305">
        <v>0</v>
      </c>
      <c r="BF39" s="2305">
        <v>0</v>
      </c>
      <c r="BG39" s="2305">
        <v>0</v>
      </c>
      <c r="BH39" s="2305">
        <v>0</v>
      </c>
      <c r="BI39" s="2305">
        <v>0</v>
      </c>
      <c r="BJ39" s="2305">
        <v>0</v>
      </c>
      <c r="BK39" s="2305">
        <v>0</v>
      </c>
      <c r="BL39" s="2305">
        <v>0</v>
      </c>
      <c r="BM39" s="2305">
        <v>0</v>
      </c>
      <c r="BN39" s="2305">
        <v>0</v>
      </c>
      <c r="BO39" s="2305">
        <v>0</v>
      </c>
      <c r="BP39" s="2305">
        <v>0</v>
      </c>
    </row>
    <row r="40" spans="1:68" ht="15">
      <c r="A40" s="2602" t="s">
        <v>524</v>
      </c>
      <c r="B40" s="2603">
        <v>6.9560000000000004</v>
      </c>
      <c r="C40" s="2603">
        <v>10.618</v>
      </c>
      <c r="D40" s="2603">
        <v>10.363</v>
      </c>
      <c r="E40" s="2603">
        <v>0</v>
      </c>
      <c r="F40" s="2603">
        <v>4.2041075289999998</v>
      </c>
      <c r="G40" s="2603">
        <v>2.9895439270000002</v>
      </c>
      <c r="H40" s="2603">
        <v>12.218782483</v>
      </c>
      <c r="I40" s="2603">
        <v>447.43075243599998</v>
      </c>
      <c r="J40" s="2603">
        <v>746.637198184</v>
      </c>
      <c r="K40" s="2603">
        <v>26.213412379000001</v>
      </c>
      <c r="L40" s="2603">
        <v>22.924261525999999</v>
      </c>
      <c r="M40" s="2603">
        <v>27.779020470999999</v>
      </c>
      <c r="N40" s="2603">
        <v>0</v>
      </c>
      <c r="O40" s="2603">
        <v>0</v>
      </c>
      <c r="P40" s="2603">
        <v>0</v>
      </c>
      <c r="Q40" s="2603">
        <v>0</v>
      </c>
      <c r="R40" s="2603">
        <v>0</v>
      </c>
      <c r="S40" s="2603">
        <v>0</v>
      </c>
      <c r="T40" s="2603">
        <v>0</v>
      </c>
      <c r="U40" s="2603">
        <v>0</v>
      </c>
      <c r="V40" s="2603">
        <v>0</v>
      </c>
      <c r="W40" s="2605">
        <v>0</v>
      </c>
      <c r="X40" s="2606">
        <v>0</v>
      </c>
      <c r="Y40" s="2195">
        <v>0</v>
      </c>
      <c r="Z40" s="2195"/>
      <c r="AA40" s="2603"/>
      <c r="AB40" s="3072">
        <v>0</v>
      </c>
      <c r="AC40" s="2200">
        <v>0</v>
      </c>
      <c r="AD40" s="2195">
        <v>0</v>
      </c>
      <c r="AE40" s="2195">
        <v>0</v>
      </c>
      <c r="AF40" s="2195">
        <v>0</v>
      </c>
      <c r="AG40" s="3061">
        <v>0</v>
      </c>
      <c r="AH40" s="2195">
        <v>0</v>
      </c>
      <c r="AI40" s="3565">
        <v>0</v>
      </c>
      <c r="AJ40" s="3560">
        <v>0</v>
      </c>
      <c r="AK40" s="1972">
        <v>0</v>
      </c>
      <c r="AL40" s="1972">
        <v>0</v>
      </c>
      <c r="AM40" s="1972">
        <v>0</v>
      </c>
      <c r="AN40" s="1972">
        <v>0</v>
      </c>
      <c r="AO40" s="1972"/>
      <c r="AP40" s="3569"/>
      <c r="AS40" s="2305" t="s">
        <v>1389</v>
      </c>
      <c r="AT40" s="2305">
        <v>0</v>
      </c>
      <c r="AU40" s="2305">
        <v>0</v>
      </c>
      <c r="AV40" s="2305">
        <v>0</v>
      </c>
      <c r="AW40" s="2305">
        <v>0</v>
      </c>
      <c r="AX40" s="2305">
        <v>0</v>
      </c>
      <c r="AY40" s="2305">
        <v>0</v>
      </c>
      <c r="AZ40" s="2305">
        <v>0</v>
      </c>
      <c r="BA40" s="2305">
        <v>0</v>
      </c>
      <c r="BB40" s="2305">
        <v>0</v>
      </c>
      <c r="BC40" s="2305">
        <v>0</v>
      </c>
      <c r="BD40" s="2305">
        <v>0</v>
      </c>
      <c r="BE40" s="2305">
        <v>0</v>
      </c>
      <c r="BF40" s="2305">
        <v>0</v>
      </c>
      <c r="BG40" s="2305">
        <v>0</v>
      </c>
      <c r="BH40" s="2305">
        <v>0</v>
      </c>
      <c r="BI40" s="2305">
        <v>0</v>
      </c>
      <c r="BJ40" s="2305">
        <v>0</v>
      </c>
      <c r="BK40" s="2305">
        <v>0</v>
      </c>
      <c r="BL40" s="2305">
        <v>0</v>
      </c>
      <c r="BM40" s="2305">
        <v>0</v>
      </c>
      <c r="BN40" s="2305">
        <v>0</v>
      </c>
      <c r="BO40" s="2305">
        <v>0</v>
      </c>
      <c r="BP40" s="2305">
        <v>0</v>
      </c>
    </row>
    <row r="41" spans="1:68" ht="15.75">
      <c r="A41" s="2602" t="s">
        <v>525</v>
      </c>
      <c r="B41" s="2603">
        <v>40.517000000000003</v>
      </c>
      <c r="C41" s="2603">
        <v>62.094000000000001</v>
      </c>
      <c r="D41" s="2603">
        <v>88.533000000000001</v>
      </c>
      <c r="E41" s="2603">
        <v>198.77044000699999</v>
      </c>
      <c r="F41" s="2603">
        <v>334.83918569100001</v>
      </c>
      <c r="G41" s="2603">
        <v>1013.430480154</v>
      </c>
      <c r="H41" s="2603">
        <v>1466.5708544619999</v>
      </c>
      <c r="I41" s="2603">
        <v>2716.9102124380001</v>
      </c>
      <c r="J41" s="2603">
        <v>3465.5220808109998</v>
      </c>
      <c r="K41" s="2603">
        <v>3570.3582913800001</v>
      </c>
      <c r="L41" s="2603">
        <v>3979.7124112370002</v>
      </c>
      <c r="M41" s="2603">
        <v>4662.3137811059996</v>
      </c>
      <c r="N41" s="2603">
        <v>5949.1868994169999</v>
      </c>
      <c r="O41" s="2603">
        <v>7086.5794083230003</v>
      </c>
      <c r="P41" s="2603">
        <v>7924.5988567280001</v>
      </c>
      <c r="Q41" s="2603">
        <v>8939.7390752209994</v>
      </c>
      <c r="R41" s="2603">
        <v>11350.979923527</v>
      </c>
      <c r="S41" s="2603">
        <v>14414.988134764</v>
      </c>
      <c r="T41" s="2603">
        <v>16468.390178718</v>
      </c>
      <c r="U41" s="2603">
        <v>18579.567995029</v>
      </c>
      <c r="V41" s="2603">
        <v>20712.692658988999</v>
      </c>
      <c r="W41" s="2604">
        <v>23577.075781022999</v>
      </c>
      <c r="X41" s="2605">
        <v>26464.05</v>
      </c>
      <c r="Y41" s="2225">
        <v>29986.651038242999</v>
      </c>
      <c r="Z41" s="2215"/>
      <c r="AA41" s="2603"/>
      <c r="AB41" s="3072">
        <v>21216.668704841999</v>
      </c>
      <c r="AC41" s="2227">
        <v>21765.967171287</v>
      </c>
      <c r="AD41" s="2225">
        <v>22580.733074663</v>
      </c>
      <c r="AE41" s="2215">
        <v>23615.732701547</v>
      </c>
      <c r="AF41" s="2215">
        <v>24345.55601394</v>
      </c>
      <c r="AG41" s="3060">
        <v>24498.811518815</v>
      </c>
      <c r="AH41" s="2215">
        <v>24976.481427065999</v>
      </c>
      <c r="AI41" s="3566">
        <v>26464.05</v>
      </c>
      <c r="AJ41" s="3559">
        <v>27922.162132191999</v>
      </c>
      <c r="AK41" s="3079">
        <v>28890.417015635001</v>
      </c>
      <c r="AL41" s="3079">
        <v>29105.328066900998</v>
      </c>
      <c r="AM41" s="3079">
        <v>30004.553379716999</v>
      </c>
      <c r="AN41" s="3079">
        <v>27058.221725096999</v>
      </c>
      <c r="AO41" s="3079"/>
      <c r="AP41" s="3567"/>
      <c r="AQ41" s="1068"/>
      <c r="AR41" s="1068"/>
      <c r="AS41" s="2304" t="s">
        <v>1390</v>
      </c>
      <c r="AT41" s="2304">
        <v>9119.5415714310002</v>
      </c>
      <c r="AU41" s="2304">
        <v>9528.2143779170001</v>
      </c>
      <c r="AV41" s="2304">
        <v>10619.213737485001</v>
      </c>
      <c r="AW41" s="2304">
        <v>11352.494084644</v>
      </c>
      <c r="AX41" s="2304">
        <v>11829.804916473</v>
      </c>
      <c r="AY41" s="2304">
        <v>12526.152004774</v>
      </c>
      <c r="AZ41" s="2304">
        <v>13844.914861433001</v>
      </c>
      <c r="BA41" s="2304">
        <v>14620.661733724</v>
      </c>
      <c r="BB41" s="2304">
        <v>14839.183674775</v>
      </c>
      <c r="BC41" s="2304">
        <v>14938.070369159999</v>
      </c>
      <c r="BD41" s="2304">
        <v>15284.122357685001</v>
      </c>
      <c r="BE41" s="2304">
        <v>16141.090782024001</v>
      </c>
      <c r="BF41" s="2304">
        <v>16568.753168985</v>
      </c>
      <c r="BG41" s="2304">
        <v>17346.16719968</v>
      </c>
      <c r="BH41" s="2304">
        <v>17589.371624275998</v>
      </c>
      <c r="BI41" s="2304">
        <v>18579.859430879002</v>
      </c>
      <c r="BJ41" s="2304">
        <v>18983.948809040001</v>
      </c>
      <c r="BK41" s="2304">
        <v>19135.844889004999</v>
      </c>
      <c r="BL41" s="2304">
        <v>19857.626692532998</v>
      </c>
      <c r="BM41" s="2304">
        <v>20721.483952115999</v>
      </c>
      <c r="BN41" s="2304">
        <v>21216.668704841999</v>
      </c>
      <c r="BO41" s="2304">
        <v>21765.967171287</v>
      </c>
      <c r="BP41" s="2304">
        <v>22580.733074663</v>
      </c>
    </row>
    <row r="42" spans="1:68" ht="15">
      <c r="A42" s="2602" t="s">
        <v>526</v>
      </c>
      <c r="B42" s="2603">
        <v>0</v>
      </c>
      <c r="C42" s="2603">
        <v>0</v>
      </c>
      <c r="D42" s="2603">
        <v>0</v>
      </c>
      <c r="E42" s="2603">
        <v>0.19409999999999999</v>
      </c>
      <c r="F42" s="2603">
        <v>0.31492500000000001</v>
      </c>
      <c r="G42" s="2603">
        <v>0</v>
      </c>
      <c r="H42" s="2603">
        <v>0</v>
      </c>
      <c r="I42" s="2603">
        <v>0.10896500000000001</v>
      </c>
      <c r="J42" s="2603">
        <v>0.376</v>
      </c>
      <c r="K42" s="2603">
        <v>1.0286399500000001</v>
      </c>
      <c r="L42" s="2603">
        <v>1.4340847750000001</v>
      </c>
      <c r="M42" s="2603">
        <v>1.2126645250000001</v>
      </c>
      <c r="N42" s="2603">
        <v>318.09590499799998</v>
      </c>
      <c r="O42" s="2603">
        <v>348.63858050499999</v>
      </c>
      <c r="P42" s="2603">
        <v>380.96591600300002</v>
      </c>
      <c r="Q42" s="2603">
        <v>231.657122488</v>
      </c>
      <c r="R42" s="2603">
        <v>109.788240927</v>
      </c>
      <c r="S42" s="2603">
        <v>262.48459035000002</v>
      </c>
      <c r="T42" s="2603">
        <v>242.87286332599999</v>
      </c>
      <c r="U42" s="2603">
        <v>167.244119883</v>
      </c>
      <c r="V42" s="2603">
        <v>225.090876189</v>
      </c>
      <c r="W42" s="2604">
        <v>247.39210255</v>
      </c>
      <c r="X42" s="2606">
        <v>331.65</v>
      </c>
      <c r="Y42" s="2225">
        <v>564.34206527000003</v>
      </c>
      <c r="Z42" s="2215"/>
      <c r="AA42" s="2603"/>
      <c r="AB42" s="3072">
        <v>223.26054827799999</v>
      </c>
      <c r="AC42" s="2227">
        <v>228.789446693</v>
      </c>
      <c r="AD42" s="2225">
        <v>237.40742771800001</v>
      </c>
      <c r="AE42" s="2215">
        <v>247.40720559900001</v>
      </c>
      <c r="AF42" s="2215">
        <v>319.672686548</v>
      </c>
      <c r="AG42" s="3060">
        <v>315.64788107300001</v>
      </c>
      <c r="AH42" s="2215">
        <v>346.82450115099999</v>
      </c>
      <c r="AI42" s="3565">
        <v>331.65</v>
      </c>
      <c r="AJ42" s="3559">
        <v>433.71928217999999</v>
      </c>
      <c r="AK42" s="3079">
        <v>555.38649932600003</v>
      </c>
      <c r="AL42" s="3079">
        <v>576.97854515400002</v>
      </c>
      <c r="AM42" s="3079">
        <v>564.34206527000003</v>
      </c>
      <c r="AN42" s="3079">
        <v>529.06408085299995</v>
      </c>
      <c r="AO42" s="3079"/>
      <c r="AP42" s="3567"/>
      <c r="AS42" s="2304" t="s">
        <v>1391</v>
      </c>
      <c r="AT42" s="2304">
        <v>247.216967692</v>
      </c>
      <c r="AU42" s="2304">
        <v>246.39614899</v>
      </c>
      <c r="AV42" s="2304">
        <v>254.769962478</v>
      </c>
      <c r="AW42" s="2304">
        <v>109.788240926</v>
      </c>
      <c r="AX42" s="2304">
        <v>126.03283238500001</v>
      </c>
      <c r="AY42" s="2304">
        <v>114.090708904</v>
      </c>
      <c r="AZ42" s="2304">
        <v>249.94655328600001</v>
      </c>
      <c r="BA42" s="2304">
        <v>221.51730631300001</v>
      </c>
      <c r="BB42" s="2304">
        <v>331.25507378200001</v>
      </c>
      <c r="BC42" s="2304">
        <v>348.42778551800001</v>
      </c>
      <c r="BD42" s="2304">
        <v>371.63286135099997</v>
      </c>
      <c r="BE42" s="2304">
        <v>242.87286332599999</v>
      </c>
      <c r="BF42" s="2304">
        <v>245.989451844</v>
      </c>
      <c r="BG42" s="2304">
        <v>326.69890717800001</v>
      </c>
      <c r="BH42" s="2304">
        <v>168.58839948299999</v>
      </c>
      <c r="BI42" s="2304">
        <v>167.244119883</v>
      </c>
      <c r="BJ42" s="2304">
        <v>187.691154423</v>
      </c>
      <c r="BK42" s="2304">
        <v>177.18356018</v>
      </c>
      <c r="BL42" s="2304">
        <v>198.47799894400001</v>
      </c>
      <c r="BM42" s="2304">
        <v>225.090876189</v>
      </c>
      <c r="BN42" s="2304">
        <v>223.26054827799999</v>
      </c>
      <c r="BO42" s="2304">
        <v>228.789446693</v>
      </c>
      <c r="BP42" s="2304">
        <v>237.40742771800001</v>
      </c>
    </row>
    <row r="43" spans="1:68" ht="15">
      <c r="A43" s="2602" t="s">
        <v>527</v>
      </c>
      <c r="B43" s="2603">
        <v>0</v>
      </c>
      <c r="C43" s="2603">
        <v>0</v>
      </c>
      <c r="D43" s="2603">
        <v>0</v>
      </c>
      <c r="E43" s="2603">
        <v>0</v>
      </c>
      <c r="F43" s="2603">
        <v>0</v>
      </c>
      <c r="G43" s="2603">
        <v>0</v>
      </c>
      <c r="H43" s="2603">
        <v>0</v>
      </c>
      <c r="I43" s="2603">
        <v>0</v>
      </c>
      <c r="J43" s="2603">
        <v>0</v>
      </c>
      <c r="K43" s="2603">
        <v>0</v>
      </c>
      <c r="L43" s="2603">
        <v>0</v>
      </c>
      <c r="M43" s="2603">
        <v>0</v>
      </c>
      <c r="N43" s="2603">
        <v>242.32751999999999</v>
      </c>
      <c r="O43" s="2603">
        <v>242.32751999999999</v>
      </c>
      <c r="P43" s="2603">
        <v>242.32751999999999</v>
      </c>
      <c r="Q43" s="2603">
        <v>161.55168</v>
      </c>
      <c r="R43" s="2603">
        <v>0</v>
      </c>
      <c r="S43" s="2603">
        <v>0</v>
      </c>
      <c r="T43" s="2603">
        <v>0</v>
      </c>
      <c r="U43" s="2603">
        <v>0</v>
      </c>
      <c r="V43" s="2603">
        <v>0</v>
      </c>
      <c r="W43" s="2605">
        <v>0</v>
      </c>
      <c r="X43" s="2606">
        <v>0</v>
      </c>
      <c r="Y43" s="2195">
        <v>0</v>
      </c>
      <c r="Z43" s="2195"/>
      <c r="AA43" s="2603"/>
      <c r="AB43" s="3072">
        <v>0</v>
      </c>
      <c r="AC43" s="2200">
        <v>0</v>
      </c>
      <c r="AD43" s="2195">
        <v>0</v>
      </c>
      <c r="AE43" s="2195">
        <v>0</v>
      </c>
      <c r="AF43" s="2195">
        <v>0</v>
      </c>
      <c r="AG43" s="3061">
        <v>0</v>
      </c>
      <c r="AH43" s="2195">
        <v>0</v>
      </c>
      <c r="AI43" s="3565">
        <v>0</v>
      </c>
      <c r="AJ43" s="3560">
        <v>0</v>
      </c>
      <c r="AK43" s="1972">
        <v>0</v>
      </c>
      <c r="AL43" s="1972">
        <v>0</v>
      </c>
      <c r="AM43" s="1972">
        <v>0</v>
      </c>
      <c r="AN43" s="1972">
        <v>0</v>
      </c>
      <c r="AO43" s="1972"/>
      <c r="AP43" s="3569"/>
      <c r="AS43" s="2305" t="s">
        <v>1392</v>
      </c>
      <c r="AT43" s="2305">
        <v>161.55168</v>
      </c>
      <c r="AU43" s="2305">
        <v>161.55168</v>
      </c>
      <c r="AV43" s="2305">
        <v>161.55168</v>
      </c>
      <c r="AW43" s="2305">
        <v>0</v>
      </c>
      <c r="AX43" s="2305">
        <v>0</v>
      </c>
      <c r="AY43" s="2305">
        <v>0</v>
      </c>
      <c r="AZ43" s="2305">
        <v>0</v>
      </c>
      <c r="BA43" s="2305">
        <v>0</v>
      </c>
      <c r="BB43" s="2305">
        <v>0</v>
      </c>
      <c r="BC43" s="2305">
        <v>0</v>
      </c>
      <c r="BD43" s="2305">
        <v>0</v>
      </c>
      <c r="BE43" s="2305">
        <v>0</v>
      </c>
      <c r="BF43" s="2305">
        <v>0</v>
      </c>
      <c r="BG43" s="2305">
        <v>0</v>
      </c>
      <c r="BH43" s="2305">
        <v>0</v>
      </c>
      <c r="BI43" s="2305">
        <v>0</v>
      </c>
      <c r="BJ43" s="2305">
        <v>0</v>
      </c>
      <c r="BK43" s="2305">
        <v>0</v>
      </c>
      <c r="BL43" s="2305">
        <v>0</v>
      </c>
      <c r="BM43" s="2305">
        <v>0</v>
      </c>
      <c r="BN43" s="2305">
        <v>0</v>
      </c>
      <c r="BO43" s="2305">
        <v>0</v>
      </c>
      <c r="BP43" s="2305">
        <v>0</v>
      </c>
    </row>
    <row r="44" spans="1:68" ht="15">
      <c r="A44" s="2602" t="s">
        <v>528</v>
      </c>
      <c r="B44" s="2603">
        <v>0</v>
      </c>
      <c r="C44" s="2603">
        <v>0</v>
      </c>
      <c r="D44" s="2603">
        <v>0</v>
      </c>
      <c r="E44" s="2603">
        <v>0</v>
      </c>
      <c r="F44" s="2603">
        <v>0</v>
      </c>
      <c r="G44" s="2603">
        <v>0</v>
      </c>
      <c r="H44" s="2603">
        <v>0</v>
      </c>
      <c r="I44" s="2603">
        <v>0</v>
      </c>
      <c r="J44" s="2603">
        <v>0</v>
      </c>
      <c r="K44" s="2603">
        <v>0</v>
      </c>
      <c r="L44" s="2603">
        <v>0</v>
      </c>
      <c r="M44" s="2603">
        <v>0</v>
      </c>
      <c r="N44" s="2603">
        <v>0</v>
      </c>
      <c r="O44" s="2603">
        <v>0</v>
      </c>
      <c r="P44" s="2603">
        <v>0</v>
      </c>
      <c r="Q44" s="2603">
        <v>0</v>
      </c>
      <c r="R44" s="2603">
        <v>0</v>
      </c>
      <c r="S44" s="2603">
        <v>0.38</v>
      </c>
      <c r="T44" s="2603">
        <v>0.38</v>
      </c>
      <c r="U44" s="2603">
        <v>0</v>
      </c>
      <c r="V44" s="2603">
        <v>0</v>
      </c>
      <c r="W44" s="2605">
        <v>0</v>
      </c>
      <c r="X44" s="2606">
        <v>0</v>
      </c>
      <c r="Y44" s="2195">
        <v>0</v>
      </c>
      <c r="Z44" s="2195"/>
      <c r="AA44" s="2603"/>
      <c r="AB44" s="3072">
        <v>0</v>
      </c>
      <c r="AC44" s="2200">
        <v>0</v>
      </c>
      <c r="AD44" s="2195">
        <v>0</v>
      </c>
      <c r="AE44" s="2195">
        <v>0</v>
      </c>
      <c r="AF44" s="2195">
        <v>0</v>
      </c>
      <c r="AG44" s="3061">
        <v>0</v>
      </c>
      <c r="AH44" s="2195">
        <v>0</v>
      </c>
      <c r="AI44" s="3565">
        <v>0</v>
      </c>
      <c r="AJ44" s="3560">
        <v>0</v>
      </c>
      <c r="AK44" s="1972">
        <v>0</v>
      </c>
      <c r="AL44" s="1972">
        <v>0</v>
      </c>
      <c r="AM44" s="1972">
        <v>0</v>
      </c>
      <c r="AN44" s="1972">
        <v>0</v>
      </c>
      <c r="AO44" s="1972"/>
      <c r="AP44" s="3569"/>
      <c r="AS44" s="2305" t="s">
        <v>1393</v>
      </c>
      <c r="AT44" s="2305">
        <v>0</v>
      </c>
      <c r="AU44" s="2305">
        <v>0</v>
      </c>
      <c r="AV44" s="2305">
        <v>0</v>
      </c>
      <c r="AW44" s="2305">
        <v>0</v>
      </c>
      <c r="AX44" s="2305">
        <v>0</v>
      </c>
      <c r="AY44" s="2305">
        <v>0</v>
      </c>
      <c r="AZ44" s="2305">
        <v>0</v>
      </c>
      <c r="BA44" s="2305">
        <v>0.38</v>
      </c>
      <c r="BB44" s="2305">
        <v>0.38</v>
      </c>
      <c r="BC44" s="2305">
        <v>0.38</v>
      </c>
      <c r="BD44" s="2305">
        <v>0.38</v>
      </c>
      <c r="BE44" s="2305">
        <v>0.38</v>
      </c>
      <c r="BF44" s="2305">
        <v>0.38</v>
      </c>
      <c r="BG44" s="2305">
        <v>0.38</v>
      </c>
      <c r="BH44" s="2305">
        <v>0.38</v>
      </c>
      <c r="BI44" s="2305">
        <v>0</v>
      </c>
      <c r="BJ44" s="2305">
        <v>0</v>
      </c>
      <c r="BK44" s="2305">
        <v>0</v>
      </c>
      <c r="BL44" s="2305">
        <v>0</v>
      </c>
      <c r="BM44" s="2305">
        <v>0</v>
      </c>
      <c r="BN44" s="2305">
        <v>0</v>
      </c>
      <c r="BO44" s="2305">
        <v>0</v>
      </c>
      <c r="BP44" s="2305">
        <v>0</v>
      </c>
    </row>
    <row r="45" spans="1:68" ht="15">
      <c r="A45" s="2602" t="s">
        <v>529</v>
      </c>
      <c r="B45" s="2603">
        <v>0</v>
      </c>
      <c r="C45" s="2603">
        <v>0</v>
      </c>
      <c r="D45" s="2603">
        <v>0</v>
      </c>
      <c r="E45" s="2603">
        <v>0</v>
      </c>
      <c r="F45" s="2603">
        <v>0</v>
      </c>
      <c r="G45" s="2603">
        <v>0</v>
      </c>
      <c r="H45" s="2603">
        <v>0</v>
      </c>
      <c r="I45" s="2603">
        <v>0</v>
      </c>
      <c r="J45" s="2603">
        <v>0</v>
      </c>
      <c r="K45" s="2603">
        <v>0</v>
      </c>
      <c r="L45" s="2603">
        <v>0</v>
      </c>
      <c r="M45" s="2603">
        <v>0</v>
      </c>
      <c r="N45" s="2603">
        <v>0</v>
      </c>
      <c r="O45" s="2603">
        <v>0</v>
      </c>
      <c r="P45" s="2603">
        <v>0</v>
      </c>
      <c r="Q45" s="2603">
        <v>0</v>
      </c>
      <c r="R45" s="2603">
        <v>0</v>
      </c>
      <c r="S45" s="2603">
        <v>0</v>
      </c>
      <c r="T45" s="2603">
        <v>0</v>
      </c>
      <c r="U45" s="2603">
        <v>0</v>
      </c>
      <c r="V45" s="2603">
        <v>0</v>
      </c>
      <c r="W45" s="2605">
        <v>0</v>
      </c>
      <c r="X45" s="2606">
        <v>0</v>
      </c>
      <c r="Y45" s="2195">
        <v>0</v>
      </c>
      <c r="Z45" s="2195"/>
      <c r="AA45" s="2603"/>
      <c r="AB45" s="3072">
        <v>0</v>
      </c>
      <c r="AC45" s="2200">
        <v>0</v>
      </c>
      <c r="AD45" s="2195">
        <v>0</v>
      </c>
      <c r="AE45" s="2195">
        <v>0</v>
      </c>
      <c r="AF45" s="2195">
        <v>0</v>
      </c>
      <c r="AG45" s="3061">
        <v>0</v>
      </c>
      <c r="AH45" s="2195">
        <v>0</v>
      </c>
      <c r="AI45" s="3565">
        <v>0</v>
      </c>
      <c r="AJ45" s="3560">
        <v>0</v>
      </c>
      <c r="AK45" s="1972">
        <v>0</v>
      </c>
      <c r="AL45" s="1972">
        <v>0</v>
      </c>
      <c r="AM45" s="1972">
        <v>0</v>
      </c>
      <c r="AN45" s="1972">
        <v>0</v>
      </c>
      <c r="AO45" s="1972"/>
      <c r="AP45" s="3569"/>
      <c r="AS45" s="2305" t="s">
        <v>1394</v>
      </c>
      <c r="AT45" s="2305">
        <v>0</v>
      </c>
      <c r="AU45" s="2305">
        <v>0</v>
      </c>
      <c r="AV45" s="2305">
        <v>0</v>
      </c>
      <c r="AW45" s="2305">
        <v>0</v>
      </c>
      <c r="AX45" s="2305">
        <v>0</v>
      </c>
      <c r="AY45" s="2305">
        <v>0</v>
      </c>
      <c r="AZ45" s="2305">
        <v>0</v>
      </c>
      <c r="BA45" s="2305">
        <v>0</v>
      </c>
      <c r="BB45" s="2305">
        <v>0</v>
      </c>
      <c r="BC45" s="2305">
        <v>0</v>
      </c>
      <c r="BD45" s="2305">
        <v>0</v>
      </c>
      <c r="BE45" s="2305">
        <v>0</v>
      </c>
      <c r="BF45" s="2305">
        <v>0</v>
      </c>
      <c r="BG45" s="2305">
        <v>0</v>
      </c>
      <c r="BH45" s="2305">
        <v>0</v>
      </c>
      <c r="BI45" s="2305">
        <v>0</v>
      </c>
      <c r="BJ45" s="2305">
        <v>0</v>
      </c>
      <c r="BK45" s="2305">
        <v>0</v>
      </c>
      <c r="BL45" s="2305">
        <v>0</v>
      </c>
      <c r="BM45" s="2305">
        <v>0</v>
      </c>
      <c r="BN45" s="2305">
        <v>0</v>
      </c>
      <c r="BO45" s="2305">
        <v>0</v>
      </c>
      <c r="BP45" s="2305">
        <v>0</v>
      </c>
    </row>
    <row r="46" spans="1:68" ht="15">
      <c r="A46" s="2602" t="s">
        <v>530</v>
      </c>
      <c r="B46" s="2603">
        <v>0</v>
      </c>
      <c r="C46" s="2603">
        <v>0</v>
      </c>
      <c r="D46" s="2603">
        <v>0</v>
      </c>
      <c r="E46" s="2603">
        <v>0</v>
      </c>
      <c r="F46" s="2603">
        <v>0</v>
      </c>
      <c r="G46" s="2603">
        <v>0</v>
      </c>
      <c r="H46" s="2603">
        <v>0</v>
      </c>
      <c r="I46" s="2603">
        <v>0</v>
      </c>
      <c r="J46" s="2603">
        <v>0</v>
      </c>
      <c r="K46" s="2603">
        <v>0</v>
      </c>
      <c r="L46" s="2603">
        <v>0</v>
      </c>
      <c r="M46" s="2603">
        <v>0</v>
      </c>
      <c r="N46" s="2603">
        <v>0</v>
      </c>
      <c r="O46" s="2603">
        <v>0</v>
      </c>
      <c r="P46" s="2603">
        <v>0</v>
      </c>
      <c r="Q46" s="2603">
        <v>0</v>
      </c>
      <c r="R46" s="2603">
        <v>0</v>
      </c>
      <c r="S46" s="2603">
        <v>0</v>
      </c>
      <c r="T46" s="2603">
        <v>0</v>
      </c>
      <c r="U46" s="2603">
        <v>0</v>
      </c>
      <c r="V46" s="2603">
        <v>0</v>
      </c>
      <c r="W46" s="2605">
        <v>0</v>
      </c>
      <c r="X46" s="2606">
        <v>0</v>
      </c>
      <c r="Y46" s="2195">
        <v>0</v>
      </c>
      <c r="Z46" s="2195"/>
      <c r="AA46" s="2603"/>
      <c r="AB46" s="3072">
        <v>0</v>
      </c>
      <c r="AC46" s="2200">
        <v>0</v>
      </c>
      <c r="AD46" s="2195">
        <v>0</v>
      </c>
      <c r="AE46" s="2195">
        <v>0</v>
      </c>
      <c r="AF46" s="2195">
        <v>0</v>
      </c>
      <c r="AG46" s="3061">
        <v>0</v>
      </c>
      <c r="AH46" s="2195">
        <v>0</v>
      </c>
      <c r="AI46" s="3565">
        <v>0</v>
      </c>
      <c r="AJ46" s="3560">
        <v>0</v>
      </c>
      <c r="AK46" s="1972">
        <v>0</v>
      </c>
      <c r="AL46" s="1972">
        <v>0</v>
      </c>
      <c r="AM46" s="1972">
        <v>0</v>
      </c>
      <c r="AN46" s="1972">
        <v>0</v>
      </c>
      <c r="AO46" s="1972"/>
      <c r="AP46" s="3569"/>
      <c r="AS46" s="2305" t="s">
        <v>1395</v>
      </c>
      <c r="AT46" s="2305">
        <v>0</v>
      </c>
      <c r="AU46" s="2305">
        <v>0</v>
      </c>
      <c r="AV46" s="2305">
        <v>0</v>
      </c>
      <c r="AW46" s="2305">
        <v>0</v>
      </c>
      <c r="AX46" s="2305">
        <v>0</v>
      </c>
      <c r="AY46" s="2305">
        <v>0</v>
      </c>
      <c r="AZ46" s="2305">
        <v>0</v>
      </c>
      <c r="BA46" s="2305">
        <v>0</v>
      </c>
      <c r="BB46" s="2305">
        <v>0</v>
      </c>
      <c r="BC46" s="2305">
        <v>0</v>
      </c>
      <c r="BD46" s="2305">
        <v>0</v>
      </c>
      <c r="BE46" s="2305">
        <v>0</v>
      </c>
      <c r="BF46" s="2305">
        <v>0</v>
      </c>
      <c r="BG46" s="2305">
        <v>0</v>
      </c>
      <c r="BH46" s="2305">
        <v>0</v>
      </c>
      <c r="BI46" s="2305">
        <v>0</v>
      </c>
      <c r="BJ46" s="2305">
        <v>0</v>
      </c>
      <c r="BK46" s="2305">
        <v>0</v>
      </c>
      <c r="BL46" s="2305">
        <v>0</v>
      </c>
      <c r="BM46" s="2305">
        <v>0</v>
      </c>
      <c r="BN46" s="2305">
        <v>0</v>
      </c>
      <c r="BO46" s="2305">
        <v>0</v>
      </c>
      <c r="BP46" s="2305">
        <v>0</v>
      </c>
    </row>
    <row r="47" spans="1:68" ht="15">
      <c r="A47" s="2602" t="s">
        <v>531</v>
      </c>
      <c r="B47" s="2603">
        <v>0</v>
      </c>
      <c r="C47" s="2603">
        <v>0</v>
      </c>
      <c r="D47" s="2603">
        <v>0</v>
      </c>
      <c r="E47" s="2603">
        <v>0</v>
      </c>
      <c r="F47" s="2603">
        <v>0</v>
      </c>
      <c r="G47" s="2603">
        <v>0</v>
      </c>
      <c r="H47" s="2603">
        <v>0</v>
      </c>
      <c r="I47" s="2603">
        <v>0</v>
      </c>
      <c r="J47" s="2603">
        <v>0</v>
      </c>
      <c r="K47" s="2603">
        <v>0</v>
      </c>
      <c r="L47" s="2603">
        <v>0</v>
      </c>
      <c r="M47" s="2603">
        <v>0</v>
      </c>
      <c r="N47" s="2603">
        <v>0</v>
      </c>
      <c r="O47" s="2603">
        <v>0</v>
      </c>
      <c r="P47" s="2603">
        <v>0</v>
      </c>
      <c r="Q47" s="2603">
        <v>0</v>
      </c>
      <c r="R47" s="2603">
        <v>0.39279470700000002</v>
      </c>
      <c r="S47" s="2603">
        <v>47.427917600000001</v>
      </c>
      <c r="T47" s="2603">
        <v>93.992225574000003</v>
      </c>
      <c r="U47" s="2603">
        <v>2.2687587730000001</v>
      </c>
      <c r="V47" s="2603">
        <v>1.1899221369999999</v>
      </c>
      <c r="W47" s="2605">
        <v>0</v>
      </c>
      <c r="X47" s="2606">
        <v>2.5099999999999998</v>
      </c>
      <c r="Y47" s="2195">
        <v>5.2787330140000002</v>
      </c>
      <c r="Z47" s="2195"/>
      <c r="AA47" s="2603"/>
      <c r="AB47" s="3072">
        <v>1.0029056439999999</v>
      </c>
      <c r="AC47" s="2200">
        <v>0.72913433699999997</v>
      </c>
      <c r="AD47" s="2195">
        <v>0.58287803699999996</v>
      </c>
      <c r="AE47" s="2195">
        <v>0</v>
      </c>
      <c r="AF47" s="2195">
        <v>0</v>
      </c>
      <c r="AG47" s="3061">
        <v>0.29816799999999999</v>
      </c>
      <c r="AH47" s="2195">
        <v>0.89741671899999997</v>
      </c>
      <c r="AI47" s="3565">
        <v>2.5099999999999998</v>
      </c>
      <c r="AJ47" s="3560">
        <v>3.2346474189999999</v>
      </c>
      <c r="AK47" s="1972">
        <v>5.2621170350000002</v>
      </c>
      <c r="AL47" s="1972">
        <v>4.8470005370000004</v>
      </c>
      <c r="AM47" s="1972">
        <v>5.2787330140000002</v>
      </c>
      <c r="AN47" s="1972"/>
      <c r="AO47" s="1972"/>
      <c r="AP47" s="3569"/>
      <c r="AS47" s="2305" t="s">
        <v>1396</v>
      </c>
      <c r="AT47" s="2305">
        <v>0</v>
      </c>
      <c r="AU47" s="2305">
        <v>0</v>
      </c>
      <c r="AV47" s="2305">
        <v>0</v>
      </c>
      <c r="AW47" s="2305">
        <v>0.39279470700000002</v>
      </c>
      <c r="AX47" s="2305">
        <v>7.9230651999999999E-2</v>
      </c>
      <c r="AY47" s="2305">
        <v>0</v>
      </c>
      <c r="AZ47" s="2305">
        <v>27</v>
      </c>
      <c r="BA47" s="2305">
        <v>0.42791760000000001</v>
      </c>
      <c r="BB47" s="2305">
        <v>84.637936400000001</v>
      </c>
      <c r="BC47" s="2305">
        <v>91.1481134</v>
      </c>
      <c r="BD47" s="2305">
        <v>91.149360799999997</v>
      </c>
      <c r="BE47" s="2305">
        <v>93.992225574000003</v>
      </c>
      <c r="BF47" s="2305">
        <v>93.568407678</v>
      </c>
      <c r="BG47" s="2305">
        <v>93.335081908000006</v>
      </c>
      <c r="BH47" s="2305">
        <v>2.5746766729999999</v>
      </c>
      <c r="BI47" s="2305">
        <v>2.2687587730000001</v>
      </c>
      <c r="BJ47" s="2305">
        <v>1.843371213</v>
      </c>
      <c r="BK47" s="2305">
        <v>1.5057892369999999</v>
      </c>
      <c r="BL47" s="2305">
        <v>1.2916701509999999</v>
      </c>
      <c r="BM47" s="2305">
        <v>1.1899221369999999</v>
      </c>
      <c r="BN47" s="2305">
        <v>1.0029056439999999</v>
      </c>
      <c r="BO47" s="2305">
        <v>0.72913433699999997</v>
      </c>
      <c r="BP47" s="2305">
        <v>0.58287803699999996</v>
      </c>
    </row>
    <row r="48" spans="1:68" ht="15">
      <c r="A48" s="2602" t="s">
        <v>532</v>
      </c>
      <c r="B48" s="2603">
        <v>0</v>
      </c>
      <c r="C48" s="2603">
        <v>0</v>
      </c>
      <c r="D48" s="2603">
        <v>0</v>
      </c>
      <c r="E48" s="2603">
        <v>0.19409999999999999</v>
      </c>
      <c r="F48" s="2603">
        <v>0.31492500000000001</v>
      </c>
      <c r="G48" s="2603">
        <v>0</v>
      </c>
      <c r="H48" s="2603">
        <v>0</v>
      </c>
      <c r="I48" s="2603">
        <v>0.126</v>
      </c>
      <c r="J48" s="2603">
        <v>0.376</v>
      </c>
      <c r="K48" s="2603">
        <v>1.0286399500000001</v>
      </c>
      <c r="L48" s="2603">
        <v>1.4340847750000001</v>
      </c>
      <c r="M48" s="2603">
        <v>1.2126645250000001</v>
      </c>
      <c r="N48" s="2603">
        <v>128.14086763500001</v>
      </c>
      <c r="O48" s="2603">
        <v>160.16188873300001</v>
      </c>
      <c r="P48" s="2603">
        <v>192.339224231</v>
      </c>
      <c r="Q48" s="2603">
        <v>124.834616306</v>
      </c>
      <c r="R48" s="2603">
        <v>164.12462003799999</v>
      </c>
      <c r="S48" s="2603">
        <v>269.40584656800002</v>
      </c>
      <c r="T48" s="2603">
        <v>203.22981157000001</v>
      </c>
      <c r="U48" s="2603">
        <v>219.70453492799999</v>
      </c>
      <c r="V48" s="2603">
        <v>276.27343668899999</v>
      </c>
      <c r="W48" s="2605">
        <v>299.76458518700002</v>
      </c>
      <c r="X48" s="2606">
        <v>381.51</v>
      </c>
      <c r="Y48" s="2195">
        <v>611.43581489300004</v>
      </c>
      <c r="Z48" s="2195"/>
      <c r="AA48" s="2603"/>
      <c r="AB48" s="3072">
        <v>274.630125271</v>
      </c>
      <c r="AC48" s="2200">
        <v>280.43279499300002</v>
      </c>
      <c r="AD48" s="2195">
        <v>289.19703231800003</v>
      </c>
      <c r="AE48" s="2195">
        <v>299.77968823600003</v>
      </c>
      <c r="AF48" s="2195">
        <v>372.04516918500002</v>
      </c>
      <c r="AG48" s="3061">
        <v>367.72219570999999</v>
      </c>
      <c r="AH48" s="2195">
        <v>398.29956706899998</v>
      </c>
      <c r="AI48" s="3565">
        <v>381.51</v>
      </c>
      <c r="AJ48" s="3560">
        <v>482.85711739800001</v>
      </c>
      <c r="AK48" s="1972">
        <v>602.49686492800004</v>
      </c>
      <c r="AL48" s="1972">
        <v>624.50402725399999</v>
      </c>
      <c r="AM48" s="1972">
        <v>611.43581489300004</v>
      </c>
      <c r="AN48" s="1972">
        <v>581.43656349000003</v>
      </c>
      <c r="AO48" s="1972"/>
      <c r="AP48" s="3569"/>
      <c r="AS48" s="2305" t="s">
        <v>1397</v>
      </c>
      <c r="AT48" s="2305">
        <v>140.39446151000001</v>
      </c>
      <c r="AU48" s="2305">
        <v>139.57364280799999</v>
      </c>
      <c r="AV48" s="2305">
        <v>147.94745629600001</v>
      </c>
      <c r="AW48" s="2305">
        <v>164.124620037</v>
      </c>
      <c r="AX48" s="2305">
        <v>180.68277555099999</v>
      </c>
      <c r="AY48" s="2305">
        <v>168.81988272199999</v>
      </c>
      <c r="AZ48" s="2305">
        <v>277.67572710399998</v>
      </c>
      <c r="BA48" s="2305">
        <v>275.438562531</v>
      </c>
      <c r="BB48" s="2305">
        <v>300.96631120000001</v>
      </c>
      <c r="BC48" s="2305">
        <v>311.628845936</v>
      </c>
      <c r="BD48" s="2305">
        <v>334.83267436900002</v>
      </c>
      <c r="BE48" s="2305">
        <v>203.22981157000001</v>
      </c>
      <c r="BF48" s="2305">
        <v>206.770217984</v>
      </c>
      <c r="BG48" s="2305">
        <v>287.712999088</v>
      </c>
      <c r="BH48" s="2305">
        <v>220.36289662799999</v>
      </c>
      <c r="BI48" s="2305">
        <v>219.70453492799999</v>
      </c>
      <c r="BJ48" s="2305">
        <v>240.57695702800001</v>
      </c>
      <c r="BK48" s="2305">
        <v>228.05025358</v>
      </c>
      <c r="BL48" s="2305">
        <v>249.55881142999999</v>
      </c>
      <c r="BM48" s="2305">
        <v>276.27343668899999</v>
      </c>
      <c r="BN48" s="2305">
        <v>274.630125271</v>
      </c>
      <c r="BO48" s="2305">
        <v>280.43279499300002</v>
      </c>
      <c r="BP48" s="2305">
        <v>289.19703231800003</v>
      </c>
    </row>
    <row r="49" spans="1:68" ht="15">
      <c r="A49" s="2602" t="s">
        <v>533</v>
      </c>
      <c r="B49" s="2603">
        <v>0</v>
      </c>
      <c r="C49" s="2603">
        <v>0</v>
      </c>
      <c r="D49" s="2603">
        <v>0</v>
      </c>
      <c r="E49" s="2603">
        <v>0</v>
      </c>
      <c r="F49" s="2603">
        <v>0</v>
      </c>
      <c r="G49" s="2603">
        <v>0</v>
      </c>
      <c r="H49" s="2603">
        <v>0</v>
      </c>
      <c r="I49" s="2603">
        <v>-1.7035000000000002E-2</v>
      </c>
      <c r="J49" s="2603">
        <v>0</v>
      </c>
      <c r="K49" s="2603">
        <v>0</v>
      </c>
      <c r="L49" s="2603">
        <v>0</v>
      </c>
      <c r="M49" s="2603">
        <v>0</v>
      </c>
      <c r="N49" s="2603">
        <v>-52.372482636999997</v>
      </c>
      <c r="O49" s="2603">
        <v>-53.850828227999997</v>
      </c>
      <c r="P49" s="2603">
        <v>-53.700828227999999</v>
      </c>
      <c r="Q49" s="2603">
        <v>-54.729173818</v>
      </c>
      <c r="R49" s="2603">
        <v>-54.729173818</v>
      </c>
      <c r="S49" s="2603">
        <v>-54.729173818</v>
      </c>
      <c r="T49" s="2603">
        <v>-54.729173818</v>
      </c>
      <c r="U49" s="2603">
        <v>-54.729173818</v>
      </c>
      <c r="V49" s="2603">
        <v>-52.372482636999997</v>
      </c>
      <c r="W49" s="2605">
        <v>-52.372482636999997</v>
      </c>
      <c r="X49" s="2606">
        <v>-52.37</v>
      </c>
      <c r="Y49" s="2195">
        <v>-52.372482636999997</v>
      </c>
      <c r="Z49" s="2195"/>
      <c r="AA49" s="2603"/>
      <c r="AB49" s="3072">
        <v>-52.372482636999997</v>
      </c>
      <c r="AC49" s="2200">
        <v>-52.372482636999997</v>
      </c>
      <c r="AD49" s="2195">
        <v>-52.372482636999997</v>
      </c>
      <c r="AE49" s="2195">
        <v>-52.372482636999997</v>
      </c>
      <c r="AF49" s="2195">
        <v>-52.372482636999997</v>
      </c>
      <c r="AG49" s="3061">
        <v>-52.372482636999997</v>
      </c>
      <c r="AH49" s="2195">
        <v>-52.372482636999997</v>
      </c>
      <c r="AI49" s="3570">
        <v>-52.37</v>
      </c>
      <c r="AJ49" s="3560">
        <v>-52.372482636999997</v>
      </c>
      <c r="AK49" s="1972">
        <v>-52.372482636999997</v>
      </c>
      <c r="AL49" s="1972">
        <v>-52.372482636999997</v>
      </c>
      <c r="AM49" s="1972">
        <v>-52.372482636999997</v>
      </c>
      <c r="AN49" s="1972">
        <v>-52.372482636999997</v>
      </c>
      <c r="AO49" s="1972"/>
      <c r="AP49" s="3569"/>
      <c r="AS49" s="2305" t="s">
        <v>1398</v>
      </c>
      <c r="AT49" s="2305">
        <v>-54.729173818</v>
      </c>
      <c r="AU49" s="2305">
        <v>-54.729173818</v>
      </c>
      <c r="AV49" s="2305">
        <v>-54.729173818</v>
      </c>
      <c r="AW49" s="2305">
        <v>-54.729173818</v>
      </c>
      <c r="AX49" s="2305">
        <v>-54.729173818</v>
      </c>
      <c r="AY49" s="2305">
        <v>-54.729173818</v>
      </c>
      <c r="AZ49" s="2305">
        <v>-54.729173818</v>
      </c>
      <c r="BA49" s="2305">
        <v>-54.729173818</v>
      </c>
      <c r="BB49" s="2305">
        <v>-54.729173818</v>
      </c>
      <c r="BC49" s="2305">
        <v>-54.729173818</v>
      </c>
      <c r="BD49" s="2305">
        <v>-54.729173818</v>
      </c>
      <c r="BE49" s="2305">
        <v>-54.729173818</v>
      </c>
      <c r="BF49" s="2305">
        <v>-54.729173818</v>
      </c>
      <c r="BG49" s="2305">
        <v>-54.729173818</v>
      </c>
      <c r="BH49" s="2305">
        <v>-54.729173818</v>
      </c>
      <c r="BI49" s="2305">
        <v>-54.729173818</v>
      </c>
      <c r="BJ49" s="2305">
        <v>-54.729173818</v>
      </c>
      <c r="BK49" s="2305">
        <v>-52.372482636999997</v>
      </c>
      <c r="BL49" s="2305">
        <v>-52.372482636999997</v>
      </c>
      <c r="BM49" s="2305">
        <v>-52.372482636999997</v>
      </c>
      <c r="BN49" s="2305">
        <v>-52.372482636999997</v>
      </c>
      <c r="BO49" s="2305">
        <v>-52.372482636999997</v>
      </c>
      <c r="BP49" s="2305">
        <v>-52.372482636999997</v>
      </c>
    </row>
    <row r="50" spans="1:68" ht="15">
      <c r="A50" s="2602" t="s">
        <v>534</v>
      </c>
      <c r="B50" s="2603">
        <v>36.651000000000003</v>
      </c>
      <c r="C50" s="2603">
        <v>55.807000000000002</v>
      </c>
      <c r="D50" s="2603">
        <v>74.637</v>
      </c>
      <c r="E50" s="2603">
        <v>165.71840017700001</v>
      </c>
      <c r="F50" s="2603">
        <v>299.65229476100001</v>
      </c>
      <c r="G50" s="2603">
        <v>641.60753544800002</v>
      </c>
      <c r="H50" s="2603">
        <v>960.72616332799998</v>
      </c>
      <c r="I50" s="2603">
        <v>1638.511702799</v>
      </c>
      <c r="J50" s="2603">
        <v>2000.3392970360001</v>
      </c>
      <c r="K50" s="2603">
        <v>2150.8900201719998</v>
      </c>
      <c r="L50" s="2603">
        <v>2617.6619298109999</v>
      </c>
      <c r="M50" s="2603">
        <v>3075.8632704749998</v>
      </c>
      <c r="N50" s="2603">
        <v>3300.5465139389999</v>
      </c>
      <c r="O50" s="2603">
        <v>4292.2531380789997</v>
      </c>
      <c r="P50" s="2603">
        <v>4589.9831932679999</v>
      </c>
      <c r="Q50" s="2603">
        <v>5247.285021701</v>
      </c>
      <c r="R50" s="2603">
        <v>6513.7355782579998</v>
      </c>
      <c r="S50" s="2603">
        <v>7492.1679540880004</v>
      </c>
      <c r="T50" s="2603">
        <v>8317.8227076139992</v>
      </c>
      <c r="U50" s="2603">
        <v>10398.837546784</v>
      </c>
      <c r="V50" s="2603">
        <v>12032.914964907</v>
      </c>
      <c r="W50" s="2604">
        <v>13643.232649833</v>
      </c>
      <c r="X50" s="2605">
        <v>14816.13</v>
      </c>
      <c r="Y50" s="2225">
        <v>17330.033606585999</v>
      </c>
      <c r="Z50" s="2215"/>
      <c r="AA50" s="2603"/>
      <c r="AB50" s="3072">
        <v>11983.45535504</v>
      </c>
      <c r="AC50" s="2227">
        <v>12232.267027235001</v>
      </c>
      <c r="AD50" s="2225">
        <v>13261.738918834</v>
      </c>
      <c r="AE50" s="2215">
        <v>13643.232649898</v>
      </c>
      <c r="AF50" s="2215">
        <v>13814.237251680999</v>
      </c>
      <c r="AG50" s="3060">
        <v>14370.40701375</v>
      </c>
      <c r="AH50" s="2215">
        <v>14439.270982491</v>
      </c>
      <c r="AI50" s="3568">
        <v>14816.13</v>
      </c>
      <c r="AJ50" s="3559">
        <v>15548.353983782001</v>
      </c>
      <c r="AK50" s="3079">
        <v>16856.008406543999</v>
      </c>
      <c r="AL50" s="3079">
        <v>16990.519914676999</v>
      </c>
      <c r="AM50" s="3079">
        <v>17288.541848861001</v>
      </c>
      <c r="AN50" s="3079">
        <v>11625.31323555</v>
      </c>
      <c r="AO50" s="3079"/>
      <c r="AP50" s="3567"/>
      <c r="AS50" s="2304" t="s">
        <v>1399</v>
      </c>
      <c r="AT50" s="2304">
        <v>5189.9344754599997</v>
      </c>
      <c r="AU50" s="2304">
        <v>5418.7667836279998</v>
      </c>
      <c r="AV50" s="2304">
        <v>5601.8538470350004</v>
      </c>
      <c r="AW50" s="2304">
        <v>6513.7355782579998</v>
      </c>
      <c r="AX50" s="2304">
        <v>6690.4929207340001</v>
      </c>
      <c r="AY50" s="2304">
        <v>6913.9295937790002</v>
      </c>
      <c r="AZ50" s="2304">
        <v>7184.933236936</v>
      </c>
      <c r="BA50" s="2304">
        <v>7491.241713294</v>
      </c>
      <c r="BB50" s="2304">
        <v>7331.9288500089997</v>
      </c>
      <c r="BC50" s="2304">
        <v>7365.996280591</v>
      </c>
      <c r="BD50" s="2304">
        <v>7238.7905711330004</v>
      </c>
      <c r="BE50" s="2304">
        <v>8317.9986879650005</v>
      </c>
      <c r="BF50" s="2304">
        <v>8373.2307704729992</v>
      </c>
      <c r="BG50" s="2304">
        <v>8292.6769262630005</v>
      </c>
      <c r="BH50" s="2304">
        <v>8442.9549518870008</v>
      </c>
      <c r="BI50" s="2304">
        <v>10398.841278372</v>
      </c>
      <c r="BJ50" s="2304">
        <v>10565.697032867</v>
      </c>
      <c r="BK50" s="2304">
        <v>10634.895059783999</v>
      </c>
      <c r="BL50" s="2304">
        <v>11384.340094228</v>
      </c>
      <c r="BM50" s="2304">
        <v>12032.914964907</v>
      </c>
      <c r="BN50" s="2304">
        <v>11983.45535504</v>
      </c>
      <c r="BO50" s="2304">
        <v>12232.267027235001</v>
      </c>
      <c r="BP50" s="2304">
        <v>13261.738918834</v>
      </c>
    </row>
    <row r="51" spans="1:68" ht="15">
      <c r="A51" s="2602" t="s">
        <v>535</v>
      </c>
      <c r="B51" s="2603">
        <v>36.651000000000003</v>
      </c>
      <c r="C51" s="2603">
        <v>55.807000000000002</v>
      </c>
      <c r="D51" s="2603">
        <v>74.637</v>
      </c>
      <c r="E51" s="2603">
        <v>149.114247775</v>
      </c>
      <c r="F51" s="2603">
        <v>247.02070711100001</v>
      </c>
      <c r="G51" s="2603">
        <v>598.22734989200001</v>
      </c>
      <c r="H51" s="2603">
        <v>694.25003618699998</v>
      </c>
      <c r="I51" s="2603">
        <v>1023.89982062</v>
      </c>
      <c r="J51" s="2603">
        <v>1433.7352798750001</v>
      </c>
      <c r="K51" s="2603">
        <v>1458.8782784350001</v>
      </c>
      <c r="L51" s="2603">
        <v>1806.9097975929999</v>
      </c>
      <c r="M51" s="2603">
        <v>2263.5869936029999</v>
      </c>
      <c r="N51" s="2603">
        <v>2998.0023417289999</v>
      </c>
      <c r="O51" s="2603">
        <v>3971.4021193419999</v>
      </c>
      <c r="P51" s="2603">
        <v>4131.2985884259997</v>
      </c>
      <c r="Q51" s="2603">
        <v>4585.4930593130002</v>
      </c>
      <c r="R51" s="2603">
        <v>5207.1259501060003</v>
      </c>
      <c r="S51" s="2603">
        <v>6295.2618462099999</v>
      </c>
      <c r="T51" s="2603">
        <v>7219.5516257649997</v>
      </c>
      <c r="U51" s="2603">
        <v>9260.9346990630002</v>
      </c>
      <c r="V51" s="2603">
        <v>10714.231138519999</v>
      </c>
      <c r="W51" s="2605">
        <v>12382.116875248999</v>
      </c>
      <c r="X51" s="2605">
        <v>12774.57</v>
      </c>
      <c r="Y51" s="2195">
        <v>15385.816846287</v>
      </c>
      <c r="Z51" s="2195"/>
      <c r="AA51" s="2603"/>
      <c r="AB51" s="3072">
        <v>10712.640558474999</v>
      </c>
      <c r="AC51" s="2200">
        <v>11033.012522093</v>
      </c>
      <c r="AD51" s="2195">
        <v>12077.071951731001</v>
      </c>
      <c r="AE51" s="2195">
        <v>12382.116875313999</v>
      </c>
      <c r="AF51" s="2195">
        <v>12297.776649497</v>
      </c>
      <c r="AG51" s="3061">
        <v>12660.063163797</v>
      </c>
      <c r="AH51" s="2195">
        <v>12896.881546914999</v>
      </c>
      <c r="AI51" s="3568">
        <v>12774.57</v>
      </c>
      <c r="AJ51" s="3560">
        <v>13567.762652609001</v>
      </c>
      <c r="AK51" s="1972">
        <v>14918.062033906999</v>
      </c>
      <c r="AL51" s="1972">
        <v>15156.746699358</v>
      </c>
      <c r="AM51" s="1972">
        <v>15359.168484059001</v>
      </c>
      <c r="AN51" s="1972">
        <v>10218.840964597999</v>
      </c>
      <c r="AO51" s="1972"/>
      <c r="AP51" s="3569"/>
      <c r="AS51" s="2305" t="s">
        <v>1400</v>
      </c>
      <c r="AT51" s="2305">
        <v>4541.3941014049997</v>
      </c>
      <c r="AU51" s="2305">
        <v>4583.2030243480003</v>
      </c>
      <c r="AV51" s="2305">
        <v>4775.6524591260004</v>
      </c>
      <c r="AW51" s="2305">
        <v>5207.1259501060003</v>
      </c>
      <c r="AX51" s="2305">
        <v>5371.9550895089997</v>
      </c>
      <c r="AY51" s="2305">
        <v>5624.0765486640003</v>
      </c>
      <c r="AZ51" s="2305">
        <v>5921.1943393840002</v>
      </c>
      <c r="BA51" s="2305">
        <v>6294.4649841869996</v>
      </c>
      <c r="BB51" s="2305">
        <v>6167.7427854609996</v>
      </c>
      <c r="BC51" s="2305">
        <v>6222.2574914280003</v>
      </c>
      <c r="BD51" s="2305">
        <v>6134.4257487189998</v>
      </c>
      <c r="BE51" s="2305">
        <v>7219.7276061160001</v>
      </c>
      <c r="BF51" s="2305">
        <v>7285.9259643519999</v>
      </c>
      <c r="BG51" s="2305">
        <v>7225.4755159550004</v>
      </c>
      <c r="BH51" s="2305">
        <v>7360.3115882430002</v>
      </c>
      <c r="BI51" s="2305">
        <v>9260.9384306510001</v>
      </c>
      <c r="BJ51" s="2305">
        <v>9444.684229515</v>
      </c>
      <c r="BK51" s="2305">
        <v>9515.9099070909997</v>
      </c>
      <c r="BL51" s="2305">
        <v>10171.786476096</v>
      </c>
      <c r="BM51" s="2305">
        <v>10714.231138519999</v>
      </c>
      <c r="BN51" s="2305">
        <v>10712.640558474999</v>
      </c>
      <c r="BO51" s="2305">
        <v>11033.012522093</v>
      </c>
      <c r="BP51" s="2319">
        <v>12077.071951731001</v>
      </c>
    </row>
    <row r="52" spans="1:68" ht="15">
      <c r="A52" s="2602" t="s">
        <v>536</v>
      </c>
      <c r="B52" s="2603">
        <v>69.600999999999999</v>
      </c>
      <c r="C52" s="2603">
        <v>105.866</v>
      </c>
      <c r="D52" s="2603">
        <v>74.637</v>
      </c>
      <c r="E52" s="2603">
        <v>265.59944848399999</v>
      </c>
      <c r="F52" s="2603">
        <v>451.62451507600002</v>
      </c>
      <c r="G52" s="2603">
        <v>954.24632979</v>
      </c>
      <c r="H52" s="2603">
        <v>1207.7645909989999</v>
      </c>
      <c r="I52" s="2603">
        <v>1726.3646515360001</v>
      </c>
      <c r="J52" s="2603">
        <v>2393.560750522</v>
      </c>
      <c r="K52" s="2603">
        <v>2715.424230866</v>
      </c>
      <c r="L52" s="2603">
        <v>3396.114230189</v>
      </c>
      <c r="M52" s="2603">
        <v>4132.4220503349998</v>
      </c>
      <c r="N52" s="2603">
        <v>5352.5329536789995</v>
      </c>
      <c r="O52" s="2603">
        <v>6937.0723764149998</v>
      </c>
      <c r="P52" s="2603">
        <v>7932.0272986769996</v>
      </c>
      <c r="Q52" s="2603">
        <v>8260.1735871439996</v>
      </c>
      <c r="R52" s="2603">
        <v>9471.9841476090005</v>
      </c>
      <c r="S52" s="2603">
        <v>11301.061772211</v>
      </c>
      <c r="T52" s="2603">
        <v>12945.570337274999</v>
      </c>
      <c r="U52" s="2603">
        <v>16080.827716168</v>
      </c>
      <c r="V52" s="2603">
        <v>19007.982397112999</v>
      </c>
      <c r="W52" s="2605">
        <v>22288.96227819</v>
      </c>
      <c r="X52" s="2605">
        <v>24457.73</v>
      </c>
      <c r="Y52" s="2195">
        <v>29148.692599137001</v>
      </c>
      <c r="Z52" s="2195"/>
      <c r="AA52" s="2603"/>
      <c r="AB52" s="3072">
        <v>19440.703827238001</v>
      </c>
      <c r="AC52" s="2200">
        <v>20142.862455487</v>
      </c>
      <c r="AD52" s="2195">
        <v>21616.988146434</v>
      </c>
      <c r="AE52" s="2195">
        <v>22289.069528335</v>
      </c>
      <c r="AF52" s="2195">
        <v>22649.092684044001</v>
      </c>
      <c r="AG52" s="3061">
        <v>23459.020096615001</v>
      </c>
      <c r="AH52" s="2195">
        <v>24158.069038148999</v>
      </c>
      <c r="AI52" s="3568">
        <v>24457.73</v>
      </c>
      <c r="AJ52" s="3560">
        <v>25711.539128955999</v>
      </c>
      <c r="AK52" s="1972">
        <v>27579.702921559001</v>
      </c>
      <c r="AL52" s="1972">
        <v>28394.940253483001</v>
      </c>
      <c r="AM52" s="1972">
        <v>29122.042372002001</v>
      </c>
      <c r="AN52" s="1972">
        <v>14897.139420347999</v>
      </c>
      <c r="AO52" s="1972"/>
      <c r="AP52" s="3569"/>
      <c r="AS52" s="2305" t="s">
        <v>1401</v>
      </c>
      <c r="AT52" s="2305">
        <v>8419.1958750810008</v>
      </c>
      <c r="AU52" s="2305">
        <v>8604.6543173749997</v>
      </c>
      <c r="AV52" s="2305">
        <v>8812.8741385159992</v>
      </c>
      <c r="AW52" s="2305">
        <v>9471.3785082300001</v>
      </c>
      <c r="AX52" s="2305">
        <v>9760.9465983299997</v>
      </c>
      <c r="AY52" s="2305">
        <v>10210.508880253001</v>
      </c>
      <c r="AZ52" s="2305">
        <v>10758.325050019001</v>
      </c>
      <c r="BA52" s="2305">
        <v>11268.316517338</v>
      </c>
      <c r="BB52" s="2305">
        <v>11293.649423849</v>
      </c>
      <c r="BC52" s="2305">
        <v>11608.745950287999</v>
      </c>
      <c r="BD52" s="2305">
        <v>11778.831504074</v>
      </c>
      <c r="BE52" s="2305">
        <v>12945.762081818</v>
      </c>
      <c r="BF52" s="2305">
        <v>13288.879353251001</v>
      </c>
      <c r="BG52" s="2305">
        <v>13534.712119585</v>
      </c>
      <c r="BH52" s="2305">
        <v>13976.823237129</v>
      </c>
      <c r="BI52" s="2305">
        <v>16080.827716168</v>
      </c>
      <c r="BJ52" s="2305">
        <v>16618.965796943001</v>
      </c>
      <c r="BK52" s="2305">
        <v>17040.369238507999</v>
      </c>
      <c r="BL52" s="2305">
        <v>18073.106369200999</v>
      </c>
      <c r="BM52" s="2305">
        <v>19007.982397112999</v>
      </c>
      <c r="BN52" s="2305">
        <v>19440.703827238001</v>
      </c>
      <c r="BO52" s="2305">
        <v>20142.862455487</v>
      </c>
      <c r="BP52" s="2305">
        <v>21616.988146434</v>
      </c>
    </row>
    <row r="53" spans="1:68" ht="15">
      <c r="A53" s="2602" t="s">
        <v>537</v>
      </c>
      <c r="B53" s="2603">
        <v>-32.950000000000003</v>
      </c>
      <c r="C53" s="2603">
        <v>-50.058999999999997</v>
      </c>
      <c r="D53" s="2603">
        <v>0</v>
      </c>
      <c r="E53" s="2603">
        <v>-116.485200709</v>
      </c>
      <c r="F53" s="2603">
        <v>-204.60380796499999</v>
      </c>
      <c r="G53" s="2603">
        <v>-356.018979898</v>
      </c>
      <c r="H53" s="2603">
        <v>-513.51455481200003</v>
      </c>
      <c r="I53" s="2603">
        <v>-702.46483091599998</v>
      </c>
      <c r="J53" s="2603">
        <v>-959.82547064699997</v>
      </c>
      <c r="K53" s="2603">
        <v>-1256.5459524309999</v>
      </c>
      <c r="L53" s="2603">
        <v>-1589.2044325960001</v>
      </c>
      <c r="M53" s="2603">
        <v>-1868.8350567320001</v>
      </c>
      <c r="N53" s="2603">
        <v>-2354.5306119500001</v>
      </c>
      <c r="O53" s="2603">
        <v>-2965.6702570729999</v>
      </c>
      <c r="P53" s="2603">
        <v>-3800.7287102509999</v>
      </c>
      <c r="Q53" s="2603">
        <v>-3674.6805278309998</v>
      </c>
      <c r="R53" s="2603">
        <v>-4264.8581975030002</v>
      </c>
      <c r="S53" s="2603">
        <v>-5005.7999260010001</v>
      </c>
      <c r="T53" s="2603">
        <v>-5726.0187115099998</v>
      </c>
      <c r="U53" s="2603">
        <v>-6819.8930171049997</v>
      </c>
      <c r="V53" s="2603">
        <v>-8293.7512585929999</v>
      </c>
      <c r="W53" s="2605">
        <v>-9906.8454029410004</v>
      </c>
      <c r="X53" s="2605">
        <v>-11683.17</v>
      </c>
      <c r="Y53" s="2195">
        <v>-13762.875752849999</v>
      </c>
      <c r="Z53" s="2195"/>
      <c r="AA53" s="2603"/>
      <c r="AB53" s="3072">
        <v>-8728.0632687630005</v>
      </c>
      <c r="AC53" s="2200">
        <v>-9109.8499333939999</v>
      </c>
      <c r="AD53" s="2195">
        <v>-9539.9161947030007</v>
      </c>
      <c r="AE53" s="2195">
        <v>-9906.9526530210005</v>
      </c>
      <c r="AF53" s="2195">
        <v>-10351.316034547001</v>
      </c>
      <c r="AG53" s="3061">
        <v>-10798.956932818</v>
      </c>
      <c r="AH53" s="2195">
        <v>-11261.187491234001</v>
      </c>
      <c r="AI53" s="3568">
        <v>-11683.17</v>
      </c>
      <c r="AJ53" s="3560">
        <v>-12143.776476347</v>
      </c>
      <c r="AK53" s="1972">
        <v>-12661.640887652</v>
      </c>
      <c r="AL53" s="1972">
        <v>-13238.193554125</v>
      </c>
      <c r="AM53" s="1972">
        <v>-13762.873887943</v>
      </c>
      <c r="AN53" s="1972">
        <v>-4678.2984557500004</v>
      </c>
      <c r="AO53" s="1972"/>
      <c r="AP53" s="3569"/>
      <c r="AS53" s="2305" t="s">
        <v>1402</v>
      </c>
      <c r="AT53" s="2305">
        <v>-3877.8017736759998</v>
      </c>
      <c r="AU53" s="2305">
        <v>-4021.4512930269998</v>
      </c>
      <c r="AV53" s="2305">
        <v>-4037.2216793900002</v>
      </c>
      <c r="AW53" s="2305">
        <v>-4264.2525581239997</v>
      </c>
      <c r="AX53" s="2305">
        <v>-4388.991508821</v>
      </c>
      <c r="AY53" s="2305">
        <v>-4586.4323315889997</v>
      </c>
      <c r="AZ53" s="2305">
        <v>-4837.1307106349996</v>
      </c>
      <c r="BA53" s="2305">
        <v>-4973.8515331509998</v>
      </c>
      <c r="BB53" s="2305">
        <v>-5125.9066383879999</v>
      </c>
      <c r="BC53" s="2305">
        <v>-5386.4884588599998</v>
      </c>
      <c r="BD53" s="2305">
        <v>-5644.4057553550001</v>
      </c>
      <c r="BE53" s="2305">
        <v>-5726.0344757020002</v>
      </c>
      <c r="BF53" s="2305">
        <v>-6002.9533888989999</v>
      </c>
      <c r="BG53" s="2305">
        <v>-6309.23660363</v>
      </c>
      <c r="BH53" s="2305">
        <v>-6616.5116488860003</v>
      </c>
      <c r="BI53" s="2305">
        <v>-6819.8892855169997</v>
      </c>
      <c r="BJ53" s="2305">
        <v>-7174.281567428</v>
      </c>
      <c r="BK53" s="2305">
        <v>-7524.4593314169997</v>
      </c>
      <c r="BL53" s="2305">
        <v>-7901.3198931050001</v>
      </c>
      <c r="BM53" s="2305">
        <v>-8293.7512585929999</v>
      </c>
      <c r="BN53" s="2305">
        <v>-8728.0632687630005</v>
      </c>
      <c r="BO53" s="2305">
        <v>-9109.8499333939999</v>
      </c>
      <c r="BP53" s="2305">
        <v>-9539.9161947030007</v>
      </c>
    </row>
    <row r="54" spans="1:68" ht="15">
      <c r="A54" s="2602" t="s">
        <v>538</v>
      </c>
      <c r="B54" s="2603">
        <v>0</v>
      </c>
      <c r="C54" s="2603">
        <v>0</v>
      </c>
      <c r="D54" s="2603">
        <v>0</v>
      </c>
      <c r="E54" s="2603">
        <v>0</v>
      </c>
      <c r="F54" s="2603">
        <v>0</v>
      </c>
      <c r="G54" s="2603">
        <v>0</v>
      </c>
      <c r="H54" s="2603">
        <v>0.15367086699999999</v>
      </c>
      <c r="I54" s="2603">
        <v>0.14653976699999999</v>
      </c>
      <c r="J54" s="2603">
        <v>0.73063334700000004</v>
      </c>
      <c r="K54" s="2603">
        <v>0.59583695800000003</v>
      </c>
      <c r="L54" s="2603">
        <v>0.64597339799999998</v>
      </c>
      <c r="M54" s="2603">
        <v>0.54587002900000003</v>
      </c>
      <c r="N54" s="2603">
        <v>0.74044147500000002</v>
      </c>
      <c r="O54" s="2603">
        <v>1.7370039269999999</v>
      </c>
      <c r="P54" s="2603">
        <v>2.4637166929999998</v>
      </c>
      <c r="Q54" s="2603">
        <v>3.656116414</v>
      </c>
      <c r="R54" s="2603">
        <v>3.0245933969999999</v>
      </c>
      <c r="S54" s="2603">
        <v>2.8450858160000001</v>
      </c>
      <c r="T54" s="2603">
        <v>2.9020776170000002</v>
      </c>
      <c r="U54" s="2603">
        <v>4.8427898740000002</v>
      </c>
      <c r="V54" s="2603">
        <v>31.623636433000001</v>
      </c>
      <c r="W54" s="2605">
        <v>4.0186331510000004</v>
      </c>
      <c r="X54" s="2606">
        <v>2.04</v>
      </c>
      <c r="Y54" s="2195">
        <v>1.277212606</v>
      </c>
      <c r="Z54" s="2195"/>
      <c r="AA54" s="2603"/>
      <c r="AB54" s="3072">
        <v>29.262160342000001</v>
      </c>
      <c r="AC54" s="2200">
        <v>2.9113154109999999</v>
      </c>
      <c r="AD54" s="2195">
        <v>2.6637215410000001</v>
      </c>
      <c r="AE54" s="2195">
        <v>4.0186331510000004</v>
      </c>
      <c r="AF54" s="2195">
        <v>3.5418475319999998</v>
      </c>
      <c r="AG54" s="3061">
        <v>3.1249636810000001</v>
      </c>
      <c r="AH54" s="2195">
        <v>2.3828536269999998</v>
      </c>
      <c r="AI54" s="3565">
        <v>2.04</v>
      </c>
      <c r="AJ54" s="3560">
        <v>1.9503972389999999</v>
      </c>
      <c r="AK54" s="1972">
        <v>1.829838007</v>
      </c>
      <c r="AL54" s="1972">
        <v>1.574138434</v>
      </c>
      <c r="AM54" s="1972">
        <v>1.277212606</v>
      </c>
      <c r="AN54" s="1972">
        <v>1.049774612</v>
      </c>
      <c r="AO54" s="1972"/>
      <c r="AP54" s="3569"/>
      <c r="AS54" s="2305" t="s">
        <v>1403</v>
      </c>
      <c r="AT54" s="2305">
        <v>3.4952318070000001</v>
      </c>
      <c r="AU54" s="2305">
        <v>3.1776747900000002</v>
      </c>
      <c r="AV54" s="2305">
        <v>2.9164350059999999</v>
      </c>
      <c r="AW54" s="2305">
        <v>3.0245933969999999</v>
      </c>
      <c r="AX54" s="2305">
        <v>2.3326981280000001</v>
      </c>
      <c r="AY54" s="2305">
        <v>2.4821418749999999</v>
      </c>
      <c r="AZ54" s="2305">
        <v>3.1774725610000001</v>
      </c>
      <c r="BA54" s="2305">
        <v>2.8450858160000001</v>
      </c>
      <c r="BB54" s="2305">
        <v>2.4170606480000001</v>
      </c>
      <c r="BC54" s="2305">
        <v>2.1229933650000001</v>
      </c>
      <c r="BD54" s="2305">
        <v>3.088289171</v>
      </c>
      <c r="BE54" s="2305">
        <v>2.9020776170000002</v>
      </c>
      <c r="BF54" s="2305">
        <v>2.5282718640000001</v>
      </c>
      <c r="BG54" s="2305">
        <v>2.8231394779999999</v>
      </c>
      <c r="BH54" s="2305">
        <v>2.5596863970000001</v>
      </c>
      <c r="BI54" s="2305">
        <v>4.8427898740000002</v>
      </c>
      <c r="BJ54" s="2305">
        <v>4.2728748210000003</v>
      </c>
      <c r="BK54" s="2305">
        <v>32.931396849000002</v>
      </c>
      <c r="BL54" s="2305">
        <v>30.360484765999999</v>
      </c>
      <c r="BM54" s="2305">
        <v>31.623636433000001</v>
      </c>
      <c r="BN54" s="2305">
        <v>29.262160342000001</v>
      </c>
      <c r="BO54" s="2305">
        <v>2.9113154109999999</v>
      </c>
      <c r="BP54" s="2305">
        <v>2.6637215410000001</v>
      </c>
    </row>
    <row r="55" spans="1:68" ht="15">
      <c r="A55" s="2602" t="s">
        <v>536</v>
      </c>
      <c r="B55" s="2603">
        <v>0</v>
      </c>
      <c r="C55" s="2603">
        <v>0</v>
      </c>
      <c r="D55" s="2603">
        <v>0</v>
      </c>
      <c r="E55" s="2603">
        <v>0</v>
      </c>
      <c r="F55" s="2603">
        <v>0</v>
      </c>
      <c r="G55" s="2603">
        <v>0</v>
      </c>
      <c r="H55" s="2603">
        <v>0.18047327399999999</v>
      </c>
      <c r="I55" s="2603">
        <v>0.21980954899999999</v>
      </c>
      <c r="J55" s="2603">
        <v>0.92732311499999998</v>
      </c>
      <c r="K55" s="2603">
        <v>0.965721579</v>
      </c>
      <c r="L55" s="2603">
        <v>1.172124293</v>
      </c>
      <c r="M55" s="2603">
        <v>0.79446080799999996</v>
      </c>
      <c r="N55" s="2603">
        <v>0.95894619199999998</v>
      </c>
      <c r="O55" s="2603">
        <v>2.400601505</v>
      </c>
      <c r="P55" s="2603">
        <v>3.4465069430000002</v>
      </c>
      <c r="Q55" s="2603">
        <v>4.7024264430000002</v>
      </c>
      <c r="R55" s="2603">
        <v>5.2085428030000003</v>
      </c>
      <c r="S55" s="2603">
        <v>6.057653223</v>
      </c>
      <c r="T55" s="2603">
        <v>6.0314452709999999</v>
      </c>
      <c r="U55" s="2603">
        <v>8.0028916070000005</v>
      </c>
      <c r="V55" s="2603">
        <v>54.439419528000002</v>
      </c>
      <c r="W55" s="2605">
        <v>8.0324653319999992</v>
      </c>
      <c r="X55" s="2606">
        <v>5.72</v>
      </c>
      <c r="Y55" s="2195">
        <v>5.8710061959999997</v>
      </c>
      <c r="Z55" s="2195"/>
      <c r="AA55" s="2603"/>
      <c r="AB55" s="3072">
        <v>54.177548964000003</v>
      </c>
      <c r="AC55" s="2200">
        <v>6.7896291639999999</v>
      </c>
      <c r="AD55" s="2195">
        <v>6.2512001479999997</v>
      </c>
      <c r="AE55" s="2195">
        <v>8.0324653319999992</v>
      </c>
      <c r="AF55" s="2195">
        <v>7.7394469360000002</v>
      </c>
      <c r="AG55" s="3061">
        <v>7.5114999200000003</v>
      </c>
      <c r="AH55" s="2195">
        <v>5.9902572440000004</v>
      </c>
      <c r="AI55" s="3565">
        <v>5.72</v>
      </c>
      <c r="AJ55" s="3560">
        <v>5.9820140840000002</v>
      </c>
      <c r="AK55" s="1972">
        <v>6.236727728</v>
      </c>
      <c r="AL55" s="1972">
        <v>6.1435800199999999</v>
      </c>
      <c r="AM55" s="1972">
        <v>5.8710061959999997</v>
      </c>
      <c r="AN55" s="1972">
        <v>5.7918718599999996</v>
      </c>
      <c r="AO55" s="1972"/>
      <c r="AP55" s="3569"/>
      <c r="AS55" s="2305" t="s">
        <v>1404</v>
      </c>
      <c r="AT55" s="2305">
        <v>4.8778145759999996</v>
      </c>
      <c r="AU55" s="2305">
        <v>4.777471909</v>
      </c>
      <c r="AV55" s="2305">
        <v>4.7488859159999999</v>
      </c>
      <c r="AW55" s="2305">
        <v>5.2085428030000003</v>
      </c>
      <c r="AX55" s="2305">
        <v>5.1856448390000001</v>
      </c>
      <c r="AY55" s="2305">
        <v>5.3064060729999998</v>
      </c>
      <c r="AZ55" s="2305">
        <v>6.0554654440000002</v>
      </c>
      <c r="BA55" s="2305">
        <v>6.057653223</v>
      </c>
      <c r="BB55" s="2305">
        <v>5.542367338</v>
      </c>
      <c r="BC55" s="2305">
        <v>5.4108384840000001</v>
      </c>
      <c r="BD55" s="2305">
        <v>5.9469296539999998</v>
      </c>
      <c r="BE55" s="2305">
        <v>6.0314452709999999</v>
      </c>
      <c r="BF55" s="2305">
        <v>5.758380238</v>
      </c>
      <c r="BG55" s="2305">
        <v>6.2661335429999996</v>
      </c>
      <c r="BH55" s="2305">
        <v>5.9104952470000001</v>
      </c>
      <c r="BI55" s="2305">
        <v>8.0028916070000005</v>
      </c>
      <c r="BJ55" s="2305">
        <v>7.6789660609999997</v>
      </c>
      <c r="BK55" s="2305">
        <v>51.051242342999998</v>
      </c>
      <c r="BL55" s="2305">
        <v>52.002232997</v>
      </c>
      <c r="BM55" s="2305">
        <v>54.439419528000002</v>
      </c>
      <c r="BN55" s="2305">
        <v>54.177548964000003</v>
      </c>
      <c r="BO55" s="2305">
        <v>6.7896291639999999</v>
      </c>
      <c r="BP55" s="2305">
        <v>6.2512001479999997</v>
      </c>
    </row>
    <row r="56" spans="1:68" ht="15">
      <c r="A56" s="2602" t="s">
        <v>537</v>
      </c>
      <c r="B56" s="2603">
        <v>0</v>
      </c>
      <c r="C56" s="2603">
        <v>0</v>
      </c>
      <c r="D56" s="2603">
        <v>0</v>
      </c>
      <c r="E56" s="2603">
        <v>0</v>
      </c>
      <c r="F56" s="2603">
        <v>0</v>
      </c>
      <c r="G56" s="2603">
        <v>0</v>
      </c>
      <c r="H56" s="2603">
        <v>-2.6802407E-2</v>
      </c>
      <c r="I56" s="2603">
        <v>-7.3269782000000006E-2</v>
      </c>
      <c r="J56" s="2603">
        <v>-0.19668976799999999</v>
      </c>
      <c r="K56" s="2603">
        <v>-0.36988462100000002</v>
      </c>
      <c r="L56" s="2603">
        <v>-0.52615089500000001</v>
      </c>
      <c r="M56" s="2603">
        <v>-0.24859077900000001</v>
      </c>
      <c r="N56" s="2603">
        <v>-0.21850471699999999</v>
      </c>
      <c r="O56" s="2603">
        <v>-0.66359757799999997</v>
      </c>
      <c r="P56" s="2603">
        <v>-0.98279024999999998</v>
      </c>
      <c r="Q56" s="2603">
        <v>-1.046310029</v>
      </c>
      <c r="R56" s="2603">
        <v>-2.183949406</v>
      </c>
      <c r="S56" s="2603">
        <v>-3.2125674069999999</v>
      </c>
      <c r="T56" s="2603">
        <v>-3.1293676540000002</v>
      </c>
      <c r="U56" s="2603">
        <v>-3.1601017329999999</v>
      </c>
      <c r="V56" s="2603">
        <v>-22.815783095</v>
      </c>
      <c r="W56" s="2605">
        <v>-4.0138321809999997</v>
      </c>
      <c r="X56" s="2606">
        <v>-3.67</v>
      </c>
      <c r="Y56" s="2195">
        <v>-4.5937935899999998</v>
      </c>
      <c r="Z56" s="2195"/>
      <c r="AA56" s="2603"/>
      <c r="AB56" s="3072">
        <v>-24.915388621999998</v>
      </c>
      <c r="AC56" s="2200">
        <v>-3.878313753</v>
      </c>
      <c r="AD56" s="2195">
        <v>-3.587478607</v>
      </c>
      <c r="AE56" s="2195">
        <v>-4.0138321809999997</v>
      </c>
      <c r="AF56" s="2195">
        <v>-4.197599404</v>
      </c>
      <c r="AG56" s="3061">
        <v>-4.3865362389999998</v>
      </c>
      <c r="AH56" s="2195">
        <v>-3.6074036170000001</v>
      </c>
      <c r="AI56" s="3565">
        <v>-3.67</v>
      </c>
      <c r="AJ56" s="3560">
        <v>-4.0316168450000003</v>
      </c>
      <c r="AK56" s="1972">
        <v>-4.4068897209999998</v>
      </c>
      <c r="AL56" s="1972">
        <v>-4.5694415859999999</v>
      </c>
      <c r="AM56" s="1972">
        <v>-4.5937935899999998</v>
      </c>
      <c r="AN56" s="1972">
        <v>-4.7420972480000003</v>
      </c>
      <c r="AO56" s="1972"/>
      <c r="AP56" s="3569"/>
      <c r="AS56" s="2305" t="s">
        <v>1405</v>
      </c>
      <c r="AT56" s="2305">
        <v>-1.3825827690000001</v>
      </c>
      <c r="AU56" s="2305">
        <v>-1.599797119</v>
      </c>
      <c r="AV56" s="2305">
        <v>-1.8324509099999999</v>
      </c>
      <c r="AW56" s="2305">
        <v>-2.183949406</v>
      </c>
      <c r="AX56" s="2305">
        <v>-2.852946711</v>
      </c>
      <c r="AY56" s="2305">
        <v>-2.8242641979999998</v>
      </c>
      <c r="AZ56" s="2305">
        <v>-2.8779928830000001</v>
      </c>
      <c r="BA56" s="2305">
        <v>-3.2125674069999999</v>
      </c>
      <c r="BB56" s="2305">
        <v>-3.1253066899999999</v>
      </c>
      <c r="BC56" s="2305">
        <v>-3.287845119</v>
      </c>
      <c r="BD56" s="2305">
        <v>-2.8586404829999998</v>
      </c>
      <c r="BE56" s="2305">
        <v>-3.1293676540000002</v>
      </c>
      <c r="BF56" s="2305">
        <v>-3.2301083739999998</v>
      </c>
      <c r="BG56" s="2305">
        <v>-3.4429940650000002</v>
      </c>
      <c r="BH56" s="2305">
        <v>-3.3508088499999999</v>
      </c>
      <c r="BI56" s="2305">
        <v>-3.1601017329999999</v>
      </c>
      <c r="BJ56" s="2305">
        <v>-3.4060912399999999</v>
      </c>
      <c r="BK56" s="2305">
        <v>-18.119845494</v>
      </c>
      <c r="BL56" s="2305">
        <v>-21.641748231000001</v>
      </c>
      <c r="BM56" s="2305">
        <v>-22.815783095</v>
      </c>
      <c r="BN56" s="2305">
        <v>-24.915388621999998</v>
      </c>
      <c r="BO56" s="2305">
        <v>-3.878313753</v>
      </c>
      <c r="BP56" s="2305">
        <v>-3.587478607</v>
      </c>
    </row>
    <row r="57" spans="1:68" ht="15">
      <c r="A57" s="2602" t="s">
        <v>539</v>
      </c>
      <c r="B57" s="2603">
        <v>0</v>
      </c>
      <c r="C57" s="2603">
        <v>0</v>
      </c>
      <c r="D57" s="2603">
        <v>0</v>
      </c>
      <c r="E57" s="2603">
        <v>8.4600585850000005</v>
      </c>
      <c r="F57" s="2603">
        <v>15.938727374000001</v>
      </c>
      <c r="G57" s="2603">
        <v>34.571052492</v>
      </c>
      <c r="H57" s="2603">
        <v>44.566041767999998</v>
      </c>
      <c r="I57" s="2603">
        <v>231.519697756</v>
      </c>
      <c r="J57" s="2603">
        <v>243.37690973900001</v>
      </c>
      <c r="K57" s="2603">
        <v>268.33064833899999</v>
      </c>
      <c r="L57" s="2603">
        <v>269.109800119</v>
      </c>
      <c r="M57" s="2603">
        <v>272.62771003799998</v>
      </c>
      <c r="N57" s="2603">
        <v>301.80373073499999</v>
      </c>
      <c r="O57" s="2603">
        <v>319.11401481000001</v>
      </c>
      <c r="P57" s="2603">
        <v>456.22088814900002</v>
      </c>
      <c r="Q57" s="2603">
        <v>658.13584597399995</v>
      </c>
      <c r="R57" s="2603">
        <v>1303.5850347549999</v>
      </c>
      <c r="S57" s="2603">
        <v>1194.0610220619999</v>
      </c>
      <c r="T57" s="2603">
        <v>1095.369004232</v>
      </c>
      <c r="U57" s="2603">
        <v>1133.0600578470001</v>
      </c>
      <c r="V57" s="2603">
        <v>1287.060189954</v>
      </c>
      <c r="W57" s="2605">
        <v>1257.0971414329999</v>
      </c>
      <c r="X57" s="2605">
        <v>2039.52</v>
      </c>
      <c r="Y57" s="2195">
        <v>1942.9395476929999</v>
      </c>
      <c r="Z57" s="2195"/>
      <c r="AA57" s="2603"/>
      <c r="AB57" s="3072">
        <v>1241.552636223</v>
      </c>
      <c r="AC57" s="2200">
        <v>1196.3431897309999</v>
      </c>
      <c r="AD57" s="2195">
        <v>1182.0032455620001</v>
      </c>
      <c r="AE57" s="2195">
        <v>1257.0971414329999</v>
      </c>
      <c r="AF57" s="2195">
        <v>1512.918754652</v>
      </c>
      <c r="AG57" s="3061">
        <v>1707.218886272</v>
      </c>
      <c r="AH57" s="2195">
        <v>1540.0065819490001</v>
      </c>
      <c r="AI57" s="3568">
        <v>2039.52</v>
      </c>
      <c r="AJ57" s="3560">
        <v>1978.640933934</v>
      </c>
      <c r="AK57" s="1972">
        <v>1936.1165346299999</v>
      </c>
      <c r="AL57" s="1972">
        <v>1832.1990768850001</v>
      </c>
      <c r="AM57" s="1972">
        <v>1928.096152196</v>
      </c>
      <c r="AN57" s="1972">
        <v>1405.42249634</v>
      </c>
      <c r="AO57" s="1972"/>
      <c r="AP57" s="3569"/>
      <c r="AS57" s="2305" t="s">
        <v>1406</v>
      </c>
      <c r="AT57" s="2305">
        <v>645.04514224800005</v>
      </c>
      <c r="AU57" s="2305">
        <v>832.38608449000003</v>
      </c>
      <c r="AV57" s="2305">
        <v>823.28495290299998</v>
      </c>
      <c r="AW57" s="2305">
        <v>1303.5850347549999</v>
      </c>
      <c r="AX57" s="2305">
        <v>1316.205133097</v>
      </c>
      <c r="AY57" s="2305">
        <v>1287.37090324</v>
      </c>
      <c r="AZ57" s="2305">
        <v>1260.561424991</v>
      </c>
      <c r="BA57" s="2305">
        <v>1193.931643291</v>
      </c>
      <c r="BB57" s="2305">
        <v>1161.7690038999999</v>
      </c>
      <c r="BC57" s="2305">
        <v>1141.6157957979999</v>
      </c>
      <c r="BD57" s="2305">
        <v>1101.2765332429999</v>
      </c>
      <c r="BE57" s="2305">
        <v>1095.369004232</v>
      </c>
      <c r="BF57" s="2305">
        <v>1084.7765342570001</v>
      </c>
      <c r="BG57" s="2305">
        <v>1064.37827083</v>
      </c>
      <c r="BH57" s="2305">
        <v>1080.083677247</v>
      </c>
      <c r="BI57" s="2305">
        <v>1133.0600578470001</v>
      </c>
      <c r="BJ57" s="2305">
        <v>1116.739928531</v>
      </c>
      <c r="BK57" s="2305">
        <v>1086.0537558440001</v>
      </c>
      <c r="BL57" s="2305">
        <v>1182.193133366</v>
      </c>
      <c r="BM57" s="2305">
        <v>1287.060189954</v>
      </c>
      <c r="BN57" s="2305">
        <v>1241.552636223</v>
      </c>
      <c r="BO57" s="2305">
        <v>1196.3431897309999</v>
      </c>
      <c r="BP57" s="2305">
        <v>1182.0032455620001</v>
      </c>
    </row>
    <row r="58" spans="1:68" ht="15">
      <c r="A58" s="2602" t="s">
        <v>536</v>
      </c>
      <c r="B58" s="2603">
        <v>0</v>
      </c>
      <c r="C58" s="2603">
        <v>0</v>
      </c>
      <c r="D58" s="2603">
        <v>0</v>
      </c>
      <c r="E58" s="2603">
        <v>10.307269188999999</v>
      </c>
      <c r="F58" s="2603">
        <v>25.682093461000001</v>
      </c>
      <c r="G58" s="2603">
        <v>55.249810480000001</v>
      </c>
      <c r="H58" s="2603">
        <v>83.092578510999999</v>
      </c>
      <c r="I58" s="2603">
        <v>290.95502101300002</v>
      </c>
      <c r="J58" s="2603">
        <v>328.89118669300001</v>
      </c>
      <c r="K58" s="2603">
        <v>390.24479534599999</v>
      </c>
      <c r="L58" s="2603">
        <v>432.86681857399998</v>
      </c>
      <c r="M58" s="2603">
        <v>480.19102873100002</v>
      </c>
      <c r="N58" s="2603">
        <v>529.38756002000002</v>
      </c>
      <c r="O58" s="2603">
        <v>610.34510573600005</v>
      </c>
      <c r="P58" s="2603">
        <v>821.22795662600004</v>
      </c>
      <c r="Q58" s="2603">
        <v>1117.4193855660001</v>
      </c>
      <c r="R58" s="2603">
        <v>1915.362421263</v>
      </c>
      <c r="S58" s="2603">
        <v>1973.814359687</v>
      </c>
      <c r="T58" s="2603">
        <v>2036.967631495</v>
      </c>
      <c r="U58" s="2603">
        <v>2249.1066470109999</v>
      </c>
      <c r="V58" s="2603">
        <v>2547.8833247849998</v>
      </c>
      <c r="W58" s="2605">
        <v>2595.5867322469999</v>
      </c>
      <c r="X58" s="2605">
        <v>3656.3</v>
      </c>
      <c r="Y58" s="2195">
        <v>3868.884070908</v>
      </c>
      <c r="Z58" s="2195"/>
      <c r="AA58" s="2603"/>
      <c r="AB58" s="3072">
        <v>2562.3919240939999</v>
      </c>
      <c r="AC58" s="2200">
        <v>2575.6918637399999</v>
      </c>
      <c r="AD58" s="2195">
        <v>2469.6686943270001</v>
      </c>
      <c r="AE58" s="2195">
        <v>2595.5867322469999</v>
      </c>
      <c r="AF58" s="2195">
        <v>2927.0261858220001</v>
      </c>
      <c r="AG58" s="3061">
        <v>3202.705299281</v>
      </c>
      <c r="AH58" s="2195">
        <v>3072.611297376</v>
      </c>
      <c r="AI58" s="3568">
        <v>3656.3</v>
      </c>
      <c r="AJ58" s="3560">
        <v>3676.618000169</v>
      </c>
      <c r="AK58" s="1972">
        <v>3690.4614154599999</v>
      </c>
      <c r="AL58" s="1972">
        <v>3682.2989179370002</v>
      </c>
      <c r="AM58" s="1972">
        <v>3868.883110367</v>
      </c>
      <c r="AN58" s="1972">
        <v>2741.6800414569998</v>
      </c>
      <c r="AO58" s="1972"/>
      <c r="AP58" s="3569"/>
      <c r="AS58" s="2305" t="s">
        <v>1407</v>
      </c>
      <c r="AT58" s="2305">
        <v>1136.4579562169999</v>
      </c>
      <c r="AU58" s="2305">
        <v>1358.4449733470001</v>
      </c>
      <c r="AV58" s="2305">
        <v>1385.7278049510001</v>
      </c>
      <c r="AW58" s="2305">
        <v>1915.362421263</v>
      </c>
      <c r="AX58" s="2305">
        <v>1959.4680199720001</v>
      </c>
      <c r="AY58" s="2305">
        <v>1978.3931129919999</v>
      </c>
      <c r="AZ58" s="2305">
        <v>1999.727088005</v>
      </c>
      <c r="BA58" s="2305">
        <v>1961.932978088</v>
      </c>
      <c r="BB58" s="2305">
        <v>1970.828114897</v>
      </c>
      <c r="BC58" s="2305">
        <v>1996.9800441760001</v>
      </c>
      <c r="BD58" s="2305">
        <v>1997.6783956249999</v>
      </c>
      <c r="BE58" s="2305">
        <v>2036.967631495</v>
      </c>
      <c r="BF58" s="2305">
        <v>2068.303271666</v>
      </c>
      <c r="BG58" s="2305">
        <v>2088.3414748780001</v>
      </c>
      <c r="BH58" s="2305">
        <v>2146.2877011979999</v>
      </c>
      <c r="BI58" s="2305">
        <v>2249.1066470109999</v>
      </c>
      <c r="BJ58" s="2305">
        <v>2222.3102812739999</v>
      </c>
      <c r="BK58" s="2305">
        <v>2239.012640597</v>
      </c>
      <c r="BL58" s="2305">
        <v>2379.4863908279999</v>
      </c>
      <c r="BM58" s="2305">
        <v>2547.8833247849998</v>
      </c>
      <c r="BN58" s="2305">
        <v>2562.3919240939999</v>
      </c>
      <c r="BO58" s="2305">
        <v>2575.6918637399999</v>
      </c>
      <c r="BP58" s="2305">
        <v>2469.6686943270001</v>
      </c>
    </row>
    <row r="59" spans="1:68" ht="15">
      <c r="A59" s="2602" t="s">
        <v>537</v>
      </c>
      <c r="B59" s="2603">
        <v>0</v>
      </c>
      <c r="C59" s="2603">
        <v>0</v>
      </c>
      <c r="D59" s="2603">
        <v>0</v>
      </c>
      <c r="E59" s="2603">
        <v>-1.847210604</v>
      </c>
      <c r="F59" s="2603">
        <v>-9.7433660870000001</v>
      </c>
      <c r="G59" s="2603">
        <v>-20.678757988000001</v>
      </c>
      <c r="H59" s="2603">
        <v>-38.526536743000001</v>
      </c>
      <c r="I59" s="2603">
        <v>-59.435323257</v>
      </c>
      <c r="J59" s="2603">
        <v>-85.514276953999996</v>
      </c>
      <c r="K59" s="2603">
        <v>-121.914147007</v>
      </c>
      <c r="L59" s="2603">
        <v>-163.75701845500001</v>
      </c>
      <c r="M59" s="2603">
        <v>-207.56331869300001</v>
      </c>
      <c r="N59" s="2603">
        <v>-227.58382928500001</v>
      </c>
      <c r="O59" s="2603">
        <v>-291.23109092599998</v>
      </c>
      <c r="P59" s="2603">
        <v>-365.00706847700002</v>
      </c>
      <c r="Q59" s="2603">
        <v>-459.28353959200001</v>
      </c>
      <c r="R59" s="2603">
        <v>-611.77738650799995</v>
      </c>
      <c r="S59" s="2603">
        <v>-779.75333762499997</v>
      </c>
      <c r="T59" s="2603">
        <v>-941.59862726300003</v>
      </c>
      <c r="U59" s="2603">
        <v>-1116.0465891639999</v>
      </c>
      <c r="V59" s="2603">
        <v>-1260.8231348310001</v>
      </c>
      <c r="W59" s="2605">
        <v>-1338.4895908139999</v>
      </c>
      <c r="X59" s="2605">
        <v>-1616.78</v>
      </c>
      <c r="Y59" s="2195">
        <v>-1925.9445232149999</v>
      </c>
      <c r="Z59" s="2195"/>
      <c r="AA59" s="2603"/>
      <c r="AB59" s="3072">
        <v>-1320.8392878709999</v>
      </c>
      <c r="AC59" s="2200">
        <v>-1379.348674009</v>
      </c>
      <c r="AD59" s="2195">
        <v>-1287.6654487650001</v>
      </c>
      <c r="AE59" s="2195">
        <v>-1338.4895908139999</v>
      </c>
      <c r="AF59" s="2195">
        <v>-1414.1074311699999</v>
      </c>
      <c r="AG59" s="3061">
        <v>-1495.486413009</v>
      </c>
      <c r="AH59" s="2195">
        <v>-1532.604715427</v>
      </c>
      <c r="AI59" s="3568">
        <v>-1616.78</v>
      </c>
      <c r="AJ59" s="3560">
        <v>-1697.9770662349999</v>
      </c>
      <c r="AK59" s="1972">
        <v>-1754.34488083</v>
      </c>
      <c r="AL59" s="1972">
        <v>-1850.0998410520001</v>
      </c>
      <c r="AM59" s="1972">
        <v>-1940.7869581709999</v>
      </c>
      <c r="AN59" s="1972">
        <v>-1336.2575451170001</v>
      </c>
      <c r="AO59" s="1972"/>
      <c r="AP59" s="3569"/>
      <c r="AS59" s="2305" t="s">
        <v>1408</v>
      </c>
      <c r="AT59" s="2305">
        <v>-491.41281396900001</v>
      </c>
      <c r="AU59" s="2305">
        <v>-526.05888885700006</v>
      </c>
      <c r="AV59" s="2305">
        <v>-562.44285204799996</v>
      </c>
      <c r="AW59" s="2305">
        <v>-611.77738650799995</v>
      </c>
      <c r="AX59" s="2305">
        <v>-643.26288687500005</v>
      </c>
      <c r="AY59" s="2305">
        <v>-691.02220975199998</v>
      </c>
      <c r="AZ59" s="2305">
        <v>-739.16566301399996</v>
      </c>
      <c r="BA59" s="2305">
        <v>-768.00133479700003</v>
      </c>
      <c r="BB59" s="2305">
        <v>-809.05911099699995</v>
      </c>
      <c r="BC59" s="2305">
        <v>-855.36424837799996</v>
      </c>
      <c r="BD59" s="2305">
        <v>-896.40186238199999</v>
      </c>
      <c r="BE59" s="2305">
        <v>-941.59862726300003</v>
      </c>
      <c r="BF59" s="2305">
        <v>-983.52673740900002</v>
      </c>
      <c r="BG59" s="2305">
        <v>-1023.963204048</v>
      </c>
      <c r="BH59" s="2305">
        <v>-1066.204023951</v>
      </c>
      <c r="BI59" s="2305">
        <v>-1116.0465891639999</v>
      </c>
      <c r="BJ59" s="2305">
        <v>-1105.5703527430001</v>
      </c>
      <c r="BK59" s="2305">
        <v>-1152.9588847529999</v>
      </c>
      <c r="BL59" s="2305">
        <v>-1197.2932574619999</v>
      </c>
      <c r="BM59" s="2305">
        <v>-1260.8231348310001</v>
      </c>
      <c r="BN59" s="2305">
        <v>-1320.8392878709999</v>
      </c>
      <c r="BO59" s="2305">
        <v>-1379.348674009</v>
      </c>
      <c r="BP59" s="2305">
        <v>-1287.6654487650001</v>
      </c>
    </row>
    <row r="60" spans="1:68" ht="15">
      <c r="A60" s="2602" t="s">
        <v>540</v>
      </c>
      <c r="B60" s="2603">
        <v>0</v>
      </c>
      <c r="C60" s="2603">
        <v>0</v>
      </c>
      <c r="D60" s="2603">
        <v>0</v>
      </c>
      <c r="E60" s="2603">
        <v>8.1440938169999999</v>
      </c>
      <c r="F60" s="2603">
        <v>36.692860275999998</v>
      </c>
      <c r="G60" s="2603">
        <v>8.8091330639999992</v>
      </c>
      <c r="H60" s="2603">
        <v>221.756414506</v>
      </c>
      <c r="I60" s="2603">
        <v>382.94564465600001</v>
      </c>
      <c r="J60" s="2603">
        <v>322.49647407499998</v>
      </c>
      <c r="K60" s="2603">
        <v>423.08525644000002</v>
      </c>
      <c r="L60" s="2603">
        <v>540.99635870099996</v>
      </c>
      <c r="M60" s="2603">
        <v>539.10269680500005</v>
      </c>
      <c r="N60" s="2603">
        <v>0</v>
      </c>
      <c r="O60" s="2603">
        <v>0</v>
      </c>
      <c r="P60" s="2603">
        <v>0</v>
      </c>
      <c r="Q60" s="2603">
        <v>0</v>
      </c>
      <c r="R60" s="2603">
        <v>0</v>
      </c>
      <c r="S60" s="2603">
        <v>0</v>
      </c>
      <c r="T60" s="2603">
        <v>0</v>
      </c>
      <c r="U60" s="2603">
        <v>0</v>
      </c>
      <c r="V60" s="2603">
        <v>0</v>
      </c>
      <c r="W60" s="2605">
        <v>0</v>
      </c>
      <c r="X60" s="2606">
        <v>0</v>
      </c>
      <c r="Y60" s="2195">
        <v>0</v>
      </c>
      <c r="Z60" s="2195"/>
      <c r="AA60" s="2603"/>
      <c r="AB60" s="3072">
        <v>0</v>
      </c>
      <c r="AC60" s="2200">
        <v>0</v>
      </c>
      <c r="AD60" s="2195">
        <v>0</v>
      </c>
      <c r="AE60" s="2195">
        <v>0</v>
      </c>
      <c r="AF60" s="2195">
        <v>0</v>
      </c>
      <c r="AG60" s="3061">
        <v>0</v>
      </c>
      <c r="AH60" s="2195">
        <v>0</v>
      </c>
      <c r="AI60" s="3565">
        <v>0</v>
      </c>
      <c r="AJ60" s="3560">
        <v>0</v>
      </c>
      <c r="AK60" s="1972">
        <v>0</v>
      </c>
      <c r="AL60" s="1972">
        <v>0</v>
      </c>
      <c r="AM60" s="1972">
        <v>0</v>
      </c>
      <c r="AN60" s="1972">
        <v>0</v>
      </c>
      <c r="AO60" s="1972"/>
      <c r="AP60" s="3569"/>
      <c r="AS60" s="2305" t="s">
        <v>1409</v>
      </c>
      <c r="AT60" s="2305">
        <v>0</v>
      </c>
      <c r="AU60" s="2305">
        <v>0</v>
      </c>
      <c r="AV60" s="2305">
        <v>0</v>
      </c>
      <c r="AW60" s="2305">
        <v>0</v>
      </c>
      <c r="AX60" s="2305">
        <v>0</v>
      </c>
      <c r="AY60" s="2305">
        <v>0</v>
      </c>
      <c r="AZ60" s="2305">
        <v>0</v>
      </c>
      <c r="BA60" s="2305">
        <v>0</v>
      </c>
      <c r="BB60" s="2305">
        <v>0</v>
      </c>
      <c r="BC60" s="2305">
        <v>0</v>
      </c>
      <c r="BD60" s="2305">
        <v>0</v>
      </c>
      <c r="BE60" s="2305">
        <v>0</v>
      </c>
      <c r="BF60" s="2305">
        <v>0</v>
      </c>
      <c r="BG60" s="2305">
        <v>0</v>
      </c>
      <c r="BH60" s="2305">
        <v>0</v>
      </c>
      <c r="BI60" s="2305">
        <v>0</v>
      </c>
      <c r="BJ60" s="2305">
        <v>0</v>
      </c>
      <c r="BK60" s="2305">
        <v>0</v>
      </c>
      <c r="BL60" s="2305">
        <v>0</v>
      </c>
      <c r="BM60" s="2305">
        <v>0</v>
      </c>
      <c r="BN60" s="2305">
        <v>0</v>
      </c>
      <c r="BO60" s="2305">
        <v>0</v>
      </c>
      <c r="BP60" s="2305">
        <v>0</v>
      </c>
    </row>
    <row r="61" spans="1:68" ht="15.75">
      <c r="A61" s="2602" t="s">
        <v>541</v>
      </c>
      <c r="B61" s="2603">
        <v>0</v>
      </c>
      <c r="C61" s="2603">
        <v>0</v>
      </c>
      <c r="D61" s="2603">
        <v>0</v>
      </c>
      <c r="E61" s="2603">
        <v>0</v>
      </c>
      <c r="F61" s="2603">
        <v>0</v>
      </c>
      <c r="G61" s="2603">
        <v>0</v>
      </c>
      <c r="H61" s="2603">
        <v>0</v>
      </c>
      <c r="I61" s="2603">
        <v>0</v>
      </c>
      <c r="J61" s="2603">
        <v>0</v>
      </c>
      <c r="K61" s="2603">
        <v>0</v>
      </c>
      <c r="L61" s="2603">
        <v>0</v>
      </c>
      <c r="M61" s="2603">
        <v>0</v>
      </c>
      <c r="N61" s="2603">
        <v>0</v>
      </c>
      <c r="O61" s="2603">
        <v>0</v>
      </c>
      <c r="P61" s="2603">
        <v>0</v>
      </c>
      <c r="Q61" s="2603">
        <v>0</v>
      </c>
      <c r="R61" s="2603">
        <v>0</v>
      </c>
      <c r="S61" s="2603">
        <v>0</v>
      </c>
      <c r="T61" s="2603">
        <v>0</v>
      </c>
      <c r="U61" s="2603">
        <v>0</v>
      </c>
      <c r="V61" s="2603">
        <v>0</v>
      </c>
      <c r="W61" s="2604">
        <v>0</v>
      </c>
      <c r="X61" s="2606">
        <v>0</v>
      </c>
      <c r="Y61" s="2225">
        <v>0</v>
      </c>
      <c r="Z61" s="2215"/>
      <c r="AA61" s="2603"/>
      <c r="AB61" s="3072">
        <v>0</v>
      </c>
      <c r="AC61" s="2227">
        <v>0</v>
      </c>
      <c r="AD61" s="2225">
        <v>0</v>
      </c>
      <c r="AE61" s="2215">
        <v>0</v>
      </c>
      <c r="AF61" s="2215">
        <v>0</v>
      </c>
      <c r="AG61" s="3060">
        <v>0</v>
      </c>
      <c r="AH61" s="2215">
        <v>0</v>
      </c>
      <c r="AI61" s="3565">
        <v>0</v>
      </c>
      <c r="AJ61" s="3559">
        <v>0</v>
      </c>
      <c r="AK61" s="3079">
        <v>0</v>
      </c>
      <c r="AL61" s="3079">
        <v>0</v>
      </c>
      <c r="AM61" s="3079">
        <v>0</v>
      </c>
      <c r="AN61" s="3079">
        <v>0</v>
      </c>
      <c r="AO61" s="3079"/>
      <c r="AP61" s="3567"/>
      <c r="AQ61" s="360"/>
      <c r="AR61" s="360"/>
      <c r="AS61" s="2304" t="s">
        <v>1410</v>
      </c>
      <c r="AT61" s="2304">
        <v>0</v>
      </c>
      <c r="AU61" s="2304">
        <v>0</v>
      </c>
      <c r="AV61" s="2304">
        <v>0</v>
      </c>
      <c r="AW61" s="2304">
        <v>0</v>
      </c>
      <c r="AX61" s="2304">
        <v>0</v>
      </c>
      <c r="AY61" s="2304">
        <v>0</v>
      </c>
      <c r="AZ61" s="2304">
        <v>0</v>
      </c>
      <c r="BA61" s="2304">
        <v>0</v>
      </c>
      <c r="BB61" s="2304">
        <v>0</v>
      </c>
      <c r="BC61" s="2304">
        <v>0</v>
      </c>
      <c r="BD61" s="2304">
        <v>0</v>
      </c>
      <c r="BE61" s="2304">
        <v>0</v>
      </c>
      <c r="BF61" s="2304">
        <v>0</v>
      </c>
      <c r="BG61" s="2304">
        <v>0</v>
      </c>
      <c r="BH61" s="2304">
        <v>0</v>
      </c>
      <c r="BI61" s="2304">
        <v>0</v>
      </c>
      <c r="BJ61" s="2304">
        <v>0</v>
      </c>
      <c r="BK61" s="2304">
        <v>0</v>
      </c>
      <c r="BL61" s="2304">
        <v>0</v>
      </c>
      <c r="BM61" s="2304">
        <v>0</v>
      </c>
      <c r="BN61" s="2304">
        <v>0</v>
      </c>
      <c r="BO61" s="2304">
        <v>0</v>
      </c>
      <c r="BP61" s="2304">
        <v>0</v>
      </c>
    </row>
    <row r="62" spans="1:68" ht="15.75">
      <c r="A62" s="2602" t="s">
        <v>542</v>
      </c>
      <c r="B62" s="2603">
        <v>0</v>
      </c>
      <c r="C62" s="2603">
        <v>0</v>
      </c>
      <c r="D62" s="2603">
        <v>0</v>
      </c>
      <c r="E62" s="2603">
        <v>0</v>
      </c>
      <c r="F62" s="2603">
        <v>0</v>
      </c>
      <c r="G62" s="2603">
        <v>0</v>
      </c>
      <c r="H62" s="2603">
        <v>0</v>
      </c>
      <c r="I62" s="2603">
        <v>0</v>
      </c>
      <c r="J62" s="2603">
        <v>0</v>
      </c>
      <c r="K62" s="2603">
        <v>0</v>
      </c>
      <c r="L62" s="2603">
        <v>0</v>
      </c>
      <c r="M62" s="2603">
        <v>0</v>
      </c>
      <c r="N62" s="2603">
        <v>0</v>
      </c>
      <c r="O62" s="2603">
        <v>0</v>
      </c>
      <c r="P62" s="2603">
        <v>0</v>
      </c>
      <c r="Q62" s="2603">
        <v>0</v>
      </c>
      <c r="R62" s="2603">
        <v>0</v>
      </c>
      <c r="S62" s="2603">
        <v>0</v>
      </c>
      <c r="T62" s="2603">
        <v>0</v>
      </c>
      <c r="U62" s="2603">
        <v>0</v>
      </c>
      <c r="V62" s="2603">
        <v>0</v>
      </c>
      <c r="W62" s="2605">
        <v>0</v>
      </c>
      <c r="X62" s="2606">
        <v>0</v>
      </c>
      <c r="Y62" s="2195">
        <v>0</v>
      </c>
      <c r="Z62" s="2195"/>
      <c r="AA62" s="2603"/>
      <c r="AB62" s="3072">
        <v>0</v>
      </c>
      <c r="AC62" s="2200">
        <v>0</v>
      </c>
      <c r="AD62" s="2195">
        <v>0</v>
      </c>
      <c r="AE62" s="2195">
        <v>0</v>
      </c>
      <c r="AF62" s="2195">
        <v>0</v>
      </c>
      <c r="AG62" s="3061">
        <v>0</v>
      </c>
      <c r="AH62" s="2195">
        <v>0</v>
      </c>
      <c r="AI62" s="3565">
        <v>0</v>
      </c>
      <c r="AJ62" s="3560">
        <v>0</v>
      </c>
      <c r="AK62" s="1972">
        <v>0</v>
      </c>
      <c r="AL62" s="1972">
        <v>0</v>
      </c>
      <c r="AM62" s="1972">
        <v>0</v>
      </c>
      <c r="AN62" s="1972">
        <v>0</v>
      </c>
      <c r="AO62" s="1972"/>
      <c r="AP62" s="3569"/>
      <c r="AQ62" s="360"/>
      <c r="AR62" s="360"/>
      <c r="AS62" s="2305" t="s">
        <v>1411</v>
      </c>
      <c r="AT62" s="2305">
        <v>0</v>
      </c>
      <c r="AU62" s="2305">
        <v>0</v>
      </c>
      <c r="AV62" s="2305">
        <v>0</v>
      </c>
      <c r="AW62" s="2305">
        <v>0</v>
      </c>
      <c r="AX62" s="2305">
        <v>0</v>
      </c>
      <c r="AY62" s="2305">
        <v>0</v>
      </c>
      <c r="AZ62" s="2305">
        <v>0</v>
      </c>
      <c r="BA62" s="2305">
        <v>0</v>
      </c>
      <c r="BB62" s="2305">
        <v>0</v>
      </c>
      <c r="BC62" s="2305">
        <v>0</v>
      </c>
      <c r="BD62" s="2305">
        <v>0</v>
      </c>
      <c r="BE62" s="2305">
        <v>0</v>
      </c>
      <c r="BF62" s="2305">
        <v>0</v>
      </c>
      <c r="BG62" s="2305">
        <v>0</v>
      </c>
      <c r="BH62" s="2305">
        <v>0</v>
      </c>
      <c r="BI62" s="2305">
        <v>0</v>
      </c>
      <c r="BJ62" s="2305">
        <v>0</v>
      </c>
      <c r="BK62" s="2305">
        <v>0</v>
      </c>
      <c r="BL62" s="2305">
        <v>0</v>
      </c>
      <c r="BM62" s="2305">
        <v>0</v>
      </c>
      <c r="BN62" s="2305">
        <v>0</v>
      </c>
      <c r="BO62" s="2305">
        <v>0</v>
      </c>
      <c r="BP62" s="2305">
        <v>0</v>
      </c>
    </row>
    <row r="63" spans="1:68" ht="15.75">
      <c r="A63" s="2602" t="s">
        <v>543</v>
      </c>
      <c r="B63" s="2603">
        <v>0</v>
      </c>
      <c r="C63" s="2603">
        <v>0</v>
      </c>
      <c r="D63" s="2603">
        <v>0</v>
      </c>
      <c r="E63" s="2603">
        <v>0</v>
      </c>
      <c r="F63" s="2603">
        <v>0</v>
      </c>
      <c r="G63" s="2603">
        <v>0</v>
      </c>
      <c r="H63" s="2603">
        <v>0</v>
      </c>
      <c r="I63" s="2603">
        <v>0</v>
      </c>
      <c r="J63" s="2603">
        <v>0</v>
      </c>
      <c r="K63" s="2603">
        <v>0</v>
      </c>
      <c r="L63" s="2603">
        <v>0</v>
      </c>
      <c r="M63" s="2603">
        <v>0</v>
      </c>
      <c r="N63" s="2603">
        <v>0</v>
      </c>
      <c r="O63" s="2603">
        <v>0</v>
      </c>
      <c r="P63" s="2603">
        <v>0</v>
      </c>
      <c r="Q63" s="2603">
        <v>0</v>
      </c>
      <c r="R63" s="2603">
        <v>0</v>
      </c>
      <c r="S63" s="2603">
        <v>0</v>
      </c>
      <c r="T63" s="2603">
        <v>0</v>
      </c>
      <c r="U63" s="2603">
        <v>0</v>
      </c>
      <c r="V63" s="2603">
        <v>0</v>
      </c>
      <c r="W63" s="2605">
        <v>0</v>
      </c>
      <c r="X63" s="2606">
        <v>0</v>
      </c>
      <c r="Y63" s="2195">
        <v>0</v>
      </c>
      <c r="Z63" s="2195"/>
      <c r="AA63" s="2603"/>
      <c r="AB63" s="3072">
        <v>0</v>
      </c>
      <c r="AC63" s="2200">
        <v>0</v>
      </c>
      <c r="AD63" s="2195">
        <v>0</v>
      </c>
      <c r="AE63" s="2195">
        <v>0</v>
      </c>
      <c r="AF63" s="2195">
        <v>0</v>
      </c>
      <c r="AG63" s="3061">
        <v>0</v>
      </c>
      <c r="AH63" s="2195">
        <v>0</v>
      </c>
      <c r="AI63" s="3565">
        <v>0</v>
      </c>
      <c r="AJ63" s="3560">
        <v>0</v>
      </c>
      <c r="AK63" s="1972">
        <v>0</v>
      </c>
      <c r="AL63" s="1972">
        <v>0</v>
      </c>
      <c r="AM63" s="1972">
        <v>0</v>
      </c>
      <c r="AN63" s="1972">
        <v>0</v>
      </c>
      <c r="AO63" s="1972"/>
      <c r="AP63" s="3569"/>
      <c r="AQ63" s="360"/>
      <c r="AR63" s="360"/>
      <c r="AS63" s="2305" t="s">
        <v>1412</v>
      </c>
      <c r="AT63" s="2305">
        <v>0</v>
      </c>
      <c r="AU63" s="2305">
        <v>0</v>
      </c>
      <c r="AV63" s="2305">
        <v>0</v>
      </c>
      <c r="AW63" s="2305">
        <v>0</v>
      </c>
      <c r="AX63" s="2305">
        <v>0</v>
      </c>
      <c r="AY63" s="2305">
        <v>0</v>
      </c>
      <c r="AZ63" s="2305">
        <v>0</v>
      </c>
      <c r="BA63" s="2305">
        <v>0</v>
      </c>
      <c r="BB63" s="2305">
        <v>0</v>
      </c>
      <c r="BC63" s="2305">
        <v>0</v>
      </c>
      <c r="BD63" s="2305">
        <v>0</v>
      </c>
      <c r="BE63" s="2305">
        <v>0</v>
      </c>
      <c r="BF63" s="2305">
        <v>0</v>
      </c>
      <c r="BG63" s="2305">
        <v>0</v>
      </c>
      <c r="BH63" s="2305">
        <v>0</v>
      </c>
      <c r="BI63" s="2305">
        <v>0</v>
      </c>
      <c r="BJ63" s="2305">
        <v>0</v>
      </c>
      <c r="BK63" s="2305">
        <v>0</v>
      </c>
      <c r="BL63" s="2305">
        <v>0</v>
      </c>
      <c r="BM63" s="2305">
        <v>0</v>
      </c>
      <c r="BN63" s="2305">
        <v>0</v>
      </c>
      <c r="BO63" s="2305">
        <v>0</v>
      </c>
      <c r="BP63" s="2305">
        <v>0</v>
      </c>
    </row>
    <row r="64" spans="1:68" ht="15.75">
      <c r="A64" s="2602" t="s">
        <v>544</v>
      </c>
      <c r="B64" s="2603">
        <v>0</v>
      </c>
      <c r="C64" s="2603">
        <v>0</v>
      </c>
      <c r="D64" s="2603">
        <v>0</v>
      </c>
      <c r="E64" s="2603">
        <v>0</v>
      </c>
      <c r="F64" s="2603">
        <v>0</v>
      </c>
      <c r="G64" s="2603">
        <v>0</v>
      </c>
      <c r="H64" s="2603">
        <v>0</v>
      </c>
      <c r="I64" s="2603">
        <v>0</v>
      </c>
      <c r="J64" s="2603">
        <v>0</v>
      </c>
      <c r="K64" s="2603">
        <v>0</v>
      </c>
      <c r="L64" s="2603">
        <v>0</v>
      </c>
      <c r="M64" s="2603">
        <v>0</v>
      </c>
      <c r="N64" s="2603">
        <v>537.241674698</v>
      </c>
      <c r="O64" s="2603">
        <v>692.57536625800003</v>
      </c>
      <c r="P64" s="2603">
        <v>1020.980424296</v>
      </c>
      <c r="Q64" s="2603">
        <v>805.55989621699996</v>
      </c>
      <c r="R64" s="2603">
        <v>1174.7780837529999</v>
      </c>
      <c r="S64" s="2603">
        <v>1650.470873492</v>
      </c>
      <c r="T64" s="2603">
        <v>2373.3932965650001</v>
      </c>
      <c r="U64" s="2603">
        <v>1290.5987456840001</v>
      </c>
      <c r="V64" s="2603">
        <v>1062.184742251</v>
      </c>
      <c r="W64" s="2604">
        <v>1315.2701360030001</v>
      </c>
      <c r="X64" s="2605">
        <v>2559.77</v>
      </c>
      <c r="Y64" s="2225">
        <v>1604.9159574190001</v>
      </c>
      <c r="Z64" s="2215"/>
      <c r="AA64" s="2603"/>
      <c r="AB64" s="3072">
        <v>1240.5830377479999</v>
      </c>
      <c r="AC64" s="2227">
        <v>1758.055535618</v>
      </c>
      <c r="AD64" s="2225">
        <v>1328.9566741020001</v>
      </c>
      <c r="AE64" s="2215">
        <v>1315.2701360030001</v>
      </c>
      <c r="AF64" s="2215">
        <v>1429.3625633239999</v>
      </c>
      <c r="AG64" s="3060">
        <v>1475.30489055</v>
      </c>
      <c r="AH64" s="2215">
        <v>1474.733361173</v>
      </c>
      <c r="AI64" s="3568">
        <v>2559.77</v>
      </c>
      <c r="AJ64" s="3559">
        <v>2812.6934616939998</v>
      </c>
      <c r="AK64" s="3079">
        <v>1668.8404628569999</v>
      </c>
      <c r="AL64" s="3079">
        <v>1639.3921842140001</v>
      </c>
      <c r="AM64" s="3079">
        <v>1605.078004898</v>
      </c>
      <c r="AN64" s="3079">
        <v>979.67819787300004</v>
      </c>
      <c r="AO64" s="3079"/>
      <c r="AP64" s="3567"/>
      <c r="AQ64" s="360"/>
      <c r="AR64" s="360"/>
      <c r="AS64" s="2304" t="s">
        <v>1413</v>
      </c>
      <c r="AT64" s="2304">
        <v>970.30657298899996</v>
      </c>
      <c r="AU64" s="2304">
        <v>975.39998709099996</v>
      </c>
      <c r="AV64" s="2304">
        <v>1114.004513698</v>
      </c>
      <c r="AW64" s="2304">
        <v>1174.7780837529999</v>
      </c>
      <c r="AX64" s="2304">
        <v>1370.8239886219999</v>
      </c>
      <c r="AY64" s="2304">
        <v>1441.726753683</v>
      </c>
      <c r="AZ64" s="2304">
        <v>1780.992485408</v>
      </c>
      <c r="BA64" s="2304">
        <v>1650.470873492</v>
      </c>
      <c r="BB64" s="2304">
        <v>2012.880105534</v>
      </c>
      <c r="BC64" s="2304">
        <v>2233.2650037909998</v>
      </c>
      <c r="BD64" s="2304">
        <v>2619.0858039539999</v>
      </c>
      <c r="BE64" s="2304">
        <v>2373.3932965650001</v>
      </c>
      <c r="BF64" s="2304">
        <v>2519.5159583969998</v>
      </c>
      <c r="BG64" s="2304">
        <v>2750.5110357389999</v>
      </c>
      <c r="BH64" s="2304">
        <v>2775.6680940669999</v>
      </c>
      <c r="BI64" s="2304">
        <v>1292.046691473</v>
      </c>
      <c r="BJ64" s="2304">
        <v>1191.1298430469999</v>
      </c>
      <c r="BK64" s="2304">
        <v>1398.3604323500001</v>
      </c>
      <c r="BL64" s="2304">
        <v>955.40940847499996</v>
      </c>
      <c r="BM64" s="2304">
        <v>1062.188521735</v>
      </c>
      <c r="BN64" s="2304">
        <v>1240.5830377479999</v>
      </c>
      <c r="BO64" s="2304">
        <v>1758.055535618</v>
      </c>
      <c r="BP64" s="2304">
        <v>1328.9566741020001</v>
      </c>
    </row>
    <row r="65" spans="1:68" ht="15.75">
      <c r="A65" s="2602" t="s">
        <v>545</v>
      </c>
      <c r="B65" s="2603">
        <v>0</v>
      </c>
      <c r="C65" s="2603">
        <v>0</v>
      </c>
      <c r="D65" s="2603">
        <v>0</v>
      </c>
      <c r="E65" s="2603">
        <v>0</v>
      </c>
      <c r="F65" s="2603">
        <v>0</v>
      </c>
      <c r="G65" s="2603">
        <v>0</v>
      </c>
      <c r="H65" s="2603">
        <v>0</v>
      </c>
      <c r="I65" s="2603">
        <v>0</v>
      </c>
      <c r="J65" s="2603">
        <v>0</v>
      </c>
      <c r="K65" s="2603">
        <v>0</v>
      </c>
      <c r="L65" s="2603">
        <v>0</v>
      </c>
      <c r="M65" s="2603">
        <v>0</v>
      </c>
      <c r="N65" s="2603">
        <v>0</v>
      </c>
      <c r="O65" s="2603">
        <v>13.400125581999999</v>
      </c>
      <c r="P65" s="2603">
        <v>14.238138008</v>
      </c>
      <c r="Q65" s="2603">
        <v>0</v>
      </c>
      <c r="R65" s="2603">
        <v>0</v>
      </c>
      <c r="S65" s="2603">
        <v>0</v>
      </c>
      <c r="T65" s="2603">
        <v>0</v>
      </c>
      <c r="U65" s="2603">
        <v>0</v>
      </c>
      <c r="V65" s="2603">
        <v>0</v>
      </c>
      <c r="W65" s="2605">
        <v>0</v>
      </c>
      <c r="X65" s="2606">
        <v>0</v>
      </c>
      <c r="Y65" s="2195">
        <v>0</v>
      </c>
      <c r="Z65" s="2195"/>
      <c r="AA65" s="2603"/>
      <c r="AB65" s="3072">
        <v>0</v>
      </c>
      <c r="AC65" s="2200">
        <v>0</v>
      </c>
      <c r="AD65" s="2195">
        <v>0</v>
      </c>
      <c r="AE65" s="2195">
        <v>0</v>
      </c>
      <c r="AF65" s="2195">
        <v>0</v>
      </c>
      <c r="AG65" s="3061">
        <v>0</v>
      </c>
      <c r="AH65" s="2195">
        <v>0</v>
      </c>
      <c r="AI65" s="3565">
        <v>0</v>
      </c>
      <c r="AJ65" s="3560">
        <v>0</v>
      </c>
      <c r="AK65" s="1972">
        <v>0</v>
      </c>
      <c r="AL65" s="1972">
        <v>0</v>
      </c>
      <c r="AM65" s="1972">
        <v>0</v>
      </c>
      <c r="AN65" s="1972">
        <v>0</v>
      </c>
      <c r="AO65" s="1972"/>
      <c r="AP65" s="3569"/>
      <c r="AQ65" s="360"/>
      <c r="AR65" s="360"/>
      <c r="AS65" s="2305" t="s">
        <v>1414</v>
      </c>
      <c r="AT65" s="2305">
        <v>0</v>
      </c>
      <c r="AU65" s="2305">
        <v>0</v>
      </c>
      <c r="AV65" s="2305">
        <v>0</v>
      </c>
      <c r="AW65" s="2305">
        <v>0</v>
      </c>
      <c r="AX65" s="2305">
        <v>0</v>
      </c>
      <c r="AY65" s="2305">
        <v>0</v>
      </c>
      <c r="AZ65" s="2305">
        <v>0</v>
      </c>
      <c r="BA65" s="2305">
        <v>0</v>
      </c>
      <c r="BB65" s="2305">
        <v>0</v>
      </c>
      <c r="BC65" s="2305">
        <v>0</v>
      </c>
      <c r="BD65" s="2305">
        <v>0</v>
      </c>
      <c r="BE65" s="2305">
        <v>0</v>
      </c>
      <c r="BF65" s="2305">
        <v>0</v>
      </c>
      <c r="BG65" s="2305">
        <v>0</v>
      </c>
      <c r="BH65" s="2305">
        <v>0</v>
      </c>
      <c r="BI65" s="2305">
        <v>0</v>
      </c>
      <c r="BJ65" s="2305">
        <v>0</v>
      </c>
      <c r="BK65" s="2305">
        <v>0</v>
      </c>
      <c r="BL65" s="2305">
        <v>0</v>
      </c>
      <c r="BM65" s="2305">
        <v>0</v>
      </c>
      <c r="BN65" s="2305">
        <v>0</v>
      </c>
      <c r="BO65" s="2305">
        <v>0</v>
      </c>
      <c r="BP65" s="2305">
        <v>0</v>
      </c>
    </row>
    <row r="66" spans="1:68" ht="15.75">
      <c r="A66" s="2602" t="s">
        <v>546</v>
      </c>
      <c r="B66" s="2603">
        <v>0</v>
      </c>
      <c r="C66" s="2603">
        <v>0</v>
      </c>
      <c r="D66" s="2603">
        <v>0</v>
      </c>
      <c r="E66" s="2603">
        <v>0</v>
      </c>
      <c r="F66" s="2603">
        <v>0</v>
      </c>
      <c r="G66" s="2603">
        <v>0</v>
      </c>
      <c r="H66" s="2603">
        <v>0</v>
      </c>
      <c r="I66" s="2603">
        <v>0</v>
      </c>
      <c r="J66" s="2603">
        <v>0</v>
      </c>
      <c r="K66" s="2603">
        <v>0</v>
      </c>
      <c r="L66" s="2603">
        <v>0</v>
      </c>
      <c r="M66" s="2603">
        <v>0</v>
      </c>
      <c r="N66" s="2603">
        <v>537.241674698</v>
      </c>
      <c r="O66" s="2603">
        <v>679.17524067600004</v>
      </c>
      <c r="P66" s="2603">
        <v>1006.7422862879999</v>
      </c>
      <c r="Q66" s="2603">
        <v>805.55989621699996</v>
      </c>
      <c r="R66" s="2603">
        <v>1174.7780837529999</v>
      </c>
      <c r="S66" s="2603">
        <v>1650.470873492</v>
      </c>
      <c r="T66" s="2603">
        <v>2373.3932965650001</v>
      </c>
      <c r="U66" s="2603">
        <v>1290.5987456840001</v>
      </c>
      <c r="V66" s="2603">
        <v>1062.184742251</v>
      </c>
      <c r="W66" s="2605">
        <v>1315.2701360030001</v>
      </c>
      <c r="X66" s="2605">
        <v>2559.77</v>
      </c>
      <c r="Y66" s="2195">
        <v>1604.9159574190001</v>
      </c>
      <c r="Z66" s="2195"/>
      <c r="AA66" s="2603"/>
      <c r="AB66" s="3072">
        <v>1240.5830377479999</v>
      </c>
      <c r="AC66" s="2200">
        <v>1758.055535618</v>
      </c>
      <c r="AD66" s="2195">
        <v>1328.9566741020001</v>
      </c>
      <c r="AE66" s="2195">
        <v>1315.2701360030001</v>
      </c>
      <c r="AF66" s="2195">
        <v>1429.3625633239999</v>
      </c>
      <c r="AG66" s="3061">
        <v>1475.30489055</v>
      </c>
      <c r="AH66" s="2195">
        <v>1474.733361173</v>
      </c>
      <c r="AI66" s="3568">
        <v>2559.77</v>
      </c>
      <c r="AJ66" s="3560">
        <v>2812.6934616939998</v>
      </c>
      <c r="AK66" s="1972">
        <v>1668.8404628569999</v>
      </c>
      <c r="AL66" s="1972">
        <v>1639.3921842140001</v>
      </c>
      <c r="AM66" s="1972">
        <v>1605.078004898</v>
      </c>
      <c r="AN66" s="1972">
        <v>979.67819787300004</v>
      </c>
      <c r="AO66" s="1972"/>
      <c r="AP66" s="3569"/>
      <c r="AQ66" s="360"/>
      <c r="AR66" s="360"/>
      <c r="AS66" s="2305" t="s">
        <v>1415</v>
      </c>
      <c r="AT66" s="2305">
        <v>970.30657298899996</v>
      </c>
      <c r="AU66" s="2305">
        <v>975.39998709099996</v>
      </c>
      <c r="AV66" s="2305">
        <v>1114.004513698</v>
      </c>
      <c r="AW66" s="2305">
        <v>1174.7780837529999</v>
      </c>
      <c r="AX66" s="2305">
        <v>1370.8239886219999</v>
      </c>
      <c r="AY66" s="2305">
        <v>1441.726753683</v>
      </c>
      <c r="AZ66" s="2305">
        <v>1780.992485408</v>
      </c>
      <c r="BA66" s="2305">
        <v>1650.470873492</v>
      </c>
      <c r="BB66" s="2305">
        <v>2012.880105534</v>
      </c>
      <c r="BC66" s="2305">
        <v>2233.2650037909998</v>
      </c>
      <c r="BD66" s="2305">
        <v>2619.0858039539999</v>
      </c>
      <c r="BE66" s="2305">
        <v>2373.3932965650001</v>
      </c>
      <c r="BF66" s="2305">
        <v>2519.5159583969998</v>
      </c>
      <c r="BG66" s="2305">
        <v>2750.5110357389999</v>
      </c>
      <c r="BH66" s="2305">
        <v>2775.6680940669999</v>
      </c>
      <c r="BI66" s="2305">
        <v>1292.046691473</v>
      </c>
      <c r="BJ66" s="2305">
        <v>1191.1298430469999</v>
      </c>
      <c r="BK66" s="2305">
        <v>1398.3604323500001</v>
      </c>
      <c r="BL66" s="2305">
        <v>955.40940847499996</v>
      </c>
      <c r="BM66" s="2305">
        <v>1062.188521735</v>
      </c>
      <c r="BN66" s="2305">
        <v>1240.5830377479999</v>
      </c>
      <c r="BO66" s="2305">
        <v>1758.055535618</v>
      </c>
      <c r="BP66" s="2305">
        <v>1328.9566741020001</v>
      </c>
    </row>
    <row r="67" spans="1:68" ht="15">
      <c r="A67" s="2602" t="s">
        <v>547</v>
      </c>
      <c r="B67" s="2603">
        <v>3.79</v>
      </c>
      <c r="C67" s="2603">
        <v>3.9060000000000001</v>
      </c>
      <c r="D67" s="2603">
        <v>5.4649999999999999</v>
      </c>
      <c r="E67" s="2603">
        <v>1.2958525000000001</v>
      </c>
      <c r="F67" s="2603">
        <v>13.295852500000001</v>
      </c>
      <c r="G67" s="2603">
        <v>321.82741441000002</v>
      </c>
      <c r="H67" s="2603">
        <v>290.07002867900002</v>
      </c>
      <c r="I67" s="2603">
        <v>909.80919584499998</v>
      </c>
      <c r="J67" s="2603">
        <v>978.16971446699995</v>
      </c>
      <c r="K67" s="2603">
        <v>865.42403377200003</v>
      </c>
      <c r="L67" s="2603">
        <v>696.28561593799998</v>
      </c>
      <c r="M67" s="2603">
        <v>706.72734193600002</v>
      </c>
      <c r="N67" s="2603">
        <v>809.516549586</v>
      </c>
      <c r="O67" s="2603">
        <v>727.90569726199999</v>
      </c>
      <c r="P67" s="2603">
        <v>826.32750980200001</v>
      </c>
      <c r="Q67" s="2603">
        <v>1783.369007284</v>
      </c>
      <c r="R67" s="2603">
        <v>2202.46664973</v>
      </c>
      <c r="S67" s="2603">
        <v>2496.5520544880001</v>
      </c>
      <c r="T67" s="2603">
        <v>2581.174954052</v>
      </c>
      <c r="U67" s="2603">
        <v>3101.9936933190002</v>
      </c>
      <c r="V67" s="2603">
        <v>3238.2992177870001</v>
      </c>
      <c r="W67" s="2604">
        <v>3335.0091083319999</v>
      </c>
      <c r="X67" s="2605">
        <v>3318.1</v>
      </c>
      <c r="Y67" s="2225">
        <v>4737.8639941820002</v>
      </c>
      <c r="Z67" s="2215"/>
      <c r="AA67" s="2603"/>
      <c r="AB67" s="3072">
        <v>3257.2098950509999</v>
      </c>
      <c r="AC67" s="2227">
        <v>3045.1698264090001</v>
      </c>
      <c r="AD67" s="2225">
        <v>3223.296628954</v>
      </c>
      <c r="AE67" s="2215">
        <v>3367.402312269</v>
      </c>
      <c r="AF67" s="2215">
        <v>3415.5591552340002</v>
      </c>
      <c r="AG67" s="3060">
        <v>3095.9028505810002</v>
      </c>
      <c r="AH67" s="2215">
        <v>3214.1414610800002</v>
      </c>
      <c r="AI67" s="3568">
        <v>3318.1</v>
      </c>
      <c r="AJ67" s="3559">
        <v>3526.5034667949999</v>
      </c>
      <c r="AK67" s="3079">
        <v>3814.0483818349999</v>
      </c>
      <c r="AL67" s="3079">
        <v>3982.982376038</v>
      </c>
      <c r="AM67" s="3079">
        <v>4737.8639941820002</v>
      </c>
      <c r="AN67" s="3079">
        <v>10525.098646332</v>
      </c>
      <c r="AO67" s="3079"/>
      <c r="AP67" s="3567"/>
      <c r="AS67" s="2304" t="s">
        <v>1416</v>
      </c>
      <c r="AT67" s="2304">
        <v>1850.084969756</v>
      </c>
      <c r="AU67" s="2304">
        <v>1925.3160916859999</v>
      </c>
      <c r="AV67" s="2304">
        <v>2000.0079090950001</v>
      </c>
      <c r="AW67" s="2304">
        <v>2202.46664973</v>
      </c>
      <c r="AX67" s="2304">
        <v>2289.488224664</v>
      </c>
      <c r="AY67" s="2304">
        <v>2347.9280084219999</v>
      </c>
      <c r="AZ67" s="2304">
        <v>2479.487378717</v>
      </c>
      <c r="BA67" s="2304">
        <v>2496.5520544870001</v>
      </c>
      <c r="BB67" s="2304">
        <v>2579.2207010490001</v>
      </c>
      <c r="BC67" s="2304">
        <v>2451.5683145449998</v>
      </c>
      <c r="BD67" s="2304">
        <v>2529.5564384469999</v>
      </c>
      <c r="BE67" s="2304">
        <v>2605.5048540520002</v>
      </c>
      <c r="BF67" s="2304">
        <v>2804.5307457200001</v>
      </c>
      <c r="BG67" s="2304">
        <v>2649.0595047699999</v>
      </c>
      <c r="BH67" s="2304">
        <v>2754.8264466689998</v>
      </c>
      <c r="BI67" s="2304">
        <v>3100.4589735240002</v>
      </c>
      <c r="BJ67" s="2304">
        <v>3311.117191071</v>
      </c>
      <c r="BK67" s="2304">
        <v>3130.0486566929999</v>
      </c>
      <c r="BL67" s="2304">
        <v>3360.6042929559999</v>
      </c>
      <c r="BM67" s="2304">
        <v>3251.6883073640001</v>
      </c>
      <c r="BN67" s="2304">
        <v>3257.2098950509999</v>
      </c>
      <c r="BO67" s="2304">
        <v>3045.1698264090001</v>
      </c>
      <c r="BP67" s="2304">
        <v>3223.296628954</v>
      </c>
    </row>
    <row r="68" spans="1:68" ht="15">
      <c r="A68" s="2602" t="s">
        <v>548</v>
      </c>
      <c r="B68" s="2603">
        <v>0</v>
      </c>
      <c r="C68" s="2603">
        <v>0</v>
      </c>
      <c r="D68" s="2603">
        <v>0</v>
      </c>
      <c r="E68" s="2603">
        <v>0</v>
      </c>
      <c r="F68" s="2603">
        <v>0</v>
      </c>
      <c r="G68" s="2603">
        <v>0</v>
      </c>
      <c r="H68" s="2603">
        <v>0</v>
      </c>
      <c r="I68" s="2603">
        <v>0</v>
      </c>
      <c r="J68" s="2603">
        <v>0</v>
      </c>
      <c r="K68" s="2603">
        <v>0</v>
      </c>
      <c r="L68" s="2603">
        <v>0</v>
      </c>
      <c r="M68" s="2603">
        <v>0</v>
      </c>
      <c r="N68" s="2603">
        <v>0</v>
      </c>
      <c r="O68" s="2603">
        <v>0</v>
      </c>
      <c r="P68" s="2603">
        <v>0</v>
      </c>
      <c r="Q68" s="2603">
        <v>0</v>
      </c>
      <c r="R68" s="2603">
        <v>0</v>
      </c>
      <c r="S68" s="2603">
        <v>0</v>
      </c>
      <c r="T68" s="2603">
        <v>0</v>
      </c>
      <c r="U68" s="2603">
        <v>0</v>
      </c>
      <c r="V68" s="2603">
        <v>0</v>
      </c>
      <c r="W68" s="2605">
        <v>0</v>
      </c>
      <c r="X68" s="2606">
        <v>0</v>
      </c>
      <c r="Y68" s="2195">
        <v>0</v>
      </c>
      <c r="Z68" s="2195"/>
      <c r="AA68" s="2603"/>
      <c r="AB68" s="3072">
        <v>0</v>
      </c>
      <c r="AC68" s="2200">
        <v>0</v>
      </c>
      <c r="AD68" s="2195">
        <v>0</v>
      </c>
      <c r="AE68" s="2195">
        <v>0</v>
      </c>
      <c r="AF68" s="2195">
        <v>0</v>
      </c>
      <c r="AG68" s="3061">
        <v>0</v>
      </c>
      <c r="AH68" s="2195">
        <v>0</v>
      </c>
      <c r="AI68" s="3565">
        <v>0</v>
      </c>
      <c r="AJ68" s="3560">
        <v>0</v>
      </c>
      <c r="AK68" s="1972">
        <v>0</v>
      </c>
      <c r="AL68" s="1972">
        <v>0</v>
      </c>
      <c r="AM68" s="1972">
        <v>0</v>
      </c>
      <c r="AN68" s="1972">
        <v>0</v>
      </c>
      <c r="AO68" s="1972"/>
      <c r="AP68" s="3569"/>
      <c r="AS68" s="2305" t="s">
        <v>1417</v>
      </c>
      <c r="AT68" s="2305">
        <v>0</v>
      </c>
      <c r="AU68" s="2305">
        <v>0</v>
      </c>
      <c r="AV68" s="2305">
        <v>0</v>
      </c>
      <c r="AW68" s="2305">
        <v>0</v>
      </c>
      <c r="AX68" s="2305">
        <v>0</v>
      </c>
      <c r="AY68" s="2305">
        <v>0</v>
      </c>
      <c r="AZ68" s="2305">
        <v>0</v>
      </c>
      <c r="BA68" s="2305">
        <v>0</v>
      </c>
      <c r="BB68" s="2305">
        <v>0</v>
      </c>
      <c r="BC68" s="2305">
        <v>0</v>
      </c>
      <c r="BD68" s="2305">
        <v>0</v>
      </c>
      <c r="BE68" s="2305">
        <v>0</v>
      </c>
      <c r="BF68" s="2305">
        <v>0</v>
      </c>
      <c r="BG68" s="2305">
        <v>0</v>
      </c>
      <c r="BH68" s="2305">
        <v>0</v>
      </c>
      <c r="BI68" s="2305">
        <v>0</v>
      </c>
      <c r="BJ68" s="2305">
        <v>0</v>
      </c>
      <c r="BK68" s="2305">
        <v>0</v>
      </c>
      <c r="BL68" s="2305">
        <v>0</v>
      </c>
      <c r="BM68" s="2305">
        <v>0</v>
      </c>
      <c r="BN68" s="2305">
        <v>0</v>
      </c>
      <c r="BO68" s="2305">
        <v>0</v>
      </c>
      <c r="BP68" s="2305">
        <v>0</v>
      </c>
    </row>
    <row r="69" spans="1:68" ht="15">
      <c r="A69" s="2602" t="s">
        <v>549</v>
      </c>
      <c r="B69" s="2603">
        <v>0</v>
      </c>
      <c r="C69" s="2603">
        <v>0</v>
      </c>
      <c r="D69" s="2603">
        <v>0</v>
      </c>
      <c r="E69" s="2603">
        <v>1.2958525000000001</v>
      </c>
      <c r="F69" s="2603">
        <v>1.2958525000000001</v>
      </c>
      <c r="G69" s="2603">
        <v>299.21146191000003</v>
      </c>
      <c r="H69" s="2603">
        <v>243.55407617899999</v>
      </c>
      <c r="I69" s="2603">
        <v>381.21701590399999</v>
      </c>
      <c r="J69" s="2603">
        <v>714.70756117899998</v>
      </c>
      <c r="K69" s="2603">
        <v>212.18513150999999</v>
      </c>
      <c r="L69" s="2603">
        <v>210.44092509199999</v>
      </c>
      <c r="M69" s="2603">
        <v>225.525036285</v>
      </c>
      <c r="N69" s="2603">
        <v>251.078173392</v>
      </c>
      <c r="O69" s="2603">
        <v>271.43400231800001</v>
      </c>
      <c r="P69" s="2603">
        <v>289.799251298</v>
      </c>
      <c r="Q69" s="2603">
        <v>1333.704438239</v>
      </c>
      <c r="R69" s="2603">
        <v>1676.2316895270001</v>
      </c>
      <c r="S69" s="2603">
        <v>1912.7126945709999</v>
      </c>
      <c r="T69" s="2603">
        <v>1980.817143237</v>
      </c>
      <c r="U69" s="2603">
        <v>2018.0054393820001</v>
      </c>
      <c r="V69" s="2603">
        <v>2205.7363376930002</v>
      </c>
      <c r="W69" s="2605">
        <v>2107.6166863829999</v>
      </c>
      <c r="X69" s="2605">
        <v>2281.2199999999998</v>
      </c>
      <c r="Y69" s="2195">
        <v>3581.1285174250002</v>
      </c>
      <c r="Z69" s="2195"/>
      <c r="AA69" s="2603"/>
      <c r="AB69" s="3072">
        <v>2251.512534598</v>
      </c>
      <c r="AC69" s="2200">
        <v>1962.1076577809999</v>
      </c>
      <c r="AD69" s="2195">
        <v>2012.2515318329999</v>
      </c>
      <c r="AE69" s="2195">
        <v>2140.0036903199998</v>
      </c>
      <c r="AF69" s="2195">
        <v>2186.0845084540001</v>
      </c>
      <c r="AG69" s="3061">
        <v>1964.698503482</v>
      </c>
      <c r="AH69" s="2195">
        <v>2107.9730889500001</v>
      </c>
      <c r="AI69" s="3568">
        <v>2281.2199999999998</v>
      </c>
      <c r="AJ69" s="3560">
        <v>2496.6461800329998</v>
      </c>
      <c r="AK69" s="1972">
        <v>2749.0871749200001</v>
      </c>
      <c r="AL69" s="1972">
        <v>2926.7699629210001</v>
      </c>
      <c r="AM69" s="1972">
        <v>3581.1285174250002</v>
      </c>
      <c r="AN69" s="3576">
        <v>9410.2176951729998</v>
      </c>
      <c r="AO69" s="1972"/>
      <c r="AP69" s="3569"/>
      <c r="AS69" s="2305" t="s">
        <v>1418</v>
      </c>
      <c r="AT69" s="2305">
        <v>1411.807900711</v>
      </c>
      <c r="AU69" s="2305">
        <v>1498.42652264</v>
      </c>
      <c r="AV69" s="2305">
        <v>1584.50584005</v>
      </c>
      <c r="AW69" s="2305">
        <v>1676.2316895270001</v>
      </c>
      <c r="AX69" s="2305">
        <v>1722.401264461</v>
      </c>
      <c r="AY69" s="2305">
        <v>1783.341048219</v>
      </c>
      <c r="AZ69" s="2305">
        <v>1880.9204185139999</v>
      </c>
      <c r="BA69" s="2305">
        <v>1912.7126945709999</v>
      </c>
      <c r="BB69" s="2305">
        <v>1976.7552637849999</v>
      </c>
      <c r="BC69" s="2305">
        <v>1890.355276994</v>
      </c>
      <c r="BD69" s="2305">
        <v>1910.4900576509999</v>
      </c>
      <c r="BE69" s="2305">
        <v>1980.817143237</v>
      </c>
      <c r="BF69" s="2305">
        <v>2112.4004288790002</v>
      </c>
      <c r="BG69" s="2305">
        <v>1968.017053885</v>
      </c>
      <c r="BH69" s="2305">
        <v>1666.5771123070001</v>
      </c>
      <c r="BI69" s="2305">
        <v>2016.4707195870001</v>
      </c>
      <c r="BJ69" s="2305">
        <v>2226.8753136700002</v>
      </c>
      <c r="BK69" s="2305">
        <v>2010.7917918549999</v>
      </c>
      <c r="BL69" s="2305">
        <v>2110.5921356539998</v>
      </c>
      <c r="BM69" s="2305">
        <v>2206.53438727</v>
      </c>
      <c r="BN69" s="2305">
        <v>2251.512534598</v>
      </c>
      <c r="BO69" s="2305">
        <v>1962.1076577809999</v>
      </c>
      <c r="BP69" s="2305">
        <v>2012.2515318329999</v>
      </c>
    </row>
    <row r="70" spans="1:68" ht="15">
      <c r="A70" s="2602" t="s">
        <v>550</v>
      </c>
      <c r="B70" s="2603">
        <v>3.79</v>
      </c>
      <c r="C70" s="2603">
        <v>3.9060000000000001</v>
      </c>
      <c r="D70" s="2603">
        <v>5.4649999999999999</v>
      </c>
      <c r="E70" s="2603">
        <v>0</v>
      </c>
      <c r="F70" s="2603">
        <v>12</v>
      </c>
      <c r="G70" s="2603">
        <v>23.795852499999999</v>
      </c>
      <c r="H70" s="2603">
        <v>47.695852500000001</v>
      </c>
      <c r="I70" s="2603">
        <v>560.28896626999995</v>
      </c>
      <c r="J70" s="2603">
        <v>273.70489129999999</v>
      </c>
      <c r="K70" s="2603">
        <v>672.53422154600003</v>
      </c>
      <c r="L70" s="2603">
        <v>663.35779863200003</v>
      </c>
      <c r="M70" s="2603">
        <v>663.46894466599997</v>
      </c>
      <c r="N70" s="2603">
        <v>725.58883837899998</v>
      </c>
      <c r="O70" s="2603">
        <v>632.64937219499996</v>
      </c>
      <c r="P70" s="2603">
        <v>756.80239314100004</v>
      </c>
      <c r="Q70" s="2603">
        <v>749.259852282</v>
      </c>
      <c r="R70" s="2603">
        <v>793.36084479199997</v>
      </c>
      <c r="S70" s="2603">
        <v>893.62399451700003</v>
      </c>
      <c r="T70" s="2603">
        <v>903.45723628600001</v>
      </c>
      <c r="U70" s="2603">
        <v>1931.006629408</v>
      </c>
      <c r="V70" s="2603">
        <v>2399.073118584</v>
      </c>
      <c r="W70" s="2605">
        <v>2830.3488130380001</v>
      </c>
      <c r="X70" s="2605">
        <v>3393.74</v>
      </c>
      <c r="Y70" s="2195">
        <v>3823.7629759060001</v>
      </c>
      <c r="Z70" s="2195"/>
      <c r="AA70" s="2603"/>
      <c r="AB70" s="3072">
        <v>2364.550933343</v>
      </c>
      <c r="AC70" s="2200">
        <v>2432.093749312</v>
      </c>
      <c r="AD70" s="2195">
        <v>2562.6752367099998</v>
      </c>
      <c r="AE70" s="2195">
        <v>2830.3550130379999</v>
      </c>
      <c r="AF70" s="2195">
        <v>2949.3363016960002</v>
      </c>
      <c r="AG70" s="3061">
        <v>2957.1928606289998</v>
      </c>
      <c r="AH70" s="2195">
        <v>3127.2819866569998</v>
      </c>
      <c r="AI70" s="3568">
        <v>3393.74</v>
      </c>
      <c r="AJ70" s="3560">
        <v>3422.494535673</v>
      </c>
      <c r="AK70" s="1972">
        <v>3489.039064306</v>
      </c>
      <c r="AL70" s="1972">
        <v>3467.604969734</v>
      </c>
      <c r="AM70" s="1972">
        <v>3823.7629759060001</v>
      </c>
      <c r="AN70" s="1972">
        <v>3822.1964361179998</v>
      </c>
      <c r="AO70" s="1972"/>
      <c r="AP70" s="3569"/>
      <c r="AS70" s="2305" t="s">
        <v>1419</v>
      </c>
      <c r="AT70" s="2305">
        <v>749.2948427</v>
      </c>
      <c r="AU70" s="2305">
        <v>749.36482353700001</v>
      </c>
      <c r="AV70" s="2305">
        <v>749.52125128900002</v>
      </c>
      <c r="AW70" s="2305">
        <v>793.36084479199997</v>
      </c>
      <c r="AX70" s="2305">
        <v>824.64399451700001</v>
      </c>
      <c r="AY70" s="2305">
        <v>847.14399451700001</v>
      </c>
      <c r="AZ70" s="2305">
        <v>893.62399451700003</v>
      </c>
      <c r="BA70" s="2305">
        <v>893.62399451700003</v>
      </c>
      <c r="BB70" s="2305">
        <v>912.25007186400001</v>
      </c>
      <c r="BC70" s="2305">
        <v>865.25007186400001</v>
      </c>
      <c r="BD70" s="2305">
        <v>922.16580626699999</v>
      </c>
      <c r="BE70" s="2305">
        <v>927.78713628599996</v>
      </c>
      <c r="BF70" s="2305">
        <v>1202.9897423120001</v>
      </c>
      <c r="BG70" s="2305">
        <v>1344.6808263559999</v>
      </c>
      <c r="BH70" s="2305">
        <v>1797.807709833</v>
      </c>
      <c r="BI70" s="2305">
        <v>1931.006629408</v>
      </c>
      <c r="BJ70" s="2305">
        <v>1965.581621372</v>
      </c>
      <c r="BK70" s="2305">
        <v>1997.5966088089999</v>
      </c>
      <c r="BL70" s="2305">
        <v>2261.588722773</v>
      </c>
      <c r="BM70" s="2305">
        <v>2386.8372955650002</v>
      </c>
      <c r="BN70" s="2305">
        <v>2364.550933343</v>
      </c>
      <c r="BO70" s="2305">
        <v>2432.093749312</v>
      </c>
      <c r="BP70" s="2305">
        <v>2562.6752367099998</v>
      </c>
    </row>
    <row r="71" spans="1:68" ht="15">
      <c r="A71" s="2602" t="s">
        <v>551</v>
      </c>
      <c r="B71" s="2603">
        <v>0</v>
      </c>
      <c r="C71" s="2603">
        <v>0</v>
      </c>
      <c r="D71" s="2603">
        <v>0</v>
      </c>
      <c r="E71" s="2603">
        <v>0</v>
      </c>
      <c r="F71" s="2603">
        <v>0</v>
      </c>
      <c r="G71" s="2603">
        <v>-1.1798999999999999</v>
      </c>
      <c r="H71" s="2603">
        <v>-1.1798999999999999</v>
      </c>
      <c r="I71" s="2603">
        <v>-31.696786328999998</v>
      </c>
      <c r="J71" s="2603">
        <v>-10.242738012</v>
      </c>
      <c r="K71" s="2603">
        <v>-19.295319284000001</v>
      </c>
      <c r="L71" s="2603">
        <v>-177.51310778600001</v>
      </c>
      <c r="M71" s="2603">
        <v>-182.26663901500001</v>
      </c>
      <c r="N71" s="2603">
        <v>-167.15046218500001</v>
      </c>
      <c r="O71" s="2603">
        <v>-176.17767725100001</v>
      </c>
      <c r="P71" s="2603">
        <v>-221.058175167</v>
      </c>
      <c r="Q71" s="2603">
        <v>-299.59528323699999</v>
      </c>
      <c r="R71" s="2603">
        <v>-267.12588458900001</v>
      </c>
      <c r="S71" s="2603">
        <v>-309.7846346</v>
      </c>
      <c r="T71" s="2603">
        <v>-303.29942547100001</v>
      </c>
      <c r="U71" s="2603">
        <v>-847.21837547099994</v>
      </c>
      <c r="V71" s="2603">
        <v>-1376.7102384899999</v>
      </c>
      <c r="W71" s="2605">
        <v>-1623.156391089</v>
      </c>
      <c r="X71" s="2605">
        <v>-2357.0700000000002</v>
      </c>
      <c r="Y71" s="2195">
        <v>-2667.0274991490001</v>
      </c>
      <c r="Z71" s="2195"/>
      <c r="AA71" s="2603"/>
      <c r="AB71" s="3072">
        <v>-1379.0535728899999</v>
      </c>
      <c r="AC71" s="2200">
        <v>-1369.2315806839999</v>
      </c>
      <c r="AD71" s="2195">
        <v>-1371.8301395890001</v>
      </c>
      <c r="AE71" s="2195">
        <v>-1623.156391089</v>
      </c>
      <c r="AF71" s="2195">
        <v>-1740.061654916</v>
      </c>
      <c r="AG71" s="3061">
        <v>-1846.1885135299999</v>
      </c>
      <c r="AH71" s="2195">
        <v>-2021.313614527</v>
      </c>
      <c r="AI71" s="3566">
        <v>-2357.0700000000002</v>
      </c>
      <c r="AJ71" s="3560">
        <v>-2392.8372489110002</v>
      </c>
      <c r="AK71" s="1972">
        <v>-2424.277857391</v>
      </c>
      <c r="AL71" s="1972">
        <v>-2411.3925566170001</v>
      </c>
      <c r="AM71" s="1972">
        <v>-2667.0274991490001</v>
      </c>
      <c r="AN71" s="1972">
        <v>-2710.0899871249999</v>
      </c>
      <c r="AO71" s="1972"/>
      <c r="AP71" s="3569"/>
      <c r="AS71" s="2305" t="s">
        <v>1420</v>
      </c>
      <c r="AT71" s="2305">
        <v>-311.01777365499998</v>
      </c>
      <c r="AU71" s="2305">
        <v>-322.47525449099999</v>
      </c>
      <c r="AV71" s="2305">
        <v>-334.01918224399998</v>
      </c>
      <c r="AW71" s="2305">
        <v>-267.12588458900001</v>
      </c>
      <c r="AX71" s="2305">
        <v>-257.55703431400002</v>
      </c>
      <c r="AY71" s="2305">
        <v>-282.55703431400002</v>
      </c>
      <c r="AZ71" s="2305">
        <v>-295.05703431400002</v>
      </c>
      <c r="BA71" s="2305">
        <v>-309.78463460099999</v>
      </c>
      <c r="BB71" s="2305">
        <v>-309.7846346</v>
      </c>
      <c r="BC71" s="2305">
        <v>-304.03703431299999</v>
      </c>
      <c r="BD71" s="2305">
        <v>-303.29942547100001</v>
      </c>
      <c r="BE71" s="2305">
        <v>-303.29942547100001</v>
      </c>
      <c r="BF71" s="2305">
        <v>-511.059425471</v>
      </c>
      <c r="BG71" s="2305">
        <v>-663.83837547099995</v>
      </c>
      <c r="BH71" s="2305">
        <v>-709.75837547100002</v>
      </c>
      <c r="BI71" s="2305">
        <v>-847.21837547099994</v>
      </c>
      <c r="BJ71" s="2305">
        <v>-881.58337547099995</v>
      </c>
      <c r="BK71" s="2305">
        <v>-881.58337547099995</v>
      </c>
      <c r="BL71" s="2305">
        <v>-1024.083375471</v>
      </c>
      <c r="BM71" s="2305">
        <v>-1351.8833754709999</v>
      </c>
      <c r="BN71" s="2305">
        <v>-1379.0535728899999</v>
      </c>
      <c r="BO71" s="2305">
        <v>-1369.2315806839999</v>
      </c>
      <c r="BP71" s="2305">
        <v>-1371.8301395890001</v>
      </c>
    </row>
    <row r="72" spans="1:68" ht="15">
      <c r="A72" s="2602" t="s">
        <v>508</v>
      </c>
      <c r="B72" s="2603">
        <v>0</v>
      </c>
      <c r="C72" s="2603">
        <v>0</v>
      </c>
      <c r="D72" s="2603">
        <v>0</v>
      </c>
      <c r="E72" s="2603">
        <v>0</v>
      </c>
      <c r="F72" s="2603">
        <v>0</v>
      </c>
      <c r="G72" s="2603">
        <v>0</v>
      </c>
      <c r="H72" s="2603">
        <v>0</v>
      </c>
      <c r="I72" s="2603">
        <v>0</v>
      </c>
      <c r="J72" s="2603">
        <v>0</v>
      </c>
      <c r="K72" s="2603">
        <v>0</v>
      </c>
      <c r="L72" s="2603">
        <v>0</v>
      </c>
      <c r="M72" s="2603">
        <v>0</v>
      </c>
      <c r="N72" s="2603">
        <v>0</v>
      </c>
      <c r="O72" s="2603">
        <v>0</v>
      </c>
      <c r="P72" s="2603">
        <v>0.78404052999999996</v>
      </c>
      <c r="Q72" s="2603">
        <v>0</v>
      </c>
      <c r="R72" s="2603">
        <v>0</v>
      </c>
      <c r="S72" s="2603">
        <v>0</v>
      </c>
      <c r="T72" s="2603">
        <v>0.2</v>
      </c>
      <c r="U72" s="2603">
        <v>0.2</v>
      </c>
      <c r="V72" s="2603">
        <v>10.199999999999999</v>
      </c>
      <c r="W72" s="2605">
        <v>20.2</v>
      </c>
      <c r="X72" s="2606">
        <v>0.2</v>
      </c>
      <c r="Y72" s="2195">
        <v>0</v>
      </c>
      <c r="Z72" s="2195"/>
      <c r="AA72" s="2603"/>
      <c r="AB72" s="3072">
        <v>20.2</v>
      </c>
      <c r="AC72" s="2200">
        <v>20.2</v>
      </c>
      <c r="AD72" s="2195">
        <v>20.2</v>
      </c>
      <c r="AE72" s="2195">
        <v>20.2</v>
      </c>
      <c r="AF72" s="2195">
        <v>20.2</v>
      </c>
      <c r="AG72" s="3061">
        <v>20.2</v>
      </c>
      <c r="AH72" s="2195">
        <v>0.2</v>
      </c>
      <c r="AI72" s="3565">
        <v>0.2</v>
      </c>
      <c r="AJ72" s="3560">
        <v>0.2</v>
      </c>
      <c r="AK72" s="1972">
        <v>0.2</v>
      </c>
      <c r="AL72" s="1972">
        <v>0</v>
      </c>
      <c r="AM72" s="1972">
        <v>0</v>
      </c>
      <c r="AN72" s="1972">
        <v>2.774502166</v>
      </c>
      <c r="AO72" s="1972"/>
      <c r="AP72" s="3569"/>
      <c r="AS72" s="2305" t="s">
        <v>1371</v>
      </c>
      <c r="AT72" s="2305">
        <v>0</v>
      </c>
      <c r="AU72" s="2305">
        <v>0</v>
      </c>
      <c r="AV72" s="2305">
        <v>0</v>
      </c>
      <c r="AW72" s="2305">
        <v>0</v>
      </c>
      <c r="AX72" s="2305">
        <v>0</v>
      </c>
      <c r="AY72" s="2305">
        <v>0</v>
      </c>
      <c r="AZ72" s="2305">
        <v>0</v>
      </c>
      <c r="BA72" s="2305">
        <v>0</v>
      </c>
      <c r="BB72" s="2305">
        <v>0</v>
      </c>
      <c r="BC72" s="2305">
        <v>0</v>
      </c>
      <c r="BD72" s="2305">
        <v>0.2</v>
      </c>
      <c r="BE72" s="2305">
        <v>0.2</v>
      </c>
      <c r="BF72" s="2305">
        <v>0.2</v>
      </c>
      <c r="BG72" s="2305">
        <v>0.2</v>
      </c>
      <c r="BH72" s="2305">
        <v>0.2</v>
      </c>
      <c r="BI72" s="2305">
        <v>0.2</v>
      </c>
      <c r="BJ72" s="2305">
        <v>0.2436315</v>
      </c>
      <c r="BK72" s="2305">
        <v>3.2436314999999998</v>
      </c>
      <c r="BL72" s="2305">
        <v>12.50681</v>
      </c>
      <c r="BM72" s="2305">
        <v>10.199999999999999</v>
      </c>
      <c r="BN72" s="2305">
        <v>20.2</v>
      </c>
      <c r="BO72" s="2305">
        <v>20.2</v>
      </c>
      <c r="BP72" s="2305">
        <v>20.2</v>
      </c>
    </row>
    <row r="73" spans="1:68" ht="15">
      <c r="A73" s="2607" t="s">
        <v>552</v>
      </c>
      <c r="B73" s="2603">
        <v>0</v>
      </c>
      <c r="C73" s="2603">
        <v>0</v>
      </c>
      <c r="D73" s="2603">
        <v>0</v>
      </c>
      <c r="E73" s="2603">
        <v>0</v>
      </c>
      <c r="F73" s="2603">
        <v>0</v>
      </c>
      <c r="G73" s="2603">
        <v>0</v>
      </c>
      <c r="H73" s="2603">
        <v>0</v>
      </c>
      <c r="I73" s="2603">
        <v>5.9984999999999999</v>
      </c>
      <c r="J73" s="2603">
        <v>221.714243896</v>
      </c>
      <c r="K73" s="2603">
        <v>216.366360783</v>
      </c>
      <c r="L73" s="2603">
        <v>216.366360783</v>
      </c>
      <c r="M73" s="2603">
        <v>231.508275153</v>
      </c>
      <c r="N73" s="2603">
        <v>0</v>
      </c>
      <c r="O73" s="2603">
        <v>0</v>
      </c>
      <c r="P73" s="2603">
        <v>0</v>
      </c>
      <c r="Q73" s="2603">
        <v>0</v>
      </c>
      <c r="R73" s="2603">
        <v>0</v>
      </c>
      <c r="S73" s="2603">
        <v>225.929415272</v>
      </c>
      <c r="T73" s="2603">
        <v>0</v>
      </c>
      <c r="U73" s="2603">
        <v>0</v>
      </c>
      <c r="V73" s="2603">
        <v>0</v>
      </c>
      <c r="W73" s="2605">
        <v>0</v>
      </c>
      <c r="X73" s="2606">
        <v>0</v>
      </c>
      <c r="Y73" s="2195">
        <v>0</v>
      </c>
      <c r="Z73" s="2195"/>
      <c r="AA73" s="2603"/>
      <c r="AB73" s="3072">
        <v>0</v>
      </c>
      <c r="AC73" s="2200">
        <v>0</v>
      </c>
      <c r="AD73" s="2195">
        <v>0</v>
      </c>
      <c r="AE73" s="2195">
        <v>0</v>
      </c>
      <c r="AF73" s="2195">
        <v>0</v>
      </c>
      <c r="AG73" s="3061">
        <v>0</v>
      </c>
      <c r="AH73" s="2195">
        <v>0</v>
      </c>
      <c r="AI73" s="3565">
        <v>0</v>
      </c>
      <c r="AJ73" s="3560">
        <v>0</v>
      </c>
      <c r="AK73" s="1972">
        <v>0</v>
      </c>
      <c r="AL73" s="1972">
        <v>0</v>
      </c>
      <c r="AM73" s="1972">
        <v>0</v>
      </c>
      <c r="AN73" s="1972">
        <v>0</v>
      </c>
      <c r="AO73" s="1972"/>
      <c r="AP73" s="3569"/>
      <c r="AS73" s="2305" t="s">
        <v>1421</v>
      </c>
      <c r="AT73" s="2305">
        <v>0</v>
      </c>
      <c r="AU73" s="2305">
        <v>0</v>
      </c>
      <c r="AV73" s="2305">
        <v>0</v>
      </c>
      <c r="AW73" s="2305">
        <v>0</v>
      </c>
      <c r="AX73" s="2305">
        <v>0</v>
      </c>
      <c r="AY73" s="2305">
        <v>0</v>
      </c>
      <c r="AZ73" s="2305">
        <v>0</v>
      </c>
      <c r="BA73" s="2305">
        <v>0</v>
      </c>
      <c r="BB73" s="2305">
        <v>0</v>
      </c>
      <c r="BC73" s="2305">
        <v>0</v>
      </c>
      <c r="BD73" s="2305">
        <v>0</v>
      </c>
      <c r="BE73" s="2305">
        <v>0</v>
      </c>
      <c r="BF73" s="2305">
        <v>0</v>
      </c>
      <c r="BG73" s="2305">
        <v>0</v>
      </c>
      <c r="BH73" s="2305">
        <v>0</v>
      </c>
      <c r="BI73" s="2305">
        <v>0</v>
      </c>
      <c r="BJ73" s="2305">
        <v>0</v>
      </c>
      <c r="BK73" s="2305">
        <v>0</v>
      </c>
      <c r="BL73" s="2305">
        <v>0</v>
      </c>
      <c r="BM73" s="2305">
        <v>0</v>
      </c>
      <c r="BN73" s="2305">
        <v>0</v>
      </c>
      <c r="BO73" s="2305">
        <v>0</v>
      </c>
      <c r="BP73" s="2305">
        <v>0</v>
      </c>
    </row>
    <row r="74" spans="1:68" ht="15">
      <c r="A74" s="2602" t="s">
        <v>553</v>
      </c>
      <c r="B74" s="2603">
        <v>7.5999999999999998E-2</v>
      </c>
      <c r="C74" s="2603">
        <v>2.3809999999999998</v>
      </c>
      <c r="D74" s="2603">
        <v>8.4309999999999992</v>
      </c>
      <c r="E74" s="2603">
        <v>31.562087330000001</v>
      </c>
      <c r="F74" s="2603">
        <v>21.576113429999999</v>
      </c>
      <c r="G74" s="2603">
        <v>49.995530295999998</v>
      </c>
      <c r="H74" s="2603">
        <v>215.774662455</v>
      </c>
      <c r="I74" s="2603">
        <v>162.481848794</v>
      </c>
      <c r="J74" s="2603">
        <v>264.92282541200001</v>
      </c>
      <c r="K74" s="2603">
        <v>336.64923670299999</v>
      </c>
      <c r="L74" s="2603">
        <v>447.96441993000002</v>
      </c>
      <c r="M74" s="2603">
        <v>647.00222901699999</v>
      </c>
      <c r="N74" s="2603">
        <v>983.78625619599995</v>
      </c>
      <c r="O74" s="2603">
        <v>1025.2066262190001</v>
      </c>
      <c r="P74" s="2603">
        <v>1106.3418133590001</v>
      </c>
      <c r="Q74" s="2603">
        <v>871.86802753100005</v>
      </c>
      <c r="R74" s="2603">
        <v>1350.211370859</v>
      </c>
      <c r="S74" s="2603">
        <v>2287.3832470739999</v>
      </c>
      <c r="T74" s="2603">
        <v>2953.1263571610002</v>
      </c>
      <c r="U74" s="2603">
        <v>3620.8938893589998</v>
      </c>
      <c r="V74" s="2603">
        <v>4154.2028578549998</v>
      </c>
      <c r="W74" s="2604">
        <v>5036.1717843050001</v>
      </c>
      <c r="X74" s="2605">
        <v>5438.41</v>
      </c>
      <c r="Y74" s="2225">
        <v>5749.4954147859999</v>
      </c>
      <c r="Z74" s="2215"/>
      <c r="AA74" s="2603"/>
      <c r="AB74" s="3072">
        <v>4512.1598687249998</v>
      </c>
      <c r="AC74" s="2227">
        <v>4501.6853353320002</v>
      </c>
      <c r="AD74" s="2225">
        <v>4529.3334250549997</v>
      </c>
      <c r="AE74" s="2215">
        <v>5042.4203977779998</v>
      </c>
      <c r="AF74" s="2215">
        <v>5366.7243571529998</v>
      </c>
      <c r="AG74" s="3060">
        <v>5241.5488828609996</v>
      </c>
      <c r="AH74" s="2215">
        <v>5501.511121171</v>
      </c>
      <c r="AI74" s="3568">
        <v>5438.41</v>
      </c>
      <c r="AJ74" s="3559">
        <v>5600.8919377410002</v>
      </c>
      <c r="AK74" s="3079">
        <v>5996.1332650730001</v>
      </c>
      <c r="AL74" s="3079">
        <v>5915.4550468179996</v>
      </c>
      <c r="AM74" s="3079">
        <v>5808.7274665060004</v>
      </c>
      <c r="AN74" s="3079">
        <v>3399.0675644889998</v>
      </c>
      <c r="AO74" s="3079"/>
      <c r="AP74" s="3567"/>
      <c r="AS74" s="2304" t="s">
        <v>1422</v>
      </c>
      <c r="AT74" s="2304">
        <v>861.99858553399997</v>
      </c>
      <c r="AU74" s="2304">
        <v>962.33536652199996</v>
      </c>
      <c r="AV74" s="2304">
        <v>1648.5775051789999</v>
      </c>
      <c r="AW74" s="2304">
        <v>1351.7255319769999</v>
      </c>
      <c r="AX74" s="2304">
        <v>1352.966950068</v>
      </c>
      <c r="AY74" s="2304">
        <v>1708.4769399859999</v>
      </c>
      <c r="AZ74" s="2304">
        <v>2149.5552070859999</v>
      </c>
      <c r="BA74" s="2304">
        <v>2760.8797861379999</v>
      </c>
      <c r="BB74" s="2304">
        <v>2583.8989444009999</v>
      </c>
      <c r="BC74" s="2304">
        <v>2325.3989222159998</v>
      </c>
      <c r="BD74" s="2304">
        <v>2318.3325390370001</v>
      </c>
      <c r="BE74" s="2304">
        <v>2601.3210801159998</v>
      </c>
      <c r="BF74" s="2304">
        <v>2625.486242551</v>
      </c>
      <c r="BG74" s="2304">
        <v>3327.2208257299999</v>
      </c>
      <c r="BH74" s="2304">
        <v>3447.3337321700001</v>
      </c>
      <c r="BI74" s="2304">
        <v>3621.2683676269999</v>
      </c>
      <c r="BJ74" s="2304">
        <v>3728.3135876319998</v>
      </c>
      <c r="BK74" s="2304">
        <v>3795.357179998</v>
      </c>
      <c r="BL74" s="2304">
        <v>3958.7948979299999</v>
      </c>
      <c r="BM74" s="2304">
        <v>4149.601281921</v>
      </c>
      <c r="BN74" s="2304">
        <v>4512.1598687249998</v>
      </c>
      <c r="BO74" s="2304">
        <v>4501.6853353320002</v>
      </c>
      <c r="BP74" s="2304">
        <v>4529.3334250549997</v>
      </c>
    </row>
    <row r="75" spans="1:68" ht="15">
      <c r="A75" s="2602" t="s">
        <v>554</v>
      </c>
      <c r="B75" s="2603">
        <v>0</v>
      </c>
      <c r="C75" s="2603">
        <v>0</v>
      </c>
      <c r="D75" s="2603">
        <v>0</v>
      </c>
      <c r="E75" s="2603">
        <v>31.562087330000001</v>
      </c>
      <c r="F75" s="2603">
        <v>19.903812429999999</v>
      </c>
      <c r="G75" s="2603">
        <v>41.168799335999999</v>
      </c>
      <c r="H75" s="2603">
        <v>153.15158603699999</v>
      </c>
      <c r="I75" s="2603">
        <v>81.868941413000002</v>
      </c>
      <c r="J75" s="2603">
        <v>154.93044950800001</v>
      </c>
      <c r="K75" s="2603">
        <v>225.343888201</v>
      </c>
      <c r="L75" s="2603">
        <v>330.69955532099999</v>
      </c>
      <c r="M75" s="2603">
        <v>489.42356913600003</v>
      </c>
      <c r="N75" s="2603">
        <v>518.80879571499997</v>
      </c>
      <c r="O75" s="2603">
        <v>808.53690243799997</v>
      </c>
      <c r="P75" s="2603">
        <v>1017.386186501</v>
      </c>
      <c r="Q75" s="2603">
        <v>811.43362159000003</v>
      </c>
      <c r="R75" s="2603">
        <v>986.96379156900002</v>
      </c>
      <c r="S75" s="2603">
        <v>2247.1319627110001</v>
      </c>
      <c r="T75" s="2603">
        <v>2613.622547729</v>
      </c>
      <c r="U75" s="2603">
        <v>2972.696947589</v>
      </c>
      <c r="V75" s="2603">
        <v>3488.2521348929999</v>
      </c>
      <c r="W75" s="2605">
        <v>3391.4347487619998</v>
      </c>
      <c r="X75" s="2605">
        <v>3765.19</v>
      </c>
      <c r="Y75" s="2195">
        <v>4200.2303830660003</v>
      </c>
      <c r="Z75" s="2195"/>
      <c r="AA75" s="2603"/>
      <c r="AB75" s="3072">
        <v>3516.5011854029999</v>
      </c>
      <c r="AC75" s="2200">
        <v>3492.3457316099998</v>
      </c>
      <c r="AD75" s="2195">
        <v>3426.7938635579999</v>
      </c>
      <c r="AE75" s="2195">
        <v>3389.9459011069998</v>
      </c>
      <c r="AF75" s="2195">
        <v>3291.8413298380001</v>
      </c>
      <c r="AG75" s="3061">
        <v>3317.2312551109999</v>
      </c>
      <c r="AH75" s="2195">
        <v>3447.1794724759998</v>
      </c>
      <c r="AI75" s="3568">
        <v>3765.19</v>
      </c>
      <c r="AJ75" s="3560">
        <v>3785.6382533199999</v>
      </c>
      <c r="AK75" s="1972">
        <v>4043.3057343639998</v>
      </c>
      <c r="AL75" s="1972">
        <v>4112.6392864480003</v>
      </c>
      <c r="AM75" s="1972">
        <v>4200.2303830660003</v>
      </c>
      <c r="AN75" s="1972">
        <v>1748.044165862</v>
      </c>
      <c r="AO75" s="1972"/>
      <c r="AP75" s="3569"/>
      <c r="AS75" s="2305" t="s">
        <v>1423</v>
      </c>
      <c r="AT75" s="2305">
        <v>822.69225091199996</v>
      </c>
      <c r="AU75" s="2305">
        <v>854.88158977199998</v>
      </c>
      <c r="AV75" s="2305">
        <v>892.81147611100005</v>
      </c>
      <c r="AW75" s="2305">
        <v>988.47795268699997</v>
      </c>
      <c r="AX75" s="2305">
        <v>998.69132991799995</v>
      </c>
      <c r="AY75" s="2305">
        <v>1354.7294158940001</v>
      </c>
      <c r="AZ75" s="2305">
        <v>1788.54649868</v>
      </c>
      <c r="BA75" s="2305">
        <v>2494.6990865030002</v>
      </c>
      <c r="BB75" s="2305">
        <v>2323.596176561</v>
      </c>
      <c r="BC75" s="2305">
        <v>2291.0954921490002</v>
      </c>
      <c r="BD75" s="2305">
        <v>2283.0371999459999</v>
      </c>
      <c r="BE75" s="2305">
        <v>2266.0630789229999</v>
      </c>
      <c r="BF75" s="2305">
        <v>2285.7536656930001</v>
      </c>
      <c r="BG75" s="2305">
        <v>2723.1678570119998</v>
      </c>
      <c r="BH75" s="2305">
        <v>2819.2821357009998</v>
      </c>
      <c r="BI75" s="2305">
        <v>2972.696947589</v>
      </c>
      <c r="BJ75" s="2305">
        <v>3041.5537828699998</v>
      </c>
      <c r="BK75" s="2305">
        <v>3125.0555835079999</v>
      </c>
      <c r="BL75" s="2305">
        <v>3264.8039281050001</v>
      </c>
      <c r="BM75" s="2305">
        <v>3488.2521348929999</v>
      </c>
      <c r="BN75" s="2305">
        <v>3516.5011854029999</v>
      </c>
      <c r="BO75" s="2305">
        <v>3492.3457316099998</v>
      </c>
      <c r="BP75" s="2305">
        <v>3426.7938635579999</v>
      </c>
    </row>
    <row r="76" spans="1:68" ht="15">
      <c r="A76" s="2602" t="s">
        <v>555</v>
      </c>
      <c r="B76" s="2603">
        <v>0</v>
      </c>
      <c r="C76" s="2603">
        <v>0</v>
      </c>
      <c r="D76" s="2603">
        <v>0</v>
      </c>
      <c r="E76" s="2603">
        <v>0</v>
      </c>
      <c r="F76" s="2603">
        <v>0</v>
      </c>
      <c r="G76" s="2603">
        <v>0</v>
      </c>
      <c r="H76" s="2603">
        <v>23.365346963</v>
      </c>
      <c r="I76" s="2603">
        <v>60.745919547</v>
      </c>
      <c r="J76" s="2603">
        <v>76.063911140000002</v>
      </c>
      <c r="K76" s="2603">
        <v>73.225086408999999</v>
      </c>
      <c r="L76" s="2603">
        <v>74.743219961999998</v>
      </c>
      <c r="M76" s="2603">
        <v>103.536509729</v>
      </c>
      <c r="N76" s="2603">
        <v>131.80701583699999</v>
      </c>
      <c r="O76" s="2603">
        <v>216.66972378099999</v>
      </c>
      <c r="P76" s="2603">
        <v>88.955626858000002</v>
      </c>
      <c r="Q76" s="2603">
        <v>60.434405941000001</v>
      </c>
      <c r="R76" s="2603">
        <v>37.22985611</v>
      </c>
      <c r="S76" s="2603">
        <v>40.251284363000003</v>
      </c>
      <c r="T76" s="2603">
        <v>139.46958440500001</v>
      </c>
      <c r="U76" s="2603">
        <v>182.21153144300001</v>
      </c>
      <c r="V76" s="2603">
        <v>258.00587500099999</v>
      </c>
      <c r="W76" s="2605">
        <v>360.946956414</v>
      </c>
      <c r="X76" s="2606">
        <v>575.77</v>
      </c>
      <c r="Y76" s="2195">
        <v>533.53476555899999</v>
      </c>
      <c r="Z76" s="2195"/>
      <c r="AA76" s="2603"/>
      <c r="AB76" s="3072">
        <v>280.295703398</v>
      </c>
      <c r="AC76" s="2200">
        <v>316.32947136500002</v>
      </c>
      <c r="AD76" s="2195">
        <v>347.081977338</v>
      </c>
      <c r="AE76" s="2195">
        <v>368.68441754200001</v>
      </c>
      <c r="AF76" s="2195">
        <v>463.159590283</v>
      </c>
      <c r="AG76" s="3061">
        <v>589.55925627399995</v>
      </c>
      <c r="AH76" s="2195">
        <v>619.60696991899999</v>
      </c>
      <c r="AI76" s="3565">
        <v>575.77</v>
      </c>
      <c r="AJ76" s="3560">
        <v>749.15156654700002</v>
      </c>
      <c r="AK76" s="1972">
        <v>909.02412521999997</v>
      </c>
      <c r="AL76" s="1972">
        <v>626.83511044299996</v>
      </c>
      <c r="AM76" s="1972">
        <v>592.76681727899995</v>
      </c>
      <c r="AN76" s="1972">
        <v>672.88687716499999</v>
      </c>
      <c r="AO76" s="1972"/>
      <c r="AP76" s="3569"/>
      <c r="AS76" s="2305" t="s">
        <v>1424</v>
      </c>
      <c r="AT76" s="2305">
        <v>39.306334622000001</v>
      </c>
      <c r="AU76" s="2305">
        <v>38.473468015000002</v>
      </c>
      <c r="AV76" s="2305">
        <v>38.261815886000001</v>
      </c>
      <c r="AW76" s="2305">
        <v>37.22985611</v>
      </c>
      <c r="AX76" s="2305">
        <v>36.810620516999997</v>
      </c>
      <c r="AY76" s="2305">
        <v>40.254913574</v>
      </c>
      <c r="AZ76" s="2305">
        <v>38.988752556000001</v>
      </c>
      <c r="BA76" s="2305">
        <v>40.251284363000003</v>
      </c>
      <c r="BB76" s="2305">
        <v>40.271503113000001</v>
      </c>
      <c r="BC76" s="2305">
        <v>34.303430067000001</v>
      </c>
      <c r="BD76" s="2305">
        <v>35.295339091000002</v>
      </c>
      <c r="BE76" s="2305">
        <v>135.22377616599999</v>
      </c>
      <c r="BF76" s="2305">
        <v>116.404949011</v>
      </c>
      <c r="BG76" s="2305">
        <v>107.81409986</v>
      </c>
      <c r="BH76" s="2305">
        <v>120.04903759600001</v>
      </c>
      <c r="BI76" s="2305">
        <v>181.64232057999999</v>
      </c>
      <c r="BJ76" s="2305">
        <v>235.08576603500001</v>
      </c>
      <c r="BK76" s="2305">
        <v>233.097944603</v>
      </c>
      <c r="BL76" s="2305">
        <v>271.41671990100002</v>
      </c>
      <c r="BM76" s="2305">
        <v>253.40429906700001</v>
      </c>
      <c r="BN76" s="2305">
        <v>280.295703398</v>
      </c>
      <c r="BO76" s="2305">
        <v>316.32947136500002</v>
      </c>
      <c r="BP76" s="2305">
        <v>347.081977338</v>
      </c>
    </row>
    <row r="77" spans="1:68" ht="15">
      <c r="A77" s="2602" t="s">
        <v>556</v>
      </c>
      <c r="B77" s="2603">
        <v>0</v>
      </c>
      <c r="C77" s="2603">
        <v>0</v>
      </c>
      <c r="D77" s="2603">
        <v>0</v>
      </c>
      <c r="E77" s="2603">
        <v>0</v>
      </c>
      <c r="F77" s="2603">
        <v>0</v>
      </c>
      <c r="G77" s="2603">
        <v>0</v>
      </c>
      <c r="H77" s="2603">
        <v>0</v>
      </c>
      <c r="I77" s="2603">
        <v>0</v>
      </c>
      <c r="J77" s="2603">
        <v>0</v>
      </c>
      <c r="K77" s="2603">
        <v>0</v>
      </c>
      <c r="L77" s="2603">
        <v>0</v>
      </c>
      <c r="M77" s="2603">
        <v>0</v>
      </c>
      <c r="N77" s="2603">
        <v>0</v>
      </c>
      <c r="O77" s="2603">
        <v>0</v>
      </c>
      <c r="P77" s="2603">
        <v>0</v>
      </c>
      <c r="Q77" s="2603">
        <v>0</v>
      </c>
      <c r="R77" s="2603">
        <v>0</v>
      </c>
      <c r="S77" s="2603">
        <v>0</v>
      </c>
      <c r="T77" s="2603">
        <v>0</v>
      </c>
      <c r="U77" s="2603">
        <v>0</v>
      </c>
      <c r="V77" s="2603">
        <v>0</v>
      </c>
      <c r="W77" s="2605">
        <v>0</v>
      </c>
      <c r="X77" s="2606">
        <v>0</v>
      </c>
      <c r="Y77" s="2195">
        <v>0</v>
      </c>
      <c r="Z77" s="2195"/>
      <c r="AA77" s="2603"/>
      <c r="AB77" s="3072">
        <v>0</v>
      </c>
      <c r="AC77" s="2200">
        <v>0</v>
      </c>
      <c r="AD77" s="2195">
        <v>0</v>
      </c>
      <c r="AE77" s="2195">
        <v>0</v>
      </c>
      <c r="AF77" s="2195">
        <v>0</v>
      </c>
      <c r="AG77" s="3061">
        <v>0</v>
      </c>
      <c r="AH77" s="2195">
        <v>0</v>
      </c>
      <c r="AI77" s="3571">
        <v>0</v>
      </c>
      <c r="AJ77" s="3560">
        <v>0</v>
      </c>
      <c r="AK77" s="1972">
        <v>0</v>
      </c>
      <c r="AL77" s="1972">
        <v>0</v>
      </c>
      <c r="AM77" s="1972">
        <v>0</v>
      </c>
      <c r="AN77" s="1972">
        <v>0</v>
      </c>
      <c r="AO77" s="1972"/>
      <c r="AP77" s="3569"/>
      <c r="AS77" s="2305" t="s">
        <v>1425</v>
      </c>
      <c r="AT77" s="2305">
        <v>0</v>
      </c>
      <c r="AU77" s="2305">
        <v>0</v>
      </c>
      <c r="AV77" s="2305">
        <v>0</v>
      </c>
      <c r="AW77" s="2305">
        <v>0</v>
      </c>
      <c r="AX77" s="2305">
        <v>0</v>
      </c>
      <c r="AY77" s="2305">
        <v>0</v>
      </c>
      <c r="AZ77" s="2305">
        <v>0</v>
      </c>
      <c r="BA77" s="2305">
        <v>0</v>
      </c>
      <c r="BB77" s="2305">
        <v>0</v>
      </c>
      <c r="BC77" s="2305">
        <v>0</v>
      </c>
      <c r="BD77" s="2305">
        <v>0</v>
      </c>
      <c r="BE77" s="2305">
        <v>0</v>
      </c>
      <c r="BF77" s="2305">
        <v>0</v>
      </c>
      <c r="BG77" s="2305">
        <v>0</v>
      </c>
      <c r="BH77" s="2305">
        <v>0</v>
      </c>
      <c r="BI77" s="2305">
        <v>0</v>
      </c>
      <c r="BJ77" s="2305">
        <v>0</v>
      </c>
      <c r="BK77" s="2305">
        <v>0</v>
      </c>
      <c r="BL77" s="2305">
        <v>0</v>
      </c>
      <c r="BM77" s="2305">
        <v>0</v>
      </c>
      <c r="BN77" s="2305">
        <v>0</v>
      </c>
      <c r="BO77" s="2305">
        <v>0</v>
      </c>
      <c r="BP77" s="2305">
        <v>0</v>
      </c>
    </row>
    <row r="78" spans="1:68" ht="15">
      <c r="A78" s="2602" t="s">
        <v>557</v>
      </c>
      <c r="B78" s="2603">
        <v>7.5999999999999998E-2</v>
      </c>
      <c r="C78" s="2603">
        <v>2.3809999999999998</v>
      </c>
      <c r="D78" s="2603">
        <v>8.4309999999999992</v>
      </c>
      <c r="E78" s="2603">
        <v>0</v>
      </c>
      <c r="F78" s="2603">
        <v>1.672301</v>
      </c>
      <c r="G78" s="2603">
        <v>8.8267309600000008</v>
      </c>
      <c r="H78" s="2603">
        <v>39.257729455000003</v>
      </c>
      <c r="I78" s="2603">
        <v>19.866987834</v>
      </c>
      <c r="J78" s="2603">
        <v>33.928464763999997</v>
      </c>
      <c r="K78" s="2603">
        <v>38.080262093000002</v>
      </c>
      <c r="L78" s="2603">
        <v>42.521644647000002</v>
      </c>
      <c r="M78" s="2603">
        <v>54.042150151999998</v>
      </c>
      <c r="N78" s="2603">
        <v>0</v>
      </c>
      <c r="O78" s="2603">
        <v>0</v>
      </c>
      <c r="P78" s="2603">
        <v>0</v>
      </c>
      <c r="Q78" s="2603">
        <v>0</v>
      </c>
      <c r="R78" s="2603">
        <v>0</v>
      </c>
      <c r="S78" s="2603">
        <v>0</v>
      </c>
      <c r="T78" s="2603">
        <v>0</v>
      </c>
      <c r="U78" s="2603">
        <v>0</v>
      </c>
      <c r="V78" s="2603">
        <v>0</v>
      </c>
      <c r="W78" s="2605">
        <v>0</v>
      </c>
      <c r="X78" s="2606">
        <v>0</v>
      </c>
      <c r="Y78" s="2195">
        <v>0</v>
      </c>
      <c r="Z78" s="2195"/>
      <c r="AA78" s="2603"/>
      <c r="AB78" s="3072">
        <v>0</v>
      </c>
      <c r="AC78" s="2200">
        <v>0</v>
      </c>
      <c r="AD78" s="2195">
        <v>0</v>
      </c>
      <c r="AE78" s="2195">
        <v>0</v>
      </c>
      <c r="AF78" s="2195">
        <v>0</v>
      </c>
      <c r="AG78" s="3061">
        <v>0</v>
      </c>
      <c r="AH78" s="2195">
        <v>0</v>
      </c>
      <c r="AI78" s="3565">
        <v>0</v>
      </c>
      <c r="AJ78" s="3560">
        <v>0</v>
      </c>
      <c r="AK78" s="1972">
        <v>0</v>
      </c>
      <c r="AL78" s="1972">
        <v>0</v>
      </c>
      <c r="AM78" s="1972">
        <v>0</v>
      </c>
      <c r="AN78" s="1972">
        <v>978.13652146200002</v>
      </c>
      <c r="AO78" s="1972"/>
      <c r="AP78" s="3569"/>
      <c r="AS78" s="2305" t="s">
        <v>1426</v>
      </c>
      <c r="AT78" s="2305">
        <v>0</v>
      </c>
      <c r="AU78" s="2305">
        <v>68.980308734999994</v>
      </c>
      <c r="AV78" s="2305">
        <v>0</v>
      </c>
      <c r="AW78" s="2305">
        <v>0</v>
      </c>
      <c r="AX78" s="2305">
        <v>0</v>
      </c>
      <c r="AY78" s="2305">
        <v>0</v>
      </c>
      <c r="AZ78" s="2305">
        <v>0</v>
      </c>
      <c r="BA78" s="2305">
        <v>0</v>
      </c>
      <c r="BB78" s="2305">
        <v>0</v>
      </c>
      <c r="BC78" s="2305">
        <v>0</v>
      </c>
      <c r="BD78" s="2305">
        <v>0</v>
      </c>
      <c r="BE78" s="2305">
        <v>0</v>
      </c>
      <c r="BF78" s="2305">
        <v>0</v>
      </c>
      <c r="BG78" s="2305">
        <v>0</v>
      </c>
      <c r="BH78" s="2305">
        <v>0</v>
      </c>
      <c r="BI78" s="2305">
        <v>0</v>
      </c>
      <c r="BJ78" s="2305">
        <v>0</v>
      </c>
      <c r="BK78" s="2305">
        <v>0</v>
      </c>
      <c r="BL78" s="2305">
        <v>0</v>
      </c>
      <c r="BM78" s="2305">
        <v>0</v>
      </c>
      <c r="BN78" s="2305">
        <v>0</v>
      </c>
      <c r="BO78" s="2305">
        <v>0</v>
      </c>
      <c r="BP78" s="2305">
        <v>0</v>
      </c>
    </row>
    <row r="79" spans="1:68" ht="15">
      <c r="A79" s="2602" t="s">
        <v>558</v>
      </c>
      <c r="B79" s="2603">
        <v>0</v>
      </c>
      <c r="C79" s="2603">
        <v>0</v>
      </c>
      <c r="D79" s="2603">
        <v>0</v>
      </c>
      <c r="E79" s="2603">
        <v>0</v>
      </c>
      <c r="F79" s="2603">
        <v>0</v>
      </c>
      <c r="G79" s="2603">
        <v>0</v>
      </c>
      <c r="H79" s="2603">
        <v>0</v>
      </c>
      <c r="I79" s="2603">
        <v>0</v>
      </c>
      <c r="J79" s="2603">
        <v>0</v>
      </c>
      <c r="K79" s="2603">
        <v>0</v>
      </c>
      <c r="L79" s="2603">
        <v>0</v>
      </c>
      <c r="M79" s="2603">
        <v>0</v>
      </c>
      <c r="N79" s="2603">
        <v>333.17044464399999</v>
      </c>
      <c r="O79" s="2603">
        <v>0</v>
      </c>
      <c r="P79" s="2603">
        <v>0</v>
      </c>
      <c r="Q79" s="2603">
        <v>0</v>
      </c>
      <c r="R79" s="2603">
        <v>326.01772318000002</v>
      </c>
      <c r="S79" s="2603">
        <v>0</v>
      </c>
      <c r="T79" s="2603">
        <v>200.03422502699999</v>
      </c>
      <c r="U79" s="2603">
        <v>465.98541032700001</v>
      </c>
      <c r="V79" s="2603">
        <v>407.94484796099999</v>
      </c>
      <c r="W79" s="2605">
        <v>1283.7900791290001</v>
      </c>
      <c r="X79" s="2605">
        <v>1097.46</v>
      </c>
      <c r="Y79" s="2195">
        <v>1015.730266161</v>
      </c>
      <c r="Z79" s="2195"/>
      <c r="AA79" s="2603"/>
      <c r="AB79" s="3072">
        <v>715.362979924</v>
      </c>
      <c r="AC79" s="2200">
        <v>693.01013235699997</v>
      </c>
      <c r="AD79" s="2195">
        <v>755.45758415900002</v>
      </c>
      <c r="AE79" s="2195">
        <v>1283.7900791290001</v>
      </c>
      <c r="AF79" s="2195">
        <v>1611.723437032</v>
      </c>
      <c r="AG79" s="3061">
        <v>1334.7583714760001</v>
      </c>
      <c r="AH79" s="2195">
        <v>1434.724678776</v>
      </c>
      <c r="AI79" s="3568">
        <v>1097.46</v>
      </c>
      <c r="AJ79" s="3560">
        <v>1066.102117874</v>
      </c>
      <c r="AK79" s="1972">
        <v>1043.8034054889999</v>
      </c>
      <c r="AL79" s="1972">
        <v>1175.9806499270001</v>
      </c>
      <c r="AM79" s="1972">
        <v>1015.730266161</v>
      </c>
      <c r="AN79" s="1972"/>
      <c r="AO79" s="1972"/>
      <c r="AP79" s="3569"/>
      <c r="AS79" s="2305" t="s">
        <v>1427</v>
      </c>
      <c r="AT79" s="2305">
        <v>0</v>
      </c>
      <c r="AU79" s="2305">
        <v>0</v>
      </c>
      <c r="AV79" s="2305">
        <v>717.50421318199994</v>
      </c>
      <c r="AW79" s="2305">
        <v>326.01772318000002</v>
      </c>
      <c r="AX79" s="2305">
        <v>317.46499963299999</v>
      </c>
      <c r="AY79" s="2305">
        <v>313.49261051799999</v>
      </c>
      <c r="AZ79" s="2305">
        <v>322.01995584999997</v>
      </c>
      <c r="BA79" s="2305">
        <v>225.929415272</v>
      </c>
      <c r="BB79" s="2305">
        <v>220.03126472700001</v>
      </c>
      <c r="BC79" s="2305">
        <v>213.41406249900001</v>
      </c>
      <c r="BD79" s="2305">
        <v>206.724143763</v>
      </c>
      <c r="BE79" s="2305">
        <v>200.03422502699999</v>
      </c>
      <c r="BF79" s="2305">
        <v>223.327627847</v>
      </c>
      <c r="BG79" s="2305">
        <v>496.23886885799999</v>
      </c>
      <c r="BH79" s="2305">
        <v>508.002558873</v>
      </c>
      <c r="BI79" s="2305">
        <v>466.929099458</v>
      </c>
      <c r="BJ79" s="2305">
        <v>451.67403872699998</v>
      </c>
      <c r="BK79" s="2305">
        <v>437.20365188699998</v>
      </c>
      <c r="BL79" s="2305">
        <v>422.57424992400001</v>
      </c>
      <c r="BM79" s="2305">
        <v>407.94484796099999</v>
      </c>
      <c r="BN79" s="2305">
        <v>715.362979924</v>
      </c>
      <c r="BO79" s="2305">
        <v>693.01013235699997</v>
      </c>
      <c r="BP79" s="2305">
        <v>755.45758415900002</v>
      </c>
    </row>
    <row r="80" spans="1:68" ht="16.5">
      <c r="A80" s="2602" t="s">
        <v>559</v>
      </c>
      <c r="B80" s="2603">
        <v>550.40800000000002</v>
      </c>
      <c r="C80" s="2603">
        <v>979.23299999999995</v>
      </c>
      <c r="D80" s="2603">
        <v>1583.7049999999999</v>
      </c>
      <c r="E80" s="2603">
        <v>2219.4771180110001</v>
      </c>
      <c r="F80" s="2603">
        <v>3409.2195044350001</v>
      </c>
      <c r="G80" s="2603">
        <v>5356.0523450620003</v>
      </c>
      <c r="H80" s="2603">
        <v>6124.8341568739997</v>
      </c>
      <c r="I80" s="2603">
        <v>10395.415418082001</v>
      </c>
      <c r="J80" s="2603">
        <v>12304.544443351</v>
      </c>
      <c r="K80" s="2603">
        <v>14943.086539425</v>
      </c>
      <c r="L80" s="2603">
        <v>14209.182622439001</v>
      </c>
      <c r="M80" s="2603">
        <v>17570.557253512001</v>
      </c>
      <c r="N80" s="2603">
        <v>22658.343950733</v>
      </c>
      <c r="O80" s="2603">
        <v>26045.588544427999</v>
      </c>
      <c r="P80" s="2603">
        <v>29833.261814150999</v>
      </c>
      <c r="Q80" s="2603">
        <v>24999.676895866</v>
      </c>
      <c r="R80" s="2603">
        <v>29757.067149568</v>
      </c>
      <c r="S80" s="2603">
        <v>33394.164263694001</v>
      </c>
      <c r="T80" s="2603">
        <v>41734.323235194002</v>
      </c>
      <c r="U80" s="2603">
        <v>53697.940895874999</v>
      </c>
      <c r="V80" s="2603">
        <v>51650.403735129999</v>
      </c>
      <c r="W80" s="2604">
        <v>60282.827532898998</v>
      </c>
      <c r="X80" s="2605">
        <v>72000</v>
      </c>
      <c r="Y80" s="2225">
        <v>88089.621779862005</v>
      </c>
      <c r="Z80" s="2215"/>
      <c r="AA80" s="2603"/>
      <c r="AB80" s="3072">
        <v>50741.161416447998</v>
      </c>
      <c r="AC80" s="2227">
        <v>60524.394513230996</v>
      </c>
      <c r="AD80" s="2225">
        <v>62112.676348644003</v>
      </c>
      <c r="AE80" s="2215">
        <v>60325.276051932</v>
      </c>
      <c r="AF80" s="2215">
        <v>62024.705048429001</v>
      </c>
      <c r="AG80" s="3060">
        <v>65321.967724907998</v>
      </c>
      <c r="AH80" s="2215">
        <v>67581.587131381995</v>
      </c>
      <c r="AI80" s="3568">
        <v>72000</v>
      </c>
      <c r="AJ80" s="3559">
        <v>73997.673121789005</v>
      </c>
      <c r="AK80" s="3079">
        <v>81601.597008376004</v>
      </c>
      <c r="AL80" s="3079">
        <v>82738.304930448998</v>
      </c>
      <c r="AM80" s="3079">
        <v>88141.991634624996</v>
      </c>
      <c r="AN80" s="3079">
        <v>68586.094785217007</v>
      </c>
      <c r="AO80" s="3079"/>
      <c r="AP80" s="3567"/>
      <c r="AQ80" s="2341"/>
      <c r="AR80" s="1068"/>
      <c r="AS80" s="2304" t="s">
        <v>1428</v>
      </c>
      <c r="AT80" s="2304">
        <v>25010.919853656</v>
      </c>
      <c r="AU80" s="2304">
        <v>26286.145538323999</v>
      </c>
      <c r="AV80" s="2304">
        <v>28080.868938813001</v>
      </c>
      <c r="AW80" s="2304">
        <v>29725.930367403998</v>
      </c>
      <c r="AX80" s="2304">
        <v>28748.321092474998</v>
      </c>
      <c r="AY80" s="2304">
        <v>30375.757072963999</v>
      </c>
      <c r="AZ80" s="2304">
        <v>32276.82446476</v>
      </c>
      <c r="BA80" s="2304">
        <v>33658.743016241999</v>
      </c>
      <c r="BB80" s="2304">
        <v>34416.668788925999</v>
      </c>
      <c r="BC80" s="2304">
        <v>35912.808663755997</v>
      </c>
      <c r="BD80" s="2304">
        <v>37757.456671157997</v>
      </c>
      <c r="BE80" s="2304">
        <v>41749.437163497998</v>
      </c>
      <c r="BF80" s="2304">
        <v>44474.278409817998</v>
      </c>
      <c r="BG80" s="2304">
        <v>46980.501050598003</v>
      </c>
      <c r="BH80" s="2304">
        <v>48244.877999621</v>
      </c>
      <c r="BI80" s="2304">
        <v>53696.643591423999</v>
      </c>
      <c r="BJ80" s="2304">
        <v>55601.299353620001</v>
      </c>
      <c r="BK80" s="2304">
        <v>56295.551150305997</v>
      </c>
      <c r="BL80" s="2304">
        <v>55127.101516155002</v>
      </c>
      <c r="BM80" s="2304">
        <v>51655.408644948002</v>
      </c>
      <c r="BN80" s="2304">
        <v>50741.161416447998</v>
      </c>
      <c r="BO80" s="2304">
        <v>60524.394513230996</v>
      </c>
      <c r="BP80" s="2304">
        <v>62112.676348644003</v>
      </c>
    </row>
    <row r="81" spans="1:70" ht="15.75">
      <c r="A81" s="2602" t="s">
        <v>560</v>
      </c>
      <c r="B81" s="2603">
        <v>517.34900000000005</v>
      </c>
      <c r="C81" s="2603">
        <v>806.76199999999994</v>
      </c>
      <c r="D81" s="2603">
        <v>1271.6559999999999</v>
      </c>
      <c r="E81" s="2603">
        <v>1533.042828613</v>
      </c>
      <c r="F81" s="2603">
        <v>1720.2071530180001</v>
      </c>
      <c r="G81" s="2603">
        <v>3094.037392967</v>
      </c>
      <c r="H81" s="2603">
        <v>3165.3522285600002</v>
      </c>
      <c r="I81" s="2603">
        <v>6591.4114218240002</v>
      </c>
      <c r="J81" s="2603">
        <v>7255.5128911809998</v>
      </c>
      <c r="K81" s="2603">
        <v>8717.275015362</v>
      </c>
      <c r="L81" s="2603">
        <v>7114.9205924819998</v>
      </c>
      <c r="M81" s="2603">
        <v>9316.7003053009994</v>
      </c>
      <c r="N81" s="2603">
        <v>13400.525192638999</v>
      </c>
      <c r="O81" s="2603">
        <v>15863.302791405</v>
      </c>
      <c r="P81" s="2603">
        <v>18385.186549332</v>
      </c>
      <c r="Q81" s="2603">
        <v>11761.300662092999</v>
      </c>
      <c r="R81" s="2603">
        <v>14982.096384457</v>
      </c>
      <c r="S81" s="2603">
        <v>16594.874862688001</v>
      </c>
      <c r="T81" s="2603">
        <v>23128.655834466001</v>
      </c>
      <c r="U81" s="2603">
        <v>32279.955665837999</v>
      </c>
      <c r="V81" s="2603">
        <v>26294.279047317999</v>
      </c>
      <c r="W81" s="2604">
        <v>30349.816316666002</v>
      </c>
      <c r="X81" s="2605">
        <v>36272.46</v>
      </c>
      <c r="Y81" s="2225">
        <v>44338.155487272001</v>
      </c>
      <c r="Z81" s="2215"/>
      <c r="AA81" s="2603"/>
      <c r="AB81" s="3072">
        <v>23679.982202457999</v>
      </c>
      <c r="AC81" s="2227">
        <v>31929.066630166999</v>
      </c>
      <c r="AD81" s="2225">
        <v>33707.020718945998</v>
      </c>
      <c r="AE81" s="2215">
        <v>30376.921097517999</v>
      </c>
      <c r="AF81" s="2215">
        <v>30297.604017264999</v>
      </c>
      <c r="AG81" s="3060">
        <v>32537.727442611998</v>
      </c>
      <c r="AH81" s="2215">
        <v>32217.402904957002</v>
      </c>
      <c r="AI81" s="3571">
        <v>36272.46</v>
      </c>
      <c r="AJ81" s="3559">
        <v>36101.018424847003</v>
      </c>
      <c r="AK81" s="3079">
        <v>41725.134585223001</v>
      </c>
      <c r="AL81" s="3079">
        <v>39907.781019975999</v>
      </c>
      <c r="AM81" s="3079">
        <v>44393.950887086001</v>
      </c>
      <c r="AN81" s="3079">
        <v>28464.058214855999</v>
      </c>
      <c r="AO81" s="3079"/>
      <c r="AP81" s="3567"/>
      <c r="AQ81" s="2342"/>
      <c r="AR81" s="1068"/>
      <c r="AS81" s="2304" t="s">
        <v>1429</v>
      </c>
      <c r="AT81" s="2304">
        <v>11111.083511698</v>
      </c>
      <c r="AU81" s="2304">
        <v>12400.57624925</v>
      </c>
      <c r="AV81" s="2304">
        <v>13916.060196857001</v>
      </c>
      <c r="AW81" s="2304">
        <v>14963.120976839</v>
      </c>
      <c r="AX81" s="2304">
        <v>13215.557898356999</v>
      </c>
      <c r="AY81" s="2304">
        <v>14570.321210316</v>
      </c>
      <c r="AZ81" s="2304">
        <v>16025.6940806</v>
      </c>
      <c r="BA81" s="2304">
        <v>16783.930959034999</v>
      </c>
      <c r="BB81" s="2304">
        <v>16785.979311455001</v>
      </c>
      <c r="BC81" s="2304">
        <v>18009.082670732001</v>
      </c>
      <c r="BD81" s="2304">
        <v>19576.055665488999</v>
      </c>
      <c r="BE81" s="2304">
        <v>23146.723671078002</v>
      </c>
      <c r="BF81" s="2304">
        <v>24743.977981995999</v>
      </c>
      <c r="BG81" s="2304">
        <v>26922.972857653</v>
      </c>
      <c r="BH81" s="2304">
        <v>27920.744789189001</v>
      </c>
      <c r="BI81" s="2304">
        <v>32276.466949019999</v>
      </c>
      <c r="BJ81" s="2304">
        <v>32641.897512034</v>
      </c>
      <c r="BK81" s="2304">
        <v>32883.878002931</v>
      </c>
      <c r="BL81" s="2304">
        <v>31071.333186538999</v>
      </c>
      <c r="BM81" s="2304">
        <v>26312.427899206999</v>
      </c>
      <c r="BN81" s="2304">
        <v>23679.982202457999</v>
      </c>
      <c r="BO81" s="2304">
        <v>31929.066630166999</v>
      </c>
      <c r="BP81" s="2304">
        <v>33707.020718945998</v>
      </c>
    </row>
    <row r="82" spans="1:70" ht="15.75">
      <c r="A82" s="2602" t="s">
        <v>314</v>
      </c>
      <c r="B82" s="2603">
        <v>419.101</v>
      </c>
      <c r="C82" s="2603">
        <v>716.76099999999997</v>
      </c>
      <c r="D82" s="2603">
        <v>1098.058</v>
      </c>
      <c r="E82" s="2603">
        <v>1408.120438249</v>
      </c>
      <c r="F82" s="2603">
        <v>1594.0332105259999</v>
      </c>
      <c r="G82" s="2603">
        <v>3027.4917610759999</v>
      </c>
      <c r="H82" s="2603">
        <v>3160.423294749</v>
      </c>
      <c r="I82" s="2603">
        <v>4498.2777501780001</v>
      </c>
      <c r="J82" s="2603">
        <v>5439.1221187860001</v>
      </c>
      <c r="K82" s="2603">
        <v>8475.4646270220001</v>
      </c>
      <c r="L82" s="2603">
        <v>6819.5062614999997</v>
      </c>
      <c r="M82" s="2603">
        <v>9068.7401221979999</v>
      </c>
      <c r="N82" s="2603">
        <v>12969.956085573</v>
      </c>
      <c r="O82" s="2603">
        <v>14967.5543241</v>
      </c>
      <c r="P82" s="2603">
        <v>17429.655689537001</v>
      </c>
      <c r="Q82" s="2603">
        <v>11100.344738739999</v>
      </c>
      <c r="R82" s="2603">
        <v>14451.149990521</v>
      </c>
      <c r="S82" s="2603">
        <v>16102.256902439</v>
      </c>
      <c r="T82" s="2603">
        <v>22364.710509820001</v>
      </c>
      <c r="U82" s="2603">
        <v>29761.106035256998</v>
      </c>
      <c r="V82" s="2603">
        <v>24521.161696202002</v>
      </c>
      <c r="W82" s="2604">
        <v>29651.673556227001</v>
      </c>
      <c r="X82" s="2605">
        <v>34836.18</v>
      </c>
      <c r="Y82" s="2225">
        <v>41552.785100161003</v>
      </c>
      <c r="Z82" s="2215"/>
      <c r="AA82" s="2603"/>
      <c r="AB82" s="3072">
        <v>23043.504756733</v>
      </c>
      <c r="AC82" s="2227">
        <v>31286.939836443999</v>
      </c>
      <c r="AD82" s="3062">
        <v>33050.415339820996</v>
      </c>
      <c r="AE82" s="2215">
        <v>29667.280422306001</v>
      </c>
      <c r="AF82" s="2215">
        <v>29033.182945777</v>
      </c>
      <c r="AG82" s="3060">
        <v>31341.216287023999</v>
      </c>
      <c r="AH82" s="2215">
        <v>30969.636903539002</v>
      </c>
      <c r="AI82" s="3571">
        <v>34836.18</v>
      </c>
      <c r="AJ82" s="3559">
        <v>33917.117422502997</v>
      </c>
      <c r="AK82" s="3079">
        <v>37683.199470883999</v>
      </c>
      <c r="AL82" s="3079">
        <v>36285.959995924</v>
      </c>
      <c r="AM82" s="3079">
        <v>41524.928721229997</v>
      </c>
      <c r="AN82" s="3079">
        <v>25696.151990523002</v>
      </c>
      <c r="AO82" s="3079"/>
      <c r="AP82" s="3567"/>
      <c r="AQ82" s="2342"/>
      <c r="AR82" s="2339"/>
      <c r="AS82" s="2304" t="s">
        <v>1430</v>
      </c>
      <c r="AT82" s="2304">
        <v>10523.957829819001</v>
      </c>
      <c r="AU82" s="2304">
        <v>11901.667720854</v>
      </c>
      <c r="AV82" s="2304">
        <v>13360.081506283999</v>
      </c>
      <c r="AW82" s="2304">
        <v>14432.174582903001</v>
      </c>
      <c r="AX82" s="2304">
        <v>12709.176054673</v>
      </c>
      <c r="AY82" s="2304">
        <v>14116.094162443</v>
      </c>
      <c r="AZ82" s="2304">
        <v>15404.437564853</v>
      </c>
      <c r="BA82" s="2304">
        <v>16291.312998785999</v>
      </c>
      <c r="BB82" s="2304">
        <v>15838.154515550999</v>
      </c>
      <c r="BC82" s="2304">
        <v>16991.794634833001</v>
      </c>
      <c r="BD82" s="2304">
        <v>18551.811881771999</v>
      </c>
      <c r="BE82" s="2304">
        <v>22382.164623420998</v>
      </c>
      <c r="BF82" s="2304">
        <v>22968.032691682001</v>
      </c>
      <c r="BG82" s="2304">
        <v>24989.658347910001</v>
      </c>
      <c r="BH82" s="2304">
        <v>25891.181819534999</v>
      </c>
      <c r="BI82" s="2304">
        <v>29811.587201351002</v>
      </c>
      <c r="BJ82" s="2304">
        <v>30137.625429078002</v>
      </c>
      <c r="BK82" s="2304">
        <v>30416.062290246999</v>
      </c>
      <c r="BL82" s="2304">
        <v>28697.860823948002</v>
      </c>
      <c r="BM82" s="2304">
        <v>24534.231146586</v>
      </c>
      <c r="BN82" s="2304">
        <v>23043.504756733</v>
      </c>
      <c r="BO82" s="2304">
        <v>31286.939836443999</v>
      </c>
      <c r="BP82" s="2304">
        <v>33050.415339820996</v>
      </c>
      <c r="BQ82" s="1087" t="s">
        <v>1493</v>
      </c>
      <c r="BR82" s="1087" t="s">
        <v>1494</v>
      </c>
    </row>
    <row r="83" spans="1:70" ht="16.5">
      <c r="A83" s="2602" t="s">
        <v>561</v>
      </c>
      <c r="B83" s="2603">
        <v>143.78200000000001</v>
      </c>
      <c r="C83" s="2603">
        <v>192.352</v>
      </c>
      <c r="D83" s="2603">
        <v>351.92399999999998</v>
      </c>
      <c r="E83" s="2603">
        <v>266.95759979299999</v>
      </c>
      <c r="F83" s="2603">
        <v>626.70730536300005</v>
      </c>
      <c r="G83" s="2603">
        <v>1060.378510836</v>
      </c>
      <c r="H83" s="2603">
        <v>1057.507949067</v>
      </c>
      <c r="I83" s="2603">
        <v>1238.652532287</v>
      </c>
      <c r="J83" s="2603">
        <v>1150.1766964030001</v>
      </c>
      <c r="K83" s="2603">
        <v>1338.8275175690001</v>
      </c>
      <c r="L83" s="2603">
        <v>1809.370535796</v>
      </c>
      <c r="M83" s="2603">
        <v>2200.0229234530002</v>
      </c>
      <c r="N83" s="2603">
        <v>3018.857084191</v>
      </c>
      <c r="O83" s="2603">
        <v>2815.0551255619998</v>
      </c>
      <c r="P83" s="2603">
        <v>3757.3704366709999</v>
      </c>
      <c r="Q83" s="2603">
        <v>2279.1724670469998</v>
      </c>
      <c r="R83" s="2603">
        <v>2510.1142673220002</v>
      </c>
      <c r="S83" s="2603">
        <v>2641.7973267880002</v>
      </c>
      <c r="T83" s="2603">
        <v>2824.5055523589999</v>
      </c>
      <c r="U83" s="2603">
        <v>2865.8150395809998</v>
      </c>
      <c r="V83" s="2603">
        <v>3209.205494368</v>
      </c>
      <c r="W83" s="2605">
        <v>2602.97729071</v>
      </c>
      <c r="X83" s="2605">
        <v>4423.91</v>
      </c>
      <c r="Y83" s="2195">
        <v>3837.0814381260002</v>
      </c>
      <c r="Z83" s="2195"/>
      <c r="AA83" s="2603"/>
      <c r="AB83" s="3072">
        <v>2626.774696342</v>
      </c>
      <c r="AC83" s="2200">
        <v>2650.5578399699998</v>
      </c>
      <c r="AD83" s="2195">
        <v>2585.707569612</v>
      </c>
      <c r="AE83" s="2195">
        <v>2603.0823847259999</v>
      </c>
      <c r="AF83" s="2195">
        <v>3179.6705228659998</v>
      </c>
      <c r="AG83" s="3061">
        <v>3214.6192671919998</v>
      </c>
      <c r="AH83" s="2195">
        <v>3096.588816686</v>
      </c>
      <c r="AI83" s="3568">
        <v>4423.91</v>
      </c>
      <c r="AJ83" s="3560">
        <v>3244.3933029469999</v>
      </c>
      <c r="AK83" s="1972">
        <v>3048.1298308989999</v>
      </c>
      <c r="AL83" s="1972">
        <v>2987.803426808</v>
      </c>
      <c r="AM83" s="1972">
        <v>3837.0813147670001</v>
      </c>
      <c r="AN83" s="1972">
        <v>1852.7149408170001</v>
      </c>
      <c r="AO83" s="1972"/>
      <c r="AP83" s="3569"/>
      <c r="AQ83" s="2341"/>
      <c r="AS83" s="2305" t="s">
        <v>1431</v>
      </c>
      <c r="AT83" s="2305">
        <v>1619.004057743</v>
      </c>
      <c r="AU83" s="2305">
        <v>1618.1078635260001</v>
      </c>
      <c r="AV83" s="2305">
        <v>1899.5400928900001</v>
      </c>
      <c r="AW83" s="2305">
        <v>2510.8483794200001</v>
      </c>
      <c r="AX83" s="2305">
        <v>1742.572404407</v>
      </c>
      <c r="AY83" s="2305">
        <v>2108.3538539679998</v>
      </c>
      <c r="AZ83" s="2305">
        <v>2035.4471669689999</v>
      </c>
      <c r="BA83" s="2305">
        <v>2678.550720271</v>
      </c>
      <c r="BB83" s="2305">
        <v>2047.1292266</v>
      </c>
      <c r="BC83" s="2305">
        <v>2035.1898821560001</v>
      </c>
      <c r="BD83" s="2305">
        <v>2090.0636500300002</v>
      </c>
      <c r="BE83" s="2305">
        <v>2858.9017912700001</v>
      </c>
      <c r="BF83" s="2305">
        <v>2401.4692431660001</v>
      </c>
      <c r="BG83" s="2305">
        <v>2897.7070052660001</v>
      </c>
      <c r="BH83" s="2305">
        <v>2019.2117295390001</v>
      </c>
      <c r="BI83" s="2305">
        <v>2865.9546967810002</v>
      </c>
      <c r="BJ83" s="2305">
        <v>2583.1922253050002</v>
      </c>
      <c r="BK83" s="2305">
        <v>2490.789349094</v>
      </c>
      <c r="BL83" s="2305">
        <v>2707.4428956259999</v>
      </c>
      <c r="BM83" s="2305">
        <v>3206.1841113649998</v>
      </c>
      <c r="BN83" s="2305">
        <v>2626.774696342</v>
      </c>
      <c r="BO83" s="2305">
        <v>2650.5578399699998</v>
      </c>
      <c r="BP83" s="2305">
        <v>2585.707569612</v>
      </c>
      <c r="BQ83" s="1576">
        <v>340.22941458399964</v>
      </c>
      <c r="BR83" s="1576">
        <v>-620.47654175299976</v>
      </c>
    </row>
    <row r="84" spans="1:70" ht="15">
      <c r="A84" s="2602" t="s">
        <v>562</v>
      </c>
      <c r="B84" s="2603">
        <v>13.851000000000001</v>
      </c>
      <c r="C84" s="2603">
        <v>20.619</v>
      </c>
      <c r="D84" s="2603">
        <v>18.783000000000001</v>
      </c>
      <c r="E84" s="2603">
        <v>48.255501531</v>
      </c>
      <c r="F84" s="2603">
        <v>71.236498237000006</v>
      </c>
      <c r="G84" s="2603">
        <v>160.21203285300001</v>
      </c>
      <c r="H84" s="2603">
        <v>336.63963098400001</v>
      </c>
      <c r="I84" s="2603">
        <v>271.71658794899997</v>
      </c>
      <c r="J84" s="2603">
        <v>210.72670495</v>
      </c>
      <c r="K84" s="2603">
        <v>335.44051568700002</v>
      </c>
      <c r="L84" s="2603">
        <v>345.90813894399997</v>
      </c>
      <c r="M84" s="2603">
        <v>374.759654082</v>
      </c>
      <c r="N84" s="2603">
        <v>347.33927591200001</v>
      </c>
      <c r="O84" s="2603">
        <v>296.62953541100001</v>
      </c>
      <c r="P84" s="2603">
        <v>582.21840386400004</v>
      </c>
      <c r="Q84" s="2603">
        <v>561.26149587600003</v>
      </c>
      <c r="R84" s="2603">
        <v>418.65224869100001</v>
      </c>
      <c r="S84" s="2603">
        <v>398.62890582400001</v>
      </c>
      <c r="T84" s="2603">
        <v>465.15757712499999</v>
      </c>
      <c r="U84" s="2603">
        <v>710.65854129599995</v>
      </c>
      <c r="V84" s="2603">
        <v>491.09760376100002</v>
      </c>
      <c r="W84" s="2605">
        <v>602.01003672100001</v>
      </c>
      <c r="X84" s="2606">
        <v>562.07000000000005</v>
      </c>
      <c r="Y84" s="2195">
        <v>761.33273842799997</v>
      </c>
      <c r="Z84" s="2195"/>
      <c r="AA84" s="2603"/>
      <c r="AB84" s="3072">
        <v>662.23515497899996</v>
      </c>
      <c r="AC84" s="2200">
        <v>601.24098338299996</v>
      </c>
      <c r="AD84" s="2195">
        <v>501.87508594299999</v>
      </c>
      <c r="AE84" s="2195">
        <v>602.10002273099997</v>
      </c>
      <c r="AF84" s="2195">
        <v>663.83015191200002</v>
      </c>
      <c r="AG84" s="3061">
        <v>773.96445851099998</v>
      </c>
      <c r="AH84" s="2195">
        <v>561.49391500299998</v>
      </c>
      <c r="AI84" s="3565">
        <v>562.07000000000005</v>
      </c>
      <c r="AJ84" s="3560">
        <v>601.277867861</v>
      </c>
      <c r="AK84" s="1972">
        <v>832.68097316399997</v>
      </c>
      <c r="AL84" s="1972">
        <v>889.38695475099996</v>
      </c>
      <c r="AM84" s="1972">
        <v>734.72600759500006</v>
      </c>
      <c r="AN84" s="1972">
        <v>824.58139567900002</v>
      </c>
      <c r="AO84" s="1972"/>
      <c r="AP84" s="3569"/>
      <c r="AS84" s="2305" t="s">
        <v>1432</v>
      </c>
      <c r="AT84" s="2305">
        <v>650.26562512099997</v>
      </c>
      <c r="AU84" s="2305">
        <v>576.24403736800002</v>
      </c>
      <c r="AV84" s="2305">
        <v>611.54672822199996</v>
      </c>
      <c r="AW84" s="2305">
        <v>418.65224869100001</v>
      </c>
      <c r="AX84" s="2305">
        <v>627.012826668</v>
      </c>
      <c r="AY84" s="2305">
        <v>504.493867819</v>
      </c>
      <c r="AZ84" s="2305">
        <v>374.47595030500003</v>
      </c>
      <c r="BA84" s="2305">
        <v>383.56204216200001</v>
      </c>
      <c r="BB84" s="2305">
        <v>356.64109242900003</v>
      </c>
      <c r="BC84" s="2305">
        <v>383.30879265099998</v>
      </c>
      <c r="BD84" s="2305">
        <v>396.22553841600001</v>
      </c>
      <c r="BE84" s="2305">
        <v>463.12596259600002</v>
      </c>
      <c r="BF84" s="2305">
        <v>677.21538080000005</v>
      </c>
      <c r="BG84" s="2305">
        <v>918.42515083700005</v>
      </c>
      <c r="BH84" s="2305">
        <v>883.273527253</v>
      </c>
      <c r="BI84" s="2305">
        <v>710.65854129599995</v>
      </c>
      <c r="BJ84" s="2305">
        <v>613.37844809700005</v>
      </c>
      <c r="BK84" s="2305">
        <v>692.34180174899996</v>
      </c>
      <c r="BL84" s="2305">
        <v>913.35286551199999</v>
      </c>
      <c r="BM84" s="2305">
        <v>491.09760376100002</v>
      </c>
      <c r="BN84" s="2305">
        <v>662.23515497899996</v>
      </c>
      <c r="BO84" s="2305">
        <v>601.24098338299996</v>
      </c>
      <c r="BP84" s="2305">
        <v>501.87508594299999</v>
      </c>
    </row>
    <row r="85" spans="1:70" ht="15">
      <c r="A85" s="2602" t="s">
        <v>563</v>
      </c>
      <c r="B85" s="2603">
        <v>0</v>
      </c>
      <c r="C85" s="2603">
        <v>0</v>
      </c>
      <c r="D85" s="2603">
        <v>0</v>
      </c>
      <c r="E85" s="2603">
        <v>53.010018504000001</v>
      </c>
      <c r="F85" s="2603">
        <v>82.471454155999993</v>
      </c>
      <c r="G85" s="2603">
        <v>242.91714066700001</v>
      </c>
      <c r="H85" s="2603">
        <v>189.056164373</v>
      </c>
      <c r="I85" s="2603">
        <v>353.37495834800001</v>
      </c>
      <c r="J85" s="2603">
        <v>242.203522628</v>
      </c>
      <c r="K85" s="2603">
        <v>337.46838939000003</v>
      </c>
      <c r="L85" s="2603">
        <v>297.34414669500001</v>
      </c>
      <c r="M85" s="2603">
        <v>196.31177534700001</v>
      </c>
      <c r="N85" s="2603">
        <v>250.837100459</v>
      </c>
      <c r="O85" s="2603">
        <v>318.46945377499998</v>
      </c>
      <c r="P85" s="2603">
        <v>342.47655376900002</v>
      </c>
      <c r="Q85" s="2603">
        <v>320.42108743099999</v>
      </c>
      <c r="R85" s="2603">
        <v>411.22236692400003</v>
      </c>
      <c r="S85" s="2603">
        <v>554.46160569599999</v>
      </c>
      <c r="T85" s="2603">
        <v>645.97220999599995</v>
      </c>
      <c r="U85" s="2603">
        <v>517.65270880900005</v>
      </c>
      <c r="V85" s="2603">
        <v>670.64891759199998</v>
      </c>
      <c r="W85" s="2605">
        <v>1432.3566051570001</v>
      </c>
      <c r="X85" s="2605">
        <v>2298.8200000000002</v>
      </c>
      <c r="Y85" s="2195">
        <v>2192.156678455</v>
      </c>
      <c r="Z85" s="2195"/>
      <c r="AA85" s="2603"/>
      <c r="AB85" s="3072">
        <v>643.41565115699996</v>
      </c>
      <c r="AC85" s="2200">
        <v>810.43373004900002</v>
      </c>
      <c r="AD85" s="2195">
        <v>1069.087225876</v>
      </c>
      <c r="AE85" s="2195">
        <v>1433.245828828</v>
      </c>
      <c r="AF85" s="2195">
        <v>958.840995271</v>
      </c>
      <c r="AG85" s="3061">
        <v>1334.330795375</v>
      </c>
      <c r="AH85" s="2195">
        <v>1674.374835631</v>
      </c>
      <c r="AI85" s="3568">
        <v>2298.8200000000002</v>
      </c>
      <c r="AJ85" s="3560">
        <v>1121.4443488019999</v>
      </c>
      <c r="AK85" s="1972">
        <v>1444.3741876449999</v>
      </c>
      <c r="AL85" s="1972">
        <v>1688.953475754</v>
      </c>
      <c r="AM85" s="1972">
        <v>2199.4871078800002</v>
      </c>
      <c r="AN85" s="1972">
        <v>930.83517031099996</v>
      </c>
      <c r="AO85" s="1972"/>
      <c r="AP85" s="3569"/>
      <c r="AS85" s="2305" t="s">
        <v>1433</v>
      </c>
      <c r="AT85" s="2305">
        <v>200.483212608</v>
      </c>
      <c r="AU85" s="2305">
        <v>243.955140677</v>
      </c>
      <c r="AV85" s="2305">
        <v>307.795291077</v>
      </c>
      <c r="AW85" s="2305">
        <v>384.26973910700002</v>
      </c>
      <c r="AX85" s="2305">
        <v>293.40762911899998</v>
      </c>
      <c r="AY85" s="2305">
        <v>365.456144145</v>
      </c>
      <c r="AZ85" s="2305">
        <v>449.73638336300002</v>
      </c>
      <c r="BA85" s="2305">
        <v>545.98019105399999</v>
      </c>
      <c r="BB85" s="2305">
        <v>339.71036372499998</v>
      </c>
      <c r="BC85" s="2305">
        <v>463.84248421900003</v>
      </c>
      <c r="BD85" s="2305">
        <v>544.82368476399995</v>
      </c>
      <c r="BE85" s="2305">
        <v>638.91210990100001</v>
      </c>
      <c r="BF85" s="2305">
        <v>464.45973234399997</v>
      </c>
      <c r="BG85" s="2305">
        <v>583.34250596100003</v>
      </c>
      <c r="BH85" s="2305">
        <v>557.38730074299997</v>
      </c>
      <c r="BI85" s="2305">
        <v>518.55840135999995</v>
      </c>
      <c r="BJ85" s="2305">
        <v>602.757960142</v>
      </c>
      <c r="BK85" s="2305">
        <v>657.18095584599996</v>
      </c>
      <c r="BL85" s="2305">
        <v>781.88056102899998</v>
      </c>
      <c r="BM85" s="2305">
        <v>671.66630395699997</v>
      </c>
      <c r="BN85" s="2305">
        <v>643.41565115699996</v>
      </c>
      <c r="BO85" s="2305">
        <v>810.43373004900002</v>
      </c>
      <c r="BP85" s="2305">
        <v>1069.087225876</v>
      </c>
    </row>
    <row r="86" spans="1:70" ht="15">
      <c r="A86" s="2602" t="s">
        <v>564</v>
      </c>
      <c r="B86" s="2603">
        <v>0</v>
      </c>
      <c r="C86" s="2603">
        <v>0</v>
      </c>
      <c r="D86" s="2603">
        <v>0</v>
      </c>
      <c r="E86" s="2603">
        <v>38.600724798999998</v>
      </c>
      <c r="F86" s="2603">
        <v>67.208378633999999</v>
      </c>
      <c r="G86" s="2603">
        <v>72.644756270000002</v>
      </c>
      <c r="H86" s="2603">
        <v>36.336932140000002</v>
      </c>
      <c r="I86" s="2603">
        <v>165.343313225</v>
      </c>
      <c r="J86" s="2603">
        <v>211.76430706400001</v>
      </c>
      <c r="K86" s="2603">
        <v>342.05152864799999</v>
      </c>
      <c r="L86" s="2603">
        <v>310.77928472899998</v>
      </c>
      <c r="M86" s="2603">
        <v>506.48283109300002</v>
      </c>
      <c r="N86" s="2603">
        <v>726.05181203200004</v>
      </c>
      <c r="O86" s="2603">
        <v>694.08620299500001</v>
      </c>
      <c r="P86" s="2603">
        <v>826.71696471300004</v>
      </c>
      <c r="Q86" s="2603">
        <v>830.41333020299999</v>
      </c>
      <c r="R86" s="2603">
        <v>1191.3026278289999</v>
      </c>
      <c r="S86" s="2603">
        <v>1278.884909353</v>
      </c>
      <c r="T86" s="2603">
        <v>1968.3640785489999</v>
      </c>
      <c r="U86" s="2603">
        <v>2926.2286552850001</v>
      </c>
      <c r="V86" s="2603">
        <v>3276.698433947</v>
      </c>
      <c r="W86" s="2605">
        <v>3734.3410600860002</v>
      </c>
      <c r="X86" s="2605">
        <v>4341.01</v>
      </c>
      <c r="Y86" s="2195">
        <v>5678.4108412850001</v>
      </c>
      <c r="Z86" s="2195"/>
      <c r="AA86" s="2603"/>
      <c r="AB86" s="3072">
        <v>1860.796729871</v>
      </c>
      <c r="AC86" s="2200">
        <v>2508.1041169710002</v>
      </c>
      <c r="AD86" s="2195">
        <v>3589.4580076950001</v>
      </c>
      <c r="AE86" s="2195">
        <v>3761.187996351</v>
      </c>
      <c r="AF86" s="2195">
        <v>2685.8586144850001</v>
      </c>
      <c r="AG86" s="3061">
        <v>3918.3265174580001</v>
      </c>
      <c r="AH86" s="2195">
        <v>4450.8981031659996</v>
      </c>
      <c r="AI86" s="3568">
        <v>4341.01</v>
      </c>
      <c r="AJ86" s="3560">
        <v>3131.5351964679999</v>
      </c>
      <c r="AK86" s="1972">
        <v>4948.810580669</v>
      </c>
      <c r="AL86" s="1972">
        <v>5855.479855263</v>
      </c>
      <c r="AM86" s="1972">
        <v>5724.811126353</v>
      </c>
      <c r="AN86" s="1972">
        <v>2381.4602340229999</v>
      </c>
      <c r="AO86" s="1972"/>
      <c r="AP86" s="3569"/>
      <c r="AS86" s="2305" t="s">
        <v>1434</v>
      </c>
      <c r="AT86" s="2305">
        <v>650.69262719899996</v>
      </c>
      <c r="AU86" s="2305">
        <v>717.90832225700001</v>
      </c>
      <c r="AV86" s="2305">
        <v>921.46486494600003</v>
      </c>
      <c r="AW86" s="2305">
        <v>1195.4454382050001</v>
      </c>
      <c r="AX86" s="2305">
        <v>541.51236583299999</v>
      </c>
      <c r="AY86" s="2305">
        <v>777.21390189700003</v>
      </c>
      <c r="AZ86" s="2305">
        <v>938.38672276499994</v>
      </c>
      <c r="BA86" s="2305">
        <v>1536.0273512419999</v>
      </c>
      <c r="BB86" s="2305">
        <v>656.57958268799996</v>
      </c>
      <c r="BC86" s="2305">
        <v>1203.886575748</v>
      </c>
      <c r="BD86" s="2305">
        <v>1667.2380909809999</v>
      </c>
      <c r="BE86" s="2305">
        <v>1999.6129281410001</v>
      </c>
      <c r="BF86" s="2305">
        <v>1029.8610696989999</v>
      </c>
      <c r="BG86" s="2305">
        <v>1547.517480131</v>
      </c>
      <c r="BH86" s="2305">
        <v>2096.4182966479998</v>
      </c>
      <c r="BI86" s="2305">
        <v>2917.9495621289998</v>
      </c>
      <c r="BJ86" s="2305">
        <v>1638.7613845359999</v>
      </c>
      <c r="BK86" s="2305">
        <v>2315.9301494330002</v>
      </c>
      <c r="BL86" s="2305">
        <v>2785.519774205</v>
      </c>
      <c r="BM86" s="2305">
        <v>3187.2303760929999</v>
      </c>
      <c r="BN86" s="2305">
        <v>1860.796729871</v>
      </c>
      <c r="BO86" s="2305">
        <v>2508.1041169710002</v>
      </c>
      <c r="BP86" s="2305">
        <v>3589.4580076950001</v>
      </c>
    </row>
    <row r="87" spans="1:70" ht="15">
      <c r="A87" s="2602" t="s">
        <v>565</v>
      </c>
      <c r="B87" s="2603">
        <v>0</v>
      </c>
      <c r="C87" s="2603">
        <v>0</v>
      </c>
      <c r="D87" s="2603">
        <v>0</v>
      </c>
      <c r="E87" s="2603">
        <v>13.379598832999999</v>
      </c>
      <c r="F87" s="2603">
        <v>20.198973852999998</v>
      </c>
      <c r="G87" s="2603">
        <v>78.376658966999997</v>
      </c>
      <c r="H87" s="2603">
        <v>122.981748223</v>
      </c>
      <c r="I87" s="2603">
        <v>126.99198260999999</v>
      </c>
      <c r="J87" s="2603">
        <v>218.87164044900001</v>
      </c>
      <c r="K87" s="2603">
        <v>196.51902204699999</v>
      </c>
      <c r="L87" s="2603">
        <v>234.919624218</v>
      </c>
      <c r="M87" s="2603">
        <v>447.64645486400002</v>
      </c>
      <c r="N87" s="2603">
        <v>345.47848497500001</v>
      </c>
      <c r="O87" s="2603">
        <v>518.76937501899999</v>
      </c>
      <c r="P87" s="2603">
        <v>602.95762999399994</v>
      </c>
      <c r="Q87" s="2603">
        <v>918.418793263</v>
      </c>
      <c r="R87" s="2603">
        <v>837.956702415</v>
      </c>
      <c r="S87" s="2603">
        <v>746.85360876599998</v>
      </c>
      <c r="T87" s="2603">
        <v>762.36548326100001</v>
      </c>
      <c r="U87" s="2603">
        <v>829.12622339699999</v>
      </c>
      <c r="V87" s="2603">
        <v>807.64009465799995</v>
      </c>
      <c r="W87" s="2605">
        <v>848.29308241000001</v>
      </c>
      <c r="X87" s="2605">
        <v>1241.0899999999999</v>
      </c>
      <c r="Y87" s="2195">
        <v>1843.4263773719999</v>
      </c>
      <c r="Z87" s="2195"/>
      <c r="AA87" s="2603"/>
      <c r="AB87" s="3072">
        <v>847.818189824</v>
      </c>
      <c r="AC87" s="2200">
        <v>916.36189780799998</v>
      </c>
      <c r="AD87" s="2195">
        <v>1164.5432420310001</v>
      </c>
      <c r="AE87" s="2195">
        <v>882.93023256100003</v>
      </c>
      <c r="AF87" s="2195">
        <v>934.93128823300003</v>
      </c>
      <c r="AG87" s="3061">
        <v>1089.742264001</v>
      </c>
      <c r="AH87" s="2195">
        <v>1331.7509144630001</v>
      </c>
      <c r="AI87" s="3568">
        <v>1241.0899999999999</v>
      </c>
      <c r="AJ87" s="3560">
        <v>1333.924968064</v>
      </c>
      <c r="AK87" s="1972">
        <v>1316.0151335390001</v>
      </c>
      <c r="AL87" s="1972">
        <v>1288.3253258520001</v>
      </c>
      <c r="AM87" s="1972">
        <v>1765.446702057</v>
      </c>
      <c r="AN87" s="1972">
        <v>1297.3180407100001</v>
      </c>
      <c r="AO87" s="1972"/>
      <c r="AP87" s="3569"/>
      <c r="AS87" s="2305" t="s">
        <v>1435</v>
      </c>
      <c r="AT87" s="2305">
        <v>596.563173742</v>
      </c>
      <c r="AU87" s="2305">
        <v>968.62693837799998</v>
      </c>
      <c r="AV87" s="2305">
        <v>876.55899583999997</v>
      </c>
      <c r="AW87" s="2305">
        <v>841.81888125199998</v>
      </c>
      <c r="AX87" s="2305">
        <v>744.05774919299995</v>
      </c>
      <c r="AY87" s="2305">
        <v>771.55090855399999</v>
      </c>
      <c r="AZ87" s="2305">
        <v>747.75617952699997</v>
      </c>
      <c r="BA87" s="2305">
        <v>495.73016031600002</v>
      </c>
      <c r="BB87" s="2305">
        <v>760.83494240699997</v>
      </c>
      <c r="BC87" s="2305">
        <v>769.82684694299996</v>
      </c>
      <c r="BD87" s="2305">
        <v>793.407834611</v>
      </c>
      <c r="BE87" s="2305">
        <v>779.77726278900002</v>
      </c>
      <c r="BF87" s="2305">
        <v>888.72031781199996</v>
      </c>
      <c r="BG87" s="2305">
        <v>808.92118834099995</v>
      </c>
      <c r="BH87" s="2305">
        <v>884.55562171899999</v>
      </c>
      <c r="BI87" s="2305">
        <v>834.21018025800004</v>
      </c>
      <c r="BJ87" s="2305">
        <v>992.31201053500001</v>
      </c>
      <c r="BK87" s="2305">
        <v>958.08107523399997</v>
      </c>
      <c r="BL87" s="2305">
        <v>1024.6899350149999</v>
      </c>
      <c r="BM87" s="2305">
        <v>904.60203774700005</v>
      </c>
      <c r="BN87" s="2305">
        <v>847.818189824</v>
      </c>
      <c r="BO87" s="2305">
        <v>916.36189780799998</v>
      </c>
      <c r="BP87" s="2305">
        <v>1164.5432420310001</v>
      </c>
    </row>
    <row r="88" spans="1:70" ht="15">
      <c r="A88" s="2602" t="s">
        <v>566</v>
      </c>
      <c r="B88" s="2603">
        <v>0</v>
      </c>
      <c r="C88" s="2603">
        <v>0</v>
      </c>
      <c r="D88" s="2603">
        <v>0</v>
      </c>
      <c r="E88" s="2603">
        <v>0</v>
      </c>
      <c r="F88" s="2603">
        <v>0</v>
      </c>
      <c r="G88" s="2603">
        <v>10.432220698</v>
      </c>
      <c r="H88" s="2603">
        <v>0</v>
      </c>
      <c r="I88" s="2603">
        <v>11.21365681</v>
      </c>
      <c r="J88" s="2603">
        <v>0</v>
      </c>
      <c r="K88" s="2603">
        <v>0</v>
      </c>
      <c r="L88" s="2603">
        <v>0</v>
      </c>
      <c r="M88" s="2603">
        <v>0</v>
      </c>
      <c r="N88" s="2603">
        <v>0</v>
      </c>
      <c r="O88" s="2603">
        <v>0</v>
      </c>
      <c r="P88" s="2603">
        <v>0</v>
      </c>
      <c r="Q88" s="2603">
        <v>0</v>
      </c>
      <c r="R88" s="2603">
        <v>0</v>
      </c>
      <c r="S88" s="2603">
        <v>0</v>
      </c>
      <c r="T88" s="2603">
        <v>0</v>
      </c>
      <c r="U88" s="2603">
        <v>0</v>
      </c>
      <c r="V88" s="2603">
        <v>0</v>
      </c>
      <c r="W88" s="2605">
        <v>0</v>
      </c>
      <c r="X88" s="2606">
        <v>0</v>
      </c>
      <c r="Y88" s="2195">
        <v>0</v>
      </c>
      <c r="Z88" s="2195"/>
      <c r="AA88" s="2603"/>
      <c r="AB88" s="3072">
        <v>0</v>
      </c>
      <c r="AC88" s="2200">
        <v>0</v>
      </c>
      <c r="AD88" s="2195">
        <v>0</v>
      </c>
      <c r="AE88" s="2195">
        <v>0</v>
      </c>
      <c r="AF88" s="2195">
        <v>0</v>
      </c>
      <c r="AG88" s="3061">
        <v>0</v>
      </c>
      <c r="AH88" s="2195">
        <v>0</v>
      </c>
      <c r="AI88" s="3565">
        <v>0</v>
      </c>
      <c r="AJ88" s="3560">
        <v>0</v>
      </c>
      <c r="AK88" s="1972">
        <v>0</v>
      </c>
      <c r="AL88" s="1972">
        <v>0</v>
      </c>
      <c r="AM88" s="1972">
        <v>0</v>
      </c>
      <c r="AN88" s="1972">
        <v>0</v>
      </c>
      <c r="AO88" s="1972"/>
      <c r="AP88" s="3569"/>
      <c r="AS88" s="2305" t="s">
        <v>1436</v>
      </c>
      <c r="AT88" s="2305">
        <v>0</v>
      </c>
      <c r="AU88" s="2305">
        <v>0</v>
      </c>
      <c r="AV88" s="2305">
        <v>0</v>
      </c>
      <c r="AW88" s="2305">
        <v>0</v>
      </c>
      <c r="AX88" s="2305">
        <v>0</v>
      </c>
      <c r="AY88" s="2305">
        <v>0</v>
      </c>
      <c r="AZ88" s="2305">
        <v>0</v>
      </c>
      <c r="BA88" s="2305">
        <v>0</v>
      </c>
      <c r="BB88" s="2305">
        <v>0</v>
      </c>
      <c r="BC88" s="2305">
        <v>0</v>
      </c>
      <c r="BD88" s="2305">
        <v>0</v>
      </c>
      <c r="BE88" s="2305">
        <v>0</v>
      </c>
      <c r="BF88" s="2305">
        <v>0</v>
      </c>
      <c r="BG88" s="2305">
        <v>0</v>
      </c>
      <c r="BH88" s="2305">
        <v>0</v>
      </c>
      <c r="BI88" s="2305">
        <v>0</v>
      </c>
      <c r="BJ88" s="2305">
        <v>0</v>
      </c>
      <c r="BK88" s="2305">
        <v>0</v>
      </c>
      <c r="BL88" s="2305">
        <v>0</v>
      </c>
      <c r="BM88" s="2305">
        <v>0</v>
      </c>
      <c r="BN88" s="2305">
        <v>0</v>
      </c>
      <c r="BO88" s="2305">
        <v>0</v>
      </c>
      <c r="BP88" s="2305">
        <v>0</v>
      </c>
    </row>
    <row r="89" spans="1:70" ht="15">
      <c r="A89" s="2602" t="s">
        <v>567</v>
      </c>
      <c r="B89" s="2603">
        <v>0</v>
      </c>
      <c r="C89" s="2603">
        <v>0</v>
      </c>
      <c r="D89" s="2603">
        <v>0</v>
      </c>
      <c r="E89" s="2603">
        <v>0</v>
      </c>
      <c r="F89" s="2603">
        <v>0</v>
      </c>
      <c r="G89" s="2603">
        <v>86.757990599999999</v>
      </c>
      <c r="H89" s="2603">
        <v>7.3646800880000001</v>
      </c>
      <c r="I89" s="2603">
        <v>0</v>
      </c>
      <c r="J89" s="2603">
        <v>30.226884835</v>
      </c>
      <c r="K89" s="2603">
        <v>16.886638003000002</v>
      </c>
      <c r="L89" s="2603">
        <v>6.4759578080000004</v>
      </c>
      <c r="M89" s="2603">
        <v>28.377082232999999</v>
      </c>
      <c r="N89" s="2603">
        <v>15.756096425999999</v>
      </c>
      <c r="O89" s="2603">
        <v>12.916413403</v>
      </c>
      <c r="P89" s="2603">
        <v>18.960567464</v>
      </c>
      <c r="Q89" s="2603">
        <v>20.380725174999998</v>
      </c>
      <c r="R89" s="2603">
        <v>46.561518663000001</v>
      </c>
      <c r="S89" s="2603">
        <v>39.251428042000001</v>
      </c>
      <c r="T89" s="2603">
        <v>64.245054183999997</v>
      </c>
      <c r="U89" s="2603">
        <v>89.224688467999997</v>
      </c>
      <c r="V89" s="2603">
        <v>78.663541041000002</v>
      </c>
      <c r="W89" s="2605">
        <v>78.456375539999996</v>
      </c>
      <c r="X89" s="2606">
        <v>92.74</v>
      </c>
      <c r="Y89" s="2195">
        <v>85.650109236000006</v>
      </c>
      <c r="Z89" s="2195"/>
      <c r="AA89" s="2603"/>
      <c r="AB89" s="3072">
        <v>63.181791091000001</v>
      </c>
      <c r="AC89" s="2200">
        <v>83.376234795000002</v>
      </c>
      <c r="AD89" s="2195">
        <v>92.239834803999997</v>
      </c>
      <c r="AE89" s="2195">
        <v>78.456375539999996</v>
      </c>
      <c r="AF89" s="2195">
        <v>71.558000530000001</v>
      </c>
      <c r="AG89" s="3061">
        <v>80.065381118999994</v>
      </c>
      <c r="AH89" s="2195">
        <v>73.935649015999999</v>
      </c>
      <c r="AI89" s="3565">
        <v>92.74</v>
      </c>
      <c r="AJ89" s="3560">
        <v>101.89078270900001</v>
      </c>
      <c r="AK89" s="1972">
        <v>146.27987789299999</v>
      </c>
      <c r="AL89" s="1972">
        <v>97.274560617000006</v>
      </c>
      <c r="AM89" s="1972">
        <v>85.650109236000006</v>
      </c>
      <c r="AN89" s="1972">
        <v>72.097049139999996</v>
      </c>
      <c r="AO89" s="1972"/>
      <c r="AP89" s="3569"/>
      <c r="AS89" s="2305" t="s">
        <v>1437</v>
      </c>
      <c r="AT89" s="2305">
        <v>20.401408499999999</v>
      </c>
      <c r="AU89" s="2305">
        <v>22.992601562000001</v>
      </c>
      <c r="AV89" s="2305">
        <v>22.103359701999999</v>
      </c>
      <c r="AW89" s="2305">
        <v>46.755636205000002</v>
      </c>
      <c r="AX89" s="2305">
        <v>45.476832702000003</v>
      </c>
      <c r="AY89" s="2305">
        <v>47.905634870999997</v>
      </c>
      <c r="AZ89" s="2305">
        <v>47.915602389</v>
      </c>
      <c r="BA89" s="2305">
        <v>66.948430127999998</v>
      </c>
      <c r="BB89" s="2305">
        <v>43.629999740000002</v>
      </c>
      <c r="BC89" s="2305">
        <v>82.801015777000003</v>
      </c>
      <c r="BD89" s="2305">
        <v>81.086323539000006</v>
      </c>
      <c r="BE89" s="2305">
        <v>64.245054183999997</v>
      </c>
      <c r="BF89" s="2305">
        <v>58.541616669</v>
      </c>
      <c r="BG89" s="2305">
        <v>80.303148269000005</v>
      </c>
      <c r="BH89" s="2305">
        <v>87.001952153000005</v>
      </c>
      <c r="BI89" s="2305">
        <v>89.224688467999997</v>
      </c>
      <c r="BJ89" s="2305">
        <v>81.104262586999994</v>
      </c>
      <c r="BK89" s="2305">
        <v>78.305548918</v>
      </c>
      <c r="BL89" s="2305">
        <v>72.719206995999997</v>
      </c>
      <c r="BM89" s="2305">
        <v>78.663541041000002</v>
      </c>
      <c r="BN89" s="2305">
        <v>63.181791091000001</v>
      </c>
      <c r="BO89" s="2305">
        <v>83.376234795000002</v>
      </c>
      <c r="BP89" s="2305">
        <v>92.239834803999997</v>
      </c>
    </row>
    <row r="90" spans="1:70" ht="15">
      <c r="A90" s="2602" t="s">
        <v>568</v>
      </c>
      <c r="B90" s="2603">
        <v>0</v>
      </c>
      <c r="C90" s="2603">
        <v>0</v>
      </c>
      <c r="D90" s="2603">
        <v>0</v>
      </c>
      <c r="E90" s="2603">
        <v>0</v>
      </c>
      <c r="F90" s="2603">
        <v>0</v>
      </c>
      <c r="G90" s="2603">
        <v>0</v>
      </c>
      <c r="H90" s="2603">
        <v>0</v>
      </c>
      <c r="I90" s="2603">
        <v>0</v>
      </c>
      <c r="J90" s="2603">
        <v>0</v>
      </c>
      <c r="K90" s="2603">
        <v>0</v>
      </c>
      <c r="L90" s="2603">
        <v>0</v>
      </c>
      <c r="M90" s="2603">
        <v>0</v>
      </c>
      <c r="N90" s="2603">
        <v>961.65162879499997</v>
      </c>
      <c r="O90" s="2603">
        <v>1491.9479716420001</v>
      </c>
      <c r="P90" s="2603">
        <v>1242.029648962</v>
      </c>
      <c r="Q90" s="2603">
        <v>1293.6309176279999</v>
      </c>
      <c r="R90" s="2603">
        <v>1610.921248698</v>
      </c>
      <c r="S90" s="2603">
        <v>1827.3195259470001</v>
      </c>
      <c r="T90" s="2603">
        <v>1962.8785745299999</v>
      </c>
      <c r="U90" s="2603">
        <v>2530.369295558</v>
      </c>
      <c r="V90" s="2603">
        <v>3200.4013618549998</v>
      </c>
      <c r="W90" s="2605">
        <v>3620.2054600420001</v>
      </c>
      <c r="X90" s="2605">
        <v>4224.6499999999996</v>
      </c>
      <c r="Y90" s="2195">
        <v>4230.7082516009996</v>
      </c>
      <c r="Z90" s="2195"/>
      <c r="AA90" s="2603"/>
      <c r="AB90" s="3072">
        <v>2484.3136179809999</v>
      </c>
      <c r="AC90" s="2200">
        <v>2674.2695418359999</v>
      </c>
      <c r="AD90" s="2195">
        <v>3359.6449573109999</v>
      </c>
      <c r="AE90" s="2195">
        <v>3620.2054600420001</v>
      </c>
      <c r="AF90" s="2195">
        <v>2436.6856101600001</v>
      </c>
      <c r="AG90" s="3061">
        <v>2819.0292493070001</v>
      </c>
      <c r="AH90" s="2195">
        <v>3609.185372381</v>
      </c>
      <c r="AI90" s="3568">
        <v>4224.6499999999996</v>
      </c>
      <c r="AJ90" s="3560">
        <v>2690.3546690319999</v>
      </c>
      <c r="AK90" s="1972">
        <v>2905.3639295490002</v>
      </c>
      <c r="AL90" s="1972">
        <v>3772.4730401940001</v>
      </c>
      <c r="AM90" s="1972">
        <v>4233.698718701</v>
      </c>
      <c r="AN90" s="1972">
        <v>1095.442672376</v>
      </c>
      <c r="AO90" s="1972"/>
      <c r="AP90" s="3569"/>
      <c r="AS90" s="2305" t="s">
        <v>1438</v>
      </c>
      <c r="AT90" s="2305">
        <v>1275.503032848</v>
      </c>
      <c r="AU90" s="2305">
        <v>1329.5074384269999</v>
      </c>
      <c r="AV90" s="2305">
        <v>1457.586563762</v>
      </c>
      <c r="AW90" s="2305">
        <v>1610.921248698</v>
      </c>
      <c r="AX90" s="2305">
        <v>1528.2056054469999</v>
      </c>
      <c r="AY90" s="2305">
        <v>1651.086267511</v>
      </c>
      <c r="AZ90" s="2305">
        <v>1870.003255199</v>
      </c>
      <c r="BA90" s="2305">
        <v>2091.0811797669999</v>
      </c>
      <c r="BB90" s="2305">
        <v>1709.068403453</v>
      </c>
      <c r="BC90" s="2305">
        <v>1614.4629475409999</v>
      </c>
      <c r="BD90" s="2305">
        <v>1928.1605632789999</v>
      </c>
      <c r="BE90" s="2305">
        <v>1962.0515745299999</v>
      </c>
      <c r="BF90" s="2305">
        <v>1660.7014414180001</v>
      </c>
      <c r="BG90" s="2305">
        <v>1864.5186018909999</v>
      </c>
      <c r="BH90" s="2305">
        <v>2236.1781150870002</v>
      </c>
      <c r="BI90" s="2305">
        <v>2584.3391794700001</v>
      </c>
      <c r="BJ90" s="2305">
        <v>2046.286279076</v>
      </c>
      <c r="BK90" s="2305">
        <v>2189.1830930470001</v>
      </c>
      <c r="BL90" s="2305">
        <v>3037.9487914880001</v>
      </c>
      <c r="BM90" s="2305">
        <v>3200.4013618549998</v>
      </c>
      <c r="BN90" s="2305">
        <v>2484.3136179809999</v>
      </c>
      <c r="BO90" s="2305">
        <v>2674.2695418359999</v>
      </c>
      <c r="BP90" s="2305">
        <v>3359.6449573109999</v>
      </c>
    </row>
    <row r="91" spans="1:70" ht="15">
      <c r="A91" s="2602" t="s">
        <v>569</v>
      </c>
      <c r="B91" s="2603">
        <v>101.488</v>
      </c>
      <c r="C91" s="2603">
        <v>148.37899999999999</v>
      </c>
      <c r="D91" s="2603">
        <v>174.45400000000001</v>
      </c>
      <c r="E91" s="2603">
        <v>151.82861534400001</v>
      </c>
      <c r="F91" s="2603">
        <v>67.426954367999997</v>
      </c>
      <c r="G91" s="2603">
        <v>43.592479849</v>
      </c>
      <c r="H91" s="2603">
        <v>155.99067994699999</v>
      </c>
      <c r="I91" s="2603">
        <v>74.642419333999996</v>
      </c>
      <c r="J91" s="2603">
        <v>511.30745385400002</v>
      </c>
      <c r="K91" s="2603">
        <v>1015.568274533</v>
      </c>
      <c r="L91" s="2603">
        <v>696.22773255000004</v>
      </c>
      <c r="M91" s="2603">
        <v>884.87695558500002</v>
      </c>
      <c r="N91" s="2603">
        <v>347.70444765500002</v>
      </c>
      <c r="O91" s="2603">
        <v>302.282737618</v>
      </c>
      <c r="P91" s="2603">
        <v>523.62541075299998</v>
      </c>
      <c r="Q91" s="2603">
        <v>439.49021282299998</v>
      </c>
      <c r="R91" s="2603">
        <v>341.06319382800001</v>
      </c>
      <c r="S91" s="2603">
        <v>387.440116553</v>
      </c>
      <c r="T91" s="2603">
        <v>744.81689223399997</v>
      </c>
      <c r="U91" s="2603">
        <v>555.46732169400002</v>
      </c>
      <c r="V91" s="2603">
        <v>568.80738628300003</v>
      </c>
      <c r="W91" s="2605">
        <v>1015.1016059569999</v>
      </c>
      <c r="X91" s="2606">
        <v>874.02</v>
      </c>
      <c r="Y91" s="2195">
        <v>1014.673786632</v>
      </c>
      <c r="Z91" s="2195"/>
      <c r="AA91" s="2603"/>
      <c r="AB91" s="3072">
        <v>634.283296673</v>
      </c>
      <c r="AC91" s="2200">
        <v>618.18271394500005</v>
      </c>
      <c r="AD91" s="2195">
        <v>681.22012379199998</v>
      </c>
      <c r="AE91" s="2195">
        <v>1007.219232845</v>
      </c>
      <c r="AF91" s="2195">
        <v>741.15178040700005</v>
      </c>
      <c r="AG91" s="3061">
        <v>836.47769892899998</v>
      </c>
      <c r="AH91" s="2195">
        <v>867.64421381299996</v>
      </c>
      <c r="AI91" s="3565">
        <v>874.02</v>
      </c>
      <c r="AJ91" s="3560">
        <v>1251.531665774</v>
      </c>
      <c r="AK91" s="1972">
        <v>791.61895309099998</v>
      </c>
      <c r="AL91" s="1972">
        <v>886.28725635499995</v>
      </c>
      <c r="AM91" s="1972">
        <v>1014.754880632</v>
      </c>
      <c r="AN91" s="1972">
        <v>586.50903378500004</v>
      </c>
      <c r="AO91" s="1972"/>
      <c r="AP91" s="3569"/>
      <c r="AS91" s="2305" t="s">
        <v>1439</v>
      </c>
      <c r="AT91" s="2305">
        <v>289.02026328699998</v>
      </c>
      <c r="AU91" s="2305">
        <v>273.07363180700003</v>
      </c>
      <c r="AV91" s="2305">
        <v>372.25200075999999</v>
      </c>
      <c r="AW91" s="2305">
        <v>336.61538940899999</v>
      </c>
      <c r="AX91" s="2305">
        <v>341.030136562</v>
      </c>
      <c r="AY91" s="2305">
        <v>406.17342309999998</v>
      </c>
      <c r="AZ91" s="2305">
        <v>516.19539853000003</v>
      </c>
      <c r="BA91" s="2305">
        <v>262.16260729999999</v>
      </c>
      <c r="BB91" s="2305">
        <v>373.93217213700001</v>
      </c>
      <c r="BC91" s="2305">
        <v>489.24706877699998</v>
      </c>
      <c r="BD91" s="2305">
        <v>402.81921704600001</v>
      </c>
      <c r="BE91" s="2305">
        <v>726.34517479199997</v>
      </c>
      <c r="BF91" s="2305">
        <v>382.43036001799999</v>
      </c>
      <c r="BG91" s="2305">
        <v>407.99967071499998</v>
      </c>
      <c r="BH91" s="2305">
        <v>640.71151476499995</v>
      </c>
      <c r="BI91" s="2305">
        <v>556.70116014799999</v>
      </c>
      <c r="BJ91" s="2305">
        <v>400.86771158200003</v>
      </c>
      <c r="BK91" s="2305">
        <v>694.41833855899995</v>
      </c>
      <c r="BL91" s="2305">
        <v>524.03147520699997</v>
      </c>
      <c r="BM91" s="2305">
        <v>581.31570289800004</v>
      </c>
      <c r="BN91" s="2305">
        <v>634.283296673</v>
      </c>
      <c r="BO91" s="2305">
        <v>618.18271394500005</v>
      </c>
      <c r="BP91" s="2305">
        <v>681.22012379199998</v>
      </c>
    </row>
    <row r="92" spans="1:70" ht="15">
      <c r="A92" s="2602" t="s">
        <v>570</v>
      </c>
      <c r="B92" s="2603">
        <v>159.97999999999999</v>
      </c>
      <c r="C92" s="2603">
        <v>355.411</v>
      </c>
      <c r="D92" s="2603">
        <v>552.89700000000005</v>
      </c>
      <c r="E92" s="2603">
        <v>836.08837944499999</v>
      </c>
      <c r="F92" s="2603">
        <v>658.78364591499997</v>
      </c>
      <c r="G92" s="2603">
        <v>1249.3462298229999</v>
      </c>
      <c r="H92" s="2603">
        <v>1236.8118192070001</v>
      </c>
      <c r="I92" s="2603">
        <v>2234.1173778719999</v>
      </c>
      <c r="J92" s="2603">
        <v>2675.9250853520002</v>
      </c>
      <c r="K92" s="2603">
        <v>4674.4546868520001</v>
      </c>
      <c r="L92" s="2603">
        <v>2859.6839749810001</v>
      </c>
      <c r="M92" s="2603">
        <v>4166.6345320800001</v>
      </c>
      <c r="N92" s="2603">
        <v>6722.4122172589996</v>
      </c>
      <c r="O92" s="2603">
        <v>8191.3250087019996</v>
      </c>
      <c r="P92" s="2603">
        <v>9206.6662355669996</v>
      </c>
      <c r="Q92" s="2603">
        <v>4116.9887083240001</v>
      </c>
      <c r="R92" s="2603">
        <v>6598.8688493480004</v>
      </c>
      <c r="S92" s="2603">
        <v>7513.6356540079996</v>
      </c>
      <c r="T92" s="2603">
        <v>12062.410192740001</v>
      </c>
      <c r="U92" s="2603">
        <v>17799.441187777</v>
      </c>
      <c r="V92" s="2603">
        <v>10904.344845014</v>
      </c>
      <c r="W92" s="2605">
        <v>13837.894474107001</v>
      </c>
      <c r="X92" s="2605">
        <v>14446.24</v>
      </c>
      <c r="Y92" s="2195">
        <v>19169.697497955</v>
      </c>
      <c r="Z92" s="2195"/>
      <c r="AA92" s="2603"/>
      <c r="AB92" s="3072">
        <v>12043.373564412999</v>
      </c>
      <c r="AC92" s="2413">
        <v>19307.278156994002</v>
      </c>
      <c r="AD92" s="3063">
        <v>18937.892531469999</v>
      </c>
      <c r="AE92" s="2195">
        <v>13837.894474107001</v>
      </c>
      <c r="AF92" s="2195">
        <v>15984.086694338001</v>
      </c>
      <c r="AG92" s="3061">
        <v>16024.050830233</v>
      </c>
      <c r="AH92" s="2195">
        <v>14167.809581083</v>
      </c>
      <c r="AI92" s="3568">
        <v>14446.24</v>
      </c>
      <c r="AJ92" s="3560">
        <v>18320.209599285001</v>
      </c>
      <c r="AK92" s="1972">
        <v>20297.311111106999</v>
      </c>
      <c r="AL92" s="1972">
        <v>16906.417104677999</v>
      </c>
      <c r="AM92" s="1972">
        <v>19169.697497955</v>
      </c>
      <c r="AN92" s="1972">
        <v>14491.358043012</v>
      </c>
      <c r="AO92" s="1972"/>
      <c r="AP92" s="3569"/>
      <c r="AS92" s="2305" t="s">
        <v>1440</v>
      </c>
      <c r="AT92" s="2305">
        <v>4993.5579641149998</v>
      </c>
      <c r="AU92" s="2305">
        <v>5971.9440408290002</v>
      </c>
      <c r="AV92" s="2305">
        <v>6716.8371315639997</v>
      </c>
      <c r="AW92" s="2305">
        <v>6603.3195893479997</v>
      </c>
      <c r="AX92" s="2305">
        <v>6585.1187176330004</v>
      </c>
      <c r="AY92" s="2305">
        <v>7273.258811787</v>
      </c>
      <c r="AZ92" s="2305">
        <v>8217.0171652270001</v>
      </c>
      <c r="BA92" s="2305">
        <v>7515.9586540079999</v>
      </c>
      <c r="BB92" s="2305">
        <v>9110.7503954919994</v>
      </c>
      <c r="BC92" s="2305">
        <v>9571.8904147600006</v>
      </c>
      <c r="BD92" s="2305">
        <v>10256.051493688001</v>
      </c>
      <c r="BE92" s="2305">
        <v>12062.410192740001</v>
      </c>
      <c r="BF92" s="2305">
        <v>14804.786460957001</v>
      </c>
      <c r="BG92" s="2305">
        <v>15361.627338628999</v>
      </c>
      <c r="BH92" s="2305">
        <v>15943.319237854001</v>
      </c>
      <c r="BI92" s="2305">
        <v>17799.441187777</v>
      </c>
      <c r="BJ92" s="2305">
        <v>20476.429866972001</v>
      </c>
      <c r="BK92" s="2305">
        <v>19720.10385965</v>
      </c>
      <c r="BL92" s="2305">
        <v>16248.169308008</v>
      </c>
      <c r="BM92" s="2305">
        <v>10904.344845014</v>
      </c>
      <c r="BN92" s="2305">
        <v>12043.373564412999</v>
      </c>
      <c r="BO92" s="2305">
        <v>19307.278156994002</v>
      </c>
      <c r="BP92" s="2305">
        <v>18937.892531469999</v>
      </c>
    </row>
    <row r="93" spans="1:70" ht="15">
      <c r="A93" s="2602" t="s">
        <v>571</v>
      </c>
      <c r="B93" s="2603">
        <v>0</v>
      </c>
      <c r="C93" s="2603">
        <v>0</v>
      </c>
      <c r="D93" s="2603">
        <v>0</v>
      </c>
      <c r="E93" s="2603">
        <v>0</v>
      </c>
      <c r="F93" s="2603">
        <v>0</v>
      </c>
      <c r="G93" s="2603">
        <v>22.833740512999999</v>
      </c>
      <c r="H93" s="2603">
        <v>17.733690719999998</v>
      </c>
      <c r="I93" s="2603">
        <v>22.224921742999999</v>
      </c>
      <c r="J93" s="2603">
        <v>32.544452120000003</v>
      </c>
      <c r="K93" s="2603">
        <v>24.125222347000001</v>
      </c>
      <c r="L93" s="2603">
        <v>24.077425261999998</v>
      </c>
      <c r="M93" s="2603">
        <v>52.496233058999998</v>
      </c>
      <c r="N93" s="2603">
        <v>24.651664341</v>
      </c>
      <c r="O93" s="2603">
        <v>16.952179257000001</v>
      </c>
      <c r="P93" s="2603">
        <v>7.7338359680000002</v>
      </c>
      <c r="Q93" s="2603">
        <v>6.0514240470000003</v>
      </c>
      <c r="R93" s="2603">
        <v>31.354115545999999</v>
      </c>
      <c r="S93" s="2603">
        <v>174.56681225200001</v>
      </c>
      <c r="T93" s="2603">
        <v>211.59679517500001</v>
      </c>
      <c r="U93" s="2603">
        <v>112.41388056</v>
      </c>
      <c r="V93" s="2603">
        <v>251.13299578300001</v>
      </c>
      <c r="W93" s="2605">
        <v>417.40143443699998</v>
      </c>
      <c r="X93" s="2606">
        <v>496.6</v>
      </c>
      <c r="Y93" s="2195">
        <v>578.29838406900001</v>
      </c>
      <c r="Z93" s="2195"/>
      <c r="AA93" s="2603"/>
      <c r="AB93" s="3072">
        <v>335.93415852300001</v>
      </c>
      <c r="AC93" s="2200">
        <v>327.78313479799999</v>
      </c>
      <c r="AD93" s="2195">
        <v>287.58064575100002</v>
      </c>
      <c r="AE93" s="2195">
        <v>379.61887987</v>
      </c>
      <c r="AF93" s="2195">
        <v>283.89852478099999</v>
      </c>
      <c r="AG93" s="3061">
        <v>171.95375268999999</v>
      </c>
      <c r="AH93" s="2195">
        <v>68.122659088000006</v>
      </c>
      <c r="AI93" s="3570">
        <v>496.6</v>
      </c>
      <c r="AJ93" s="3560">
        <v>469.54116937800001</v>
      </c>
      <c r="AK93" s="1972">
        <v>445.89672801799998</v>
      </c>
      <c r="AL93" s="1972">
        <v>447.28143520100002</v>
      </c>
      <c r="AM93" s="1972">
        <v>599.49838406900005</v>
      </c>
      <c r="AN93" s="1972">
        <v>568.42916923799999</v>
      </c>
      <c r="AO93" s="1972"/>
      <c r="AP93" s="3569"/>
      <c r="AS93" s="2305" t="s">
        <v>1441</v>
      </c>
      <c r="AT93" s="2305">
        <v>5.3901218230000003</v>
      </c>
      <c r="AU93" s="2305">
        <v>5.1457301170000003</v>
      </c>
      <c r="AV93" s="2305">
        <v>5.0407256780000003</v>
      </c>
      <c r="AW93" s="2305">
        <v>31.354115545999999</v>
      </c>
      <c r="AX93" s="2305">
        <v>23.424670774999999</v>
      </c>
      <c r="AY93" s="2305">
        <v>16.036128457</v>
      </c>
      <c r="AZ93" s="2305">
        <v>16.370867879999999</v>
      </c>
      <c r="BA93" s="2305">
        <v>168.142079534</v>
      </c>
      <c r="BB93" s="2305">
        <v>150.972477717</v>
      </c>
      <c r="BC93" s="2305">
        <v>100.52609731299999</v>
      </c>
      <c r="BD93" s="2305">
        <v>121.52879672100001</v>
      </c>
      <c r="BE93" s="2305">
        <v>206.40771517499999</v>
      </c>
      <c r="BF93" s="2305">
        <v>201.240542132</v>
      </c>
      <c r="BG93" s="2305">
        <v>174.87063800300001</v>
      </c>
      <c r="BH93" s="2305">
        <v>215.00485390700001</v>
      </c>
      <c r="BI93" s="2305">
        <v>112.41388056</v>
      </c>
      <c r="BJ93" s="2305">
        <v>147.569337746</v>
      </c>
      <c r="BK93" s="2305">
        <v>114.340944901</v>
      </c>
      <c r="BL93" s="2305">
        <v>106.405766046</v>
      </c>
      <c r="BM93" s="2305">
        <v>252.582995783</v>
      </c>
      <c r="BN93" s="2305">
        <v>335.93415852300001</v>
      </c>
      <c r="BO93" s="2305">
        <v>327.78313479799999</v>
      </c>
      <c r="BP93" s="2305">
        <v>287.58064575100002</v>
      </c>
    </row>
    <row r="94" spans="1:70" ht="15">
      <c r="A94" s="2602" t="s">
        <v>572</v>
      </c>
      <c r="B94" s="2603">
        <v>0</v>
      </c>
      <c r="C94" s="2603">
        <v>0</v>
      </c>
      <c r="D94" s="2603">
        <v>0</v>
      </c>
      <c r="E94" s="2603">
        <v>0</v>
      </c>
      <c r="F94" s="2603">
        <v>0</v>
      </c>
      <c r="G94" s="2603">
        <v>0</v>
      </c>
      <c r="H94" s="2603">
        <v>0</v>
      </c>
      <c r="I94" s="2603">
        <v>0</v>
      </c>
      <c r="J94" s="2603">
        <v>155.37537113100001</v>
      </c>
      <c r="K94" s="2603">
        <v>194.12283194599999</v>
      </c>
      <c r="L94" s="2603">
        <v>234.71944051700001</v>
      </c>
      <c r="M94" s="2603">
        <v>211.131680402</v>
      </c>
      <c r="N94" s="2603">
        <v>209.21627352799999</v>
      </c>
      <c r="O94" s="2603">
        <v>309.12032071599998</v>
      </c>
      <c r="P94" s="2603">
        <v>318.90000181200003</v>
      </c>
      <c r="Q94" s="2603">
        <v>314.11557692299999</v>
      </c>
      <c r="R94" s="2603">
        <v>453.13285125700003</v>
      </c>
      <c r="S94" s="2603">
        <v>539.41700920999995</v>
      </c>
      <c r="T94" s="2603">
        <v>652.398099667</v>
      </c>
      <c r="U94" s="2603">
        <v>824.70849283200005</v>
      </c>
      <c r="V94" s="2603">
        <v>1062.5210219000001</v>
      </c>
      <c r="W94" s="2605">
        <v>1462.63613106</v>
      </c>
      <c r="X94" s="2605">
        <v>1835.04</v>
      </c>
      <c r="Y94" s="2195">
        <v>2161.348997002</v>
      </c>
      <c r="Z94" s="2195"/>
      <c r="AA94" s="2603"/>
      <c r="AB94" s="3072">
        <v>841.37790587899997</v>
      </c>
      <c r="AC94" s="2200">
        <v>789.351485895</v>
      </c>
      <c r="AD94" s="2195">
        <v>781.16611553600001</v>
      </c>
      <c r="AE94" s="2195">
        <v>1461.339534705</v>
      </c>
      <c r="AF94" s="2195">
        <v>1092.670762794</v>
      </c>
      <c r="AG94" s="3061">
        <v>1078.6560722090001</v>
      </c>
      <c r="AH94" s="2195">
        <v>1067.832843209</v>
      </c>
      <c r="AI94" s="3568">
        <v>1835.04</v>
      </c>
      <c r="AJ94" s="3560">
        <v>1651.0138521829999</v>
      </c>
      <c r="AK94" s="1972">
        <v>1506.7181653099999</v>
      </c>
      <c r="AL94" s="1972">
        <v>1466.277560451</v>
      </c>
      <c r="AM94" s="1972">
        <v>2160.0768719849998</v>
      </c>
      <c r="AN94" s="1972">
        <v>1576.1819890469999</v>
      </c>
      <c r="AO94" s="1972"/>
      <c r="AP94" s="3569"/>
      <c r="AS94" s="2305" t="s">
        <v>1442</v>
      </c>
      <c r="AT94" s="2305">
        <v>223.07634283300001</v>
      </c>
      <c r="AU94" s="2305">
        <v>174.16197590600001</v>
      </c>
      <c r="AV94" s="2305">
        <v>169.35575184300001</v>
      </c>
      <c r="AW94" s="2305">
        <v>452.17391702200001</v>
      </c>
      <c r="AX94" s="2305">
        <v>237.35711633400001</v>
      </c>
      <c r="AY94" s="2305">
        <v>194.565220334</v>
      </c>
      <c r="AZ94" s="2305">
        <v>191.13287269899999</v>
      </c>
      <c r="BA94" s="2305">
        <v>547.16958300399995</v>
      </c>
      <c r="BB94" s="2305">
        <v>288.905859163</v>
      </c>
      <c r="BC94" s="2305">
        <v>276.81250894800002</v>
      </c>
      <c r="BD94" s="2305">
        <v>270.40668869699999</v>
      </c>
      <c r="BE94" s="2305">
        <v>620.374857303</v>
      </c>
      <c r="BF94" s="2305">
        <v>398.60652666700003</v>
      </c>
      <c r="BG94" s="2305">
        <v>344.42561986700002</v>
      </c>
      <c r="BH94" s="2305">
        <v>328.11966986700003</v>
      </c>
      <c r="BI94" s="2305">
        <v>822.13572310400002</v>
      </c>
      <c r="BJ94" s="2305">
        <v>554.96594249999998</v>
      </c>
      <c r="BK94" s="2305">
        <v>505.38717381599997</v>
      </c>
      <c r="BL94" s="2305">
        <v>495.70024481600001</v>
      </c>
      <c r="BM94" s="2305">
        <v>1056.1422670720001</v>
      </c>
      <c r="BN94" s="2305">
        <v>841.37790587899997</v>
      </c>
      <c r="BO94" s="2305">
        <v>789.351485895</v>
      </c>
      <c r="BP94" s="2305">
        <v>781.16611553600001</v>
      </c>
    </row>
    <row r="95" spans="1:70" ht="15">
      <c r="A95" s="2602" t="s">
        <v>573</v>
      </c>
      <c r="B95" s="2603">
        <v>0</v>
      </c>
      <c r="C95" s="2603">
        <v>0</v>
      </c>
      <c r="D95" s="2603">
        <v>0</v>
      </c>
      <c r="E95" s="2603">
        <v>0</v>
      </c>
      <c r="F95" s="2603">
        <v>0</v>
      </c>
      <c r="G95" s="2603">
        <v>0</v>
      </c>
      <c r="H95" s="2603">
        <v>0</v>
      </c>
      <c r="I95" s="2603">
        <v>0</v>
      </c>
      <c r="J95" s="2603">
        <v>0</v>
      </c>
      <c r="K95" s="2603">
        <v>0</v>
      </c>
      <c r="L95" s="2603">
        <v>0</v>
      </c>
      <c r="M95" s="2603">
        <v>0</v>
      </c>
      <c r="N95" s="2603">
        <v>0</v>
      </c>
      <c r="O95" s="2603">
        <v>0</v>
      </c>
      <c r="P95" s="2603">
        <v>0</v>
      </c>
      <c r="Q95" s="2603">
        <v>0</v>
      </c>
      <c r="R95" s="2603">
        <v>0</v>
      </c>
      <c r="S95" s="2603">
        <v>0</v>
      </c>
      <c r="T95" s="2603">
        <v>0</v>
      </c>
      <c r="U95" s="2603">
        <v>0</v>
      </c>
      <c r="V95" s="2603">
        <v>0</v>
      </c>
      <c r="W95" s="2605">
        <v>0</v>
      </c>
      <c r="X95" s="2606">
        <v>0</v>
      </c>
      <c r="Y95" s="2195">
        <v>0</v>
      </c>
      <c r="Z95" s="2195"/>
      <c r="AA95" s="2603"/>
      <c r="AB95" s="3072">
        <v>0</v>
      </c>
      <c r="AC95" s="2200">
        <v>0</v>
      </c>
      <c r="AD95" s="2195">
        <v>0</v>
      </c>
      <c r="AE95" s="2195">
        <v>0</v>
      </c>
      <c r="AF95" s="2195">
        <v>0</v>
      </c>
      <c r="AG95" s="3061">
        <v>0</v>
      </c>
      <c r="AH95" s="2195">
        <v>0</v>
      </c>
      <c r="AI95" s="3565">
        <v>0</v>
      </c>
      <c r="AJ95" s="3560">
        <v>0</v>
      </c>
      <c r="AK95" s="1972">
        <v>0</v>
      </c>
      <c r="AL95" s="1972">
        <v>0</v>
      </c>
      <c r="AM95" s="1972">
        <v>0</v>
      </c>
      <c r="AN95" s="1972">
        <v>0</v>
      </c>
      <c r="AO95" s="1972"/>
      <c r="AP95" s="3569"/>
      <c r="AS95" s="2305" t="s">
        <v>1443</v>
      </c>
      <c r="AT95" s="2305">
        <v>0</v>
      </c>
      <c r="AU95" s="2305">
        <v>0</v>
      </c>
      <c r="AV95" s="2305">
        <v>0</v>
      </c>
      <c r="AW95" s="2305">
        <v>0</v>
      </c>
      <c r="AX95" s="2305">
        <v>0</v>
      </c>
      <c r="AY95" s="2305">
        <v>0</v>
      </c>
      <c r="AZ95" s="2305">
        <v>0</v>
      </c>
      <c r="BA95" s="2305">
        <v>0</v>
      </c>
      <c r="BB95" s="2305">
        <v>0</v>
      </c>
      <c r="BC95" s="2305">
        <v>0</v>
      </c>
      <c r="BD95" s="2305">
        <v>0</v>
      </c>
      <c r="BE95" s="2305">
        <v>0</v>
      </c>
      <c r="BF95" s="2305">
        <v>0</v>
      </c>
      <c r="BG95" s="2305">
        <v>0</v>
      </c>
      <c r="BH95" s="2305">
        <v>0</v>
      </c>
      <c r="BI95" s="2305">
        <v>0</v>
      </c>
      <c r="BJ95" s="2305">
        <v>0</v>
      </c>
      <c r="BK95" s="2305">
        <v>0</v>
      </c>
      <c r="BL95" s="2305">
        <v>0</v>
      </c>
      <c r="BM95" s="2305">
        <v>0</v>
      </c>
      <c r="BN95" s="2305">
        <v>0</v>
      </c>
      <c r="BO95" s="2305">
        <v>0</v>
      </c>
      <c r="BP95" s="2305">
        <v>0</v>
      </c>
    </row>
    <row r="96" spans="1:70" ht="15">
      <c r="A96" s="2602" t="s">
        <v>523</v>
      </c>
      <c r="B96" s="2603">
        <v>0</v>
      </c>
      <c r="C96" s="2603">
        <v>0</v>
      </c>
      <c r="D96" s="2603">
        <v>0</v>
      </c>
      <c r="E96" s="2603">
        <v>0</v>
      </c>
      <c r="F96" s="2603">
        <v>0</v>
      </c>
      <c r="G96" s="2603">
        <v>0</v>
      </c>
      <c r="H96" s="2603">
        <v>0</v>
      </c>
      <c r="I96" s="2603">
        <v>0</v>
      </c>
      <c r="J96" s="2603">
        <v>0</v>
      </c>
      <c r="K96" s="2603">
        <v>0</v>
      </c>
      <c r="L96" s="2603">
        <v>0</v>
      </c>
      <c r="M96" s="2603">
        <v>0</v>
      </c>
      <c r="N96" s="2603">
        <v>0</v>
      </c>
      <c r="O96" s="2603">
        <v>0</v>
      </c>
      <c r="P96" s="2603">
        <v>0</v>
      </c>
      <c r="Q96" s="2603">
        <v>0</v>
      </c>
      <c r="R96" s="2603">
        <v>0</v>
      </c>
      <c r="S96" s="2603">
        <v>0</v>
      </c>
      <c r="T96" s="2603">
        <v>0</v>
      </c>
      <c r="U96" s="2603">
        <v>0</v>
      </c>
      <c r="V96" s="2603">
        <v>0</v>
      </c>
      <c r="W96" s="2605">
        <v>0</v>
      </c>
      <c r="X96" s="2606">
        <v>0</v>
      </c>
      <c r="Y96" s="2195">
        <v>0</v>
      </c>
      <c r="Z96" s="2195"/>
      <c r="AA96" s="2603"/>
      <c r="AB96" s="3072">
        <v>0</v>
      </c>
      <c r="AC96" s="2200">
        <v>0</v>
      </c>
      <c r="AD96" s="2195">
        <v>0</v>
      </c>
      <c r="AE96" s="2195">
        <v>0</v>
      </c>
      <c r="AF96" s="2195">
        <v>0</v>
      </c>
      <c r="AG96" s="3061">
        <v>0</v>
      </c>
      <c r="AH96" s="2195">
        <v>0</v>
      </c>
      <c r="AI96" s="3565">
        <v>0</v>
      </c>
      <c r="AJ96" s="3560">
        <v>0</v>
      </c>
      <c r="AK96" s="1972">
        <v>0</v>
      </c>
      <c r="AL96" s="1972">
        <v>0</v>
      </c>
      <c r="AM96" s="1972">
        <v>0</v>
      </c>
      <c r="AN96" s="1972">
        <v>0</v>
      </c>
      <c r="AO96" s="1972"/>
      <c r="AP96" s="3569"/>
      <c r="AS96" s="2305" t="s">
        <v>1388</v>
      </c>
      <c r="AT96" s="2305">
        <v>0</v>
      </c>
      <c r="AU96" s="2305">
        <v>0</v>
      </c>
      <c r="AV96" s="2305">
        <v>0</v>
      </c>
      <c r="AW96" s="2305">
        <v>0</v>
      </c>
      <c r="AX96" s="2305">
        <v>0</v>
      </c>
      <c r="AY96" s="2305">
        <v>0</v>
      </c>
      <c r="AZ96" s="2305">
        <v>0</v>
      </c>
      <c r="BA96" s="2305">
        <v>0</v>
      </c>
      <c r="BB96" s="2305">
        <v>0</v>
      </c>
      <c r="BC96" s="2305">
        <v>0</v>
      </c>
      <c r="BD96" s="2305">
        <v>0</v>
      </c>
      <c r="BE96" s="2305">
        <v>0</v>
      </c>
      <c r="BF96" s="2305">
        <v>0</v>
      </c>
      <c r="BG96" s="2305">
        <v>0</v>
      </c>
      <c r="BH96" s="2305">
        <v>0</v>
      </c>
      <c r="BI96" s="2305">
        <v>0</v>
      </c>
      <c r="BJ96" s="2305">
        <v>0</v>
      </c>
      <c r="BK96" s="2305">
        <v>0</v>
      </c>
      <c r="BL96" s="2305">
        <v>0</v>
      </c>
      <c r="BM96" s="2305">
        <v>0</v>
      </c>
      <c r="BN96" s="2305">
        <v>0</v>
      </c>
      <c r="BO96" s="2305">
        <v>0</v>
      </c>
      <c r="BP96" s="2305">
        <v>0</v>
      </c>
    </row>
    <row r="97" spans="1:68" ht="15.75">
      <c r="A97" s="2602" t="s">
        <v>222</v>
      </c>
      <c r="B97" s="2603">
        <v>98.248000000000005</v>
      </c>
      <c r="C97" s="2603">
        <v>90.001000000000005</v>
      </c>
      <c r="D97" s="2603">
        <v>173.59800000000001</v>
      </c>
      <c r="E97" s="2603">
        <v>124.92239036399999</v>
      </c>
      <c r="F97" s="2603">
        <v>126.17394249199999</v>
      </c>
      <c r="G97" s="2603">
        <v>66.545631890999999</v>
      </c>
      <c r="H97" s="2603">
        <v>4.9289338110000003</v>
      </c>
      <c r="I97" s="2603">
        <v>2093.133671646</v>
      </c>
      <c r="J97" s="2603">
        <v>1816.3907723950001</v>
      </c>
      <c r="K97" s="2603">
        <v>241.81038834</v>
      </c>
      <c r="L97" s="2603">
        <v>295.41433098200002</v>
      </c>
      <c r="M97" s="2603">
        <v>247.96018310299999</v>
      </c>
      <c r="N97" s="2603">
        <v>430.56910706600002</v>
      </c>
      <c r="O97" s="2603">
        <v>895.74846730499996</v>
      </c>
      <c r="P97" s="2603">
        <v>955.53085979499997</v>
      </c>
      <c r="Q97" s="2603">
        <v>660.955923353</v>
      </c>
      <c r="R97" s="2603">
        <v>530.94639393600005</v>
      </c>
      <c r="S97" s="2603">
        <v>492.61796024900002</v>
      </c>
      <c r="T97" s="2603">
        <v>763.94532464600002</v>
      </c>
      <c r="U97" s="2603">
        <v>2518.8496305809999</v>
      </c>
      <c r="V97" s="2603">
        <v>1773.117351116</v>
      </c>
      <c r="W97" s="2604">
        <v>698.14276043899997</v>
      </c>
      <c r="X97" s="2605">
        <v>1436.27</v>
      </c>
      <c r="Y97" s="2225">
        <v>2785.3703871110001</v>
      </c>
      <c r="Z97" s="2215"/>
      <c r="AA97" s="2603"/>
      <c r="AB97" s="3072">
        <v>636.47744572500005</v>
      </c>
      <c r="AC97" s="2227">
        <v>642.12679372299999</v>
      </c>
      <c r="AD97" s="2225">
        <v>656.60537912500001</v>
      </c>
      <c r="AE97" s="2215">
        <v>709.64067521200002</v>
      </c>
      <c r="AF97" s="2215">
        <v>1264.4210714880001</v>
      </c>
      <c r="AG97" s="3060">
        <v>1196.5111555880001</v>
      </c>
      <c r="AH97" s="2215">
        <v>1247.7660014180001</v>
      </c>
      <c r="AI97" s="3566">
        <v>1436.27</v>
      </c>
      <c r="AJ97" s="3559">
        <v>2183.9010023440001</v>
      </c>
      <c r="AK97" s="3079">
        <v>4041.9351143389999</v>
      </c>
      <c r="AL97" s="3079">
        <v>3621.8210240520002</v>
      </c>
      <c r="AM97" s="3079">
        <v>2869.0221658559999</v>
      </c>
      <c r="AN97" s="3079">
        <v>2767.906224333</v>
      </c>
      <c r="AO97" s="3079"/>
      <c r="AP97" s="3567"/>
      <c r="AQ97" s="1068"/>
      <c r="AR97" s="1068"/>
      <c r="AS97" s="2304" t="s">
        <v>1444</v>
      </c>
      <c r="AT97" s="2304">
        <v>587.12568187900001</v>
      </c>
      <c r="AU97" s="2304">
        <v>498.90852839600001</v>
      </c>
      <c r="AV97" s="2304">
        <v>555.97869057299999</v>
      </c>
      <c r="AW97" s="2304">
        <v>530.94639393600005</v>
      </c>
      <c r="AX97" s="2304">
        <v>506.38184368399999</v>
      </c>
      <c r="AY97" s="2304">
        <v>454.227047873</v>
      </c>
      <c r="AZ97" s="2304">
        <v>621.25651574699998</v>
      </c>
      <c r="BA97" s="2304">
        <v>492.61796024900002</v>
      </c>
      <c r="BB97" s="2304">
        <v>947.82479590399998</v>
      </c>
      <c r="BC97" s="2304">
        <v>1017.288035899</v>
      </c>
      <c r="BD97" s="2304">
        <v>1024.243783717</v>
      </c>
      <c r="BE97" s="2304">
        <v>764.55904765699995</v>
      </c>
      <c r="BF97" s="2304">
        <v>1775.945290314</v>
      </c>
      <c r="BG97" s="2304">
        <v>1933.3145097429999</v>
      </c>
      <c r="BH97" s="2304">
        <v>2029.562969654</v>
      </c>
      <c r="BI97" s="2304">
        <v>2464.8797476690002</v>
      </c>
      <c r="BJ97" s="2304">
        <v>2504.2720829559998</v>
      </c>
      <c r="BK97" s="2304">
        <v>2467.8157126840001</v>
      </c>
      <c r="BL97" s="2304">
        <v>2373.4723625910001</v>
      </c>
      <c r="BM97" s="2304">
        <v>1778.1967526210001</v>
      </c>
      <c r="BN97" s="2304">
        <v>636.47744572500005</v>
      </c>
      <c r="BO97" s="2304">
        <v>642.12679372299999</v>
      </c>
      <c r="BP97" s="2304">
        <v>656.60537912500001</v>
      </c>
    </row>
    <row r="98" spans="1:68" ht="15">
      <c r="A98" s="2602" t="s">
        <v>574</v>
      </c>
      <c r="B98" s="2603">
        <v>0</v>
      </c>
      <c r="C98" s="2603">
        <v>0</v>
      </c>
      <c r="D98" s="2603">
        <v>0</v>
      </c>
      <c r="E98" s="2603">
        <v>0</v>
      </c>
      <c r="F98" s="2603">
        <v>0</v>
      </c>
      <c r="G98" s="2603">
        <v>0</v>
      </c>
      <c r="H98" s="2603">
        <v>0</v>
      </c>
      <c r="I98" s="2603">
        <v>0</v>
      </c>
      <c r="J98" s="2603">
        <v>0</v>
      </c>
      <c r="K98" s="2603">
        <v>0</v>
      </c>
      <c r="L98" s="2603">
        <v>0</v>
      </c>
      <c r="M98" s="2603">
        <v>0</v>
      </c>
      <c r="N98" s="2603">
        <v>0</v>
      </c>
      <c r="O98" s="2603">
        <v>0</v>
      </c>
      <c r="P98" s="2603">
        <v>0</v>
      </c>
      <c r="Q98" s="2603">
        <v>0</v>
      </c>
      <c r="R98" s="2603">
        <v>0</v>
      </c>
      <c r="S98" s="2603">
        <v>0</v>
      </c>
      <c r="T98" s="2603">
        <v>0</v>
      </c>
      <c r="U98" s="2603">
        <v>0</v>
      </c>
      <c r="V98" s="2603">
        <v>0</v>
      </c>
      <c r="W98" s="2605">
        <v>0</v>
      </c>
      <c r="X98" s="2606">
        <v>0</v>
      </c>
      <c r="Y98" s="2195">
        <v>0</v>
      </c>
      <c r="Z98" s="2195"/>
      <c r="AA98" s="2603"/>
      <c r="AB98" s="3072">
        <v>0</v>
      </c>
      <c r="AC98" s="2200">
        <v>0</v>
      </c>
      <c r="AD98" s="2195">
        <v>0</v>
      </c>
      <c r="AE98" s="2195">
        <v>0</v>
      </c>
      <c r="AF98" s="2195">
        <v>0</v>
      </c>
      <c r="AG98" s="3061">
        <v>0</v>
      </c>
      <c r="AH98" s="2195">
        <v>0</v>
      </c>
      <c r="AI98" s="3565">
        <v>0</v>
      </c>
      <c r="AJ98" s="3560">
        <v>0</v>
      </c>
      <c r="AK98" s="1972">
        <v>0</v>
      </c>
      <c r="AL98" s="1972">
        <v>0</v>
      </c>
      <c r="AM98" s="1972">
        <v>0</v>
      </c>
      <c r="AN98" s="1972">
        <v>0</v>
      </c>
      <c r="AO98" s="1972"/>
      <c r="AP98" s="3569"/>
      <c r="AS98" s="2305" t="s">
        <v>1445</v>
      </c>
      <c r="AT98" s="2305">
        <v>0</v>
      </c>
      <c r="AU98" s="2305">
        <v>0</v>
      </c>
      <c r="AV98" s="2305">
        <v>0</v>
      </c>
      <c r="AW98" s="2305">
        <v>0</v>
      </c>
      <c r="AX98" s="2305">
        <v>0</v>
      </c>
      <c r="AY98" s="2305">
        <v>0</v>
      </c>
      <c r="AZ98" s="2305">
        <v>0</v>
      </c>
      <c r="BA98" s="2305">
        <v>0</v>
      </c>
      <c r="BB98" s="2305">
        <v>0</v>
      </c>
      <c r="BC98" s="2305">
        <v>0</v>
      </c>
      <c r="BD98" s="2305">
        <v>0</v>
      </c>
      <c r="BE98" s="2305">
        <v>0</v>
      </c>
      <c r="BF98" s="2305">
        <v>0</v>
      </c>
      <c r="BG98" s="2305">
        <v>0</v>
      </c>
      <c r="BH98" s="2305">
        <v>0</v>
      </c>
      <c r="BI98" s="2305">
        <v>0</v>
      </c>
      <c r="BJ98" s="2305">
        <v>0</v>
      </c>
      <c r="BK98" s="2305">
        <v>0</v>
      </c>
      <c r="BL98" s="2305">
        <v>0</v>
      </c>
      <c r="BM98" s="2305">
        <v>0</v>
      </c>
      <c r="BN98" s="2305">
        <v>0</v>
      </c>
      <c r="BO98" s="2305">
        <v>0</v>
      </c>
      <c r="BP98" s="2305">
        <v>0</v>
      </c>
    </row>
    <row r="99" spans="1:68" ht="15">
      <c r="A99" s="2602" t="s">
        <v>575</v>
      </c>
      <c r="B99" s="2603">
        <v>0</v>
      </c>
      <c r="C99" s="2603">
        <v>0</v>
      </c>
      <c r="D99" s="2603">
        <v>0</v>
      </c>
      <c r="E99" s="2603">
        <v>0</v>
      </c>
      <c r="F99" s="2603">
        <v>0</v>
      </c>
      <c r="G99" s="2603">
        <v>0</v>
      </c>
      <c r="H99" s="2603">
        <v>0</v>
      </c>
      <c r="I99" s="2603">
        <v>0</v>
      </c>
      <c r="J99" s="2603">
        <v>0</v>
      </c>
      <c r="K99" s="2603">
        <v>0</v>
      </c>
      <c r="L99" s="2603">
        <v>0</v>
      </c>
      <c r="M99" s="2603">
        <v>0</v>
      </c>
      <c r="N99" s="2603">
        <v>54.437517679999999</v>
      </c>
      <c r="O99" s="2603">
        <v>54.207388090999999</v>
      </c>
      <c r="P99" s="2603">
        <v>54.229591822000003</v>
      </c>
      <c r="Q99" s="2603">
        <v>40</v>
      </c>
      <c r="R99" s="2603">
        <v>0</v>
      </c>
      <c r="S99" s="2603">
        <v>0</v>
      </c>
      <c r="T99" s="2603">
        <v>0</v>
      </c>
      <c r="U99" s="2603">
        <v>0</v>
      </c>
      <c r="V99" s="2603">
        <v>0</v>
      </c>
      <c r="W99" s="2605">
        <v>0</v>
      </c>
      <c r="X99" s="2606">
        <v>0</v>
      </c>
      <c r="Y99" s="2195">
        <v>0</v>
      </c>
      <c r="Z99" s="2195"/>
      <c r="AA99" s="2603"/>
      <c r="AB99" s="3072">
        <v>0</v>
      </c>
      <c r="AC99" s="2200">
        <v>0</v>
      </c>
      <c r="AD99" s="2195">
        <v>0</v>
      </c>
      <c r="AE99" s="2195">
        <v>0</v>
      </c>
      <c r="AF99" s="2195">
        <v>0</v>
      </c>
      <c r="AG99" s="3061">
        <v>0</v>
      </c>
      <c r="AH99" s="2195">
        <v>0</v>
      </c>
      <c r="AI99" s="3565">
        <v>0</v>
      </c>
      <c r="AJ99" s="3560">
        <v>0</v>
      </c>
      <c r="AK99" s="1972">
        <v>0</v>
      </c>
      <c r="AL99" s="1972">
        <v>0</v>
      </c>
      <c r="AM99" s="1972">
        <v>0</v>
      </c>
      <c r="AN99" s="1972">
        <v>0</v>
      </c>
      <c r="AO99" s="1972"/>
      <c r="AP99" s="3569"/>
      <c r="AS99" s="2305" t="s">
        <v>1446</v>
      </c>
      <c r="AT99" s="2305">
        <v>40</v>
      </c>
      <c r="AU99" s="2305">
        <v>0</v>
      </c>
      <c r="AV99" s="2305">
        <v>0</v>
      </c>
      <c r="AW99" s="2305">
        <v>0</v>
      </c>
      <c r="AX99" s="2305">
        <v>0</v>
      </c>
      <c r="AY99" s="2305">
        <v>0</v>
      </c>
      <c r="AZ99" s="2305">
        <v>0</v>
      </c>
      <c r="BA99" s="2305">
        <v>0</v>
      </c>
      <c r="BB99" s="2305">
        <v>0</v>
      </c>
      <c r="BC99" s="2305">
        <v>0</v>
      </c>
      <c r="BD99" s="2305">
        <v>0</v>
      </c>
      <c r="BE99" s="2305">
        <v>0</v>
      </c>
      <c r="BF99" s="2305">
        <v>0</v>
      </c>
      <c r="BG99" s="2305">
        <v>0</v>
      </c>
      <c r="BH99" s="2305">
        <v>0</v>
      </c>
      <c r="BI99" s="2305">
        <v>0</v>
      </c>
      <c r="BJ99" s="2305">
        <v>0</v>
      </c>
      <c r="BK99" s="2305">
        <v>0</v>
      </c>
      <c r="BL99" s="2305">
        <v>0</v>
      </c>
      <c r="BM99" s="2305">
        <v>0</v>
      </c>
      <c r="BN99" s="2305">
        <v>0</v>
      </c>
      <c r="BO99" s="2305">
        <v>0</v>
      </c>
      <c r="BP99" s="2305">
        <v>0</v>
      </c>
    </row>
    <row r="100" spans="1:68" ht="15">
      <c r="A100" s="2602" t="s">
        <v>576</v>
      </c>
      <c r="B100" s="2603">
        <v>0</v>
      </c>
      <c r="C100" s="2603">
        <v>0</v>
      </c>
      <c r="D100" s="2603">
        <v>0</v>
      </c>
      <c r="E100" s="2603">
        <v>0</v>
      </c>
      <c r="F100" s="2603">
        <v>0</v>
      </c>
      <c r="G100" s="2603">
        <v>0</v>
      </c>
      <c r="H100" s="2603">
        <v>0</v>
      </c>
      <c r="I100" s="2603">
        <v>0</v>
      </c>
      <c r="J100" s="2603">
        <v>0</v>
      </c>
      <c r="K100" s="2603">
        <v>0</v>
      </c>
      <c r="L100" s="2603">
        <v>0</v>
      </c>
      <c r="M100" s="2603">
        <v>0</v>
      </c>
      <c r="N100" s="2603">
        <v>0</v>
      </c>
      <c r="O100" s="2603">
        <v>0</v>
      </c>
      <c r="P100" s="2603">
        <v>0</v>
      </c>
      <c r="Q100" s="2603">
        <v>0</v>
      </c>
      <c r="R100" s="2603">
        <v>0</v>
      </c>
      <c r="S100" s="2603">
        <v>0</v>
      </c>
      <c r="T100" s="2603">
        <v>0</v>
      </c>
      <c r="U100" s="2603">
        <v>0</v>
      </c>
      <c r="V100" s="2603">
        <v>0</v>
      </c>
      <c r="W100" s="2605">
        <v>0</v>
      </c>
      <c r="X100" s="2606">
        <v>0</v>
      </c>
      <c r="Y100" s="2195">
        <v>0</v>
      </c>
      <c r="Z100" s="2195"/>
      <c r="AA100" s="2603"/>
      <c r="AB100" s="3072">
        <v>0</v>
      </c>
      <c r="AC100" s="2200">
        <v>0</v>
      </c>
      <c r="AD100" s="2195">
        <v>0</v>
      </c>
      <c r="AE100" s="2195">
        <v>0</v>
      </c>
      <c r="AF100" s="2195">
        <v>0</v>
      </c>
      <c r="AG100" s="3061">
        <v>0</v>
      </c>
      <c r="AH100" s="2195">
        <v>0</v>
      </c>
      <c r="AI100" s="3565">
        <v>0</v>
      </c>
      <c r="AJ100" s="3560">
        <v>0</v>
      </c>
      <c r="AK100" s="1972">
        <v>0</v>
      </c>
      <c r="AL100" s="1972">
        <v>0</v>
      </c>
      <c r="AM100" s="1972">
        <v>0</v>
      </c>
      <c r="AN100" s="1972">
        <v>0</v>
      </c>
      <c r="AO100" s="1972"/>
      <c r="AP100" s="3569"/>
      <c r="AS100" s="2305" t="s">
        <v>1447</v>
      </c>
      <c r="AT100" s="2305">
        <v>0</v>
      </c>
      <c r="AU100" s="2305">
        <v>0</v>
      </c>
      <c r="AV100" s="2305">
        <v>0</v>
      </c>
      <c r="AW100" s="2305">
        <v>0</v>
      </c>
      <c r="AX100" s="2305">
        <v>0</v>
      </c>
      <c r="AY100" s="2305">
        <v>0</v>
      </c>
      <c r="AZ100" s="2305">
        <v>0</v>
      </c>
      <c r="BA100" s="2305">
        <v>0</v>
      </c>
      <c r="BB100" s="2305">
        <v>0</v>
      </c>
      <c r="BC100" s="2305">
        <v>0</v>
      </c>
      <c r="BD100" s="2305">
        <v>0</v>
      </c>
      <c r="BE100" s="2305">
        <v>0</v>
      </c>
      <c r="BF100" s="2305">
        <v>0</v>
      </c>
      <c r="BG100" s="2305">
        <v>0</v>
      </c>
      <c r="BH100" s="2305">
        <v>0</v>
      </c>
      <c r="BI100" s="2305">
        <v>0</v>
      </c>
      <c r="BJ100" s="2305">
        <v>0</v>
      </c>
      <c r="BK100" s="2305">
        <v>0</v>
      </c>
      <c r="BL100" s="2305">
        <v>0</v>
      </c>
      <c r="BM100" s="2305">
        <v>0</v>
      </c>
      <c r="BN100" s="2305">
        <v>0</v>
      </c>
      <c r="BO100" s="2305">
        <v>0</v>
      </c>
      <c r="BP100" s="2305">
        <v>0</v>
      </c>
    </row>
    <row r="101" spans="1:68" ht="15">
      <c r="A101" s="2602" t="s">
        <v>577</v>
      </c>
      <c r="B101" s="2603">
        <v>0</v>
      </c>
      <c r="C101" s="2603">
        <v>0</v>
      </c>
      <c r="D101" s="2603">
        <v>0</v>
      </c>
      <c r="E101" s="2603">
        <v>0</v>
      </c>
      <c r="F101" s="2603">
        <v>0</v>
      </c>
      <c r="G101" s="2603">
        <v>0</v>
      </c>
      <c r="H101" s="2603">
        <v>0</v>
      </c>
      <c r="I101" s="2603">
        <v>0</v>
      </c>
      <c r="J101" s="2603">
        <v>0</v>
      </c>
      <c r="K101" s="2603">
        <v>0</v>
      </c>
      <c r="L101" s="2603">
        <v>0</v>
      </c>
      <c r="M101" s="2603">
        <v>0</v>
      </c>
      <c r="N101" s="2603">
        <v>0</v>
      </c>
      <c r="O101" s="2603">
        <v>0</v>
      </c>
      <c r="P101" s="2603">
        <v>0</v>
      </c>
      <c r="Q101" s="2603">
        <v>0</v>
      </c>
      <c r="R101" s="2603">
        <v>0</v>
      </c>
      <c r="S101" s="2603">
        <v>0</v>
      </c>
      <c r="T101" s="2603">
        <v>0</v>
      </c>
      <c r="U101" s="2603">
        <v>0</v>
      </c>
      <c r="V101" s="2603">
        <v>0</v>
      </c>
      <c r="W101" s="2605">
        <v>0</v>
      </c>
      <c r="X101" s="2606">
        <v>0</v>
      </c>
      <c r="Y101" s="2195">
        <v>0</v>
      </c>
      <c r="Z101" s="2195"/>
      <c r="AA101" s="2603"/>
      <c r="AB101" s="3072">
        <v>0</v>
      </c>
      <c r="AC101" s="2200">
        <v>0</v>
      </c>
      <c r="AD101" s="2195">
        <v>0</v>
      </c>
      <c r="AE101" s="2195">
        <v>0</v>
      </c>
      <c r="AF101" s="2195">
        <v>0</v>
      </c>
      <c r="AG101" s="3061">
        <v>0</v>
      </c>
      <c r="AH101" s="2195">
        <v>0</v>
      </c>
      <c r="AI101" s="3565">
        <v>0</v>
      </c>
      <c r="AJ101" s="3560">
        <v>0</v>
      </c>
      <c r="AK101" s="1972">
        <v>0</v>
      </c>
      <c r="AL101" s="1972">
        <v>0</v>
      </c>
      <c r="AM101" s="1972">
        <v>0</v>
      </c>
      <c r="AN101" s="1972">
        <v>0</v>
      </c>
      <c r="AO101" s="1972"/>
      <c r="AP101" s="3569"/>
      <c r="AS101" s="2305" t="s">
        <v>1448</v>
      </c>
      <c r="AT101" s="2305">
        <v>0</v>
      </c>
      <c r="AU101" s="2305">
        <v>0</v>
      </c>
      <c r="AV101" s="2305">
        <v>0</v>
      </c>
      <c r="AW101" s="2305">
        <v>0</v>
      </c>
      <c r="AX101" s="2305">
        <v>0</v>
      </c>
      <c r="AY101" s="2305">
        <v>0</v>
      </c>
      <c r="AZ101" s="2305">
        <v>0</v>
      </c>
      <c r="BA101" s="2305">
        <v>0</v>
      </c>
      <c r="BB101" s="2305">
        <v>0</v>
      </c>
      <c r="BC101" s="2305">
        <v>0</v>
      </c>
      <c r="BD101" s="2305">
        <v>0</v>
      </c>
      <c r="BE101" s="2305">
        <v>0</v>
      </c>
      <c r="BF101" s="2305">
        <v>0</v>
      </c>
      <c r="BG101" s="2305">
        <v>0</v>
      </c>
      <c r="BH101" s="2305">
        <v>0</v>
      </c>
      <c r="BI101" s="2305">
        <v>0</v>
      </c>
      <c r="BJ101" s="2305">
        <v>0</v>
      </c>
      <c r="BK101" s="2305">
        <v>0</v>
      </c>
      <c r="BL101" s="2305">
        <v>0</v>
      </c>
      <c r="BM101" s="2305">
        <v>0</v>
      </c>
      <c r="BN101" s="2305">
        <v>0</v>
      </c>
      <c r="BO101" s="2305">
        <v>0</v>
      </c>
      <c r="BP101" s="2305">
        <v>0</v>
      </c>
    </row>
    <row r="102" spans="1:68" ht="15">
      <c r="A102" s="2602" t="s">
        <v>578</v>
      </c>
      <c r="B102" s="2603">
        <v>0</v>
      </c>
      <c r="C102" s="2603">
        <v>0</v>
      </c>
      <c r="D102" s="2603">
        <v>0</v>
      </c>
      <c r="E102" s="2603">
        <v>0</v>
      </c>
      <c r="F102" s="2603">
        <v>0</v>
      </c>
      <c r="G102" s="2603">
        <v>0</v>
      </c>
      <c r="H102" s="2603">
        <v>0</v>
      </c>
      <c r="I102" s="2603">
        <v>0</v>
      </c>
      <c r="J102" s="2603">
        <v>0</v>
      </c>
      <c r="K102" s="2603">
        <v>0</v>
      </c>
      <c r="L102" s="2603">
        <v>0</v>
      </c>
      <c r="M102" s="2603">
        <v>0</v>
      </c>
      <c r="N102" s="2603">
        <v>0</v>
      </c>
      <c r="O102" s="2603">
        <v>0</v>
      </c>
      <c r="P102" s="2603">
        <v>0</v>
      </c>
      <c r="Q102" s="2603">
        <v>0</v>
      </c>
      <c r="R102" s="2603">
        <v>0</v>
      </c>
      <c r="S102" s="2603">
        <v>0</v>
      </c>
      <c r="T102" s="2603">
        <v>0</v>
      </c>
      <c r="U102" s="2603">
        <v>0</v>
      </c>
      <c r="V102" s="2603">
        <v>0</v>
      </c>
      <c r="W102" s="2605">
        <v>0</v>
      </c>
      <c r="X102" s="2606">
        <v>0</v>
      </c>
      <c r="Y102" s="2195">
        <v>0</v>
      </c>
      <c r="Z102" s="2195"/>
      <c r="AA102" s="2603"/>
      <c r="AB102" s="3072">
        <v>0</v>
      </c>
      <c r="AC102" s="2200">
        <v>0</v>
      </c>
      <c r="AD102" s="2195">
        <v>0</v>
      </c>
      <c r="AE102" s="2195">
        <v>0</v>
      </c>
      <c r="AF102" s="2195">
        <v>0</v>
      </c>
      <c r="AG102" s="3061">
        <v>0</v>
      </c>
      <c r="AH102" s="2195">
        <v>0</v>
      </c>
      <c r="AI102" s="3565">
        <v>0</v>
      </c>
      <c r="AJ102" s="3560">
        <v>0</v>
      </c>
      <c r="AK102" s="1972">
        <v>0</v>
      </c>
      <c r="AL102" s="1972">
        <v>0</v>
      </c>
      <c r="AM102" s="1972">
        <v>0</v>
      </c>
      <c r="AN102" s="1972">
        <v>0</v>
      </c>
      <c r="AO102" s="1972"/>
      <c r="AP102" s="3569"/>
      <c r="AS102" s="2305" t="s">
        <v>1449</v>
      </c>
      <c r="AT102" s="2305">
        <v>0</v>
      </c>
      <c r="AU102" s="2305">
        <v>0</v>
      </c>
      <c r="AV102" s="2305">
        <v>0</v>
      </c>
      <c r="AW102" s="2305">
        <v>0</v>
      </c>
      <c r="AX102" s="2305">
        <v>0</v>
      </c>
      <c r="AY102" s="2305">
        <v>0</v>
      </c>
      <c r="AZ102" s="2305">
        <v>0</v>
      </c>
      <c r="BA102" s="2305">
        <v>0</v>
      </c>
      <c r="BB102" s="2305">
        <v>0</v>
      </c>
      <c r="BC102" s="2305">
        <v>0</v>
      </c>
      <c r="BD102" s="2305">
        <v>0</v>
      </c>
      <c r="BE102" s="2305">
        <v>0</v>
      </c>
      <c r="BF102" s="2305">
        <v>0</v>
      </c>
      <c r="BG102" s="2305">
        <v>0</v>
      </c>
      <c r="BH102" s="2305">
        <v>0</v>
      </c>
      <c r="BI102" s="2305">
        <v>0</v>
      </c>
      <c r="BJ102" s="2305">
        <v>0</v>
      </c>
      <c r="BK102" s="2305">
        <v>0</v>
      </c>
      <c r="BL102" s="2305">
        <v>0</v>
      </c>
      <c r="BM102" s="2305">
        <v>0</v>
      </c>
      <c r="BN102" s="2305">
        <v>0</v>
      </c>
      <c r="BO102" s="2305">
        <v>0</v>
      </c>
      <c r="BP102" s="2305">
        <v>0</v>
      </c>
    </row>
    <row r="103" spans="1:68" ht="15">
      <c r="A103" s="2602" t="s">
        <v>579</v>
      </c>
      <c r="B103" s="2603">
        <v>0</v>
      </c>
      <c r="C103" s="2603">
        <v>0</v>
      </c>
      <c r="D103" s="2603">
        <v>0</v>
      </c>
      <c r="E103" s="2603">
        <v>0</v>
      </c>
      <c r="F103" s="2603">
        <v>0</v>
      </c>
      <c r="G103" s="2603">
        <v>0</v>
      </c>
      <c r="H103" s="2603">
        <v>0</v>
      </c>
      <c r="I103" s="2603">
        <v>0</v>
      </c>
      <c r="J103" s="2603">
        <v>0</v>
      </c>
      <c r="K103" s="2603">
        <v>7.6296910000000002</v>
      </c>
      <c r="L103" s="2603">
        <v>0</v>
      </c>
      <c r="M103" s="2603">
        <v>0</v>
      </c>
      <c r="N103" s="2603">
        <v>24.528504548000001</v>
      </c>
      <c r="O103" s="2603">
        <v>34.976753365</v>
      </c>
      <c r="P103" s="2603">
        <v>12.305331088999999</v>
      </c>
      <c r="Q103" s="2603">
        <v>47.796539629000002</v>
      </c>
      <c r="R103" s="2603">
        <v>46.805654154999999</v>
      </c>
      <c r="S103" s="2603">
        <v>42.777167222999999</v>
      </c>
      <c r="T103" s="2603">
        <v>41.124555530000002</v>
      </c>
      <c r="U103" s="2603">
        <v>94.843849564999999</v>
      </c>
      <c r="V103" s="2603">
        <v>114.879436367</v>
      </c>
      <c r="W103" s="2605">
        <v>132.92703864699999</v>
      </c>
      <c r="X103" s="2606">
        <v>131.34</v>
      </c>
      <c r="Y103" s="2195">
        <v>127.529003367</v>
      </c>
      <c r="Z103" s="2195"/>
      <c r="AA103" s="2603"/>
      <c r="AB103" s="3072">
        <v>118.22039643700001</v>
      </c>
      <c r="AC103" s="2200">
        <v>132.67733629599999</v>
      </c>
      <c r="AD103" s="2195">
        <v>134.55356606300001</v>
      </c>
      <c r="AE103" s="2195">
        <v>132.92703864699999</v>
      </c>
      <c r="AF103" s="2195">
        <v>125.499512897</v>
      </c>
      <c r="AG103" s="3061">
        <v>129.10650831999999</v>
      </c>
      <c r="AH103" s="2195">
        <v>136.336645256</v>
      </c>
      <c r="AI103" s="3565">
        <v>131.34</v>
      </c>
      <c r="AJ103" s="3560">
        <v>148.59965791100001</v>
      </c>
      <c r="AK103" s="1972">
        <v>154.40060589199999</v>
      </c>
      <c r="AL103" s="1972">
        <v>157.108380388</v>
      </c>
      <c r="AM103" s="1972">
        <v>152.241175129</v>
      </c>
      <c r="AN103" s="1972">
        <v>351.170921991</v>
      </c>
      <c r="AO103" s="1972"/>
      <c r="AP103" s="3569"/>
      <c r="AS103" s="2305" t="s">
        <v>1450</v>
      </c>
      <c r="AT103" s="2305">
        <v>48.843957930999998</v>
      </c>
      <c r="AU103" s="2305">
        <v>83.483091724000005</v>
      </c>
      <c r="AV103" s="2305">
        <v>144.131901873</v>
      </c>
      <c r="AW103" s="2305">
        <v>46.805654154999999</v>
      </c>
      <c r="AX103" s="2305">
        <v>53.259269353000001</v>
      </c>
      <c r="AY103" s="2305">
        <v>63.709935692000002</v>
      </c>
      <c r="AZ103" s="2305">
        <v>72.665278822999994</v>
      </c>
      <c r="BA103" s="2305">
        <v>42.777167222999999</v>
      </c>
      <c r="BB103" s="2305">
        <v>50.585583044000003</v>
      </c>
      <c r="BC103" s="2305">
        <v>71.474299290999994</v>
      </c>
      <c r="BD103" s="2305">
        <v>111.993252732</v>
      </c>
      <c r="BE103" s="2305">
        <v>41.124555530000002</v>
      </c>
      <c r="BF103" s="2305">
        <v>50.316202476999997</v>
      </c>
      <c r="BG103" s="2305">
        <v>71.815028095000002</v>
      </c>
      <c r="BH103" s="2305">
        <v>105.085421741</v>
      </c>
      <c r="BI103" s="2305">
        <v>40.873965652999999</v>
      </c>
      <c r="BJ103" s="2305">
        <v>114.068114607</v>
      </c>
      <c r="BK103" s="2305">
        <v>146.80618415199999</v>
      </c>
      <c r="BL103" s="2305">
        <v>110.10396502</v>
      </c>
      <c r="BM103" s="2305">
        <v>114.879436367</v>
      </c>
      <c r="BN103" s="2305">
        <v>118.22039643700001</v>
      </c>
      <c r="BO103" s="2305">
        <v>132.67733629599999</v>
      </c>
      <c r="BP103" s="2305">
        <v>134.55356606300001</v>
      </c>
    </row>
    <row r="104" spans="1:68" ht="15">
      <c r="A104" s="2602" t="s">
        <v>580</v>
      </c>
      <c r="B104" s="2603">
        <v>3.6859999999999999</v>
      </c>
      <c r="C104" s="2603">
        <v>5.4690000000000003</v>
      </c>
      <c r="D104" s="2603">
        <v>10.93</v>
      </c>
      <c r="E104" s="2603">
        <v>0</v>
      </c>
      <c r="F104" s="2603">
        <v>3.83</v>
      </c>
      <c r="G104" s="2603">
        <v>10.984589993</v>
      </c>
      <c r="H104" s="2603">
        <v>2.8951951810000001</v>
      </c>
      <c r="I104" s="2603">
        <v>16.891790612000001</v>
      </c>
      <c r="J104" s="2603">
        <v>10.294803322</v>
      </c>
      <c r="K104" s="2603">
        <v>196.67466673000001</v>
      </c>
      <c r="L104" s="2603">
        <v>271.77416765999999</v>
      </c>
      <c r="M104" s="2603">
        <v>191.13013649600001</v>
      </c>
      <c r="N104" s="2603">
        <v>198.44913207299999</v>
      </c>
      <c r="O104" s="2603">
        <v>185.41267196499999</v>
      </c>
      <c r="P104" s="2603">
        <v>148.82887577599999</v>
      </c>
      <c r="Q104" s="2603">
        <v>1.525469921</v>
      </c>
      <c r="R104" s="2603">
        <v>108.962237984</v>
      </c>
      <c r="S104" s="2603">
        <v>92.105961472000004</v>
      </c>
      <c r="T104" s="2603">
        <v>38.492884031999999</v>
      </c>
      <c r="U104" s="2603">
        <v>34.908209573999997</v>
      </c>
      <c r="V104" s="2603">
        <v>28.146819107999999</v>
      </c>
      <c r="W104" s="2605">
        <v>41.914135057999999</v>
      </c>
      <c r="X104" s="2606">
        <v>183.79</v>
      </c>
      <c r="Y104" s="2195">
        <v>149.21318682200001</v>
      </c>
      <c r="Z104" s="2195"/>
      <c r="AA104" s="2603"/>
      <c r="AB104" s="3072">
        <v>28.780542089000001</v>
      </c>
      <c r="AC104" s="2200">
        <v>30.884265517999999</v>
      </c>
      <c r="AD104" s="2195">
        <v>31.144281527</v>
      </c>
      <c r="AE104" s="2195">
        <v>41.914135057999999</v>
      </c>
      <c r="AF104" s="2195">
        <v>186.67809052199999</v>
      </c>
      <c r="AG104" s="3061">
        <v>194.225709333</v>
      </c>
      <c r="AH104" s="2195">
        <v>191.578670665</v>
      </c>
      <c r="AI104" s="3565">
        <v>183.79</v>
      </c>
      <c r="AJ104" s="3560">
        <v>174.87339358899999</v>
      </c>
      <c r="AK104" s="1972">
        <v>146.03673131599999</v>
      </c>
      <c r="AL104" s="1972">
        <v>148.62377402300001</v>
      </c>
      <c r="AM104" s="1972">
        <v>149.21318682200001</v>
      </c>
      <c r="AN104" s="1972">
        <v>144.425098064</v>
      </c>
      <c r="AO104" s="1972"/>
      <c r="AP104" s="3569"/>
      <c r="AS104" s="2305" t="s">
        <v>1451</v>
      </c>
      <c r="AT104" s="2305">
        <v>0.40751092</v>
      </c>
      <c r="AU104" s="2305">
        <v>7.4997943960000004</v>
      </c>
      <c r="AV104" s="2305">
        <v>107.08456216</v>
      </c>
      <c r="AW104" s="2305">
        <v>108.962237984</v>
      </c>
      <c r="AX104" s="2305">
        <v>98.468688053999998</v>
      </c>
      <c r="AY104" s="2305">
        <v>104.282436256</v>
      </c>
      <c r="AZ104" s="2305">
        <v>104.80215324300001</v>
      </c>
      <c r="BA104" s="2305">
        <v>92.105961472000004</v>
      </c>
      <c r="BB104" s="2305">
        <v>110.91065525800001</v>
      </c>
      <c r="BC104" s="2305">
        <v>126.474179639</v>
      </c>
      <c r="BD104" s="2305">
        <v>143.52318808499999</v>
      </c>
      <c r="BE104" s="2305">
        <v>38.492884031999999</v>
      </c>
      <c r="BF104" s="2305">
        <v>39.744054003000002</v>
      </c>
      <c r="BG104" s="2305">
        <v>51.433459343000003</v>
      </c>
      <c r="BH104" s="2305">
        <v>50.749460182999997</v>
      </c>
      <c r="BI104" s="2305">
        <v>34.908209573999997</v>
      </c>
      <c r="BJ104" s="2305">
        <v>35.656814613000002</v>
      </c>
      <c r="BK104" s="2305">
        <v>33.871581149999997</v>
      </c>
      <c r="BL104" s="2305">
        <v>29.984100889</v>
      </c>
      <c r="BM104" s="2305">
        <v>27.863907732000001</v>
      </c>
      <c r="BN104" s="2305">
        <v>28.780542089000001</v>
      </c>
      <c r="BO104" s="2305">
        <v>30.884265517999999</v>
      </c>
      <c r="BP104" s="2305">
        <v>31.144281527</v>
      </c>
    </row>
    <row r="105" spans="1:68" ht="15">
      <c r="A105" s="2602" t="s">
        <v>581</v>
      </c>
      <c r="B105" s="2603">
        <v>94.561999999999998</v>
      </c>
      <c r="C105" s="2603">
        <v>84.531999999999996</v>
      </c>
      <c r="D105" s="2603">
        <v>162.66800000000001</v>
      </c>
      <c r="E105" s="2603">
        <v>124.92239036399999</v>
      </c>
      <c r="F105" s="2603">
        <v>122.343942492</v>
      </c>
      <c r="G105" s="2603">
        <v>54.500667513000003</v>
      </c>
      <c r="H105" s="2603">
        <v>0.14677554200000001</v>
      </c>
      <c r="I105" s="2603">
        <v>1892.0992732279999</v>
      </c>
      <c r="J105" s="2603">
        <v>1800.359913819</v>
      </c>
      <c r="K105" s="2603">
        <v>0.27458355400000001</v>
      </c>
      <c r="L105" s="2603">
        <v>21.804643161000001</v>
      </c>
      <c r="M105" s="2603">
        <v>55.406052179</v>
      </c>
      <c r="N105" s="2603">
        <v>142.418459294</v>
      </c>
      <c r="O105" s="2603">
        <v>614.35459325099998</v>
      </c>
      <c r="P105" s="2603">
        <v>732.69761280800003</v>
      </c>
      <c r="Q105" s="2603">
        <v>565.20981763700001</v>
      </c>
      <c r="R105" s="2603">
        <v>366.79332285200002</v>
      </c>
      <c r="S105" s="2603">
        <v>349.76909994200003</v>
      </c>
      <c r="T105" s="2603">
        <v>677.79691341299997</v>
      </c>
      <c r="U105" s="2603">
        <v>2296.308493046</v>
      </c>
      <c r="V105" s="2603">
        <v>1477.8303339900001</v>
      </c>
      <c r="W105" s="2605">
        <v>208.074996962</v>
      </c>
      <c r="X105" s="2606">
        <v>501.12</v>
      </c>
      <c r="Y105" s="2195">
        <v>1903.7899881840001</v>
      </c>
      <c r="Z105" s="2195"/>
      <c r="AA105" s="2603"/>
      <c r="AB105" s="3072">
        <v>312.84537332100001</v>
      </c>
      <c r="AC105" s="2200">
        <v>214.53847865099999</v>
      </c>
      <c r="AD105" s="2195">
        <v>172.07023036300001</v>
      </c>
      <c r="AE105" s="2195">
        <v>208.074996962</v>
      </c>
      <c r="AF105" s="2195">
        <v>525.14898712599995</v>
      </c>
      <c r="AG105" s="3061">
        <v>478.49433112200001</v>
      </c>
      <c r="AH105" s="2195">
        <v>478.25948540500002</v>
      </c>
      <c r="AI105" s="3565">
        <v>501.12</v>
      </c>
      <c r="AJ105" s="3560">
        <v>987.68108019099998</v>
      </c>
      <c r="AK105" s="1972">
        <v>2739.6119098270001</v>
      </c>
      <c r="AL105" s="1972">
        <v>2681.4354222900001</v>
      </c>
      <c r="AM105" s="1972">
        <v>1903.7899881840001</v>
      </c>
      <c r="AN105" s="1972">
        <v>1605.06904852</v>
      </c>
      <c r="AO105" s="1972"/>
      <c r="AP105" s="3569"/>
      <c r="AS105" s="2305" t="s">
        <v>1452</v>
      </c>
      <c r="AT105" s="2305">
        <v>491.98868762900003</v>
      </c>
      <c r="AU105" s="2305">
        <v>404.86329576000003</v>
      </c>
      <c r="AV105" s="2305">
        <v>302.022093735</v>
      </c>
      <c r="AW105" s="2305">
        <v>366.79332285200002</v>
      </c>
      <c r="AX105" s="2305">
        <v>346.87091984699998</v>
      </c>
      <c r="AY105" s="2305">
        <v>278.034243597</v>
      </c>
      <c r="AZ105" s="2305">
        <v>435.53013832200003</v>
      </c>
      <c r="BA105" s="2305">
        <v>349.76909994200003</v>
      </c>
      <c r="BB105" s="2305">
        <v>778.966375255</v>
      </c>
      <c r="BC105" s="2305">
        <v>803.27319063799996</v>
      </c>
      <c r="BD105" s="2305">
        <v>753.06637832399997</v>
      </c>
      <c r="BE105" s="2305">
        <v>677.79691341299997</v>
      </c>
      <c r="BF105" s="2305">
        <v>1674.335919096</v>
      </c>
      <c r="BG105" s="2305">
        <v>1800.034282871</v>
      </c>
      <c r="BH105" s="2305">
        <v>1818.5522512550001</v>
      </c>
      <c r="BI105" s="2305">
        <v>2296.3084940459999</v>
      </c>
      <c r="BJ105" s="2305">
        <v>2228.4864635019999</v>
      </c>
      <c r="BK105" s="2305">
        <v>2142.4337070420002</v>
      </c>
      <c r="BL105" s="2305">
        <v>2082.516102387</v>
      </c>
      <c r="BM105" s="2305">
        <v>1477.8303339900001</v>
      </c>
      <c r="BN105" s="2305">
        <v>312.84537332100001</v>
      </c>
      <c r="BO105" s="2305">
        <v>214.53847865099999</v>
      </c>
      <c r="BP105" s="2305">
        <v>172.07023036300001</v>
      </c>
    </row>
    <row r="106" spans="1:68" ht="15">
      <c r="A106" s="2602" t="s">
        <v>582</v>
      </c>
      <c r="B106" s="2603">
        <v>0</v>
      </c>
      <c r="C106" s="2603">
        <v>0</v>
      </c>
      <c r="D106" s="2603">
        <v>0</v>
      </c>
      <c r="E106" s="2603">
        <v>0</v>
      </c>
      <c r="F106" s="2603">
        <v>0</v>
      </c>
      <c r="G106" s="2603">
        <v>0</v>
      </c>
      <c r="H106" s="2603">
        <v>0</v>
      </c>
      <c r="I106" s="2603">
        <v>0</v>
      </c>
      <c r="J106" s="2603">
        <v>0</v>
      </c>
      <c r="K106" s="2603">
        <v>0</v>
      </c>
      <c r="L106" s="2603">
        <v>0</v>
      </c>
      <c r="M106" s="2603">
        <v>0</v>
      </c>
      <c r="N106" s="2603">
        <v>0</v>
      </c>
      <c r="O106" s="2603">
        <v>0</v>
      </c>
      <c r="P106" s="2603">
        <v>0</v>
      </c>
      <c r="Q106" s="2603">
        <v>0</v>
      </c>
      <c r="R106" s="2603">
        <v>0</v>
      </c>
      <c r="S106" s="2603">
        <v>0</v>
      </c>
      <c r="T106" s="2603">
        <v>0</v>
      </c>
      <c r="U106" s="2603">
        <v>0</v>
      </c>
      <c r="V106" s="2603">
        <v>0</v>
      </c>
      <c r="W106" s="2605">
        <v>0</v>
      </c>
      <c r="X106" s="2606">
        <v>0</v>
      </c>
      <c r="Y106" s="2195">
        <v>0</v>
      </c>
      <c r="Z106" s="2195"/>
      <c r="AA106" s="2603"/>
      <c r="AB106" s="3072">
        <v>0</v>
      </c>
      <c r="AC106" s="2200">
        <v>0</v>
      </c>
      <c r="AD106" s="2195">
        <v>0</v>
      </c>
      <c r="AE106" s="2195">
        <v>0</v>
      </c>
      <c r="AF106" s="2195">
        <v>0</v>
      </c>
      <c r="AG106" s="3061">
        <v>0</v>
      </c>
      <c r="AH106" s="2195">
        <v>0</v>
      </c>
      <c r="AI106" s="3565">
        <v>0</v>
      </c>
      <c r="AJ106" s="3560">
        <v>0</v>
      </c>
      <c r="AK106" s="1972">
        <v>0</v>
      </c>
      <c r="AL106" s="1972">
        <v>0</v>
      </c>
      <c r="AM106" s="1972">
        <v>0</v>
      </c>
      <c r="AN106" s="1972">
        <v>0</v>
      </c>
      <c r="AO106" s="1972"/>
      <c r="AP106" s="3569"/>
      <c r="AS106" s="2305" t="s">
        <v>1453</v>
      </c>
      <c r="AT106" s="2305">
        <v>0</v>
      </c>
      <c r="AU106" s="2305">
        <v>0</v>
      </c>
      <c r="AV106" s="2305">
        <v>0</v>
      </c>
      <c r="AW106" s="2305">
        <v>0</v>
      </c>
      <c r="AX106" s="2305">
        <v>0</v>
      </c>
      <c r="AY106" s="2305">
        <v>0</v>
      </c>
      <c r="AZ106" s="2305">
        <v>0</v>
      </c>
      <c r="BA106" s="2305">
        <v>0</v>
      </c>
      <c r="BB106" s="2305">
        <v>0</v>
      </c>
      <c r="BC106" s="2305">
        <v>0</v>
      </c>
      <c r="BD106" s="2305">
        <v>0</v>
      </c>
      <c r="BE106" s="2305">
        <v>0</v>
      </c>
      <c r="BF106" s="2305">
        <v>0</v>
      </c>
      <c r="BG106" s="2305">
        <v>0</v>
      </c>
      <c r="BH106" s="2305">
        <v>0</v>
      </c>
      <c r="BI106" s="2305">
        <v>0</v>
      </c>
      <c r="BJ106" s="2305">
        <v>0</v>
      </c>
      <c r="BK106" s="2305">
        <v>0</v>
      </c>
      <c r="BL106" s="2305">
        <v>0</v>
      </c>
      <c r="BM106" s="2305">
        <v>0</v>
      </c>
      <c r="BN106" s="2305">
        <v>0</v>
      </c>
      <c r="BO106" s="2305">
        <v>0</v>
      </c>
      <c r="BP106" s="2305">
        <v>0</v>
      </c>
    </row>
    <row r="107" spans="1:68" ht="15">
      <c r="A107" s="2602" t="s">
        <v>583</v>
      </c>
      <c r="B107" s="2603">
        <v>0</v>
      </c>
      <c r="C107" s="2603">
        <v>0</v>
      </c>
      <c r="D107" s="2603">
        <v>0</v>
      </c>
      <c r="E107" s="2603">
        <v>0</v>
      </c>
      <c r="F107" s="2603">
        <v>0</v>
      </c>
      <c r="G107" s="2603">
        <v>0</v>
      </c>
      <c r="H107" s="2603">
        <v>0</v>
      </c>
      <c r="I107" s="2603">
        <v>0</v>
      </c>
      <c r="J107" s="2603">
        <v>0</v>
      </c>
      <c r="K107" s="2603">
        <v>0</v>
      </c>
      <c r="L107" s="2603">
        <v>0</v>
      </c>
      <c r="M107" s="2603">
        <v>0</v>
      </c>
      <c r="N107" s="2603">
        <v>0</v>
      </c>
      <c r="O107" s="2603">
        <v>0</v>
      </c>
      <c r="P107" s="2603">
        <v>0</v>
      </c>
      <c r="Q107" s="2603">
        <v>0</v>
      </c>
      <c r="R107" s="2603">
        <v>0</v>
      </c>
      <c r="S107" s="2603">
        <v>0</v>
      </c>
      <c r="T107" s="2603">
        <v>0</v>
      </c>
      <c r="U107" s="2603">
        <v>0</v>
      </c>
      <c r="V107" s="2603">
        <v>0</v>
      </c>
      <c r="W107" s="2605">
        <v>0</v>
      </c>
      <c r="X107" s="2606">
        <v>0</v>
      </c>
      <c r="Y107" s="2195">
        <v>0</v>
      </c>
      <c r="Z107" s="2195"/>
      <c r="AA107" s="2603"/>
      <c r="AB107" s="3072">
        <v>0</v>
      </c>
      <c r="AC107" s="2200">
        <v>0</v>
      </c>
      <c r="AD107" s="2195">
        <v>0</v>
      </c>
      <c r="AE107" s="2195">
        <v>0</v>
      </c>
      <c r="AF107" s="2195">
        <v>0</v>
      </c>
      <c r="AG107" s="3061">
        <v>0</v>
      </c>
      <c r="AH107" s="2195">
        <v>0</v>
      </c>
      <c r="AI107" s="3565">
        <v>0</v>
      </c>
      <c r="AJ107" s="3560">
        <v>0</v>
      </c>
      <c r="AK107" s="1972">
        <v>0</v>
      </c>
      <c r="AL107" s="1972">
        <v>0</v>
      </c>
      <c r="AM107" s="1972">
        <v>0</v>
      </c>
      <c r="AN107" s="1972">
        <v>0</v>
      </c>
      <c r="AO107" s="1972"/>
      <c r="AP107" s="3569"/>
      <c r="AS107" s="2305" t="s">
        <v>1454</v>
      </c>
      <c r="AT107" s="2305">
        <v>0</v>
      </c>
      <c r="AU107" s="2305">
        <v>0</v>
      </c>
      <c r="AV107" s="2305">
        <v>0</v>
      </c>
      <c r="AW107" s="2305">
        <v>0</v>
      </c>
      <c r="AX107" s="2305">
        <v>0</v>
      </c>
      <c r="AY107" s="2305">
        <v>0</v>
      </c>
      <c r="AZ107" s="2305">
        <v>0</v>
      </c>
      <c r="BA107" s="2305">
        <v>0</v>
      </c>
      <c r="BB107" s="2305">
        <v>0</v>
      </c>
      <c r="BC107" s="2305">
        <v>0</v>
      </c>
      <c r="BD107" s="2305">
        <v>0</v>
      </c>
      <c r="BE107" s="2305">
        <v>0</v>
      </c>
      <c r="BF107" s="2305">
        <v>0</v>
      </c>
      <c r="BG107" s="2305">
        <v>0</v>
      </c>
      <c r="BH107" s="2305">
        <v>0</v>
      </c>
      <c r="BI107" s="2305">
        <v>0</v>
      </c>
      <c r="BJ107" s="2305">
        <v>0</v>
      </c>
      <c r="BK107" s="2305">
        <v>0</v>
      </c>
      <c r="BL107" s="2305">
        <v>0</v>
      </c>
      <c r="BM107" s="2305">
        <v>0</v>
      </c>
      <c r="BN107" s="2305">
        <v>0</v>
      </c>
      <c r="BO107" s="2305">
        <v>0</v>
      </c>
      <c r="BP107" s="2305">
        <v>0</v>
      </c>
    </row>
    <row r="108" spans="1:68" ht="15">
      <c r="A108" s="2602" t="s">
        <v>584</v>
      </c>
      <c r="B108" s="2603">
        <v>0</v>
      </c>
      <c r="C108" s="2603">
        <v>0</v>
      </c>
      <c r="D108" s="2603">
        <v>0</v>
      </c>
      <c r="E108" s="2603">
        <v>0</v>
      </c>
      <c r="F108" s="2603">
        <v>0</v>
      </c>
      <c r="G108" s="2603">
        <v>0</v>
      </c>
      <c r="H108" s="2603">
        <v>0.77256258200000005</v>
      </c>
      <c r="I108" s="2603">
        <v>181.47388796300001</v>
      </c>
      <c r="J108" s="2603">
        <v>0.35926422400000002</v>
      </c>
      <c r="K108" s="2603">
        <v>1.848413023</v>
      </c>
      <c r="L108" s="2603">
        <v>0</v>
      </c>
      <c r="M108" s="2603">
        <v>1.1389334019999999</v>
      </c>
      <c r="N108" s="2603">
        <v>2.9294106110000002</v>
      </c>
      <c r="O108" s="2603">
        <v>0</v>
      </c>
      <c r="P108" s="2603">
        <v>1.66681455</v>
      </c>
      <c r="Q108" s="2603">
        <v>2.8534925850000001</v>
      </c>
      <c r="R108" s="2603">
        <v>0.33532736400000002</v>
      </c>
      <c r="S108" s="2603">
        <v>0</v>
      </c>
      <c r="T108" s="2603">
        <v>0.25837230999999999</v>
      </c>
      <c r="U108" s="2603">
        <v>87.366215294</v>
      </c>
      <c r="V108" s="2603">
        <v>149.305200735</v>
      </c>
      <c r="W108" s="2605">
        <v>245.716712513</v>
      </c>
      <c r="X108" s="2606">
        <v>356.97</v>
      </c>
      <c r="Y108" s="2195">
        <v>198.78770198399999</v>
      </c>
      <c r="Z108" s="2195"/>
      <c r="AA108" s="2603"/>
      <c r="AB108" s="3072">
        <v>174.30669238799999</v>
      </c>
      <c r="AC108" s="2200">
        <v>243.81050755000001</v>
      </c>
      <c r="AD108" s="2195">
        <v>282.49102562000002</v>
      </c>
      <c r="AE108" s="2195">
        <v>257.214627286</v>
      </c>
      <c r="AF108" s="2195">
        <v>330.20568803600003</v>
      </c>
      <c r="AG108" s="3061">
        <v>281.84659121200002</v>
      </c>
      <c r="AH108" s="2195">
        <v>281.71692807300002</v>
      </c>
      <c r="AI108" s="3565">
        <v>356.97</v>
      </c>
      <c r="AJ108" s="3560">
        <v>569.72736900200005</v>
      </c>
      <c r="AK108" s="1972">
        <v>646.53886811400002</v>
      </c>
      <c r="AL108" s="1972">
        <v>251.71189695999999</v>
      </c>
      <c r="AM108" s="1972">
        <v>257.727308967</v>
      </c>
      <c r="AN108" s="1972">
        <v>225.40858230500001</v>
      </c>
      <c r="AO108" s="1972"/>
      <c r="AP108" s="3569"/>
      <c r="AS108" s="2305" t="s">
        <v>1455</v>
      </c>
      <c r="AT108" s="2305">
        <v>2.8641610200000001</v>
      </c>
      <c r="AU108" s="2305">
        <v>0.33248137999999999</v>
      </c>
      <c r="AV108" s="2305">
        <v>0.33715604700000001</v>
      </c>
      <c r="AW108" s="2305">
        <v>0.33532736400000002</v>
      </c>
      <c r="AX108" s="2305">
        <v>0.33624150000000003</v>
      </c>
      <c r="AY108" s="2305">
        <v>0</v>
      </c>
      <c r="AZ108" s="2305">
        <v>0</v>
      </c>
      <c r="BA108" s="2305">
        <v>0</v>
      </c>
      <c r="BB108" s="2305">
        <v>0</v>
      </c>
      <c r="BC108" s="2305">
        <v>8.2385225779999995</v>
      </c>
      <c r="BD108" s="2305">
        <v>8.2279150380000008</v>
      </c>
      <c r="BE108" s="2305">
        <v>0.87209532099999998</v>
      </c>
      <c r="BF108" s="2305">
        <v>5.9400269220000004</v>
      </c>
      <c r="BG108" s="2305">
        <v>4.5573132129999996</v>
      </c>
      <c r="BH108" s="2305">
        <v>50.255735223999999</v>
      </c>
      <c r="BI108" s="2305">
        <v>87.366215294</v>
      </c>
      <c r="BJ108" s="2305">
        <v>120.728665376</v>
      </c>
      <c r="BK108" s="2305">
        <v>139.922402269</v>
      </c>
      <c r="BL108" s="2305">
        <v>148.13223763400001</v>
      </c>
      <c r="BM108" s="2305">
        <v>154.66751361600001</v>
      </c>
      <c r="BN108" s="2305">
        <v>174.30669238799999</v>
      </c>
      <c r="BO108" s="2305">
        <v>243.81050755000001</v>
      </c>
      <c r="BP108" s="2305">
        <v>282.49102562000002</v>
      </c>
    </row>
    <row r="109" spans="1:68" ht="15">
      <c r="A109" s="2602" t="s">
        <v>585</v>
      </c>
      <c r="B109" s="2603">
        <v>0</v>
      </c>
      <c r="C109" s="2603">
        <v>0</v>
      </c>
      <c r="D109" s="2603">
        <v>0</v>
      </c>
      <c r="E109" s="2603">
        <v>0</v>
      </c>
      <c r="F109" s="2603">
        <v>0</v>
      </c>
      <c r="G109" s="2603">
        <v>0.61449446500000005</v>
      </c>
      <c r="H109" s="2603">
        <v>1.114400506</v>
      </c>
      <c r="I109" s="2603">
        <v>0.90916567400000003</v>
      </c>
      <c r="J109" s="2603">
        <v>1.587566129</v>
      </c>
      <c r="K109" s="2603">
        <v>1.4822922160000001</v>
      </c>
      <c r="L109" s="2603">
        <v>0</v>
      </c>
      <c r="M109" s="2603">
        <v>0</v>
      </c>
      <c r="N109" s="2603">
        <v>0</v>
      </c>
      <c r="O109" s="2603">
        <v>0</v>
      </c>
      <c r="P109" s="2603">
        <v>0</v>
      </c>
      <c r="Q109" s="2603">
        <v>0</v>
      </c>
      <c r="R109" s="2603">
        <v>0</v>
      </c>
      <c r="S109" s="2603">
        <v>0</v>
      </c>
      <c r="T109" s="2603">
        <v>0</v>
      </c>
      <c r="U109" s="2603">
        <v>0</v>
      </c>
      <c r="V109" s="2603">
        <v>0</v>
      </c>
      <c r="W109" s="2603">
        <v>0</v>
      </c>
      <c r="X109" s="2606"/>
      <c r="Y109" s="2195"/>
      <c r="Z109" s="2195"/>
      <c r="AA109" s="2603"/>
      <c r="AB109" s="3072">
        <v>0</v>
      </c>
      <c r="AC109" s="2200"/>
      <c r="AD109" s="2195"/>
      <c r="AE109" s="2195"/>
      <c r="AF109" s="2195"/>
      <c r="AG109" s="3061"/>
      <c r="AH109" s="2195"/>
      <c r="AI109" s="3570"/>
      <c r="AJ109" s="3560"/>
      <c r="AK109" s="1972"/>
      <c r="AL109" s="1972"/>
      <c r="AM109" s="1972"/>
      <c r="AN109" s="1972"/>
      <c r="AO109" s="1972"/>
      <c r="AP109" s="3569"/>
      <c r="AS109" s="2305" t="s">
        <v>1456</v>
      </c>
      <c r="AT109" s="2305"/>
      <c r="AU109" s="2305"/>
      <c r="AV109" s="2305"/>
      <c r="AW109" s="2305"/>
      <c r="AX109" s="2305"/>
      <c r="AY109" s="2305"/>
      <c r="AZ109" s="2305"/>
      <c r="BA109" s="2305"/>
      <c r="BB109" s="2305"/>
      <c r="BC109" s="2305"/>
      <c r="BD109" s="2305"/>
      <c r="BE109" s="2305"/>
      <c r="BF109" s="2305"/>
      <c r="BG109" s="2305"/>
      <c r="BH109" s="2305"/>
      <c r="BI109" s="2305"/>
      <c r="BJ109" s="2305"/>
      <c r="BK109" s="2305"/>
      <c r="BL109" s="2305"/>
      <c r="BM109" s="2305"/>
      <c r="BN109" s="2305"/>
      <c r="BO109" s="2305"/>
      <c r="BP109" s="2305"/>
    </row>
    <row r="110" spans="1:68" ht="15">
      <c r="A110" s="2602" t="s">
        <v>586</v>
      </c>
      <c r="B110" s="2603">
        <v>0</v>
      </c>
      <c r="C110" s="2603">
        <v>0</v>
      </c>
      <c r="D110" s="2603">
        <v>0</v>
      </c>
      <c r="E110" s="2603">
        <v>0</v>
      </c>
      <c r="F110" s="2603">
        <v>0</v>
      </c>
      <c r="G110" s="2603">
        <v>0.44587991999999999</v>
      </c>
      <c r="H110" s="2603">
        <v>0</v>
      </c>
      <c r="I110" s="2603">
        <v>1.7595541690000001</v>
      </c>
      <c r="J110" s="2603">
        <v>2.93664557</v>
      </c>
      <c r="K110" s="2603">
        <v>0.557179639</v>
      </c>
      <c r="L110" s="2603">
        <v>5.9711127000000003E-2</v>
      </c>
      <c r="M110" s="2603">
        <v>1.2905E-2</v>
      </c>
      <c r="N110" s="2603">
        <v>7.6139865770000004</v>
      </c>
      <c r="O110" s="2603">
        <v>6.6049643500000004</v>
      </c>
      <c r="P110" s="2603">
        <v>5.6105374670000003</v>
      </c>
      <c r="Q110" s="2603">
        <v>3.3785072980000002</v>
      </c>
      <c r="R110" s="2603">
        <v>7.8577552979999998</v>
      </c>
      <c r="S110" s="2603">
        <v>7.7736353290000002</v>
      </c>
      <c r="T110" s="2603">
        <v>6.0805030779999996</v>
      </c>
      <c r="U110" s="2603">
        <v>5.2307668190000003</v>
      </c>
      <c r="V110" s="2603">
        <v>2.7634646329999999</v>
      </c>
      <c r="W110" s="2605">
        <v>69.317780975999995</v>
      </c>
      <c r="X110" s="2606">
        <v>262.86</v>
      </c>
      <c r="Y110" s="2195">
        <v>405.85841047100001</v>
      </c>
      <c r="Z110" s="2195"/>
      <c r="AA110" s="2603"/>
      <c r="AB110" s="3072">
        <v>2.1323452070000002</v>
      </c>
      <c r="AC110" s="2200">
        <v>20.024109424999999</v>
      </c>
      <c r="AD110" s="2195">
        <v>36.154179268999997</v>
      </c>
      <c r="AE110" s="2195">
        <v>69.317780975999995</v>
      </c>
      <c r="AF110" s="2195">
        <v>96.696696623999998</v>
      </c>
      <c r="AG110" s="3061">
        <v>112.645919318</v>
      </c>
      <c r="AH110" s="2195">
        <v>159.682175736</v>
      </c>
      <c r="AI110" s="3570">
        <v>262.86</v>
      </c>
      <c r="AJ110" s="3560">
        <v>302.82740536799997</v>
      </c>
      <c r="AK110" s="1972">
        <v>355.15490290700001</v>
      </c>
      <c r="AL110" s="1972">
        <v>382.74945410800001</v>
      </c>
      <c r="AM110" s="1972">
        <v>405.85841047100001</v>
      </c>
      <c r="AN110" s="1972">
        <v>441.64047717</v>
      </c>
      <c r="AO110" s="1972"/>
      <c r="AP110" s="3569"/>
      <c r="AS110" s="2305" t="s">
        <v>1457</v>
      </c>
      <c r="AT110" s="2305">
        <v>2.8292680959999998</v>
      </c>
      <c r="AU110" s="2305">
        <v>2.5377688530000002</v>
      </c>
      <c r="AV110" s="2305">
        <v>2.2108804750000002</v>
      </c>
      <c r="AW110" s="2305">
        <v>7.8577552979999998</v>
      </c>
      <c r="AX110" s="2305">
        <v>7.2546286469999997</v>
      </c>
      <c r="AY110" s="2305">
        <v>8.0083360450000001</v>
      </c>
      <c r="AZ110" s="2305">
        <v>8.0668490760000005</v>
      </c>
      <c r="BA110" s="2305">
        <v>7.7736353290000002</v>
      </c>
      <c r="BB110" s="2305">
        <v>7.1700860640000004</v>
      </c>
      <c r="BC110" s="2305">
        <v>7.6357474700000001</v>
      </c>
      <c r="BD110" s="2305">
        <v>7.240953255</v>
      </c>
      <c r="BE110" s="2305">
        <v>6.0805030779999996</v>
      </c>
      <c r="BF110" s="2305">
        <v>5.416991533</v>
      </c>
      <c r="BG110" s="2305">
        <v>5.2823299380000002</v>
      </c>
      <c r="BH110" s="2305">
        <v>4.7280049679999996</v>
      </c>
      <c r="BI110" s="2305">
        <v>5.2307668190000003</v>
      </c>
      <c r="BJ110" s="2305">
        <v>5.1399285749999999</v>
      </c>
      <c r="BK110" s="2305">
        <v>4.5897417880000004</v>
      </c>
      <c r="BL110" s="2305">
        <v>2.5438603780000002</v>
      </c>
      <c r="BM110" s="2305">
        <v>2.7634646329999999</v>
      </c>
      <c r="BN110" s="2305">
        <v>2.1323452070000002</v>
      </c>
      <c r="BO110" s="2305">
        <v>20.024109424999999</v>
      </c>
      <c r="BP110" s="2305">
        <v>36.154179268999997</v>
      </c>
    </row>
    <row r="111" spans="1:68" ht="15">
      <c r="A111" s="2602" t="s">
        <v>587</v>
      </c>
      <c r="B111" s="2603">
        <v>0</v>
      </c>
      <c r="C111" s="2603">
        <v>0</v>
      </c>
      <c r="D111" s="2603">
        <v>0</v>
      </c>
      <c r="E111" s="2603">
        <v>0</v>
      </c>
      <c r="F111" s="2603">
        <v>0</v>
      </c>
      <c r="G111" s="2603">
        <v>0</v>
      </c>
      <c r="H111" s="2603">
        <v>0</v>
      </c>
      <c r="I111" s="2603">
        <v>0</v>
      </c>
      <c r="J111" s="2603">
        <v>0.85257933100000005</v>
      </c>
      <c r="K111" s="2603">
        <v>33.343562177999999</v>
      </c>
      <c r="L111" s="2603">
        <v>1.7758090339999999</v>
      </c>
      <c r="M111" s="2603">
        <v>0.272156026</v>
      </c>
      <c r="N111" s="2603">
        <v>0.19209628300000001</v>
      </c>
      <c r="O111" s="2603">
        <v>0.19209628300000001</v>
      </c>
      <c r="P111" s="2603">
        <v>0.19209628300000001</v>
      </c>
      <c r="Q111" s="2603">
        <v>0.19209628300000001</v>
      </c>
      <c r="R111" s="2603">
        <v>0.19209628300000001</v>
      </c>
      <c r="S111" s="2603">
        <v>0.19209628300000001</v>
      </c>
      <c r="T111" s="2603">
        <v>0.19209628300000001</v>
      </c>
      <c r="U111" s="2603">
        <v>0.19209628300000001</v>
      </c>
      <c r="V111" s="2603">
        <v>0.19209628300000001</v>
      </c>
      <c r="W111" s="2605">
        <v>0.19209628300000001</v>
      </c>
      <c r="X111" s="2606">
        <v>0.19</v>
      </c>
      <c r="Y111" s="2195">
        <v>0.19209628300000001</v>
      </c>
      <c r="Z111" s="2195"/>
      <c r="AA111" s="2603"/>
      <c r="AB111" s="3072">
        <v>0.19209628300000001</v>
      </c>
      <c r="AC111" s="2200">
        <v>0.19209628300000001</v>
      </c>
      <c r="AD111" s="2195">
        <v>0.19209628300000001</v>
      </c>
      <c r="AE111" s="2195">
        <v>0.19209628300000001</v>
      </c>
      <c r="AF111" s="2195">
        <v>0.19209628300000001</v>
      </c>
      <c r="AG111" s="3061">
        <v>0.19209628300000001</v>
      </c>
      <c r="AH111" s="2195">
        <v>0.19209628300000001</v>
      </c>
      <c r="AI111" s="3565">
        <v>0.19</v>
      </c>
      <c r="AJ111" s="3560">
        <v>0.19209628300000001</v>
      </c>
      <c r="AK111" s="1972">
        <v>0.19209628300000001</v>
      </c>
      <c r="AL111" s="1972">
        <v>0.19209628300000001</v>
      </c>
      <c r="AM111" s="1972">
        <v>0.19209628300000001</v>
      </c>
      <c r="AN111" s="1972">
        <v>0.19209628300000001</v>
      </c>
      <c r="AO111" s="1972"/>
      <c r="AP111" s="3569"/>
      <c r="AS111" s="2305" t="s">
        <v>1458</v>
      </c>
      <c r="AT111" s="2305">
        <v>0.19209628300000001</v>
      </c>
      <c r="AU111" s="2305">
        <v>0.19209628300000001</v>
      </c>
      <c r="AV111" s="2305">
        <v>0.19209628300000001</v>
      </c>
      <c r="AW111" s="2305">
        <v>0.19209628300000001</v>
      </c>
      <c r="AX111" s="2305">
        <v>0.19209628300000001</v>
      </c>
      <c r="AY111" s="2305">
        <v>0.19209628300000001</v>
      </c>
      <c r="AZ111" s="2305">
        <v>0.19209628300000001</v>
      </c>
      <c r="BA111" s="2305">
        <v>0.19209628300000001</v>
      </c>
      <c r="BB111" s="2305">
        <v>0.19209628300000001</v>
      </c>
      <c r="BC111" s="2305">
        <v>0.19209628300000001</v>
      </c>
      <c r="BD111" s="2305">
        <v>0.19209628300000001</v>
      </c>
      <c r="BE111" s="2305">
        <v>0.19209628300000001</v>
      </c>
      <c r="BF111" s="2305">
        <v>0.19209628300000001</v>
      </c>
      <c r="BG111" s="2305">
        <v>0.19209628300000001</v>
      </c>
      <c r="BH111" s="2305">
        <v>0.19209628300000001</v>
      </c>
      <c r="BI111" s="2305">
        <v>0.19209628300000001</v>
      </c>
      <c r="BJ111" s="2305">
        <v>0.19209628300000001</v>
      </c>
      <c r="BK111" s="2305">
        <v>0.19209628300000001</v>
      </c>
      <c r="BL111" s="2305">
        <v>0.19209628300000001</v>
      </c>
      <c r="BM111" s="2305">
        <v>0.19209628300000001</v>
      </c>
      <c r="BN111" s="2305">
        <v>0.19209628300000001</v>
      </c>
      <c r="BO111" s="2305">
        <v>0.19209628300000001</v>
      </c>
      <c r="BP111" s="2305">
        <v>0.19209628300000001</v>
      </c>
    </row>
    <row r="112" spans="1:68" ht="15.75">
      <c r="A112" s="2602" t="s">
        <v>588</v>
      </c>
      <c r="B112" s="2603">
        <v>33.058999999999997</v>
      </c>
      <c r="C112" s="2603">
        <v>172.471</v>
      </c>
      <c r="D112" s="2603">
        <v>312.04899999999998</v>
      </c>
      <c r="E112" s="2603">
        <v>646.79008939799996</v>
      </c>
      <c r="F112" s="2603">
        <v>1565.8230545250001</v>
      </c>
      <c r="G112" s="2603">
        <v>1979.4086228189999</v>
      </c>
      <c r="H112" s="2603">
        <v>2433.2466077700001</v>
      </c>
      <c r="I112" s="2603">
        <v>3088.3320492460002</v>
      </c>
      <c r="J112" s="2603">
        <v>3983.400714548</v>
      </c>
      <c r="K112" s="2603">
        <v>5521.0047796529998</v>
      </c>
      <c r="L112" s="2603">
        <v>6181.7620664380001</v>
      </c>
      <c r="M112" s="2603">
        <v>7208.6646644720004</v>
      </c>
      <c r="N112" s="2603">
        <v>9257.8187580939993</v>
      </c>
      <c r="O112" s="2603">
        <v>10182.285753022999</v>
      </c>
      <c r="P112" s="2603">
        <v>11448.075264818999</v>
      </c>
      <c r="Q112" s="2603">
        <v>13238.376233773</v>
      </c>
      <c r="R112" s="2603">
        <v>14774.970765111</v>
      </c>
      <c r="S112" s="2603">
        <v>16799.289401006001</v>
      </c>
      <c r="T112" s="2603">
        <v>18605.667400728002</v>
      </c>
      <c r="U112" s="2603">
        <v>21417.985230037</v>
      </c>
      <c r="V112" s="2603">
        <v>25356.124687812</v>
      </c>
      <c r="W112" s="2604">
        <v>29933.011216233001</v>
      </c>
      <c r="X112" s="2605">
        <v>35727.54</v>
      </c>
      <c r="Y112" s="2225">
        <v>43751.466292589997</v>
      </c>
      <c r="Z112" s="2215"/>
      <c r="AA112" s="2603"/>
      <c r="AB112" s="3072">
        <v>27061.179213989999</v>
      </c>
      <c r="AC112" s="2227">
        <v>28595.327883064001</v>
      </c>
      <c r="AD112" s="2225">
        <v>28405.655629698002</v>
      </c>
      <c r="AE112" s="2215">
        <v>29948.354954414001</v>
      </c>
      <c r="AF112" s="2215">
        <v>31727.101031163998</v>
      </c>
      <c r="AG112" s="3060">
        <v>32784.240282295999</v>
      </c>
      <c r="AH112" s="2215">
        <v>35364.184226425001</v>
      </c>
      <c r="AI112" s="3566">
        <v>35727.54</v>
      </c>
      <c r="AJ112" s="3559">
        <v>37896.654696942001</v>
      </c>
      <c r="AK112" s="3079">
        <v>39876.462423153003</v>
      </c>
      <c r="AL112" s="3079">
        <v>42830.523910472999</v>
      </c>
      <c r="AM112" s="3079">
        <v>43748.040747539002</v>
      </c>
      <c r="AN112" s="3079">
        <v>40122.036570361</v>
      </c>
      <c r="AO112" s="3079"/>
      <c r="AP112" s="3567"/>
      <c r="AQ112" s="1068"/>
      <c r="AR112" s="1068"/>
      <c r="AS112" s="2304" t="s">
        <v>1459</v>
      </c>
      <c r="AT112" s="2304">
        <v>13899.836341958</v>
      </c>
      <c r="AU112" s="2304">
        <v>13885.569289073999</v>
      </c>
      <c r="AV112" s="2304">
        <v>14164.808741956</v>
      </c>
      <c r="AW112" s="2304">
        <v>14762.809390565</v>
      </c>
      <c r="AX112" s="2304">
        <v>15532.763194118001</v>
      </c>
      <c r="AY112" s="2304">
        <v>15805.435862648001</v>
      </c>
      <c r="AZ112" s="2304">
        <v>16251.13038416</v>
      </c>
      <c r="BA112" s="2304">
        <v>16874.812057207</v>
      </c>
      <c r="BB112" s="2304">
        <v>17630.689477471002</v>
      </c>
      <c r="BC112" s="2304">
        <v>17903.725993024</v>
      </c>
      <c r="BD112" s="2304">
        <v>18181.401005668999</v>
      </c>
      <c r="BE112" s="2304">
        <v>18602.71349242</v>
      </c>
      <c r="BF112" s="2304">
        <v>19730.300427822</v>
      </c>
      <c r="BG112" s="2304">
        <v>20057.528192944999</v>
      </c>
      <c r="BH112" s="2304">
        <v>20324.133210431999</v>
      </c>
      <c r="BI112" s="2304">
        <v>21420.176642404</v>
      </c>
      <c r="BJ112" s="2304">
        <v>22959.401841586001</v>
      </c>
      <c r="BK112" s="2304">
        <v>23411.673147375001</v>
      </c>
      <c r="BL112" s="2304">
        <v>24055.768329615999</v>
      </c>
      <c r="BM112" s="2304">
        <v>25342.980745740999</v>
      </c>
      <c r="BN112" s="2304">
        <v>27061.179213989999</v>
      </c>
      <c r="BO112" s="2304">
        <v>28595.327883064001</v>
      </c>
      <c r="BP112" s="2304">
        <v>28405.655629698002</v>
      </c>
    </row>
    <row r="113" spans="1:68" ht="15">
      <c r="A113" s="2602" t="s">
        <v>589</v>
      </c>
      <c r="B113" s="2603">
        <v>31.254000000000001</v>
      </c>
      <c r="C113" s="2603">
        <v>169.7</v>
      </c>
      <c r="D113" s="2603">
        <v>297.44</v>
      </c>
      <c r="E113" s="2603">
        <v>569.13603923400001</v>
      </c>
      <c r="F113" s="2603">
        <v>1536.7464122900001</v>
      </c>
      <c r="G113" s="2603">
        <v>1939.4815151119999</v>
      </c>
      <c r="H113" s="2603">
        <v>2373.4829664680001</v>
      </c>
      <c r="I113" s="2603">
        <v>2999.5009206959999</v>
      </c>
      <c r="J113" s="2603">
        <v>3980.650714548</v>
      </c>
      <c r="K113" s="2603">
        <v>5518.2547796529998</v>
      </c>
      <c r="L113" s="2603">
        <v>6179.0120664380001</v>
      </c>
      <c r="M113" s="2603">
        <v>7205.9146644720004</v>
      </c>
      <c r="N113" s="2603">
        <v>9255.0687580939993</v>
      </c>
      <c r="O113" s="2603">
        <v>10179.535753022999</v>
      </c>
      <c r="P113" s="2603">
        <v>11445.325264818999</v>
      </c>
      <c r="Q113" s="2603">
        <v>13235.626233773</v>
      </c>
      <c r="R113" s="2603">
        <v>14772.220765111</v>
      </c>
      <c r="S113" s="2603">
        <v>16796.539401006001</v>
      </c>
      <c r="T113" s="2603">
        <v>18602.917400728002</v>
      </c>
      <c r="U113" s="2603">
        <v>21415.235230037</v>
      </c>
      <c r="V113" s="2603">
        <v>25353.374687812</v>
      </c>
      <c r="W113" s="2604">
        <v>29930.261216233001</v>
      </c>
      <c r="X113" s="2605">
        <v>35724.79</v>
      </c>
      <c r="Y113" s="2225">
        <v>43748.716292589997</v>
      </c>
      <c r="Z113" s="2215"/>
      <c r="AA113" s="2603"/>
      <c r="AB113" s="3072">
        <v>27058.429213989999</v>
      </c>
      <c r="AC113" s="2227">
        <v>28592.577883064001</v>
      </c>
      <c r="AD113" s="2225">
        <v>28402.905629698002</v>
      </c>
      <c r="AE113" s="2215">
        <v>29945.604954414001</v>
      </c>
      <c r="AF113" s="2215">
        <v>31724.351031163998</v>
      </c>
      <c r="AG113" s="3060">
        <v>32781.490282295999</v>
      </c>
      <c r="AH113" s="2215">
        <v>35361.434226425001</v>
      </c>
      <c r="AI113" s="3568">
        <v>35724.79</v>
      </c>
      <c r="AJ113" s="3559">
        <v>37893.904696942001</v>
      </c>
      <c r="AK113" s="3079">
        <v>39873.712423153003</v>
      </c>
      <c r="AL113" s="3079">
        <v>42827.773910472999</v>
      </c>
      <c r="AM113" s="3079">
        <v>43745.290747539002</v>
      </c>
      <c r="AN113" s="3079"/>
      <c r="AO113" s="3079"/>
      <c r="AP113" s="3567"/>
      <c r="AS113" s="2304" t="s">
        <v>1460</v>
      </c>
      <c r="AT113" s="2304">
        <v>13897.086341958</v>
      </c>
      <c r="AU113" s="2304">
        <v>13882.819289073999</v>
      </c>
      <c r="AV113" s="2304">
        <v>14162.058741956</v>
      </c>
      <c r="AW113" s="2304">
        <v>14760.059390565</v>
      </c>
      <c r="AX113" s="2304">
        <v>15530.013194118001</v>
      </c>
      <c r="AY113" s="2304">
        <v>15802.685862648001</v>
      </c>
      <c r="AZ113" s="2304">
        <v>16248.38038416</v>
      </c>
      <c r="BA113" s="2304">
        <v>16872.062057207</v>
      </c>
      <c r="BB113" s="2304">
        <v>17627.939477471002</v>
      </c>
      <c r="BC113" s="2304">
        <v>17900.975993024</v>
      </c>
      <c r="BD113" s="2304">
        <v>18178.651005668999</v>
      </c>
      <c r="BE113" s="2304">
        <v>18599.96349242</v>
      </c>
      <c r="BF113" s="2304">
        <v>19727.550427822</v>
      </c>
      <c r="BG113" s="2304">
        <v>20054.778192944999</v>
      </c>
      <c r="BH113" s="2304">
        <v>20321.383210431999</v>
      </c>
      <c r="BI113" s="2304">
        <v>21417.426642404</v>
      </c>
      <c r="BJ113" s="2304">
        <v>22956.651841586001</v>
      </c>
      <c r="BK113" s="2304">
        <v>23408.923147375001</v>
      </c>
      <c r="BL113" s="2304">
        <v>24053.018329615999</v>
      </c>
      <c r="BM113" s="2304">
        <v>25340.230745740999</v>
      </c>
      <c r="BN113" s="2304">
        <v>27058.429213989999</v>
      </c>
      <c r="BO113" s="2304">
        <v>28592.577883064001</v>
      </c>
      <c r="BP113" s="2304">
        <v>28402.905629698002</v>
      </c>
    </row>
    <row r="114" spans="1:68" ht="15">
      <c r="A114" s="2602" t="s">
        <v>590</v>
      </c>
      <c r="B114" s="2603">
        <v>30</v>
      </c>
      <c r="C114" s="2603">
        <v>150</v>
      </c>
      <c r="D114" s="2603">
        <v>288.58499999999998</v>
      </c>
      <c r="E114" s="2603">
        <v>547.29200000000003</v>
      </c>
      <c r="F114" s="2603">
        <v>608.10230000000001</v>
      </c>
      <c r="G114" s="2603">
        <v>923.52579000000003</v>
      </c>
      <c r="H114" s="2603">
        <v>1411.6207400000001</v>
      </c>
      <c r="I114" s="2603">
        <v>1438.3196700000001</v>
      </c>
      <c r="J114" s="2603">
        <v>1934.8051700000001</v>
      </c>
      <c r="K114" s="2603">
        <v>2160.8267599999999</v>
      </c>
      <c r="L114" s="2608">
        <v>2738.4883300000001</v>
      </c>
      <c r="M114" s="2603">
        <v>2752.01755</v>
      </c>
      <c r="N114" s="2603">
        <v>3439.7660000000001</v>
      </c>
      <c r="O114" s="2603">
        <v>3975.3164000000002</v>
      </c>
      <c r="P114" s="2603">
        <v>4594.2668400000002</v>
      </c>
      <c r="Q114" s="2603">
        <v>5309.6110500000004</v>
      </c>
      <c r="R114" s="2603">
        <v>6136.3677200000002</v>
      </c>
      <c r="S114" s="2603">
        <v>6783.5868799999998</v>
      </c>
      <c r="T114" s="2603">
        <v>7839.8748599999999</v>
      </c>
      <c r="U114" s="2603">
        <v>9075.51649</v>
      </c>
      <c r="V114" s="2603">
        <v>10970.265719999999</v>
      </c>
      <c r="W114" s="2605">
        <v>12699.688749999999</v>
      </c>
      <c r="X114" s="2605">
        <v>14710.69</v>
      </c>
      <c r="Y114" s="2195">
        <v>17035.071209999998</v>
      </c>
      <c r="Z114" s="2195"/>
      <c r="AA114" s="2603"/>
      <c r="AB114" s="3072">
        <v>10970.265719999999</v>
      </c>
      <c r="AC114" s="2200">
        <v>11043.316220000001</v>
      </c>
      <c r="AD114" s="2195">
        <v>12699.688749999999</v>
      </c>
      <c r="AE114" s="2195">
        <v>12699.688749999999</v>
      </c>
      <c r="AF114" s="2195">
        <v>12699.688749999999</v>
      </c>
      <c r="AG114" s="3061">
        <v>14604.480659999999</v>
      </c>
      <c r="AH114" s="2195">
        <v>14604.480659999999</v>
      </c>
      <c r="AI114" s="3568">
        <v>14710.69</v>
      </c>
      <c r="AJ114" s="3560">
        <v>14710.69183</v>
      </c>
      <c r="AK114" s="1972">
        <v>14813.301219999999</v>
      </c>
      <c r="AL114" s="1972">
        <v>17035.071209999998</v>
      </c>
      <c r="AM114" s="1972">
        <v>17035.071209999998</v>
      </c>
      <c r="AN114" s="1972">
        <v>17035.071209999998</v>
      </c>
      <c r="AO114" s="1972"/>
      <c r="AP114" s="3569"/>
      <c r="AS114" s="2305" t="s">
        <v>1461</v>
      </c>
      <c r="AT114" s="2305">
        <v>5309.6110500000004</v>
      </c>
      <c r="AU114" s="2305">
        <v>6136.3677200000002</v>
      </c>
      <c r="AV114" s="2305">
        <v>6136.3677200000002</v>
      </c>
      <c r="AW114" s="2305">
        <v>6136.3677200000002</v>
      </c>
      <c r="AX114" s="2305">
        <v>6136.3677200000002</v>
      </c>
      <c r="AY114" s="2305">
        <v>6783.5868799999998</v>
      </c>
      <c r="AZ114" s="2305">
        <v>6783.5868799999998</v>
      </c>
      <c r="BA114" s="2305">
        <v>6783.5868799999998</v>
      </c>
      <c r="BB114" s="2305">
        <v>6817.5047800000002</v>
      </c>
      <c r="BC114" s="2305">
        <v>7839.8748599999999</v>
      </c>
      <c r="BD114" s="2305">
        <v>7839.8748599999999</v>
      </c>
      <c r="BE114" s="2305">
        <v>7839.8748599999999</v>
      </c>
      <c r="BF114" s="2305">
        <v>7839.8748599999999</v>
      </c>
      <c r="BG114" s="2305">
        <v>9075.51649</v>
      </c>
      <c r="BH114" s="2305">
        <v>9075.51649</v>
      </c>
      <c r="BI114" s="2305">
        <v>9075.51649</v>
      </c>
      <c r="BJ114" s="2305">
        <v>9075.51649</v>
      </c>
      <c r="BK114" s="2305">
        <v>10970.265719999999</v>
      </c>
      <c r="BL114" s="2305">
        <v>10970.265719999999</v>
      </c>
      <c r="BM114" s="2305">
        <v>10970.265719999999</v>
      </c>
      <c r="BN114" s="2305">
        <v>10970.265719999999</v>
      </c>
      <c r="BO114" s="2305">
        <v>11043.316220000001</v>
      </c>
      <c r="BP114" s="2305">
        <v>12699.688749999999</v>
      </c>
    </row>
    <row r="115" spans="1:68" ht="15">
      <c r="A115" s="2602" t="s">
        <v>591</v>
      </c>
      <c r="B115" s="2603">
        <v>30</v>
      </c>
      <c r="C115" s="2603">
        <v>150</v>
      </c>
      <c r="D115" s="2603">
        <v>288.58499999999998</v>
      </c>
      <c r="E115" s="2603">
        <v>547.29200000000003</v>
      </c>
      <c r="F115" s="2603">
        <v>608.10230000000001</v>
      </c>
      <c r="G115" s="2603">
        <v>923.52579000000003</v>
      </c>
      <c r="H115" s="2603">
        <v>1411.6207400000001</v>
      </c>
      <c r="I115" s="2603">
        <v>1438.3196700000001</v>
      </c>
      <c r="J115" s="2603">
        <v>1934.8051700000001</v>
      </c>
      <c r="K115" s="2603">
        <v>2160.8267599999999</v>
      </c>
      <c r="L115" s="2603">
        <v>2738.4883300000001</v>
      </c>
      <c r="M115" s="2603">
        <v>2752.01755</v>
      </c>
      <c r="N115" s="2603">
        <v>3439.7660000000001</v>
      </c>
      <c r="O115" s="2603">
        <v>3975.3164000000002</v>
      </c>
      <c r="P115" s="2603">
        <v>4594.2668400000002</v>
      </c>
      <c r="Q115" s="2603">
        <v>5309.6110500000004</v>
      </c>
      <c r="R115" s="2603">
        <v>6136.3677200000002</v>
      </c>
      <c r="S115" s="2603">
        <v>6783.5868799999998</v>
      </c>
      <c r="T115" s="2603">
        <v>7839.8748599999999</v>
      </c>
      <c r="U115" s="2603">
        <v>9075.51649</v>
      </c>
      <c r="V115" s="2603">
        <v>10970.265719999999</v>
      </c>
      <c r="W115" s="2605">
        <v>12699.688749999999</v>
      </c>
      <c r="X115" s="2605">
        <v>14710.69</v>
      </c>
      <c r="Y115" s="2195">
        <v>17035.071209999998</v>
      </c>
      <c r="Z115" s="2195"/>
      <c r="AA115" s="2603"/>
      <c r="AB115" s="3072">
        <v>10970.265719999999</v>
      </c>
      <c r="AC115" s="2200">
        <v>11043.316220000001</v>
      </c>
      <c r="AD115" s="2195">
        <v>12699.688749999999</v>
      </c>
      <c r="AE115" s="2195">
        <v>12699.688749999999</v>
      </c>
      <c r="AF115" s="2195">
        <v>12699.688749999999</v>
      </c>
      <c r="AG115" s="3061">
        <v>14604.480659999999</v>
      </c>
      <c r="AH115" s="2195">
        <v>14604.480659999999</v>
      </c>
      <c r="AI115" s="3568">
        <v>14710.69</v>
      </c>
      <c r="AJ115" s="3560">
        <v>14710.69183</v>
      </c>
      <c r="AK115" s="1972">
        <v>14813.301219999999</v>
      </c>
      <c r="AL115" s="1972">
        <v>17035.071209999998</v>
      </c>
      <c r="AM115" s="1972">
        <v>17035.071209999998</v>
      </c>
      <c r="AN115" s="1972">
        <v>17035.071209999998</v>
      </c>
      <c r="AO115" s="1972"/>
      <c r="AP115" s="3569"/>
      <c r="AS115" s="2305" t="s">
        <v>1462</v>
      </c>
      <c r="AT115" s="2305">
        <v>5309.6110500000004</v>
      </c>
      <c r="AU115" s="2305">
        <v>6136.3677200000002</v>
      </c>
      <c r="AV115" s="2305">
        <v>6136.3677200000002</v>
      </c>
      <c r="AW115" s="2305">
        <v>6136.3677200000002</v>
      </c>
      <c r="AX115" s="2305">
        <v>6136.3677200000002</v>
      </c>
      <c r="AY115" s="2305">
        <v>6783.5868799999998</v>
      </c>
      <c r="AZ115" s="2305">
        <v>6783.5868799999998</v>
      </c>
      <c r="BA115" s="2305">
        <v>6783.5868799999998</v>
      </c>
      <c r="BB115" s="2305">
        <v>6817.5047800000002</v>
      </c>
      <c r="BC115" s="2305">
        <v>7839.8748599999999</v>
      </c>
      <c r="BD115" s="2305">
        <v>7839.8748599999999</v>
      </c>
      <c r="BE115" s="2305">
        <v>7839.8748599999999</v>
      </c>
      <c r="BF115" s="2305">
        <v>7839.8748599999999</v>
      </c>
      <c r="BG115" s="2305">
        <v>9075.51649</v>
      </c>
      <c r="BH115" s="2305">
        <v>9075.51649</v>
      </c>
      <c r="BI115" s="2305">
        <v>9075.51649</v>
      </c>
      <c r="BJ115" s="2305">
        <v>9075.51649</v>
      </c>
      <c r="BK115" s="2305">
        <v>10970.265719999999</v>
      </c>
      <c r="BL115" s="2305">
        <v>10970.265719999999</v>
      </c>
      <c r="BM115" s="2305">
        <v>10970.265719999999</v>
      </c>
      <c r="BN115" s="2305">
        <v>10970.265719999999</v>
      </c>
      <c r="BO115" s="2305">
        <v>11043.316220000001</v>
      </c>
      <c r="BP115" s="2305">
        <v>12699.688749999999</v>
      </c>
    </row>
    <row r="116" spans="1:68" ht="15">
      <c r="A116" s="2602" t="s">
        <v>592</v>
      </c>
      <c r="B116" s="2603">
        <v>0</v>
      </c>
      <c r="C116" s="2603">
        <v>0</v>
      </c>
      <c r="D116" s="2603">
        <v>0</v>
      </c>
      <c r="E116" s="2603">
        <v>0</v>
      </c>
      <c r="F116" s="2603">
        <v>0</v>
      </c>
      <c r="G116" s="2603">
        <v>0</v>
      </c>
      <c r="H116" s="2603">
        <v>0</v>
      </c>
      <c r="I116" s="2603">
        <v>0</v>
      </c>
      <c r="J116" s="2603">
        <v>0</v>
      </c>
      <c r="K116" s="2603">
        <v>0</v>
      </c>
      <c r="L116" s="2603">
        <v>0</v>
      </c>
      <c r="M116" s="2603">
        <v>0</v>
      </c>
      <c r="N116" s="2603">
        <v>0</v>
      </c>
      <c r="O116" s="2603">
        <v>0</v>
      </c>
      <c r="P116" s="2603">
        <v>0</v>
      </c>
      <c r="Q116" s="2603">
        <v>0</v>
      </c>
      <c r="R116" s="2603">
        <v>0</v>
      </c>
      <c r="S116" s="2603">
        <v>0</v>
      </c>
      <c r="T116" s="2603">
        <v>0</v>
      </c>
      <c r="U116" s="2603">
        <v>0</v>
      </c>
      <c r="V116" s="2603">
        <v>0</v>
      </c>
      <c r="W116" s="2605">
        <v>0</v>
      </c>
      <c r="X116" s="2606">
        <v>0</v>
      </c>
      <c r="Y116" s="2195">
        <v>0</v>
      </c>
      <c r="Z116" s="2195"/>
      <c r="AA116" s="2603"/>
      <c r="AB116" s="3072">
        <v>0</v>
      </c>
      <c r="AC116" s="2200">
        <v>0</v>
      </c>
      <c r="AD116" s="2195">
        <v>0</v>
      </c>
      <c r="AE116" s="2195">
        <v>0</v>
      </c>
      <c r="AF116" s="2195">
        <v>0</v>
      </c>
      <c r="AG116" s="3061">
        <v>0</v>
      </c>
      <c r="AH116" s="2195">
        <v>0</v>
      </c>
      <c r="AI116" s="3565">
        <v>0</v>
      </c>
      <c r="AJ116" s="3560">
        <v>0</v>
      </c>
      <c r="AK116" s="1972">
        <v>0</v>
      </c>
      <c r="AL116" s="1972">
        <v>0</v>
      </c>
      <c r="AM116" s="1972">
        <v>0</v>
      </c>
      <c r="AN116" s="1972">
        <v>0</v>
      </c>
      <c r="AO116" s="1972"/>
      <c r="AP116" s="3569"/>
      <c r="AS116" s="2305" t="s">
        <v>1463</v>
      </c>
      <c r="AT116" s="2305">
        <v>0</v>
      </c>
      <c r="AU116" s="2305">
        <v>0</v>
      </c>
      <c r="AV116" s="2305">
        <v>0</v>
      </c>
      <c r="AW116" s="2305">
        <v>0</v>
      </c>
      <c r="AX116" s="2305">
        <v>0</v>
      </c>
      <c r="AY116" s="2305">
        <v>0</v>
      </c>
      <c r="AZ116" s="2305">
        <v>0</v>
      </c>
      <c r="BA116" s="2305">
        <v>0</v>
      </c>
      <c r="BB116" s="2305">
        <v>0</v>
      </c>
      <c r="BC116" s="2305">
        <v>0</v>
      </c>
      <c r="BD116" s="2305">
        <v>0</v>
      </c>
      <c r="BE116" s="2305">
        <v>0</v>
      </c>
      <c r="BF116" s="2305">
        <v>0</v>
      </c>
      <c r="BG116" s="2305">
        <v>0</v>
      </c>
      <c r="BH116" s="2305">
        <v>0</v>
      </c>
      <c r="BI116" s="2305">
        <v>0</v>
      </c>
      <c r="BJ116" s="2305">
        <v>0</v>
      </c>
      <c r="BK116" s="2305">
        <v>0</v>
      </c>
      <c r="BL116" s="2305">
        <v>0</v>
      </c>
      <c r="BM116" s="2305">
        <v>0</v>
      </c>
      <c r="BN116" s="2305">
        <v>0</v>
      </c>
      <c r="BO116" s="2305">
        <v>0</v>
      </c>
      <c r="BP116" s="2305">
        <v>0</v>
      </c>
    </row>
    <row r="117" spans="1:68" ht="15">
      <c r="A117" s="2602" t="s">
        <v>593</v>
      </c>
      <c r="B117" s="2603">
        <v>0</v>
      </c>
      <c r="C117" s="2603">
        <v>0</v>
      </c>
      <c r="D117" s="2603">
        <v>0</v>
      </c>
      <c r="E117" s="2603">
        <v>0</v>
      </c>
      <c r="F117" s="2603">
        <v>524.86586136000005</v>
      </c>
      <c r="G117" s="2603">
        <v>524.86586136000005</v>
      </c>
      <c r="H117" s="2603">
        <v>54.851281360000002</v>
      </c>
      <c r="I117" s="2603">
        <v>54.851281360000002</v>
      </c>
      <c r="J117" s="2603">
        <v>60.012320244999998</v>
      </c>
      <c r="K117" s="2603">
        <v>49.546879484000002</v>
      </c>
      <c r="L117" s="2608">
        <v>49.465703200999997</v>
      </c>
      <c r="M117" s="2603">
        <v>49.465703200999997</v>
      </c>
      <c r="N117" s="2603">
        <v>49.465703200999997</v>
      </c>
      <c r="O117" s="2603">
        <v>49.465703200999997</v>
      </c>
      <c r="P117" s="2603">
        <v>49.465703200999997</v>
      </c>
      <c r="Q117" s="2603">
        <v>49.465703200999997</v>
      </c>
      <c r="R117" s="2603">
        <v>49.465703200999997</v>
      </c>
      <c r="S117" s="2603">
        <v>49.941441359999999</v>
      </c>
      <c r="T117" s="2603">
        <v>49.713213410999998</v>
      </c>
      <c r="U117" s="2603">
        <v>49.713213410999998</v>
      </c>
      <c r="V117" s="2603">
        <v>49.713213410999998</v>
      </c>
      <c r="W117" s="2605">
        <v>49.713213410999998</v>
      </c>
      <c r="X117" s="2606">
        <v>49.71</v>
      </c>
      <c r="Y117" s="2195">
        <v>49.713213410999998</v>
      </c>
      <c r="Z117" s="2195"/>
      <c r="AA117" s="2603"/>
      <c r="AB117" s="3072">
        <v>49.713213410999998</v>
      </c>
      <c r="AC117" s="2200">
        <v>49.713213410999998</v>
      </c>
      <c r="AD117" s="2195">
        <v>49.713213410999998</v>
      </c>
      <c r="AE117" s="2195">
        <v>49.713213410999998</v>
      </c>
      <c r="AF117" s="2195">
        <v>49.713213410999998</v>
      </c>
      <c r="AG117" s="3061">
        <v>49.713213410999998</v>
      </c>
      <c r="AH117" s="2195">
        <v>49.713213410999998</v>
      </c>
      <c r="AI117" s="3565">
        <v>49.71</v>
      </c>
      <c r="AJ117" s="3560">
        <v>49.713213410999998</v>
      </c>
      <c r="AK117" s="1972">
        <v>49.713213410999998</v>
      </c>
      <c r="AL117" s="1972">
        <v>49.713213410999998</v>
      </c>
      <c r="AM117" s="1972">
        <v>49.713213410999998</v>
      </c>
      <c r="AN117" s="1972">
        <v>49.713213410999998</v>
      </c>
      <c r="AO117" s="1972"/>
      <c r="AP117" s="3569"/>
      <c r="AS117" s="2305" t="s">
        <v>1464</v>
      </c>
      <c r="AT117" s="2305">
        <v>49.465703200999997</v>
      </c>
      <c r="AU117" s="2305">
        <v>49.465703200999997</v>
      </c>
      <c r="AV117" s="2305">
        <v>49.465703200999997</v>
      </c>
      <c r="AW117" s="2305">
        <v>49.465703200999997</v>
      </c>
      <c r="AX117" s="2305">
        <v>49.465703200999997</v>
      </c>
      <c r="AY117" s="2305">
        <v>49.465703200999997</v>
      </c>
      <c r="AZ117" s="2305">
        <v>49.465703200999997</v>
      </c>
      <c r="BA117" s="2305">
        <v>75.622928032000004</v>
      </c>
      <c r="BB117" s="2305">
        <v>49.941441359999999</v>
      </c>
      <c r="BC117" s="2305">
        <v>49.794213509000002</v>
      </c>
      <c r="BD117" s="2305">
        <v>49.713213410999998</v>
      </c>
      <c r="BE117" s="2305">
        <v>49.713213410999998</v>
      </c>
      <c r="BF117" s="2305">
        <v>49.713213410999998</v>
      </c>
      <c r="BG117" s="2305">
        <v>49.713213410999998</v>
      </c>
      <c r="BH117" s="2305">
        <v>49.713213410999998</v>
      </c>
      <c r="BI117" s="2305">
        <v>49.713213410999998</v>
      </c>
      <c r="BJ117" s="2305">
        <v>49.713213410999998</v>
      </c>
      <c r="BK117" s="2305">
        <v>49.713213410999998</v>
      </c>
      <c r="BL117" s="2305">
        <v>49.713213410999998</v>
      </c>
      <c r="BM117" s="2305">
        <v>49.713213410999998</v>
      </c>
      <c r="BN117" s="2305">
        <v>49.713213410999998</v>
      </c>
      <c r="BO117" s="2305">
        <v>49.713213410999998</v>
      </c>
      <c r="BP117" s="2305">
        <v>49.713213410999998</v>
      </c>
    </row>
    <row r="118" spans="1:68" ht="15">
      <c r="A118" s="2602" t="s">
        <v>594</v>
      </c>
      <c r="B118" s="2603">
        <v>0</v>
      </c>
      <c r="C118" s="2603">
        <v>0</v>
      </c>
      <c r="D118" s="2603">
        <v>0</v>
      </c>
      <c r="E118" s="2603">
        <v>0</v>
      </c>
      <c r="F118" s="2603">
        <v>0</v>
      </c>
      <c r="G118" s="2603">
        <v>0</v>
      </c>
      <c r="H118" s="2603">
        <v>0</v>
      </c>
      <c r="I118" s="2603">
        <v>0</v>
      </c>
      <c r="J118" s="2603">
        <v>0</v>
      </c>
      <c r="K118" s="2603">
        <v>0</v>
      </c>
      <c r="L118" s="2603">
        <v>0</v>
      </c>
      <c r="M118" s="2603">
        <v>0</v>
      </c>
      <c r="N118" s="2603">
        <v>0</v>
      </c>
      <c r="O118" s="2603">
        <v>0</v>
      </c>
      <c r="P118" s="2603">
        <v>0</v>
      </c>
      <c r="Q118" s="2603">
        <v>0</v>
      </c>
      <c r="R118" s="2603">
        <v>0</v>
      </c>
      <c r="S118" s="2603">
        <v>0</v>
      </c>
      <c r="T118" s="2603">
        <v>0</v>
      </c>
      <c r="U118" s="2603">
        <v>0</v>
      </c>
      <c r="V118" s="2603">
        <v>0</v>
      </c>
      <c r="W118" s="2605">
        <v>0</v>
      </c>
      <c r="X118" s="2606">
        <v>0</v>
      </c>
      <c r="Y118" s="2195">
        <v>0</v>
      </c>
      <c r="Z118" s="2195"/>
      <c r="AA118" s="2603"/>
      <c r="AB118" s="3072">
        <v>0</v>
      </c>
      <c r="AC118" s="2200">
        <v>0</v>
      </c>
      <c r="AD118" s="2195">
        <v>0</v>
      </c>
      <c r="AE118" s="2195">
        <v>0</v>
      </c>
      <c r="AF118" s="2195">
        <v>0</v>
      </c>
      <c r="AG118" s="3061">
        <v>0</v>
      </c>
      <c r="AH118" s="2195">
        <v>0</v>
      </c>
      <c r="AI118" s="3565">
        <v>0</v>
      </c>
      <c r="AJ118" s="3560">
        <v>0</v>
      </c>
      <c r="AK118" s="1972">
        <v>0</v>
      </c>
      <c r="AL118" s="1972">
        <v>0</v>
      </c>
      <c r="AM118" s="1972">
        <v>0</v>
      </c>
      <c r="AN118" s="1972">
        <v>0</v>
      </c>
      <c r="AO118" s="1972"/>
      <c r="AP118" s="3569"/>
      <c r="AS118" s="2305" t="s">
        <v>1465</v>
      </c>
      <c r="AT118" s="2305">
        <v>0</v>
      </c>
      <c r="AU118" s="2305">
        <v>0</v>
      </c>
      <c r="AV118" s="2305">
        <v>0</v>
      </c>
      <c r="AW118" s="2305">
        <v>0</v>
      </c>
      <c r="AX118" s="2305">
        <v>0</v>
      </c>
      <c r="AY118" s="2305">
        <v>0</v>
      </c>
      <c r="AZ118" s="2305">
        <v>0</v>
      </c>
      <c r="BA118" s="2305">
        <v>0</v>
      </c>
      <c r="BB118" s="2305">
        <v>0</v>
      </c>
      <c r="BC118" s="2305">
        <v>0</v>
      </c>
      <c r="BD118" s="2305">
        <v>0</v>
      </c>
      <c r="BE118" s="2305">
        <v>0</v>
      </c>
      <c r="BF118" s="2305">
        <v>0</v>
      </c>
      <c r="BG118" s="2305">
        <v>0</v>
      </c>
      <c r="BH118" s="2305">
        <v>0</v>
      </c>
      <c r="BI118" s="2305">
        <v>0</v>
      </c>
      <c r="BJ118" s="2305">
        <v>0</v>
      </c>
      <c r="BK118" s="2305">
        <v>0</v>
      </c>
      <c r="BL118" s="2305">
        <v>0</v>
      </c>
      <c r="BM118" s="2305">
        <v>0</v>
      </c>
      <c r="BN118" s="2305">
        <v>0</v>
      </c>
      <c r="BO118" s="2305">
        <v>0</v>
      </c>
      <c r="BP118" s="2305">
        <v>0</v>
      </c>
    </row>
    <row r="119" spans="1:68" ht="15">
      <c r="A119" s="2602" t="s">
        <v>595</v>
      </c>
      <c r="B119" s="2603">
        <v>0</v>
      </c>
      <c r="C119" s="2603">
        <v>0</v>
      </c>
      <c r="D119" s="2603">
        <v>0</v>
      </c>
      <c r="E119" s="2603">
        <v>0</v>
      </c>
      <c r="F119" s="2603">
        <v>0</v>
      </c>
      <c r="G119" s="2603">
        <v>0</v>
      </c>
      <c r="H119" s="2603">
        <v>0</v>
      </c>
      <c r="I119" s="2603">
        <v>0</v>
      </c>
      <c r="J119" s="2603">
        <v>0</v>
      </c>
      <c r="K119" s="2603">
        <v>0</v>
      </c>
      <c r="L119" s="2603">
        <v>0</v>
      </c>
      <c r="M119" s="2603">
        <v>0</v>
      </c>
      <c r="N119" s="2603">
        <v>0</v>
      </c>
      <c r="O119" s="2603">
        <v>0</v>
      </c>
      <c r="P119" s="2603">
        <v>56.882669999999997</v>
      </c>
      <c r="Q119" s="2603">
        <v>287.82952305200001</v>
      </c>
      <c r="R119" s="2603">
        <v>667.03527127300003</v>
      </c>
      <c r="S119" s="2603">
        <v>765.33246485899997</v>
      </c>
      <c r="T119" s="2603">
        <v>920.08141019899995</v>
      </c>
      <c r="U119" s="2603">
        <v>1178.1747763660001</v>
      </c>
      <c r="V119" s="2603">
        <v>1179.064868147</v>
      </c>
      <c r="W119" s="2609">
        <v>1928.602158147</v>
      </c>
      <c r="X119" s="2605">
        <v>1929.01</v>
      </c>
      <c r="Y119" s="2195">
        <v>3499.5473699519998</v>
      </c>
      <c r="Z119" s="2195"/>
      <c r="AA119" s="2603"/>
      <c r="AB119" s="3072">
        <v>1179.064868147</v>
      </c>
      <c r="AC119" s="2200">
        <v>1179.064868147</v>
      </c>
      <c r="AD119" s="2195">
        <v>1179.064868147</v>
      </c>
      <c r="AE119" s="2195">
        <v>1928.602158147</v>
      </c>
      <c r="AF119" s="2195">
        <v>1928.079706361</v>
      </c>
      <c r="AG119" s="3061">
        <v>1928.079706361</v>
      </c>
      <c r="AH119" s="2195">
        <v>1928.079706361</v>
      </c>
      <c r="AI119" s="3568">
        <v>1929.01</v>
      </c>
      <c r="AJ119" s="3560">
        <v>1929.0127034540001</v>
      </c>
      <c r="AK119" s="1972">
        <v>3445.3032703389999</v>
      </c>
      <c r="AL119" s="1972">
        <v>3499.5473699519998</v>
      </c>
      <c r="AM119" s="1972">
        <v>3499.5473699519998</v>
      </c>
      <c r="AN119" s="1972">
        <v>855.26787625099996</v>
      </c>
      <c r="AO119" s="1972"/>
      <c r="AP119" s="3569"/>
      <c r="AS119" s="2305" t="s">
        <v>1466</v>
      </c>
      <c r="AT119" s="2305">
        <v>287.82952305200001</v>
      </c>
      <c r="AU119" s="2305">
        <v>631.96969305200003</v>
      </c>
      <c r="AV119" s="2305">
        <v>631.96969305200003</v>
      </c>
      <c r="AW119" s="2305">
        <v>667.03527127300003</v>
      </c>
      <c r="AX119" s="2305">
        <v>670.06040525000003</v>
      </c>
      <c r="AY119" s="2305">
        <v>786.85851909300004</v>
      </c>
      <c r="AZ119" s="2305">
        <v>777.86924391800005</v>
      </c>
      <c r="BA119" s="2305">
        <v>780.91462894400001</v>
      </c>
      <c r="BB119" s="2305">
        <v>765.33246485899997</v>
      </c>
      <c r="BC119" s="2305">
        <v>912.97779659900004</v>
      </c>
      <c r="BD119" s="2305">
        <v>920.08141019899995</v>
      </c>
      <c r="BE119" s="2305">
        <v>920.08141019899995</v>
      </c>
      <c r="BF119" s="2305">
        <v>920.08141019899995</v>
      </c>
      <c r="BG119" s="2305">
        <v>1176.5685967209999</v>
      </c>
      <c r="BH119" s="2305">
        <v>1178.1747763660001</v>
      </c>
      <c r="BI119" s="2305">
        <v>1178.1747763660001</v>
      </c>
      <c r="BJ119" s="2305">
        <v>1178.1747763660001</v>
      </c>
      <c r="BK119" s="2305">
        <v>1178.1747763660001</v>
      </c>
      <c r="BL119" s="2305">
        <v>1178.1755365219999</v>
      </c>
      <c r="BM119" s="2305">
        <v>1179.064868147</v>
      </c>
      <c r="BN119" s="2305">
        <v>1179.064868147</v>
      </c>
      <c r="BO119" s="2305">
        <v>1179.064868147</v>
      </c>
      <c r="BP119" s="2305">
        <v>1179.064868147</v>
      </c>
    </row>
    <row r="120" spans="1:68" ht="15">
      <c r="A120" s="2602" t="s">
        <v>596</v>
      </c>
      <c r="B120" s="2603">
        <v>0</v>
      </c>
      <c r="C120" s="2603">
        <v>0</v>
      </c>
      <c r="D120" s="2603">
        <v>0</v>
      </c>
      <c r="E120" s="2603">
        <v>0</v>
      </c>
      <c r="F120" s="2603">
        <v>-1.9153993000000001E-2</v>
      </c>
      <c r="G120" s="2603">
        <v>-0.17599999999999999</v>
      </c>
      <c r="H120" s="2603">
        <v>-1.8314999999999999</v>
      </c>
      <c r="I120" s="2603">
        <v>-2.8055500000000002</v>
      </c>
      <c r="J120" s="2603">
        <v>-0.69215000000000004</v>
      </c>
      <c r="K120" s="2603">
        <v>-0.51344000000000001</v>
      </c>
      <c r="L120" s="2608">
        <v>-0.79434000000000005</v>
      </c>
      <c r="M120" s="2603">
        <v>-0.82376000000000005</v>
      </c>
      <c r="N120" s="2603">
        <v>-0.82376000000000005</v>
      </c>
      <c r="O120" s="2603">
        <v>-0.82376000000000005</v>
      </c>
      <c r="P120" s="2603">
        <v>-0.82376000000000005</v>
      </c>
      <c r="Q120" s="2603">
        <v>-0.82376000000000005</v>
      </c>
      <c r="R120" s="2603">
        <v>-0.82376000000000005</v>
      </c>
      <c r="S120" s="2603">
        <v>-0.82376000000000005</v>
      </c>
      <c r="T120" s="2603">
        <v>-0.82376000000000005</v>
      </c>
      <c r="U120" s="2603">
        <v>-0.82376000000000005</v>
      </c>
      <c r="V120" s="2603">
        <v>0</v>
      </c>
      <c r="W120" s="2605">
        <v>0</v>
      </c>
      <c r="X120" s="2606">
        <v>0</v>
      </c>
      <c r="Y120" s="2195">
        <v>0</v>
      </c>
      <c r="Z120" s="2195"/>
      <c r="AA120" s="2603"/>
      <c r="AB120" s="3072">
        <v>0</v>
      </c>
      <c r="AC120" s="2200">
        <v>0</v>
      </c>
      <c r="AD120" s="2195">
        <v>0</v>
      </c>
      <c r="AE120" s="2195">
        <v>0</v>
      </c>
      <c r="AF120" s="2195">
        <v>0</v>
      </c>
      <c r="AG120" s="3061">
        <v>0</v>
      </c>
      <c r="AH120" s="2195">
        <v>0</v>
      </c>
      <c r="AI120" s="3565">
        <v>0</v>
      </c>
      <c r="AJ120" s="3560">
        <v>0</v>
      </c>
      <c r="AK120" s="1972">
        <v>0</v>
      </c>
      <c r="AL120" s="1972">
        <v>0</v>
      </c>
      <c r="AM120" s="1972">
        <v>0</v>
      </c>
      <c r="AN120" s="1972">
        <v>0</v>
      </c>
      <c r="AO120" s="1972"/>
      <c r="AP120" s="3569"/>
      <c r="AS120" s="2305" t="s">
        <v>1467</v>
      </c>
      <c r="AT120" s="2305">
        <v>-0.82376000000000005</v>
      </c>
      <c r="AU120" s="2305">
        <v>-0.82376000000000005</v>
      </c>
      <c r="AV120" s="2305">
        <v>-0.82376000000000005</v>
      </c>
      <c r="AW120" s="2305">
        <v>-0.82376000000000005</v>
      </c>
      <c r="AX120" s="2305">
        <v>-0.82376000000000005</v>
      </c>
      <c r="AY120" s="2305">
        <v>-0.82376000000000005</v>
      </c>
      <c r="AZ120" s="2305">
        <v>-0.82376000000000005</v>
      </c>
      <c r="BA120" s="2305">
        <v>-0.82376000000000005</v>
      </c>
      <c r="BB120" s="2305">
        <v>-0.82376000000000005</v>
      </c>
      <c r="BC120" s="2305">
        <v>-0.82376000000000005</v>
      </c>
      <c r="BD120" s="2305">
        <v>-0.82376000000000005</v>
      </c>
      <c r="BE120" s="2305">
        <v>-0.82376000000000005</v>
      </c>
      <c r="BF120" s="2305">
        <v>-0.82376000000000005</v>
      </c>
      <c r="BG120" s="2305">
        <v>-0.82376000000000005</v>
      </c>
      <c r="BH120" s="2305">
        <v>-0.82376000000000005</v>
      </c>
      <c r="BI120" s="2305">
        <v>-0.82376000000000005</v>
      </c>
      <c r="BJ120" s="2305">
        <v>0</v>
      </c>
      <c r="BK120" s="2305">
        <v>0</v>
      </c>
      <c r="BL120" s="2305">
        <v>0</v>
      </c>
      <c r="BM120" s="2305">
        <v>0</v>
      </c>
      <c r="BN120" s="2305">
        <v>0</v>
      </c>
      <c r="BO120" s="2305">
        <v>0</v>
      </c>
      <c r="BP120" s="2305">
        <v>0</v>
      </c>
    </row>
    <row r="121" spans="1:68" ht="15.75">
      <c r="A121" s="2602" t="s">
        <v>597</v>
      </c>
      <c r="B121" s="2603">
        <v>0</v>
      </c>
      <c r="C121" s="2603">
        <v>0</v>
      </c>
      <c r="D121" s="2603">
        <v>0</v>
      </c>
      <c r="E121" s="2603">
        <v>0</v>
      </c>
      <c r="F121" s="2603">
        <v>0</v>
      </c>
      <c r="G121" s="2603">
        <v>0</v>
      </c>
      <c r="H121" s="2603">
        <v>0</v>
      </c>
      <c r="I121" s="2603">
        <v>0</v>
      </c>
      <c r="J121" s="2603">
        <v>0</v>
      </c>
      <c r="K121" s="2603">
        <v>0</v>
      </c>
      <c r="L121" s="2603">
        <v>0</v>
      </c>
      <c r="M121" s="2603">
        <v>0</v>
      </c>
      <c r="N121" s="2603">
        <v>0</v>
      </c>
      <c r="O121" s="2603">
        <v>0</v>
      </c>
      <c r="P121" s="2603">
        <v>0</v>
      </c>
      <c r="Q121" s="2603">
        <v>0</v>
      </c>
      <c r="R121" s="2603">
        <v>0</v>
      </c>
      <c r="S121" s="2603">
        <v>0</v>
      </c>
      <c r="T121" s="2603">
        <v>0</v>
      </c>
      <c r="U121" s="2603">
        <v>0</v>
      </c>
      <c r="V121" s="2603">
        <v>0</v>
      </c>
      <c r="W121" s="2605">
        <v>0</v>
      </c>
      <c r="X121" s="2606">
        <v>0</v>
      </c>
      <c r="Y121" s="2195">
        <v>0</v>
      </c>
      <c r="Z121" s="2195"/>
      <c r="AA121" s="2603"/>
      <c r="AB121" s="3072">
        <v>0</v>
      </c>
      <c r="AC121" s="2200">
        <v>0</v>
      </c>
      <c r="AD121" s="2195">
        <v>0</v>
      </c>
      <c r="AE121" s="2195">
        <v>0</v>
      </c>
      <c r="AF121" s="2195">
        <v>0</v>
      </c>
      <c r="AG121" s="3061">
        <v>0</v>
      </c>
      <c r="AH121" s="2195">
        <v>0</v>
      </c>
      <c r="AI121" s="3565">
        <v>0</v>
      </c>
      <c r="AJ121" s="3560">
        <v>0</v>
      </c>
      <c r="AK121" s="1972">
        <v>0</v>
      </c>
      <c r="AL121" s="1972">
        <v>0</v>
      </c>
      <c r="AM121" s="1972">
        <v>0</v>
      </c>
      <c r="AN121" s="1972">
        <v>0</v>
      </c>
      <c r="AO121" s="1972"/>
      <c r="AP121" s="3569"/>
      <c r="AQ121" s="360"/>
      <c r="AR121" s="360"/>
      <c r="AS121" s="2305" t="s">
        <v>1468</v>
      </c>
      <c r="AT121" s="2305">
        <v>0</v>
      </c>
      <c r="AU121" s="2305">
        <v>0</v>
      </c>
      <c r="AV121" s="2305">
        <v>0</v>
      </c>
      <c r="AW121" s="2305">
        <v>0</v>
      </c>
      <c r="AX121" s="2305">
        <v>0</v>
      </c>
      <c r="AY121" s="2305">
        <v>0</v>
      </c>
      <c r="AZ121" s="2305">
        <v>0</v>
      </c>
      <c r="BA121" s="2305">
        <v>0</v>
      </c>
      <c r="BB121" s="2305">
        <v>0</v>
      </c>
      <c r="BC121" s="2305">
        <v>0</v>
      </c>
      <c r="BD121" s="2305">
        <v>0</v>
      </c>
      <c r="BE121" s="2305">
        <v>0</v>
      </c>
      <c r="BF121" s="2305">
        <v>0</v>
      </c>
      <c r="BG121" s="2305">
        <v>0</v>
      </c>
      <c r="BH121" s="2305">
        <v>0</v>
      </c>
      <c r="BI121" s="2305">
        <v>0</v>
      </c>
      <c r="BJ121" s="2305">
        <v>0</v>
      </c>
      <c r="BK121" s="2305">
        <v>0</v>
      </c>
      <c r="BL121" s="2305">
        <v>0</v>
      </c>
      <c r="BM121" s="2305">
        <v>0</v>
      </c>
      <c r="BN121" s="2305">
        <v>0</v>
      </c>
      <c r="BO121" s="2305">
        <v>0</v>
      </c>
      <c r="BP121" s="2305">
        <v>0</v>
      </c>
    </row>
    <row r="122" spans="1:68" ht="15.75">
      <c r="A122" s="2602" t="s">
        <v>598</v>
      </c>
      <c r="B122" s="2603">
        <v>0</v>
      </c>
      <c r="C122" s="2603">
        <v>0</v>
      </c>
      <c r="D122" s="2603">
        <v>0</v>
      </c>
      <c r="E122" s="2603">
        <v>0</v>
      </c>
      <c r="F122" s="2603">
        <v>-1.0455488000000001E-2</v>
      </c>
      <c r="G122" s="2603">
        <v>-1.0243326740000001</v>
      </c>
      <c r="H122" s="2603">
        <v>0</v>
      </c>
      <c r="I122" s="2603">
        <v>5.9865595410000001</v>
      </c>
      <c r="J122" s="2603">
        <v>17.276091131000001</v>
      </c>
      <c r="K122" s="2603">
        <v>19.393997526</v>
      </c>
      <c r="L122" s="2608">
        <v>27.959758134000001</v>
      </c>
      <c r="M122" s="2603">
        <v>4.3024900920000002</v>
      </c>
      <c r="N122" s="2603">
        <v>-12.569673744999999</v>
      </c>
      <c r="O122" s="2603">
        <v>-6.5493252679999996</v>
      </c>
      <c r="P122" s="2603">
        <v>-5.8754680989999999</v>
      </c>
      <c r="Q122" s="2603">
        <v>10.358539447</v>
      </c>
      <c r="R122" s="2603">
        <v>14.965650460000001</v>
      </c>
      <c r="S122" s="2603">
        <v>-7.773137062</v>
      </c>
      <c r="T122" s="2603">
        <v>13.496751277</v>
      </c>
      <c r="U122" s="2603">
        <v>-22.561932248000002</v>
      </c>
      <c r="V122" s="2603">
        <v>-40.480690557000003</v>
      </c>
      <c r="W122" s="2605">
        <v>-17.778502626000002</v>
      </c>
      <c r="X122" s="2606">
        <v>-49.49</v>
      </c>
      <c r="Y122" s="2195">
        <v>-70.194908319000007</v>
      </c>
      <c r="Z122" s="2195"/>
      <c r="AA122" s="2603"/>
      <c r="AB122" s="3073">
        <v>-41.422767659000002</v>
      </c>
      <c r="AC122" s="3065">
        <v>-63.672534687000002</v>
      </c>
      <c r="AD122" s="3064">
        <v>-51.363368317000003</v>
      </c>
      <c r="AE122" s="3064">
        <v>-17.000608261</v>
      </c>
      <c r="AF122" s="3064">
        <v>-39.209406195</v>
      </c>
      <c r="AG122" s="3061">
        <v>-54.246270877999997</v>
      </c>
      <c r="AH122" s="2195">
        <v>-29.631639215</v>
      </c>
      <c r="AI122" s="3565">
        <v>-49.49</v>
      </c>
      <c r="AJ122" s="3560">
        <v>13.708111052</v>
      </c>
      <c r="AK122" s="1972">
        <v>0.76522513199999997</v>
      </c>
      <c r="AL122" s="1972">
        <v>-27.681339350999998</v>
      </c>
      <c r="AM122" s="1972">
        <v>-70.185856586</v>
      </c>
      <c r="AN122" s="1972">
        <v>-108.25947082899999</v>
      </c>
      <c r="AO122" s="1972"/>
      <c r="AP122" s="3569"/>
      <c r="AQ122" s="360"/>
      <c r="AR122" s="360"/>
      <c r="AS122" s="2305" t="s">
        <v>1469</v>
      </c>
      <c r="AT122" s="2305">
        <v>16.226773655999999</v>
      </c>
      <c r="AU122" s="2305">
        <v>17.135477127000001</v>
      </c>
      <c r="AV122" s="2305">
        <v>22.286595244000001</v>
      </c>
      <c r="AW122" s="2305">
        <v>5.5392317459999996</v>
      </c>
      <c r="AX122" s="2305">
        <v>5.4332658919999997</v>
      </c>
      <c r="AY122" s="2305">
        <v>15.570456494</v>
      </c>
      <c r="AZ122" s="2305">
        <v>9.1196274020000008</v>
      </c>
      <c r="BA122" s="2305">
        <v>-12.302588093000001</v>
      </c>
      <c r="BB122" s="2305">
        <v>-10.209125709</v>
      </c>
      <c r="BC122" s="2305">
        <v>-19.958864615</v>
      </c>
      <c r="BD122" s="2305">
        <v>-9.2188481670000009</v>
      </c>
      <c r="BE122" s="2305">
        <v>13.49702519</v>
      </c>
      <c r="BF122" s="2305">
        <v>-17.76231297</v>
      </c>
      <c r="BG122" s="2305">
        <v>-6.6237568729999996</v>
      </c>
      <c r="BH122" s="2305">
        <v>-16.213029122999998</v>
      </c>
      <c r="BI122" s="2305">
        <v>-22.525874644999998</v>
      </c>
      <c r="BJ122" s="2305">
        <v>-20.961672908000001</v>
      </c>
      <c r="BK122" s="2305">
        <v>-26.957064607</v>
      </c>
      <c r="BL122" s="2305">
        <v>-55.305450641</v>
      </c>
      <c r="BM122" s="2305">
        <v>-40.357533181000001</v>
      </c>
      <c r="BN122" s="2305">
        <v>-41.422767659000002</v>
      </c>
      <c r="BO122" s="2305">
        <v>-63.672534687000002</v>
      </c>
      <c r="BP122" s="2305">
        <v>-51.363368317000003</v>
      </c>
    </row>
    <row r="123" spans="1:68" ht="15.75">
      <c r="A123" s="2602" t="s">
        <v>599</v>
      </c>
      <c r="B123" s="2603">
        <v>0</v>
      </c>
      <c r="C123" s="2603">
        <v>0</v>
      </c>
      <c r="D123" s="2603">
        <v>0</v>
      </c>
      <c r="E123" s="2603">
        <v>0.109131197</v>
      </c>
      <c r="F123" s="2603">
        <v>13.010863598</v>
      </c>
      <c r="G123" s="2603">
        <v>0.103009261</v>
      </c>
      <c r="H123" s="2603">
        <v>0.103009261</v>
      </c>
      <c r="I123" s="2603">
        <v>0.103009261</v>
      </c>
      <c r="J123" s="2603">
        <v>0.103009261</v>
      </c>
      <c r="K123" s="2603">
        <v>0.103009261</v>
      </c>
      <c r="L123" s="2608">
        <v>67.103009260999997</v>
      </c>
      <c r="M123" s="2603">
        <v>78.666938875</v>
      </c>
      <c r="N123" s="2603">
        <v>79.400040851</v>
      </c>
      <c r="O123" s="2603">
        <v>79.036549084000001</v>
      </c>
      <c r="P123" s="2603">
        <v>126.889833508</v>
      </c>
      <c r="Q123" s="2603">
        <v>171.16059704599999</v>
      </c>
      <c r="R123" s="2603">
        <v>222.96252120299999</v>
      </c>
      <c r="S123" s="2603">
        <v>307.52657322900001</v>
      </c>
      <c r="T123" s="2603">
        <v>442.37157994099999</v>
      </c>
      <c r="U123" s="2603">
        <v>570.49162564300002</v>
      </c>
      <c r="V123" s="2603">
        <v>1086.2707260479999</v>
      </c>
      <c r="W123" s="2605">
        <v>1549.85093992</v>
      </c>
      <c r="X123" s="2605">
        <v>2033.29</v>
      </c>
      <c r="Y123" s="2195">
        <v>1556.9328919520001</v>
      </c>
      <c r="Z123" s="2195"/>
      <c r="AA123" s="2603"/>
      <c r="AB123" s="3072">
        <v>1134.1172625060001</v>
      </c>
      <c r="AC123" s="2200">
        <v>1186.16299534</v>
      </c>
      <c r="AD123" s="2195">
        <v>1278.251861087</v>
      </c>
      <c r="AE123" s="2195">
        <v>1559.995344872</v>
      </c>
      <c r="AF123" s="2195">
        <v>1626.77663059</v>
      </c>
      <c r="AG123" s="3061">
        <v>1689.8002192619999</v>
      </c>
      <c r="AH123" s="2195">
        <v>1785.8713479119999</v>
      </c>
      <c r="AI123" s="3568">
        <v>2033.29</v>
      </c>
      <c r="AJ123" s="3560">
        <v>2071.0743071010002</v>
      </c>
      <c r="AK123" s="1972">
        <v>1153.1429430640001</v>
      </c>
      <c r="AL123" s="1972">
        <v>1237.8654696000001</v>
      </c>
      <c r="AM123" s="1972">
        <v>1575.367587172</v>
      </c>
      <c r="AN123" s="1972">
        <v>1326.4454134949999</v>
      </c>
      <c r="AO123" s="1972"/>
      <c r="AP123" s="3569"/>
      <c r="AQ123" s="360"/>
      <c r="AR123" s="360"/>
      <c r="AS123" s="2305" t="s">
        <v>1470</v>
      </c>
      <c r="AT123" s="2305">
        <v>173.708814233</v>
      </c>
      <c r="AU123" s="2305">
        <v>167.07747688800001</v>
      </c>
      <c r="AV123" s="2305">
        <v>167.09418698499999</v>
      </c>
      <c r="AW123" s="2305">
        <v>223.90892827600001</v>
      </c>
      <c r="AX123" s="2305">
        <v>226.33264397100001</v>
      </c>
      <c r="AY123" s="2305">
        <v>221.22943740100001</v>
      </c>
      <c r="AZ123" s="2305">
        <v>221.55426239799999</v>
      </c>
      <c r="BA123" s="2305">
        <v>307.52657322900001</v>
      </c>
      <c r="BB123" s="2305">
        <v>325.35098428399999</v>
      </c>
      <c r="BC123" s="2305">
        <v>342.76960741400001</v>
      </c>
      <c r="BD123" s="2305">
        <v>330.12483070799999</v>
      </c>
      <c r="BE123" s="2305">
        <v>440.634735853</v>
      </c>
      <c r="BF123" s="2305">
        <v>462.731536495</v>
      </c>
      <c r="BG123" s="2305">
        <v>501.599626887</v>
      </c>
      <c r="BH123" s="2305">
        <v>517.940941802</v>
      </c>
      <c r="BI123" s="2305">
        <v>574.902605021</v>
      </c>
      <c r="BJ123" s="2305">
        <v>567.06724297300002</v>
      </c>
      <c r="BK123" s="2305">
        <v>703.06029712899999</v>
      </c>
      <c r="BL123" s="2305">
        <v>709.31383299900006</v>
      </c>
      <c r="BM123" s="2305">
        <v>1079.641024169</v>
      </c>
      <c r="BN123" s="2305">
        <v>1134.1172625060001</v>
      </c>
      <c r="BO123" s="2305">
        <v>1186.16299534</v>
      </c>
      <c r="BP123" s="2305">
        <v>1278.251861087</v>
      </c>
    </row>
    <row r="124" spans="1:68" ht="15.75">
      <c r="A124" s="2602" t="s">
        <v>600</v>
      </c>
      <c r="B124" s="2603">
        <v>0</v>
      </c>
      <c r="C124" s="2603">
        <v>0</v>
      </c>
      <c r="D124" s="2603">
        <v>0</v>
      </c>
      <c r="E124" s="2603">
        <v>0</v>
      </c>
      <c r="F124" s="2603">
        <v>0</v>
      </c>
      <c r="G124" s="2603">
        <v>0</v>
      </c>
      <c r="H124" s="2603">
        <v>0</v>
      </c>
      <c r="I124" s="2603">
        <v>0</v>
      </c>
      <c r="J124" s="2603">
        <v>0</v>
      </c>
      <c r="K124" s="2603">
        <v>0</v>
      </c>
      <c r="L124" s="2603">
        <v>0</v>
      </c>
      <c r="M124" s="2603">
        <v>0</v>
      </c>
      <c r="N124" s="2603">
        <v>0</v>
      </c>
      <c r="O124" s="2603">
        <v>0</v>
      </c>
      <c r="P124" s="2603">
        <v>0</v>
      </c>
      <c r="Q124" s="2603">
        <v>0</v>
      </c>
      <c r="R124" s="2603">
        <v>0</v>
      </c>
      <c r="S124" s="2603">
        <v>0</v>
      </c>
      <c r="T124" s="2603">
        <v>0</v>
      </c>
      <c r="U124" s="2603">
        <v>0</v>
      </c>
      <c r="V124" s="2603">
        <v>0</v>
      </c>
      <c r="W124" s="2605">
        <v>0</v>
      </c>
      <c r="X124" s="2606">
        <v>0</v>
      </c>
      <c r="Y124" s="2195">
        <v>0</v>
      </c>
      <c r="Z124" s="2195"/>
      <c r="AA124" s="2603"/>
      <c r="AB124" s="3072">
        <v>0</v>
      </c>
      <c r="AC124" s="2200">
        <v>0</v>
      </c>
      <c r="AD124" s="2195">
        <v>0</v>
      </c>
      <c r="AE124" s="2195">
        <v>0</v>
      </c>
      <c r="AF124" s="2195">
        <v>0</v>
      </c>
      <c r="AG124" s="3061">
        <v>0</v>
      </c>
      <c r="AH124" s="2195">
        <v>0</v>
      </c>
      <c r="AI124" s="3565">
        <v>0</v>
      </c>
      <c r="AJ124" s="3560">
        <v>0</v>
      </c>
      <c r="AK124" s="1972">
        <v>0</v>
      </c>
      <c r="AL124" s="1972">
        <v>0</v>
      </c>
      <c r="AM124" s="1972">
        <v>0</v>
      </c>
      <c r="AN124" s="1972"/>
      <c r="AO124" s="1972"/>
      <c r="AP124" s="3569"/>
      <c r="AQ124" s="360"/>
      <c r="AR124" s="360"/>
      <c r="AS124" s="2305" t="s">
        <v>1471</v>
      </c>
      <c r="AT124" s="2305">
        <v>0</v>
      </c>
      <c r="AU124" s="2305">
        <v>0</v>
      </c>
      <c r="AV124" s="2305">
        <v>0</v>
      </c>
      <c r="AW124" s="2305">
        <v>0</v>
      </c>
      <c r="AX124" s="2305">
        <v>0</v>
      </c>
      <c r="AY124" s="2305">
        <v>0</v>
      </c>
      <c r="AZ124" s="2305">
        <v>0</v>
      </c>
      <c r="BA124" s="2305">
        <v>0</v>
      </c>
      <c r="BB124" s="2305">
        <v>0</v>
      </c>
      <c r="BC124" s="2305">
        <v>0</v>
      </c>
      <c r="BD124" s="2305">
        <v>0</v>
      </c>
      <c r="BE124" s="2305">
        <v>0</v>
      </c>
      <c r="BF124" s="2305">
        <v>0</v>
      </c>
      <c r="BG124" s="2305">
        <v>0</v>
      </c>
      <c r="BH124" s="2305">
        <v>0</v>
      </c>
      <c r="BI124" s="2305">
        <v>0</v>
      </c>
      <c r="BJ124" s="2305">
        <v>0</v>
      </c>
      <c r="BK124" s="2305">
        <v>0</v>
      </c>
      <c r="BL124" s="2305">
        <v>0</v>
      </c>
      <c r="BM124" s="2305">
        <v>0</v>
      </c>
      <c r="BN124" s="2305">
        <v>0</v>
      </c>
      <c r="BO124" s="2305">
        <v>0</v>
      </c>
      <c r="BP124" s="2305">
        <v>0</v>
      </c>
    </row>
    <row r="125" spans="1:68" ht="15.75">
      <c r="A125" s="2602" t="s">
        <v>601</v>
      </c>
      <c r="B125" s="2603">
        <v>0</v>
      </c>
      <c r="C125" s="2603">
        <v>0</v>
      </c>
      <c r="D125" s="2603">
        <v>0</v>
      </c>
      <c r="E125" s="2603">
        <v>21.734908037</v>
      </c>
      <c r="F125" s="2603">
        <v>37.502533397000001</v>
      </c>
      <c r="G125" s="2603">
        <v>60.270389598999998</v>
      </c>
      <c r="H125" s="2603">
        <v>0</v>
      </c>
      <c r="I125" s="2603">
        <v>111.958145891</v>
      </c>
      <c r="J125" s="2603">
        <v>0</v>
      </c>
      <c r="K125" s="2603">
        <v>115.47608921699999</v>
      </c>
      <c r="L125" s="2603">
        <v>0</v>
      </c>
      <c r="M125" s="2603">
        <v>0</v>
      </c>
      <c r="N125" s="2603">
        <v>0</v>
      </c>
      <c r="O125" s="2603">
        <v>0</v>
      </c>
      <c r="P125" s="2603">
        <v>0</v>
      </c>
      <c r="Q125" s="2603">
        <v>0</v>
      </c>
      <c r="R125" s="2603">
        <v>0</v>
      </c>
      <c r="S125" s="2603">
        <v>0</v>
      </c>
      <c r="T125" s="2603">
        <v>0</v>
      </c>
      <c r="U125" s="2603">
        <v>0</v>
      </c>
      <c r="V125" s="2603">
        <v>0</v>
      </c>
      <c r="W125" s="2603">
        <v>0</v>
      </c>
      <c r="X125" s="2606"/>
      <c r="Y125" s="2195"/>
      <c r="Z125" s="2195"/>
      <c r="AA125" s="2603"/>
      <c r="AB125" s="3072">
        <v>0</v>
      </c>
      <c r="AC125" s="2200"/>
      <c r="AD125" s="2195"/>
      <c r="AE125" s="2195"/>
      <c r="AF125" s="2195"/>
      <c r="AG125" s="3061"/>
      <c r="AH125" s="2195"/>
      <c r="AI125" s="3565"/>
      <c r="AJ125" s="3560"/>
      <c r="AK125" s="1972"/>
      <c r="AL125" s="1972"/>
      <c r="AM125" s="1972"/>
      <c r="AN125" s="1972"/>
      <c r="AO125" s="1972"/>
      <c r="AP125" s="3569"/>
      <c r="AQ125" s="360"/>
      <c r="AR125" s="360"/>
      <c r="AS125" s="2305" t="s">
        <v>1472</v>
      </c>
      <c r="AT125" s="2305"/>
      <c r="AU125" s="2305"/>
      <c r="AV125" s="2305"/>
      <c r="AW125" s="2305"/>
      <c r="AX125" s="2305"/>
      <c r="AY125" s="2305"/>
      <c r="AZ125" s="2305"/>
      <c r="BA125" s="2305"/>
      <c r="BB125" s="2305"/>
      <c r="BC125" s="2305"/>
      <c r="BD125" s="2305"/>
      <c r="BE125" s="2305"/>
      <c r="BF125" s="2305"/>
      <c r="BG125" s="2305"/>
      <c r="BH125" s="2305"/>
      <c r="BI125" s="2305"/>
      <c r="BJ125" s="2305"/>
      <c r="BK125" s="2305"/>
      <c r="BL125" s="2305"/>
      <c r="BM125" s="2305"/>
      <c r="BN125" s="2305"/>
      <c r="BO125" s="2305"/>
      <c r="BP125" s="2305"/>
    </row>
    <row r="126" spans="1:68" ht="15.75">
      <c r="A126" s="2602" t="s">
        <v>602</v>
      </c>
      <c r="B126" s="2603">
        <v>1.254</v>
      </c>
      <c r="C126" s="2603">
        <v>19.7</v>
      </c>
      <c r="D126" s="2603">
        <v>8.8550000000000004</v>
      </c>
      <c r="E126" s="2603">
        <v>0</v>
      </c>
      <c r="F126" s="2603">
        <v>0</v>
      </c>
      <c r="G126" s="2603">
        <v>0</v>
      </c>
      <c r="H126" s="2603">
        <v>110.730276702</v>
      </c>
      <c r="I126" s="2603">
        <v>0</v>
      </c>
      <c r="J126" s="2603">
        <v>112.945897606</v>
      </c>
      <c r="K126" s="2603">
        <v>0</v>
      </c>
      <c r="L126" s="2608">
        <v>115.47714485500001</v>
      </c>
      <c r="M126" s="2603">
        <v>114.943857509</v>
      </c>
      <c r="N126" s="2603">
        <v>87.203093023999998</v>
      </c>
      <c r="O126" s="2603">
        <v>87.227790014000007</v>
      </c>
      <c r="P126" s="2603">
        <v>87.227200764000003</v>
      </c>
      <c r="Q126" s="2603">
        <v>87.230351424000006</v>
      </c>
      <c r="R126" s="2603">
        <v>87.230283704000001</v>
      </c>
      <c r="S126" s="2603">
        <v>102.98553179</v>
      </c>
      <c r="T126" s="2603">
        <v>87.203093023999998</v>
      </c>
      <c r="U126" s="2603">
        <v>87.203093023999998</v>
      </c>
      <c r="V126" s="2603">
        <v>87.203093023999998</v>
      </c>
      <c r="W126" s="2609">
        <v>87.203093023999998</v>
      </c>
      <c r="X126" s="2606">
        <v>87.73</v>
      </c>
      <c r="Y126" s="2195">
        <v>88.263628886999996</v>
      </c>
      <c r="Z126" s="2195"/>
      <c r="AA126" s="2603"/>
      <c r="AB126" s="3072">
        <v>87.203093023999998</v>
      </c>
      <c r="AC126" s="2200">
        <v>87.203093023999998</v>
      </c>
      <c r="AD126" s="2195">
        <v>87.203093023999998</v>
      </c>
      <c r="AE126" s="2195">
        <v>87.203093023999998</v>
      </c>
      <c r="AF126" s="2195">
        <v>87.730484825000005</v>
      </c>
      <c r="AG126" s="3061">
        <v>87.730484825000005</v>
      </c>
      <c r="AH126" s="2195">
        <v>87.730484825000005</v>
      </c>
      <c r="AI126" s="3565">
        <v>87.73</v>
      </c>
      <c r="AJ126" s="3560">
        <v>91.579141773999993</v>
      </c>
      <c r="AK126" s="1972">
        <v>87.328710821000001</v>
      </c>
      <c r="AL126" s="1972">
        <v>88.263628886999996</v>
      </c>
      <c r="AM126" s="1972">
        <v>88.263628886999996</v>
      </c>
      <c r="AN126" s="1972">
        <v>91.013628886999996</v>
      </c>
      <c r="AO126" s="1972"/>
      <c r="AP126" s="3569"/>
      <c r="AQ126" s="360"/>
      <c r="AR126" s="360"/>
      <c r="AS126" s="2305" t="s">
        <v>1473</v>
      </c>
      <c r="AT126" s="2305">
        <v>87.231276674</v>
      </c>
      <c r="AU126" s="2305">
        <v>87.230135824000001</v>
      </c>
      <c r="AV126" s="2305">
        <v>87.248317474000004</v>
      </c>
      <c r="AW126" s="2305">
        <v>87.230283704000001</v>
      </c>
      <c r="AX126" s="2305">
        <v>87.229672043999997</v>
      </c>
      <c r="AY126" s="2305">
        <v>87.230268654</v>
      </c>
      <c r="AZ126" s="2305">
        <v>87.229090503999998</v>
      </c>
      <c r="BA126" s="2305">
        <v>102.98553179</v>
      </c>
      <c r="BB126" s="2305">
        <v>102.98553179</v>
      </c>
      <c r="BC126" s="2305">
        <v>87.203093023999998</v>
      </c>
      <c r="BD126" s="2305">
        <v>87.203093023999998</v>
      </c>
      <c r="BE126" s="2305">
        <v>87.203093023999998</v>
      </c>
      <c r="BF126" s="2305">
        <v>87.203093023999998</v>
      </c>
      <c r="BG126" s="2305">
        <v>87.203093023999998</v>
      </c>
      <c r="BH126" s="2305">
        <v>87.203093023999998</v>
      </c>
      <c r="BI126" s="2305">
        <v>87.203093023999998</v>
      </c>
      <c r="BJ126" s="2305">
        <v>87.203093023999998</v>
      </c>
      <c r="BK126" s="2305">
        <v>87.203093023999998</v>
      </c>
      <c r="BL126" s="2305">
        <v>87.203093023999998</v>
      </c>
      <c r="BM126" s="2305">
        <v>87.203093023999998</v>
      </c>
      <c r="BN126" s="2305">
        <v>87.203093023999998</v>
      </c>
      <c r="BO126" s="2305">
        <v>87.203093023999998</v>
      </c>
      <c r="BP126" s="2305">
        <v>87.203093023999998</v>
      </c>
    </row>
    <row r="127" spans="1:68" ht="15.75">
      <c r="A127" s="2602" t="s">
        <v>603</v>
      </c>
      <c r="B127" s="2603">
        <v>0</v>
      </c>
      <c r="C127" s="2603">
        <v>0</v>
      </c>
      <c r="D127" s="2603">
        <v>0</v>
      </c>
      <c r="E127" s="2603">
        <v>0</v>
      </c>
      <c r="F127" s="2603">
        <v>353.29446341599999</v>
      </c>
      <c r="G127" s="2603">
        <v>431.91679756600001</v>
      </c>
      <c r="H127" s="2603">
        <v>798.00915914500001</v>
      </c>
      <c r="I127" s="2603">
        <v>1391.087804643</v>
      </c>
      <c r="J127" s="2603">
        <v>1856.200376305</v>
      </c>
      <c r="K127" s="2603">
        <v>3173.421484165</v>
      </c>
      <c r="L127" s="2608">
        <v>3181.3124609870001</v>
      </c>
      <c r="M127" s="2603">
        <v>4207.3418847949997</v>
      </c>
      <c r="N127" s="2603">
        <v>4268.1536384889996</v>
      </c>
      <c r="O127" s="2603">
        <v>4394.5547490250001</v>
      </c>
      <c r="P127" s="2603">
        <v>4614.3398625030004</v>
      </c>
      <c r="Q127" s="2603">
        <v>5511.4086502059999</v>
      </c>
      <c r="R127" s="2603">
        <v>5293.166046073</v>
      </c>
      <c r="S127" s="2603">
        <v>5960.6769564690003</v>
      </c>
      <c r="T127" s="2603">
        <v>6390.9061284520003</v>
      </c>
      <c r="U127" s="2603">
        <v>7000.4805850040002</v>
      </c>
      <c r="V127" s="2603">
        <v>7711.6814845409999</v>
      </c>
      <c r="W127" s="2605">
        <v>8674.1267086700009</v>
      </c>
      <c r="X127" s="2605">
        <v>11030.53</v>
      </c>
      <c r="Y127" s="2195">
        <v>14324.284500434</v>
      </c>
      <c r="Z127" s="2195"/>
      <c r="AA127" s="2603"/>
      <c r="AB127" s="3072">
        <v>9207.1274010830002</v>
      </c>
      <c r="AC127" s="2200">
        <v>10666.118581987999</v>
      </c>
      <c r="AD127" s="2195">
        <v>8388.7755791029995</v>
      </c>
      <c r="AE127" s="2195">
        <v>8679.2085025279994</v>
      </c>
      <c r="AF127" s="2195">
        <v>10478.838767447</v>
      </c>
      <c r="AG127" s="3061">
        <v>9176.6858977949996</v>
      </c>
      <c r="AH127" s="2195">
        <v>11263.802921306</v>
      </c>
      <c r="AI127" s="3568">
        <v>11030.53</v>
      </c>
      <c r="AJ127" s="3560">
        <v>13205.526456322999</v>
      </c>
      <c r="AK127" s="1972">
        <v>13754.625963365999</v>
      </c>
      <c r="AL127" s="1972">
        <v>13905.342142939</v>
      </c>
      <c r="AM127" s="1972">
        <v>14302.416791936001</v>
      </c>
      <c r="AN127" s="1972">
        <v>19702.755221930001</v>
      </c>
      <c r="AO127" s="1972"/>
      <c r="AP127" s="3569"/>
      <c r="AQ127" s="360"/>
      <c r="AR127" s="360"/>
      <c r="AS127" s="2305" t="s">
        <v>1474</v>
      </c>
      <c r="AT127" s="2305">
        <v>6019.6746809160004</v>
      </c>
      <c r="AU127" s="2305">
        <v>4670.5054512799998</v>
      </c>
      <c r="AV127" s="2305">
        <v>4776.1132781810002</v>
      </c>
      <c r="AW127" s="2305">
        <v>5289.5207818019999</v>
      </c>
      <c r="AX127" s="2305">
        <v>5912.1322787130002</v>
      </c>
      <c r="AY127" s="2305">
        <v>5367.1902309719999</v>
      </c>
      <c r="AZ127" s="2305">
        <v>5649.0740930960001</v>
      </c>
      <c r="BA127" s="2305">
        <v>5999.4654265890003</v>
      </c>
      <c r="BB127" s="2305">
        <v>6687.4119388130002</v>
      </c>
      <c r="BC127" s="2305">
        <v>5744.6868066119996</v>
      </c>
      <c r="BD127" s="2305">
        <v>5843.096960248</v>
      </c>
      <c r="BE127" s="2305">
        <v>6390.6301357230004</v>
      </c>
      <c r="BF127" s="2305">
        <v>7294.1175789939998</v>
      </c>
      <c r="BG127" s="2305">
        <v>5900.973399171</v>
      </c>
      <c r="BH127" s="2305">
        <v>6089.2710196750004</v>
      </c>
      <c r="BI127" s="2305">
        <v>6997.8499460820003</v>
      </c>
      <c r="BJ127" s="2305">
        <v>8244.3156832889999</v>
      </c>
      <c r="BK127" s="2305">
        <v>6595.2167507419999</v>
      </c>
      <c r="BL127" s="2305">
        <v>6953.1694661459996</v>
      </c>
      <c r="BM127" s="2305">
        <v>7704.0797856790005</v>
      </c>
      <c r="BN127" s="2305">
        <v>9207.1274010830002</v>
      </c>
      <c r="BO127" s="2305">
        <v>10666.118581987999</v>
      </c>
      <c r="BP127" s="2305">
        <v>8388.7755791029995</v>
      </c>
    </row>
    <row r="128" spans="1:68" ht="15">
      <c r="A128" s="2602" t="s">
        <v>604</v>
      </c>
      <c r="B128" s="2603">
        <v>0</v>
      </c>
      <c r="C128" s="2603">
        <v>0</v>
      </c>
      <c r="D128" s="2603">
        <v>0</v>
      </c>
      <c r="E128" s="2603">
        <v>0</v>
      </c>
      <c r="F128" s="2603">
        <v>0</v>
      </c>
      <c r="G128" s="2603">
        <v>0</v>
      </c>
      <c r="H128" s="2603">
        <v>0</v>
      </c>
      <c r="I128" s="2603">
        <v>0</v>
      </c>
      <c r="J128" s="2603">
        <v>0</v>
      </c>
      <c r="K128" s="2603">
        <v>0</v>
      </c>
      <c r="L128" s="2603">
        <v>0</v>
      </c>
      <c r="M128" s="2603">
        <v>0</v>
      </c>
      <c r="N128" s="2603">
        <v>3138.8368391650001</v>
      </c>
      <c r="O128" s="2603">
        <v>3051.11385569</v>
      </c>
      <c r="P128" s="2603">
        <v>3083.0415921120002</v>
      </c>
      <c r="Q128" s="2603">
        <v>3323.0861967279998</v>
      </c>
      <c r="R128" s="2603">
        <v>3515.481219969</v>
      </c>
      <c r="S128" s="2603">
        <v>3503.602891815</v>
      </c>
      <c r="T128" s="2603">
        <v>4049.8553545499999</v>
      </c>
      <c r="U128" s="2603">
        <v>3967.085558748</v>
      </c>
      <c r="V128" s="2603">
        <v>4103.7874476010002</v>
      </c>
      <c r="W128" s="2605">
        <v>4471.8959184639998</v>
      </c>
      <c r="X128" s="2605">
        <v>5458.23</v>
      </c>
      <c r="Y128" s="2195">
        <v>7399.7999853109995</v>
      </c>
      <c r="Z128" s="2195"/>
      <c r="AA128" s="2603"/>
      <c r="AB128" s="3072">
        <v>7713.5648201929998</v>
      </c>
      <c r="AC128" s="2200">
        <v>7663.6484145140003</v>
      </c>
      <c r="AD128" s="2195">
        <v>5190.1169690639999</v>
      </c>
      <c r="AE128" s="2195">
        <v>4470.5786640529996</v>
      </c>
      <c r="AF128" s="2195">
        <v>8680.7723470260007</v>
      </c>
      <c r="AG128" s="3061">
        <v>5504.8402834950002</v>
      </c>
      <c r="AH128" s="2195">
        <v>5501.7850867369998</v>
      </c>
      <c r="AI128" s="3568">
        <v>5458.23</v>
      </c>
      <c r="AJ128" s="3560">
        <v>11031.225069798</v>
      </c>
      <c r="AK128" s="1972">
        <v>9318.3749757810001</v>
      </c>
      <c r="AL128" s="1972">
        <v>7034.2620591289997</v>
      </c>
      <c r="AM128" s="1972">
        <v>7369.5822151780003</v>
      </c>
      <c r="AN128" s="1972">
        <v>17215.383634831</v>
      </c>
      <c r="AO128" s="1972"/>
      <c r="AP128" s="3569"/>
      <c r="AS128" s="2305" t="s">
        <v>1475</v>
      </c>
      <c r="AT128" s="2305">
        <v>5510.6609588049996</v>
      </c>
      <c r="AU128" s="2305">
        <v>3567.2093832959999</v>
      </c>
      <c r="AV128" s="2305">
        <v>3561.453681597</v>
      </c>
      <c r="AW128" s="2305">
        <v>3515.481219968</v>
      </c>
      <c r="AX128" s="2305">
        <v>5285.8280023919997</v>
      </c>
      <c r="AY128" s="2305">
        <v>3949.1816714219999</v>
      </c>
      <c r="AZ128" s="2305">
        <v>3949.2338347039999</v>
      </c>
      <c r="BA128" s="2305">
        <v>2766.0295717479999</v>
      </c>
      <c r="BB128" s="2305">
        <v>5940.306799772</v>
      </c>
      <c r="BC128" s="2305">
        <v>4118.8722156579997</v>
      </c>
      <c r="BD128" s="2305">
        <v>4072.2986130579998</v>
      </c>
      <c r="BE128" s="2305">
        <v>4049.8553545509999</v>
      </c>
      <c r="BF128" s="2305">
        <v>6387.9748978110001</v>
      </c>
      <c r="BG128" s="2305">
        <v>3994.895351529</v>
      </c>
      <c r="BH128" s="2305">
        <v>3964.9923087669999</v>
      </c>
      <c r="BI128" s="2305">
        <v>3966.7594301989998</v>
      </c>
      <c r="BJ128" s="2305">
        <v>7005.423492723</v>
      </c>
      <c r="BK128" s="2305">
        <v>4104.2528742040004</v>
      </c>
      <c r="BL128" s="2305">
        <v>4107.0424072830001</v>
      </c>
      <c r="BM128" s="2305">
        <v>4103.7874476010002</v>
      </c>
      <c r="BN128" s="2305">
        <v>7713.5648201929998</v>
      </c>
      <c r="BO128" s="2305">
        <v>7663.6484145140003</v>
      </c>
      <c r="BP128" s="2305">
        <v>5190.1169690639999</v>
      </c>
    </row>
    <row r="129" spans="1:68" ht="15">
      <c r="A129" s="2602" t="s">
        <v>605</v>
      </c>
      <c r="B129" s="2603">
        <v>0</v>
      </c>
      <c r="C129" s="2603">
        <v>0</v>
      </c>
      <c r="D129" s="2603">
        <v>0</v>
      </c>
      <c r="E129" s="2603">
        <v>0</v>
      </c>
      <c r="F129" s="2603">
        <v>353.29446341599999</v>
      </c>
      <c r="G129" s="2603">
        <v>431.91679756600001</v>
      </c>
      <c r="H129" s="2603">
        <v>798.00915914500001</v>
      </c>
      <c r="I129" s="2603">
        <v>1391.087804643</v>
      </c>
      <c r="J129" s="2603">
        <v>1856.200376305</v>
      </c>
      <c r="K129" s="2603">
        <v>3173.421484165</v>
      </c>
      <c r="L129" s="2603">
        <v>3181.3124609870001</v>
      </c>
      <c r="M129" s="2603">
        <v>4207.3418847949997</v>
      </c>
      <c r="N129" s="2603">
        <v>1129.3167993239999</v>
      </c>
      <c r="O129" s="2603">
        <v>1343.4408933350001</v>
      </c>
      <c r="P129" s="2603">
        <v>1531.298270391</v>
      </c>
      <c r="Q129" s="2603">
        <v>2188.3224534780002</v>
      </c>
      <c r="R129" s="2603">
        <v>1777.684826104</v>
      </c>
      <c r="S129" s="2603">
        <v>2457.0740646539998</v>
      </c>
      <c r="T129" s="2603">
        <v>2341.0507739019999</v>
      </c>
      <c r="U129" s="2603">
        <v>3033.3950262560002</v>
      </c>
      <c r="V129" s="2603">
        <v>3607.8940369400002</v>
      </c>
      <c r="W129" s="2605">
        <v>4202.2307902060002</v>
      </c>
      <c r="X129" s="2605">
        <v>5572.3</v>
      </c>
      <c r="Y129" s="2195">
        <v>6924.4845151230002</v>
      </c>
      <c r="Z129" s="2195"/>
      <c r="AA129" s="2603"/>
      <c r="AB129" s="3072">
        <v>1493.5625808899999</v>
      </c>
      <c r="AC129" s="2200">
        <v>3002.4701674739999</v>
      </c>
      <c r="AD129" s="2195">
        <v>3198.658610039</v>
      </c>
      <c r="AE129" s="2195">
        <v>4208.6298384749998</v>
      </c>
      <c r="AF129" s="2195">
        <v>1798.066420421</v>
      </c>
      <c r="AG129" s="3061">
        <v>3671.8456142999999</v>
      </c>
      <c r="AH129" s="2195">
        <v>5762.0178345690001</v>
      </c>
      <c r="AI129" s="3568">
        <v>5572.3</v>
      </c>
      <c r="AJ129" s="3560">
        <v>2174.301386525</v>
      </c>
      <c r="AK129" s="1972">
        <v>4436.2509875850001</v>
      </c>
      <c r="AL129" s="1972">
        <v>6871.0800838100004</v>
      </c>
      <c r="AM129" s="1972">
        <v>6932.8345767580004</v>
      </c>
      <c r="AN129" s="1972">
        <v>2487.371587099</v>
      </c>
      <c r="AO129" s="1972"/>
      <c r="AP129" s="3569"/>
      <c r="AS129" s="2305" t="s">
        <v>1476</v>
      </c>
      <c r="AT129" s="2305">
        <v>509.01372211099999</v>
      </c>
      <c r="AU129" s="2305">
        <v>1103.296067984</v>
      </c>
      <c r="AV129" s="2305">
        <v>1214.6595965839999</v>
      </c>
      <c r="AW129" s="2305">
        <v>1774.0395618340001</v>
      </c>
      <c r="AX129" s="2305">
        <v>626.30427632099997</v>
      </c>
      <c r="AY129" s="2305">
        <v>1418.00855955</v>
      </c>
      <c r="AZ129" s="2305">
        <v>1699.8402583919999</v>
      </c>
      <c r="BA129" s="2305">
        <v>3233.435854841</v>
      </c>
      <c r="BB129" s="2305">
        <v>747.10513904100003</v>
      </c>
      <c r="BC129" s="2305">
        <v>1625.8145909540001</v>
      </c>
      <c r="BD129" s="2305">
        <v>1770.79834719</v>
      </c>
      <c r="BE129" s="2305">
        <v>2340.7747811720001</v>
      </c>
      <c r="BF129" s="2305">
        <v>906.14268118300004</v>
      </c>
      <c r="BG129" s="2305">
        <v>1906.078047642</v>
      </c>
      <c r="BH129" s="2305">
        <v>2124.278710908</v>
      </c>
      <c r="BI129" s="2305">
        <v>3031.0905158830001</v>
      </c>
      <c r="BJ129" s="2305">
        <v>1238.892190566</v>
      </c>
      <c r="BK129" s="2305">
        <v>2490.963876538</v>
      </c>
      <c r="BL129" s="2305">
        <v>2846.127058863</v>
      </c>
      <c r="BM129" s="2305">
        <v>3600.2923380779998</v>
      </c>
      <c r="BN129" s="2305">
        <v>1493.5625808899999</v>
      </c>
      <c r="BO129" s="2305">
        <v>3002.4701674739999</v>
      </c>
      <c r="BP129" s="2305">
        <v>3198.658610039</v>
      </c>
    </row>
    <row r="130" spans="1:68" ht="15.75">
      <c r="A130" s="2602" t="s">
        <v>606</v>
      </c>
      <c r="B130" s="2603">
        <v>0</v>
      </c>
      <c r="C130" s="2603">
        <v>0</v>
      </c>
      <c r="D130" s="2603">
        <v>0</v>
      </c>
      <c r="E130" s="2603">
        <v>0</v>
      </c>
      <c r="F130" s="2603">
        <v>0</v>
      </c>
      <c r="G130" s="2603">
        <v>0</v>
      </c>
      <c r="H130" s="2603">
        <v>0</v>
      </c>
      <c r="I130" s="2603">
        <v>0</v>
      </c>
      <c r="J130" s="2603">
        <v>0</v>
      </c>
      <c r="K130" s="2603">
        <v>0</v>
      </c>
      <c r="L130" s="2603">
        <v>0</v>
      </c>
      <c r="M130" s="2603">
        <v>0</v>
      </c>
      <c r="N130" s="2603">
        <v>1344.473716274</v>
      </c>
      <c r="O130" s="2603">
        <v>1601.307646967</v>
      </c>
      <c r="P130" s="2603">
        <v>1922.952382942</v>
      </c>
      <c r="Q130" s="2603">
        <v>1809.3855793969999</v>
      </c>
      <c r="R130" s="2603">
        <v>2301.8513291969998</v>
      </c>
      <c r="S130" s="2603">
        <v>2835.0864503610001</v>
      </c>
      <c r="T130" s="2603">
        <v>2860.0941244239998</v>
      </c>
      <c r="U130" s="2603">
        <v>3477.0411388369998</v>
      </c>
      <c r="V130" s="2603">
        <v>4309.6562731980002</v>
      </c>
      <c r="W130" s="2605">
        <v>4958.8548556870001</v>
      </c>
      <c r="X130" s="2605">
        <v>5933.31</v>
      </c>
      <c r="Y130" s="2195">
        <v>7265.098386273</v>
      </c>
      <c r="Z130" s="2195"/>
      <c r="AA130" s="2603"/>
      <c r="AB130" s="3072">
        <v>4472.3604234779996</v>
      </c>
      <c r="AC130" s="2200">
        <v>4444.6714458409997</v>
      </c>
      <c r="AD130" s="2195">
        <v>4771.5716332430002</v>
      </c>
      <c r="AE130" s="2195">
        <v>4958.194500693</v>
      </c>
      <c r="AF130" s="2195">
        <v>4892.7328847250001</v>
      </c>
      <c r="AG130" s="3061">
        <v>5299.2463715200001</v>
      </c>
      <c r="AH130" s="2195">
        <v>5671.3875318250002</v>
      </c>
      <c r="AI130" s="3566">
        <v>5933.31</v>
      </c>
      <c r="AJ130" s="3560">
        <v>5822.5989338270001</v>
      </c>
      <c r="AK130" s="1972">
        <v>6569.5318770200001</v>
      </c>
      <c r="AL130" s="1972">
        <v>7039.6522150350002</v>
      </c>
      <c r="AM130" s="1972">
        <v>7265.0968027669996</v>
      </c>
      <c r="AN130" s="1972">
        <v>1170.029477216</v>
      </c>
      <c r="AO130" s="1972"/>
      <c r="AP130" s="3569"/>
      <c r="AQ130" s="1068"/>
      <c r="AR130" s="1068"/>
      <c r="AS130" s="2305" t="s">
        <v>1477</v>
      </c>
      <c r="AT130" s="2305">
        <v>1954.1622802259999</v>
      </c>
      <c r="AU130" s="2305">
        <v>2123.891391702</v>
      </c>
      <c r="AV130" s="2305">
        <v>2292.3370078190001</v>
      </c>
      <c r="AW130" s="2305">
        <v>2301.8152305630001</v>
      </c>
      <c r="AX130" s="2305">
        <v>2443.8152650470001</v>
      </c>
      <c r="AY130" s="2305">
        <v>2492.3781268329999</v>
      </c>
      <c r="AZ130" s="2305">
        <v>2671.3052436409998</v>
      </c>
      <c r="BA130" s="2305">
        <v>2835.0864367160002</v>
      </c>
      <c r="BB130" s="2305">
        <v>2890.445222074</v>
      </c>
      <c r="BC130" s="2305">
        <v>2944.452240481</v>
      </c>
      <c r="BD130" s="2305">
        <v>3118.5992462459999</v>
      </c>
      <c r="BE130" s="2305">
        <v>2859.1527790199998</v>
      </c>
      <c r="BF130" s="2305">
        <v>3092.4148086690002</v>
      </c>
      <c r="BG130" s="2305">
        <v>3270.6512906040002</v>
      </c>
      <c r="BH130" s="2305">
        <v>3340.6004652769998</v>
      </c>
      <c r="BI130" s="2305">
        <v>3477.416153145</v>
      </c>
      <c r="BJ130" s="2305">
        <v>3775.6230154310001</v>
      </c>
      <c r="BK130" s="2305">
        <v>3852.2463613099999</v>
      </c>
      <c r="BL130" s="2305">
        <v>4160.4829181550003</v>
      </c>
      <c r="BM130" s="2305">
        <v>4310.6205744919998</v>
      </c>
      <c r="BN130" s="2305">
        <v>4472.3604234779996</v>
      </c>
      <c r="BO130" s="2305">
        <v>4444.6714458409997</v>
      </c>
      <c r="BP130" s="2305">
        <v>4771.5716332430002</v>
      </c>
    </row>
    <row r="131" spans="1:68" ht="15">
      <c r="A131" s="2602" t="s">
        <v>607</v>
      </c>
      <c r="B131" s="2603">
        <v>1.8049999999999999</v>
      </c>
      <c r="C131" s="2603">
        <v>2.7709999999999999</v>
      </c>
      <c r="D131" s="2603">
        <v>14.609</v>
      </c>
      <c r="E131" s="2603">
        <v>77.654050163999997</v>
      </c>
      <c r="F131" s="2603">
        <v>29.076642235000001</v>
      </c>
      <c r="G131" s="2603">
        <v>39.927107706999998</v>
      </c>
      <c r="H131" s="2603">
        <v>59.763641302000003</v>
      </c>
      <c r="I131" s="2603">
        <v>88.831128550000003</v>
      </c>
      <c r="J131" s="2603">
        <v>2.75</v>
      </c>
      <c r="K131" s="2603">
        <v>2.75</v>
      </c>
      <c r="L131" s="2608">
        <v>2.75</v>
      </c>
      <c r="M131" s="2603">
        <v>2.75</v>
      </c>
      <c r="N131" s="2603">
        <v>2.75</v>
      </c>
      <c r="O131" s="2603">
        <v>2.75</v>
      </c>
      <c r="P131" s="2603">
        <v>2.75</v>
      </c>
      <c r="Q131" s="2603">
        <v>2.75</v>
      </c>
      <c r="R131" s="2603">
        <v>2.75</v>
      </c>
      <c r="S131" s="2603">
        <v>2.75</v>
      </c>
      <c r="T131" s="2603">
        <v>2.75</v>
      </c>
      <c r="U131" s="2603">
        <v>2.75</v>
      </c>
      <c r="V131" s="2603">
        <v>2.75</v>
      </c>
      <c r="W131" s="2609">
        <v>2.75</v>
      </c>
      <c r="X131" s="2606">
        <v>2.75</v>
      </c>
      <c r="Y131" s="2225">
        <v>2.75</v>
      </c>
      <c r="Z131" s="2215"/>
      <c r="AA131" s="2603"/>
      <c r="AB131" s="3072">
        <v>2.75</v>
      </c>
      <c r="AC131" s="2227">
        <v>2.75</v>
      </c>
      <c r="AD131" s="2225">
        <v>2.75</v>
      </c>
      <c r="AE131" s="2215">
        <v>2.75</v>
      </c>
      <c r="AF131" s="2215">
        <v>2.75</v>
      </c>
      <c r="AG131" s="3060">
        <v>2.75</v>
      </c>
      <c r="AH131" s="2215">
        <v>2.75</v>
      </c>
      <c r="AI131" s="3565">
        <v>2.75</v>
      </c>
      <c r="AJ131" s="3559">
        <v>2.75</v>
      </c>
      <c r="AK131" s="3079">
        <v>2.75</v>
      </c>
      <c r="AL131" s="3079">
        <v>2.75</v>
      </c>
      <c r="AM131" s="3079">
        <v>2.75</v>
      </c>
      <c r="AN131" s="3079">
        <v>0</v>
      </c>
      <c r="AO131" s="3079"/>
      <c r="AP131" s="3567"/>
      <c r="AS131" s="2304" t="s">
        <v>1478</v>
      </c>
      <c r="AT131" s="2304">
        <v>2.75</v>
      </c>
      <c r="AU131" s="2304">
        <v>2.75</v>
      </c>
      <c r="AV131" s="2304">
        <v>2.75</v>
      </c>
      <c r="AW131" s="2304">
        <v>2.75</v>
      </c>
      <c r="AX131" s="2304">
        <v>2.75</v>
      </c>
      <c r="AY131" s="2304">
        <v>2.75</v>
      </c>
      <c r="AZ131" s="2304">
        <v>2.75</v>
      </c>
      <c r="BA131" s="2304">
        <v>2.75</v>
      </c>
      <c r="BB131" s="2304">
        <v>2.75</v>
      </c>
      <c r="BC131" s="2304">
        <v>2.75</v>
      </c>
      <c r="BD131" s="2304">
        <v>2.75</v>
      </c>
      <c r="BE131" s="2304">
        <v>2.75</v>
      </c>
      <c r="BF131" s="2304">
        <v>2.75</v>
      </c>
      <c r="BG131" s="2304">
        <v>2.75</v>
      </c>
      <c r="BH131" s="2304">
        <v>2.75</v>
      </c>
      <c r="BI131" s="2304">
        <v>2.75</v>
      </c>
      <c r="BJ131" s="2304">
        <v>2.75</v>
      </c>
      <c r="BK131" s="2304">
        <v>2.75</v>
      </c>
      <c r="BL131" s="2304">
        <v>2.75</v>
      </c>
      <c r="BM131" s="2304">
        <v>2.75</v>
      </c>
      <c r="BN131" s="2304">
        <v>2.75</v>
      </c>
      <c r="BO131" s="2304">
        <v>2.75</v>
      </c>
      <c r="BP131" s="2304">
        <v>2.75</v>
      </c>
    </row>
    <row r="132" spans="1:68" ht="15">
      <c r="A132" s="2602" t="s">
        <v>608</v>
      </c>
      <c r="B132" s="2603">
        <v>1.8049999999999999</v>
      </c>
      <c r="C132" s="2603">
        <v>2.7709999999999999</v>
      </c>
      <c r="D132" s="2603">
        <v>12.808999999999999</v>
      </c>
      <c r="E132" s="2603">
        <v>74.904050163999997</v>
      </c>
      <c r="F132" s="2603">
        <v>26.326642235000001</v>
      </c>
      <c r="G132" s="2603">
        <v>37.177107706999998</v>
      </c>
      <c r="H132" s="2603">
        <v>57.013641302000003</v>
      </c>
      <c r="I132" s="2603">
        <v>86.081128550000003</v>
      </c>
      <c r="J132" s="2603">
        <v>0</v>
      </c>
      <c r="K132" s="2603">
        <v>0</v>
      </c>
      <c r="L132" s="2603">
        <v>0</v>
      </c>
      <c r="M132" s="2603">
        <v>0</v>
      </c>
      <c r="N132" s="2603">
        <v>0</v>
      </c>
      <c r="O132" s="2603">
        <v>0</v>
      </c>
      <c r="P132" s="2603">
        <v>0</v>
      </c>
      <c r="Q132" s="2603">
        <v>0</v>
      </c>
      <c r="R132" s="2603">
        <v>0</v>
      </c>
      <c r="S132" s="2603">
        <v>0</v>
      </c>
      <c r="T132" s="2603">
        <v>0</v>
      </c>
      <c r="U132" s="2603">
        <v>0</v>
      </c>
      <c r="V132" s="2603">
        <v>0</v>
      </c>
      <c r="W132" s="2605">
        <v>0</v>
      </c>
      <c r="X132" s="2606">
        <v>0</v>
      </c>
      <c r="Y132" s="2195">
        <v>0</v>
      </c>
      <c r="Z132" s="2195"/>
      <c r="AA132" s="2603"/>
      <c r="AB132" s="3072">
        <v>0</v>
      </c>
      <c r="AC132" s="2200">
        <v>0</v>
      </c>
      <c r="AD132" s="2195">
        <v>0</v>
      </c>
      <c r="AE132" s="2195">
        <v>0</v>
      </c>
      <c r="AF132" s="2195">
        <v>0</v>
      </c>
      <c r="AG132" s="3061">
        <v>0</v>
      </c>
      <c r="AH132" s="2195">
        <v>0</v>
      </c>
      <c r="AI132" s="3565">
        <v>0</v>
      </c>
      <c r="AJ132" s="3560">
        <v>0</v>
      </c>
      <c r="AK132" s="1972">
        <v>0</v>
      </c>
      <c r="AL132" s="1972">
        <v>0</v>
      </c>
      <c r="AM132" s="1972">
        <v>0</v>
      </c>
      <c r="AN132" s="1972">
        <v>0</v>
      </c>
      <c r="AO132" s="1972"/>
      <c r="AP132" s="3569"/>
      <c r="AS132" s="2305" t="s">
        <v>1479</v>
      </c>
      <c r="AT132" s="2305">
        <v>0</v>
      </c>
      <c r="AU132" s="2305">
        <v>0</v>
      </c>
      <c r="AV132" s="2305">
        <v>0</v>
      </c>
      <c r="AW132" s="2305">
        <v>0</v>
      </c>
      <c r="AX132" s="2305">
        <v>0</v>
      </c>
      <c r="AY132" s="2305">
        <v>0</v>
      </c>
      <c r="AZ132" s="2305">
        <v>0</v>
      </c>
      <c r="BA132" s="2305">
        <v>0</v>
      </c>
      <c r="BB132" s="2305">
        <v>0</v>
      </c>
      <c r="BC132" s="2305">
        <v>0</v>
      </c>
      <c r="BD132" s="2305">
        <v>0</v>
      </c>
      <c r="BE132" s="2305">
        <v>0</v>
      </c>
      <c r="BF132" s="2305">
        <v>0</v>
      </c>
      <c r="BG132" s="2305">
        <v>0</v>
      </c>
      <c r="BH132" s="2305">
        <v>0</v>
      </c>
      <c r="BI132" s="2305">
        <v>0</v>
      </c>
      <c r="BJ132" s="2305">
        <v>0</v>
      </c>
      <c r="BK132" s="2305">
        <v>0</v>
      </c>
      <c r="BL132" s="2305">
        <v>0</v>
      </c>
      <c r="BM132" s="2305">
        <v>0</v>
      </c>
      <c r="BN132" s="2305">
        <v>0</v>
      </c>
      <c r="BO132" s="2305">
        <v>0</v>
      </c>
      <c r="BP132" s="2305">
        <v>0</v>
      </c>
    </row>
    <row r="133" spans="1:68" ht="15">
      <c r="A133" s="2602" t="s">
        <v>609</v>
      </c>
      <c r="B133" s="2603">
        <v>0</v>
      </c>
      <c r="C133" s="2603">
        <v>0</v>
      </c>
      <c r="D133" s="2603">
        <v>1.8</v>
      </c>
      <c r="E133" s="2603">
        <v>2.75</v>
      </c>
      <c r="F133" s="2603">
        <v>2.75</v>
      </c>
      <c r="G133" s="2603">
        <v>2.75</v>
      </c>
      <c r="H133" s="2603">
        <v>2.75</v>
      </c>
      <c r="I133" s="2603">
        <v>2.75</v>
      </c>
      <c r="J133" s="2603">
        <v>2.75</v>
      </c>
      <c r="K133" s="2603">
        <v>2.75</v>
      </c>
      <c r="L133" s="2603">
        <v>2.75</v>
      </c>
      <c r="M133" s="2603">
        <v>2.75</v>
      </c>
      <c r="N133" s="2603">
        <v>2.75</v>
      </c>
      <c r="O133" s="2603">
        <v>2.75</v>
      </c>
      <c r="P133" s="2603">
        <v>2.75</v>
      </c>
      <c r="Q133" s="2603">
        <v>2.75</v>
      </c>
      <c r="R133" s="2603">
        <v>2.75</v>
      </c>
      <c r="S133" s="2603">
        <v>2.75</v>
      </c>
      <c r="T133" s="2603">
        <v>2.75</v>
      </c>
      <c r="U133" s="2603">
        <v>2.75</v>
      </c>
      <c r="V133" s="2603">
        <v>2.75</v>
      </c>
      <c r="W133" s="2605">
        <v>2.75</v>
      </c>
      <c r="X133" s="2606">
        <v>2.75</v>
      </c>
      <c r="Y133" s="2195">
        <v>2.75</v>
      </c>
      <c r="Z133" s="2195"/>
      <c r="AA133" s="2603"/>
      <c r="AB133" s="3072">
        <v>2.75</v>
      </c>
      <c r="AC133" s="2200">
        <v>2.75</v>
      </c>
      <c r="AD133" s="2195">
        <v>2.75</v>
      </c>
      <c r="AE133" s="2195">
        <v>2.75</v>
      </c>
      <c r="AF133" s="2195">
        <v>2.75</v>
      </c>
      <c r="AG133" s="3061">
        <v>2.75</v>
      </c>
      <c r="AH133" s="2195">
        <v>2.75</v>
      </c>
      <c r="AI133" s="3565">
        <v>2.75</v>
      </c>
      <c r="AJ133" s="3560">
        <v>2.75</v>
      </c>
      <c r="AK133" s="1972">
        <v>2.75</v>
      </c>
      <c r="AL133" s="1972">
        <v>2.75</v>
      </c>
      <c r="AM133" s="1972">
        <v>2.75</v>
      </c>
      <c r="AN133" s="1972">
        <v>0</v>
      </c>
      <c r="AO133" s="1972"/>
      <c r="AP133" s="3569"/>
      <c r="AS133" s="2305" t="s">
        <v>1480</v>
      </c>
      <c r="AT133" s="2305">
        <v>2.75</v>
      </c>
      <c r="AU133" s="2305">
        <v>2.75</v>
      </c>
      <c r="AV133" s="2305">
        <v>2.75</v>
      </c>
      <c r="AW133" s="2305">
        <v>2.75</v>
      </c>
      <c r="AX133" s="2305">
        <v>2.75</v>
      </c>
      <c r="AY133" s="2305">
        <v>2.75</v>
      </c>
      <c r="AZ133" s="2305">
        <v>2.75</v>
      </c>
      <c r="BA133" s="2305">
        <v>2.75</v>
      </c>
      <c r="BB133" s="2305">
        <v>2.75</v>
      </c>
      <c r="BC133" s="2305">
        <v>2.75</v>
      </c>
      <c r="BD133" s="2305">
        <v>2.75</v>
      </c>
      <c r="BE133" s="2305">
        <v>2.75</v>
      </c>
      <c r="BF133" s="2305">
        <v>2.75</v>
      </c>
      <c r="BG133" s="2305">
        <v>2.75</v>
      </c>
      <c r="BH133" s="2305">
        <v>2.75</v>
      </c>
      <c r="BI133" s="2305">
        <v>2.75</v>
      </c>
      <c r="BJ133" s="2305">
        <v>2.75</v>
      </c>
      <c r="BK133" s="2305">
        <v>2.75</v>
      </c>
      <c r="BL133" s="2305">
        <v>2.75</v>
      </c>
      <c r="BM133" s="2305">
        <v>2.75</v>
      </c>
      <c r="BN133" s="2305">
        <v>2.75</v>
      </c>
      <c r="BO133" s="2305">
        <v>2.75</v>
      </c>
      <c r="BP133" s="2305">
        <v>2.75</v>
      </c>
    </row>
    <row r="134" spans="1:68" ht="15">
      <c r="A134" s="2602" t="s">
        <v>610</v>
      </c>
      <c r="B134" s="2603">
        <v>0</v>
      </c>
      <c r="C134" s="2603">
        <v>0</v>
      </c>
      <c r="D134" s="2603">
        <v>0</v>
      </c>
      <c r="E134" s="2603">
        <v>0</v>
      </c>
      <c r="F134" s="2603">
        <v>0</v>
      </c>
      <c r="G134" s="2603">
        <v>0</v>
      </c>
      <c r="H134" s="2603">
        <v>0</v>
      </c>
      <c r="I134" s="2603">
        <v>0</v>
      </c>
      <c r="J134" s="2603">
        <v>0</v>
      </c>
      <c r="K134" s="2603">
        <v>0</v>
      </c>
      <c r="L134" s="2603">
        <v>0</v>
      </c>
      <c r="M134" s="2603">
        <v>0</v>
      </c>
      <c r="N134" s="2603">
        <v>0</v>
      </c>
      <c r="O134" s="2603">
        <v>0</v>
      </c>
      <c r="P134" s="2603">
        <v>0</v>
      </c>
      <c r="Q134" s="2603">
        <v>0</v>
      </c>
      <c r="R134" s="2603">
        <v>0</v>
      </c>
      <c r="S134" s="2603">
        <v>0</v>
      </c>
      <c r="T134" s="2603">
        <v>0</v>
      </c>
      <c r="U134" s="2603">
        <v>0</v>
      </c>
      <c r="V134" s="2603">
        <v>0</v>
      </c>
      <c r="W134" s="2605">
        <v>0</v>
      </c>
      <c r="X134" s="2606">
        <v>0</v>
      </c>
      <c r="Y134" s="2195">
        <v>0</v>
      </c>
      <c r="Z134" s="2195"/>
      <c r="AA134" s="2603"/>
      <c r="AB134" s="3072">
        <v>0</v>
      </c>
      <c r="AC134" s="2200">
        <v>0</v>
      </c>
      <c r="AD134" s="2195">
        <v>0</v>
      </c>
      <c r="AE134" s="2195">
        <v>0</v>
      </c>
      <c r="AF134" s="2195">
        <v>0</v>
      </c>
      <c r="AG134" s="3061">
        <v>0</v>
      </c>
      <c r="AH134" s="2195">
        <v>0</v>
      </c>
      <c r="AI134" s="3565">
        <v>0</v>
      </c>
      <c r="AJ134" s="3560">
        <v>0</v>
      </c>
      <c r="AK134" s="1972">
        <v>0</v>
      </c>
      <c r="AL134" s="1972">
        <v>0</v>
      </c>
      <c r="AM134" s="1972">
        <v>0</v>
      </c>
      <c r="AN134" s="1972">
        <v>0</v>
      </c>
      <c r="AO134" s="1972"/>
      <c r="AP134" s="3569"/>
      <c r="AS134" s="2305" t="s">
        <v>1481</v>
      </c>
      <c r="AT134" s="2305">
        <v>0</v>
      </c>
      <c r="AU134" s="2305">
        <v>0</v>
      </c>
      <c r="AV134" s="2305">
        <v>0</v>
      </c>
      <c r="AW134" s="2305">
        <v>0</v>
      </c>
      <c r="AX134" s="2305">
        <v>0</v>
      </c>
      <c r="AY134" s="2305">
        <v>0</v>
      </c>
      <c r="AZ134" s="2305">
        <v>0</v>
      </c>
      <c r="BA134" s="2305">
        <v>0</v>
      </c>
      <c r="BB134" s="2305">
        <v>0</v>
      </c>
      <c r="BC134" s="2305">
        <v>0</v>
      </c>
      <c r="BD134" s="2305">
        <v>0</v>
      </c>
      <c r="BE134" s="2305">
        <v>0</v>
      </c>
      <c r="BF134" s="2305">
        <v>0</v>
      </c>
      <c r="BG134" s="2305">
        <v>0</v>
      </c>
      <c r="BH134" s="2305">
        <v>0</v>
      </c>
      <c r="BI134" s="2305">
        <v>0</v>
      </c>
      <c r="BJ134" s="2305">
        <v>0</v>
      </c>
      <c r="BK134" s="2305">
        <v>0</v>
      </c>
      <c r="BL134" s="2305">
        <v>0</v>
      </c>
      <c r="BM134" s="2305">
        <v>0</v>
      </c>
      <c r="BN134" s="2305">
        <v>0</v>
      </c>
      <c r="BO134" s="2305">
        <v>0</v>
      </c>
      <c r="BP134" s="2305">
        <v>0</v>
      </c>
    </row>
    <row r="135" spans="1:68" ht="15.75">
      <c r="A135" s="2602" t="s">
        <v>611</v>
      </c>
      <c r="B135" s="2603">
        <v>0</v>
      </c>
      <c r="C135" s="2603">
        <v>0</v>
      </c>
      <c r="D135" s="2603">
        <v>0</v>
      </c>
      <c r="E135" s="2603">
        <v>39.644199999999998</v>
      </c>
      <c r="F135" s="2603">
        <v>123.189296892</v>
      </c>
      <c r="G135" s="2603">
        <v>282.606329276</v>
      </c>
      <c r="H135" s="2603">
        <v>526.23532054400005</v>
      </c>
      <c r="I135" s="2603">
        <v>715.67194701200003</v>
      </c>
      <c r="J135" s="2603">
        <v>1065.6308376219999</v>
      </c>
      <c r="K135" s="2603">
        <v>704.80674440999996</v>
      </c>
      <c r="L135" s="2603">
        <v>912.49996351899995</v>
      </c>
      <c r="M135" s="2603">
        <v>1045.192283739</v>
      </c>
      <c r="N135" s="2603">
        <v>0</v>
      </c>
      <c r="O135" s="2603">
        <v>0</v>
      </c>
      <c r="P135" s="2603">
        <v>0</v>
      </c>
      <c r="Q135" s="2603">
        <v>0</v>
      </c>
      <c r="R135" s="2603">
        <v>0</v>
      </c>
      <c r="S135" s="2603">
        <v>0</v>
      </c>
      <c r="T135" s="2603">
        <v>0</v>
      </c>
      <c r="U135" s="2603">
        <v>0</v>
      </c>
      <c r="V135" s="2603">
        <v>0</v>
      </c>
      <c r="W135" s="2605">
        <v>0</v>
      </c>
      <c r="X135" s="2606">
        <v>0</v>
      </c>
      <c r="Y135" s="2195">
        <v>0</v>
      </c>
      <c r="Z135" s="2195"/>
      <c r="AA135" s="2603"/>
      <c r="AB135" s="3072">
        <v>0</v>
      </c>
      <c r="AC135" s="2200">
        <v>0</v>
      </c>
      <c r="AD135" s="2195">
        <v>0</v>
      </c>
      <c r="AE135" s="2195">
        <v>0</v>
      </c>
      <c r="AF135" s="2195">
        <v>0</v>
      </c>
      <c r="AG135" s="3061">
        <v>0</v>
      </c>
      <c r="AH135" s="2195">
        <v>0</v>
      </c>
      <c r="AI135" s="3570">
        <v>0</v>
      </c>
      <c r="AJ135" s="3560">
        <v>0</v>
      </c>
      <c r="AK135" s="1972">
        <v>0</v>
      </c>
      <c r="AL135" s="1972">
        <v>0</v>
      </c>
      <c r="AM135" s="1972">
        <v>0</v>
      </c>
      <c r="AN135" s="1972">
        <v>0</v>
      </c>
      <c r="AO135" s="1972"/>
      <c r="AP135" s="3569"/>
      <c r="AQ135" s="1068"/>
      <c r="AR135" s="1068"/>
      <c r="AS135" s="2305" t="s">
        <v>1482</v>
      </c>
      <c r="AT135" s="2305">
        <v>0</v>
      </c>
      <c r="AU135" s="2305">
        <v>0</v>
      </c>
      <c r="AV135" s="2305">
        <v>0</v>
      </c>
      <c r="AW135" s="2305">
        <v>0</v>
      </c>
      <c r="AX135" s="2305">
        <v>0</v>
      </c>
      <c r="AY135" s="2305">
        <v>0</v>
      </c>
      <c r="AZ135" s="2305">
        <v>0</v>
      </c>
      <c r="BA135" s="2305">
        <v>0</v>
      </c>
      <c r="BB135" s="2305">
        <v>0</v>
      </c>
      <c r="BC135" s="2305">
        <v>0</v>
      </c>
      <c r="BD135" s="2305">
        <v>0</v>
      </c>
      <c r="BE135" s="2305">
        <v>0</v>
      </c>
      <c r="BF135" s="2305">
        <v>0</v>
      </c>
      <c r="BG135" s="2305">
        <v>0</v>
      </c>
      <c r="BH135" s="2305">
        <v>0</v>
      </c>
      <c r="BI135" s="2305">
        <v>0</v>
      </c>
      <c r="BJ135" s="2305">
        <v>0</v>
      </c>
      <c r="BK135" s="2305">
        <v>0</v>
      </c>
      <c r="BL135" s="2305">
        <v>0</v>
      </c>
      <c r="BM135" s="2305">
        <v>0</v>
      </c>
      <c r="BN135" s="2305">
        <v>0</v>
      </c>
      <c r="BO135" s="2305">
        <v>0</v>
      </c>
      <c r="BP135" s="2305">
        <v>0</v>
      </c>
    </row>
    <row r="136" spans="1:68" ht="15.75">
      <c r="A136" s="2602" t="s">
        <v>612</v>
      </c>
      <c r="B136" s="2603">
        <v>550.40800000000002</v>
      </c>
      <c r="C136" s="2603">
        <v>979.23299999999995</v>
      </c>
      <c r="D136" s="2603">
        <v>1583.7049999999999</v>
      </c>
      <c r="E136" s="2603">
        <v>2219.4771180110001</v>
      </c>
      <c r="F136" s="2603">
        <v>3409.2195044350001</v>
      </c>
      <c r="G136" s="2603">
        <v>5356.0523450620003</v>
      </c>
      <c r="H136" s="2603">
        <v>6124.8341568739997</v>
      </c>
      <c r="I136" s="2603">
        <v>10395.415418082001</v>
      </c>
      <c r="J136" s="2603">
        <v>12304.544443351</v>
      </c>
      <c r="K136" s="2603">
        <v>14943.086539425</v>
      </c>
      <c r="L136" s="2603">
        <v>14209.182622439001</v>
      </c>
      <c r="M136" s="2603">
        <v>17570.557253512001</v>
      </c>
      <c r="N136" s="2603">
        <v>22658.343950733</v>
      </c>
      <c r="O136" s="2603">
        <v>26045.588544427999</v>
      </c>
      <c r="P136" s="2603">
        <v>29833.261814150999</v>
      </c>
      <c r="Q136" s="2603">
        <v>24999.676895866</v>
      </c>
      <c r="R136" s="2603">
        <v>29757.067149568</v>
      </c>
      <c r="S136" s="2603">
        <v>33394.164263694001</v>
      </c>
      <c r="T136" s="2603">
        <v>41734.323235194002</v>
      </c>
      <c r="U136" s="2603">
        <v>53697.940895874999</v>
      </c>
      <c r="V136" s="2603">
        <v>51650.403735129999</v>
      </c>
      <c r="W136" s="2604">
        <v>60282.827532898998</v>
      </c>
      <c r="X136" s="2605">
        <v>72000</v>
      </c>
      <c r="Y136" s="2225">
        <v>88089.621779862005</v>
      </c>
      <c r="Z136" s="2215"/>
      <c r="AA136" s="2603"/>
      <c r="AB136" s="3074">
        <v>50741.161416447998</v>
      </c>
      <c r="AC136" s="2328">
        <v>60524.394513230996</v>
      </c>
      <c r="AD136" s="3075">
        <v>62112.676348644003</v>
      </c>
      <c r="AE136" s="3076">
        <v>60325.276051932</v>
      </c>
      <c r="AF136" s="3076">
        <v>62024.705048429001</v>
      </c>
      <c r="AG136" s="3077">
        <v>65321.967724907998</v>
      </c>
      <c r="AH136" s="3076">
        <v>67581.587131381995</v>
      </c>
      <c r="AI136" s="3572">
        <v>72000</v>
      </c>
      <c r="AJ136" s="3573">
        <v>73997.673121789005</v>
      </c>
      <c r="AK136" s="3574">
        <v>81601.597008376004</v>
      </c>
      <c r="AL136" s="3574">
        <v>82738.304930448998</v>
      </c>
      <c r="AM136" s="3574">
        <v>88141.991634624996</v>
      </c>
      <c r="AN136" s="3574">
        <v>68586.094785217007</v>
      </c>
      <c r="AO136" s="3574"/>
      <c r="AP136" s="3575"/>
      <c r="AQ136" s="1068"/>
      <c r="AR136" s="1068"/>
      <c r="AS136" s="2304" t="s">
        <v>1483</v>
      </c>
      <c r="AT136" s="2304">
        <v>25010.919853656</v>
      </c>
      <c r="AU136" s="2304">
        <v>26286.145538323999</v>
      </c>
      <c r="AV136" s="2304">
        <v>28080.868938813001</v>
      </c>
      <c r="AW136" s="2304">
        <v>29725.930367403998</v>
      </c>
      <c r="AX136" s="2304">
        <v>28748.321092474998</v>
      </c>
      <c r="AY136" s="2304">
        <v>30375.757072963999</v>
      </c>
      <c r="AZ136" s="2304">
        <v>32276.82446476</v>
      </c>
      <c r="BA136" s="2304">
        <v>33658.743016241999</v>
      </c>
      <c r="BB136" s="2304">
        <v>34416.668788925999</v>
      </c>
      <c r="BC136" s="2304">
        <v>35912.808663755997</v>
      </c>
      <c r="BD136" s="2304">
        <v>37757.456671157997</v>
      </c>
      <c r="BE136" s="2304">
        <v>41749.437163497998</v>
      </c>
      <c r="BF136" s="2304">
        <v>44474.278409817998</v>
      </c>
      <c r="BG136" s="2304">
        <v>46980.501050598003</v>
      </c>
      <c r="BH136" s="2304">
        <v>48244.877999621</v>
      </c>
      <c r="BI136" s="2304">
        <v>53696.643591423999</v>
      </c>
      <c r="BJ136" s="2304">
        <v>55601.299353620001</v>
      </c>
      <c r="BK136" s="2304">
        <v>56295.551150305997</v>
      </c>
      <c r="BL136" s="2304">
        <v>55127.101516155002</v>
      </c>
      <c r="BM136" s="2304">
        <v>51655.408644948002</v>
      </c>
      <c r="BN136" s="2304">
        <v>50741.161416447998</v>
      </c>
      <c r="BO136" s="2304">
        <v>60524.394513230996</v>
      </c>
      <c r="BP136" s="2304">
        <v>62112.676348644003</v>
      </c>
    </row>
    <row r="137" spans="1:68" ht="16.5">
      <c r="A137" s="1065"/>
      <c r="AG137" s="2214"/>
      <c r="AI137" s="2340"/>
      <c r="AJ137" s="2340"/>
      <c r="AK137" s="2340"/>
      <c r="AL137" s="2340"/>
      <c r="AM137" s="2340"/>
      <c r="AN137" s="2340"/>
      <c r="AO137" s="2340"/>
      <c r="AP137" s="2340"/>
    </row>
    <row r="138" spans="1:68" ht="15.75">
      <c r="A138" s="1065" t="s">
        <v>396</v>
      </c>
      <c r="AG138" s="2482"/>
    </row>
    <row r="139" spans="1:68" ht="15.75">
      <c r="A139" s="1066" t="s">
        <v>397</v>
      </c>
      <c r="AG139" s="2482"/>
    </row>
    <row r="140" spans="1:68" ht="15.75">
      <c r="A140" s="1066" t="s">
        <v>398</v>
      </c>
      <c r="AG140" s="2482"/>
    </row>
    <row r="141" spans="1:68" ht="15">
      <c r="A141" s="1067" t="s">
        <v>399</v>
      </c>
      <c r="AG141" s="2482"/>
    </row>
    <row r="142" spans="1:68" ht="15">
      <c r="A142" s="1064"/>
      <c r="AG142" s="2482"/>
    </row>
    <row r="143" spans="1:68" ht="15.75">
      <c r="A143" s="1065" t="s">
        <v>400</v>
      </c>
      <c r="AG143" s="2482"/>
    </row>
    <row r="144" spans="1:68" ht="24">
      <c r="A144" s="1065" t="s">
        <v>401</v>
      </c>
      <c r="AG144" s="2482"/>
      <c r="AS144" s="3409" t="s">
        <v>1356</v>
      </c>
      <c r="AT144" s="3409" t="s">
        <v>347</v>
      </c>
      <c r="AU144" s="3409" t="s">
        <v>348</v>
      </c>
      <c r="AV144" s="3409" t="s">
        <v>327</v>
      </c>
      <c r="AW144" s="3409" t="s">
        <v>704</v>
      </c>
      <c r="AX144" s="3409" t="s">
        <v>1628</v>
      </c>
      <c r="AY144" s="3409">
        <v>2024</v>
      </c>
      <c r="AZ144" s="3409">
        <v>2025</v>
      </c>
      <c r="BA144" s="3407">
        <v>2025</v>
      </c>
      <c r="BB144" s="3407" t="s">
        <v>1356</v>
      </c>
      <c r="BC144" s="3407">
        <v>2021</v>
      </c>
      <c r="BD144" s="3407">
        <v>2022</v>
      </c>
      <c r="BE144" s="3407">
        <v>2023</v>
      </c>
      <c r="BF144" s="3407">
        <v>2024</v>
      </c>
      <c r="BG144" s="3407">
        <v>2025</v>
      </c>
      <c r="BH144" s="3407" t="s">
        <v>164</v>
      </c>
    </row>
    <row r="145" spans="1:60" ht="15.75">
      <c r="A145" s="1066" t="s">
        <v>402</v>
      </c>
      <c r="AG145" s="2214"/>
      <c r="AS145" s="3411" t="s">
        <v>1357</v>
      </c>
      <c r="AT145" s="3411" t="s">
        <v>1358</v>
      </c>
      <c r="AU145" s="3411" t="s">
        <v>1358</v>
      </c>
      <c r="AV145" s="3411" t="s">
        <v>1358</v>
      </c>
      <c r="AW145" s="3411" t="s">
        <v>1358</v>
      </c>
      <c r="AX145" s="3411" t="s">
        <v>1358</v>
      </c>
      <c r="AY145" s="3410" t="s">
        <v>1358</v>
      </c>
      <c r="AZ145" s="3410" t="s">
        <v>1358</v>
      </c>
      <c r="BA145" s="3407" t="s">
        <v>1194</v>
      </c>
      <c r="BB145" s="3407" t="s">
        <v>1357</v>
      </c>
      <c r="BC145" s="3407" t="s">
        <v>1358</v>
      </c>
      <c r="BD145" s="3407" t="s">
        <v>1358</v>
      </c>
      <c r="BE145" s="3407" t="s">
        <v>1358</v>
      </c>
      <c r="BF145" s="3407" t="s">
        <v>1358</v>
      </c>
      <c r="BG145" s="3407" t="s">
        <v>1194</v>
      </c>
      <c r="BH145" s="3407"/>
    </row>
    <row r="146" spans="1:60" ht="15">
      <c r="A146" s="1067" t="s">
        <v>403</v>
      </c>
      <c r="AG146" s="2214"/>
      <c r="AS146" s="3411" t="s">
        <v>1359</v>
      </c>
      <c r="AT146" s="3411" t="s">
        <v>1360</v>
      </c>
      <c r="AU146" s="3411" t="s">
        <v>1360</v>
      </c>
      <c r="AV146" s="3411" t="s">
        <v>1361</v>
      </c>
      <c r="AW146" s="3411" t="s">
        <v>1361</v>
      </c>
      <c r="AX146" s="3411" t="s">
        <v>1361</v>
      </c>
      <c r="AY146" s="3410" t="s">
        <v>658</v>
      </c>
      <c r="AZ146" s="3410"/>
      <c r="BA146" s="3407"/>
      <c r="BB146" s="3407" t="s">
        <v>1359</v>
      </c>
      <c r="BC146" s="3407"/>
      <c r="BD146" s="3407"/>
      <c r="BE146" s="3407"/>
      <c r="BF146" s="3407"/>
      <c r="BG146" s="3407"/>
      <c r="BH146" s="3407"/>
    </row>
    <row r="147" spans="1:60" ht="15">
      <c r="A147" s="1064"/>
      <c r="AS147" s="3411" t="s">
        <v>1362</v>
      </c>
      <c r="AT147" s="3411" t="s">
        <v>1363</v>
      </c>
      <c r="AU147" s="3411" t="s">
        <v>1363</v>
      </c>
      <c r="AV147" s="3411" t="s">
        <v>1363</v>
      </c>
      <c r="AW147" s="3411" t="s">
        <v>1363</v>
      </c>
      <c r="AX147" s="3411" t="s">
        <v>1363</v>
      </c>
      <c r="AY147" s="3410" t="s">
        <v>1363</v>
      </c>
      <c r="AZ147" s="3410" t="s">
        <v>1363</v>
      </c>
      <c r="BA147" s="3407"/>
      <c r="BB147" s="3407" t="s">
        <v>1362</v>
      </c>
      <c r="BC147" s="3407" t="s">
        <v>1363</v>
      </c>
      <c r="BD147" s="3407" t="s">
        <v>1363</v>
      </c>
      <c r="BE147" s="3407" t="s">
        <v>1363</v>
      </c>
      <c r="BF147" s="3407" t="s">
        <v>1363</v>
      </c>
      <c r="BG147" s="3407"/>
      <c r="BH147" s="3407"/>
    </row>
    <row r="148" spans="1:60" ht="15.75">
      <c r="A148" s="1065" t="s">
        <v>404</v>
      </c>
      <c r="AS148" s="3412" t="s">
        <v>1365</v>
      </c>
      <c r="AT148" s="3412">
        <v>3453.388617569</v>
      </c>
      <c r="AU148" s="3412">
        <v>4686.1913740379996</v>
      </c>
      <c r="AV148" s="3412">
        <v>5417.8452932419996</v>
      </c>
      <c r="AW148" s="3412">
        <v>6440.1771743219997</v>
      </c>
      <c r="AX148" s="3412">
        <v>8279.1566832209992</v>
      </c>
      <c r="AY148" s="3413">
        <v>9315.44</v>
      </c>
      <c r="AZ148" s="3413">
        <v>10540.18</v>
      </c>
      <c r="BB148" s="3407" t="s">
        <v>1364</v>
      </c>
      <c r="BC148" s="3408">
        <v>35118.370000000003</v>
      </c>
      <c r="BD148" s="3408">
        <v>30937.71</v>
      </c>
      <c r="BE148" s="3408">
        <v>36705.75</v>
      </c>
      <c r="BF148" s="3408">
        <v>45535.94</v>
      </c>
      <c r="BG148" s="3408">
        <v>58102.97</v>
      </c>
      <c r="BH148" s="3407"/>
    </row>
    <row r="149" spans="1:60" ht="15.75">
      <c r="A149" s="1066" t="s">
        <v>405</v>
      </c>
      <c r="AS149" s="3414" t="s">
        <v>1499</v>
      </c>
      <c r="AT149" s="3414">
        <v>3.8330566579999998</v>
      </c>
      <c r="AU149" s="3414">
        <v>3.4118964350000001</v>
      </c>
      <c r="AV149" s="3414">
        <v>2.0253840099999998</v>
      </c>
      <c r="AW149" s="3414">
        <v>2.3171837649999998</v>
      </c>
      <c r="AX149" s="3414">
        <v>2.4337006149999998</v>
      </c>
      <c r="AY149" s="3410">
        <v>3.24</v>
      </c>
      <c r="AZ149" s="3410">
        <v>4.24</v>
      </c>
      <c r="BB149" s="3407" t="s">
        <v>1365</v>
      </c>
      <c r="BC149" s="3408">
        <v>5417.85</v>
      </c>
      <c r="BD149" s="3408">
        <v>6440.18</v>
      </c>
      <c r="BE149" s="3408">
        <v>8279.16</v>
      </c>
      <c r="BF149" s="3408">
        <v>9315.44</v>
      </c>
      <c r="BG149" s="3408">
        <v>10540.18</v>
      </c>
      <c r="BH149" s="3407"/>
    </row>
    <row r="150" spans="1:60" ht="15">
      <c r="A150" s="1067" t="s">
        <v>403</v>
      </c>
      <c r="AS150" s="3414" t="s">
        <v>1500</v>
      </c>
      <c r="AT150" s="3414">
        <v>2607.811361305</v>
      </c>
      <c r="AU150" s="3414">
        <v>2211.0088943219998</v>
      </c>
      <c r="AV150" s="3414">
        <v>3444.0954520270002</v>
      </c>
      <c r="AW150" s="3414">
        <v>3872.389005218</v>
      </c>
      <c r="AX150" s="3414">
        <v>5963.8560279450003</v>
      </c>
      <c r="AY150" s="3413">
        <v>6713.91</v>
      </c>
      <c r="AZ150" s="3413">
        <v>8078.48</v>
      </c>
      <c r="BB150" s="3407" t="s">
        <v>1366</v>
      </c>
      <c r="BC150" s="3408">
        <v>3447.38</v>
      </c>
      <c r="BD150" s="3408">
        <v>3880.86</v>
      </c>
      <c r="BE150" s="3408">
        <v>5975.13</v>
      </c>
      <c r="BF150" s="3408">
        <v>6725.62</v>
      </c>
      <c r="BG150" s="3408">
        <v>8084.83</v>
      </c>
      <c r="BH150" s="3407"/>
    </row>
    <row r="151" spans="1:60" ht="15">
      <c r="A151" s="1064"/>
      <c r="AS151" s="3414" t="s">
        <v>1501</v>
      </c>
      <c r="AT151" s="3414">
        <v>0</v>
      </c>
      <c r="AU151" s="3414">
        <v>2.3220000000000001</v>
      </c>
      <c r="AV151" s="3414">
        <v>1.2566550999999999</v>
      </c>
      <c r="AW151" s="3414">
        <v>6.153922197</v>
      </c>
      <c r="AX151" s="3414">
        <v>8.8379573429999994</v>
      </c>
      <c r="AY151" s="3410">
        <v>8.4700000000000006</v>
      </c>
      <c r="AZ151" s="3410">
        <v>2.11</v>
      </c>
      <c r="BB151" s="3407" t="s">
        <v>1367</v>
      </c>
      <c r="BC151" s="3408">
        <v>1970.47</v>
      </c>
      <c r="BD151" s="3408">
        <v>2559.3200000000002</v>
      </c>
      <c r="BE151" s="3408">
        <v>2304.0300000000002</v>
      </c>
      <c r="BF151" s="3408">
        <v>2589.8200000000002</v>
      </c>
      <c r="BG151" s="3408">
        <v>2455.35</v>
      </c>
      <c r="BH151" s="3407"/>
    </row>
    <row r="152" spans="1:60" ht="15">
      <c r="A152" s="1064"/>
      <c r="AS152" s="3414" t="s">
        <v>1502</v>
      </c>
      <c r="AT152" s="3414">
        <v>841.74419960600005</v>
      </c>
      <c r="AU152" s="3414">
        <v>2469.4485832810001</v>
      </c>
      <c r="AV152" s="3414">
        <v>1970.4678021049999</v>
      </c>
      <c r="AW152" s="3414">
        <v>2559.3170631419998</v>
      </c>
      <c r="AX152" s="3414">
        <v>2304.0289973180002</v>
      </c>
      <c r="AY152" s="3413">
        <v>2589.8200000000002</v>
      </c>
      <c r="AZ152" s="3413">
        <v>2455.35</v>
      </c>
      <c r="BB152" s="3407" t="s">
        <v>1368</v>
      </c>
      <c r="BC152" s="3408">
        <v>20730.72</v>
      </c>
      <c r="BD152" s="3408">
        <v>13047.23</v>
      </c>
      <c r="BE152" s="3408">
        <v>16104.21</v>
      </c>
      <c r="BF152" s="3408">
        <v>21785.21</v>
      </c>
      <c r="BG152" s="3408">
        <v>29612.99</v>
      </c>
      <c r="BH152" s="3407"/>
    </row>
    <row r="153" spans="1:60">
      <c r="AS153" s="3412" t="s">
        <v>1503</v>
      </c>
      <c r="AT153" s="3412">
        <v>6708.9781623250001</v>
      </c>
      <c r="AU153" s="3412">
        <v>12458.669361753</v>
      </c>
      <c r="AV153" s="3412">
        <v>20730.720735456001</v>
      </c>
      <c r="AW153" s="3412">
        <v>13047.234131949999</v>
      </c>
      <c r="AX153" s="3412">
        <v>16104.20535801</v>
      </c>
      <c r="AY153" s="3413">
        <v>21785.21</v>
      </c>
      <c r="AZ153" s="3413">
        <v>29612.99</v>
      </c>
      <c r="BB153" s="3407" t="s">
        <v>1369</v>
      </c>
      <c r="BC153" s="3407">
        <v>0</v>
      </c>
      <c r="BD153" s="3407">
        <v>0</v>
      </c>
      <c r="BE153" s="3407">
        <v>0</v>
      </c>
      <c r="BF153" s="3407">
        <v>0</v>
      </c>
      <c r="BG153" s="3407">
        <v>0</v>
      </c>
      <c r="BH153" s="3407"/>
    </row>
    <row r="154" spans="1:60">
      <c r="AS154" s="3414" t="s">
        <v>1504</v>
      </c>
      <c r="AT154" s="3414">
        <v>0</v>
      </c>
      <c r="AU154" s="3414">
        <v>0</v>
      </c>
      <c r="AV154" s="3414">
        <v>0</v>
      </c>
      <c r="AW154" s="3414">
        <v>0</v>
      </c>
      <c r="AX154" s="3414">
        <v>0</v>
      </c>
      <c r="AY154" s="3410">
        <v>0</v>
      </c>
      <c r="AZ154" s="3410"/>
      <c r="BB154" s="3407" t="s">
        <v>1370</v>
      </c>
      <c r="BC154" s="3407">
        <v>0</v>
      </c>
      <c r="BD154" s="3407">
        <v>0</v>
      </c>
      <c r="BE154" s="3407">
        <v>0</v>
      </c>
      <c r="BF154" s="3407">
        <v>0</v>
      </c>
      <c r="BG154" s="3407">
        <v>0</v>
      </c>
      <c r="BH154" s="3407"/>
    </row>
    <row r="155" spans="1:60">
      <c r="AS155" s="3414" t="s">
        <v>1371</v>
      </c>
      <c r="AT155" s="3414">
        <v>6708.9781623250001</v>
      </c>
      <c r="AU155" s="3414">
        <v>12458.669361753</v>
      </c>
      <c r="AV155" s="3414">
        <v>20730.720735456001</v>
      </c>
      <c r="AW155" s="3414">
        <v>13047.234131949999</v>
      </c>
      <c r="AX155" s="3414">
        <v>16104.20535801</v>
      </c>
      <c r="AY155" s="3413">
        <v>21785.21</v>
      </c>
      <c r="AZ155" s="3413">
        <v>29612.99</v>
      </c>
      <c r="BB155" s="3407" t="s">
        <v>1371</v>
      </c>
      <c r="BC155" s="3408">
        <v>20730.72</v>
      </c>
      <c r="BD155" s="3408">
        <v>13047.23</v>
      </c>
      <c r="BE155" s="3408">
        <v>16104.21</v>
      </c>
      <c r="BF155" s="3408">
        <v>21785.21</v>
      </c>
      <c r="BG155" s="3408">
        <v>29612.99</v>
      </c>
      <c r="BH155" s="3407"/>
    </row>
    <row r="156" spans="1:60">
      <c r="AS156" s="3414" t="s">
        <v>1369</v>
      </c>
      <c r="AT156" s="3414">
        <v>6708.9781623250001</v>
      </c>
      <c r="AU156" s="3414">
        <v>12458.669361753</v>
      </c>
      <c r="AV156" s="3414">
        <v>20730.720735456001</v>
      </c>
      <c r="AW156" s="3414">
        <v>13047.234131949999</v>
      </c>
      <c r="AX156" s="3414">
        <v>16104.20535801</v>
      </c>
      <c r="AY156" s="3413">
        <v>21785.21</v>
      </c>
      <c r="AZ156" s="3413">
        <v>29612.99</v>
      </c>
      <c r="BB156" s="3407" t="s">
        <v>1372</v>
      </c>
      <c r="BC156" s="3408">
        <v>6882.18</v>
      </c>
      <c r="BD156" s="3408">
        <v>8502.9</v>
      </c>
      <c r="BE156" s="3408">
        <v>9674.34</v>
      </c>
      <c r="BF156" s="3408">
        <v>11381.52</v>
      </c>
      <c r="BG156" s="3408">
        <v>14400.8</v>
      </c>
      <c r="BH156" s="3407"/>
    </row>
    <row r="157" spans="1:60">
      <c r="AS157" s="3414" t="s">
        <v>1505</v>
      </c>
      <c r="AT157" s="3414">
        <v>0</v>
      </c>
      <c r="AU157" s="3414">
        <v>0</v>
      </c>
      <c r="AV157" s="3414">
        <v>0</v>
      </c>
      <c r="AW157" s="3414">
        <v>0</v>
      </c>
      <c r="AX157" s="3414">
        <v>0</v>
      </c>
      <c r="AY157" s="3410">
        <v>0</v>
      </c>
      <c r="AZ157" s="3410"/>
      <c r="BB157" s="3407" t="s">
        <v>1373</v>
      </c>
      <c r="BC157" s="3408">
        <v>6211.96</v>
      </c>
      <c r="BD157" s="3408">
        <v>7990.08</v>
      </c>
      <c r="BE157" s="3408">
        <v>9057.65</v>
      </c>
      <c r="BF157" s="3408">
        <v>10537.02</v>
      </c>
      <c r="BG157" s="3408">
        <v>12733.5</v>
      </c>
      <c r="BH157" s="3407"/>
    </row>
    <row r="158" spans="1:60">
      <c r="AS158" s="3414" t="s">
        <v>1506</v>
      </c>
      <c r="AT158" s="3414">
        <v>0</v>
      </c>
      <c r="AU158" s="3414">
        <v>0</v>
      </c>
      <c r="AV158" s="3414">
        <v>0</v>
      </c>
      <c r="AW158" s="3414">
        <v>0</v>
      </c>
      <c r="AX158" s="3414">
        <v>0</v>
      </c>
      <c r="AY158" s="3410">
        <v>0</v>
      </c>
      <c r="AZ158" s="3410"/>
      <c r="BB158" s="3407" t="s">
        <v>1374</v>
      </c>
      <c r="BC158" s="3407">
        <v>400.71</v>
      </c>
      <c r="BD158" s="3407">
        <v>292.92</v>
      </c>
      <c r="BE158" s="3407">
        <v>482.07</v>
      </c>
      <c r="BF158" s="3407">
        <v>610.38</v>
      </c>
      <c r="BG158" s="3407">
        <v>915.18</v>
      </c>
      <c r="BH158" s="3407"/>
    </row>
    <row r="159" spans="1:60">
      <c r="AS159" s="3414" t="s">
        <v>1507</v>
      </c>
      <c r="AT159" s="3414">
        <v>0</v>
      </c>
      <c r="AU159" s="3414">
        <v>0</v>
      </c>
      <c r="AV159" s="3414">
        <v>0</v>
      </c>
      <c r="AW159" s="3414">
        <v>0</v>
      </c>
      <c r="AX159" s="3414">
        <v>0</v>
      </c>
      <c r="AY159" s="3410">
        <v>0</v>
      </c>
      <c r="AZ159" s="3410"/>
      <c r="BB159" s="3407" t="s">
        <v>1375</v>
      </c>
      <c r="BC159" s="3407">
        <v>0</v>
      </c>
      <c r="BD159" s="3407">
        <v>0</v>
      </c>
      <c r="BE159" s="3407">
        <v>0</v>
      </c>
      <c r="BF159" s="3407">
        <v>0</v>
      </c>
      <c r="BG159" s="3407">
        <v>0</v>
      </c>
      <c r="BH159" s="3407"/>
    </row>
    <row r="160" spans="1:60">
      <c r="AS160" s="3412" t="s">
        <v>1508</v>
      </c>
      <c r="AT160" s="3412">
        <v>491.31595306700001</v>
      </c>
      <c r="AU160" s="3412">
        <v>480.83335241499998</v>
      </c>
      <c r="AV160" s="3412">
        <v>595.81303019200004</v>
      </c>
      <c r="AW160" s="3412">
        <v>719.20307456900002</v>
      </c>
      <c r="AX160" s="3412">
        <v>869.49161829599996</v>
      </c>
      <c r="AY160" s="3410">
        <v>707.75</v>
      </c>
      <c r="AZ160" s="3413">
        <v>1128.68</v>
      </c>
      <c r="BB160" s="3407" t="s">
        <v>1376</v>
      </c>
      <c r="BC160" s="3407">
        <v>168.94</v>
      </c>
      <c r="BD160" s="3407">
        <v>199.25</v>
      </c>
      <c r="BE160" s="3407">
        <v>176.77</v>
      </c>
      <c r="BF160" s="3407">
        <v>136.1</v>
      </c>
      <c r="BG160" s="3407">
        <v>200.41</v>
      </c>
      <c r="BH160" s="3407"/>
    </row>
    <row r="161" spans="45:60">
      <c r="AS161" s="3414" t="s">
        <v>1509</v>
      </c>
      <c r="AT161" s="3414">
        <v>0</v>
      </c>
      <c r="AU161" s="3414">
        <v>0</v>
      </c>
      <c r="AV161" s="3414">
        <v>0</v>
      </c>
      <c r="AW161" s="3414">
        <v>0</v>
      </c>
      <c r="AX161" s="3414">
        <v>0</v>
      </c>
      <c r="AY161" s="3410">
        <v>0</v>
      </c>
      <c r="AZ161" s="3410"/>
      <c r="BB161" s="3407" t="s">
        <v>1377</v>
      </c>
      <c r="BC161" s="3407">
        <v>34.76</v>
      </c>
      <c r="BD161" s="3407">
        <v>0.88</v>
      </c>
      <c r="BE161" s="3407">
        <v>0.52</v>
      </c>
      <c r="BF161" s="3407">
        <v>9.81</v>
      </c>
      <c r="BG161" s="3407">
        <v>9.1999999999999993</v>
      </c>
      <c r="BH161" s="3407"/>
    </row>
    <row r="162" spans="45:60">
      <c r="AS162" s="3414" t="s">
        <v>1510</v>
      </c>
      <c r="AT162" s="3414">
        <v>0</v>
      </c>
      <c r="AU162" s="3414">
        <v>0</v>
      </c>
      <c r="AV162" s="3414">
        <v>0</v>
      </c>
      <c r="AW162" s="3414">
        <v>0</v>
      </c>
      <c r="AX162" s="3414">
        <v>0</v>
      </c>
      <c r="AY162" s="3410">
        <v>0</v>
      </c>
      <c r="AZ162" s="3410"/>
      <c r="BB162" s="3407" t="s">
        <v>1378</v>
      </c>
      <c r="BC162" s="3407">
        <v>595.80999999999995</v>
      </c>
      <c r="BD162" s="3407">
        <v>719.2</v>
      </c>
      <c r="BE162" s="3407">
        <v>869.49</v>
      </c>
      <c r="BF162" s="3407">
        <v>707.75</v>
      </c>
      <c r="BG162" s="3408">
        <v>1128.68</v>
      </c>
      <c r="BH162" s="3407"/>
    </row>
    <row r="163" spans="45:60">
      <c r="AS163" s="3414" t="s">
        <v>1511</v>
      </c>
      <c r="AT163" s="3414">
        <v>0</v>
      </c>
      <c r="AU163" s="3414">
        <v>0</v>
      </c>
      <c r="AV163" s="3414">
        <v>0</v>
      </c>
      <c r="AW163" s="3414">
        <v>0</v>
      </c>
      <c r="AX163" s="3414">
        <v>0</v>
      </c>
      <c r="AY163" s="3410">
        <v>0</v>
      </c>
      <c r="AZ163" s="3410"/>
      <c r="BB163" s="3407" t="s">
        <v>1379</v>
      </c>
      <c r="BC163" s="3407">
        <v>-530</v>
      </c>
      <c r="BD163" s="3407">
        <v>-699.44</v>
      </c>
      <c r="BE163" s="3407">
        <v>-912.16</v>
      </c>
      <c r="BF163" s="3407">
        <v>-619.53</v>
      </c>
      <c r="BG163" s="3407">
        <v>-586.16999999999996</v>
      </c>
      <c r="BH163" s="3407"/>
    </row>
    <row r="164" spans="45:60">
      <c r="AS164" s="3414" t="s">
        <v>1378</v>
      </c>
      <c r="AT164" s="3414">
        <v>491.31595306700001</v>
      </c>
      <c r="AU164" s="3414">
        <v>480.83335241499998</v>
      </c>
      <c r="AV164" s="3414">
        <v>595.81303019200004</v>
      </c>
      <c r="AW164" s="3414">
        <v>719.20307456900002</v>
      </c>
      <c r="AX164" s="3414">
        <v>869.49161829599996</v>
      </c>
      <c r="AY164" s="3410">
        <v>707.75</v>
      </c>
      <c r="AZ164" s="3413">
        <v>1128.68</v>
      </c>
      <c r="BB164" s="3407" t="s">
        <v>1380</v>
      </c>
      <c r="BC164" s="3407">
        <v>0</v>
      </c>
      <c r="BD164" s="3407">
        <v>0</v>
      </c>
      <c r="BE164" s="3407">
        <v>0</v>
      </c>
      <c r="BF164" s="3407">
        <v>0</v>
      </c>
      <c r="BG164" s="3407">
        <v>0</v>
      </c>
      <c r="BH164" s="3407"/>
    </row>
    <row r="165" spans="45:60">
      <c r="AS165" s="3412" t="s">
        <v>1512</v>
      </c>
      <c r="AT165" s="3412">
        <v>1349.9589013929999</v>
      </c>
      <c r="AU165" s="3412">
        <v>1405.083502315</v>
      </c>
      <c r="AV165" s="3412">
        <v>1623.315328554</v>
      </c>
      <c r="AW165" s="3412">
        <v>2121.1180395619999</v>
      </c>
      <c r="AX165" s="3412">
        <v>1724.956924671</v>
      </c>
      <c r="AY165" s="3413">
        <v>1990.22</v>
      </c>
      <c r="AZ165" s="3413">
        <v>2250.81</v>
      </c>
      <c r="BB165" s="3407" t="s">
        <v>1381</v>
      </c>
      <c r="BC165" s="3408">
        <v>1507.34</v>
      </c>
      <c r="BD165" s="3408">
        <v>1965.79</v>
      </c>
      <c r="BE165" s="3408">
        <v>1593.41</v>
      </c>
      <c r="BF165" s="3408">
        <v>1856.76</v>
      </c>
      <c r="BG165" s="3408">
        <v>2167.19</v>
      </c>
      <c r="BH165" s="3407"/>
    </row>
    <row r="166" spans="45:60">
      <c r="AS166" s="3414" t="s">
        <v>1513</v>
      </c>
      <c r="AT166" s="3414">
        <v>105.55329451</v>
      </c>
      <c r="AU166" s="3414">
        <v>60.938696425000003</v>
      </c>
      <c r="AV166" s="3414">
        <v>109.42104195100001</v>
      </c>
      <c r="AW166" s="3414">
        <v>96.686117873000001</v>
      </c>
      <c r="AX166" s="3414">
        <v>59.684474801999997</v>
      </c>
      <c r="AY166" s="3410">
        <v>74.650000000000006</v>
      </c>
      <c r="AZ166" s="3410">
        <v>101.98</v>
      </c>
      <c r="BB166" s="3407" t="s">
        <v>1382</v>
      </c>
      <c r="BC166" s="3408">
        <v>1623.32</v>
      </c>
      <c r="BD166" s="3408">
        <v>2121.12</v>
      </c>
      <c r="BE166" s="3408">
        <v>1724.96</v>
      </c>
      <c r="BF166" s="3408">
        <v>1990.22</v>
      </c>
      <c r="BG166" s="3408">
        <v>2250.81</v>
      </c>
      <c r="BH166" s="3407"/>
    </row>
    <row r="167" spans="45:60">
      <c r="AS167" s="3414" t="s">
        <v>1514</v>
      </c>
      <c r="AT167" s="3414">
        <v>201.08708442400001</v>
      </c>
      <c r="AU167" s="3414">
        <v>531.74442653400001</v>
      </c>
      <c r="AV167" s="3414">
        <v>518.50574505400004</v>
      </c>
      <c r="AW167" s="3414">
        <v>836.10071687699997</v>
      </c>
      <c r="AX167" s="3414">
        <v>641.35683536500005</v>
      </c>
      <c r="AY167" s="3410">
        <v>965.65</v>
      </c>
      <c r="AZ167" s="3413">
        <v>1158.83</v>
      </c>
      <c r="BB167" s="3407" t="s">
        <v>1383</v>
      </c>
      <c r="BC167" s="3407">
        <v>-115.97</v>
      </c>
      <c r="BD167" s="3407">
        <v>-155.33000000000001</v>
      </c>
      <c r="BE167" s="3407">
        <v>-131.55000000000001</v>
      </c>
      <c r="BF167" s="3407">
        <v>-133.47</v>
      </c>
      <c r="BG167" s="3407">
        <v>-83.62</v>
      </c>
      <c r="BH167" s="3407"/>
    </row>
    <row r="168" spans="45:60">
      <c r="AS168" s="3414" t="s">
        <v>1515</v>
      </c>
      <c r="AT168" s="3414">
        <v>42.977317149000001</v>
      </c>
      <c r="AU168" s="3414">
        <v>33.092458200000003</v>
      </c>
      <c r="AV168" s="3414">
        <v>40.883616224000001</v>
      </c>
      <c r="AW168" s="3414">
        <v>77.631412377999993</v>
      </c>
      <c r="AX168" s="3414">
        <v>38.681335502000003</v>
      </c>
      <c r="AY168" s="3410">
        <v>63.7</v>
      </c>
      <c r="AZ168" s="3410">
        <v>32.56</v>
      </c>
      <c r="BB168" s="3407" t="s">
        <v>1384</v>
      </c>
      <c r="BC168" s="3407">
        <v>580.28</v>
      </c>
      <c r="BD168" s="3407">
        <v>981.62</v>
      </c>
      <c r="BE168" s="3408">
        <v>1054.6400000000001</v>
      </c>
      <c r="BF168" s="3408">
        <v>1197.01</v>
      </c>
      <c r="BG168" s="3408">
        <v>1381.81</v>
      </c>
      <c r="BH168" s="3407"/>
    </row>
    <row r="169" spans="45:60">
      <c r="AS169" s="3414" t="s">
        <v>1516</v>
      </c>
      <c r="AT169" s="3414">
        <v>538.35721080200005</v>
      </c>
      <c r="AU169" s="3414">
        <v>561.08114595500001</v>
      </c>
      <c r="AV169" s="3414">
        <v>644.82841845899998</v>
      </c>
      <c r="AW169" s="3414">
        <v>636.02529955299997</v>
      </c>
      <c r="AX169" s="3414">
        <v>589.56054242599998</v>
      </c>
      <c r="AY169" s="3410">
        <v>571.89</v>
      </c>
      <c r="AZ169" s="3410">
        <v>686.45</v>
      </c>
      <c r="BB169" s="3407" t="s">
        <v>1385</v>
      </c>
      <c r="BC169" s="3407">
        <v>290.95</v>
      </c>
      <c r="BD169" s="3407">
        <v>409.35</v>
      </c>
      <c r="BE169" s="3407">
        <v>449.25</v>
      </c>
      <c r="BF169" s="3407">
        <v>479.71</v>
      </c>
      <c r="BG169" s="3407">
        <v>641.07000000000005</v>
      </c>
      <c r="BH169" s="3407"/>
    </row>
    <row r="170" spans="45:60">
      <c r="AS170" s="3414" t="s">
        <v>1517</v>
      </c>
      <c r="AT170" s="3414">
        <v>0</v>
      </c>
      <c r="AU170" s="3414">
        <v>0</v>
      </c>
      <c r="AV170" s="3414">
        <v>0</v>
      </c>
      <c r="AW170" s="3414">
        <v>0</v>
      </c>
      <c r="AX170" s="3414">
        <v>0</v>
      </c>
      <c r="AY170" s="3410">
        <v>0</v>
      </c>
      <c r="AZ170" s="3410"/>
      <c r="BB170" s="3407" t="s">
        <v>1386</v>
      </c>
      <c r="BC170" s="3407">
        <v>256.82</v>
      </c>
      <c r="BD170" s="3407">
        <v>392.86</v>
      </c>
      <c r="BE170" s="3407">
        <v>528.98</v>
      </c>
      <c r="BF170" s="3407">
        <v>648.70000000000005</v>
      </c>
      <c r="BG170" s="3407">
        <v>609.52</v>
      </c>
      <c r="BH170" s="3407"/>
    </row>
    <row r="171" spans="45:60">
      <c r="AS171" s="3414" t="s">
        <v>1518</v>
      </c>
      <c r="AT171" s="3414">
        <v>461.42935817699998</v>
      </c>
      <c r="AU171" s="3414">
        <v>217.62250316000001</v>
      </c>
      <c r="AV171" s="3414">
        <v>309.13466090200001</v>
      </c>
      <c r="AW171" s="3414">
        <v>474.14642531200002</v>
      </c>
      <c r="AX171" s="3414">
        <v>395.21995300700002</v>
      </c>
      <c r="AY171" s="3410">
        <v>313.88</v>
      </c>
      <c r="AZ171" s="3410">
        <v>270.58</v>
      </c>
      <c r="BB171" s="3407" t="s">
        <v>1387</v>
      </c>
      <c r="BC171" s="3407">
        <v>32.51</v>
      </c>
      <c r="BD171" s="3407">
        <v>179.41</v>
      </c>
      <c r="BE171" s="3407">
        <v>76.41</v>
      </c>
      <c r="BF171" s="3407">
        <v>68.599999999999994</v>
      </c>
      <c r="BG171" s="3407">
        <v>131.22999999999999</v>
      </c>
      <c r="BH171" s="3407"/>
    </row>
    <row r="172" spans="45:60">
      <c r="AS172" s="3414" t="s">
        <v>1519</v>
      </c>
      <c r="AT172" s="3414">
        <v>0.55463633099999998</v>
      </c>
      <c r="AU172" s="3414">
        <v>0.60427204099999998</v>
      </c>
      <c r="AV172" s="3414">
        <v>0.54184596399999996</v>
      </c>
      <c r="AW172" s="3414">
        <v>0.52806756899999996</v>
      </c>
      <c r="AX172" s="3414">
        <v>0.453783569</v>
      </c>
      <c r="AY172" s="3410">
        <v>0.45</v>
      </c>
      <c r="AZ172" s="3410">
        <v>0.42</v>
      </c>
      <c r="BB172" s="3407" t="s">
        <v>1388</v>
      </c>
      <c r="BC172" s="3407">
        <v>0</v>
      </c>
      <c r="BD172" s="3407">
        <v>0</v>
      </c>
      <c r="BE172" s="3407">
        <v>0</v>
      </c>
      <c r="BF172" s="3407">
        <v>0</v>
      </c>
      <c r="BG172" s="3407">
        <v>0</v>
      </c>
      <c r="BH172" s="3407"/>
    </row>
    <row r="173" spans="45:60">
      <c r="AS173" s="3414" t="s">
        <v>1520</v>
      </c>
      <c r="AT173" s="3414">
        <v>0</v>
      </c>
      <c r="AU173" s="3414">
        <v>0</v>
      </c>
      <c r="AV173" s="3414">
        <v>0</v>
      </c>
      <c r="AW173" s="3414">
        <v>0</v>
      </c>
      <c r="AX173" s="3414">
        <v>0</v>
      </c>
      <c r="AY173" s="3410">
        <v>0</v>
      </c>
      <c r="AZ173" s="3410"/>
      <c r="BB173" s="3407" t="s">
        <v>1389</v>
      </c>
      <c r="BC173" s="3407">
        <v>0</v>
      </c>
      <c r="BD173" s="3407">
        <v>0</v>
      </c>
      <c r="BE173" s="3407">
        <v>0</v>
      </c>
      <c r="BF173" s="3407">
        <v>0</v>
      </c>
      <c r="BG173" s="3407">
        <v>0</v>
      </c>
      <c r="BH173" s="3407"/>
    </row>
    <row r="174" spans="45:60">
      <c r="AS174" s="3414" t="s">
        <v>1521</v>
      </c>
      <c r="AT174" s="3414">
        <v>0</v>
      </c>
      <c r="AU174" s="3414">
        <v>0</v>
      </c>
      <c r="AV174" s="3414">
        <v>0</v>
      </c>
      <c r="AW174" s="3414">
        <v>0</v>
      </c>
      <c r="AX174" s="3414">
        <v>0</v>
      </c>
      <c r="AY174" s="3410">
        <v>0</v>
      </c>
      <c r="AZ174" s="3410">
        <v>0</v>
      </c>
      <c r="BA174" s="3407"/>
      <c r="BB174" s="3407" t="s">
        <v>1390</v>
      </c>
      <c r="BC174" s="3408">
        <v>18579.57</v>
      </c>
      <c r="BD174" s="3408">
        <v>20712.689999999999</v>
      </c>
      <c r="BE174" s="3408">
        <v>23577.08</v>
      </c>
      <c r="BF174" s="3408">
        <v>26464.05</v>
      </c>
      <c r="BG174" s="3408">
        <v>29986.65</v>
      </c>
      <c r="BH174" s="3407"/>
    </row>
    <row r="175" spans="45:60">
      <c r="AS175" s="3412" t="s">
        <v>1522</v>
      </c>
      <c r="AT175" s="3412">
        <v>0</v>
      </c>
      <c r="AU175" s="3412">
        <v>0</v>
      </c>
      <c r="AV175" s="3412">
        <v>0</v>
      </c>
      <c r="AW175" s="3412">
        <v>0</v>
      </c>
      <c r="AX175" s="3412">
        <v>0</v>
      </c>
      <c r="AY175" s="3410">
        <v>0</v>
      </c>
      <c r="AZ175" s="3410">
        <v>0</v>
      </c>
      <c r="BA175" s="3407">
        <v>0</v>
      </c>
      <c r="BB175" s="3407" t="s">
        <v>1391</v>
      </c>
      <c r="BC175" s="3407">
        <v>167.24</v>
      </c>
      <c r="BD175" s="3407">
        <v>225.09</v>
      </c>
      <c r="BE175" s="3407">
        <v>247.39</v>
      </c>
      <c r="BF175" s="3407">
        <v>331.65</v>
      </c>
      <c r="BG175" s="3407">
        <v>564.34</v>
      </c>
      <c r="BH175" s="3407"/>
    </row>
    <row r="176" spans="45:60">
      <c r="AS176" s="3414" t="s">
        <v>1523</v>
      </c>
      <c r="AT176" s="3414">
        <v>0</v>
      </c>
      <c r="AU176" s="3414">
        <v>0</v>
      </c>
      <c r="AV176" s="3414">
        <v>0</v>
      </c>
      <c r="AW176" s="3414">
        <v>0</v>
      </c>
      <c r="AX176" s="3414">
        <v>0</v>
      </c>
      <c r="AY176" s="3410">
        <v>0</v>
      </c>
      <c r="AZ176" s="3410">
        <v>0</v>
      </c>
      <c r="BA176" s="3407"/>
      <c r="BB176" s="3407" t="s">
        <v>1392</v>
      </c>
      <c r="BC176" s="3407">
        <v>0</v>
      </c>
      <c r="BD176" s="3407">
        <v>0</v>
      </c>
      <c r="BE176" s="3407">
        <v>0</v>
      </c>
      <c r="BF176" s="3407">
        <v>0</v>
      </c>
      <c r="BG176" s="3407">
        <v>0</v>
      </c>
      <c r="BH176" s="3407"/>
    </row>
    <row r="177" spans="45:60">
      <c r="AS177" s="3414" t="s">
        <v>1380</v>
      </c>
      <c r="AT177" s="3414">
        <v>0</v>
      </c>
      <c r="AU177" s="3414">
        <v>0</v>
      </c>
      <c r="AV177" s="3414">
        <v>0</v>
      </c>
      <c r="AW177" s="3414">
        <v>0</v>
      </c>
      <c r="AX177" s="3414">
        <v>0</v>
      </c>
      <c r="AY177" s="3410">
        <v>0</v>
      </c>
      <c r="AZ177" s="3410">
        <v>0</v>
      </c>
      <c r="BA177" s="3407"/>
      <c r="BB177" s="3407" t="s">
        <v>1393</v>
      </c>
      <c r="BC177" s="3407">
        <v>0</v>
      </c>
      <c r="BD177" s="3407">
        <v>0</v>
      </c>
      <c r="BE177" s="3407">
        <v>0</v>
      </c>
      <c r="BF177" s="3407">
        <v>0</v>
      </c>
      <c r="BG177" s="3407">
        <v>0</v>
      </c>
      <c r="BH177" s="3407"/>
    </row>
    <row r="178" spans="45:60">
      <c r="AS178" s="3414" t="s">
        <v>1524</v>
      </c>
      <c r="AT178" s="3414">
        <v>0</v>
      </c>
      <c r="AU178" s="3414">
        <v>0</v>
      </c>
      <c r="AV178" s="3414">
        <v>0</v>
      </c>
      <c r="AW178" s="3414">
        <v>0</v>
      </c>
      <c r="AX178" s="3414">
        <v>0</v>
      </c>
      <c r="AY178" s="3410">
        <v>0</v>
      </c>
      <c r="AZ178" s="3410">
        <v>0</v>
      </c>
      <c r="BA178" s="3407"/>
      <c r="BB178" s="3407" t="s">
        <v>1394</v>
      </c>
      <c r="BC178" s="3407">
        <v>0</v>
      </c>
      <c r="BD178" s="3407">
        <v>0</v>
      </c>
      <c r="BE178" s="3407">
        <v>0</v>
      </c>
      <c r="BF178" s="3407">
        <v>0</v>
      </c>
      <c r="BG178" s="3407">
        <v>0</v>
      </c>
      <c r="BH178" s="3407"/>
    </row>
    <row r="179" spans="45:60">
      <c r="AS179" s="3414" t="s">
        <v>1525</v>
      </c>
      <c r="AT179" s="3414">
        <v>0</v>
      </c>
      <c r="AU179" s="3414">
        <v>0</v>
      </c>
      <c r="AV179" s="3414">
        <v>0</v>
      </c>
      <c r="AW179" s="3414">
        <v>0</v>
      </c>
      <c r="AX179" s="3414">
        <v>0</v>
      </c>
      <c r="AY179" s="3410">
        <v>0</v>
      </c>
      <c r="AZ179" s="3410">
        <v>0</v>
      </c>
      <c r="BA179" s="3407"/>
      <c r="BB179" s="3407" t="s">
        <v>1395</v>
      </c>
      <c r="BC179" s="3407">
        <v>0</v>
      </c>
      <c r="BD179" s="3407">
        <v>0</v>
      </c>
      <c r="BE179" s="3407">
        <v>0</v>
      </c>
      <c r="BF179" s="3407">
        <v>0</v>
      </c>
      <c r="BG179" s="3407">
        <v>0</v>
      </c>
      <c r="BH179" s="3407"/>
    </row>
    <row r="180" spans="45:60">
      <c r="AS180" s="3412" t="s">
        <v>1526</v>
      </c>
      <c r="AT180" s="3412">
        <v>269.40584656800002</v>
      </c>
      <c r="AU180" s="3412">
        <v>203.22981157000001</v>
      </c>
      <c r="AV180" s="3412">
        <v>219.70453492799999</v>
      </c>
      <c r="AW180" s="3412">
        <v>276.27343668899999</v>
      </c>
      <c r="AX180" s="3412">
        <v>299.76458518700002</v>
      </c>
      <c r="AY180" s="3410">
        <v>381.51</v>
      </c>
      <c r="AZ180" s="3410">
        <v>611.44000000000005</v>
      </c>
      <c r="BB180" s="3407" t="s">
        <v>1396</v>
      </c>
      <c r="BC180" s="3407">
        <v>2.27</v>
      </c>
      <c r="BD180" s="3407">
        <v>1.19</v>
      </c>
      <c r="BE180" s="3407">
        <v>0</v>
      </c>
      <c r="BF180" s="3407">
        <v>2.5099999999999998</v>
      </c>
      <c r="BG180" s="3407">
        <v>5.28</v>
      </c>
      <c r="BH180" s="3407"/>
    </row>
    <row r="181" spans="45:60">
      <c r="AS181" s="3414" t="s">
        <v>1527</v>
      </c>
      <c r="AT181" s="3414">
        <v>214.26914341200001</v>
      </c>
      <c r="AU181" s="3414">
        <v>148.140902681</v>
      </c>
      <c r="AV181" s="3414">
        <v>164.66258869399999</v>
      </c>
      <c r="AW181" s="3414">
        <v>223.22906445199999</v>
      </c>
      <c r="AX181" s="3414">
        <v>245.77153177700001</v>
      </c>
      <c r="AY181" s="3410">
        <v>328.59</v>
      </c>
      <c r="AZ181" s="3410">
        <v>559.05999999999995</v>
      </c>
      <c r="BB181" s="3407" t="s">
        <v>1397</v>
      </c>
      <c r="BC181" s="3407">
        <v>219.7</v>
      </c>
      <c r="BD181" s="3407">
        <v>276.27</v>
      </c>
      <c r="BE181" s="3407">
        <v>299.76</v>
      </c>
      <c r="BF181" s="3407">
        <v>381.51</v>
      </c>
      <c r="BG181" s="3407">
        <v>611.44000000000005</v>
      </c>
      <c r="BH181" s="3407"/>
    </row>
    <row r="182" spans="45:60">
      <c r="AS182" s="3414" t="s">
        <v>1528</v>
      </c>
      <c r="AT182" s="3414">
        <v>0</v>
      </c>
      <c r="AU182" s="3414">
        <v>0</v>
      </c>
      <c r="AV182" s="3414">
        <v>0</v>
      </c>
      <c r="AW182" s="3414">
        <v>0</v>
      </c>
      <c r="AX182" s="3414">
        <v>0</v>
      </c>
      <c r="AY182" s="3410">
        <v>0</v>
      </c>
      <c r="AZ182" s="3410"/>
      <c r="BB182" s="3407" t="s">
        <v>1398</v>
      </c>
      <c r="BC182" s="3407">
        <v>-54.73</v>
      </c>
      <c r="BD182" s="3407">
        <v>-52.37</v>
      </c>
      <c r="BE182" s="3407">
        <v>-52.37</v>
      </c>
      <c r="BF182" s="3407">
        <v>-52.37</v>
      </c>
      <c r="BG182" s="3407">
        <v>-52.37</v>
      </c>
      <c r="BH182" s="3407"/>
    </row>
    <row r="183" spans="45:60">
      <c r="AS183" s="3414" t="s">
        <v>1529</v>
      </c>
      <c r="AT183" s="3414">
        <v>0</v>
      </c>
      <c r="AU183" s="3414">
        <v>0</v>
      </c>
      <c r="AV183" s="3414">
        <v>0</v>
      </c>
      <c r="AW183" s="3414">
        <v>0</v>
      </c>
      <c r="AX183" s="3414">
        <v>0</v>
      </c>
      <c r="AY183" s="3410">
        <v>0</v>
      </c>
      <c r="AZ183" s="3410"/>
      <c r="BB183" s="3407" t="s">
        <v>1399</v>
      </c>
      <c r="BC183" s="3408">
        <v>10398.84</v>
      </c>
      <c r="BD183" s="3408">
        <v>12032.91</v>
      </c>
      <c r="BE183" s="3408">
        <v>13643.23</v>
      </c>
      <c r="BF183" s="3408">
        <v>14816.13</v>
      </c>
      <c r="BG183" s="3408">
        <v>17330.03</v>
      </c>
      <c r="BH183" s="3407"/>
    </row>
    <row r="184" spans="45:60">
      <c r="AS184" s="3414" t="s">
        <v>1397</v>
      </c>
      <c r="AT184" s="3414">
        <v>55.136703156000003</v>
      </c>
      <c r="AU184" s="3414">
        <v>55.088908889000002</v>
      </c>
      <c r="AV184" s="3414">
        <v>55.041946234000001</v>
      </c>
      <c r="AW184" s="3414">
        <v>53.044372236999997</v>
      </c>
      <c r="AX184" s="3414">
        <v>53.993053410000002</v>
      </c>
      <c r="AY184" s="3410">
        <v>52.91</v>
      </c>
      <c r="AZ184" s="3410">
        <v>52.37</v>
      </c>
      <c r="BB184" s="3407" t="s">
        <v>1400</v>
      </c>
      <c r="BC184" s="3408">
        <v>9260.93</v>
      </c>
      <c r="BD184" s="3408">
        <v>10714.23</v>
      </c>
      <c r="BE184" s="3408">
        <v>12382.12</v>
      </c>
      <c r="BF184" s="3408">
        <v>12774.57</v>
      </c>
      <c r="BG184" s="3408">
        <v>15385.82</v>
      </c>
      <c r="BH184" s="3407"/>
    </row>
    <row r="185" spans="45:60">
      <c r="AS185" s="3412" t="s">
        <v>1530</v>
      </c>
      <c r="AT185" s="3412">
        <v>9051.6799521850007</v>
      </c>
      <c r="AU185" s="3412">
        <v>12945.570337274999</v>
      </c>
      <c r="AV185" s="3412">
        <v>16080.827716168</v>
      </c>
      <c r="AW185" s="3412">
        <v>19007.982397112999</v>
      </c>
      <c r="AX185" s="3412">
        <v>22288.96227819</v>
      </c>
      <c r="AY185" s="3413">
        <v>24457.73</v>
      </c>
      <c r="AZ185" s="3413">
        <v>29148.69</v>
      </c>
      <c r="BB185" s="3407" t="s">
        <v>1401</v>
      </c>
      <c r="BC185" s="3408">
        <v>16080.83</v>
      </c>
      <c r="BD185" s="3408">
        <v>19007.98</v>
      </c>
      <c r="BE185" s="3408">
        <v>22288.959999999999</v>
      </c>
      <c r="BF185" s="3408">
        <v>24457.73</v>
      </c>
      <c r="BG185" s="3408">
        <v>29148.69</v>
      </c>
      <c r="BH185" s="3407"/>
    </row>
    <row r="186" spans="45:60">
      <c r="AS186" s="3414" t="s">
        <v>1531</v>
      </c>
      <c r="AT186" s="3414">
        <v>9471.9841476090005</v>
      </c>
      <c r="AU186" s="3414">
        <v>11301.061772211</v>
      </c>
      <c r="AV186" s="3414">
        <v>12945.570337274999</v>
      </c>
      <c r="AW186" s="3414">
        <v>16080.827716168</v>
      </c>
      <c r="AX186" s="3414">
        <v>19007.982397112999</v>
      </c>
      <c r="AY186" s="3413">
        <v>22288.959999999999</v>
      </c>
      <c r="AZ186" s="3413">
        <v>24457.73</v>
      </c>
      <c r="BB186" s="3407" t="s">
        <v>1402</v>
      </c>
      <c r="BC186" s="3408">
        <v>-6819.89</v>
      </c>
      <c r="BD186" s="3408">
        <v>-8293.75</v>
      </c>
      <c r="BE186" s="3408">
        <v>-9906.85</v>
      </c>
      <c r="BF186" s="3408">
        <v>-11683.17</v>
      </c>
      <c r="BG186" s="3408">
        <v>-13762.88</v>
      </c>
      <c r="BH186" s="3407"/>
    </row>
    <row r="187" spans="45:60">
      <c r="AS187" s="3414" t="s">
        <v>1532</v>
      </c>
      <c r="AT187" s="3414">
        <v>704.38671458900001</v>
      </c>
      <c r="AU187" s="3414">
        <v>2599.0178158680001</v>
      </c>
      <c r="AV187" s="3414">
        <v>3629.461979791</v>
      </c>
      <c r="AW187" s="3414">
        <v>3116.973759345</v>
      </c>
      <c r="AX187" s="3414">
        <v>3630.4746180259999</v>
      </c>
      <c r="AY187" s="3413">
        <v>2494.71</v>
      </c>
      <c r="AZ187" s="3413">
        <v>5058</v>
      </c>
      <c r="BB187" s="3407" t="s">
        <v>1403</v>
      </c>
      <c r="BC187" s="3407">
        <v>4.84</v>
      </c>
      <c r="BD187" s="3407">
        <v>31.62</v>
      </c>
      <c r="BE187" s="3407">
        <v>4.0199999999999996</v>
      </c>
      <c r="BF187" s="3407">
        <v>2.04</v>
      </c>
      <c r="BG187" s="3407">
        <v>1.28</v>
      </c>
      <c r="BH187" s="3407"/>
    </row>
    <row r="188" spans="45:60">
      <c r="AS188" s="3414" t="s">
        <v>1533</v>
      </c>
      <c r="AT188" s="3414">
        <v>-1124.6909100129999</v>
      </c>
      <c r="AU188" s="3414">
        <v>-954.50925080399998</v>
      </c>
      <c r="AV188" s="3414">
        <v>-494.20460089800002</v>
      </c>
      <c r="AW188" s="3414">
        <v>-189.8190784</v>
      </c>
      <c r="AX188" s="3414">
        <v>-349.49473694900001</v>
      </c>
      <c r="AY188" s="3410">
        <v>-325.94</v>
      </c>
      <c r="AZ188" s="3410">
        <v>-367.04</v>
      </c>
      <c r="BB188" s="3407" t="s">
        <v>1404</v>
      </c>
      <c r="BC188" s="3407">
        <v>8</v>
      </c>
      <c r="BD188" s="3407">
        <v>54.44</v>
      </c>
      <c r="BE188" s="3407">
        <v>8.0299999999999994</v>
      </c>
      <c r="BF188" s="3407">
        <v>5.72</v>
      </c>
      <c r="BG188" s="3407">
        <v>5.87</v>
      </c>
      <c r="BH188" s="3407"/>
    </row>
    <row r="189" spans="45:60">
      <c r="AS189" s="3412" t="s">
        <v>1534</v>
      </c>
      <c r="AT189" s="3412">
        <v>5005.7999260010001</v>
      </c>
      <c r="AU189" s="3412">
        <v>5726.0187115099998</v>
      </c>
      <c r="AV189" s="3412">
        <v>6819.8930171049997</v>
      </c>
      <c r="AW189" s="3412">
        <v>8293.7512585929999</v>
      </c>
      <c r="AX189" s="3412">
        <v>9906.8454029410004</v>
      </c>
      <c r="AY189" s="3413">
        <v>11683.17</v>
      </c>
      <c r="AZ189" s="3413">
        <v>13762.88</v>
      </c>
      <c r="BB189" s="3407" t="s">
        <v>1405</v>
      </c>
      <c r="BC189" s="3407">
        <v>-3.16</v>
      </c>
      <c r="BD189" s="3407">
        <v>-22.82</v>
      </c>
      <c r="BE189" s="3407">
        <v>-4.01</v>
      </c>
      <c r="BF189" s="3407">
        <v>-3.67</v>
      </c>
      <c r="BG189" s="3407">
        <v>-4.59</v>
      </c>
      <c r="BH189" s="3407"/>
    </row>
    <row r="190" spans="45:60">
      <c r="AS190" s="3414" t="s">
        <v>1535</v>
      </c>
      <c r="AT190" s="3414">
        <v>4264.8581975030002</v>
      </c>
      <c r="AU190" s="3414">
        <v>5005.7999260010001</v>
      </c>
      <c r="AV190" s="3414">
        <v>5726.0187115099998</v>
      </c>
      <c r="AW190" s="3414">
        <v>6819.8930171049997</v>
      </c>
      <c r="AX190" s="3414">
        <v>8293.7512585929999</v>
      </c>
      <c r="AY190" s="3413">
        <v>9906.85</v>
      </c>
      <c r="AZ190" s="3413">
        <v>11683.17</v>
      </c>
      <c r="BB190" s="3407" t="s">
        <v>1406</v>
      </c>
      <c r="BC190" s="3408">
        <v>1133.06</v>
      </c>
      <c r="BD190" s="3408">
        <v>1287.06</v>
      </c>
      <c r="BE190" s="3408">
        <v>1257.0999999999999</v>
      </c>
      <c r="BF190" s="3408">
        <v>2039.52</v>
      </c>
      <c r="BG190" s="3408">
        <v>1942.94</v>
      </c>
      <c r="BH190" s="3407"/>
    </row>
    <row r="191" spans="45:60">
      <c r="AS191" s="3414" t="s">
        <v>1532</v>
      </c>
      <c r="AT191" s="3414">
        <v>1142.293244511</v>
      </c>
      <c r="AU191" s="3414">
        <v>1276.6774888729999</v>
      </c>
      <c r="AV191" s="3414">
        <v>1397.9858253540001</v>
      </c>
      <c r="AW191" s="3414">
        <v>1593.8891857420001</v>
      </c>
      <c r="AX191" s="3414">
        <v>1649.5559062909999</v>
      </c>
      <c r="AY191" s="3413">
        <v>2045.99</v>
      </c>
      <c r="AZ191" s="3413">
        <v>2358.79</v>
      </c>
      <c r="BB191" s="3407" t="s">
        <v>1407</v>
      </c>
      <c r="BC191" s="3408">
        <v>2249.11</v>
      </c>
      <c r="BD191" s="3408">
        <v>2547.88</v>
      </c>
      <c r="BE191" s="3408">
        <v>2595.59</v>
      </c>
      <c r="BF191" s="3408">
        <v>3656.3</v>
      </c>
      <c r="BG191" s="3408">
        <v>3868.88</v>
      </c>
      <c r="BH191" s="3407"/>
    </row>
    <row r="192" spans="45:60">
      <c r="AS192" s="3414" t="s">
        <v>1533</v>
      </c>
      <c r="AT192" s="3414">
        <v>-401.35151601299998</v>
      </c>
      <c r="AU192" s="3414">
        <v>-556.45870336400003</v>
      </c>
      <c r="AV192" s="3414">
        <v>-304.11151975899998</v>
      </c>
      <c r="AW192" s="3414">
        <v>-120.030944254</v>
      </c>
      <c r="AX192" s="3414">
        <v>-36.461761942999999</v>
      </c>
      <c r="AY192" s="3410">
        <v>-269.67</v>
      </c>
      <c r="AZ192" s="3410">
        <v>-279.08</v>
      </c>
      <c r="BB192" s="3407" t="s">
        <v>1408</v>
      </c>
      <c r="BC192" s="3408">
        <v>-1116.05</v>
      </c>
      <c r="BD192" s="3408">
        <v>-1260.82</v>
      </c>
      <c r="BE192" s="3408">
        <v>-1338.49</v>
      </c>
      <c r="BF192" s="3408">
        <v>-1616.78</v>
      </c>
      <c r="BG192" s="3408">
        <v>-1925.94</v>
      </c>
      <c r="BH192" s="3407"/>
    </row>
    <row r="193" spans="45:60">
      <c r="AS193" s="3412" t="s">
        <v>1536</v>
      </c>
      <c r="AT193" s="3412">
        <v>0</v>
      </c>
      <c r="AU193" s="3412">
        <v>0</v>
      </c>
      <c r="AV193" s="3412">
        <v>0</v>
      </c>
      <c r="AW193" s="3412">
        <v>0</v>
      </c>
      <c r="AX193" s="3412">
        <v>0</v>
      </c>
      <c r="AY193" s="3410">
        <v>0</v>
      </c>
      <c r="AZ193" s="3410">
        <v>0</v>
      </c>
      <c r="BB193" s="3407" t="s">
        <v>1409</v>
      </c>
      <c r="BC193" s="3407">
        <v>0</v>
      </c>
      <c r="BD193" s="3407">
        <v>0</v>
      </c>
      <c r="BE193" s="3407">
        <v>0</v>
      </c>
      <c r="BF193" s="3407">
        <v>0</v>
      </c>
      <c r="BG193" s="3407">
        <v>0</v>
      </c>
      <c r="BH193" s="3407"/>
    </row>
    <row r="194" spans="45:60">
      <c r="AS194" s="3414" t="s">
        <v>1531</v>
      </c>
      <c r="AT194" s="3414">
        <v>0</v>
      </c>
      <c r="AU194" s="3414">
        <v>0</v>
      </c>
      <c r="AV194" s="3414">
        <v>0</v>
      </c>
      <c r="AW194" s="3414">
        <v>0</v>
      </c>
      <c r="AX194" s="3414">
        <v>0</v>
      </c>
      <c r="AY194" s="3410">
        <v>0</v>
      </c>
      <c r="AZ194" s="3410">
        <v>0</v>
      </c>
      <c r="BA194" s="3407"/>
      <c r="BB194" s="3407" t="s">
        <v>1410</v>
      </c>
      <c r="BC194" s="3407">
        <v>0</v>
      </c>
      <c r="BD194" s="3407">
        <v>0</v>
      </c>
      <c r="BE194" s="3407">
        <v>0</v>
      </c>
      <c r="BF194" s="3407">
        <v>0</v>
      </c>
      <c r="BG194" s="3407">
        <v>0</v>
      </c>
      <c r="BH194" s="3407"/>
    </row>
    <row r="195" spans="45:60">
      <c r="AS195" s="3414" t="s">
        <v>1532</v>
      </c>
      <c r="AT195" s="3414">
        <v>0</v>
      </c>
      <c r="AU195" s="3414">
        <v>0</v>
      </c>
      <c r="AV195" s="3414">
        <v>0</v>
      </c>
      <c r="AW195" s="3414">
        <v>0</v>
      </c>
      <c r="AX195" s="3414">
        <v>0</v>
      </c>
      <c r="AY195" s="3410">
        <v>0</v>
      </c>
      <c r="AZ195" s="3410">
        <v>0</v>
      </c>
      <c r="BA195" s="3407"/>
      <c r="BB195" s="3407" t="s">
        <v>1411</v>
      </c>
      <c r="BC195" s="3407">
        <v>0</v>
      </c>
      <c r="BD195" s="3407">
        <v>0</v>
      </c>
      <c r="BE195" s="3407">
        <v>0</v>
      </c>
      <c r="BF195" s="3407">
        <v>0</v>
      </c>
      <c r="BG195" s="3407">
        <v>0</v>
      </c>
      <c r="BH195" s="3407"/>
    </row>
    <row r="196" spans="45:60">
      <c r="AS196" s="3414" t="s">
        <v>1533</v>
      </c>
      <c r="AT196" s="3414">
        <v>0</v>
      </c>
      <c r="AU196" s="3414">
        <v>0</v>
      </c>
      <c r="AV196" s="3414">
        <v>0</v>
      </c>
      <c r="AW196" s="3414">
        <v>0</v>
      </c>
      <c r="AX196" s="3414">
        <v>0</v>
      </c>
      <c r="AY196" s="3410">
        <v>0</v>
      </c>
      <c r="AZ196" s="3413">
        <v>0</v>
      </c>
      <c r="BA196" s="3407"/>
      <c r="BB196" s="3407" t="s">
        <v>1412</v>
      </c>
      <c r="BC196" s="3407">
        <v>0</v>
      </c>
      <c r="BD196" s="3407">
        <v>0</v>
      </c>
      <c r="BE196" s="3407">
        <v>0</v>
      </c>
      <c r="BF196" s="3407">
        <v>0</v>
      </c>
      <c r="BG196" s="3407">
        <v>0</v>
      </c>
      <c r="BH196" s="3407"/>
    </row>
    <row r="197" spans="45:60">
      <c r="AS197" s="3412" t="s">
        <v>1537</v>
      </c>
      <c r="AT197" s="3412">
        <v>0</v>
      </c>
      <c r="AU197" s="3412">
        <v>0</v>
      </c>
      <c r="AV197" s="3412">
        <v>0</v>
      </c>
      <c r="AW197" s="3412">
        <v>0</v>
      </c>
      <c r="AX197" s="3412">
        <v>0</v>
      </c>
      <c r="AY197" s="3410">
        <v>0</v>
      </c>
      <c r="AZ197" s="3410">
        <v>0</v>
      </c>
      <c r="BA197" s="3407">
        <v>0</v>
      </c>
      <c r="BB197" s="3407" t="s">
        <v>1413</v>
      </c>
      <c r="BC197" s="3408">
        <v>1290.5999999999999</v>
      </c>
      <c r="BD197" s="3408">
        <v>1062.18</v>
      </c>
      <c r="BE197" s="3408">
        <v>1315.27</v>
      </c>
      <c r="BF197" s="3408">
        <v>2559.77</v>
      </c>
      <c r="BG197" s="3408">
        <v>1604.92</v>
      </c>
      <c r="BH197" s="3407"/>
    </row>
    <row r="198" spans="45:60">
      <c r="AS198" s="3414" t="s">
        <v>1535</v>
      </c>
      <c r="AT198" s="3414">
        <v>0</v>
      </c>
      <c r="AU198" s="3414">
        <v>0</v>
      </c>
      <c r="AV198" s="3414">
        <v>0</v>
      </c>
      <c r="AW198" s="3414">
        <v>0</v>
      </c>
      <c r="AX198" s="3414">
        <v>0</v>
      </c>
      <c r="AY198" s="3410">
        <v>0</v>
      </c>
      <c r="AZ198" s="3413">
        <v>0</v>
      </c>
      <c r="BA198" s="3407"/>
      <c r="BB198" s="3407" t="s">
        <v>1414</v>
      </c>
      <c r="BC198" s="3407">
        <v>0</v>
      </c>
      <c r="BD198" s="3407">
        <v>0</v>
      </c>
      <c r="BE198" s="3407">
        <v>0</v>
      </c>
      <c r="BF198" s="3407">
        <v>0</v>
      </c>
      <c r="BG198" s="3407">
        <v>0</v>
      </c>
      <c r="BH198" s="3407"/>
    </row>
    <row r="199" spans="45:60">
      <c r="AS199" s="3414" t="s">
        <v>1532</v>
      </c>
      <c r="AT199" s="3414">
        <v>0</v>
      </c>
      <c r="AU199" s="3414">
        <v>0</v>
      </c>
      <c r="AV199" s="3414">
        <v>0</v>
      </c>
      <c r="AW199" s="3414">
        <v>0</v>
      </c>
      <c r="AX199" s="3414">
        <v>0</v>
      </c>
      <c r="AY199" s="3410">
        <v>0</v>
      </c>
      <c r="AZ199" s="3413">
        <v>0</v>
      </c>
      <c r="BA199" s="3407"/>
      <c r="BB199" s="3407" t="s">
        <v>1415</v>
      </c>
      <c r="BC199" s="3408">
        <v>1290.5999999999999</v>
      </c>
      <c r="BD199" s="3408">
        <v>1062.18</v>
      </c>
      <c r="BE199" s="3408">
        <v>1315.27</v>
      </c>
      <c r="BF199" s="3408">
        <v>2559.77</v>
      </c>
      <c r="BG199" s="3408">
        <v>1604.92</v>
      </c>
      <c r="BH199" s="3407"/>
    </row>
    <row r="200" spans="45:60">
      <c r="AS200" s="3414" t="s">
        <v>1533</v>
      </c>
      <c r="AT200" s="3414">
        <v>0</v>
      </c>
      <c r="AU200" s="3414">
        <v>0</v>
      </c>
      <c r="AV200" s="3414">
        <v>0</v>
      </c>
      <c r="AW200" s="3414">
        <v>0</v>
      </c>
      <c r="AX200" s="3414">
        <v>0</v>
      </c>
      <c r="AY200" s="3410">
        <v>0</v>
      </c>
      <c r="AZ200" s="3410">
        <v>0</v>
      </c>
      <c r="BA200" s="3407"/>
      <c r="BB200" s="3407" t="s">
        <v>1416</v>
      </c>
      <c r="BC200" s="3408">
        <v>3101.99</v>
      </c>
      <c r="BD200" s="3408">
        <v>3238.3</v>
      </c>
      <c r="BE200" s="3408">
        <v>3335.01</v>
      </c>
      <c r="BF200" s="3408">
        <v>3318.1</v>
      </c>
      <c r="BG200" s="3408">
        <v>4737.8599999999997</v>
      </c>
      <c r="BH200" s="3407"/>
    </row>
    <row r="201" spans="45:60">
      <c r="AS201" s="3412" t="s">
        <v>1538</v>
      </c>
      <c r="AT201" s="3412">
        <v>1973.814359687</v>
      </c>
      <c r="AU201" s="3412">
        <v>2036.967631495</v>
      </c>
      <c r="AV201" s="3412">
        <v>2249.1066470109999</v>
      </c>
      <c r="AW201" s="3412">
        <v>2547.8833247849998</v>
      </c>
      <c r="AX201" s="3412">
        <v>2595.5867322469999</v>
      </c>
      <c r="AY201" s="3413">
        <v>3656.3</v>
      </c>
      <c r="AZ201" s="3413">
        <v>3868.88</v>
      </c>
      <c r="BB201" s="3407" t="s">
        <v>1417</v>
      </c>
      <c r="BC201" s="3407">
        <v>0</v>
      </c>
      <c r="BD201" s="3407">
        <v>0</v>
      </c>
      <c r="BE201" s="3407">
        <v>0</v>
      </c>
      <c r="BF201" s="3407">
        <v>0</v>
      </c>
      <c r="BG201" s="3407">
        <v>0</v>
      </c>
      <c r="BH201" s="3407"/>
    </row>
    <row r="202" spans="45:60">
      <c r="AS202" s="3414" t="s">
        <v>1531</v>
      </c>
      <c r="AT202" s="3414">
        <v>1915.362421263</v>
      </c>
      <c r="AU202" s="3414">
        <v>1973.814359687</v>
      </c>
      <c r="AV202" s="3414">
        <v>2036.967631495</v>
      </c>
      <c r="AW202" s="3414">
        <v>2249.1066470109999</v>
      </c>
      <c r="AX202" s="3414">
        <v>2547.8833247849998</v>
      </c>
      <c r="AY202" s="3413">
        <v>2595.59</v>
      </c>
      <c r="AZ202" s="3413">
        <v>3656.3</v>
      </c>
      <c r="BB202" s="3407" t="s">
        <v>1418</v>
      </c>
      <c r="BC202" s="3408">
        <v>2018.01</v>
      </c>
      <c r="BD202" s="3408">
        <v>2205.7399999999998</v>
      </c>
      <c r="BE202" s="3408">
        <v>2107.62</v>
      </c>
      <c r="BF202" s="3408">
        <v>2281.2199999999998</v>
      </c>
      <c r="BG202" s="3408">
        <v>3581.13</v>
      </c>
      <c r="BH202" s="3407"/>
    </row>
    <row r="203" spans="45:60">
      <c r="AS203" s="3414" t="s">
        <v>1532</v>
      </c>
      <c r="AT203" s="3414">
        <v>152.170902302</v>
      </c>
      <c r="AU203" s="3414">
        <v>86.187413319000001</v>
      </c>
      <c r="AV203" s="3414">
        <v>213.95573582399999</v>
      </c>
      <c r="AW203" s="3414">
        <v>373.34334513099998</v>
      </c>
      <c r="AX203" s="3414">
        <v>215.35387756899999</v>
      </c>
      <c r="AY203" s="3413">
        <v>1097.5899999999999</v>
      </c>
      <c r="AZ203" s="3410">
        <v>780.45</v>
      </c>
      <c r="BB203" s="3407" t="s">
        <v>1419</v>
      </c>
      <c r="BC203" s="3408">
        <v>1931.01</v>
      </c>
      <c r="BD203" s="3408">
        <v>2399.0700000000002</v>
      </c>
      <c r="BE203" s="3408">
        <v>2830.35</v>
      </c>
      <c r="BF203" s="3408">
        <v>3393.74</v>
      </c>
      <c r="BG203" s="3408">
        <v>3823.76</v>
      </c>
      <c r="BH203" s="3407"/>
    </row>
    <row r="204" spans="45:60">
      <c r="AS204" s="3414" t="s">
        <v>1533</v>
      </c>
      <c r="AT204" s="3414">
        <v>-93.718963877999997</v>
      </c>
      <c r="AU204" s="3414">
        <v>-23.034141511000001</v>
      </c>
      <c r="AV204" s="3414">
        <v>-1.8167203080000001</v>
      </c>
      <c r="AW204" s="3414">
        <v>-74.566667357</v>
      </c>
      <c r="AX204" s="3414">
        <v>-167.65047010699999</v>
      </c>
      <c r="AY204" s="3410">
        <v>-36.880000000000003</v>
      </c>
      <c r="AZ204" s="3410">
        <v>-567.87</v>
      </c>
      <c r="BB204" s="3407" t="s">
        <v>1420</v>
      </c>
      <c r="BC204" s="3407">
        <v>-847.22</v>
      </c>
      <c r="BD204" s="3408">
        <v>-1376.71</v>
      </c>
      <c r="BE204" s="3408">
        <v>-1623.16</v>
      </c>
      <c r="BF204" s="3408">
        <v>-2357.0700000000002</v>
      </c>
      <c r="BG204" s="3408">
        <v>-2667.03</v>
      </c>
      <c r="BH204" s="3407"/>
    </row>
    <row r="205" spans="45:60">
      <c r="AS205" s="3412" t="s">
        <v>1539</v>
      </c>
      <c r="AT205" s="3412">
        <v>779.75333762499997</v>
      </c>
      <c r="AU205" s="3412">
        <v>941.59862726300003</v>
      </c>
      <c r="AV205" s="3412">
        <v>1116.0465891639999</v>
      </c>
      <c r="AW205" s="3412">
        <v>1260.8231348310001</v>
      </c>
      <c r="AX205" s="3412">
        <v>1338.4895908139999</v>
      </c>
      <c r="AY205" s="3413">
        <v>1616.78</v>
      </c>
      <c r="AZ205" s="3413">
        <v>1925.94</v>
      </c>
      <c r="BB205" s="3407" t="s">
        <v>1371</v>
      </c>
      <c r="BC205" s="3407">
        <v>0.2</v>
      </c>
      <c r="BD205" s="3407">
        <v>10.199999999999999</v>
      </c>
      <c r="BE205" s="3407">
        <v>20.2</v>
      </c>
      <c r="BF205" s="3407">
        <v>0.2</v>
      </c>
      <c r="BG205" s="3407">
        <v>0</v>
      </c>
      <c r="BH205" s="3407"/>
    </row>
    <row r="206" spans="45:60">
      <c r="AS206" s="3414" t="s">
        <v>1535</v>
      </c>
      <c r="AT206" s="3414">
        <v>611.77738650799995</v>
      </c>
      <c r="AU206" s="3414">
        <v>779.75333762499997</v>
      </c>
      <c r="AV206" s="3414">
        <v>941.59862726300003</v>
      </c>
      <c r="AW206" s="3414">
        <v>1116.0465891639999</v>
      </c>
      <c r="AX206" s="3414">
        <v>1260.8231348310001</v>
      </c>
      <c r="AY206" s="3413">
        <v>1338.49</v>
      </c>
      <c r="AZ206" s="3413">
        <v>1616.78</v>
      </c>
      <c r="BB206" s="3407" t="s">
        <v>1421</v>
      </c>
      <c r="BC206" s="3407">
        <v>0</v>
      </c>
      <c r="BD206" s="3407">
        <v>0</v>
      </c>
      <c r="BE206" s="3407">
        <v>0</v>
      </c>
      <c r="BF206" s="3407">
        <v>0</v>
      </c>
      <c r="BG206" s="3407">
        <v>0</v>
      </c>
      <c r="BH206" s="3407"/>
    </row>
    <row r="207" spans="45:60">
      <c r="AS207" s="3414" t="s">
        <v>1532</v>
      </c>
      <c r="AT207" s="3414">
        <v>190.742035222</v>
      </c>
      <c r="AU207" s="3414">
        <v>185.65272858200001</v>
      </c>
      <c r="AV207" s="3414">
        <v>176.264682209</v>
      </c>
      <c r="AW207" s="3414">
        <v>196.335772225</v>
      </c>
      <c r="AX207" s="3414">
        <v>243.99958327600001</v>
      </c>
      <c r="AY207" s="3410">
        <v>313.27</v>
      </c>
      <c r="AZ207" s="3410">
        <v>354.59</v>
      </c>
      <c r="BB207" s="3407" t="s">
        <v>1422</v>
      </c>
      <c r="BC207" s="3408">
        <v>3620.89</v>
      </c>
      <c r="BD207" s="3408">
        <v>4154.2</v>
      </c>
      <c r="BE207" s="3408">
        <v>5036.17</v>
      </c>
      <c r="BF207" s="3408">
        <v>5438.41</v>
      </c>
      <c r="BG207" s="3408">
        <v>5749.5</v>
      </c>
      <c r="BH207" s="3407"/>
    </row>
    <row r="208" spans="45:60">
      <c r="AS208" s="3414" t="s">
        <v>1533</v>
      </c>
      <c r="AT208" s="3414">
        <v>-22.766084105000001</v>
      </c>
      <c r="AU208" s="3414">
        <v>-23.807438944000001</v>
      </c>
      <c r="AV208" s="3414">
        <v>-1.8167203080000001</v>
      </c>
      <c r="AW208" s="3414">
        <v>-51.559226557999999</v>
      </c>
      <c r="AX208" s="3414">
        <v>-166.33312729299999</v>
      </c>
      <c r="AY208" s="3410">
        <v>-34.97</v>
      </c>
      <c r="AZ208" s="3410">
        <v>-45.42</v>
      </c>
      <c r="BB208" s="3407" t="s">
        <v>1423</v>
      </c>
      <c r="BC208" s="3408">
        <v>2972.7</v>
      </c>
      <c r="BD208" s="3408">
        <v>3488.25</v>
      </c>
      <c r="BE208" s="3408">
        <v>3391.43</v>
      </c>
      <c r="BF208" s="3408">
        <v>3765.19</v>
      </c>
      <c r="BG208" s="3408">
        <v>4200.2299999999996</v>
      </c>
      <c r="BH208" s="3407"/>
    </row>
    <row r="209" spans="45:60">
      <c r="AS209" s="3412" t="s">
        <v>1540</v>
      </c>
      <c r="AT209" s="3412">
        <v>893.62399451700003</v>
      </c>
      <c r="AU209" s="3412">
        <v>903.45723628600001</v>
      </c>
      <c r="AV209" s="3412">
        <v>1931.006629408</v>
      </c>
      <c r="AW209" s="3412">
        <v>2399.073118584</v>
      </c>
      <c r="AX209" s="3412">
        <v>2830.3488130380001</v>
      </c>
      <c r="AY209" s="3413">
        <v>3393.74</v>
      </c>
      <c r="AZ209" s="3413">
        <v>3823.76</v>
      </c>
      <c r="BB209" s="3407" t="s">
        <v>1424</v>
      </c>
      <c r="BC209" s="3407">
        <v>182.21</v>
      </c>
      <c r="BD209" s="3407">
        <v>258.01</v>
      </c>
      <c r="BE209" s="3407">
        <v>360.95</v>
      </c>
      <c r="BF209" s="3407">
        <v>575.77</v>
      </c>
      <c r="BG209" s="3407">
        <v>533.53</v>
      </c>
      <c r="BH209" s="3407"/>
    </row>
    <row r="210" spans="45:60">
      <c r="AS210" s="3414" t="s">
        <v>1541</v>
      </c>
      <c r="AT210" s="3414">
        <v>0</v>
      </c>
      <c r="AU210" s="3414">
        <v>0</v>
      </c>
      <c r="AV210" s="3414">
        <v>0</v>
      </c>
      <c r="AW210" s="3414">
        <v>0</v>
      </c>
      <c r="AX210" s="3414">
        <v>0</v>
      </c>
      <c r="AY210" s="3410">
        <v>0</v>
      </c>
      <c r="AZ210" s="3410">
        <v>0</v>
      </c>
      <c r="BA210" s="3407"/>
      <c r="BB210" s="3407" t="s">
        <v>1425</v>
      </c>
      <c r="BC210" s="3407">
        <v>0</v>
      </c>
      <c r="BD210" s="3407">
        <v>0</v>
      </c>
      <c r="BE210" s="3407">
        <v>0</v>
      </c>
      <c r="BF210" s="3407">
        <v>0</v>
      </c>
      <c r="BG210" s="3407">
        <v>0</v>
      </c>
      <c r="BH210" s="3407"/>
    </row>
    <row r="211" spans="45:60">
      <c r="AS211" s="3414" t="s">
        <v>1542</v>
      </c>
      <c r="AT211" s="3414">
        <v>0</v>
      </c>
      <c r="AU211" s="3414">
        <v>0</v>
      </c>
      <c r="AV211" s="3414">
        <v>0</v>
      </c>
      <c r="AW211" s="3414">
        <v>0</v>
      </c>
      <c r="AX211" s="3414">
        <v>0</v>
      </c>
      <c r="AY211" s="3410">
        <v>0</v>
      </c>
      <c r="AZ211" s="3413">
        <v>0</v>
      </c>
      <c r="BA211" s="3407"/>
      <c r="BB211" s="3407" t="s">
        <v>1426</v>
      </c>
      <c r="BC211" s="3407">
        <v>0</v>
      </c>
      <c r="BD211" s="3407">
        <v>0</v>
      </c>
      <c r="BE211" s="3407">
        <v>0</v>
      </c>
      <c r="BF211" s="3407">
        <v>0</v>
      </c>
      <c r="BG211" s="3407">
        <v>0</v>
      </c>
      <c r="BH211" s="3407"/>
    </row>
    <row r="212" spans="45:60">
      <c r="AS212" s="3414" t="s">
        <v>1543</v>
      </c>
      <c r="AT212" s="3414">
        <v>0</v>
      </c>
      <c r="AU212" s="3414">
        <v>0</v>
      </c>
      <c r="AV212" s="3414">
        <v>0</v>
      </c>
      <c r="AW212" s="3414">
        <v>0</v>
      </c>
      <c r="AX212" s="3414">
        <v>0</v>
      </c>
      <c r="AY212" s="3410">
        <v>0</v>
      </c>
      <c r="AZ212" s="3413">
        <v>0</v>
      </c>
      <c r="BA212" s="3407"/>
      <c r="BB212" s="3407" t="s">
        <v>1427</v>
      </c>
      <c r="BC212" s="3407">
        <v>465.99</v>
      </c>
      <c r="BD212" s="3407">
        <v>407.94</v>
      </c>
      <c r="BE212" s="3408">
        <v>1283.79</v>
      </c>
      <c r="BF212" s="3408">
        <v>1097.46</v>
      </c>
      <c r="BG212" s="3408">
        <v>1015.73</v>
      </c>
      <c r="BH212" s="3407"/>
    </row>
    <row r="213" spans="45:60">
      <c r="AS213" s="3414" t="s">
        <v>1544</v>
      </c>
      <c r="AT213" s="3414">
        <v>0</v>
      </c>
      <c r="AU213" s="3414">
        <v>0</v>
      </c>
      <c r="AV213" s="3414">
        <v>0</v>
      </c>
      <c r="AW213" s="3414">
        <v>0</v>
      </c>
      <c r="AX213" s="3414">
        <v>0</v>
      </c>
      <c r="AY213" s="3410">
        <v>0</v>
      </c>
      <c r="AZ213" s="3413">
        <v>0</v>
      </c>
      <c r="BA213" s="3407"/>
      <c r="BB213" s="3407" t="s">
        <v>1428</v>
      </c>
      <c r="BC213" s="3408">
        <v>53697.94</v>
      </c>
      <c r="BD213" s="3408">
        <v>51650.400000000001</v>
      </c>
      <c r="BE213" s="3408">
        <v>60282.83</v>
      </c>
      <c r="BF213" s="3408">
        <v>72000</v>
      </c>
      <c r="BG213" s="3408">
        <v>88089.62</v>
      </c>
      <c r="BH213" s="3407"/>
    </row>
    <row r="214" spans="45:60">
      <c r="AS214" s="3414" t="s">
        <v>1419</v>
      </c>
      <c r="AT214" s="3414">
        <v>893.62399451700003</v>
      </c>
      <c r="AU214" s="3414">
        <v>903.45723628600001</v>
      </c>
      <c r="AV214" s="3414">
        <v>1931.006629408</v>
      </c>
      <c r="AW214" s="3414">
        <v>2399.073118584</v>
      </c>
      <c r="AX214" s="3414">
        <v>2830.3488130380001</v>
      </c>
      <c r="AY214" s="3413">
        <v>3393.74</v>
      </c>
      <c r="AZ214" s="3413">
        <v>3823.76</v>
      </c>
      <c r="BB214" s="3407" t="s">
        <v>1429</v>
      </c>
      <c r="BC214" s="3408">
        <v>32279.96</v>
      </c>
      <c r="BD214" s="3408">
        <v>26294.28</v>
      </c>
      <c r="BE214" s="3408">
        <v>30349.82</v>
      </c>
      <c r="BF214" s="3408">
        <v>36272.46</v>
      </c>
      <c r="BG214" s="3408">
        <v>44338.16</v>
      </c>
      <c r="BH214" s="3407"/>
    </row>
    <row r="215" spans="45:60">
      <c r="AS215" s="3412" t="s">
        <v>1545</v>
      </c>
      <c r="AT215" s="3412">
        <v>7513.6356540079996</v>
      </c>
      <c r="AU215" s="3412">
        <v>12062.410192740001</v>
      </c>
      <c r="AV215" s="3412">
        <v>17799.441187777</v>
      </c>
      <c r="AW215" s="3412">
        <v>10904.344845014</v>
      </c>
      <c r="AX215" s="3412">
        <v>13837.894474107001</v>
      </c>
      <c r="AY215" s="3413">
        <v>14446.24</v>
      </c>
      <c r="AZ215" s="3413">
        <v>19169.7</v>
      </c>
      <c r="BB215" s="3407" t="s">
        <v>1430</v>
      </c>
      <c r="BC215" s="3408">
        <v>29761.11</v>
      </c>
      <c r="BD215" s="3408">
        <v>24521.16</v>
      </c>
      <c r="BE215" s="3408">
        <v>29651.67</v>
      </c>
      <c r="BF215" s="3408">
        <v>34836.18</v>
      </c>
      <c r="BG215" s="3408">
        <v>41552.79</v>
      </c>
      <c r="BH215" s="3407"/>
    </row>
    <row r="216" spans="45:60">
      <c r="AS216" s="3414" t="s">
        <v>1440</v>
      </c>
      <c r="AT216" s="3414">
        <v>7159.53204482</v>
      </c>
      <c r="AU216" s="3414">
        <v>11565.885168015</v>
      </c>
      <c r="AV216" s="3414">
        <v>17381.426776367</v>
      </c>
      <c r="AW216" s="3414">
        <v>10034.700608968</v>
      </c>
      <c r="AX216" s="3414">
        <v>12531.485234031001</v>
      </c>
      <c r="AY216" s="3413">
        <v>14317.14</v>
      </c>
      <c r="AZ216" s="3413">
        <v>18175.900000000001</v>
      </c>
      <c r="BB216" s="3407" t="s">
        <v>1431</v>
      </c>
      <c r="BC216" s="3408">
        <v>2865.82</v>
      </c>
      <c r="BD216" s="3408">
        <v>3209.21</v>
      </c>
      <c r="BE216" s="3408">
        <v>2602.98</v>
      </c>
      <c r="BF216" s="3408">
        <v>4423.91</v>
      </c>
      <c r="BG216" s="3408">
        <v>3837.08</v>
      </c>
      <c r="BH216" s="3407"/>
    </row>
    <row r="217" spans="45:60">
      <c r="AS217" s="3414" t="s">
        <v>1546</v>
      </c>
      <c r="AT217" s="3414">
        <v>354.10360918800001</v>
      </c>
      <c r="AU217" s="3414">
        <v>496.52502472499998</v>
      </c>
      <c r="AV217" s="3414">
        <v>418.01441140999998</v>
      </c>
      <c r="AW217" s="3414">
        <v>869.64423604599995</v>
      </c>
      <c r="AX217" s="3414">
        <v>1306.4092400760001</v>
      </c>
      <c r="AY217" s="3410">
        <v>129.1</v>
      </c>
      <c r="AZ217" s="3410">
        <v>993.8</v>
      </c>
      <c r="BB217" s="3407" t="s">
        <v>1432</v>
      </c>
      <c r="BC217" s="3407">
        <v>710.66</v>
      </c>
      <c r="BD217" s="3407">
        <v>491.1</v>
      </c>
      <c r="BE217" s="3407">
        <v>602.01</v>
      </c>
      <c r="BF217" s="3407">
        <v>562.07000000000005</v>
      </c>
      <c r="BG217" s="3407">
        <v>761.33</v>
      </c>
      <c r="BH217" s="3407"/>
    </row>
    <row r="218" spans="45:60">
      <c r="AS218" s="3412" t="s">
        <v>1547</v>
      </c>
      <c r="AT218" s="3412">
        <v>281.22074487600003</v>
      </c>
      <c r="AU218" s="3412">
        <v>281.92494487599998</v>
      </c>
      <c r="AV218" s="3412">
        <v>0</v>
      </c>
      <c r="AW218" s="3412">
        <v>0</v>
      </c>
      <c r="AX218" s="3412">
        <v>0</v>
      </c>
      <c r="AY218" s="3410">
        <v>0</v>
      </c>
      <c r="AZ218" s="3413">
        <v>0</v>
      </c>
      <c r="BA218" s="3407">
        <v>0</v>
      </c>
      <c r="BB218" s="3407" t="s">
        <v>1433</v>
      </c>
      <c r="BC218" s="3407">
        <v>517.65</v>
      </c>
      <c r="BD218" s="3407">
        <v>670.65</v>
      </c>
      <c r="BE218" s="3408">
        <v>1432.36</v>
      </c>
      <c r="BF218" s="3408">
        <v>2298.8200000000002</v>
      </c>
      <c r="BG218" s="3408">
        <v>2192.16</v>
      </c>
      <c r="BH218" s="3407"/>
    </row>
    <row r="219" spans="45:60">
      <c r="AS219" s="3414" t="s">
        <v>1548</v>
      </c>
      <c r="AT219" s="3414">
        <v>344.40888962899999</v>
      </c>
      <c r="AU219" s="3414">
        <v>281.22074487600003</v>
      </c>
      <c r="AV219" s="3414">
        <v>0</v>
      </c>
      <c r="AW219" s="3414">
        <v>0</v>
      </c>
      <c r="AX219" s="3414">
        <v>0</v>
      </c>
      <c r="AY219" s="3410">
        <v>0</v>
      </c>
      <c r="AZ219" s="3413">
        <v>0</v>
      </c>
      <c r="BA219" s="3407"/>
      <c r="BB219" s="3407" t="s">
        <v>1434</v>
      </c>
      <c r="BC219" s="3408">
        <v>2926.23</v>
      </c>
      <c r="BD219" s="3408">
        <v>3276.7</v>
      </c>
      <c r="BE219" s="3408">
        <v>3734.34</v>
      </c>
      <c r="BF219" s="3408">
        <v>4341.01</v>
      </c>
      <c r="BG219" s="3408">
        <v>5678.41</v>
      </c>
      <c r="BH219" s="3407"/>
    </row>
    <row r="220" spans="45:60">
      <c r="AS220" s="3414" t="s">
        <v>1532</v>
      </c>
      <c r="AT220" s="3414">
        <v>34.119861284999999</v>
      </c>
      <c r="AU220" s="3414">
        <v>0.70420000000000005</v>
      </c>
      <c r="AV220" s="3414">
        <v>0</v>
      </c>
      <c r="AW220" s="3414">
        <v>0</v>
      </c>
      <c r="AX220" s="3414">
        <v>0</v>
      </c>
      <c r="AY220" s="3410">
        <v>0</v>
      </c>
      <c r="AZ220" s="3410">
        <v>0</v>
      </c>
      <c r="BA220" s="3407"/>
      <c r="BB220" s="3407" t="s">
        <v>1435</v>
      </c>
      <c r="BC220" s="3407">
        <v>829.13</v>
      </c>
      <c r="BD220" s="3407">
        <v>807.64</v>
      </c>
      <c r="BE220" s="3407">
        <v>848.29</v>
      </c>
      <c r="BF220" s="3408">
        <v>1241.0899999999999</v>
      </c>
      <c r="BG220" s="3408">
        <v>1843.43</v>
      </c>
      <c r="BH220" s="3407"/>
    </row>
    <row r="221" spans="45:60">
      <c r="AS221" s="3414" t="s">
        <v>1533</v>
      </c>
      <c r="AT221" s="3414">
        <v>-97.308006038000002</v>
      </c>
      <c r="AU221" s="3414">
        <v>0</v>
      </c>
      <c r="AV221" s="3414">
        <v>0</v>
      </c>
      <c r="AW221" s="3414">
        <v>0</v>
      </c>
      <c r="AX221" s="3414">
        <v>0</v>
      </c>
      <c r="AY221" s="3410">
        <v>0</v>
      </c>
      <c r="AZ221" s="3410">
        <v>0</v>
      </c>
      <c r="BA221" s="3407"/>
      <c r="BB221" s="3407" t="s">
        <v>1436</v>
      </c>
      <c r="BC221" s="3407">
        <v>0</v>
      </c>
      <c r="BD221" s="3407">
        <v>0</v>
      </c>
      <c r="BE221" s="3407">
        <v>0</v>
      </c>
      <c r="BF221" s="3407">
        <v>0</v>
      </c>
      <c r="BG221" s="3407">
        <v>0</v>
      </c>
      <c r="BH221" s="3407"/>
    </row>
    <row r="222" spans="45:60">
      <c r="AS222" s="3412" t="s">
        <v>1549</v>
      </c>
      <c r="AT222" s="3412">
        <v>55.291329603999998</v>
      </c>
      <c r="AU222" s="3412">
        <v>81.890719849000007</v>
      </c>
      <c r="AV222" s="3412">
        <v>0</v>
      </c>
      <c r="AW222" s="3412">
        <v>0</v>
      </c>
      <c r="AX222" s="3412">
        <v>0</v>
      </c>
      <c r="AY222" s="3410">
        <v>0</v>
      </c>
      <c r="AZ222" s="3413">
        <v>0</v>
      </c>
      <c r="BA222" s="3407">
        <v>0</v>
      </c>
      <c r="BB222" s="3407" t="s">
        <v>1437</v>
      </c>
      <c r="BC222" s="3407">
        <v>89.22</v>
      </c>
      <c r="BD222" s="3407">
        <v>78.66</v>
      </c>
      <c r="BE222" s="3407">
        <v>78.459999999999994</v>
      </c>
      <c r="BF222" s="3407">
        <v>92.74</v>
      </c>
      <c r="BG222" s="3407">
        <v>85.65</v>
      </c>
      <c r="BH222" s="3407"/>
    </row>
    <row r="223" spans="45:60">
      <c r="AS223" s="3414" t="s">
        <v>1550</v>
      </c>
      <c r="AT223" s="3414">
        <v>18.391166449</v>
      </c>
      <c r="AU223" s="3414">
        <v>55.291329603999998</v>
      </c>
      <c r="AV223" s="3414">
        <v>0</v>
      </c>
      <c r="AW223" s="3414">
        <v>0</v>
      </c>
      <c r="AX223" s="3414">
        <v>0</v>
      </c>
      <c r="AY223" s="3410">
        <v>0</v>
      </c>
      <c r="AZ223" s="3413">
        <v>0</v>
      </c>
      <c r="BA223" s="3407"/>
      <c r="BB223" s="3407" t="s">
        <v>1438</v>
      </c>
      <c r="BC223" s="3408">
        <v>2530.37</v>
      </c>
      <c r="BD223" s="3408">
        <v>3200.4</v>
      </c>
      <c r="BE223" s="3408">
        <v>3620.21</v>
      </c>
      <c r="BF223" s="3408">
        <v>4224.6499999999996</v>
      </c>
      <c r="BG223" s="3408">
        <v>4230.71</v>
      </c>
      <c r="BH223" s="3407"/>
    </row>
    <row r="224" spans="45:60">
      <c r="AS224" s="3414" t="s">
        <v>1532</v>
      </c>
      <c r="AT224" s="3414">
        <v>36.900163155000001</v>
      </c>
      <c r="AU224" s="3414">
        <v>26.599390244999999</v>
      </c>
      <c r="AV224" s="3414">
        <v>0</v>
      </c>
      <c r="AW224" s="3414">
        <v>0</v>
      </c>
      <c r="AX224" s="3414">
        <v>0</v>
      </c>
      <c r="AY224" s="3410">
        <v>0</v>
      </c>
      <c r="AZ224" s="3413">
        <v>0</v>
      </c>
      <c r="BA224" s="3407"/>
      <c r="BB224" s="3407" t="s">
        <v>1439</v>
      </c>
      <c r="BC224" s="3407">
        <v>555.47</v>
      </c>
      <c r="BD224" s="3407">
        <v>568.80999999999995</v>
      </c>
      <c r="BE224" s="3408">
        <v>1015.1</v>
      </c>
      <c r="BF224" s="3407">
        <v>874.02</v>
      </c>
      <c r="BG224" s="3408">
        <v>1014.67</v>
      </c>
      <c r="BH224" s="3407"/>
    </row>
    <row r="225" spans="45:60">
      <c r="AS225" s="3414" t="s">
        <v>1533</v>
      </c>
      <c r="AT225" s="3414">
        <v>0</v>
      </c>
      <c r="AU225" s="3414">
        <v>0</v>
      </c>
      <c r="AV225" s="3414">
        <v>0</v>
      </c>
      <c r="AW225" s="3414">
        <v>0</v>
      </c>
      <c r="AX225" s="3414">
        <v>0</v>
      </c>
      <c r="AY225" s="3410">
        <v>0</v>
      </c>
      <c r="AZ225" s="3410">
        <v>0</v>
      </c>
      <c r="BA225" s="3407"/>
      <c r="BB225" s="3407" t="s">
        <v>1440</v>
      </c>
      <c r="BC225" s="3408">
        <v>17799.439999999999</v>
      </c>
      <c r="BD225" s="3408">
        <v>10904.34</v>
      </c>
      <c r="BE225" s="3408">
        <v>13837.89</v>
      </c>
      <c r="BF225" s="3408">
        <v>14446.24</v>
      </c>
      <c r="BG225" s="3408">
        <v>19169.7</v>
      </c>
      <c r="BH225" s="3407"/>
    </row>
    <row r="226" spans="45:60">
      <c r="AS226" s="3412" t="s">
        <v>1551</v>
      </c>
      <c r="AT226" s="3412">
        <v>554.46160569599999</v>
      </c>
      <c r="AU226" s="3412">
        <v>645.97220999599995</v>
      </c>
      <c r="AV226" s="3412">
        <v>517.65270880900005</v>
      </c>
      <c r="AW226" s="3412">
        <v>670.64891759199998</v>
      </c>
      <c r="AX226" s="3412">
        <v>1432.3566051570001</v>
      </c>
      <c r="AY226" s="3413">
        <v>2298.8200000000002</v>
      </c>
      <c r="AZ226" s="3413">
        <v>2192.16</v>
      </c>
      <c r="BB226" s="3407" t="s">
        <v>1441</v>
      </c>
      <c r="BC226" s="3407">
        <v>112.41</v>
      </c>
      <c r="BD226" s="3407">
        <v>251.13</v>
      </c>
      <c r="BE226" s="3407">
        <v>417.4</v>
      </c>
      <c r="BF226" s="3407">
        <v>496.6</v>
      </c>
      <c r="BG226" s="3407">
        <v>578.29999999999995</v>
      </c>
      <c r="BH226" s="3407"/>
    </row>
    <row r="227" spans="45:60">
      <c r="AS227" s="3414" t="s">
        <v>1552</v>
      </c>
      <c r="AT227" s="3414">
        <v>303.65278681699999</v>
      </c>
      <c r="AU227" s="3414">
        <v>268.12644236199998</v>
      </c>
      <c r="AV227" s="3414">
        <v>217.15827216</v>
      </c>
      <c r="AW227" s="3414">
        <v>303.079676119</v>
      </c>
      <c r="AX227" s="3414">
        <v>551.03501407700003</v>
      </c>
      <c r="AY227" s="3410">
        <v>641.79999999999995</v>
      </c>
      <c r="AZ227" s="3410">
        <v>725.46</v>
      </c>
      <c r="BB227" s="3407" t="s">
        <v>1442</v>
      </c>
      <c r="BC227" s="3407">
        <v>824.71</v>
      </c>
      <c r="BD227" s="3408">
        <v>1062.52</v>
      </c>
      <c r="BE227" s="3408">
        <v>1462.64</v>
      </c>
      <c r="BF227" s="3408">
        <v>1835.04</v>
      </c>
      <c r="BG227" s="3408">
        <v>2161.35</v>
      </c>
      <c r="BH227" s="3407"/>
    </row>
    <row r="228" spans="45:60">
      <c r="AS228" s="3414" t="s">
        <v>1553</v>
      </c>
      <c r="AT228" s="3414">
        <v>0</v>
      </c>
      <c r="AU228" s="3414">
        <v>0</v>
      </c>
      <c r="AV228" s="3414">
        <v>0</v>
      </c>
      <c r="AW228" s="3414">
        <v>0</v>
      </c>
      <c r="AX228" s="3414">
        <v>0</v>
      </c>
      <c r="AY228" s="3410">
        <v>0</v>
      </c>
      <c r="AZ228" s="3410"/>
      <c r="BB228" s="3407" t="s">
        <v>1443</v>
      </c>
      <c r="BC228" s="3407">
        <v>0</v>
      </c>
      <c r="BD228" s="3407">
        <v>0</v>
      </c>
      <c r="BE228" s="3407">
        <v>0</v>
      </c>
      <c r="BF228" s="3407">
        <v>0</v>
      </c>
      <c r="BG228" s="3407">
        <v>0</v>
      </c>
      <c r="BH228" s="3407"/>
    </row>
    <row r="229" spans="45:60">
      <c r="AS229" s="3414" t="s">
        <v>1554</v>
      </c>
      <c r="AT229" s="3414">
        <v>0</v>
      </c>
      <c r="AU229" s="3414">
        <v>0</v>
      </c>
      <c r="AV229" s="3414">
        <v>0</v>
      </c>
      <c r="AW229" s="3414">
        <v>0</v>
      </c>
      <c r="AX229" s="3414">
        <v>0</v>
      </c>
      <c r="AY229" s="3410">
        <v>0</v>
      </c>
      <c r="AZ229" s="3410"/>
      <c r="BB229" s="3407" t="s">
        <v>1388</v>
      </c>
      <c r="BC229" s="3407">
        <v>0</v>
      </c>
      <c r="BD229" s="3407">
        <v>0</v>
      </c>
      <c r="BE229" s="3407">
        <v>0</v>
      </c>
      <c r="BF229" s="3407">
        <v>0</v>
      </c>
      <c r="BG229" s="3407">
        <v>0</v>
      </c>
      <c r="BH229" s="3407"/>
    </row>
    <row r="230" spans="45:60">
      <c r="AS230" s="3414" t="s">
        <v>1555</v>
      </c>
      <c r="AT230" s="3414">
        <v>173.29160443399999</v>
      </c>
      <c r="AU230" s="3414">
        <v>299.07261231199999</v>
      </c>
      <c r="AV230" s="3414">
        <v>193.264776396</v>
      </c>
      <c r="AW230" s="3414">
        <v>228.046206079</v>
      </c>
      <c r="AX230" s="3414">
        <v>666.35361955899998</v>
      </c>
      <c r="AY230" s="3413">
        <v>1372.26</v>
      </c>
      <c r="AZ230" s="3413">
        <v>1092.6400000000001</v>
      </c>
      <c r="BB230" s="3407" t="s">
        <v>1444</v>
      </c>
      <c r="BC230" s="3408">
        <v>2518.85</v>
      </c>
      <c r="BD230" s="3408">
        <v>1773.12</v>
      </c>
      <c r="BE230" s="3407">
        <v>698.14</v>
      </c>
      <c r="BF230" s="3408">
        <v>1436.27</v>
      </c>
      <c r="BG230" s="3408">
        <v>2785.37</v>
      </c>
      <c r="BH230" s="3407"/>
    </row>
    <row r="231" spans="45:60">
      <c r="AS231" s="3414" t="s">
        <v>1556</v>
      </c>
      <c r="AT231" s="3414">
        <v>56.133748775999997</v>
      </c>
      <c r="AU231" s="3414">
        <v>69.975457504000005</v>
      </c>
      <c r="AV231" s="3414">
        <v>95.191488868999997</v>
      </c>
      <c r="AW231" s="3414">
        <v>122.566794126</v>
      </c>
      <c r="AX231" s="3414">
        <v>183.69930238000001</v>
      </c>
      <c r="AY231" s="3410">
        <v>236.67</v>
      </c>
      <c r="AZ231" s="3410">
        <v>328.89</v>
      </c>
      <c r="BB231" s="3407" t="s">
        <v>1445</v>
      </c>
      <c r="BC231" s="3407">
        <v>0</v>
      </c>
      <c r="BD231" s="3407">
        <v>0</v>
      </c>
      <c r="BE231" s="3407">
        <v>0</v>
      </c>
      <c r="BF231" s="3407">
        <v>0</v>
      </c>
      <c r="BG231" s="3407">
        <v>0</v>
      </c>
      <c r="BH231" s="3407"/>
    </row>
    <row r="232" spans="45:60">
      <c r="AS232" s="3414" t="s">
        <v>1557</v>
      </c>
      <c r="AT232" s="3414">
        <v>0</v>
      </c>
      <c r="AU232" s="3414">
        <v>0</v>
      </c>
      <c r="AV232" s="3414">
        <v>0</v>
      </c>
      <c r="AW232" s="3414">
        <v>0</v>
      </c>
      <c r="AX232" s="3414">
        <v>0</v>
      </c>
      <c r="AY232" s="3410">
        <v>0</v>
      </c>
      <c r="AZ232" s="3410"/>
      <c r="BB232" s="3407" t="s">
        <v>1446</v>
      </c>
      <c r="BC232" s="3407">
        <v>0</v>
      </c>
      <c r="BD232" s="3407">
        <v>0</v>
      </c>
      <c r="BE232" s="3407">
        <v>0</v>
      </c>
      <c r="BF232" s="3407">
        <v>0</v>
      </c>
      <c r="BG232" s="3407">
        <v>0</v>
      </c>
      <c r="BH232" s="3407"/>
    </row>
    <row r="233" spans="45:60">
      <c r="AS233" s="3414" t="s">
        <v>1558</v>
      </c>
      <c r="AT233" s="3414">
        <v>19.144273924</v>
      </c>
      <c r="AU233" s="3414">
        <v>0</v>
      </c>
      <c r="AV233" s="3414">
        <v>0</v>
      </c>
      <c r="AW233" s="3414">
        <v>0</v>
      </c>
      <c r="AX233" s="3414">
        <v>0</v>
      </c>
      <c r="AY233" s="3410">
        <v>0</v>
      </c>
      <c r="AZ233" s="3410"/>
      <c r="BB233" s="3407" t="s">
        <v>1447</v>
      </c>
      <c r="BC233" s="3407">
        <v>0</v>
      </c>
      <c r="BD233" s="3407">
        <v>0</v>
      </c>
      <c r="BE233" s="3407">
        <v>0</v>
      </c>
      <c r="BF233" s="3407">
        <v>0</v>
      </c>
      <c r="BG233" s="3407">
        <v>0</v>
      </c>
      <c r="BH233" s="3407"/>
    </row>
    <row r="234" spans="45:60">
      <c r="AS234" s="3414" t="s">
        <v>1559</v>
      </c>
      <c r="AT234" s="3414">
        <v>0</v>
      </c>
      <c r="AU234" s="3414">
        <v>0</v>
      </c>
      <c r="AV234" s="3414">
        <v>12.038171384</v>
      </c>
      <c r="AW234" s="3414">
        <v>16.956241267999999</v>
      </c>
      <c r="AX234" s="3414">
        <v>31.268669141</v>
      </c>
      <c r="AY234" s="3410">
        <v>48.09</v>
      </c>
      <c r="AZ234" s="3410">
        <v>45.16</v>
      </c>
      <c r="BB234" s="3407" t="s">
        <v>1448</v>
      </c>
      <c r="BC234" s="3407">
        <v>0</v>
      </c>
      <c r="BD234" s="3407">
        <v>0</v>
      </c>
      <c r="BE234" s="3407">
        <v>0</v>
      </c>
      <c r="BF234" s="3407">
        <v>0</v>
      </c>
      <c r="BG234" s="3407">
        <v>0</v>
      </c>
      <c r="BH234" s="3407"/>
    </row>
    <row r="235" spans="45:60">
      <c r="AS235" s="3414" t="s">
        <v>1560</v>
      </c>
      <c r="AT235" s="3414">
        <v>2.2391917449999998</v>
      </c>
      <c r="AU235" s="3414">
        <v>8.7976978179999996</v>
      </c>
      <c r="AV235" s="3414">
        <v>0</v>
      </c>
      <c r="AW235" s="3414">
        <v>0</v>
      </c>
      <c r="AX235" s="3414">
        <v>0</v>
      </c>
      <c r="AY235" s="3410">
        <v>0</v>
      </c>
      <c r="AZ235" s="3410"/>
      <c r="BB235" s="3407" t="s">
        <v>1449</v>
      </c>
      <c r="BC235" s="3407">
        <v>0</v>
      </c>
      <c r="BD235" s="3407">
        <v>0</v>
      </c>
      <c r="BE235" s="3407">
        <v>0</v>
      </c>
      <c r="BF235" s="3407">
        <v>0</v>
      </c>
      <c r="BG235" s="3407">
        <v>0</v>
      </c>
      <c r="BH235" s="3407"/>
    </row>
    <row r="236" spans="45:60">
      <c r="AS236" s="3412" t="s">
        <v>1561</v>
      </c>
      <c r="AT236" s="3412">
        <v>746.85360876599998</v>
      </c>
      <c r="AU236" s="3412">
        <v>762.36548326100001</v>
      </c>
      <c r="AV236" s="3412">
        <v>829.12622339699999</v>
      </c>
      <c r="AW236" s="3412">
        <v>807.64009465799995</v>
      </c>
      <c r="AX236" s="3412">
        <v>848.29308241000001</v>
      </c>
      <c r="AY236" s="3413">
        <v>1241.0899999999999</v>
      </c>
      <c r="AZ236" s="3413">
        <v>1843.43</v>
      </c>
      <c r="BB236" s="3407" t="s">
        <v>1450</v>
      </c>
      <c r="BC236" s="3407">
        <v>94.84</v>
      </c>
      <c r="BD236" s="3407">
        <v>114.88</v>
      </c>
      <c r="BE236" s="3407">
        <v>132.93</v>
      </c>
      <c r="BF236" s="3407">
        <v>131.34</v>
      </c>
      <c r="BG236" s="3407">
        <v>127.53</v>
      </c>
      <c r="BH236" s="3407"/>
    </row>
    <row r="237" spans="45:60">
      <c r="AS237" s="3414" t="s">
        <v>1562</v>
      </c>
      <c r="AT237" s="3414">
        <v>0</v>
      </c>
      <c r="AU237" s="3414">
        <v>0</v>
      </c>
      <c r="AV237" s="3414">
        <v>0</v>
      </c>
      <c r="AW237" s="3414">
        <v>0</v>
      </c>
      <c r="AX237" s="3414">
        <v>0</v>
      </c>
      <c r="AY237" s="3410">
        <v>0</v>
      </c>
      <c r="AZ237" s="3410"/>
      <c r="BB237" s="3407" t="s">
        <v>1451</v>
      </c>
      <c r="BC237" s="3407">
        <v>34.909999999999997</v>
      </c>
      <c r="BD237" s="3407">
        <v>28.15</v>
      </c>
      <c r="BE237" s="3407">
        <v>41.91</v>
      </c>
      <c r="BF237" s="3407">
        <v>183.79</v>
      </c>
      <c r="BG237" s="3407">
        <v>149.21</v>
      </c>
      <c r="BH237" s="3407"/>
    </row>
    <row r="238" spans="45:60">
      <c r="AS238" s="3414" t="s">
        <v>1563</v>
      </c>
      <c r="AT238" s="3414">
        <v>0</v>
      </c>
      <c r="AU238" s="3414">
        <v>0</v>
      </c>
      <c r="AV238" s="3414">
        <v>0</v>
      </c>
      <c r="AW238" s="3414">
        <v>0</v>
      </c>
      <c r="AX238" s="3414">
        <v>0</v>
      </c>
      <c r="AY238" s="3410">
        <v>0</v>
      </c>
      <c r="AZ238" s="3410"/>
      <c r="BB238" s="3407" t="s">
        <v>1452</v>
      </c>
      <c r="BC238" s="3408">
        <v>2296.31</v>
      </c>
      <c r="BD238" s="3408">
        <v>1477.83</v>
      </c>
      <c r="BE238" s="3407">
        <v>208.07</v>
      </c>
      <c r="BF238" s="3407">
        <v>501.12</v>
      </c>
      <c r="BG238" s="3408">
        <v>1903.79</v>
      </c>
      <c r="BH238" s="3407"/>
    </row>
    <row r="239" spans="45:60">
      <c r="AS239" s="3414" t="s">
        <v>1564</v>
      </c>
      <c r="AT239" s="3414">
        <v>0</v>
      </c>
      <c r="AU239" s="3414">
        <v>0</v>
      </c>
      <c r="AV239" s="3414">
        <v>0</v>
      </c>
      <c r="AW239" s="3414">
        <v>0</v>
      </c>
      <c r="AX239" s="3414">
        <v>0</v>
      </c>
      <c r="AY239" s="3410">
        <v>0</v>
      </c>
      <c r="AZ239" s="3410"/>
      <c r="BB239" s="3407" t="s">
        <v>1453</v>
      </c>
      <c r="BC239" s="3407">
        <v>0</v>
      </c>
      <c r="BD239" s="3407">
        <v>0</v>
      </c>
      <c r="BE239" s="3407">
        <v>0</v>
      </c>
      <c r="BF239" s="3407">
        <v>0</v>
      </c>
      <c r="BG239" s="3407">
        <v>0</v>
      </c>
      <c r="BH239" s="3407"/>
    </row>
    <row r="240" spans="45:60">
      <c r="AS240" s="3414" t="s">
        <v>1525</v>
      </c>
      <c r="AT240" s="3414">
        <v>746.85360876599998</v>
      </c>
      <c r="AU240" s="3414">
        <v>762.36548326100001</v>
      </c>
      <c r="AV240" s="3414">
        <v>829.12622339699999</v>
      </c>
      <c r="AW240" s="3414">
        <v>807.64009465799995</v>
      </c>
      <c r="AX240" s="3414">
        <v>848.29308241000001</v>
      </c>
      <c r="AY240" s="3413">
        <v>1241.0899999999999</v>
      </c>
      <c r="AZ240" s="3413">
        <v>1843.43</v>
      </c>
      <c r="BB240" s="3407" t="s">
        <v>1454</v>
      </c>
      <c r="BC240" s="3407">
        <v>0</v>
      </c>
      <c r="BD240" s="3407">
        <v>0</v>
      </c>
      <c r="BE240" s="3407">
        <v>0</v>
      </c>
      <c r="BF240" s="3407">
        <v>0</v>
      </c>
      <c r="BG240" s="3407">
        <v>0</v>
      </c>
      <c r="BH240" s="3407"/>
    </row>
    <row r="241" spans="45:60">
      <c r="AS241" s="3412" t="s">
        <v>1565</v>
      </c>
      <c r="AT241" s="3412">
        <v>387.440116553</v>
      </c>
      <c r="AU241" s="3412">
        <v>744.81689223399997</v>
      </c>
      <c r="AV241" s="3412">
        <v>555.46732169400002</v>
      </c>
      <c r="AW241" s="3412">
        <v>568.80738628300003</v>
      </c>
      <c r="AX241" s="3412">
        <v>1015.1016059569999</v>
      </c>
      <c r="AY241" s="3410">
        <v>874.02</v>
      </c>
      <c r="AZ241" s="3413">
        <v>1014.67</v>
      </c>
      <c r="BB241" s="3407" t="s">
        <v>1455</v>
      </c>
      <c r="BC241" s="3407">
        <v>87.37</v>
      </c>
      <c r="BD241" s="3407">
        <v>149.31</v>
      </c>
      <c r="BE241" s="3407">
        <v>245.72</v>
      </c>
      <c r="BF241" s="3407">
        <v>356.97</v>
      </c>
      <c r="BG241" s="3407">
        <v>198.79</v>
      </c>
      <c r="BH241" s="3407"/>
    </row>
    <row r="242" spans="45:60">
      <c r="AS242" s="3414" t="s">
        <v>1566</v>
      </c>
      <c r="AT242" s="3414">
        <v>0</v>
      </c>
      <c r="AU242" s="3414">
        <v>0</v>
      </c>
      <c r="AV242" s="3414">
        <v>0</v>
      </c>
      <c r="AW242" s="3414">
        <v>0</v>
      </c>
      <c r="AX242" s="3414">
        <v>0</v>
      </c>
      <c r="AY242" s="3410">
        <v>0</v>
      </c>
      <c r="AZ242" s="3410"/>
      <c r="BB242" s="3407" t="s">
        <v>1456</v>
      </c>
      <c r="BC242" s="3407"/>
      <c r="BD242" s="3407"/>
      <c r="BE242" s="3407"/>
      <c r="BF242" s="3407"/>
      <c r="BG242" s="3407"/>
      <c r="BH242" s="3407"/>
    </row>
    <row r="243" spans="45:60">
      <c r="AS243" s="3414" t="s">
        <v>1567</v>
      </c>
      <c r="AT243" s="3414">
        <v>57.305049175000001</v>
      </c>
      <c r="AU243" s="3414">
        <v>78.135212985999999</v>
      </c>
      <c r="AV243" s="3414">
        <v>82.995929719000003</v>
      </c>
      <c r="AW243" s="3414">
        <v>92.007765491000001</v>
      </c>
      <c r="AX243" s="3414">
        <v>123.106128775</v>
      </c>
      <c r="AY243" s="3410">
        <v>141.87</v>
      </c>
      <c r="AZ243" s="3410">
        <v>175.06</v>
      </c>
      <c r="BB243" s="3407" t="s">
        <v>1457</v>
      </c>
      <c r="BC243" s="3407">
        <v>5.23</v>
      </c>
      <c r="BD243" s="3407">
        <v>2.76</v>
      </c>
      <c r="BE243" s="3407">
        <v>69.319999999999993</v>
      </c>
      <c r="BF243" s="3407">
        <v>262.86</v>
      </c>
      <c r="BG243" s="3407">
        <v>405.86</v>
      </c>
      <c r="BH243" s="3407"/>
    </row>
    <row r="244" spans="45:60">
      <c r="AS244" s="3414" t="s">
        <v>1568</v>
      </c>
      <c r="AT244" s="3414">
        <v>75.143289315000004</v>
      </c>
      <c r="AU244" s="3414">
        <v>90.077629985000002</v>
      </c>
      <c r="AV244" s="3414">
        <v>85.026865616999999</v>
      </c>
      <c r="AW244" s="3414">
        <v>96.393870781000004</v>
      </c>
      <c r="AX244" s="3414">
        <v>144.51311257200001</v>
      </c>
      <c r="AY244" s="3410">
        <v>204.11</v>
      </c>
      <c r="AZ244" s="3410">
        <v>264.74</v>
      </c>
      <c r="BB244" s="3407" t="s">
        <v>1458</v>
      </c>
      <c r="BC244" s="3407">
        <v>0.19</v>
      </c>
      <c r="BD244" s="3407">
        <v>0.19</v>
      </c>
      <c r="BE244" s="3407">
        <v>0.19</v>
      </c>
      <c r="BF244" s="3407">
        <v>0.19</v>
      </c>
      <c r="BG244" s="3407">
        <v>0.19</v>
      </c>
      <c r="BH244" s="3407"/>
    </row>
    <row r="245" spans="45:60">
      <c r="AS245" s="3414" t="s">
        <v>1569</v>
      </c>
      <c r="AT245" s="3414">
        <v>0</v>
      </c>
      <c r="AU245" s="3414">
        <v>0</v>
      </c>
      <c r="AV245" s="3414">
        <v>0</v>
      </c>
      <c r="AW245" s="3414">
        <v>0</v>
      </c>
      <c r="AX245" s="3414">
        <v>0</v>
      </c>
      <c r="AY245" s="3410">
        <v>0</v>
      </c>
      <c r="AZ245" s="3413">
        <v>0</v>
      </c>
      <c r="BA245" s="3407"/>
      <c r="BB245" s="3407" t="s">
        <v>1459</v>
      </c>
      <c r="BC245" s="3408">
        <v>21417.99</v>
      </c>
      <c r="BD245" s="3408">
        <v>25356.12</v>
      </c>
      <c r="BE245" s="3408">
        <v>29933.01</v>
      </c>
      <c r="BF245" s="3408">
        <v>35727.54</v>
      </c>
      <c r="BG245" s="3408">
        <v>43751.47</v>
      </c>
      <c r="BH245" s="3407"/>
    </row>
    <row r="246" spans="45:60">
      <c r="AS246" s="3414" t="s">
        <v>1570</v>
      </c>
      <c r="AT246" s="3414">
        <v>0</v>
      </c>
      <c r="AU246" s="3414">
        <v>0</v>
      </c>
      <c r="AV246" s="3414">
        <v>0</v>
      </c>
      <c r="AW246" s="3414">
        <v>0</v>
      </c>
      <c r="AX246" s="3414">
        <v>0</v>
      </c>
      <c r="AY246" s="3410">
        <v>0</v>
      </c>
      <c r="AZ246" s="3413">
        <v>0</v>
      </c>
      <c r="BA246" s="3407"/>
      <c r="BB246" s="3407" t="s">
        <v>1460</v>
      </c>
      <c r="BC246" s="3408">
        <v>21415.24</v>
      </c>
      <c r="BD246" s="3408">
        <v>25353.37</v>
      </c>
      <c r="BE246" s="3408">
        <v>29930.26</v>
      </c>
      <c r="BF246" s="3408">
        <v>35724.79</v>
      </c>
      <c r="BG246" s="3408">
        <v>43748.72</v>
      </c>
      <c r="BH246" s="3407"/>
    </row>
    <row r="247" spans="45:60">
      <c r="AS247" s="3414" t="s">
        <v>1571</v>
      </c>
      <c r="AT247" s="3414">
        <v>0</v>
      </c>
      <c r="AU247" s="3414">
        <v>0</v>
      </c>
      <c r="AV247" s="3414">
        <v>0</v>
      </c>
      <c r="AW247" s="3414">
        <v>0</v>
      </c>
      <c r="AX247" s="3414">
        <v>0</v>
      </c>
      <c r="AY247" s="3410">
        <v>0</v>
      </c>
      <c r="AZ247" s="3413">
        <v>0</v>
      </c>
      <c r="BA247" s="3407"/>
      <c r="BB247" s="3407" t="s">
        <v>1461</v>
      </c>
      <c r="BC247" s="3408">
        <v>9075.52</v>
      </c>
      <c r="BD247" s="3408">
        <v>10970.27</v>
      </c>
      <c r="BE247" s="3408">
        <v>12699.69</v>
      </c>
      <c r="BF247" s="3408">
        <v>14710.69</v>
      </c>
      <c r="BG247" s="3408">
        <v>17035.07</v>
      </c>
      <c r="BH247" s="3407"/>
    </row>
    <row r="248" spans="45:60">
      <c r="AS248" s="3414" t="s">
        <v>1572</v>
      </c>
      <c r="AT248" s="3414">
        <v>116.12008025199999</v>
      </c>
      <c r="AU248" s="3414">
        <v>118.693347207</v>
      </c>
      <c r="AV248" s="3414">
        <v>112.170802413</v>
      </c>
      <c r="AW248" s="3414">
        <v>127.76553208599999</v>
      </c>
      <c r="AX248" s="3414">
        <v>115.371730758</v>
      </c>
      <c r="AY248" s="3410">
        <v>194.05</v>
      </c>
      <c r="AZ248" s="3410">
        <v>218.93</v>
      </c>
      <c r="BB248" s="3407" t="s">
        <v>1462</v>
      </c>
      <c r="BC248" s="3408">
        <v>9075.52</v>
      </c>
      <c r="BD248" s="3408">
        <v>10970.27</v>
      </c>
      <c r="BE248" s="3408">
        <v>12699.69</v>
      </c>
      <c r="BF248" s="3408">
        <v>14710.69</v>
      </c>
      <c r="BG248" s="3408">
        <v>17035.07</v>
      </c>
      <c r="BH248" s="3407"/>
    </row>
    <row r="249" spans="45:60">
      <c r="AS249" s="3414" t="s">
        <v>1573</v>
      </c>
      <c r="AT249" s="3414">
        <v>0</v>
      </c>
      <c r="AU249" s="3414">
        <v>0</v>
      </c>
      <c r="AV249" s="3414">
        <v>0</v>
      </c>
      <c r="AW249" s="3414">
        <v>0</v>
      </c>
      <c r="AX249" s="3414">
        <v>0</v>
      </c>
      <c r="AY249" s="3410">
        <v>0</v>
      </c>
      <c r="AZ249" s="3410"/>
      <c r="BB249" s="3407" t="s">
        <v>1463</v>
      </c>
      <c r="BC249" s="3407">
        <v>0</v>
      </c>
      <c r="BD249" s="3407">
        <v>0</v>
      </c>
      <c r="BE249" s="3407">
        <v>0</v>
      </c>
      <c r="BF249" s="3407">
        <v>0</v>
      </c>
      <c r="BG249" s="3407">
        <v>0</v>
      </c>
      <c r="BH249" s="3407"/>
    </row>
    <row r="250" spans="45:60">
      <c r="AS250" s="3414" t="s">
        <v>1525</v>
      </c>
      <c r="AT250" s="3414">
        <v>138.87169781099999</v>
      </c>
      <c r="AU250" s="3414">
        <v>457.91070205599999</v>
      </c>
      <c r="AV250" s="3414">
        <v>275.27372394499997</v>
      </c>
      <c r="AW250" s="3414">
        <v>252.640217925</v>
      </c>
      <c r="AX250" s="3414">
        <v>632.11063385199998</v>
      </c>
      <c r="AY250" s="3410">
        <v>333.99</v>
      </c>
      <c r="AZ250" s="3410">
        <v>355.95</v>
      </c>
      <c r="BB250" s="3407" t="s">
        <v>1464</v>
      </c>
      <c r="BC250" s="3407">
        <v>49.71</v>
      </c>
      <c r="BD250" s="3407">
        <v>49.71</v>
      </c>
      <c r="BE250" s="3407">
        <v>49.71</v>
      </c>
      <c r="BF250" s="3407">
        <v>49.71</v>
      </c>
      <c r="BG250" s="3407">
        <v>49.71</v>
      </c>
      <c r="BH250" s="3407"/>
    </row>
    <row r="251" spans="45:60">
      <c r="AS251" s="3412" t="s">
        <v>1574</v>
      </c>
      <c r="AT251" s="3412">
        <v>349.76909994200003</v>
      </c>
      <c r="AU251" s="3412">
        <v>677.79691341299997</v>
      </c>
      <c r="AV251" s="3412">
        <v>2296.308493046</v>
      </c>
      <c r="AW251" s="3412">
        <v>1477.8303339900001</v>
      </c>
      <c r="AX251" s="3412">
        <v>208.074996962</v>
      </c>
      <c r="AY251" s="3410">
        <v>501.12</v>
      </c>
      <c r="AZ251" s="3413">
        <v>1903.79</v>
      </c>
      <c r="BB251" s="3407" t="s">
        <v>1465</v>
      </c>
      <c r="BC251" s="3407">
        <v>0</v>
      </c>
      <c r="BD251" s="3407">
        <v>0</v>
      </c>
      <c r="BE251" s="3407">
        <v>0</v>
      </c>
      <c r="BF251" s="3407">
        <v>0</v>
      </c>
      <c r="BG251" s="3407">
        <v>0</v>
      </c>
      <c r="BH251" s="3407"/>
    </row>
    <row r="252" spans="45:60">
      <c r="AS252" s="3414" t="s">
        <v>1575</v>
      </c>
      <c r="AT252" s="3414">
        <v>349.76909994200003</v>
      </c>
      <c r="AU252" s="3414">
        <v>677.79691341299997</v>
      </c>
      <c r="AV252" s="3414">
        <v>2292.2938345470002</v>
      </c>
      <c r="AW252" s="3414">
        <v>1477.8303339900001</v>
      </c>
      <c r="AX252" s="3414">
        <v>204.68414071399999</v>
      </c>
      <c r="AY252" s="3410">
        <v>499.67</v>
      </c>
      <c r="AZ252" s="3413">
        <v>1902.83</v>
      </c>
      <c r="BB252" s="3407" t="s">
        <v>1466</v>
      </c>
      <c r="BC252" s="3408">
        <v>1178.17</v>
      </c>
      <c r="BD252" s="3408">
        <v>1179.06</v>
      </c>
      <c r="BE252" s="3408">
        <v>1928.6</v>
      </c>
      <c r="BF252" s="3408">
        <v>1929.01</v>
      </c>
      <c r="BG252" s="3408">
        <v>3499.55</v>
      </c>
      <c r="BH252" s="3407"/>
    </row>
    <row r="253" spans="45:60">
      <c r="AS253" s="3414" t="s">
        <v>1576</v>
      </c>
      <c r="AT253" s="3414">
        <v>0</v>
      </c>
      <c r="AU253" s="3414">
        <v>0</v>
      </c>
      <c r="AV253" s="3414">
        <v>0</v>
      </c>
      <c r="AW253" s="3414">
        <v>0</v>
      </c>
      <c r="AX253" s="3414">
        <v>0</v>
      </c>
      <c r="AY253" s="3410">
        <v>0</v>
      </c>
      <c r="AZ253" s="3410"/>
      <c r="BB253" s="3407" t="s">
        <v>1467</v>
      </c>
      <c r="BC253" s="3407">
        <v>-0.82</v>
      </c>
      <c r="BD253" s="3407">
        <v>0</v>
      </c>
      <c r="BE253" s="3407">
        <v>0</v>
      </c>
      <c r="BF253" s="3407">
        <v>0</v>
      </c>
      <c r="BG253" s="3407">
        <v>0</v>
      </c>
      <c r="BH253" s="3407"/>
    </row>
    <row r="254" spans="45:60">
      <c r="AS254" s="3414" t="s">
        <v>1577</v>
      </c>
      <c r="AT254" s="3414">
        <v>0</v>
      </c>
      <c r="AU254" s="3414">
        <v>0</v>
      </c>
      <c r="AV254" s="3414">
        <v>0</v>
      </c>
      <c r="AW254" s="3414">
        <v>0</v>
      </c>
      <c r="AX254" s="3414">
        <v>0</v>
      </c>
      <c r="AY254" s="3410">
        <v>0</v>
      </c>
      <c r="AZ254" s="3410"/>
      <c r="BB254" s="3407" t="s">
        <v>1468</v>
      </c>
      <c r="BC254" s="3407">
        <v>0</v>
      </c>
      <c r="BD254" s="3407">
        <v>0</v>
      </c>
      <c r="BE254" s="3407">
        <v>0</v>
      </c>
      <c r="BF254" s="3407">
        <v>0</v>
      </c>
      <c r="BG254" s="3407">
        <v>0</v>
      </c>
      <c r="BH254" s="3407"/>
    </row>
    <row r="255" spans="45:60">
      <c r="AS255" s="3414" t="s">
        <v>1578</v>
      </c>
      <c r="AT255" s="3414">
        <v>0</v>
      </c>
      <c r="AU255" s="3414">
        <v>0</v>
      </c>
      <c r="AV255" s="3414">
        <v>4.0146584990000003</v>
      </c>
      <c r="AW255" s="3414">
        <v>0</v>
      </c>
      <c r="AX255" s="3414">
        <v>3.390856248</v>
      </c>
      <c r="AY255" s="3410">
        <v>1.44</v>
      </c>
      <c r="AZ255" s="3410">
        <v>0.96</v>
      </c>
      <c r="BB255" s="3407" t="s">
        <v>1469</v>
      </c>
      <c r="BC255" s="3407">
        <v>-22.56</v>
      </c>
      <c r="BD255" s="3407">
        <v>-40.479999999999997</v>
      </c>
      <c r="BE255" s="3407">
        <v>-17.78</v>
      </c>
      <c r="BF255" s="3407">
        <v>-49.49</v>
      </c>
      <c r="BG255" s="3407">
        <v>-70.19</v>
      </c>
      <c r="BH255" s="3407"/>
    </row>
    <row r="256" spans="45:60">
      <c r="AS256" s="3414" t="s">
        <v>1579</v>
      </c>
      <c r="AT256" s="3414">
        <v>0</v>
      </c>
      <c r="AU256" s="3414">
        <v>0</v>
      </c>
      <c r="AV256" s="3414">
        <v>0</v>
      </c>
      <c r="AW256" s="3414">
        <v>0</v>
      </c>
      <c r="AX256" s="3414">
        <v>0</v>
      </c>
      <c r="AY256" s="3410">
        <v>0</v>
      </c>
      <c r="AZ256" s="3410"/>
      <c r="BB256" s="3407" t="s">
        <v>1470</v>
      </c>
      <c r="BC256" s="3407">
        <v>570.49</v>
      </c>
      <c r="BD256" s="3408">
        <v>1086.27</v>
      </c>
      <c r="BE256" s="3408">
        <v>1549.85</v>
      </c>
      <c r="BF256" s="3408">
        <v>2033.29</v>
      </c>
      <c r="BG256" s="3408">
        <v>1556.93</v>
      </c>
      <c r="BH256" s="3407"/>
    </row>
    <row r="257" spans="45:60">
      <c r="AS257" s="3412" t="s">
        <v>1580</v>
      </c>
      <c r="AT257" s="3412">
        <v>0</v>
      </c>
      <c r="AU257" s="3412">
        <v>0</v>
      </c>
      <c r="AV257" s="3412">
        <v>0</v>
      </c>
      <c r="AW257" s="3412">
        <v>0</v>
      </c>
      <c r="AX257" s="3412">
        <v>0</v>
      </c>
      <c r="AY257" s="3413">
        <v>14710.69</v>
      </c>
      <c r="AZ257" s="3413">
        <v>17035.07</v>
      </c>
      <c r="BB257" s="3407" t="s">
        <v>1471</v>
      </c>
      <c r="BC257" s="3407">
        <v>0</v>
      </c>
      <c r="BD257" s="3407">
        <v>0</v>
      </c>
      <c r="BE257" s="3407">
        <v>0</v>
      </c>
      <c r="BF257" s="3407">
        <v>0</v>
      </c>
      <c r="BG257" s="3407">
        <v>0</v>
      </c>
      <c r="BH257" s="3407"/>
    </row>
    <row r="258" spans="45:60">
      <c r="AS258" s="3414" t="s">
        <v>1581</v>
      </c>
      <c r="AT258" s="3414">
        <v>0</v>
      </c>
      <c r="AU258" s="3414">
        <v>0</v>
      </c>
      <c r="AV258" s="3414">
        <v>0</v>
      </c>
      <c r="AW258" s="3414">
        <v>0</v>
      </c>
      <c r="AX258" s="3414">
        <v>0</v>
      </c>
      <c r="AY258" s="3410">
        <v>0</v>
      </c>
      <c r="AZ258" s="3410"/>
      <c r="BB258" s="3407" t="s">
        <v>1472</v>
      </c>
      <c r="BC258" s="3407"/>
      <c r="BD258" s="3407"/>
      <c r="BE258" s="3407"/>
      <c r="BF258" s="3407"/>
      <c r="BG258" s="3407"/>
      <c r="BH258" s="3407"/>
    </row>
    <row r="259" spans="45:60">
      <c r="AS259" s="3414" t="s">
        <v>1582</v>
      </c>
      <c r="AT259" s="3414">
        <v>0</v>
      </c>
      <c r="AU259" s="3414">
        <v>0</v>
      </c>
      <c r="AV259" s="3414">
        <v>0</v>
      </c>
      <c r="AW259" s="3414">
        <v>0</v>
      </c>
      <c r="AX259" s="3414">
        <v>0</v>
      </c>
      <c r="AY259" s="3413">
        <v>14710.69</v>
      </c>
      <c r="AZ259" s="3413">
        <v>17035.07</v>
      </c>
      <c r="BB259" s="3407" t="s">
        <v>1473</v>
      </c>
      <c r="BC259" s="3407">
        <v>87.2</v>
      </c>
      <c r="BD259" s="3407">
        <v>87.2</v>
      </c>
      <c r="BE259" s="3407">
        <v>87.2</v>
      </c>
      <c r="BF259" s="3407">
        <v>87.73</v>
      </c>
      <c r="BG259" s="3407">
        <v>88.26</v>
      </c>
      <c r="BH259" s="3407"/>
    </row>
    <row r="260" spans="45:60">
      <c r="AS260" s="3412" t="s">
        <v>1583</v>
      </c>
      <c r="AT260" s="3412">
        <v>27791.982176828998</v>
      </c>
      <c r="AU260" s="3412">
        <v>29921.698144295999</v>
      </c>
      <c r="AV260" s="3412">
        <v>35671.052233609997</v>
      </c>
      <c r="AW260" s="3412">
        <v>44023.010881274997</v>
      </c>
      <c r="AX260" s="3412">
        <v>52625.174861332998</v>
      </c>
      <c r="AY260" s="3413">
        <v>62962.65</v>
      </c>
      <c r="AZ260" s="3413">
        <v>70207.69</v>
      </c>
      <c r="BB260" s="3407" t="s">
        <v>1474</v>
      </c>
      <c r="BC260" s="3408">
        <v>7000.48</v>
      </c>
      <c r="BD260" s="3408">
        <v>7711.68</v>
      </c>
      <c r="BE260" s="3408">
        <v>8674.1299999999992</v>
      </c>
      <c r="BF260" s="3408">
        <v>11030.53</v>
      </c>
      <c r="BG260" s="3408">
        <v>14324.28</v>
      </c>
      <c r="BH260" s="3407"/>
    </row>
    <row r="261" spans="45:60">
      <c r="AS261" s="3414" t="s">
        <v>1584</v>
      </c>
      <c r="AT261" s="3414">
        <v>3532.7591590759998</v>
      </c>
      <c r="AU261" s="3414">
        <v>3052.1755389099999</v>
      </c>
      <c r="AV261" s="3414">
        <v>4331.5993504480002</v>
      </c>
      <c r="AW261" s="3414">
        <v>4638.266711059</v>
      </c>
      <c r="AX261" s="3414">
        <v>4569.0567940090004</v>
      </c>
      <c r="AY261" s="3413">
        <v>5162.7299999999996</v>
      </c>
      <c r="AZ261" s="3413">
        <v>5801.88</v>
      </c>
      <c r="BB261" s="3407" t="s">
        <v>1475</v>
      </c>
      <c r="BC261" s="3408">
        <v>3967.09</v>
      </c>
      <c r="BD261" s="3408">
        <v>4103.79</v>
      </c>
      <c r="BE261" s="3408">
        <v>4471.8999999999996</v>
      </c>
      <c r="BF261" s="3408">
        <v>5458.23</v>
      </c>
      <c r="BG261" s="3408">
        <v>7399.8</v>
      </c>
      <c r="BH261" s="3407"/>
    </row>
    <row r="262" spans="45:60">
      <c r="AS262" s="3414" t="s">
        <v>1585</v>
      </c>
      <c r="AT262" s="3414">
        <v>24259.223017753</v>
      </c>
      <c r="AU262" s="3414">
        <v>26869.522605385999</v>
      </c>
      <c r="AV262" s="3414">
        <v>31339.452883162001</v>
      </c>
      <c r="AW262" s="3414">
        <v>39384.744170215999</v>
      </c>
      <c r="AX262" s="3414">
        <v>48056.118067324001</v>
      </c>
      <c r="AY262" s="3413">
        <v>57799.92</v>
      </c>
      <c r="AZ262" s="3413">
        <v>64405.81</v>
      </c>
      <c r="BB262" s="3407" t="s">
        <v>1476</v>
      </c>
      <c r="BC262" s="3408">
        <v>3033.4</v>
      </c>
      <c r="BD262" s="3408">
        <v>3607.89</v>
      </c>
      <c r="BE262" s="3408">
        <v>4202.2299999999996</v>
      </c>
      <c r="BF262" s="3408">
        <v>5572.3</v>
      </c>
      <c r="BG262" s="3408">
        <v>6924.48</v>
      </c>
      <c r="BH262" s="3407"/>
    </row>
    <row r="263" spans="45:60">
      <c r="AS263" s="3414" t="s">
        <v>1586</v>
      </c>
      <c r="AT263" s="3414">
        <v>0</v>
      </c>
      <c r="AU263" s="3414">
        <v>0</v>
      </c>
      <c r="AV263" s="3414">
        <v>0</v>
      </c>
      <c r="AW263" s="3414">
        <v>0</v>
      </c>
      <c r="AX263" s="3414">
        <v>0</v>
      </c>
      <c r="AY263" s="3410">
        <v>0</v>
      </c>
      <c r="AZ263" s="3410"/>
      <c r="BB263" s="3407" t="s">
        <v>1477</v>
      </c>
      <c r="BC263" s="3408">
        <v>3477.04</v>
      </c>
      <c r="BD263" s="3408">
        <v>4309.66</v>
      </c>
      <c r="BE263" s="3408">
        <v>4958.8500000000004</v>
      </c>
      <c r="BF263" s="3408">
        <v>5933.31</v>
      </c>
      <c r="BG263" s="3408">
        <v>7265.1</v>
      </c>
      <c r="BH263" s="3407"/>
    </row>
    <row r="264" spans="45:60">
      <c r="AS264" s="3412" t="s">
        <v>1587</v>
      </c>
      <c r="AT264" s="3412">
        <v>75.022024553999998</v>
      </c>
      <c r="AU264" s="3412">
        <v>91.297617471999999</v>
      </c>
      <c r="AV264" s="3412">
        <v>13.789688583</v>
      </c>
      <c r="AW264" s="3412">
        <v>13.483200364</v>
      </c>
      <c r="AX264" s="3412">
        <v>7.2740339479999996</v>
      </c>
      <c r="AY264" s="3410">
        <v>113.86</v>
      </c>
      <c r="AZ264" s="3410">
        <v>94.86</v>
      </c>
      <c r="BB264" s="3407" t="s">
        <v>1478</v>
      </c>
      <c r="BC264" s="3407">
        <v>2.75</v>
      </c>
      <c r="BD264" s="3407">
        <v>2.75</v>
      </c>
      <c r="BE264" s="3407">
        <v>2.75</v>
      </c>
      <c r="BF264" s="3407">
        <v>2.75</v>
      </c>
      <c r="BG264" s="3407">
        <v>2.75</v>
      </c>
      <c r="BH264" s="3407"/>
    </row>
    <row r="265" spans="45:60">
      <c r="AS265" s="3414" t="s">
        <v>1588</v>
      </c>
      <c r="AT265" s="3414">
        <v>0</v>
      </c>
      <c r="AU265" s="3414">
        <v>0</v>
      </c>
      <c r="AV265" s="3414">
        <v>0</v>
      </c>
      <c r="AW265" s="3414">
        <v>0</v>
      </c>
      <c r="AX265" s="3414">
        <v>0</v>
      </c>
      <c r="AY265" s="3410">
        <v>0</v>
      </c>
      <c r="AZ265" s="3410"/>
      <c r="BB265" s="3407" t="s">
        <v>1479</v>
      </c>
      <c r="BC265" s="3407">
        <v>0</v>
      </c>
      <c r="BD265" s="3407">
        <v>0</v>
      </c>
      <c r="BE265" s="3407">
        <v>0</v>
      </c>
      <c r="BF265" s="3407">
        <v>0</v>
      </c>
      <c r="BG265" s="3407">
        <v>0</v>
      </c>
      <c r="BH265" s="3407"/>
    </row>
    <row r="266" spans="45:60">
      <c r="AS266" s="3414" t="s">
        <v>1589</v>
      </c>
      <c r="AT266" s="3414">
        <v>75.022024553999998</v>
      </c>
      <c r="AU266" s="3414">
        <v>91.297617471999999</v>
      </c>
      <c r="AV266" s="3414">
        <v>13.789688583</v>
      </c>
      <c r="AW266" s="3414">
        <v>13.483200364</v>
      </c>
      <c r="AX266" s="3414">
        <v>7.2740339479999996</v>
      </c>
      <c r="AY266" s="3410">
        <v>113.86</v>
      </c>
      <c r="AZ266" s="3410">
        <v>94.86</v>
      </c>
      <c r="BB266" s="3407" t="s">
        <v>1480</v>
      </c>
      <c r="BC266" s="3407">
        <v>2.75</v>
      </c>
      <c r="BD266" s="3407">
        <v>2.75</v>
      </c>
      <c r="BE266" s="3407">
        <v>2.75</v>
      </c>
      <c r="BF266" s="3407">
        <v>2.75</v>
      </c>
      <c r="BG266" s="3407">
        <v>2.75</v>
      </c>
      <c r="BH266" s="3407"/>
    </row>
    <row r="267" spans="45:60">
      <c r="AS267" s="3414" t="s">
        <v>1590</v>
      </c>
      <c r="AT267" s="3414">
        <v>0</v>
      </c>
      <c r="AU267" s="3414">
        <v>0</v>
      </c>
      <c r="AV267" s="3414">
        <v>0</v>
      </c>
      <c r="AW267" s="3414">
        <v>0</v>
      </c>
      <c r="AX267" s="3414">
        <v>0</v>
      </c>
      <c r="AY267" s="3410">
        <v>0</v>
      </c>
      <c r="AZ267" s="3410"/>
      <c r="BB267" s="3407" t="s">
        <v>1481</v>
      </c>
      <c r="BC267" s="3407">
        <v>0</v>
      </c>
      <c r="BD267" s="3407">
        <v>0</v>
      </c>
      <c r="BE267" s="3407">
        <v>0</v>
      </c>
      <c r="BF267" s="3407">
        <v>0</v>
      </c>
      <c r="BG267" s="3407">
        <v>0</v>
      </c>
      <c r="BH267" s="3407"/>
    </row>
    <row r="268" spans="45:60">
      <c r="AS268" s="3414" t="s">
        <v>1591</v>
      </c>
      <c r="AT268" s="3414">
        <v>0</v>
      </c>
      <c r="AU268" s="3414">
        <v>0</v>
      </c>
      <c r="AV268" s="3414">
        <v>0</v>
      </c>
      <c r="AW268" s="3414">
        <v>0</v>
      </c>
      <c r="AX268" s="3414">
        <v>0</v>
      </c>
      <c r="AY268" s="3410">
        <v>0</v>
      </c>
      <c r="AZ268" s="3410"/>
      <c r="BB268" s="3407" t="s">
        <v>1482</v>
      </c>
      <c r="BC268" s="3407">
        <v>0</v>
      </c>
      <c r="BD268" s="3407">
        <v>0</v>
      </c>
      <c r="BE268" s="3407">
        <v>0</v>
      </c>
      <c r="BF268" s="3407">
        <v>0</v>
      </c>
      <c r="BG268" s="3407">
        <v>0</v>
      </c>
      <c r="BH268" s="3407"/>
    </row>
    <row r="269" spans="45:60">
      <c r="AS269" s="3414" t="s">
        <v>1592</v>
      </c>
      <c r="AT269" s="3414">
        <v>0</v>
      </c>
      <c r="AU269" s="3414">
        <v>0</v>
      </c>
      <c r="AV269" s="3414">
        <v>0</v>
      </c>
      <c r="AW269" s="3414">
        <v>0</v>
      </c>
      <c r="AX269" s="3414">
        <v>0</v>
      </c>
      <c r="AY269" s="3410">
        <v>0</v>
      </c>
      <c r="AZ269" s="3410"/>
      <c r="BB269" s="3407" t="s">
        <v>1483</v>
      </c>
      <c r="BC269" s="3408">
        <v>53697.94</v>
      </c>
      <c r="BD269" s="3408">
        <v>51650.400000000001</v>
      </c>
      <c r="BE269" s="3408">
        <v>60282.83</v>
      </c>
      <c r="BF269" s="3408">
        <v>72000</v>
      </c>
      <c r="BG269" s="3408">
        <v>88089.62</v>
      </c>
      <c r="BH269" s="3407"/>
    </row>
    <row r="270" spans="45:60">
      <c r="AS270" s="3414" t="s">
        <v>1593</v>
      </c>
      <c r="AT270" s="3414">
        <v>0</v>
      </c>
      <c r="AU270" s="3414">
        <v>0</v>
      </c>
      <c r="AV270" s="3414">
        <v>0</v>
      </c>
      <c r="AW270" s="3414">
        <v>0</v>
      </c>
      <c r="AX270" s="3414">
        <v>0</v>
      </c>
      <c r="AY270" s="3410">
        <v>0</v>
      </c>
      <c r="AZ270" s="3410"/>
      <c r="BB270" s="3407"/>
      <c r="BC270" s="3407"/>
      <c r="BD270" s="3407"/>
      <c r="BE270" s="3407"/>
      <c r="BF270" s="3407"/>
      <c r="BG270" s="3407"/>
      <c r="BH270" s="3407"/>
    </row>
    <row r="271" spans="45:60">
      <c r="AS271" s="3412" t="s">
        <v>1594</v>
      </c>
      <c r="AT271" s="3412">
        <v>17004.910529153</v>
      </c>
      <c r="AU271" s="3412">
        <v>18016.743052097001</v>
      </c>
      <c r="AV271" s="3412">
        <v>22025.298308248999</v>
      </c>
      <c r="AW271" s="3412">
        <v>26842.249039712999</v>
      </c>
      <c r="AX271" s="3412">
        <v>32298.347382702999</v>
      </c>
      <c r="AY271" s="3413">
        <v>39150.449999999997</v>
      </c>
      <c r="AZ271" s="3413">
        <v>44217.42</v>
      </c>
      <c r="BB271" s="3407"/>
      <c r="BC271" s="3407"/>
      <c r="BD271" s="3407"/>
      <c r="BE271" s="3407"/>
      <c r="BF271" s="3407"/>
      <c r="BG271" s="3407"/>
      <c r="BH271" s="3407"/>
    </row>
    <row r="272" spans="45:60">
      <c r="AS272" s="3414" t="s">
        <v>1595</v>
      </c>
      <c r="AT272" s="3414">
        <v>0</v>
      </c>
      <c r="AU272" s="3414">
        <v>2526.5615984239998</v>
      </c>
      <c r="AV272" s="3414">
        <v>3601.8630074080002</v>
      </c>
      <c r="AW272" s="3414">
        <v>3881.1688759570002</v>
      </c>
      <c r="AX272" s="3414">
        <v>3921.8919241570002</v>
      </c>
      <c r="AY272" s="3413">
        <v>4416.47</v>
      </c>
      <c r="AZ272" s="3413">
        <v>4937.01</v>
      </c>
      <c r="BB272" s="3407"/>
      <c r="BC272" s="3407"/>
      <c r="BD272" s="3407"/>
      <c r="BE272" s="3407"/>
      <c r="BF272" s="3407"/>
      <c r="BG272" s="3407"/>
      <c r="BH272" s="3407"/>
    </row>
    <row r="273" spans="45:60">
      <c r="AS273" s="3414" t="s">
        <v>1596</v>
      </c>
      <c r="AT273" s="3414">
        <v>2981.0612294849998</v>
      </c>
      <c r="AU273" s="3414">
        <v>0</v>
      </c>
      <c r="AV273" s="3414">
        <v>0</v>
      </c>
      <c r="AW273" s="3414">
        <v>0</v>
      </c>
      <c r="AX273" s="3414">
        <v>0</v>
      </c>
      <c r="AY273" s="3410">
        <v>0</v>
      </c>
      <c r="AZ273" s="3410"/>
      <c r="BB273" s="3407"/>
      <c r="BC273" s="3407"/>
      <c r="BD273" s="3407"/>
      <c r="BE273" s="3407"/>
      <c r="BF273" s="3407"/>
      <c r="BG273" s="3407"/>
      <c r="BH273" s="3407"/>
    </row>
    <row r="274" spans="45:60">
      <c r="AS274" s="3414" t="s">
        <v>1597</v>
      </c>
      <c r="AT274" s="3414">
        <v>14018.706582249</v>
      </c>
      <c r="AU274" s="3414">
        <v>15440.94764316</v>
      </c>
      <c r="AV274" s="3414">
        <v>18422.454851868999</v>
      </c>
      <c r="AW274" s="3414">
        <v>22921.722287691999</v>
      </c>
      <c r="AX274" s="3414">
        <v>28400.239912107001</v>
      </c>
      <c r="AY274" s="3413">
        <v>34732.06</v>
      </c>
      <c r="AZ274" s="3413">
        <v>39282.21</v>
      </c>
      <c r="BB274" s="3407"/>
      <c r="BC274" s="3407"/>
      <c r="BD274" s="3407"/>
      <c r="BE274" s="3407"/>
      <c r="BF274" s="3407"/>
      <c r="BG274" s="3407"/>
      <c r="BH274" s="3407"/>
    </row>
    <row r="275" spans="45:60">
      <c r="AS275" s="3414" t="s">
        <v>1598</v>
      </c>
      <c r="AT275" s="3414">
        <v>0</v>
      </c>
      <c r="AU275" s="3414">
        <v>0</v>
      </c>
      <c r="AV275" s="3414">
        <v>0</v>
      </c>
      <c r="AW275" s="3414">
        <v>0</v>
      </c>
      <c r="AX275" s="3414">
        <v>0</v>
      </c>
      <c r="AY275" s="3410">
        <v>0</v>
      </c>
      <c r="AZ275" s="3410"/>
      <c r="BB275" s="3407"/>
      <c r="BC275" s="3407"/>
      <c r="BD275" s="3407"/>
      <c r="BE275" s="3407"/>
      <c r="BF275" s="3407"/>
      <c r="BG275" s="3407"/>
      <c r="BH275" s="3407"/>
    </row>
    <row r="276" spans="45:60">
      <c r="AS276" s="3414" t="s">
        <v>1599</v>
      </c>
      <c r="AT276" s="3414">
        <v>0</v>
      </c>
      <c r="AU276" s="3414">
        <v>0</v>
      </c>
      <c r="AV276" s="3414">
        <v>0</v>
      </c>
      <c r="AW276" s="3414">
        <v>0</v>
      </c>
      <c r="AX276" s="3414">
        <v>0</v>
      </c>
      <c r="AY276" s="3410">
        <v>0</v>
      </c>
      <c r="AZ276" s="3410"/>
      <c r="BB276" s="3407"/>
      <c r="BC276" s="3407"/>
      <c r="BD276" s="3407"/>
      <c r="BE276" s="3407"/>
      <c r="BF276" s="3407"/>
      <c r="BG276" s="3407"/>
      <c r="BH276" s="3407"/>
    </row>
    <row r="277" spans="45:60">
      <c r="AS277" s="3414" t="s">
        <v>1600</v>
      </c>
      <c r="AT277" s="3414">
        <v>0</v>
      </c>
      <c r="AU277" s="3414">
        <v>0</v>
      </c>
      <c r="AV277" s="3414">
        <v>0</v>
      </c>
      <c r="AW277" s="3414">
        <v>0</v>
      </c>
      <c r="AX277" s="3414">
        <v>0</v>
      </c>
      <c r="AY277" s="3410">
        <v>0</v>
      </c>
      <c r="AZ277" s="3410"/>
      <c r="BB277" s="3407"/>
      <c r="BC277" s="3407"/>
      <c r="BD277" s="3407"/>
      <c r="BE277" s="3407"/>
      <c r="BF277" s="3407"/>
      <c r="BG277" s="3407"/>
      <c r="BH277" s="3407"/>
    </row>
    <row r="278" spans="45:60">
      <c r="AS278" s="3414" t="s">
        <v>1601</v>
      </c>
      <c r="AT278" s="3414">
        <v>0</v>
      </c>
      <c r="AU278" s="3414">
        <v>0</v>
      </c>
      <c r="AV278" s="3414">
        <v>0</v>
      </c>
      <c r="AW278" s="3414">
        <v>0</v>
      </c>
      <c r="AX278" s="3414">
        <v>0</v>
      </c>
      <c r="AY278" s="3410">
        <v>0</v>
      </c>
      <c r="AZ278" s="3410"/>
      <c r="BB278" s="3407"/>
      <c r="BC278" s="3407"/>
      <c r="BD278" s="3407"/>
      <c r="BE278" s="3407"/>
      <c r="BF278" s="3407"/>
      <c r="BG278" s="3407"/>
      <c r="BH278" s="3407"/>
    </row>
    <row r="279" spans="45:60">
      <c r="AS279" s="3414" t="s">
        <v>1602</v>
      </c>
      <c r="AT279" s="3414">
        <v>5.1427174190000002</v>
      </c>
      <c r="AU279" s="3414">
        <v>49.233810513000002</v>
      </c>
      <c r="AV279" s="3414">
        <v>0.98044897200000003</v>
      </c>
      <c r="AW279" s="3414">
        <v>39.357876064000003</v>
      </c>
      <c r="AX279" s="3414">
        <v>-23.784453560999999</v>
      </c>
      <c r="AY279" s="3410">
        <v>1.92</v>
      </c>
      <c r="AZ279" s="3410">
        <v>-1.8</v>
      </c>
      <c r="BB279" s="3407"/>
      <c r="BC279" s="3407"/>
      <c r="BD279" s="3407"/>
      <c r="BE279" s="3407"/>
      <c r="BF279" s="3407"/>
      <c r="BG279" s="3407"/>
      <c r="BH279" s="3407"/>
    </row>
    <row r="280" spans="45:60">
      <c r="AS280" s="3412" t="s">
        <v>1603</v>
      </c>
      <c r="AT280" s="3412">
        <v>650.49454119899997</v>
      </c>
      <c r="AU280" s="3412">
        <v>821.89642478200005</v>
      </c>
      <c r="AV280" s="3412">
        <v>1270.7893862670001</v>
      </c>
      <c r="AW280" s="3412">
        <v>1998.503979865</v>
      </c>
      <c r="AX280" s="3412">
        <v>2336.0690898190001</v>
      </c>
      <c r="AY280" s="3413">
        <v>1935.75</v>
      </c>
      <c r="AZ280" s="3413">
        <v>2977.16</v>
      </c>
      <c r="BB280" s="3407"/>
      <c r="BC280" s="3407"/>
      <c r="BD280" s="3407"/>
      <c r="BE280" s="3407"/>
      <c r="BF280" s="3407"/>
      <c r="BG280" s="3407"/>
      <c r="BH280" s="3407"/>
    </row>
    <row r="281" spans="45:60">
      <c r="AS281" s="3414" t="s">
        <v>1604</v>
      </c>
      <c r="AT281" s="3414">
        <v>509.02194602399999</v>
      </c>
      <c r="AU281" s="3414">
        <v>716.02018436200001</v>
      </c>
      <c r="AV281" s="3414">
        <v>1005.08762103</v>
      </c>
      <c r="AW281" s="3414">
        <v>1349.5266811290001</v>
      </c>
      <c r="AX281" s="3414">
        <v>1648.3911235850001</v>
      </c>
      <c r="AY281" s="3413">
        <v>1207.21</v>
      </c>
      <c r="AZ281" s="3413">
        <v>1717.72</v>
      </c>
      <c r="BB281" s="3407"/>
      <c r="BC281" s="3407"/>
      <c r="BD281" s="3407"/>
      <c r="BE281" s="3407"/>
      <c r="BF281" s="3407"/>
      <c r="BG281" s="3407"/>
      <c r="BH281" s="3407"/>
    </row>
    <row r="282" spans="45:60">
      <c r="AS282" s="3414" t="s">
        <v>1605</v>
      </c>
      <c r="AT282" s="3414">
        <v>0</v>
      </c>
      <c r="AU282" s="3414">
        <v>0</v>
      </c>
      <c r="AV282" s="3414">
        <v>0</v>
      </c>
      <c r="AW282" s="3414">
        <v>0</v>
      </c>
      <c r="AX282" s="3414">
        <v>0</v>
      </c>
      <c r="AY282" s="3410">
        <v>0</v>
      </c>
      <c r="AZ282" s="3410"/>
      <c r="BB282" s="3407"/>
      <c r="BC282" s="3407"/>
      <c r="BD282" s="3407"/>
      <c r="BE282" s="3407"/>
      <c r="BF282" s="3407"/>
      <c r="BG282" s="3407"/>
      <c r="BH282" s="3407"/>
    </row>
    <row r="283" spans="45:60">
      <c r="AS283" s="3414" t="s">
        <v>1606</v>
      </c>
      <c r="AT283" s="3414">
        <v>0</v>
      </c>
      <c r="AU283" s="3414">
        <v>0</v>
      </c>
      <c r="AV283" s="3414">
        <v>5</v>
      </c>
      <c r="AW283" s="3414">
        <v>14.550418000000001</v>
      </c>
      <c r="AX283" s="3414">
        <v>290.22148807500002</v>
      </c>
      <c r="AY283" s="3410">
        <v>103.36</v>
      </c>
      <c r="AZ283" s="3410">
        <v>209.16</v>
      </c>
      <c r="BB283" s="3407"/>
      <c r="BC283" s="3407"/>
      <c r="BD283" s="3407"/>
      <c r="BE283" s="3407"/>
      <c r="BF283" s="3407"/>
      <c r="BG283" s="3407"/>
      <c r="BH283" s="3407"/>
    </row>
    <row r="284" spans="45:60">
      <c r="AS284" s="3414" t="s">
        <v>1607</v>
      </c>
      <c r="AT284" s="3414">
        <v>0</v>
      </c>
      <c r="AU284" s="3414">
        <v>0</v>
      </c>
      <c r="AV284" s="3414">
        <v>0</v>
      </c>
      <c r="AW284" s="3414">
        <v>0</v>
      </c>
      <c r="AX284" s="3414">
        <v>0</v>
      </c>
      <c r="AY284" s="3410">
        <v>0</v>
      </c>
      <c r="AZ284" s="3410"/>
      <c r="BB284" s="3407"/>
      <c r="BC284" s="3407"/>
      <c r="BD284" s="3407"/>
      <c r="BE284" s="3407"/>
      <c r="BF284" s="3407"/>
      <c r="BG284" s="3407"/>
      <c r="BH284" s="3407"/>
    </row>
    <row r="285" spans="45:60">
      <c r="AS285" s="3414" t="s">
        <v>1608</v>
      </c>
      <c r="AT285" s="3414">
        <v>0</v>
      </c>
      <c r="AU285" s="3414">
        <v>0</v>
      </c>
      <c r="AV285" s="3414">
        <v>0</v>
      </c>
      <c r="AW285" s="3414">
        <v>0</v>
      </c>
      <c r="AX285" s="3414">
        <v>0</v>
      </c>
      <c r="AY285" s="3410">
        <v>0</v>
      </c>
      <c r="AZ285" s="3410"/>
      <c r="BB285" s="3407"/>
      <c r="BC285" s="3407"/>
      <c r="BD285" s="3407"/>
      <c r="BE285" s="3407"/>
      <c r="BF285" s="3407"/>
      <c r="BG285" s="3407"/>
      <c r="BH285" s="3407"/>
    </row>
    <row r="286" spans="45:60">
      <c r="AS286" s="3414" t="s">
        <v>1609</v>
      </c>
      <c r="AT286" s="3414">
        <v>137.760701888</v>
      </c>
      <c r="AU286" s="3414">
        <v>102.340583506</v>
      </c>
      <c r="AV286" s="3414">
        <v>256.37622066300003</v>
      </c>
      <c r="AW286" s="3414">
        <v>466.40204842899999</v>
      </c>
      <c r="AX286" s="3414">
        <v>373.85609848399997</v>
      </c>
      <c r="AY286" s="3410">
        <v>575.30999999999995</v>
      </c>
      <c r="AZ286" s="3410">
        <v>952.79</v>
      </c>
      <c r="BB286" s="3407"/>
      <c r="BC286" s="3407"/>
      <c r="BD286" s="3407"/>
      <c r="BE286" s="3407"/>
      <c r="BF286" s="3407"/>
      <c r="BG286" s="3407"/>
      <c r="BH286" s="3407"/>
    </row>
    <row r="287" spans="45:60">
      <c r="AS287" s="3414" t="s">
        <v>1610</v>
      </c>
      <c r="AT287" s="3414">
        <v>0</v>
      </c>
      <c r="AU287" s="3414">
        <v>0</v>
      </c>
      <c r="AV287" s="3414">
        <v>0</v>
      </c>
      <c r="AW287" s="3414">
        <v>0</v>
      </c>
      <c r="AX287" s="3414">
        <v>0</v>
      </c>
      <c r="AY287" s="3410">
        <v>0</v>
      </c>
      <c r="AZ287" s="3410"/>
      <c r="BB287" s="3407"/>
      <c r="BC287" s="3407"/>
      <c r="BD287" s="3407"/>
      <c r="BE287" s="3407"/>
      <c r="BF287" s="3407"/>
      <c r="BG287" s="3407"/>
      <c r="BH287" s="3407"/>
    </row>
    <row r="288" spans="45:60">
      <c r="AS288" s="3414" t="s">
        <v>1611</v>
      </c>
      <c r="AT288" s="3414">
        <v>0</v>
      </c>
      <c r="AU288" s="3414">
        <v>0</v>
      </c>
      <c r="AV288" s="3414">
        <v>0</v>
      </c>
      <c r="AW288" s="3414">
        <v>0</v>
      </c>
      <c r="AX288" s="3414">
        <v>0</v>
      </c>
      <c r="AY288" s="3410">
        <v>0</v>
      </c>
      <c r="AZ288" s="3410"/>
      <c r="BB288" s="3407"/>
      <c r="BC288" s="3407"/>
      <c r="BD288" s="3407"/>
      <c r="BE288" s="3407"/>
      <c r="BF288" s="3407"/>
      <c r="BG288" s="3407"/>
      <c r="BH288" s="3407"/>
    </row>
    <row r="289" spans="45:60">
      <c r="AS289" s="3414" t="s">
        <v>1612</v>
      </c>
      <c r="AT289" s="3414">
        <v>3.7118932870000001</v>
      </c>
      <c r="AU289" s="3414">
        <v>3.535656914</v>
      </c>
      <c r="AV289" s="3414">
        <v>4.3255445740000003</v>
      </c>
      <c r="AW289" s="3414">
        <v>168.024832307</v>
      </c>
      <c r="AX289" s="3414">
        <v>23.600379674999999</v>
      </c>
      <c r="AY289" s="3410">
        <v>49.88</v>
      </c>
      <c r="AZ289" s="3410">
        <v>97.48</v>
      </c>
      <c r="BB289" s="3407"/>
      <c r="BC289" s="3407"/>
      <c r="BD289" s="3407"/>
      <c r="BE289" s="3407"/>
      <c r="BF289" s="3407"/>
      <c r="BG289" s="3407"/>
      <c r="BH289" s="3407"/>
    </row>
    <row r="290" spans="45:60">
      <c r="AS290" s="3412" t="s">
        <v>1613</v>
      </c>
      <c r="AT290" s="3412">
        <v>592.38605006099999</v>
      </c>
      <c r="AU290" s="3412">
        <v>548.16521161699995</v>
      </c>
      <c r="AV290" s="3412">
        <v>1144.1874468450001</v>
      </c>
      <c r="AW290" s="3412">
        <v>1687.369701824</v>
      </c>
      <c r="AX290" s="3412">
        <v>1718.2984637100001</v>
      </c>
      <c r="AY290" s="3413">
        <v>1811.55</v>
      </c>
      <c r="AZ290" s="3413">
        <v>1672.05</v>
      </c>
      <c r="BB290" s="3407"/>
      <c r="BC290" s="3407"/>
      <c r="BD290" s="3407"/>
      <c r="BE290" s="3407"/>
      <c r="BF290" s="3407"/>
      <c r="BG290" s="3407"/>
      <c r="BH290" s="3407"/>
    </row>
    <row r="291" spans="45:60">
      <c r="AS291" s="3414" t="s">
        <v>1614</v>
      </c>
      <c r="AT291" s="3414">
        <v>358.98753745200003</v>
      </c>
      <c r="AU291" s="3414">
        <v>385.33775489599998</v>
      </c>
      <c r="AV291" s="3414">
        <v>483.995846804</v>
      </c>
      <c r="AW291" s="3414">
        <v>645.72555630800002</v>
      </c>
      <c r="AX291" s="3414">
        <v>832.64861126100004</v>
      </c>
      <c r="AY291" s="3410">
        <v>551.64</v>
      </c>
      <c r="AZ291" s="3410">
        <v>809.76</v>
      </c>
      <c r="BB291" s="3407"/>
      <c r="BC291" s="3407"/>
      <c r="BD291" s="3407"/>
      <c r="BE291" s="3407"/>
      <c r="BF291" s="3407"/>
      <c r="BG291" s="3407"/>
      <c r="BH291" s="3407"/>
    </row>
    <row r="292" spans="45:60">
      <c r="AS292" s="3414" t="s">
        <v>1615</v>
      </c>
      <c r="AT292" s="3414">
        <v>0</v>
      </c>
      <c r="AU292" s="3414">
        <v>0</v>
      </c>
      <c r="AV292" s="3414">
        <v>0</v>
      </c>
      <c r="AW292" s="3414">
        <v>0</v>
      </c>
      <c r="AX292" s="3414">
        <v>0</v>
      </c>
      <c r="AY292" s="3410">
        <v>0</v>
      </c>
      <c r="AZ292" s="3410">
        <v>0</v>
      </c>
      <c r="BA292" s="3407"/>
      <c r="BB292" s="3407"/>
      <c r="BC292" s="3407"/>
      <c r="BD292" s="3407"/>
      <c r="BE292" s="3407"/>
      <c r="BF292" s="3407"/>
      <c r="BG292" s="3407"/>
      <c r="BH292" s="3407"/>
    </row>
    <row r="293" spans="45:60">
      <c r="AS293" s="3414" t="s">
        <v>1616</v>
      </c>
      <c r="AT293" s="3414">
        <v>0</v>
      </c>
      <c r="AU293" s="3414">
        <v>0</v>
      </c>
      <c r="AV293" s="3414">
        <v>0</v>
      </c>
      <c r="AW293" s="3414">
        <v>0</v>
      </c>
      <c r="AX293" s="3414">
        <v>0</v>
      </c>
      <c r="AY293" s="3410">
        <v>0</v>
      </c>
      <c r="AZ293" s="3410">
        <v>0</v>
      </c>
      <c r="BA293" s="3407"/>
      <c r="BB293" s="3407"/>
      <c r="BC293" s="3407"/>
      <c r="BD293" s="3407"/>
      <c r="BE293" s="3407"/>
      <c r="BF293" s="3407"/>
      <c r="BG293" s="3407"/>
      <c r="BH293" s="3407"/>
    </row>
    <row r="294" spans="45:60">
      <c r="AS294" s="3414" t="s">
        <v>1617</v>
      </c>
      <c r="AT294" s="3414">
        <v>0</v>
      </c>
      <c r="AU294" s="3414">
        <v>0</v>
      </c>
      <c r="AV294" s="3414">
        <v>0</v>
      </c>
      <c r="AW294" s="3414">
        <v>0</v>
      </c>
      <c r="AX294" s="3414">
        <v>0</v>
      </c>
      <c r="AY294" s="3410">
        <v>0</v>
      </c>
      <c r="AZ294" s="3410">
        <v>0</v>
      </c>
      <c r="BA294" s="3407"/>
      <c r="BB294" s="3407"/>
      <c r="BC294" s="3407"/>
      <c r="BD294" s="3407"/>
      <c r="BE294" s="3407"/>
      <c r="BF294" s="3407"/>
      <c r="BG294" s="3407"/>
      <c r="BH294" s="3407"/>
    </row>
    <row r="295" spans="45:60">
      <c r="AS295" s="3414" t="s">
        <v>1618</v>
      </c>
      <c r="AT295" s="3414">
        <v>182.638938524</v>
      </c>
      <c r="AU295" s="3414">
        <v>198.94037122500001</v>
      </c>
      <c r="AV295" s="3414">
        <v>251.192937226</v>
      </c>
      <c r="AW295" s="3414">
        <v>504.431726336</v>
      </c>
      <c r="AX295" s="3414">
        <v>372.65885145599998</v>
      </c>
      <c r="AY295" s="3410">
        <v>506.84</v>
      </c>
      <c r="AZ295" s="3410">
        <v>474.8</v>
      </c>
      <c r="BB295" s="3407"/>
      <c r="BC295" s="3407"/>
      <c r="BD295" s="3407"/>
      <c r="BE295" s="3407"/>
      <c r="BF295" s="3407"/>
      <c r="BG295" s="3407"/>
      <c r="BH295" s="3407"/>
    </row>
    <row r="296" spans="45:60">
      <c r="AS296" s="3414" t="s">
        <v>1619</v>
      </c>
      <c r="AT296" s="3414">
        <v>0</v>
      </c>
      <c r="AU296" s="3414">
        <v>0</v>
      </c>
      <c r="AV296" s="3414">
        <v>0</v>
      </c>
      <c r="AW296" s="3414">
        <v>0</v>
      </c>
      <c r="AX296" s="3414">
        <v>0</v>
      </c>
      <c r="AY296" s="3410">
        <v>0</v>
      </c>
      <c r="AZ296" s="3410"/>
      <c r="BB296" s="3407"/>
      <c r="BC296" s="3407"/>
      <c r="BD296" s="3407"/>
      <c r="BE296" s="3407"/>
      <c r="BF296" s="3407"/>
      <c r="BG296" s="3407"/>
      <c r="BH296" s="3407"/>
    </row>
    <row r="297" spans="45:60">
      <c r="AS297" s="3414" t="s">
        <v>1620</v>
      </c>
      <c r="AT297" s="3414">
        <v>0</v>
      </c>
      <c r="AU297" s="3414">
        <v>0</v>
      </c>
      <c r="AV297" s="3414">
        <v>396.07895000000002</v>
      </c>
      <c r="AW297" s="3414">
        <v>529.33741259800001</v>
      </c>
      <c r="AX297" s="3414">
        <v>500.79220074300002</v>
      </c>
      <c r="AY297" s="3410">
        <v>738.73</v>
      </c>
      <c r="AZ297" s="3410">
        <v>384.63</v>
      </c>
      <c r="BB297" s="3407"/>
      <c r="BC297" s="3407"/>
      <c r="BD297" s="3407"/>
      <c r="BE297" s="3407"/>
      <c r="BF297" s="3407"/>
      <c r="BG297" s="3407"/>
      <c r="BH297" s="3407"/>
    </row>
    <row r="298" spans="45:60">
      <c r="AS298" s="3414" t="s">
        <v>1621</v>
      </c>
      <c r="AT298" s="3414">
        <v>50.759574084999997</v>
      </c>
      <c r="AU298" s="3414">
        <v>-36.112914504000003</v>
      </c>
      <c r="AV298" s="3414">
        <v>12.919712815</v>
      </c>
      <c r="AW298" s="3414">
        <v>7.8750065820000001</v>
      </c>
      <c r="AX298" s="3414">
        <v>12.19880025</v>
      </c>
      <c r="AY298" s="3410">
        <v>14.34</v>
      </c>
      <c r="AZ298" s="3410">
        <v>2.86</v>
      </c>
      <c r="BB298" s="3407"/>
      <c r="BC298" s="3407"/>
      <c r="BD298" s="3407"/>
      <c r="BE298" s="3407"/>
      <c r="BF298" s="3407"/>
      <c r="BG298" s="3407"/>
      <c r="BH298" s="3407"/>
    </row>
    <row r="299" spans="45:60">
      <c r="AS299" s="3412" t="s">
        <v>1622</v>
      </c>
      <c r="AT299" s="3412">
        <v>23714.657031873001</v>
      </c>
      <c r="AU299" s="3412">
        <v>25248.394783390999</v>
      </c>
      <c r="AV299" s="3412">
        <v>30325.982301307999</v>
      </c>
      <c r="AW299" s="3412">
        <v>37206.167266135999</v>
      </c>
      <c r="AX299" s="3412">
        <v>44119.808170894998</v>
      </c>
      <c r="AY299" s="3415">
        <v>52322.78</v>
      </c>
      <c r="AZ299" s="3416">
        <v>62050.888714751731</v>
      </c>
      <c r="BA299" s="3407"/>
      <c r="BB299" s="3407"/>
      <c r="BC299" s="3407"/>
      <c r="BD299" s="3407"/>
      <c r="BE299" s="3407"/>
      <c r="BF299" s="3407"/>
      <c r="BG299" s="3407"/>
      <c r="BH299" s="3407"/>
    </row>
    <row r="300" spans="45:60">
      <c r="AS300" s="3414" t="s">
        <v>1623</v>
      </c>
      <c r="AT300" s="3414">
        <v>4163.1201868420003</v>
      </c>
      <c r="AU300" s="3414">
        <v>3526.4899234459999</v>
      </c>
      <c r="AV300" s="3414">
        <v>5172.548536235</v>
      </c>
      <c r="AW300" s="3414">
        <v>5295.4224340600003</v>
      </c>
      <c r="AX300" s="3414">
        <v>5506.3274660400002</v>
      </c>
      <c r="AY300" s="3413">
        <v>6642.59</v>
      </c>
      <c r="AZ300" s="3416">
        <v>8013.3268826150606</v>
      </c>
      <c r="BA300" s="3407"/>
      <c r="BB300" s="3407"/>
      <c r="BC300" s="3407"/>
      <c r="BD300" s="3407"/>
      <c r="BE300" s="3407"/>
      <c r="BF300" s="3407"/>
      <c r="BG300" s="3407"/>
      <c r="BH300" s="3407"/>
    </row>
    <row r="301" spans="45:60">
      <c r="AS301" s="3414" t="s">
        <v>1624</v>
      </c>
      <c r="AT301" s="3414">
        <v>10267.171008109</v>
      </c>
      <c r="AU301" s="3414">
        <v>12390.313936118</v>
      </c>
      <c r="AV301" s="3414">
        <v>15080.424059516999</v>
      </c>
      <c r="AW301" s="3414">
        <v>18798.002717634001</v>
      </c>
      <c r="AX301" s="3414">
        <v>22824.861818180001</v>
      </c>
      <c r="AY301" s="3413">
        <v>26455.119999999999</v>
      </c>
      <c r="AZ301" s="3416">
        <v>30662.765005523532</v>
      </c>
      <c r="BA301" s="3407"/>
      <c r="BB301" s="3407"/>
      <c r="BC301" s="3407"/>
      <c r="BD301" s="3407"/>
      <c r="BE301" s="3407"/>
      <c r="BF301" s="3407"/>
      <c r="BG301" s="3407"/>
      <c r="BH301" s="3407"/>
    </row>
    <row r="302" spans="45:60">
      <c r="AS302" s="3414" t="s">
        <v>1625</v>
      </c>
      <c r="AT302" s="3414">
        <v>2447.429264937</v>
      </c>
      <c r="AU302" s="3414">
        <v>1490.607476892</v>
      </c>
      <c r="AV302" s="3414">
        <v>1643.9156853320001</v>
      </c>
      <c r="AW302" s="3414">
        <v>1833.0644991280001</v>
      </c>
      <c r="AX302" s="3414">
        <v>2286.514158688</v>
      </c>
      <c r="AY302" s="3413">
        <v>2531.21</v>
      </c>
      <c r="AZ302" s="3416">
        <v>2802.0924514092426</v>
      </c>
      <c r="BA302" s="3407"/>
      <c r="BB302" s="3407"/>
      <c r="BC302" s="3407"/>
      <c r="BD302" s="3407"/>
      <c r="BE302" s="3407"/>
      <c r="BF302" s="3407"/>
      <c r="BG302" s="3407"/>
      <c r="BH302" s="3407"/>
    </row>
    <row r="303" spans="45:60">
      <c r="AS303" s="3414" t="s">
        <v>1626</v>
      </c>
      <c r="AT303" s="3414">
        <v>5577.6487884429998</v>
      </c>
      <c r="AU303" s="3414">
        <v>6459.2495871419997</v>
      </c>
      <c r="AV303" s="3414">
        <v>7102.0208637240003</v>
      </c>
      <c r="AW303" s="3414">
        <v>0</v>
      </c>
      <c r="AX303" s="3414">
        <v>10497.589592111</v>
      </c>
      <c r="AY303" s="3413">
        <v>13932.61</v>
      </c>
      <c r="AZ303" s="3416">
        <v>18491.63750485926</v>
      </c>
      <c r="BA303" s="3407"/>
      <c r="BB303" s="3407"/>
      <c r="BC303" s="3407"/>
      <c r="BD303" s="3407"/>
      <c r="BE303" s="3407"/>
      <c r="BF303" s="3407"/>
      <c r="BG303" s="3407"/>
      <c r="BH303" s="3407"/>
    </row>
    <row r="304" spans="45:60">
      <c r="AS304" s="3414" t="s">
        <v>1627</v>
      </c>
      <c r="AT304" s="3414">
        <v>1259.2877835419999</v>
      </c>
      <c r="AU304" s="3414">
        <v>1381.733859793</v>
      </c>
      <c r="AV304" s="3414">
        <v>1327.0731565000001</v>
      </c>
      <c r="AW304" s="3414">
        <v>11279.677615314</v>
      </c>
      <c r="AX304" s="3414">
        <v>3004.5151358759999</v>
      </c>
      <c r="AY304" s="3413">
        <v>2761.25</v>
      </c>
      <c r="AZ304" s="3416">
        <v>2537.6811956971524</v>
      </c>
      <c r="BA304" s="3407"/>
      <c r="BB304" s="3407"/>
      <c r="BC304" s="3407"/>
      <c r="BD304" s="3407"/>
      <c r="BE304" s="3407"/>
      <c r="BF304" s="3407"/>
      <c r="BG304" s="3407"/>
      <c r="BH304" s="3407"/>
    </row>
    <row r="307" spans="1:51">
      <c r="AX307" s="268">
        <v>0.18581975550735108</v>
      </c>
      <c r="AY307" s="268">
        <v>0.18592492055566878</v>
      </c>
    </row>
    <row r="308" spans="1:51">
      <c r="AX308" s="268">
        <v>3.9827801201177904E-2</v>
      </c>
      <c r="AY308" s="268">
        <v>0.206355786314534</v>
      </c>
    </row>
    <row r="309" spans="1:51">
      <c r="AX309" s="268">
        <v>0.21421739112573324</v>
      </c>
      <c r="AY309" s="268">
        <v>0.15904841881358056</v>
      </c>
    </row>
    <row r="310" spans="1:51">
      <c r="AX310" s="268">
        <v>0.24737245185628143</v>
      </c>
      <c r="AY310" s="268">
        <v>0.10701698057815934</v>
      </c>
    </row>
    <row r="311" spans="1:51">
      <c r="AX311" s="268" t="e">
        <v>#DIV/0!</v>
      </c>
      <c r="AY311" s="268">
        <v>0.32721991822488827</v>
      </c>
    </row>
    <row r="312" spans="1:51">
      <c r="AX312" s="268">
        <v>-0.73363466241296815</v>
      </c>
      <c r="AY312" s="268">
        <v>-8.0966520345078341E-2</v>
      </c>
    </row>
    <row r="316" spans="1:51" ht="15">
      <c r="A316" s="3591" t="s">
        <v>2156</v>
      </c>
    </row>
    <row r="323" spans="1:28" ht="30">
      <c r="A323" s="1062" t="s">
        <v>322</v>
      </c>
      <c r="B323" s="358" t="s">
        <v>842</v>
      </c>
    </row>
    <row r="324" spans="1:28" ht="30">
      <c r="A324" s="1062" t="s">
        <v>323</v>
      </c>
      <c r="B324" s="358" t="s">
        <v>840</v>
      </c>
      <c r="L324" s="329"/>
    </row>
    <row r="325" spans="1:28" ht="14.25">
      <c r="C325" s="1063"/>
      <c r="L325" s="329"/>
    </row>
    <row r="326" spans="1:28" ht="15">
      <c r="A326" s="1062" t="s">
        <v>324</v>
      </c>
      <c r="B326" s="358" t="s">
        <v>841</v>
      </c>
      <c r="D326" s="1062" t="s">
        <v>325</v>
      </c>
      <c r="E326" s="358" t="s">
        <v>326</v>
      </c>
      <c r="F326" s="358" t="s">
        <v>704</v>
      </c>
    </row>
    <row r="327" spans="1:28" ht="15">
      <c r="A327" s="1062" t="s">
        <v>328</v>
      </c>
      <c r="B327" s="358" t="s">
        <v>329</v>
      </c>
      <c r="D327" s="1062" t="s">
        <v>330</v>
      </c>
      <c r="E327" s="358" t="s">
        <v>331</v>
      </c>
      <c r="F327" s="358" t="s">
        <v>332</v>
      </c>
    </row>
    <row r="329" spans="1:28" ht="15">
      <c r="A329" s="2578"/>
      <c r="B329" s="2579" t="s">
        <v>697</v>
      </c>
      <c r="C329" s="2579" t="s">
        <v>500</v>
      </c>
      <c r="D329" s="2579" t="s">
        <v>333</v>
      </c>
      <c r="E329" s="2579" t="s">
        <v>334</v>
      </c>
      <c r="F329" s="2579" t="s">
        <v>335</v>
      </c>
      <c r="G329" s="2579" t="s">
        <v>336</v>
      </c>
      <c r="H329" s="2579" t="s">
        <v>337</v>
      </c>
      <c r="I329" s="2579" t="s">
        <v>160</v>
      </c>
      <c r="J329" s="2579" t="s">
        <v>338</v>
      </c>
      <c r="K329" s="2579" t="s">
        <v>339</v>
      </c>
      <c r="L329" s="2579" t="s">
        <v>340</v>
      </c>
      <c r="M329" s="2579" t="s">
        <v>341</v>
      </c>
      <c r="N329" s="2579" t="s">
        <v>342</v>
      </c>
      <c r="O329" s="2579" t="s">
        <v>343</v>
      </c>
      <c r="P329" s="2579" t="s">
        <v>344</v>
      </c>
      <c r="Q329" s="2579" t="s">
        <v>345</v>
      </c>
      <c r="R329" s="2579" t="s">
        <v>346</v>
      </c>
      <c r="S329" s="2579" t="s">
        <v>347</v>
      </c>
      <c r="T329" s="2579" t="s">
        <v>348</v>
      </c>
      <c r="U329" s="2579" t="s">
        <v>327</v>
      </c>
      <c r="V329" s="2579" t="s">
        <v>704</v>
      </c>
      <c r="W329" s="2580" t="s">
        <v>1628</v>
      </c>
      <c r="X329" s="2582">
        <v>2024</v>
      </c>
      <c r="Y329" s="2579">
        <v>2025</v>
      </c>
      <c r="Z329" s="2581"/>
      <c r="AA329" s="2581" t="s">
        <v>255</v>
      </c>
    </row>
    <row r="330" spans="1:28" ht="15">
      <c r="A330" s="2205" t="s">
        <v>349</v>
      </c>
      <c r="B330" s="2205" t="s">
        <v>350</v>
      </c>
      <c r="C330" s="2205" t="s">
        <v>350</v>
      </c>
      <c r="D330" s="2205" t="s">
        <v>350</v>
      </c>
      <c r="E330" s="2205" t="s">
        <v>350</v>
      </c>
      <c r="F330" s="2205" t="s">
        <v>350</v>
      </c>
      <c r="G330" s="2205" t="s">
        <v>350</v>
      </c>
      <c r="H330" s="2205" t="s">
        <v>350</v>
      </c>
      <c r="I330" s="2205" t="s">
        <v>350</v>
      </c>
      <c r="J330" s="2205" t="s">
        <v>350</v>
      </c>
      <c r="K330" s="2205" t="s">
        <v>350</v>
      </c>
      <c r="L330" s="2205" t="s">
        <v>350</v>
      </c>
      <c r="M330" s="2205" t="s">
        <v>350</v>
      </c>
      <c r="N330" s="2205" t="s">
        <v>350</v>
      </c>
      <c r="O330" s="2205" t="s">
        <v>350</v>
      </c>
      <c r="P330" s="2205" t="s">
        <v>350</v>
      </c>
      <c r="Q330" s="2205" t="s">
        <v>350</v>
      </c>
      <c r="R330" s="2205" t="s">
        <v>350</v>
      </c>
      <c r="S330" s="2205" t="s">
        <v>350</v>
      </c>
      <c r="T330" s="2205" t="s">
        <v>350</v>
      </c>
      <c r="U330" s="2205" t="s">
        <v>350</v>
      </c>
      <c r="V330" s="2205" t="s">
        <v>350</v>
      </c>
      <c r="W330" s="2575" t="s">
        <v>1358</v>
      </c>
      <c r="X330" s="1447" t="s">
        <v>1358</v>
      </c>
      <c r="Y330" s="2223" t="s">
        <v>1194</v>
      </c>
      <c r="Z330" s="1860"/>
      <c r="AA330" s="358" t="s">
        <v>843</v>
      </c>
    </row>
    <row r="331" spans="1:28" ht="15">
      <c r="A331" s="2205" t="s">
        <v>351</v>
      </c>
      <c r="B331" s="2205"/>
      <c r="C331" s="2205"/>
      <c r="D331" s="2205"/>
      <c r="E331" s="2205"/>
      <c r="F331" s="2205"/>
      <c r="G331" s="2205"/>
      <c r="H331" s="2205" t="s">
        <v>698</v>
      </c>
      <c r="I331" s="2205" t="s">
        <v>352</v>
      </c>
      <c r="J331" s="2205"/>
      <c r="K331" s="2205" t="s">
        <v>352</v>
      </c>
      <c r="L331" s="2205" t="s">
        <v>352</v>
      </c>
      <c r="M331" s="2205" t="s">
        <v>352</v>
      </c>
      <c r="N331" s="2205" t="s">
        <v>352</v>
      </c>
      <c r="O331" s="2205" t="s">
        <v>352</v>
      </c>
      <c r="P331" s="2205" t="s">
        <v>352</v>
      </c>
      <c r="Q331" s="2205" t="s">
        <v>352</v>
      </c>
      <c r="R331" s="2205" t="s">
        <v>352</v>
      </c>
      <c r="S331" s="2205" t="s">
        <v>352</v>
      </c>
      <c r="T331" s="2205" t="s">
        <v>352</v>
      </c>
      <c r="U331" s="2205" t="s">
        <v>658</v>
      </c>
      <c r="V331" s="2205" t="s">
        <v>658</v>
      </c>
      <c r="W331" s="2575" t="s">
        <v>1361</v>
      </c>
      <c r="X331" s="1447" t="s">
        <v>658</v>
      </c>
      <c r="Y331" s="2205"/>
      <c r="Z331" s="358"/>
      <c r="AA331" s="358"/>
    </row>
    <row r="332" spans="1:28" ht="15">
      <c r="A332" s="2205" t="s">
        <v>353</v>
      </c>
      <c r="B332" s="2205"/>
      <c r="C332" s="2205"/>
      <c r="D332" s="2205"/>
      <c r="E332" s="2205"/>
      <c r="F332" s="2205"/>
      <c r="G332" s="2205"/>
      <c r="H332" s="2205" t="s">
        <v>354</v>
      </c>
      <c r="I332" s="2205" t="s">
        <v>354</v>
      </c>
      <c r="J332" s="2205"/>
      <c r="K332" s="2205" t="s">
        <v>354</v>
      </c>
      <c r="L332" s="2205" t="s">
        <v>623</v>
      </c>
      <c r="M332" s="2205" t="s">
        <v>623</v>
      </c>
      <c r="N332" s="2205" t="s">
        <v>354</v>
      </c>
      <c r="O332" s="2205" t="s">
        <v>354</v>
      </c>
      <c r="P332" s="2205" t="s">
        <v>354</v>
      </c>
      <c r="Q332" s="2205" t="s">
        <v>354</v>
      </c>
      <c r="R332" s="2205" t="s">
        <v>844</v>
      </c>
      <c r="S332" s="2205" t="s">
        <v>354</v>
      </c>
      <c r="T332" s="2205" t="s">
        <v>354</v>
      </c>
      <c r="U332" s="2205" t="s">
        <v>354</v>
      </c>
      <c r="V332" s="2205" t="s">
        <v>354</v>
      </c>
      <c r="W332" s="2205" t="s">
        <v>354</v>
      </c>
      <c r="X332" s="1447" t="s">
        <v>1363</v>
      </c>
      <c r="Y332" s="2205"/>
      <c r="Z332" s="358"/>
      <c r="AA332" s="358"/>
    </row>
    <row r="333" spans="1:28" ht="15">
      <c r="A333" s="2205" t="s">
        <v>659</v>
      </c>
      <c r="B333" s="2199">
        <v>1514.96</v>
      </c>
      <c r="C333" s="2199">
        <v>4148.2979999999998</v>
      </c>
      <c r="D333" s="2199">
        <v>8734.7810000000009</v>
      </c>
      <c r="E333" s="2199">
        <v>14100.792413642999</v>
      </c>
      <c r="F333" s="2199">
        <v>21399.751709338001</v>
      </c>
      <c r="G333" s="2199">
        <v>13518.396514258</v>
      </c>
      <c r="H333" s="2199">
        <v>16429.737389964001</v>
      </c>
      <c r="I333" s="2199">
        <v>18422.051089297998</v>
      </c>
      <c r="J333" s="2199">
        <v>20041.458740325001</v>
      </c>
      <c r="K333" s="2199">
        <v>25397.759809554002</v>
      </c>
      <c r="L333" s="2199">
        <v>24624.085073577</v>
      </c>
      <c r="M333" s="2199">
        <v>27114.701620108</v>
      </c>
      <c r="N333" s="2199">
        <v>32873.026689954997</v>
      </c>
      <c r="O333" s="2199">
        <v>38707.143264487</v>
      </c>
      <c r="P333" s="2199">
        <v>40447.137929383003</v>
      </c>
      <c r="Q333" s="2199">
        <v>43298.396301993002</v>
      </c>
      <c r="R333" s="2199">
        <v>23259.126277266001</v>
      </c>
      <c r="S333" s="2199">
        <v>27791.982176828998</v>
      </c>
      <c r="T333" s="2199">
        <v>29921.698144295999</v>
      </c>
      <c r="U333" s="2199">
        <v>35671.052233609997</v>
      </c>
      <c r="V333" s="2199">
        <v>44023.010881274997</v>
      </c>
      <c r="W333" s="2576">
        <v>52625.174861332998</v>
      </c>
      <c r="X333" s="2195">
        <v>62962.65</v>
      </c>
      <c r="Y333" s="2199">
        <v>70207.69</v>
      </c>
      <c r="Z333" s="359"/>
      <c r="AA333" s="359">
        <v>0</v>
      </c>
      <c r="AB333" s="1064"/>
    </row>
    <row r="334" spans="1:28" ht="15">
      <c r="A334" s="2205" t="s">
        <v>660</v>
      </c>
      <c r="B334" s="2199">
        <v>0</v>
      </c>
      <c r="C334" s="2199">
        <v>0</v>
      </c>
      <c r="D334" s="2199">
        <v>0</v>
      </c>
      <c r="E334" s="2199">
        <v>0</v>
      </c>
      <c r="F334" s="2199">
        <v>0</v>
      </c>
      <c r="G334" s="2199">
        <v>-19.505744416999999</v>
      </c>
      <c r="H334" s="2199">
        <v>-47.897605482000003</v>
      </c>
      <c r="I334" s="2199">
        <v>-18.024849671999998</v>
      </c>
      <c r="J334" s="2199">
        <v>-24.155072751999999</v>
      </c>
      <c r="K334" s="2199">
        <v>-27.512943152999998</v>
      </c>
      <c r="L334" s="2199">
        <v>-29.781279167000001</v>
      </c>
      <c r="M334" s="2199">
        <v>-86.812893801000001</v>
      </c>
      <c r="N334" s="2199">
        <v>-228.37033106000001</v>
      </c>
      <c r="O334" s="2199">
        <v>-747.44450846500001</v>
      </c>
      <c r="P334" s="2199">
        <v>-915.66926543900001</v>
      </c>
      <c r="Q334" s="2199">
        <v>-639.78546063900001</v>
      </c>
      <c r="R334" s="2199">
        <v>-45.589419540999998</v>
      </c>
      <c r="S334" s="2199">
        <v>-75.022024553999998</v>
      </c>
      <c r="T334" s="2199">
        <v>-91.297617471999999</v>
      </c>
      <c r="U334" s="2199">
        <v>-13.789688583</v>
      </c>
      <c r="V334" s="2199">
        <v>-13.483200364</v>
      </c>
      <c r="W334" s="2576">
        <v>-7.2740339479999996</v>
      </c>
      <c r="X334" s="1447">
        <v>-113.86</v>
      </c>
      <c r="Y334" s="2199">
        <v>-94.86</v>
      </c>
      <c r="Z334" s="359"/>
      <c r="AA334" s="359">
        <v>0</v>
      </c>
      <c r="AB334" s="1064"/>
    </row>
    <row r="335" spans="1:28" ht="15">
      <c r="A335" s="2205" t="s">
        <v>140</v>
      </c>
      <c r="B335" s="2199">
        <v>1514.96</v>
      </c>
      <c r="C335" s="2199">
        <v>4148.2979999999998</v>
      </c>
      <c r="D335" s="2199">
        <v>8734.7810000000009</v>
      </c>
      <c r="E335" s="2199">
        <v>14100.792413642999</v>
      </c>
      <c r="F335" s="2199">
        <v>21399.751709338001</v>
      </c>
      <c r="G335" s="2199">
        <v>13498.890769841</v>
      </c>
      <c r="H335" s="2199">
        <v>16381.839784481999</v>
      </c>
      <c r="I335" s="2199">
        <v>18404.026239626</v>
      </c>
      <c r="J335" s="2199">
        <v>20017.303667573</v>
      </c>
      <c r="K335" s="2199">
        <v>25370.246866401001</v>
      </c>
      <c r="L335" s="2199">
        <v>24594.30379441</v>
      </c>
      <c r="M335" s="2199">
        <v>27027.888726306999</v>
      </c>
      <c r="N335" s="2199">
        <v>32644.656358895001</v>
      </c>
      <c r="O335" s="2199">
        <v>37959.698756022</v>
      </c>
      <c r="P335" s="2199">
        <v>39531.468663943997</v>
      </c>
      <c r="Q335" s="2199">
        <v>42658.610841353999</v>
      </c>
      <c r="R335" s="2199">
        <v>23213.536857725001</v>
      </c>
      <c r="S335" s="2199">
        <v>27716.960152275002</v>
      </c>
      <c r="T335" s="2199">
        <v>29830.400526824</v>
      </c>
      <c r="U335" s="2199">
        <v>35657.262545026999</v>
      </c>
      <c r="V335" s="2199">
        <v>44009.527680911</v>
      </c>
      <c r="W335" s="2576">
        <v>52617.900827384998</v>
      </c>
      <c r="X335" s="2195">
        <v>62848.79</v>
      </c>
      <c r="Y335" s="2199">
        <v>70112.83</v>
      </c>
      <c r="Z335" s="359"/>
      <c r="AA335" s="359">
        <v>48095.5</v>
      </c>
      <c r="AB335" s="1064"/>
    </row>
    <row r="336" spans="1:28" ht="15">
      <c r="A336" s="2205" t="s">
        <v>661</v>
      </c>
      <c r="B336" s="2199">
        <v>-1361.252</v>
      </c>
      <c r="C336" s="2199">
        <v>-3890.0279999999998</v>
      </c>
      <c r="D336" s="2199">
        <v>-8196.6309999999994</v>
      </c>
      <c r="E336" s="2199">
        <v>-13179.644843545</v>
      </c>
      <c r="F336" s="2199">
        <v>-20048.518869749001</v>
      </c>
      <c r="G336" s="2199">
        <v>-11537.442806276</v>
      </c>
      <c r="H336" s="2199">
        <v>-13403.403743012999</v>
      </c>
      <c r="I336" s="2199">
        <v>-14718.672820346999</v>
      </c>
      <c r="J336" s="2199">
        <v>-16028.810900958</v>
      </c>
      <c r="K336" s="2199">
        <v>-20412.099286524</v>
      </c>
      <c r="L336" s="2199">
        <v>-19902.158833280999</v>
      </c>
      <c r="M336" s="2199">
        <v>-21488.735997741001</v>
      </c>
      <c r="N336" s="2199">
        <v>-26456.135040231002</v>
      </c>
      <c r="O336" s="2199">
        <v>-30465.878878610001</v>
      </c>
      <c r="P336" s="2199">
        <v>-31093.333588720001</v>
      </c>
      <c r="Q336" s="2199">
        <v>-32976.206156753004</v>
      </c>
      <c r="R336" s="2199">
        <v>-14490.657872235999</v>
      </c>
      <c r="S336" s="2199">
        <v>-17004.910529153</v>
      </c>
      <c r="T336" s="2199">
        <v>-18016.743052097001</v>
      </c>
      <c r="U336" s="2199">
        <v>-22025.298308248999</v>
      </c>
      <c r="V336" s="2199">
        <v>-26842.249039712999</v>
      </c>
      <c r="W336" s="2576">
        <v>-32298.347382702999</v>
      </c>
      <c r="X336" s="2195">
        <v>-39150.449999999997</v>
      </c>
      <c r="Y336" s="2199">
        <v>-44217.42</v>
      </c>
      <c r="Z336" s="359"/>
      <c r="AA336" s="359">
        <v>0</v>
      </c>
      <c r="AB336" s="1064"/>
    </row>
    <row r="337" spans="1:29" ht="15">
      <c r="A337" s="2205" t="s">
        <v>141</v>
      </c>
      <c r="B337" s="2199">
        <v>153.708</v>
      </c>
      <c r="C337" s="2199">
        <v>258.27</v>
      </c>
      <c r="D337" s="2199">
        <v>538.15</v>
      </c>
      <c r="E337" s="2199">
        <v>921.14757009799996</v>
      </c>
      <c r="F337" s="2199">
        <v>1351.2328395889999</v>
      </c>
      <c r="G337" s="2199">
        <v>1961.447963565</v>
      </c>
      <c r="H337" s="2199">
        <v>2978.436041469</v>
      </c>
      <c r="I337" s="2199">
        <v>3685.3534192789998</v>
      </c>
      <c r="J337" s="2199">
        <v>3988.4927666150002</v>
      </c>
      <c r="K337" s="2199">
        <v>4958.1475798769998</v>
      </c>
      <c r="L337" s="2199">
        <v>4692.144961129</v>
      </c>
      <c r="M337" s="2199">
        <v>5539.1527285660004</v>
      </c>
      <c r="N337" s="2199">
        <v>6188.5213186640003</v>
      </c>
      <c r="O337" s="2199">
        <v>7493.8198774120001</v>
      </c>
      <c r="P337" s="2199">
        <v>8438.1350752239996</v>
      </c>
      <c r="Q337" s="2199">
        <v>9682.4046846010006</v>
      </c>
      <c r="R337" s="2199">
        <v>8722.8789854890001</v>
      </c>
      <c r="S337" s="2199">
        <v>10712.049623122</v>
      </c>
      <c r="T337" s="2199">
        <v>11813.657474727001</v>
      </c>
      <c r="U337" s="2199">
        <v>13631.964236778</v>
      </c>
      <c r="V337" s="2199">
        <v>17167.278641198001</v>
      </c>
      <c r="W337" s="2576">
        <v>20319.553444681998</v>
      </c>
      <c r="X337" s="2195">
        <v>23698.35</v>
      </c>
      <c r="Y337" s="2199">
        <v>25895.4</v>
      </c>
      <c r="Z337" s="1861"/>
      <c r="AA337" s="359">
        <v>0</v>
      </c>
      <c r="AB337" s="1064"/>
    </row>
    <row r="338" spans="1:29" ht="15">
      <c r="A338" s="2205" t="s">
        <v>269</v>
      </c>
      <c r="B338" s="2199">
        <v>0.66900000000000004</v>
      </c>
      <c r="C338" s="2199">
        <v>2.1640000000000001</v>
      </c>
      <c r="D338" s="2199">
        <v>4.3890000000000002</v>
      </c>
      <c r="E338" s="2199">
        <v>7.226854114</v>
      </c>
      <c r="F338" s="2199">
        <v>11.277770522000001</v>
      </c>
      <c r="G338" s="2199">
        <v>48.935986198999998</v>
      </c>
      <c r="H338" s="2199">
        <v>197.47217245799999</v>
      </c>
      <c r="I338" s="2199">
        <v>187.94095678900001</v>
      </c>
      <c r="J338" s="2199">
        <v>464.25880726700001</v>
      </c>
      <c r="K338" s="2199">
        <v>552.05780406500003</v>
      </c>
      <c r="L338" s="2199">
        <v>636.51801740200005</v>
      </c>
      <c r="M338" s="2199">
        <v>385.72136030199999</v>
      </c>
      <c r="N338" s="2199">
        <v>367.64456570800002</v>
      </c>
      <c r="O338" s="2199">
        <v>452.54669021199999</v>
      </c>
      <c r="P338" s="2199">
        <v>574.75970745799998</v>
      </c>
      <c r="Q338" s="2199">
        <v>1583.099974667</v>
      </c>
      <c r="R338" s="2199">
        <v>600.09330969200005</v>
      </c>
      <c r="S338" s="2199">
        <v>650.49454119899997</v>
      </c>
      <c r="T338" s="2199">
        <v>821.89642478200005</v>
      </c>
      <c r="U338" s="2199">
        <v>1270.7893862670001</v>
      </c>
      <c r="V338" s="2199">
        <v>1998.503979865</v>
      </c>
      <c r="W338" s="2576">
        <v>2336.0690898190001</v>
      </c>
      <c r="X338" s="2195">
        <v>1935.75</v>
      </c>
      <c r="Y338" s="2199">
        <v>2977.16</v>
      </c>
      <c r="Z338" s="359"/>
      <c r="AA338" s="359">
        <v>0</v>
      </c>
      <c r="AB338" s="1064"/>
    </row>
    <row r="339" spans="1:29" ht="15">
      <c r="A339" s="2205" t="s">
        <v>662</v>
      </c>
      <c r="B339" s="2199">
        <v>-12.851000000000001</v>
      </c>
      <c r="C339" s="2199">
        <v>-19.771999999999998</v>
      </c>
      <c r="D339" s="2199">
        <v>-28.326000000000001</v>
      </c>
      <c r="E339" s="2199">
        <v>-40.367143613000003</v>
      </c>
      <c r="F339" s="2199">
        <v>-74.258888827000007</v>
      </c>
      <c r="G339" s="2199">
        <v>-72.344115884999994</v>
      </c>
      <c r="H339" s="2199">
        <v>-495.23644517000002</v>
      </c>
      <c r="I339" s="2199">
        <v>-445.37090724799998</v>
      </c>
      <c r="J339" s="2199">
        <v>-559.12700127100004</v>
      </c>
      <c r="K339" s="2199">
        <v>-693.75774910300004</v>
      </c>
      <c r="L339" s="2199">
        <v>-549.88837297299995</v>
      </c>
      <c r="M339" s="2199">
        <v>-270.55556720099997</v>
      </c>
      <c r="N339" s="2199">
        <v>-354.076323129</v>
      </c>
      <c r="O339" s="2199">
        <v>-620.41156750799996</v>
      </c>
      <c r="P339" s="2199">
        <v>-694.21395998000003</v>
      </c>
      <c r="Q339" s="2199">
        <v>-600.87183121700002</v>
      </c>
      <c r="R339" s="2199">
        <v>-361.04656570999998</v>
      </c>
      <c r="S339" s="2199">
        <v>-592.38605006099999</v>
      </c>
      <c r="T339" s="2199">
        <v>-548.16521161699995</v>
      </c>
      <c r="U339" s="2199">
        <v>-1144.1874468450001</v>
      </c>
      <c r="V339" s="2199">
        <v>-1687.369701824</v>
      </c>
      <c r="W339" s="2576">
        <v>-1718.2984637100001</v>
      </c>
      <c r="X339" s="2195">
        <v>-1811.55</v>
      </c>
      <c r="Y339" s="2199">
        <v>-1672.05</v>
      </c>
      <c r="Z339" s="359"/>
      <c r="AA339" s="359">
        <v>0</v>
      </c>
      <c r="AB339" s="1064"/>
    </row>
    <row r="340" spans="1:29" ht="15">
      <c r="A340" s="2205" t="s">
        <v>663</v>
      </c>
      <c r="B340" s="2199">
        <v>-9.0079999999999991</v>
      </c>
      <c r="C340" s="2199">
        <v>-12.867000000000001</v>
      </c>
      <c r="D340" s="2199">
        <v>-21.815000000000001</v>
      </c>
      <c r="E340" s="2199">
        <v>-31.456471727</v>
      </c>
      <c r="F340" s="2199">
        <v>-57.960675488</v>
      </c>
      <c r="G340" s="2199">
        <v>0</v>
      </c>
      <c r="H340" s="2199">
        <v>-80.487827504999998</v>
      </c>
      <c r="I340" s="2199">
        <v>-109.698561121</v>
      </c>
      <c r="J340" s="2199">
        <v>-238.14774013100001</v>
      </c>
      <c r="K340" s="2199">
        <v>-249.50089016499999</v>
      </c>
      <c r="L340" s="2199">
        <v>-228.65864086400001</v>
      </c>
      <c r="M340" s="2199">
        <v>-132.49117282200001</v>
      </c>
      <c r="N340" s="2199">
        <v>-166.16528720400001</v>
      </c>
      <c r="O340" s="2199">
        <v>-262.502327611</v>
      </c>
      <c r="P340" s="2199">
        <v>-374.18607880000002</v>
      </c>
      <c r="Q340" s="2199">
        <v>-368.54567954800001</v>
      </c>
      <c r="R340" s="2199">
        <v>-238.34443174699999</v>
      </c>
      <c r="S340" s="2199">
        <v>-358.98753745200003</v>
      </c>
      <c r="T340" s="2199">
        <v>-385.33775489599998</v>
      </c>
      <c r="U340" s="2199">
        <v>-483.995846804</v>
      </c>
      <c r="V340" s="2199">
        <v>-645.72555630800002</v>
      </c>
      <c r="W340" s="2576">
        <v>-832.64861126100004</v>
      </c>
      <c r="X340" s="1447">
        <v>-551.64</v>
      </c>
      <c r="Y340" s="2199">
        <v>-809.76</v>
      </c>
      <c r="Z340" s="359"/>
      <c r="AA340" s="359">
        <v>0</v>
      </c>
      <c r="AB340" s="1064"/>
    </row>
    <row r="341" spans="1:29" ht="15">
      <c r="A341" s="2226" t="s">
        <v>664</v>
      </c>
      <c r="B341" s="2199">
        <v>0</v>
      </c>
      <c r="C341" s="2199">
        <v>0</v>
      </c>
      <c r="D341" s="2199">
        <v>0</v>
      </c>
      <c r="E341" s="2199">
        <v>0</v>
      </c>
      <c r="F341" s="2199">
        <v>0</v>
      </c>
      <c r="G341" s="2199">
        <v>0</v>
      </c>
      <c r="H341" s="2199">
        <v>0</v>
      </c>
      <c r="I341" s="2199">
        <v>0</v>
      </c>
      <c r="J341" s="2199">
        <v>0</v>
      </c>
      <c r="K341" s="2199">
        <v>0</v>
      </c>
      <c r="L341" s="2199">
        <v>0</v>
      </c>
      <c r="M341" s="2199">
        <v>0</v>
      </c>
      <c r="N341" s="2199">
        <v>40.858599445000003</v>
      </c>
      <c r="O341" s="2199">
        <v>34.474687218</v>
      </c>
      <c r="P341" s="2199">
        <v>35.13336237</v>
      </c>
      <c r="Q341" s="2199">
        <v>71.085355122999999</v>
      </c>
      <c r="R341" s="2199">
        <v>439.02711468899997</v>
      </c>
      <c r="S341" s="2199">
        <v>404.92746631300002</v>
      </c>
      <c r="T341" s="2199">
        <v>312.19357217800001</v>
      </c>
      <c r="U341" s="2199">
        <v>686.86468111900001</v>
      </c>
      <c r="V341" s="2199">
        <v>483.59804840100003</v>
      </c>
      <c r="W341" s="2576">
        <v>42.347008961</v>
      </c>
      <c r="X341" s="1447">
        <v>392.53</v>
      </c>
      <c r="Y341" s="2199">
        <v>658.02</v>
      </c>
      <c r="Z341" s="359"/>
      <c r="AA341" s="359">
        <v>0</v>
      </c>
      <c r="AB341" s="1064"/>
    </row>
    <row r="342" spans="1:29" ht="15.75">
      <c r="A342" s="2205" t="s">
        <v>16</v>
      </c>
      <c r="B342" s="2199">
        <v>-81.804000000000002</v>
      </c>
      <c r="C342" s="2199">
        <v>-110.995</v>
      </c>
      <c r="D342" s="2199">
        <v>-158.411</v>
      </c>
      <c r="E342" s="2199">
        <v>-283.98317173499998</v>
      </c>
      <c r="F342" s="2199">
        <v>-357.56730732800003</v>
      </c>
      <c r="G342" s="2199">
        <v>-384.77320314899998</v>
      </c>
      <c r="H342" s="2199">
        <v>-526.65917944</v>
      </c>
      <c r="I342" s="2199">
        <v>-527.09097662399995</v>
      </c>
      <c r="J342" s="2199">
        <v>-646.36021968600005</v>
      </c>
      <c r="K342" s="2199">
        <v>-793.28472836399999</v>
      </c>
      <c r="L342" s="2199">
        <v>-857.89299494600004</v>
      </c>
      <c r="M342" s="2199">
        <v>-1356.6073643530001</v>
      </c>
      <c r="N342" s="2199">
        <v>-1617.8189523349999</v>
      </c>
      <c r="O342" s="2199">
        <v>-2226.8708059579999</v>
      </c>
      <c r="P342" s="2199">
        <v>-2638.4545151980001</v>
      </c>
      <c r="Q342" s="2199">
        <v>-3074.6374035200001</v>
      </c>
      <c r="R342" s="2199">
        <v>-2047.8335775400001</v>
      </c>
      <c r="S342" s="2199">
        <v>-2345.9576465069999</v>
      </c>
      <c r="T342" s="2199">
        <v>-2713.561338553</v>
      </c>
      <c r="U342" s="2199">
        <v>-3604.6107849810001</v>
      </c>
      <c r="V342" s="2199">
        <v>-4526.4406918149998</v>
      </c>
      <c r="W342" s="2576">
        <v>-5242.5519069600005</v>
      </c>
      <c r="X342" s="2195">
        <v>-6115.96</v>
      </c>
      <c r="Y342" s="2199">
        <v>-7580.84</v>
      </c>
      <c r="Z342" s="359"/>
      <c r="AA342" s="359">
        <v>0</v>
      </c>
      <c r="AB342" s="1064"/>
      <c r="AC342" s="1576"/>
    </row>
    <row r="343" spans="1:29" ht="15">
      <c r="A343" s="2205" t="s">
        <v>665</v>
      </c>
      <c r="B343" s="2199">
        <v>-41.780999999999999</v>
      </c>
      <c r="C343" s="2199">
        <v>-85.847999999999999</v>
      </c>
      <c r="D343" s="2199">
        <v>-164.054</v>
      </c>
      <c r="E343" s="2199">
        <v>-269.13245608099999</v>
      </c>
      <c r="F343" s="2199">
        <v>-435.825894189</v>
      </c>
      <c r="G343" s="2199">
        <v>-600.16781167399995</v>
      </c>
      <c r="H343" s="2199">
        <v>-963.26621077000004</v>
      </c>
      <c r="I343" s="2199">
        <v>-1306.345365897</v>
      </c>
      <c r="J343" s="2199">
        <v>-1370.5805243320001</v>
      </c>
      <c r="K343" s="2199">
        <v>-1603.154839368</v>
      </c>
      <c r="L343" s="2199">
        <v>-1602.676357135</v>
      </c>
      <c r="M343" s="2199">
        <v>-1846.4736907869999</v>
      </c>
      <c r="N343" s="2199">
        <v>-2236.0335963419998</v>
      </c>
      <c r="O343" s="2199">
        <v>-2331.7894966099998</v>
      </c>
      <c r="P343" s="2199">
        <v>-2751.1584734319999</v>
      </c>
      <c r="Q343" s="2199">
        <v>-3441.1287140589998</v>
      </c>
      <c r="R343" s="2199">
        <v>-3553.288111032</v>
      </c>
      <c r="S343" s="2199">
        <v>-4219.2547706519999</v>
      </c>
      <c r="T343" s="2199">
        <v>-4495.3664575860003</v>
      </c>
      <c r="U343" s="2199">
        <v>-4612.3259355740001</v>
      </c>
      <c r="V343" s="2199">
        <v>-5846.2806535139998</v>
      </c>
      <c r="W343" s="2576">
        <v>-6625.3736383590003</v>
      </c>
      <c r="X343" s="2195">
        <v>-7074.04</v>
      </c>
      <c r="Y343" s="2199">
        <v>-7330.79</v>
      </c>
      <c r="Z343" s="359"/>
      <c r="AA343" s="359">
        <v>0</v>
      </c>
      <c r="AB343" s="1064"/>
    </row>
    <row r="344" spans="1:29" ht="15">
      <c r="A344" s="2226" t="s">
        <v>666</v>
      </c>
      <c r="B344" s="2199">
        <v>17.940999999999999</v>
      </c>
      <c r="C344" s="2199">
        <v>43.819000000000003</v>
      </c>
      <c r="D344" s="2199">
        <v>191.74799999999999</v>
      </c>
      <c r="E344" s="2199">
        <v>334.89165278299998</v>
      </c>
      <c r="F344" s="2199">
        <v>494.85851976700002</v>
      </c>
      <c r="G344" s="2199">
        <v>953.09881905600002</v>
      </c>
      <c r="H344" s="2199">
        <v>1190.7463785469999</v>
      </c>
      <c r="I344" s="2199">
        <v>1594.487126299</v>
      </c>
      <c r="J344" s="2199">
        <v>1876.683828593</v>
      </c>
      <c r="K344" s="2199">
        <v>2420.008067107</v>
      </c>
      <c r="L344" s="2199">
        <v>2318.205253477</v>
      </c>
      <c r="M344" s="2199">
        <v>2451.2374665269999</v>
      </c>
      <c r="N344" s="2199">
        <v>2389.095612011</v>
      </c>
      <c r="O344" s="2199">
        <v>2801.7693847659998</v>
      </c>
      <c r="P344" s="2199">
        <v>2964.2011964419999</v>
      </c>
      <c r="Q344" s="2199">
        <v>4219.952065595</v>
      </c>
      <c r="R344" s="2199">
        <v>3799.831155588</v>
      </c>
      <c r="S344" s="2199">
        <v>4609.8731634140004</v>
      </c>
      <c r="T344" s="2199">
        <v>5190.6544639309996</v>
      </c>
      <c r="U344" s="2199">
        <v>6228.4941367640004</v>
      </c>
      <c r="V344" s="2199">
        <v>7589.2896223110001</v>
      </c>
      <c r="W344" s="2576">
        <v>9111.7455344329992</v>
      </c>
      <c r="X344" s="2195">
        <v>11025.08</v>
      </c>
      <c r="Y344" s="2199">
        <v>12946.91</v>
      </c>
      <c r="Z344" s="359"/>
      <c r="AA344" s="359">
        <v>0</v>
      </c>
      <c r="AB344" s="1064"/>
    </row>
    <row r="345" spans="1:29" ht="15">
      <c r="A345" s="2205" t="s">
        <v>667</v>
      </c>
      <c r="B345" s="2199">
        <v>7.8E-2</v>
      </c>
      <c r="C345" s="2199">
        <v>0.42299999999999999</v>
      </c>
      <c r="D345" s="2199">
        <v>1.3959999999999999</v>
      </c>
      <c r="E345" s="2199">
        <v>15.634973936</v>
      </c>
      <c r="F345" s="2199">
        <v>140.45551455</v>
      </c>
      <c r="G345" s="2199">
        <v>100.711660272</v>
      </c>
      <c r="H345" s="2199">
        <v>191.150989872</v>
      </c>
      <c r="I345" s="2199">
        <v>185.58949517400001</v>
      </c>
      <c r="J345" s="2199">
        <v>144.687563509</v>
      </c>
      <c r="K345" s="2199">
        <v>104.920544425</v>
      </c>
      <c r="L345" s="2199">
        <v>167.744037808</v>
      </c>
      <c r="M345" s="2199">
        <v>204.959308306</v>
      </c>
      <c r="N345" s="2199">
        <v>166.75563845900001</v>
      </c>
      <c r="O345" s="2199">
        <v>146.79606667300001</v>
      </c>
      <c r="P345" s="2199">
        <v>99.839840253999995</v>
      </c>
      <c r="Q345" s="2199">
        <v>101.847192667</v>
      </c>
      <c r="R345" s="2199">
        <v>60.448926026999999</v>
      </c>
      <c r="S345" s="2199">
        <v>112.68356307099999</v>
      </c>
      <c r="T345" s="2199">
        <v>131.40118694899999</v>
      </c>
      <c r="U345" s="2199">
        <v>133.21917762199999</v>
      </c>
      <c r="V345" s="2199">
        <v>184.323926142</v>
      </c>
      <c r="W345" s="2576">
        <v>200.95601092000001</v>
      </c>
      <c r="X345" s="1447">
        <v>175.45</v>
      </c>
      <c r="Y345" s="2199">
        <v>142.88999999999999</v>
      </c>
      <c r="Z345" s="359"/>
      <c r="AA345" s="359">
        <v>0</v>
      </c>
      <c r="AB345" s="1064"/>
    </row>
    <row r="346" spans="1:29" ht="15">
      <c r="A346" s="2205" t="s">
        <v>668</v>
      </c>
      <c r="B346" s="2199">
        <v>-4.1000000000000002E-2</v>
      </c>
      <c r="C346" s="2199">
        <v>-0.34799999999999998</v>
      </c>
      <c r="D346" s="2199">
        <v>-0.36899999999999999</v>
      </c>
      <c r="E346" s="2199">
        <v>-6.6332454959999998</v>
      </c>
      <c r="F346" s="2199">
        <v>-26.015457051999999</v>
      </c>
      <c r="G346" s="2199">
        <v>-28.868285483000001</v>
      </c>
      <c r="H346" s="2199">
        <v>-101.85292326</v>
      </c>
      <c r="I346" s="2199">
        <v>-152.22164975999999</v>
      </c>
      <c r="J346" s="2199">
        <v>-106.011889135</v>
      </c>
      <c r="K346" s="2199">
        <v>-58.923327122000003</v>
      </c>
      <c r="L346" s="2199">
        <v>-112.05054039700001</v>
      </c>
      <c r="M346" s="2199">
        <v>-162.08766890199999</v>
      </c>
      <c r="N346" s="2199">
        <v>-96.627048432999999</v>
      </c>
      <c r="O346" s="2199">
        <v>-97.416623717999997</v>
      </c>
      <c r="P346" s="2199">
        <v>-50.142370454999998</v>
      </c>
      <c r="Q346" s="2199">
        <v>-66.681480754999995</v>
      </c>
      <c r="R346" s="2199">
        <v>-2.6775264089999999</v>
      </c>
      <c r="S346" s="2199">
        <v>-58.026214779</v>
      </c>
      <c r="T346" s="2199">
        <v>-58.599020912999997</v>
      </c>
      <c r="U346" s="2199">
        <v>-24.506873427999999</v>
      </c>
      <c r="V346" s="2199">
        <v>-111.330588573</v>
      </c>
      <c r="W346" s="2576">
        <v>-109.69544678299999</v>
      </c>
      <c r="X346" s="1447">
        <v>-130.86000000000001</v>
      </c>
      <c r="Y346" s="2199">
        <v>-50.94</v>
      </c>
      <c r="AA346" s="359">
        <v>0</v>
      </c>
      <c r="AB346" s="1064"/>
    </row>
    <row r="347" spans="1:29" ht="15">
      <c r="A347" s="2226" t="s">
        <v>669</v>
      </c>
      <c r="B347" s="2199">
        <v>3.6999999999999998E-2</v>
      </c>
      <c r="C347" s="2199">
        <v>7.4999999999999997E-2</v>
      </c>
      <c r="D347" s="2199">
        <v>1.0269999999999999</v>
      </c>
      <c r="E347" s="2199">
        <v>9.0017284400000008</v>
      </c>
      <c r="F347" s="2199">
        <v>114.440057498</v>
      </c>
      <c r="G347" s="2199">
        <v>71.843374788999995</v>
      </c>
      <c r="H347" s="2199">
        <v>89.298066612</v>
      </c>
      <c r="I347" s="2199">
        <v>33.367845414000001</v>
      </c>
      <c r="J347" s="2199">
        <v>38.675674374000003</v>
      </c>
      <c r="K347" s="2199">
        <v>45.997217302999999</v>
      </c>
      <c r="L347" s="2199">
        <v>55.693497411000003</v>
      </c>
      <c r="M347" s="2199">
        <v>42.871639404</v>
      </c>
      <c r="N347" s="2199">
        <v>70.128590025999998</v>
      </c>
      <c r="O347" s="2199">
        <v>49.379442955000002</v>
      </c>
      <c r="P347" s="2199">
        <v>49.697469798999997</v>
      </c>
      <c r="Q347" s="2199">
        <v>35.165711911999999</v>
      </c>
      <c r="R347" s="2199">
        <v>57.771399617999997</v>
      </c>
      <c r="S347" s="2199">
        <v>54.657348292000002</v>
      </c>
      <c r="T347" s="2199">
        <v>72.802166036000003</v>
      </c>
      <c r="U347" s="2199">
        <v>108.712304194</v>
      </c>
      <c r="V347" s="2199">
        <v>72.993337569000005</v>
      </c>
      <c r="W347" s="2576">
        <v>91.260564137000003</v>
      </c>
      <c r="X347" s="1447">
        <v>44.59</v>
      </c>
      <c r="Y347" s="2199">
        <v>91.96</v>
      </c>
      <c r="Z347" s="359"/>
      <c r="AA347" s="359">
        <v>0</v>
      </c>
      <c r="AB347" s="1064"/>
    </row>
    <row r="348" spans="1:29" ht="15">
      <c r="A348" s="2205" t="s">
        <v>670</v>
      </c>
      <c r="B348" s="2199">
        <v>0</v>
      </c>
      <c r="C348" s="2199">
        <v>0</v>
      </c>
      <c r="D348" s="2199">
        <v>0</v>
      </c>
      <c r="E348" s="2199">
        <v>0</v>
      </c>
      <c r="F348" s="2199">
        <v>0</v>
      </c>
      <c r="G348" s="2199">
        <v>4.0431138899999999</v>
      </c>
      <c r="H348" s="2199">
        <v>-39.959075351000003</v>
      </c>
      <c r="I348" s="2199">
        <v>69.667480304999998</v>
      </c>
      <c r="J348" s="2199">
        <v>107.833643477</v>
      </c>
      <c r="K348" s="2199">
        <v>35.537691711000001</v>
      </c>
      <c r="L348" s="2199">
        <v>32.661858396</v>
      </c>
      <c r="M348" s="2199">
        <v>21.520886280999999</v>
      </c>
      <c r="N348" s="2199">
        <v>0</v>
      </c>
      <c r="O348" s="2199">
        <v>0</v>
      </c>
      <c r="P348" s="2199">
        <v>0</v>
      </c>
      <c r="Q348" s="2199">
        <v>0</v>
      </c>
      <c r="R348" s="2199">
        <v>0</v>
      </c>
      <c r="S348" s="2199">
        <v>0</v>
      </c>
      <c r="T348" s="2199">
        <v>0</v>
      </c>
      <c r="U348" s="2199">
        <v>0</v>
      </c>
      <c r="V348" s="2199">
        <v>0</v>
      </c>
      <c r="W348" s="2576">
        <v>0</v>
      </c>
      <c r="X348" s="1447">
        <v>0</v>
      </c>
      <c r="Y348" s="2199">
        <v>0</v>
      </c>
      <c r="Z348" s="359"/>
      <c r="AA348" s="359">
        <v>0</v>
      </c>
      <c r="AB348" s="1064"/>
    </row>
    <row r="349" spans="1:29" ht="15">
      <c r="A349" s="2226" t="s">
        <v>671</v>
      </c>
      <c r="B349" s="2199">
        <v>17.978000000000002</v>
      </c>
      <c r="C349" s="2199">
        <v>43.893999999999998</v>
      </c>
      <c r="D349" s="2199">
        <v>192.77500000000001</v>
      </c>
      <c r="E349" s="2199">
        <v>343.89338122300001</v>
      </c>
      <c r="F349" s="2199">
        <v>609.29857726499995</v>
      </c>
      <c r="G349" s="2199">
        <v>1028.9853077350001</v>
      </c>
      <c r="H349" s="2199">
        <v>1240.085369808</v>
      </c>
      <c r="I349" s="2199">
        <v>1697.522452018</v>
      </c>
      <c r="J349" s="2199">
        <v>2023.1931464439999</v>
      </c>
      <c r="K349" s="2199">
        <v>2501.5429761209998</v>
      </c>
      <c r="L349" s="2199">
        <v>2406.5606092839998</v>
      </c>
      <c r="M349" s="2199">
        <v>2515.6299922120002</v>
      </c>
      <c r="N349" s="2199">
        <v>2459.2242020369999</v>
      </c>
      <c r="O349" s="2199">
        <v>2851.1488277210001</v>
      </c>
      <c r="P349" s="2199">
        <v>3013.8986662409998</v>
      </c>
      <c r="Q349" s="2199">
        <v>4255.117777507</v>
      </c>
      <c r="R349" s="2199">
        <v>3857.602555206</v>
      </c>
      <c r="S349" s="2199">
        <v>4664.5305117059997</v>
      </c>
      <c r="T349" s="2199">
        <v>5263.4566299669996</v>
      </c>
      <c r="U349" s="2199">
        <v>6337.2064409579998</v>
      </c>
      <c r="V349" s="2199">
        <v>7662.2829598799999</v>
      </c>
      <c r="W349" s="2576">
        <v>9203.0060985700002</v>
      </c>
      <c r="X349" s="2195">
        <v>11069.67</v>
      </c>
      <c r="Y349" s="2199">
        <v>13038.87</v>
      </c>
      <c r="Z349" s="359"/>
      <c r="AA349" s="359">
        <v>9287.5</v>
      </c>
      <c r="AB349" s="1064"/>
    </row>
    <row r="350" spans="1:29" ht="15">
      <c r="A350" s="2205" t="s">
        <v>672</v>
      </c>
      <c r="B350" s="2199">
        <v>0</v>
      </c>
      <c r="C350" s="2199">
        <v>0</v>
      </c>
      <c r="D350" s="2199">
        <v>-17.957000000000001</v>
      </c>
      <c r="E350" s="2199">
        <v>-42.515279399000001</v>
      </c>
      <c r="F350" s="2199">
        <v>-73.686819439000004</v>
      </c>
      <c r="G350" s="2199">
        <v>-148.71463760899999</v>
      </c>
      <c r="H350" s="2199">
        <v>-212.403699319</v>
      </c>
      <c r="I350" s="2199">
        <v>-329.02878141600002</v>
      </c>
      <c r="J350" s="2199">
        <v>-346.75388474200003</v>
      </c>
      <c r="K350" s="2199">
        <v>-418.06727290499998</v>
      </c>
      <c r="L350" s="2199">
        <v>-424.44032253699999</v>
      </c>
      <c r="M350" s="2199">
        <v>-477.97135326799997</v>
      </c>
      <c r="N350" s="2199">
        <v>-399.00014466800002</v>
      </c>
      <c r="O350" s="2199">
        <v>-497.00107571500001</v>
      </c>
      <c r="P350" s="2199">
        <v>-424.74148219400001</v>
      </c>
      <c r="Q350" s="2199">
        <v>-698.49391563999995</v>
      </c>
      <c r="R350" s="2199">
        <v>-599.21489697000004</v>
      </c>
      <c r="S350" s="2199">
        <v>-761.98961211599999</v>
      </c>
      <c r="T350" s="2199">
        <v>-942.81411863100004</v>
      </c>
      <c r="U350" s="2199">
        <v>-954.88328027399996</v>
      </c>
      <c r="V350" s="2199">
        <v>-1193.6136672309999</v>
      </c>
      <c r="W350" s="2576">
        <v>-1424.0170017959999</v>
      </c>
      <c r="X350" s="2195">
        <v>-1922.93</v>
      </c>
      <c r="Y350" s="2199">
        <v>-1918.76</v>
      </c>
      <c r="AA350" s="359">
        <v>0</v>
      </c>
      <c r="AB350" s="1064"/>
    </row>
    <row r="351" spans="1:29" ht="15">
      <c r="A351" s="2205" t="s">
        <v>673</v>
      </c>
      <c r="B351" s="2199">
        <v>0</v>
      </c>
      <c r="C351" s="2199">
        <v>0</v>
      </c>
      <c r="D351" s="2199">
        <v>0</v>
      </c>
      <c r="E351" s="2199">
        <v>0</v>
      </c>
      <c r="F351" s="2199">
        <v>0</v>
      </c>
      <c r="G351" s="2199">
        <v>0</v>
      </c>
      <c r="H351" s="2199">
        <v>23.365346963</v>
      </c>
      <c r="I351" s="2199">
        <v>37.380572583999999</v>
      </c>
      <c r="J351" s="2199">
        <v>15.317991593</v>
      </c>
      <c r="K351" s="2199">
        <v>-4.3279735300000004</v>
      </c>
      <c r="L351" s="2199">
        <v>3.3665465760000002</v>
      </c>
      <c r="M351" s="2199">
        <v>27.654356365000002</v>
      </c>
      <c r="N351" s="2199">
        <v>18.900741566000001</v>
      </c>
      <c r="O351" s="2199">
        <v>83.937013159000003</v>
      </c>
      <c r="P351" s="2199">
        <v>-13.466338768</v>
      </c>
      <c r="Q351" s="2199">
        <v>-28.509947486000002</v>
      </c>
      <c r="R351" s="2199">
        <v>-24.390517191000001</v>
      </c>
      <c r="S351" s="2199">
        <v>9.1712672830000006</v>
      </c>
      <c r="T351" s="2199">
        <v>103.102706262</v>
      </c>
      <c r="U351" s="2199">
        <v>-33.022061188000002</v>
      </c>
      <c r="V351" s="2199">
        <v>22.674161819999998</v>
      </c>
      <c r="W351" s="2576">
        <v>9.060642842</v>
      </c>
      <c r="X351" s="1447">
        <v>280.68</v>
      </c>
      <c r="Y351" s="2199">
        <v>105.41</v>
      </c>
      <c r="Z351" s="359"/>
      <c r="AA351" s="359">
        <v>0</v>
      </c>
      <c r="AB351" s="1064"/>
    </row>
    <row r="352" spans="1:29" ht="15.75">
      <c r="A352" s="2205" t="s">
        <v>674</v>
      </c>
      <c r="B352" s="2199">
        <v>0</v>
      </c>
      <c r="C352" s="2199">
        <v>0</v>
      </c>
      <c r="D352" s="2199">
        <v>-17.957000000000001</v>
      </c>
      <c r="E352" s="2199">
        <v>-42.515279399000001</v>
      </c>
      <c r="F352" s="2199">
        <v>-73.686819439000004</v>
      </c>
      <c r="G352" s="2199">
        <v>-148.71463760899999</v>
      </c>
      <c r="H352" s="2199">
        <v>-189.03835235599999</v>
      </c>
      <c r="I352" s="2199">
        <v>-291.64820883200002</v>
      </c>
      <c r="J352" s="2199">
        <v>-331.43589314899998</v>
      </c>
      <c r="K352" s="2199">
        <v>-422.39524643499999</v>
      </c>
      <c r="L352" s="2199">
        <v>-421.07377596100002</v>
      </c>
      <c r="M352" s="2199">
        <v>-450.31699690300002</v>
      </c>
      <c r="N352" s="2199">
        <v>-380.099403102</v>
      </c>
      <c r="O352" s="2199">
        <v>-413.06406255600001</v>
      </c>
      <c r="P352" s="2199">
        <v>-438.20782096200003</v>
      </c>
      <c r="Q352" s="2199">
        <v>-727.00386312600006</v>
      </c>
      <c r="R352" s="2199">
        <v>-623.605414161</v>
      </c>
      <c r="S352" s="2199">
        <v>-752.81834483299997</v>
      </c>
      <c r="T352" s="2199">
        <v>-839.71141236899996</v>
      </c>
      <c r="U352" s="2199">
        <v>-987.90534146200002</v>
      </c>
      <c r="V352" s="2199">
        <v>-1170.939505411</v>
      </c>
      <c r="W352" s="2576">
        <v>-1414.9563589540001</v>
      </c>
      <c r="X352" s="2195">
        <v>-1642.24</v>
      </c>
      <c r="Y352" s="2199">
        <v>-1813.35</v>
      </c>
      <c r="AA352" s="359">
        <v>0</v>
      </c>
      <c r="AB352" s="1064"/>
      <c r="AC352" s="1576"/>
    </row>
    <row r="353" spans="1:28" ht="15">
      <c r="A353" s="752" t="s">
        <v>675</v>
      </c>
      <c r="B353" s="2228">
        <v>17.978000000000002</v>
      </c>
      <c r="C353" s="2228">
        <v>43.893999999999998</v>
      </c>
      <c r="D353" s="2228">
        <v>174.81800000000001</v>
      </c>
      <c r="E353" s="2228">
        <v>301.378101824</v>
      </c>
      <c r="F353" s="2228">
        <v>535.61175782600003</v>
      </c>
      <c r="G353" s="2228">
        <v>880.27067012600003</v>
      </c>
      <c r="H353" s="2228">
        <v>1051.0470174520001</v>
      </c>
      <c r="I353" s="2228">
        <v>1405.8742431860001</v>
      </c>
      <c r="J353" s="2228">
        <v>1691.7572532950001</v>
      </c>
      <c r="K353" s="2228">
        <v>2079.1477296859998</v>
      </c>
      <c r="L353" s="2228">
        <v>1985.4868333229999</v>
      </c>
      <c r="M353" s="2228">
        <v>2065.3129953090001</v>
      </c>
      <c r="N353" s="2228">
        <v>2079.1247989349999</v>
      </c>
      <c r="O353" s="2228">
        <v>2438.0847651650001</v>
      </c>
      <c r="P353" s="2228">
        <v>2575.6908452789999</v>
      </c>
      <c r="Q353" s="2228">
        <v>3528.1139143810001</v>
      </c>
      <c r="R353" s="2228">
        <v>3233.9971410449998</v>
      </c>
      <c r="S353" s="2228">
        <v>3911.7121668730001</v>
      </c>
      <c r="T353" s="2228">
        <v>4423.7452175979997</v>
      </c>
      <c r="U353" s="2228">
        <v>5349.3010994959996</v>
      </c>
      <c r="V353" s="2228">
        <v>6491.3434544689999</v>
      </c>
      <c r="W353" s="2577">
        <v>7788.0497396159999</v>
      </c>
      <c r="X353" s="2228">
        <v>9427.42</v>
      </c>
      <c r="Y353" s="2208">
        <v>11225.52</v>
      </c>
      <c r="Z353" s="2338"/>
      <c r="AA353" s="2343">
        <v>7831</v>
      </c>
      <c r="AB353" s="2344"/>
    </row>
    <row r="354" spans="1:28" ht="15">
      <c r="A354" s="2205" t="s">
        <v>676</v>
      </c>
      <c r="B354" s="2199">
        <v>0</v>
      </c>
      <c r="C354" s="2199">
        <v>0</v>
      </c>
      <c r="D354" s="2199">
        <v>0</v>
      </c>
      <c r="E354" s="2199">
        <v>20.895382888</v>
      </c>
      <c r="F354" s="2199">
        <v>85.175866635999995</v>
      </c>
      <c r="G354" s="2199">
        <v>142.801214063</v>
      </c>
      <c r="H354" s="2199">
        <v>214.77642082</v>
      </c>
      <c r="I354" s="2199">
        <v>342.525329312</v>
      </c>
      <c r="J354" s="2199">
        <v>427.25090030500002</v>
      </c>
      <c r="K354" s="2199">
        <v>397.329534986</v>
      </c>
      <c r="L354" s="2199">
        <v>445.15993299199999</v>
      </c>
      <c r="M354" s="2199">
        <v>457.604776329</v>
      </c>
      <c r="N354" s="2199">
        <v>447.03971174200001</v>
      </c>
      <c r="O354" s="2199">
        <v>507.18884453599998</v>
      </c>
      <c r="P354" s="2199">
        <v>585.04826688799994</v>
      </c>
      <c r="Q354" s="2199">
        <v>596.58305181900005</v>
      </c>
      <c r="R354" s="2199">
        <v>613.81850905900001</v>
      </c>
      <c r="S354" s="2199">
        <v>776.361790219</v>
      </c>
      <c r="T354" s="2199">
        <v>885.73747877599999</v>
      </c>
      <c r="U354" s="2199">
        <v>1011.889219694</v>
      </c>
      <c r="V354" s="2199">
        <v>1181.2348630609999</v>
      </c>
      <c r="W354" s="2576">
        <v>1322.859306994</v>
      </c>
      <c r="X354" s="2195">
        <v>1570.65</v>
      </c>
      <c r="Y354" s="2208">
        <v>1856.21</v>
      </c>
      <c r="Z354" s="2338"/>
      <c r="AA354" s="359">
        <v>0</v>
      </c>
      <c r="AB354" s="1064"/>
    </row>
    <row r="355" spans="1:28" ht="15">
      <c r="A355" s="2335" t="s">
        <v>677</v>
      </c>
      <c r="B355" s="2208">
        <v>17.978000000000002</v>
      </c>
      <c r="C355" s="2208">
        <v>43.893999999999998</v>
      </c>
      <c r="D355" s="2208">
        <v>174.81800000000001</v>
      </c>
      <c r="E355" s="2208">
        <v>280.48271893600003</v>
      </c>
      <c r="F355" s="2208">
        <v>450.43589119000001</v>
      </c>
      <c r="G355" s="2208">
        <v>737.46945606300005</v>
      </c>
      <c r="H355" s="2208">
        <v>836.27059663199998</v>
      </c>
      <c r="I355" s="2208">
        <v>1063.3489138739999</v>
      </c>
      <c r="J355" s="2208">
        <v>1264.5063529900001</v>
      </c>
      <c r="K355" s="2208">
        <v>1681.8181947</v>
      </c>
      <c r="L355" s="2208">
        <v>1540.3269003309999</v>
      </c>
      <c r="M355" s="2208">
        <v>1607.7082189800001</v>
      </c>
      <c r="N355" s="2208">
        <v>1632.0850871929999</v>
      </c>
      <c r="O355" s="2208">
        <v>1930.8959206290001</v>
      </c>
      <c r="P355" s="2208">
        <v>1990.6425783909999</v>
      </c>
      <c r="Q355" s="2208">
        <v>2931.530862562</v>
      </c>
      <c r="R355" s="2208">
        <v>2620.1786319859998</v>
      </c>
      <c r="S355" s="2208">
        <v>3135.3503766539998</v>
      </c>
      <c r="T355" s="2208">
        <v>3538.0077388220002</v>
      </c>
      <c r="U355" s="2208">
        <v>4337.4118798019999</v>
      </c>
      <c r="V355" s="2208">
        <v>5310.1085914080004</v>
      </c>
      <c r="W355" s="2577">
        <v>6465.1904326220001</v>
      </c>
      <c r="X355" s="2228">
        <v>7856.77</v>
      </c>
      <c r="Y355" s="2208">
        <v>9369.31</v>
      </c>
      <c r="Z355" s="2338"/>
      <c r="AA355" s="2338">
        <v>6470.25</v>
      </c>
      <c r="AB355" s="2337"/>
    </row>
    <row r="356" spans="1:28" ht="15">
      <c r="A356" s="2226" t="s">
        <v>678</v>
      </c>
      <c r="B356" s="2199">
        <v>0</v>
      </c>
      <c r="C356" s="2199">
        <v>0</v>
      </c>
      <c r="D356" s="2199">
        <v>0</v>
      </c>
      <c r="E356" s="2199">
        <v>5125</v>
      </c>
      <c r="F356" s="2199">
        <v>8010</v>
      </c>
      <c r="G356" s="2199">
        <v>8043</v>
      </c>
      <c r="H356" s="2199">
        <v>5959</v>
      </c>
      <c r="I356" s="2199">
        <v>7498</v>
      </c>
      <c r="J356" s="2199">
        <v>6584</v>
      </c>
      <c r="K356" s="2199">
        <v>7861</v>
      </c>
      <c r="L356" s="2199">
        <v>5665</v>
      </c>
      <c r="M356" s="2199">
        <v>5858</v>
      </c>
      <c r="N356" s="2199">
        <v>3723</v>
      </c>
      <c r="O356" s="2199">
        <v>4386</v>
      </c>
      <c r="P356" s="2199">
        <v>3925</v>
      </c>
      <c r="Q356" s="2199">
        <v>5129</v>
      </c>
      <c r="R356" s="2199">
        <v>3903</v>
      </c>
      <c r="S356" s="2199">
        <v>4220</v>
      </c>
      <c r="T356" s="2199">
        <v>4120</v>
      </c>
      <c r="U356" s="2199">
        <v>4349</v>
      </c>
      <c r="V356" s="2199">
        <v>4429</v>
      </c>
      <c r="W356" s="2576">
        <v>4661</v>
      </c>
      <c r="X356" s="2195">
        <v>4944</v>
      </c>
      <c r="Y356" s="2199">
        <v>5211</v>
      </c>
      <c r="Z356" s="359"/>
      <c r="AA356" s="359">
        <v>0</v>
      </c>
      <c r="AB356" s="1064"/>
    </row>
    <row r="357" spans="1:28" ht="15">
      <c r="A357" s="2226" t="s">
        <v>679</v>
      </c>
      <c r="B357" s="2199">
        <v>0</v>
      </c>
      <c r="C357" s="2199">
        <v>0</v>
      </c>
      <c r="D357" s="2199">
        <v>0</v>
      </c>
      <c r="E357" s="2199">
        <v>0</v>
      </c>
      <c r="F357" s="2199">
        <v>0</v>
      </c>
      <c r="G357" s="2199">
        <v>0</v>
      </c>
      <c r="H357" s="2199">
        <v>0</v>
      </c>
      <c r="I357" s="2199">
        <v>0</v>
      </c>
      <c r="J357" s="2199">
        <v>0</v>
      </c>
      <c r="K357" s="2199">
        <v>0</v>
      </c>
      <c r="L357" s="2199">
        <v>0</v>
      </c>
      <c r="M357" s="2199">
        <v>0</v>
      </c>
      <c r="N357" s="2199">
        <v>0</v>
      </c>
      <c r="O357" s="2199">
        <v>0</v>
      </c>
      <c r="P357" s="2199">
        <v>0</v>
      </c>
      <c r="Q357" s="2199">
        <v>0</v>
      </c>
      <c r="R357" s="2199">
        <v>3903</v>
      </c>
      <c r="S357" s="2199">
        <v>4220</v>
      </c>
      <c r="T357" s="2199">
        <v>4120</v>
      </c>
      <c r="U357" s="2199">
        <v>4349</v>
      </c>
      <c r="V357" s="2199">
        <v>4429</v>
      </c>
      <c r="W357" s="2576">
        <v>4661</v>
      </c>
      <c r="X357" s="2195">
        <v>4944</v>
      </c>
      <c r="Y357" s="2199">
        <v>5211</v>
      </c>
      <c r="Z357" s="359"/>
      <c r="AA357" s="359">
        <v>0</v>
      </c>
      <c r="AB357" s="1064"/>
    </row>
    <row r="358" spans="1:28" ht="15.75">
      <c r="A358" s="1065"/>
    </row>
    <row r="359" spans="1:28" ht="15.75">
      <c r="A359" s="1065" t="s">
        <v>396</v>
      </c>
    </row>
    <row r="360" spans="1:28" ht="15.75">
      <c r="A360" s="1066" t="s">
        <v>397</v>
      </c>
    </row>
    <row r="361" spans="1:28" ht="15.75">
      <c r="A361" s="1066" t="s">
        <v>398</v>
      </c>
    </row>
    <row r="362" spans="1:28" ht="15">
      <c r="A362" s="1067" t="s">
        <v>399</v>
      </c>
    </row>
    <row r="363" spans="1:28" ht="15">
      <c r="A363" s="1064"/>
    </row>
    <row r="364" spans="1:28" ht="15.75">
      <c r="A364" s="1065" t="s">
        <v>400</v>
      </c>
    </row>
    <row r="365" spans="1:28" ht="15.75">
      <c r="A365" s="1065" t="s">
        <v>401</v>
      </c>
    </row>
    <row r="366" spans="1:28" ht="15.75">
      <c r="A366" s="1066" t="s">
        <v>402</v>
      </c>
    </row>
    <row r="367" spans="1:28" ht="15">
      <c r="A367" s="1067" t="s">
        <v>403</v>
      </c>
    </row>
    <row r="368" spans="1:28" ht="15">
      <c r="A368" s="1064"/>
    </row>
    <row r="369" spans="1:38" ht="15.75">
      <c r="A369" s="1065" t="s">
        <v>404</v>
      </c>
    </row>
    <row r="370" spans="1:38" ht="15.75">
      <c r="A370" s="1066" t="s">
        <v>405</v>
      </c>
    </row>
    <row r="371" spans="1:38" ht="15">
      <c r="A371" s="1067" t="s">
        <v>403</v>
      </c>
    </row>
    <row r="372" spans="1:38" ht="15">
      <c r="A372" s="1064"/>
    </row>
    <row r="373" spans="1:38" ht="15">
      <c r="A373" s="1064"/>
    </row>
    <row r="378" spans="1:38" ht="15">
      <c r="A378" s="3591" t="s">
        <v>2157</v>
      </c>
    </row>
    <row r="381" spans="1:38">
      <c r="AL381" s="2333"/>
    </row>
    <row r="382" spans="1:38">
      <c r="AL382" s="2333"/>
    </row>
    <row r="383" spans="1:38">
      <c r="AL383" s="2333"/>
    </row>
    <row r="384" spans="1:38">
      <c r="AL384" s="2333"/>
    </row>
    <row r="385" spans="1:38" ht="30">
      <c r="A385" s="2193" t="s">
        <v>322</v>
      </c>
      <c r="B385" s="2194" t="s">
        <v>842</v>
      </c>
      <c r="AK385" s="2214"/>
    </row>
    <row r="386" spans="1:38" ht="30">
      <c r="A386" s="2193" t="s">
        <v>323</v>
      </c>
      <c r="B386" s="2194" t="s">
        <v>840</v>
      </c>
      <c r="L386" s="2216"/>
      <c r="AK386" s="2214"/>
    </row>
    <row r="387" spans="1:38" ht="14.25">
      <c r="C387" s="2217"/>
      <c r="L387" s="2216"/>
      <c r="AK387" s="2214"/>
    </row>
    <row r="388" spans="1:38" ht="15">
      <c r="A388" s="2193" t="s">
        <v>324</v>
      </c>
      <c r="B388" s="2194" t="s">
        <v>841</v>
      </c>
      <c r="D388" s="2193" t="s">
        <v>325</v>
      </c>
      <c r="E388" s="2194" t="s">
        <v>326</v>
      </c>
      <c r="F388" s="2194" t="s">
        <v>704</v>
      </c>
      <c r="AK388" s="2214"/>
    </row>
    <row r="389" spans="1:38" ht="30">
      <c r="A389" s="2193" t="s">
        <v>328</v>
      </c>
      <c r="B389" s="2194" t="s">
        <v>329</v>
      </c>
      <c r="D389" s="2193" t="s">
        <v>330</v>
      </c>
      <c r="E389" s="2194" t="s">
        <v>331</v>
      </c>
      <c r="F389" s="2194" t="s">
        <v>332</v>
      </c>
      <c r="AK389" s="2214"/>
    </row>
    <row r="391" spans="1:38" ht="15">
      <c r="A391" s="2197"/>
      <c r="B391" s="2198" t="s">
        <v>697</v>
      </c>
      <c r="C391" s="2198" t="s">
        <v>500</v>
      </c>
      <c r="D391" s="2198" t="s">
        <v>333</v>
      </c>
      <c r="E391" s="2198" t="s">
        <v>334</v>
      </c>
      <c r="F391" s="2198" t="s">
        <v>335</v>
      </c>
      <c r="G391" s="2198" t="s">
        <v>336</v>
      </c>
      <c r="H391" s="2198" t="s">
        <v>337</v>
      </c>
      <c r="I391" s="2198" t="s">
        <v>160</v>
      </c>
      <c r="J391" s="2198" t="s">
        <v>338</v>
      </c>
      <c r="K391" s="2198" t="s">
        <v>339</v>
      </c>
      <c r="L391" s="2198" t="s">
        <v>340</v>
      </c>
      <c r="M391" s="2198" t="s">
        <v>341</v>
      </c>
      <c r="N391" s="2198" t="s">
        <v>342</v>
      </c>
      <c r="O391" s="2198" t="s">
        <v>343</v>
      </c>
      <c r="P391" s="2198" t="s">
        <v>344</v>
      </c>
      <c r="Q391" s="2198" t="s">
        <v>345</v>
      </c>
      <c r="R391" s="2198" t="s">
        <v>346</v>
      </c>
      <c r="S391" s="2198" t="s">
        <v>347</v>
      </c>
      <c r="T391" s="2198" t="s">
        <v>348</v>
      </c>
      <c r="U391" s="2198" t="s">
        <v>327</v>
      </c>
      <c r="V391" s="2198" t="s">
        <v>704</v>
      </c>
      <c r="W391" s="2355" t="s">
        <v>1628</v>
      </c>
      <c r="X391" s="2610">
        <v>2024</v>
      </c>
      <c r="Y391" s="2610">
        <v>2025</v>
      </c>
      <c r="Z391" s="2198"/>
      <c r="AA391" s="2198" t="s">
        <v>1015</v>
      </c>
      <c r="AB391" s="2198" t="s">
        <v>1036</v>
      </c>
      <c r="AC391" s="2198" t="s">
        <v>1242</v>
      </c>
      <c r="AD391" s="2198" t="s">
        <v>1354</v>
      </c>
      <c r="AE391" s="2198" t="s">
        <v>1498</v>
      </c>
      <c r="AF391" s="2198" t="s">
        <v>1704</v>
      </c>
      <c r="AG391" s="2198" t="s">
        <v>1789</v>
      </c>
      <c r="AH391" s="2198" t="s">
        <v>1792</v>
      </c>
      <c r="AI391" s="2198" t="s">
        <v>1793</v>
      </c>
      <c r="AJ391" s="2198" t="s">
        <v>1794</v>
      </c>
      <c r="AK391" s="2214"/>
      <c r="AL391" s="2198" t="s">
        <v>1203</v>
      </c>
    </row>
    <row r="392" spans="1:38" ht="15">
      <c r="A392" s="2205" t="s">
        <v>349</v>
      </c>
      <c r="B392" s="2205" t="s">
        <v>350</v>
      </c>
      <c r="C392" s="2205" t="s">
        <v>350</v>
      </c>
      <c r="D392" s="2205" t="s">
        <v>350</v>
      </c>
      <c r="E392" s="2205" t="s">
        <v>350</v>
      </c>
      <c r="F392" s="2205" t="s">
        <v>350</v>
      </c>
      <c r="G392" s="2205" t="s">
        <v>350</v>
      </c>
      <c r="H392" s="2205" t="s">
        <v>350</v>
      </c>
      <c r="I392" s="2205" t="s">
        <v>350</v>
      </c>
      <c r="J392" s="2205" t="s">
        <v>350</v>
      </c>
      <c r="K392" s="2205" t="s">
        <v>350</v>
      </c>
      <c r="L392" s="2205" t="s">
        <v>350</v>
      </c>
      <c r="M392" s="2205" t="s">
        <v>350</v>
      </c>
      <c r="N392" s="2205" t="s">
        <v>350</v>
      </c>
      <c r="O392" s="2205" t="s">
        <v>350</v>
      </c>
      <c r="P392" s="2205" t="s">
        <v>350</v>
      </c>
      <c r="Q392" s="2205" t="s">
        <v>350</v>
      </c>
      <c r="R392" s="2205" t="s">
        <v>350</v>
      </c>
      <c r="S392" s="2205" t="s">
        <v>350</v>
      </c>
      <c r="T392" s="2205" t="s">
        <v>350</v>
      </c>
      <c r="U392" s="2205" t="s">
        <v>350</v>
      </c>
      <c r="V392" s="2205" t="s">
        <v>350</v>
      </c>
      <c r="W392" s="2205" t="s">
        <v>350</v>
      </c>
      <c r="X392" t="s">
        <v>1358</v>
      </c>
      <c r="Y392" t="s">
        <v>1194</v>
      </c>
      <c r="Z392" s="2205"/>
      <c r="AA392" s="2223" t="s">
        <v>657</v>
      </c>
      <c r="AB392" s="2223" t="s">
        <v>657</v>
      </c>
      <c r="AC392" s="1447" t="s">
        <v>657</v>
      </c>
      <c r="AD392" s="1447" t="s">
        <v>657</v>
      </c>
      <c r="AE392" s="1447" t="s">
        <v>657</v>
      </c>
      <c r="AF392" t="s">
        <v>350</v>
      </c>
      <c r="AG392" t="s">
        <v>657</v>
      </c>
      <c r="AH392" t="s">
        <v>1358</v>
      </c>
      <c r="AI392" s="3080" t="s">
        <v>1194</v>
      </c>
      <c r="AJ392" t="s">
        <v>1194</v>
      </c>
      <c r="AK392" s="2214"/>
      <c r="AL392" s="2205" t="s">
        <v>657</v>
      </c>
    </row>
    <row r="393" spans="1:38" ht="15">
      <c r="A393" s="2205" t="s">
        <v>351</v>
      </c>
      <c r="B393" s="2205"/>
      <c r="C393" s="2205"/>
      <c r="D393" s="2205"/>
      <c r="E393" s="2205"/>
      <c r="F393" s="2205"/>
      <c r="G393" s="2205"/>
      <c r="H393" s="2205" t="s">
        <v>698</v>
      </c>
      <c r="I393" s="2205" t="s">
        <v>352</v>
      </c>
      <c r="J393" s="2205"/>
      <c r="K393" s="2205" t="s">
        <v>352</v>
      </c>
      <c r="L393" s="2205" t="s">
        <v>352</v>
      </c>
      <c r="M393" s="2205" t="s">
        <v>352</v>
      </c>
      <c r="N393" s="2205" t="s">
        <v>352</v>
      </c>
      <c r="O393" s="2205" t="s">
        <v>352</v>
      </c>
      <c r="P393" s="2205" t="s">
        <v>352</v>
      </c>
      <c r="Q393" s="2205" t="s">
        <v>352</v>
      </c>
      <c r="R393" s="2205" t="s">
        <v>352</v>
      </c>
      <c r="S393" s="2205" t="s">
        <v>352</v>
      </c>
      <c r="T393" s="2205" t="s">
        <v>352</v>
      </c>
      <c r="U393" s="2205" t="s">
        <v>658</v>
      </c>
      <c r="V393" s="2205" t="s">
        <v>658</v>
      </c>
      <c r="W393" s="2205" t="s">
        <v>658</v>
      </c>
      <c r="X393" t="s">
        <v>658</v>
      </c>
      <c r="Z393" s="2205"/>
      <c r="AA393" s="2223"/>
      <c r="AB393" s="2223"/>
      <c r="AC393" s="1447"/>
      <c r="AD393" s="1447"/>
      <c r="AE393" s="1447"/>
      <c r="AF393" t="s">
        <v>658</v>
      </c>
      <c r="AI393" s="3080"/>
      <c r="AK393" s="2214"/>
      <c r="AL393" s="2205"/>
    </row>
    <row r="394" spans="1:38" ht="15">
      <c r="A394" s="2205" t="s">
        <v>353</v>
      </c>
      <c r="B394" s="2205"/>
      <c r="C394" s="2205"/>
      <c r="D394" s="2205"/>
      <c r="E394" s="2205"/>
      <c r="F394" s="2205"/>
      <c r="G394" s="2205"/>
      <c r="H394" s="2205" t="s">
        <v>354</v>
      </c>
      <c r="I394" s="2205" t="s">
        <v>354</v>
      </c>
      <c r="J394" s="2205"/>
      <c r="K394" s="2205" t="s">
        <v>354</v>
      </c>
      <c r="L394" s="2205" t="s">
        <v>623</v>
      </c>
      <c r="M394" s="2205" t="s">
        <v>623</v>
      </c>
      <c r="N394" s="2205" t="s">
        <v>354</v>
      </c>
      <c r="O394" s="2205" t="s">
        <v>354</v>
      </c>
      <c r="P394" s="2205" t="s">
        <v>354</v>
      </c>
      <c r="Q394" s="2205" t="s">
        <v>354</v>
      </c>
      <c r="R394" s="2205" t="s">
        <v>844</v>
      </c>
      <c r="S394" s="2205" t="s">
        <v>354</v>
      </c>
      <c r="T394" s="2205" t="s">
        <v>354</v>
      </c>
      <c r="U394" s="2205" t="s">
        <v>354</v>
      </c>
      <c r="V394" s="2205" t="s">
        <v>354</v>
      </c>
      <c r="W394" s="2205" t="s">
        <v>354</v>
      </c>
      <c r="X394" t="s">
        <v>1363</v>
      </c>
      <c r="Z394" s="2205"/>
      <c r="AA394" s="2223"/>
      <c r="AB394" s="2223"/>
      <c r="AC394" s="1447"/>
      <c r="AD394" s="1447"/>
      <c r="AE394" s="1447"/>
      <c r="AF394" t="s">
        <v>354</v>
      </c>
      <c r="AI394" s="3080"/>
      <c r="AK394" s="2214"/>
      <c r="AL394" s="2205"/>
    </row>
    <row r="395" spans="1:38" ht="15">
      <c r="A395" s="2335" t="s">
        <v>375</v>
      </c>
      <c r="B395" s="2208">
        <v>17.978999999999999</v>
      </c>
      <c r="C395" s="2208">
        <v>43.893999999999998</v>
      </c>
      <c r="D395" s="2208">
        <v>192.77500000000001</v>
      </c>
      <c r="E395" s="2208">
        <v>343.89338122300001</v>
      </c>
      <c r="F395" s="2208">
        <v>609.29857726499995</v>
      </c>
      <c r="G395" s="2208">
        <v>1028.9853077350001</v>
      </c>
      <c r="H395" s="2208">
        <v>1240.085369808</v>
      </c>
      <c r="I395" s="2208">
        <v>1697.522452018</v>
      </c>
      <c r="J395" s="2208">
        <v>2023.1931464439999</v>
      </c>
      <c r="K395" s="2208">
        <v>2501.5429761209998</v>
      </c>
      <c r="L395" s="2208">
        <v>2406.5606092839998</v>
      </c>
      <c r="M395" s="2208">
        <v>2515.6299922120002</v>
      </c>
      <c r="N395" s="2208">
        <v>2459.2242020369999</v>
      </c>
      <c r="O395" s="2208">
        <v>2851.1488277210001</v>
      </c>
      <c r="P395" s="2208">
        <v>3013.8986662409998</v>
      </c>
      <c r="Q395" s="2208">
        <v>4255.117777507</v>
      </c>
      <c r="R395" s="2208">
        <v>3857.602555206</v>
      </c>
      <c r="S395" s="2208">
        <v>4664.5305117059997</v>
      </c>
      <c r="T395" s="2208">
        <v>5263.4566299669996</v>
      </c>
      <c r="U395" s="2208">
        <v>6337.2064409579998</v>
      </c>
      <c r="V395" s="2208">
        <v>7662.2829598799999</v>
      </c>
      <c r="W395" s="2228">
        <v>9203.0060985700002</v>
      </c>
      <c r="X395" s="2228">
        <v>11069.67</v>
      </c>
      <c r="Y395" s="2228">
        <v>13038.87</v>
      </c>
      <c r="Z395" s="2208"/>
      <c r="AA395" s="2195">
        <v>2120.6436470980002</v>
      </c>
      <c r="AB395" s="2195">
        <v>2218.1326333470001</v>
      </c>
      <c r="AC395" s="2195">
        <v>2429.150459859</v>
      </c>
      <c r="AD395" s="2195">
        <v>2435.0927995910001</v>
      </c>
      <c r="AE395" s="2195">
        <v>2533.582054552</v>
      </c>
      <c r="AF395" s="1972">
        <v>2668.9685518239999</v>
      </c>
      <c r="AG395" s="1972">
        <v>2908.6206333740001</v>
      </c>
      <c r="AH395" s="1972">
        <v>2958.5</v>
      </c>
      <c r="AI395" s="3081">
        <v>3024.6935108490002</v>
      </c>
      <c r="AJ395" s="1972">
        <v>3141.0032616349999</v>
      </c>
      <c r="AL395" s="2208">
        <v>4338.7762804450003</v>
      </c>
    </row>
    <row r="396" spans="1:38" ht="15">
      <c r="A396" s="2335" t="s">
        <v>376</v>
      </c>
      <c r="B396" s="2208">
        <v>12.615</v>
      </c>
      <c r="C396" s="2208">
        <v>18.376999999999999</v>
      </c>
      <c r="D396" s="2208">
        <v>29.478999999999999</v>
      </c>
      <c r="E396" s="2208">
        <v>53.816820923000002</v>
      </c>
      <c r="F396" s="2208">
        <v>106.819175194</v>
      </c>
      <c r="G396" s="2208">
        <v>170.933484994</v>
      </c>
      <c r="H396" s="2208">
        <v>239.579866501</v>
      </c>
      <c r="I396" s="2208">
        <v>304.18126910199999</v>
      </c>
      <c r="J396" s="2208">
        <v>329.40599999300002</v>
      </c>
      <c r="K396" s="2208">
        <v>375.95668415400002</v>
      </c>
      <c r="L396" s="2208">
        <v>399.55979001999998</v>
      </c>
      <c r="M396" s="2208">
        <v>442.985954392</v>
      </c>
      <c r="N396" s="2208">
        <v>547.27364608599999</v>
      </c>
      <c r="O396" s="2208">
        <v>732.880119304</v>
      </c>
      <c r="P396" s="2208">
        <v>933.43967711599998</v>
      </c>
      <c r="Q396" s="2208">
        <v>1039.4167683420001</v>
      </c>
      <c r="R396" s="2208">
        <v>1164.692003074</v>
      </c>
      <c r="S396" s="2208">
        <v>1354.613458881</v>
      </c>
      <c r="T396" s="2208">
        <v>1490.607476892</v>
      </c>
      <c r="U396" s="2208">
        <v>1643.9156853320001</v>
      </c>
      <c r="V396" s="2208">
        <v>1833.0644991280001</v>
      </c>
      <c r="W396" s="2228">
        <v>2286.514158688</v>
      </c>
      <c r="X396" s="2228">
        <v>2535.3000000000002</v>
      </c>
      <c r="Y396" s="2228">
        <v>2899.52</v>
      </c>
      <c r="Z396" s="2208"/>
      <c r="AA396" s="2195">
        <v>510.01647462900002</v>
      </c>
      <c r="AB396" s="2195">
        <v>542.360320548</v>
      </c>
      <c r="AC396" s="2195">
        <v>557.52759501699995</v>
      </c>
      <c r="AD396" s="2195">
        <v>676.67833846300005</v>
      </c>
      <c r="AE396" s="2195">
        <v>617.37434052599997</v>
      </c>
      <c r="AF396" s="1972">
        <v>630.34971223599996</v>
      </c>
      <c r="AG396" s="1972">
        <v>644.26730424200002</v>
      </c>
      <c r="AH396" s="1972">
        <v>643.30999999999995</v>
      </c>
      <c r="AI396" s="3081">
        <v>644.02312164600005</v>
      </c>
      <c r="AJ396" s="1972">
        <v>721.99490260599998</v>
      </c>
      <c r="AL396" s="2208">
        <v>1052.3767951770001</v>
      </c>
    </row>
    <row r="397" spans="1:38" ht="15">
      <c r="A397" s="2205" t="s">
        <v>377</v>
      </c>
      <c r="B397" s="2199">
        <v>0</v>
      </c>
      <c r="C397" s="2199">
        <v>0</v>
      </c>
      <c r="D397" s="2199">
        <v>0</v>
      </c>
      <c r="E397" s="2199">
        <v>0</v>
      </c>
      <c r="F397" s="2199">
        <v>0</v>
      </c>
      <c r="G397" s="2199">
        <v>0</v>
      </c>
      <c r="H397" s="2199">
        <v>0</v>
      </c>
      <c r="I397" s="2199">
        <v>0</v>
      </c>
      <c r="J397" s="2199">
        <v>0</v>
      </c>
      <c r="K397" s="2199">
        <v>0</v>
      </c>
      <c r="L397" s="2199">
        <v>0</v>
      </c>
      <c r="M397" s="2199">
        <v>0</v>
      </c>
      <c r="N397" s="2199">
        <v>0</v>
      </c>
      <c r="O397" s="2199">
        <v>0</v>
      </c>
      <c r="P397" s="2199">
        <v>0</v>
      </c>
      <c r="Q397" s="2199">
        <v>0</v>
      </c>
      <c r="R397" s="2199">
        <v>0</v>
      </c>
      <c r="S397" s="2199">
        <v>0</v>
      </c>
      <c r="T397" s="2199">
        <v>0</v>
      </c>
      <c r="U397" s="2199">
        <v>0</v>
      </c>
      <c r="V397" s="2199">
        <v>0</v>
      </c>
      <c r="W397" s="2195">
        <v>0</v>
      </c>
      <c r="X397">
        <v>0</v>
      </c>
      <c r="Y397">
        <v>0</v>
      </c>
      <c r="Z397" s="2199"/>
      <c r="AA397" s="2195">
        <v>0</v>
      </c>
      <c r="AB397" s="2195">
        <v>0</v>
      </c>
      <c r="AC397" s="2195">
        <v>0</v>
      </c>
      <c r="AD397" s="2195">
        <v>0</v>
      </c>
      <c r="AE397" s="2195">
        <v>0</v>
      </c>
      <c r="AF397" s="1972">
        <v>0</v>
      </c>
      <c r="AG397" s="1972">
        <v>0</v>
      </c>
      <c r="AH397" s="1972">
        <v>0</v>
      </c>
      <c r="AI397" s="3081">
        <v>0</v>
      </c>
      <c r="AJ397" s="1972">
        <v>0</v>
      </c>
      <c r="AK397" s="2214"/>
      <c r="AL397" s="2199">
        <v>0</v>
      </c>
    </row>
    <row r="398" spans="1:38" ht="15">
      <c r="A398" s="2205" t="s">
        <v>378</v>
      </c>
      <c r="B398" s="2199">
        <v>0</v>
      </c>
      <c r="C398" s="2199">
        <v>0</v>
      </c>
      <c r="D398" s="2199">
        <v>0.36299999999999999</v>
      </c>
      <c r="E398" s="2199">
        <v>0.36345463500000003</v>
      </c>
      <c r="F398" s="2199">
        <v>-0.70843926999999995</v>
      </c>
      <c r="G398" s="2199">
        <v>10.452830283999999</v>
      </c>
      <c r="H398" s="2199">
        <v>12.782651645</v>
      </c>
      <c r="I398" s="2199">
        <v>35.592523489000001</v>
      </c>
      <c r="J398" s="2199">
        <v>20.246387805000001</v>
      </c>
      <c r="K398" s="2199">
        <v>59.937938862999999</v>
      </c>
      <c r="L398" s="2199">
        <v>242.249402527</v>
      </c>
      <c r="M398" s="2199">
        <v>71.929294278</v>
      </c>
      <c r="N398" s="2199">
        <v>85.434608560000001</v>
      </c>
      <c r="O398" s="2199">
        <v>94.014920102999994</v>
      </c>
      <c r="P398" s="2199">
        <v>110.59834284199999</v>
      </c>
      <c r="Q398" s="2199">
        <v>184.56826673899999</v>
      </c>
      <c r="R398" s="2199">
        <v>120.544469503</v>
      </c>
      <c r="S398" s="2199">
        <v>287.78575501500001</v>
      </c>
      <c r="T398" s="2199">
        <v>313.85113848600002</v>
      </c>
      <c r="U398" s="2199">
        <v>352.20792415400001</v>
      </c>
      <c r="V398" s="2199">
        <v>880.25374025199994</v>
      </c>
      <c r="W398" s="2195">
        <v>677.92874905300005</v>
      </c>
      <c r="X398" s="1972">
        <v>1148.95</v>
      </c>
      <c r="Y398" s="1972">
        <v>630.21</v>
      </c>
      <c r="Z398" s="2199"/>
      <c r="AA398" s="2195">
        <v>127.203042533</v>
      </c>
      <c r="AB398" s="2195">
        <v>8.8790636149999997</v>
      </c>
      <c r="AC398" s="2195">
        <v>15.169771232</v>
      </c>
      <c r="AD398" s="2195">
        <v>470.73540091699999</v>
      </c>
      <c r="AE398" s="2195">
        <v>81.105147751999993</v>
      </c>
      <c r="AF398" s="1972">
        <v>14.203632656</v>
      </c>
      <c r="AG398" s="1972">
        <v>184.62509654999999</v>
      </c>
      <c r="AH398" s="1972">
        <v>869.02</v>
      </c>
      <c r="AI398" s="3081">
        <v>85.128981265999997</v>
      </c>
      <c r="AJ398" s="1972">
        <v>57.938863081999997</v>
      </c>
      <c r="AK398" s="2214"/>
      <c r="AL398" s="2199">
        <v>136.08210614800001</v>
      </c>
    </row>
    <row r="399" spans="1:38" ht="15">
      <c r="A399" s="2205" t="s">
        <v>379</v>
      </c>
      <c r="B399" s="2199">
        <v>0</v>
      </c>
      <c r="C399" s="2199">
        <v>0</v>
      </c>
      <c r="D399" s="2199">
        <v>0</v>
      </c>
      <c r="E399" s="2199">
        <v>0</v>
      </c>
      <c r="F399" s="2199">
        <v>0</v>
      </c>
      <c r="G399" s="2199">
        <v>-1.013877186</v>
      </c>
      <c r="H399" s="2199">
        <v>6.0501735170000002</v>
      </c>
      <c r="I399" s="2199">
        <v>4.2752273599999997</v>
      </c>
      <c r="J399" s="2199">
        <v>6.7640521089999996</v>
      </c>
      <c r="K399" s="2199">
        <v>0.40946751399999998</v>
      </c>
      <c r="L399" s="2199">
        <v>8.5657606079999997</v>
      </c>
      <c r="M399" s="2199">
        <v>-38.741379234999997</v>
      </c>
      <c r="N399" s="2199">
        <v>-16.872163836999999</v>
      </c>
      <c r="O399" s="2199">
        <v>-3.154674532</v>
      </c>
      <c r="P399" s="2199">
        <v>16.019559187999999</v>
      </c>
      <c r="Q399" s="2199">
        <v>-18.951655934000001</v>
      </c>
      <c r="R399" s="2199">
        <v>18.627355032000001</v>
      </c>
      <c r="S399" s="2199">
        <v>9.5254074160000002</v>
      </c>
      <c r="T399" s="2199">
        <v>-3.3867210590000001</v>
      </c>
      <c r="U399" s="2199">
        <v>-63.913432667999999</v>
      </c>
      <c r="V399" s="2199">
        <v>7.6528470769999997</v>
      </c>
      <c r="W399" s="2195">
        <v>-34.070358210999999</v>
      </c>
      <c r="X399">
        <v>46.31</v>
      </c>
      <c r="Y399">
        <v>-27.61</v>
      </c>
      <c r="Z399" s="2199"/>
      <c r="AA399" s="2195">
        <v>9.0899967559999997</v>
      </c>
      <c r="AB399" s="2195">
        <v>-100.96235308</v>
      </c>
      <c r="AC399" s="2195">
        <v>126.189249999</v>
      </c>
      <c r="AD399" s="2195">
        <v>-68.387251886000001</v>
      </c>
      <c r="AE399" s="2195">
        <v>-22.556832505999999</v>
      </c>
      <c r="AF399" s="1972">
        <v>-42.817780646000003</v>
      </c>
      <c r="AG399" s="1972">
        <v>181.991482518</v>
      </c>
      <c r="AH399" s="1972">
        <v>-70.31</v>
      </c>
      <c r="AI399" s="3081">
        <v>-71.839057689000001</v>
      </c>
      <c r="AJ399" s="1972">
        <v>-64.717262394000002</v>
      </c>
      <c r="AK399" s="2214"/>
      <c r="AL399" s="2332">
        <v>-91.872356323999995</v>
      </c>
    </row>
    <row r="400" spans="1:38" ht="15">
      <c r="A400" s="2205" t="s">
        <v>380</v>
      </c>
      <c r="B400" s="2199">
        <v>0</v>
      </c>
      <c r="C400" s="2199">
        <v>0</v>
      </c>
      <c r="D400" s="2199">
        <v>0</v>
      </c>
      <c r="E400" s="2199">
        <v>0.69531406600000001</v>
      </c>
      <c r="F400" s="2199">
        <v>-0.65147271100000004</v>
      </c>
      <c r="G400" s="2199">
        <v>-3.0208585779999999</v>
      </c>
      <c r="H400" s="2199">
        <v>-17.140243329</v>
      </c>
      <c r="I400" s="2199">
        <v>0</v>
      </c>
      <c r="J400" s="2199">
        <v>0</v>
      </c>
      <c r="K400" s="2199">
        <v>0</v>
      </c>
      <c r="L400" s="2199">
        <v>-23.922459581999998</v>
      </c>
      <c r="M400" s="2199">
        <v>0</v>
      </c>
      <c r="N400" s="2199">
        <v>0</v>
      </c>
      <c r="O400" s="2199">
        <v>0</v>
      </c>
      <c r="P400" s="2199">
        <v>0</v>
      </c>
      <c r="Q400" s="2199">
        <v>0</v>
      </c>
      <c r="R400" s="2199">
        <v>0</v>
      </c>
      <c r="S400" s="2199">
        <v>0</v>
      </c>
      <c r="T400" s="2199">
        <v>0</v>
      </c>
      <c r="U400" s="2199">
        <v>0</v>
      </c>
      <c r="V400" s="2199">
        <v>0</v>
      </c>
      <c r="W400" s="2195">
        <v>0</v>
      </c>
      <c r="X400">
        <v>0</v>
      </c>
      <c r="Y400">
        <v>0</v>
      </c>
      <c r="Z400" s="2199"/>
      <c r="AA400" s="2195">
        <v>0</v>
      </c>
      <c r="AB400" s="2195">
        <v>0</v>
      </c>
      <c r="AC400" s="2195">
        <v>0</v>
      </c>
      <c r="AD400" s="2195">
        <v>0</v>
      </c>
      <c r="AE400" s="2195">
        <v>0</v>
      </c>
      <c r="AF400" s="1972">
        <v>0</v>
      </c>
      <c r="AG400" s="1972">
        <v>0</v>
      </c>
      <c r="AH400" s="1972">
        <v>0</v>
      </c>
      <c r="AI400" s="3081">
        <v>0</v>
      </c>
      <c r="AJ400" s="1972">
        <v>0</v>
      </c>
      <c r="AK400" s="2214"/>
      <c r="AL400" s="2199">
        <v>0</v>
      </c>
    </row>
    <row r="401" spans="1:38" ht="15">
      <c r="A401" s="2205" t="s">
        <v>381</v>
      </c>
      <c r="B401" s="2199">
        <v>0</v>
      </c>
      <c r="C401" s="2199">
        <v>0</v>
      </c>
      <c r="D401" s="2199">
        <v>-2.3660000000000001</v>
      </c>
      <c r="E401" s="2199">
        <v>0</v>
      </c>
      <c r="F401" s="2199">
        <v>0</v>
      </c>
      <c r="G401" s="2199">
        <v>-2.6868338230000002</v>
      </c>
      <c r="H401" s="2199">
        <v>43.531337289</v>
      </c>
      <c r="I401" s="2199">
        <v>-128.456186352</v>
      </c>
      <c r="J401" s="2199">
        <v>-542.47501996100004</v>
      </c>
      <c r="K401" s="2199">
        <v>-325.930804228</v>
      </c>
      <c r="L401" s="2199">
        <v>-606.14818438199995</v>
      </c>
      <c r="M401" s="2199">
        <v>-402.79558377699999</v>
      </c>
      <c r="N401" s="2199">
        <v>-405.69753089199997</v>
      </c>
      <c r="O401" s="2199">
        <v>-318.81298394999999</v>
      </c>
      <c r="P401" s="2199">
        <v>-351.18131518600001</v>
      </c>
      <c r="Q401" s="2199">
        <v>-1330.9540223209999</v>
      </c>
      <c r="R401" s="2199">
        <v>-761.304152101</v>
      </c>
      <c r="S401" s="2199">
        <v>-903.44140480099998</v>
      </c>
      <c r="T401" s="2199">
        <v>-1039.6178564009999</v>
      </c>
      <c r="U401" s="2199">
        <v>-1700.489438802</v>
      </c>
      <c r="V401" s="2199">
        <v>-1986.7156851469999</v>
      </c>
      <c r="W401" s="2195">
        <v>-1976.2683554820001</v>
      </c>
      <c r="X401" s="1972">
        <v>-1725.02</v>
      </c>
      <c r="Y401" s="1972">
        <v>-2575.85</v>
      </c>
      <c r="Z401" s="2199"/>
      <c r="AA401" s="2195">
        <v>-640.24626349699997</v>
      </c>
      <c r="AB401" s="2195">
        <v>-388.3697535</v>
      </c>
      <c r="AC401" s="2195">
        <v>-544.69863318299997</v>
      </c>
      <c r="AD401" s="2195">
        <v>-436.65796365</v>
      </c>
      <c r="AE401" s="2195">
        <v>-337.55339759200001</v>
      </c>
      <c r="AF401" s="1972">
        <v>-419.95597314399998</v>
      </c>
      <c r="AG401" s="1972">
        <v>-456.70252847199998</v>
      </c>
      <c r="AH401" s="1972">
        <v>-510.81</v>
      </c>
      <c r="AI401" s="3081">
        <v>-490.145755006</v>
      </c>
      <c r="AJ401" s="1972">
        <v>-749.58326199999999</v>
      </c>
      <c r="AK401" s="2214"/>
      <c r="AL401" s="2332">
        <v>-1028.6160169969999</v>
      </c>
    </row>
    <row r="402" spans="1:38" ht="15">
      <c r="A402" s="2205" t="s">
        <v>382</v>
      </c>
      <c r="B402" s="2199">
        <v>8.9280000000000008</v>
      </c>
      <c r="C402" s="2199">
        <v>12.867000000000001</v>
      </c>
      <c r="D402" s="2199">
        <v>21.815999999999999</v>
      </c>
      <c r="E402" s="2199">
        <v>31.914976159999998</v>
      </c>
      <c r="F402" s="2199">
        <v>57.960675488</v>
      </c>
      <c r="G402" s="2199">
        <v>42.955516406999998</v>
      </c>
      <c r="H402" s="2199">
        <v>80.487827504999998</v>
      </c>
      <c r="I402" s="2199">
        <v>109.698561121</v>
      </c>
      <c r="J402" s="2199">
        <v>238.14774013100001</v>
      </c>
      <c r="K402" s="2199">
        <v>249.50089016499999</v>
      </c>
      <c r="L402" s="2199">
        <v>228.65864086400001</v>
      </c>
      <c r="M402" s="2199">
        <v>132.49117282200001</v>
      </c>
      <c r="N402" s="2199">
        <v>166.16528720400001</v>
      </c>
      <c r="O402" s="2199">
        <v>262.502327611</v>
      </c>
      <c r="P402" s="2199">
        <v>374.18607880000002</v>
      </c>
      <c r="Q402" s="2199">
        <v>368.54567954800001</v>
      </c>
      <c r="R402" s="2199">
        <v>238.34443174699999</v>
      </c>
      <c r="S402" s="2199">
        <v>358.98753745200003</v>
      </c>
      <c r="T402" s="2199">
        <v>385.33775489599998</v>
      </c>
      <c r="U402" s="2199">
        <v>483.995846804</v>
      </c>
      <c r="V402" s="2199">
        <v>645.72555630800002</v>
      </c>
      <c r="W402" s="2195">
        <v>832.64861126100004</v>
      </c>
      <c r="X402">
        <v>551.64</v>
      </c>
      <c r="Y402">
        <v>809.76</v>
      </c>
      <c r="Z402" s="2199"/>
      <c r="AA402" s="2195">
        <v>147.98566827400001</v>
      </c>
      <c r="AB402" s="2195">
        <v>212.36400535999999</v>
      </c>
      <c r="AC402" s="2195">
        <v>265.654864395</v>
      </c>
      <c r="AD402" s="2195">
        <v>206.64407323200001</v>
      </c>
      <c r="AE402" s="2195">
        <v>137.833720086</v>
      </c>
      <c r="AF402" s="1972">
        <v>150.125422101</v>
      </c>
      <c r="AG402" s="1972">
        <v>128.82595060099999</v>
      </c>
      <c r="AH402" s="1972">
        <v>134.85</v>
      </c>
      <c r="AI402" s="3081">
        <v>152.38953833299999</v>
      </c>
      <c r="AJ402" s="1972">
        <v>216.76129570500001</v>
      </c>
      <c r="AK402" s="2214"/>
      <c r="AL402" s="2199">
        <v>360.349673634</v>
      </c>
    </row>
    <row r="403" spans="1:38" ht="15">
      <c r="A403" s="2205" t="s">
        <v>383</v>
      </c>
      <c r="B403" s="2199">
        <v>0</v>
      </c>
      <c r="C403" s="2199">
        <v>0</v>
      </c>
      <c r="D403" s="2199">
        <v>0</v>
      </c>
      <c r="E403" s="2199">
        <v>0</v>
      </c>
      <c r="F403" s="2199">
        <v>0</v>
      </c>
      <c r="G403" s="2199">
        <v>0</v>
      </c>
      <c r="H403" s="2199">
        <v>0</v>
      </c>
      <c r="I403" s="2199">
        <v>0</v>
      </c>
      <c r="J403" s="2199">
        <v>0</v>
      </c>
      <c r="K403" s="2199">
        <v>0</v>
      </c>
      <c r="L403" s="2199">
        <v>0</v>
      </c>
      <c r="M403" s="2199">
        <v>0</v>
      </c>
      <c r="N403" s="2199">
        <v>0</v>
      </c>
      <c r="O403" s="2199">
        <v>0</v>
      </c>
      <c r="P403" s="2199">
        <v>0</v>
      </c>
      <c r="Q403" s="2199">
        <v>0</v>
      </c>
      <c r="R403" s="2199">
        <v>0</v>
      </c>
      <c r="S403" s="2199">
        <v>0</v>
      </c>
      <c r="T403" s="2199">
        <v>0</v>
      </c>
      <c r="U403" s="2199">
        <v>0</v>
      </c>
      <c r="V403" s="2199">
        <v>0</v>
      </c>
      <c r="W403" s="2195">
        <v>0</v>
      </c>
      <c r="X403">
        <v>0</v>
      </c>
      <c r="Y403">
        <v>0</v>
      </c>
      <c r="Z403" s="2199"/>
      <c r="AA403" s="2195">
        <v>0</v>
      </c>
      <c r="AB403" s="2195">
        <v>0</v>
      </c>
      <c r="AC403" s="2195">
        <v>0</v>
      </c>
      <c r="AD403" s="2195">
        <v>0</v>
      </c>
      <c r="AE403" s="2195">
        <v>0</v>
      </c>
      <c r="AF403" s="1972">
        <v>0</v>
      </c>
      <c r="AG403" s="1972">
        <v>0</v>
      </c>
      <c r="AH403" s="1972">
        <v>0</v>
      </c>
      <c r="AI403" s="3081">
        <v>0</v>
      </c>
      <c r="AJ403" s="1972">
        <v>0</v>
      </c>
      <c r="AK403" s="2214"/>
      <c r="AL403" s="2199">
        <v>0</v>
      </c>
    </row>
    <row r="404" spans="1:38" ht="15">
      <c r="A404" s="2205" t="s">
        <v>384</v>
      </c>
      <c r="B404" s="2199">
        <v>0</v>
      </c>
      <c r="C404" s="2199">
        <v>0</v>
      </c>
      <c r="D404" s="2199">
        <v>0</v>
      </c>
      <c r="E404" s="2199">
        <v>0</v>
      </c>
      <c r="F404" s="2199">
        <v>0</v>
      </c>
      <c r="G404" s="2199">
        <v>0</v>
      </c>
      <c r="H404" s="2199">
        <v>0</v>
      </c>
      <c r="I404" s="2199">
        <v>0</v>
      </c>
      <c r="J404" s="2199">
        <v>0</v>
      </c>
      <c r="K404" s="2199">
        <v>0</v>
      </c>
      <c r="L404" s="2199">
        <v>0</v>
      </c>
      <c r="M404" s="2199">
        <v>0</v>
      </c>
      <c r="N404" s="2199">
        <v>0</v>
      </c>
      <c r="O404" s="2199">
        <v>0</v>
      </c>
      <c r="P404" s="2199">
        <v>0</v>
      </c>
      <c r="Q404" s="2199">
        <v>0</v>
      </c>
      <c r="R404" s="2199">
        <v>0</v>
      </c>
      <c r="S404" s="2199">
        <v>0</v>
      </c>
      <c r="T404" s="2199">
        <v>0</v>
      </c>
      <c r="U404" s="2199">
        <v>0</v>
      </c>
      <c r="V404" s="2199">
        <v>0</v>
      </c>
      <c r="W404" s="2195">
        <v>0</v>
      </c>
      <c r="X404">
        <v>0</v>
      </c>
      <c r="Y404">
        <v>0</v>
      </c>
      <c r="Z404" s="2199"/>
      <c r="AA404" s="2195">
        <v>0</v>
      </c>
      <c r="AB404" s="2195">
        <v>0</v>
      </c>
      <c r="AC404" s="2195">
        <v>0</v>
      </c>
      <c r="AD404" s="2195">
        <v>0</v>
      </c>
      <c r="AE404" s="2195">
        <v>0</v>
      </c>
      <c r="AF404" s="1972">
        <v>0</v>
      </c>
      <c r="AG404" s="1972">
        <v>0</v>
      </c>
      <c r="AH404" s="1972">
        <v>0</v>
      </c>
      <c r="AI404" s="3081">
        <v>0</v>
      </c>
      <c r="AJ404" s="1972">
        <v>0</v>
      </c>
      <c r="AK404" s="2214"/>
      <c r="AL404" s="2199">
        <v>0</v>
      </c>
    </row>
    <row r="405" spans="1:38" ht="15">
      <c r="A405" s="2336" t="s">
        <v>385</v>
      </c>
      <c r="B405" s="2208">
        <v>39.521999999999998</v>
      </c>
      <c r="C405" s="2208">
        <v>75.138000000000005</v>
      </c>
      <c r="D405" s="2208">
        <v>242.06700000000001</v>
      </c>
      <c r="E405" s="2208">
        <v>430.68394700699997</v>
      </c>
      <c r="F405" s="2208">
        <v>772.71851596600004</v>
      </c>
      <c r="G405" s="2208">
        <v>1246.6055698329999</v>
      </c>
      <c r="H405" s="2208">
        <v>1605.3769829360001</v>
      </c>
      <c r="I405" s="2208">
        <v>2022.8138467379999</v>
      </c>
      <c r="J405" s="2208">
        <v>2075.282306521</v>
      </c>
      <c r="K405" s="2208">
        <v>2861.4171525890001</v>
      </c>
      <c r="L405" s="2208">
        <v>2655.5235593389998</v>
      </c>
      <c r="M405" s="2208">
        <v>2721.4994506920002</v>
      </c>
      <c r="N405" s="2208">
        <v>2835.5280491580002</v>
      </c>
      <c r="O405" s="2208">
        <v>3618.578536257</v>
      </c>
      <c r="P405" s="2208">
        <v>4096.9610090010001</v>
      </c>
      <c r="Q405" s="2208">
        <v>4497.7428138810001</v>
      </c>
      <c r="R405" s="2208">
        <v>4638.5066624609999</v>
      </c>
      <c r="S405" s="2208">
        <v>5772.0012656689996</v>
      </c>
      <c r="T405" s="2208">
        <v>6410.248422781</v>
      </c>
      <c r="U405" s="2208">
        <v>7052.923025778</v>
      </c>
      <c r="V405" s="2208">
        <v>9042.2639174979995</v>
      </c>
      <c r="W405" s="2215">
        <v>10989.758903878999</v>
      </c>
      <c r="X405" s="2228">
        <v>13626.84</v>
      </c>
      <c r="Y405" s="2228">
        <v>14774.9</v>
      </c>
      <c r="Z405" s="2208"/>
      <c r="AA405" s="2195">
        <v>2274.6925657930001</v>
      </c>
      <c r="AB405" s="2195">
        <v>2492.4039162899999</v>
      </c>
      <c r="AC405" s="2215">
        <v>2848.993307319</v>
      </c>
      <c r="AD405" s="2215">
        <v>3284.1053966670002</v>
      </c>
      <c r="AE405" s="2215">
        <v>3009.7850328180002</v>
      </c>
      <c r="AF405" s="3079">
        <v>3000.873565027</v>
      </c>
      <c r="AG405" s="3079">
        <v>3591.6279388130001</v>
      </c>
      <c r="AH405" s="3079">
        <v>4024.56</v>
      </c>
      <c r="AI405" s="3082">
        <v>3344.250339399</v>
      </c>
      <c r="AJ405" s="3079">
        <v>3323.3977986340001</v>
      </c>
      <c r="AL405" s="2208">
        <v>4767.0964820829995</v>
      </c>
    </row>
    <row r="406" spans="1:38" ht="15">
      <c r="A406" s="2205" t="s">
        <v>386</v>
      </c>
      <c r="B406" s="2199">
        <v>-97.823999999999998</v>
      </c>
      <c r="C406" s="2199">
        <v>-343.80099999999999</v>
      </c>
      <c r="D406" s="2199">
        <v>-135.10599999999999</v>
      </c>
      <c r="E406" s="2199">
        <v>-451.92608697899999</v>
      </c>
      <c r="F406" s="2199">
        <v>-581.09572892300002</v>
      </c>
      <c r="G406" s="2199">
        <v>-193.51751837899999</v>
      </c>
      <c r="H406" s="2199">
        <v>-180.373800109</v>
      </c>
      <c r="I406" s="2199">
        <v>-554.81430464799996</v>
      </c>
      <c r="J406" s="2199">
        <v>-538.51430472499999</v>
      </c>
      <c r="K406" s="2199">
        <v>-290.78055805700001</v>
      </c>
      <c r="L406" s="2199">
        <v>105.22393385700001</v>
      </c>
      <c r="M406" s="2199">
        <v>-686.58788532899996</v>
      </c>
      <c r="N406" s="2199">
        <v>-680.60048902899996</v>
      </c>
      <c r="O406" s="2199">
        <v>-863.521059691</v>
      </c>
      <c r="P406" s="2199">
        <v>-514.70014402599998</v>
      </c>
      <c r="Q406" s="2199">
        <v>-2311.600942433</v>
      </c>
      <c r="R406" s="2199">
        <v>-159.34447286700001</v>
      </c>
      <c r="S406" s="2199">
        <v>-481.20292128199998</v>
      </c>
      <c r="T406" s="2199">
        <v>311.57147517200002</v>
      </c>
      <c r="U406" s="2199">
        <v>-693.50320010600001</v>
      </c>
      <c r="V406" s="2199">
        <v>-1949.0233272959999</v>
      </c>
      <c r="W406" s="2195">
        <v>-1163.209212196</v>
      </c>
      <c r="X406" s="1972">
        <v>-1913.66</v>
      </c>
      <c r="Y406" s="1972">
        <v>-2814.39</v>
      </c>
      <c r="Z406" s="2199"/>
      <c r="AA406" s="2195">
        <v>-149.759558922</v>
      </c>
      <c r="AB406" s="2195">
        <v>104.999784601</v>
      </c>
      <c r="AC406" s="2195">
        <v>-926.27112555600002</v>
      </c>
      <c r="AD406" s="2195">
        <v>-60.812532941000001</v>
      </c>
      <c r="AE406" s="2195">
        <v>-167.45355076199999</v>
      </c>
      <c r="AF406" s="1972">
        <v>-926.81087279200005</v>
      </c>
      <c r="AG406" s="1972">
        <v>-1241.6122608549999</v>
      </c>
      <c r="AH406" s="1972">
        <v>422.21</v>
      </c>
      <c r="AI406" s="3081">
        <v>-595.41233941799999</v>
      </c>
      <c r="AJ406" s="1972">
        <v>-639.69671093500006</v>
      </c>
      <c r="AK406" s="2214"/>
      <c r="AL406" s="2199">
        <v>-44.759774320999995</v>
      </c>
    </row>
    <row r="407" spans="1:38" ht="15">
      <c r="A407" s="2205" t="s">
        <v>387</v>
      </c>
      <c r="B407" s="2199">
        <v>-34.619</v>
      </c>
      <c r="C407" s="2199">
        <v>-82.575999999999993</v>
      </c>
      <c r="D407" s="2199">
        <v>-148.91499999999999</v>
      </c>
      <c r="E407" s="2199">
        <v>-28.471612065999999</v>
      </c>
      <c r="F407" s="2199">
        <v>-200.18934690099999</v>
      </c>
      <c r="G407" s="2199">
        <v>-875.43147476199999</v>
      </c>
      <c r="H407" s="2199">
        <v>199.22828640399999</v>
      </c>
      <c r="I407" s="2199">
        <v>-203.83699473799999</v>
      </c>
      <c r="J407" s="2199">
        <v>-1025.7446584029999</v>
      </c>
      <c r="K407" s="2199">
        <v>-834.22923285499996</v>
      </c>
      <c r="L407" s="2199">
        <v>584.38172975199996</v>
      </c>
      <c r="M407" s="2199">
        <v>-643.50437209500001</v>
      </c>
      <c r="N407" s="2199">
        <v>-1311.6913687680001</v>
      </c>
      <c r="O407" s="2199">
        <v>-693.09853496100004</v>
      </c>
      <c r="P407" s="2199">
        <v>714.10210163199997</v>
      </c>
      <c r="Q407" s="2199">
        <v>-617.88789621700005</v>
      </c>
      <c r="R407" s="2199">
        <v>-229.10821869</v>
      </c>
      <c r="S407" s="2199">
        <v>256.05882941700003</v>
      </c>
      <c r="T407" s="2199">
        <v>-55.124600921999999</v>
      </c>
      <c r="U407" s="2199">
        <v>-218.23182623899999</v>
      </c>
      <c r="V407" s="2199">
        <v>-497.80271100800002</v>
      </c>
      <c r="W407" s="2195">
        <v>396.16111489100001</v>
      </c>
      <c r="X407">
        <v>-265.27</v>
      </c>
      <c r="Y407">
        <v>-308.49</v>
      </c>
      <c r="Z407" s="2199"/>
      <c r="AA407" s="2195">
        <v>-115.149297662</v>
      </c>
      <c r="AB407" s="2195">
        <v>57.442490329999998</v>
      </c>
      <c r="AC407" s="2195">
        <v>282.38409384300002</v>
      </c>
      <c r="AD407" s="2195">
        <v>171.48382838000001</v>
      </c>
      <c r="AE407" s="2195">
        <v>-271.64102444899999</v>
      </c>
      <c r="AF407" s="1972">
        <v>-24.269860464000001</v>
      </c>
      <c r="AG407" s="1972">
        <v>-173.09314520999999</v>
      </c>
      <c r="AH407" s="1972">
        <v>203.74</v>
      </c>
      <c r="AI407" s="3081">
        <v>-248.64868034599999</v>
      </c>
      <c r="AJ407" s="1972">
        <v>33.156557092</v>
      </c>
      <c r="AK407" s="2214"/>
      <c r="AL407" s="2199">
        <v>-57.706807331999997</v>
      </c>
    </row>
    <row r="408" spans="1:38" ht="15">
      <c r="A408" s="2205" t="s">
        <v>388</v>
      </c>
      <c r="B408" s="2199">
        <v>123.733</v>
      </c>
      <c r="C408" s="2199">
        <v>81.497</v>
      </c>
      <c r="D408" s="2199">
        <v>144.006</v>
      </c>
      <c r="E408" s="2199">
        <v>-33.287547977999999</v>
      </c>
      <c r="F408" s="2199">
        <v>391.81387639799999</v>
      </c>
      <c r="G408" s="2199">
        <v>804.84458466599995</v>
      </c>
      <c r="H408" s="2199">
        <v>160.80513276299999</v>
      </c>
      <c r="I408" s="2199">
        <v>47.849812446000001</v>
      </c>
      <c r="J408" s="2199">
        <v>796.73411254999996</v>
      </c>
      <c r="K408" s="2199">
        <v>974.37057836199995</v>
      </c>
      <c r="L408" s="2199">
        <v>-114.77068192599999</v>
      </c>
      <c r="M408" s="2199">
        <v>617.65872247300001</v>
      </c>
      <c r="N408" s="2199">
        <v>1085.8380523440001</v>
      </c>
      <c r="O408" s="2199">
        <v>395.15877733500002</v>
      </c>
      <c r="P408" s="2199">
        <v>1123.6732420819999</v>
      </c>
      <c r="Q408" s="2199">
        <v>1709.299259291</v>
      </c>
      <c r="R408" s="2199">
        <v>644.98503148999998</v>
      </c>
      <c r="S408" s="2199">
        <v>305.73766800099997</v>
      </c>
      <c r="T408" s="2199">
        <v>1060.519849887</v>
      </c>
      <c r="U408" s="2199">
        <v>1910.0900014490001</v>
      </c>
      <c r="V408" s="2199">
        <v>1299.834862339</v>
      </c>
      <c r="W408" s="2195">
        <v>1380.2557708889999</v>
      </c>
      <c r="X408" s="1972">
        <v>2875.57</v>
      </c>
      <c r="Y408" s="1972">
        <v>2571.04</v>
      </c>
      <c r="Z408" s="2199"/>
      <c r="AA408" s="2195">
        <v>-2621.8589517959999</v>
      </c>
      <c r="AB408" s="2195">
        <v>974.06187633100001</v>
      </c>
      <c r="AC408" s="2195">
        <v>1971.9662309129999</v>
      </c>
      <c r="AD408" s="2195">
        <v>1089.883462715</v>
      </c>
      <c r="AE408" s="2195">
        <v>-1997.629152574</v>
      </c>
      <c r="AF408" s="1972">
        <v>2031.571606019</v>
      </c>
      <c r="AG408" s="1972">
        <v>1662.964903692</v>
      </c>
      <c r="AH408" s="1972">
        <v>1178.6600000000001</v>
      </c>
      <c r="AI408" s="3081">
        <v>-3168.6777979670001</v>
      </c>
      <c r="AJ408" s="1972">
        <v>2317.7409619199998</v>
      </c>
      <c r="AK408" s="2214"/>
      <c r="AL408" s="2199">
        <v>-1647.797075465</v>
      </c>
    </row>
    <row r="409" spans="1:38" ht="15">
      <c r="A409" s="2205" t="s">
        <v>389</v>
      </c>
      <c r="B409" s="2199">
        <v>0</v>
      </c>
      <c r="C409" s="2199">
        <v>0</v>
      </c>
      <c r="D409" s="2199">
        <v>0</v>
      </c>
      <c r="E409" s="2199">
        <v>-27.301778342999999</v>
      </c>
      <c r="F409" s="2199">
        <v>-1.545031381</v>
      </c>
      <c r="G409" s="2199">
        <v>-39.808692475000001</v>
      </c>
      <c r="H409" s="2199">
        <v>8.9088005149999994</v>
      </c>
      <c r="I409" s="2199">
        <v>30.828005594</v>
      </c>
      <c r="J409" s="2199">
        <v>-51.501636947999998</v>
      </c>
      <c r="K409" s="2199">
        <v>-79.826956983000002</v>
      </c>
      <c r="L409" s="2199">
        <v>-137.719628234</v>
      </c>
      <c r="M409" s="2199">
        <v>-64.328286888999997</v>
      </c>
      <c r="N409" s="2199">
        <v>-107.32969137000001</v>
      </c>
      <c r="O409" s="2199">
        <v>-526.45506149699997</v>
      </c>
      <c r="P409" s="2199">
        <v>14.764983297000001</v>
      </c>
      <c r="Q409" s="2199">
        <v>-143.62464018</v>
      </c>
      <c r="R409" s="2199">
        <v>-367.68875943400002</v>
      </c>
      <c r="S409" s="2199">
        <v>-686.54436825100004</v>
      </c>
      <c r="T409" s="2199">
        <v>51.528448148000003</v>
      </c>
      <c r="U409" s="2199">
        <v>-375.54313413400001</v>
      </c>
      <c r="V409" s="2199">
        <v>-633.95141358299998</v>
      </c>
      <c r="W409" s="2195">
        <v>65.247409504999993</v>
      </c>
      <c r="X409">
        <v>-393.96</v>
      </c>
      <c r="Y409">
        <v>-594.70000000000005</v>
      </c>
      <c r="Z409" s="2199"/>
      <c r="AA409" s="2195">
        <v>-117.502927576</v>
      </c>
      <c r="AB409" s="2195">
        <v>10.659492350000001</v>
      </c>
      <c r="AC409" s="2195">
        <v>-46.580704009000002</v>
      </c>
      <c r="AD409" s="2195">
        <v>86.456302249000004</v>
      </c>
      <c r="AE409" s="2195">
        <v>-67.254616444999996</v>
      </c>
      <c r="AF409" s="1972">
        <v>19.707673467999999</v>
      </c>
      <c r="AG409" s="1972">
        <v>-166.500663328</v>
      </c>
      <c r="AH409" s="1972">
        <v>-179.92</v>
      </c>
      <c r="AI409" s="3081">
        <v>-205.62435417</v>
      </c>
      <c r="AJ409" s="1972">
        <v>-313.73910810899997</v>
      </c>
      <c r="AK409" s="2214"/>
      <c r="AL409" s="2199">
        <v>-106.843435226</v>
      </c>
    </row>
    <row r="410" spans="1:38" ht="15">
      <c r="A410" s="2205" t="s">
        <v>390</v>
      </c>
      <c r="B410" s="2199">
        <v>0</v>
      </c>
      <c r="C410" s="2199">
        <v>0</v>
      </c>
      <c r="D410" s="2199">
        <v>0</v>
      </c>
      <c r="E410" s="2199">
        <v>0</v>
      </c>
      <c r="F410" s="2199">
        <v>0</v>
      </c>
      <c r="G410" s="2199">
        <v>0</v>
      </c>
      <c r="H410" s="2199">
        <v>0</v>
      </c>
      <c r="I410" s="2199">
        <v>0</v>
      </c>
      <c r="J410" s="2199">
        <v>0</v>
      </c>
      <c r="K410" s="2199">
        <v>0</v>
      </c>
      <c r="L410" s="2199">
        <v>0</v>
      </c>
      <c r="M410" s="2199">
        <v>0</v>
      </c>
      <c r="N410" s="2199">
        <v>0</v>
      </c>
      <c r="O410" s="2199">
        <v>0</v>
      </c>
      <c r="P410" s="2199">
        <v>0</v>
      </c>
      <c r="Q410" s="2199">
        <v>0</v>
      </c>
      <c r="R410" s="2199">
        <v>0</v>
      </c>
      <c r="S410" s="2199">
        <v>0</v>
      </c>
      <c r="T410" s="2199">
        <v>0</v>
      </c>
      <c r="U410" s="2199">
        <v>0</v>
      </c>
      <c r="V410" s="2199">
        <v>0</v>
      </c>
      <c r="W410" s="2195">
        <v>0</v>
      </c>
      <c r="X410">
        <v>0</v>
      </c>
      <c r="Y410">
        <v>0</v>
      </c>
      <c r="Z410" s="2199"/>
      <c r="AA410" s="2195">
        <v>0</v>
      </c>
      <c r="AB410" s="2195">
        <v>0</v>
      </c>
      <c r="AC410" s="2195">
        <v>0</v>
      </c>
      <c r="AD410" s="2195">
        <v>0</v>
      </c>
      <c r="AE410" s="2195">
        <v>0</v>
      </c>
      <c r="AF410" s="1972">
        <v>0</v>
      </c>
      <c r="AG410" s="1972">
        <v>0</v>
      </c>
      <c r="AH410" s="1972">
        <v>0</v>
      </c>
      <c r="AI410" s="3081">
        <v>0</v>
      </c>
      <c r="AJ410" s="1972">
        <v>0</v>
      </c>
      <c r="AK410" s="2214"/>
      <c r="AL410" s="2199">
        <v>0</v>
      </c>
    </row>
    <row r="411" spans="1:38" ht="15">
      <c r="A411" s="2205" t="s">
        <v>391</v>
      </c>
      <c r="B411" s="2199">
        <v>0</v>
      </c>
      <c r="C411" s="2199">
        <v>0</v>
      </c>
      <c r="D411" s="2199">
        <v>0</v>
      </c>
      <c r="E411" s="2199">
        <v>-31.914976159999998</v>
      </c>
      <c r="F411" s="2199">
        <v>-57.960675488</v>
      </c>
      <c r="G411" s="2199">
        <v>-42.796905355</v>
      </c>
      <c r="H411" s="2199">
        <v>-96.013911456000002</v>
      </c>
      <c r="I411" s="2199">
        <v>-60.853123263999997</v>
      </c>
      <c r="J411" s="2199">
        <v>-250.49290481599999</v>
      </c>
      <c r="K411" s="2199">
        <v>-220.20922003199999</v>
      </c>
      <c r="L411" s="2199">
        <v>-248.98316824400001</v>
      </c>
      <c r="M411" s="2199">
        <v>-139.99534705799999</v>
      </c>
      <c r="N411" s="2199">
        <v>-202.542537509</v>
      </c>
      <c r="O411" s="2199">
        <v>-211.92250279000001</v>
      </c>
      <c r="P411" s="2199">
        <v>-359.76674152700002</v>
      </c>
      <c r="Q411" s="2199">
        <v>-386.40984220600001</v>
      </c>
      <c r="R411" s="2199">
        <v>-263.54329955499998</v>
      </c>
      <c r="S411" s="2199">
        <v>-338.49704820699998</v>
      </c>
      <c r="T411" s="2199">
        <v>-401.91378473200001</v>
      </c>
      <c r="U411" s="2199">
        <v>-451.55566583799998</v>
      </c>
      <c r="V411" s="2199">
        <v>-635.68896953800004</v>
      </c>
      <c r="W411" s="2195">
        <v>-832.03837594499998</v>
      </c>
      <c r="X411">
        <v>-607.15</v>
      </c>
      <c r="Y411">
        <v>-812.47</v>
      </c>
      <c r="Z411" s="2199"/>
      <c r="AA411" s="2195">
        <v>-189.12799520199999</v>
      </c>
      <c r="AB411" s="2195">
        <v>-160.99165471500001</v>
      </c>
      <c r="AC411" s="2195">
        <v>-161.64921426999999</v>
      </c>
      <c r="AD411" s="2195">
        <v>-320.26951175800002</v>
      </c>
      <c r="AE411" s="2195">
        <v>-160.11195953800001</v>
      </c>
      <c r="AF411" s="1972">
        <v>-124.40894405100001</v>
      </c>
      <c r="AG411" s="1972">
        <v>-198.42841470900001</v>
      </c>
      <c r="AH411" s="1972">
        <v>-124.21</v>
      </c>
      <c r="AI411" s="3081">
        <v>-161.80323745699999</v>
      </c>
      <c r="AJ411" s="1972">
        <v>-177.25486119799999</v>
      </c>
      <c r="AK411" s="2214"/>
      <c r="AL411" s="2199">
        <v>-350.119649917</v>
      </c>
    </row>
    <row r="412" spans="1:38" ht="15">
      <c r="A412" s="2205" t="s">
        <v>392</v>
      </c>
      <c r="B412" s="2199">
        <v>0</v>
      </c>
      <c r="C412" s="2199">
        <v>0</v>
      </c>
      <c r="D412" s="2199">
        <v>0</v>
      </c>
      <c r="E412" s="2199">
        <v>-48.818745690999997</v>
      </c>
      <c r="F412" s="2199">
        <v>-98.446379030000003</v>
      </c>
      <c r="G412" s="2199">
        <v>-106.30999677200001</v>
      </c>
      <c r="H412" s="2199">
        <v>-215.72460252600001</v>
      </c>
      <c r="I412" s="2199">
        <v>-170.72713707</v>
      </c>
      <c r="J412" s="2199">
        <v>-407.11631696400002</v>
      </c>
      <c r="K412" s="2199">
        <v>-401.26001711599997</v>
      </c>
      <c r="L412" s="2199">
        <v>-417.39531332799999</v>
      </c>
      <c r="M412" s="2199">
        <v>-440.79185748800001</v>
      </c>
      <c r="N412" s="2199">
        <v>-401.60007357799998</v>
      </c>
      <c r="O412" s="2199">
        <v>-438.29470888600002</v>
      </c>
      <c r="P412" s="2199">
        <v>-531.44223761600006</v>
      </c>
      <c r="Q412" s="2199">
        <v>-493.64380195500001</v>
      </c>
      <c r="R412" s="2199">
        <v>-429.91343333899999</v>
      </c>
      <c r="S412" s="2199">
        <v>-638.63927604100002</v>
      </c>
      <c r="T412" s="2199">
        <v>-778.28692878200002</v>
      </c>
      <c r="U412" s="2199">
        <v>-1045.0346545689999</v>
      </c>
      <c r="V412" s="2199">
        <v>-1221.846691729</v>
      </c>
      <c r="W412" s="2195">
        <v>-971.344830054</v>
      </c>
      <c r="X412" s="1972">
        <v>-1209.92</v>
      </c>
      <c r="Y412" s="1972">
        <v>-2247.1799999999998</v>
      </c>
      <c r="Z412" s="2199"/>
      <c r="AA412" s="2195">
        <v>-286.84593746899998</v>
      </c>
      <c r="AB412" s="2195">
        <v>-162.37621370900001</v>
      </c>
      <c r="AC412" s="2195">
        <v>-255.13391288599999</v>
      </c>
      <c r="AD412" s="2195">
        <v>-266.834360511</v>
      </c>
      <c r="AE412" s="2195">
        <v>-633.330715962</v>
      </c>
      <c r="AF412" s="1972">
        <v>-233.77092812399999</v>
      </c>
      <c r="AG412" s="1972">
        <v>-228.19033241700001</v>
      </c>
      <c r="AH412" s="1972">
        <v>-114.63</v>
      </c>
      <c r="AI412" s="3081">
        <v>-1286.9641862620001</v>
      </c>
      <c r="AJ412" s="1972">
        <v>-241.66088743200001</v>
      </c>
      <c r="AK412" s="2214"/>
      <c r="AL412" s="2199">
        <v>-449.22215117799999</v>
      </c>
    </row>
    <row r="413" spans="1:38" ht="15">
      <c r="A413" s="2205" t="s">
        <v>393</v>
      </c>
      <c r="B413" s="2199">
        <v>1.2230000000000001</v>
      </c>
      <c r="C413" s="2199">
        <v>0</v>
      </c>
      <c r="D413" s="2199">
        <v>0</v>
      </c>
      <c r="E413" s="2199">
        <v>1.05</v>
      </c>
      <c r="F413" s="2199">
        <v>2.5780000000000001E-2</v>
      </c>
      <c r="G413" s="2199">
        <v>0</v>
      </c>
      <c r="H413" s="2199">
        <v>0.508478969</v>
      </c>
      <c r="I413" s="2199">
        <v>0</v>
      </c>
      <c r="J413" s="2199">
        <v>0</v>
      </c>
      <c r="K413" s="2199">
        <v>0</v>
      </c>
      <c r="L413" s="2199">
        <v>0</v>
      </c>
      <c r="M413" s="2199">
        <v>0</v>
      </c>
      <c r="N413" s="2199">
        <v>0</v>
      </c>
      <c r="O413" s="2199">
        <v>0</v>
      </c>
      <c r="P413" s="2199">
        <v>0</v>
      </c>
      <c r="Q413" s="2199">
        <v>0</v>
      </c>
      <c r="R413" s="2199">
        <v>0</v>
      </c>
      <c r="S413" s="2199">
        <v>1.9464367849999999</v>
      </c>
      <c r="T413" s="2199">
        <v>0</v>
      </c>
      <c r="U413" s="2199">
        <v>0</v>
      </c>
      <c r="V413" s="2199">
        <v>0</v>
      </c>
      <c r="W413" s="2195">
        <v>0</v>
      </c>
      <c r="X413">
        <v>0</v>
      </c>
      <c r="Y413">
        <v>0</v>
      </c>
      <c r="Z413" s="2199"/>
      <c r="AA413" s="2195">
        <v>0</v>
      </c>
      <c r="AB413" s="2195">
        <v>0</v>
      </c>
      <c r="AC413" s="2195">
        <v>0</v>
      </c>
      <c r="AD413" s="2195">
        <v>0</v>
      </c>
      <c r="AE413" s="2195">
        <v>0</v>
      </c>
      <c r="AF413" s="1972">
        <v>0</v>
      </c>
      <c r="AG413" s="1972">
        <v>0</v>
      </c>
      <c r="AH413" s="1972">
        <v>0</v>
      </c>
      <c r="AI413" s="3081">
        <v>0</v>
      </c>
      <c r="AJ413" s="1972">
        <v>0</v>
      </c>
      <c r="AK413" s="2214"/>
      <c r="AL413" s="2199">
        <v>0</v>
      </c>
    </row>
    <row r="414" spans="1:38" ht="15">
      <c r="A414" s="2205" t="s">
        <v>394</v>
      </c>
      <c r="B414" s="2199">
        <v>0</v>
      </c>
      <c r="C414" s="2199">
        <v>-20.800999999999998</v>
      </c>
      <c r="D414" s="2199">
        <v>-33.353000000000002</v>
      </c>
      <c r="E414" s="2199">
        <v>-8.9783696689999992</v>
      </c>
      <c r="F414" s="2199">
        <v>-89.331853167000006</v>
      </c>
      <c r="G414" s="2199">
        <v>-57.435047449999999</v>
      </c>
      <c r="H414" s="2199">
        <v>-112.07859783400001</v>
      </c>
      <c r="I414" s="2199">
        <v>-587.98603076200004</v>
      </c>
      <c r="J414" s="2199">
        <v>-113.131548159</v>
      </c>
      <c r="K414" s="2199">
        <v>-162.89746249000001</v>
      </c>
      <c r="L414" s="2199">
        <v>-15.921782216</v>
      </c>
      <c r="M414" s="2199">
        <v>36.180670497000001</v>
      </c>
      <c r="N414" s="2199">
        <v>-66.562113847999996</v>
      </c>
      <c r="O414" s="2199">
        <v>-124.560415953</v>
      </c>
      <c r="P414" s="2199">
        <v>-231.933719551</v>
      </c>
      <c r="Q414" s="2199">
        <v>-265.69128526600002</v>
      </c>
      <c r="R414" s="2199">
        <v>-245.57341772999999</v>
      </c>
      <c r="S414" s="2199">
        <v>-292.11060030599998</v>
      </c>
      <c r="T414" s="2199">
        <v>-258.86384821600001</v>
      </c>
      <c r="U414" s="2199">
        <v>-339.45099161399997</v>
      </c>
      <c r="V414" s="2199">
        <v>-349.95390998300002</v>
      </c>
      <c r="W414" s="2195">
        <v>-347.73508256399998</v>
      </c>
      <c r="X414">
        <v>-408.67</v>
      </c>
      <c r="Y414">
        <v>-379.7</v>
      </c>
      <c r="Z414" s="2199"/>
      <c r="AA414" s="2195">
        <v>-221.143116021</v>
      </c>
      <c r="AB414" s="2195">
        <v>-52.026419984</v>
      </c>
      <c r="AC414" s="2195">
        <v>-9.7356922449999992</v>
      </c>
      <c r="AD414" s="2195">
        <v>-8.9494673329999994</v>
      </c>
      <c r="AE414" s="2195">
        <v>-369.96536826599998</v>
      </c>
      <c r="AF414" s="1972">
        <v>-14.014690585</v>
      </c>
      <c r="AG414" s="1972">
        <v>-10.823229</v>
      </c>
      <c r="AH414" s="1972">
        <v>-13.86</v>
      </c>
      <c r="AI414" s="3081">
        <v>-184.02346618000001</v>
      </c>
      <c r="AJ414" s="1972">
        <v>-144.38643667700001</v>
      </c>
      <c r="AK414" s="2214"/>
      <c r="AL414" s="2199">
        <v>-273.169536005</v>
      </c>
    </row>
    <row r="415" spans="1:38" ht="15">
      <c r="A415" s="2336" t="s">
        <v>355</v>
      </c>
      <c r="B415" s="2208">
        <v>32.034999999999997</v>
      </c>
      <c r="C415" s="2208">
        <v>-290.54300000000001</v>
      </c>
      <c r="D415" s="2208">
        <v>68.698999999999998</v>
      </c>
      <c r="E415" s="2208">
        <v>-198.965169879</v>
      </c>
      <c r="F415" s="2208">
        <v>135.989157474</v>
      </c>
      <c r="G415" s="2208">
        <v>736.15051930599998</v>
      </c>
      <c r="H415" s="2208">
        <v>1370.636769662</v>
      </c>
      <c r="I415" s="2208">
        <v>523.27407429599998</v>
      </c>
      <c r="J415" s="2208">
        <v>485.51504905600001</v>
      </c>
      <c r="K415" s="2208">
        <v>1846.584283418</v>
      </c>
      <c r="L415" s="2208">
        <v>2410.3386489999998</v>
      </c>
      <c r="M415" s="2208">
        <v>1400.131094803</v>
      </c>
      <c r="N415" s="2208">
        <v>1151.0398273999999</v>
      </c>
      <c r="O415" s="2208">
        <v>1155.8850298140001</v>
      </c>
      <c r="P415" s="2208">
        <v>4311.6584932919995</v>
      </c>
      <c r="Q415" s="2208">
        <v>1988.183664915</v>
      </c>
      <c r="R415" s="2208">
        <v>3588.320092336</v>
      </c>
      <c r="S415" s="2208">
        <v>3898.7499857849998</v>
      </c>
      <c r="T415" s="2208">
        <v>6339.6790333360004</v>
      </c>
      <c r="U415" s="2208">
        <v>5839.6935547270004</v>
      </c>
      <c r="V415" s="2208">
        <v>5053.8317567000004</v>
      </c>
      <c r="W415" s="2215">
        <v>9517.0956984050008</v>
      </c>
      <c r="X415" s="2228">
        <v>11703.78</v>
      </c>
      <c r="Y415" s="2228">
        <v>10189</v>
      </c>
      <c r="Z415" s="598"/>
      <c r="AA415" s="2195">
        <v>-1426.6952188549999</v>
      </c>
      <c r="AB415" s="2195">
        <v>3264.1732714939999</v>
      </c>
      <c r="AC415" s="2215">
        <v>3703.9729831089999</v>
      </c>
      <c r="AD415" s="2215">
        <v>3975.0631174680002</v>
      </c>
      <c r="AE415" s="2215">
        <v>-657.60135517799995</v>
      </c>
      <c r="AF415" s="3079">
        <v>3728.8775484980001</v>
      </c>
      <c r="AG415" s="3079">
        <v>3235.9447969859998</v>
      </c>
      <c r="AH415" s="3079">
        <v>5396.56</v>
      </c>
      <c r="AI415" s="3082">
        <v>-2506.9037224009999</v>
      </c>
      <c r="AJ415" s="3079">
        <v>4157.5573132950003</v>
      </c>
      <c r="AL415" s="2208">
        <v>1837.478052639</v>
      </c>
    </row>
    <row r="416" spans="1:38" ht="15">
      <c r="A416" s="2205" t="s">
        <v>356</v>
      </c>
      <c r="B416" s="2199">
        <v>-22.027999999999999</v>
      </c>
      <c r="C416" s="2199">
        <v>-37.533000000000001</v>
      </c>
      <c r="D416" s="2199">
        <v>-52.564</v>
      </c>
      <c r="E416" s="2199">
        <v>-142.136581154</v>
      </c>
      <c r="F416" s="2199">
        <v>-246.629478307</v>
      </c>
      <c r="G416" s="2199">
        <v>-486.95480291199999</v>
      </c>
      <c r="H416" s="2199">
        <v>-708.04553784100005</v>
      </c>
      <c r="I416" s="2199">
        <v>-817.26443346600001</v>
      </c>
      <c r="J416" s="2199">
        <v>-875.98542363900003</v>
      </c>
      <c r="K416" s="2199">
        <v>-465.35216275300002</v>
      </c>
      <c r="L416" s="2199">
        <v>-716.45437409099998</v>
      </c>
      <c r="M416" s="2199">
        <v>-919.55530446900002</v>
      </c>
      <c r="N416" s="2199">
        <v>-1440.5569231249999</v>
      </c>
      <c r="O416" s="2199">
        <v>-2090.2007594629999</v>
      </c>
      <c r="P416" s="2199">
        <v>-1433.1132978099999</v>
      </c>
      <c r="Q416" s="2199">
        <v>-1104.3709285120001</v>
      </c>
      <c r="R416" s="2199">
        <v>-2453.675554507</v>
      </c>
      <c r="S416" s="2199">
        <v>-3233.069745365</v>
      </c>
      <c r="T416" s="2199">
        <v>-3017.6453577130001</v>
      </c>
      <c r="U416" s="2199">
        <v>-2911.0011727249998</v>
      </c>
      <c r="V416" s="2199">
        <v>-3215.2432008710002</v>
      </c>
      <c r="W416" s="2225">
        <v>-3978.2520822239999</v>
      </c>
      <c r="X416" s="1972">
        <v>-3275.31</v>
      </c>
      <c r="Y416" s="1972">
        <v>-5150.8100000000004</v>
      </c>
      <c r="Z416" s="2199"/>
      <c r="AA416" s="2195">
        <v>-623.67468245600003</v>
      </c>
      <c r="AB416" s="2195">
        <v>-1327.7675749949999</v>
      </c>
      <c r="AC416" s="2195">
        <v>-1123.05212658</v>
      </c>
      <c r="AD416" s="2215">
        <v>2232.3521020130001</v>
      </c>
      <c r="AE416" s="2215">
        <v>-3211.9755942530001</v>
      </c>
      <c r="AF416" s="3079">
        <v>-2019.1721469080001</v>
      </c>
      <c r="AG416" s="3079">
        <v>-127.30873615900001</v>
      </c>
      <c r="AH416" s="3079">
        <v>-3103.36</v>
      </c>
      <c r="AI416" s="3082">
        <v>-4397.3890017599997</v>
      </c>
      <c r="AJ416" s="3079">
        <v>-2807.3915004629998</v>
      </c>
      <c r="AK416" s="2214"/>
      <c r="AL416" s="2199">
        <v>-1951.4422574509999</v>
      </c>
    </row>
    <row r="417" spans="1:38" ht="15">
      <c r="A417" s="2205" t="s">
        <v>357</v>
      </c>
      <c r="B417" s="2199">
        <v>0</v>
      </c>
      <c r="C417" s="2199">
        <v>0</v>
      </c>
      <c r="D417" s="2199">
        <v>4.2999999999999997E-2</v>
      </c>
      <c r="E417" s="2199">
        <v>-0.69531406600000001</v>
      </c>
      <c r="F417" s="2199">
        <v>0.65147271100000004</v>
      </c>
      <c r="G417" s="2199">
        <v>6.6786255739999998</v>
      </c>
      <c r="H417" s="2199">
        <v>38.999419467999999</v>
      </c>
      <c r="I417" s="2199">
        <v>46.704975545000003</v>
      </c>
      <c r="J417" s="2199">
        <v>8.7715983550000001</v>
      </c>
      <c r="K417" s="2199">
        <v>12.944087088</v>
      </c>
      <c r="L417" s="2199">
        <v>8.1225831280000005</v>
      </c>
      <c r="M417" s="2199">
        <v>8.5337361539999996</v>
      </c>
      <c r="N417" s="2199">
        <v>23.157827856000001</v>
      </c>
      <c r="O417" s="2199">
        <v>115.905779112</v>
      </c>
      <c r="P417" s="2199">
        <v>4.6411633119999998</v>
      </c>
      <c r="Q417" s="2199">
        <v>3.8730034350000002</v>
      </c>
      <c r="R417" s="2199">
        <v>0.77327880699999996</v>
      </c>
      <c r="S417" s="2199">
        <v>2.251555566</v>
      </c>
      <c r="T417" s="2199">
        <v>3.3230708099999999</v>
      </c>
      <c r="U417" s="2199">
        <v>2.8668902850000002</v>
      </c>
      <c r="V417" s="2199">
        <v>5.6620300280000002</v>
      </c>
      <c r="W417" s="2195">
        <v>29.269655015000001</v>
      </c>
      <c r="X417">
        <v>14.23</v>
      </c>
      <c r="Y417" s="1972">
        <v>7.33</v>
      </c>
      <c r="AA417" s="2195">
        <v>11.586480653000001</v>
      </c>
      <c r="AB417" s="2195">
        <v>0.76967410599999997</v>
      </c>
      <c r="AC417" s="2195">
        <v>7.6576159390000003</v>
      </c>
      <c r="AD417" s="2195">
        <v>-936.41935994999994</v>
      </c>
      <c r="AE417" s="2195">
        <v>-647.32227698500003</v>
      </c>
      <c r="AF417" s="1972">
        <v>-912.95859926699995</v>
      </c>
      <c r="AG417" s="1972">
        <v>-876.95414325000002</v>
      </c>
      <c r="AH417" s="1972">
        <v>-838.08</v>
      </c>
      <c r="AI417" s="3081">
        <v>-2607.4279053509999</v>
      </c>
      <c r="AJ417" s="1972">
        <v>-725.59937525600003</v>
      </c>
      <c r="AK417" s="2214"/>
      <c r="AL417" s="2199">
        <v>12.356154759000001</v>
      </c>
    </row>
    <row r="418" spans="1:38" ht="15">
      <c r="A418" s="2205" t="s">
        <v>358</v>
      </c>
      <c r="B418" s="2199">
        <v>0</v>
      </c>
      <c r="C418" s="2199">
        <v>0</v>
      </c>
      <c r="D418" s="2199">
        <v>0</v>
      </c>
      <c r="E418" s="2199">
        <v>0</v>
      </c>
      <c r="F418" s="2199">
        <v>0</v>
      </c>
      <c r="G418" s="2199">
        <v>0</v>
      </c>
      <c r="H418" s="2199">
        <v>-1.92</v>
      </c>
      <c r="I418" s="2199">
        <v>-1067.4205837899999</v>
      </c>
      <c r="J418" s="2199">
        <v>0</v>
      </c>
      <c r="K418" s="2199">
        <v>-295.70529718799997</v>
      </c>
      <c r="L418" s="2199">
        <v>183.970079398</v>
      </c>
      <c r="M418" s="2199">
        <v>-775.22747262899998</v>
      </c>
      <c r="N418" s="2199">
        <v>-38.195216178999999</v>
      </c>
      <c r="O418" s="2199">
        <v>-1218.5291602709999</v>
      </c>
      <c r="P418" s="2199">
        <v>-912.254841704</v>
      </c>
      <c r="Q418" s="2199">
        <v>-942.50821580599995</v>
      </c>
      <c r="R418" s="2199">
        <v>-1188.2207150639999</v>
      </c>
      <c r="S418" s="2199">
        <v>-1206.8736857450001</v>
      </c>
      <c r="T418" s="2199">
        <v>-5954.0913217389998</v>
      </c>
      <c r="U418" s="2199">
        <v>-35827.118645178998</v>
      </c>
      <c r="V418" s="2199">
        <v>-32995.035947486002</v>
      </c>
      <c r="W418" s="2195">
        <v>-33536.189070355998</v>
      </c>
      <c r="X418" s="1972">
        <v>-41956.57</v>
      </c>
      <c r="Y418" s="1972">
        <v>-56994.52</v>
      </c>
      <c r="Z418" s="2199"/>
      <c r="AA418" s="2195">
        <v>-6731.4461191939999</v>
      </c>
      <c r="AB418" s="2195">
        <v>-13958.940271643</v>
      </c>
      <c r="AC418" s="2195">
        <v>-5579.3259769260003</v>
      </c>
      <c r="AD418" s="2195">
        <v>9.5267790530000003</v>
      </c>
      <c r="AE418" s="2195">
        <v>10.295249159999999</v>
      </c>
      <c r="AF418" s="1972">
        <v>1.618261988</v>
      </c>
      <c r="AG418" s="1972">
        <v>1.6162516250000001</v>
      </c>
      <c r="AH418" s="1972">
        <v>0.7</v>
      </c>
      <c r="AI418" s="3081">
        <v>3.2121230700000001</v>
      </c>
      <c r="AJ418" s="1972">
        <v>0.81029152400000004</v>
      </c>
      <c r="AK418" s="2214"/>
      <c r="AL418" s="2224">
        <v>-20690.386390837</v>
      </c>
    </row>
    <row r="419" spans="1:38" ht="15">
      <c r="A419" s="2205" t="s">
        <v>359</v>
      </c>
      <c r="B419" s="2199">
        <v>0</v>
      </c>
      <c r="C419" s="2199">
        <v>0</v>
      </c>
      <c r="D419" s="2199">
        <v>0</v>
      </c>
      <c r="E419" s="2199">
        <v>0</v>
      </c>
      <c r="F419" s="2199">
        <v>0</v>
      </c>
      <c r="G419" s="2199">
        <v>0</v>
      </c>
      <c r="H419" s="2199">
        <v>0</v>
      </c>
      <c r="I419" s="2199">
        <v>0</v>
      </c>
      <c r="J419" s="2199">
        <v>340.44137336799997</v>
      </c>
      <c r="K419" s="2199">
        <v>0</v>
      </c>
      <c r="L419" s="2199">
        <v>0</v>
      </c>
      <c r="M419" s="2199">
        <v>0</v>
      </c>
      <c r="N419" s="2199">
        <v>0</v>
      </c>
      <c r="O419" s="2199">
        <v>0</v>
      </c>
      <c r="P419" s="2199">
        <v>0</v>
      </c>
      <c r="Q419" s="2199">
        <v>0</v>
      </c>
      <c r="R419" s="2199">
        <v>0</v>
      </c>
      <c r="S419" s="2199">
        <v>0</v>
      </c>
      <c r="T419" s="2199">
        <v>0</v>
      </c>
      <c r="U419" s="2199">
        <v>27590.009509475</v>
      </c>
      <c r="V419" s="2199">
        <v>40669.116046727999</v>
      </c>
      <c r="W419" s="2195">
        <v>30458.251083042</v>
      </c>
      <c r="X419" s="1972">
        <v>36283.760000000002</v>
      </c>
      <c r="Y419" s="1972">
        <v>49164.79</v>
      </c>
      <c r="Z419" s="2199"/>
      <c r="AA419" s="2195">
        <v>5858.2642718329998</v>
      </c>
      <c r="AB419" s="2195">
        <v>7357.6720397170002</v>
      </c>
      <c r="AC419" s="2195">
        <v>6413.233166862</v>
      </c>
      <c r="AD419" s="2195">
        <v>-7266.4767025929996</v>
      </c>
      <c r="AE419" s="2195">
        <v>-8977.3594959000002</v>
      </c>
      <c r="AF419" s="1972">
        <v>-11804.030293743001</v>
      </c>
      <c r="AG419" s="1972">
        <v>-8247.959851394</v>
      </c>
      <c r="AH419" s="1972">
        <v>-12927.22</v>
      </c>
      <c r="AI419" s="3081">
        <v>-10159.337998571</v>
      </c>
      <c r="AJ419" s="1972">
        <v>-14330.226868606</v>
      </c>
      <c r="AK419" s="2214"/>
      <c r="AL419" s="2199">
        <v>13215.93631155</v>
      </c>
    </row>
    <row r="420" spans="1:38" ht="15">
      <c r="A420" s="2205" t="s">
        <v>360</v>
      </c>
      <c r="B420" s="2199">
        <v>0</v>
      </c>
      <c r="C420" s="2199">
        <v>-0.11600000000000001</v>
      </c>
      <c r="D420" s="2199">
        <v>-1.5589999999999999</v>
      </c>
      <c r="E420" s="2199">
        <v>0</v>
      </c>
      <c r="F420" s="2199">
        <v>-12</v>
      </c>
      <c r="G420" s="2199">
        <v>-306.8</v>
      </c>
      <c r="H420" s="2199">
        <v>-23.9</v>
      </c>
      <c r="I420" s="2199">
        <v>-144.12200000000001</v>
      </c>
      <c r="J420" s="2199">
        <v>-1228.5971239999999</v>
      </c>
      <c r="K420" s="2199">
        <v>0</v>
      </c>
      <c r="L420" s="2199">
        <v>9.1764229139999998</v>
      </c>
      <c r="M420" s="2199">
        <v>-45.920974280999999</v>
      </c>
      <c r="N420" s="2199">
        <v>-203.239205312</v>
      </c>
      <c r="O420" s="2199">
        <v>0</v>
      </c>
      <c r="P420" s="2199">
        <v>-314.070117375</v>
      </c>
      <c r="Q420" s="2199">
        <v>0</v>
      </c>
      <c r="R420" s="2199">
        <v>-709.54356923299997</v>
      </c>
      <c r="S420" s="2199">
        <v>-109.971962499</v>
      </c>
      <c r="T420" s="2199">
        <v>-101.172751758</v>
      </c>
      <c r="U420" s="2199">
        <v>-450.87853233599998</v>
      </c>
      <c r="V420" s="2199">
        <v>-557.29190059400003</v>
      </c>
      <c r="W420" s="2195">
        <v>-1753.6191825179999</v>
      </c>
      <c r="X420" s="1972">
        <v>-1106.19</v>
      </c>
      <c r="Y420">
        <v>-710.7</v>
      </c>
      <c r="Z420" s="2199"/>
      <c r="AA420" s="2195">
        <v>-306.51579586299999</v>
      </c>
      <c r="AB420" s="2195">
        <v>-118.42774683899999</v>
      </c>
      <c r="AC420" s="2195">
        <v>-260.88805099000001</v>
      </c>
      <c r="AD420" s="2195">
        <v>10829.081604630001</v>
      </c>
      <c r="AE420" s="2195">
        <v>6851.2630404840002</v>
      </c>
      <c r="AF420" s="1972">
        <v>10099.852425499999</v>
      </c>
      <c r="AG420" s="1972">
        <v>8725.9185082799995</v>
      </c>
      <c r="AH420" s="1972">
        <v>10606.72</v>
      </c>
      <c r="AI420" s="3081">
        <v>8175.4989842149998</v>
      </c>
      <c r="AJ420" s="1972">
        <v>11476.865730371999</v>
      </c>
      <c r="AK420" s="2214"/>
      <c r="AL420" s="2199">
        <v>-424.943542702</v>
      </c>
    </row>
    <row r="421" spans="1:38" ht="15">
      <c r="A421" s="2205" t="s">
        <v>361</v>
      </c>
      <c r="B421" s="2199">
        <v>2.105</v>
      </c>
      <c r="C421" s="2199">
        <v>0</v>
      </c>
      <c r="D421" s="2199">
        <v>0</v>
      </c>
      <c r="E421" s="2199">
        <v>4.1689999999999996</v>
      </c>
      <c r="F421" s="2199">
        <v>0</v>
      </c>
      <c r="G421" s="2199">
        <v>0</v>
      </c>
      <c r="H421" s="2199">
        <v>0</v>
      </c>
      <c r="I421" s="2199">
        <v>0</v>
      </c>
      <c r="J421" s="2199">
        <v>0</v>
      </c>
      <c r="K421" s="2199">
        <v>804.59223880000002</v>
      </c>
      <c r="L421" s="2199">
        <v>0</v>
      </c>
      <c r="M421" s="2199">
        <v>0</v>
      </c>
      <c r="N421" s="2199">
        <v>0</v>
      </c>
      <c r="O421" s="2199">
        <v>65.344999999999999</v>
      </c>
      <c r="P421" s="2199">
        <v>322.22016245600003</v>
      </c>
      <c r="Q421" s="2199">
        <v>-973.83378157499999</v>
      </c>
      <c r="R421" s="2199">
        <v>180.22912483600001</v>
      </c>
      <c r="S421" s="2199">
        <v>120.174850275</v>
      </c>
      <c r="T421" s="2199">
        <v>31</v>
      </c>
      <c r="U421" s="2199">
        <v>0.42</v>
      </c>
      <c r="V421" s="2199">
        <v>56.400094000000003</v>
      </c>
      <c r="W421" s="2195">
        <v>94.939905999999993</v>
      </c>
      <c r="X421">
        <v>48.1</v>
      </c>
      <c r="Y421" s="1972">
        <v>23.53</v>
      </c>
      <c r="Z421" s="2199"/>
      <c r="AA421" s="2195">
        <v>0</v>
      </c>
      <c r="AB421" s="2195">
        <v>0</v>
      </c>
      <c r="AC421" s="2195">
        <v>94.939905999999993</v>
      </c>
      <c r="AD421" s="2195">
        <v>-1053.326490167</v>
      </c>
      <c r="AE421" s="2195">
        <v>-733.15208788200005</v>
      </c>
      <c r="AF421" s="1972">
        <v>-10.808869438</v>
      </c>
      <c r="AG421" s="1972">
        <v>-94.349648463999998</v>
      </c>
      <c r="AH421" s="1972">
        <v>-267.88</v>
      </c>
      <c r="AI421" s="3081">
        <v>-94.356673178999998</v>
      </c>
      <c r="AJ421" s="1972">
        <v>-64.314787705000001</v>
      </c>
      <c r="AK421" s="2214"/>
      <c r="AL421" s="2199">
        <v>0</v>
      </c>
    </row>
    <row r="422" spans="1:38" ht="15">
      <c r="A422" s="2205" t="s">
        <v>362</v>
      </c>
      <c r="B422" s="2199">
        <v>0</v>
      </c>
      <c r="C422" s="2199">
        <v>0</v>
      </c>
      <c r="D422" s="2199">
        <v>2.4830000000000001</v>
      </c>
      <c r="E422" s="2199">
        <v>0</v>
      </c>
      <c r="F422" s="2199">
        <v>0.191077</v>
      </c>
      <c r="G422" s="2199">
        <v>-5</v>
      </c>
      <c r="H422" s="2199">
        <v>11.75</v>
      </c>
      <c r="I422" s="2199">
        <v>78.052945043999998</v>
      </c>
      <c r="J422" s="2199">
        <v>276.45649109700003</v>
      </c>
      <c r="K422" s="2199">
        <v>50.537846872999999</v>
      </c>
      <c r="L422" s="2199">
        <v>261.79247225799998</v>
      </c>
      <c r="M422" s="2199">
        <v>156.45891377699999</v>
      </c>
      <c r="N422" s="2199">
        <v>189.68449459499999</v>
      </c>
      <c r="O422" s="2199">
        <v>226.56938096100001</v>
      </c>
      <c r="P422" s="2199">
        <v>308.76984019700001</v>
      </c>
      <c r="Q422" s="2199">
        <v>408.05631839</v>
      </c>
      <c r="R422" s="2199">
        <v>473.70587373199999</v>
      </c>
      <c r="S422" s="2199">
        <v>582.42049280599997</v>
      </c>
      <c r="T422" s="2199">
        <v>894.46207331599999</v>
      </c>
      <c r="U422" s="2199">
        <v>1182.8118341490001</v>
      </c>
      <c r="V422" s="2199">
        <v>1793.6248155200001</v>
      </c>
      <c r="W422" s="2195">
        <v>2137.22552533</v>
      </c>
      <c r="X422" s="1972">
        <v>1530.17</v>
      </c>
      <c r="Y422" s="2195">
        <v>2000.76</v>
      </c>
      <c r="Z422" s="2199"/>
      <c r="AA422" s="2195">
        <v>232.67172797000001</v>
      </c>
      <c r="AB422" s="2195">
        <v>910.56361338099998</v>
      </c>
      <c r="AC422" s="2195">
        <v>344.02391293900001</v>
      </c>
      <c r="AD422" s="2195">
        <v>0</v>
      </c>
      <c r="AE422" s="2195">
        <v>0</v>
      </c>
      <c r="AF422" s="1972">
        <v>0</v>
      </c>
      <c r="AG422" s="1972">
        <v>0</v>
      </c>
      <c r="AH422" s="1972">
        <v>48.1</v>
      </c>
      <c r="AI422" s="3081">
        <v>5.7397316800000002</v>
      </c>
      <c r="AJ422" s="1972">
        <v>17.433745901999998</v>
      </c>
      <c r="AK422" s="2214"/>
      <c r="AL422" s="2199">
        <v>1143.235341351</v>
      </c>
    </row>
    <row r="423" spans="1:38" ht="15">
      <c r="A423" s="2336" t="s">
        <v>363</v>
      </c>
      <c r="B423" s="2208">
        <v>-19.922999999999998</v>
      </c>
      <c r="C423" s="2208">
        <v>-37.649000000000001</v>
      </c>
      <c r="D423" s="2208">
        <v>-51.597000000000001</v>
      </c>
      <c r="E423" s="2208">
        <v>-138.66289522</v>
      </c>
      <c r="F423" s="2208">
        <v>-257.786928596</v>
      </c>
      <c r="G423" s="2208">
        <v>-792.07617733799998</v>
      </c>
      <c r="H423" s="2208">
        <v>-683.11611837299995</v>
      </c>
      <c r="I423" s="2208">
        <v>-1904.049096667</v>
      </c>
      <c r="J423" s="2208">
        <v>-1478.913084819</v>
      </c>
      <c r="K423" s="2208">
        <v>107.01671282</v>
      </c>
      <c r="L423" s="2208">
        <v>-253.392816393</v>
      </c>
      <c r="M423" s="2208">
        <v>-1575.7111014479999</v>
      </c>
      <c r="N423" s="2208">
        <v>-1469.1490221649999</v>
      </c>
      <c r="O423" s="2208">
        <v>-2900.909759661</v>
      </c>
      <c r="P423" s="2208">
        <v>-2023.807090924</v>
      </c>
      <c r="Q423" s="2208">
        <v>-2608.7836040679999</v>
      </c>
      <c r="R423" s="2208">
        <v>-3696.7315614290001</v>
      </c>
      <c r="S423" s="2208">
        <v>-3845.0684949619999</v>
      </c>
      <c r="T423" s="2208">
        <v>-8144.1242870839997</v>
      </c>
      <c r="U423" s="2208">
        <v>-10412.890116331</v>
      </c>
      <c r="V423" s="2208">
        <v>5757.2319373250002</v>
      </c>
      <c r="W423" s="2215">
        <v>-6548.3741657110004</v>
      </c>
      <c r="X423" s="2228">
        <v>-8461.81</v>
      </c>
      <c r="Y423" s="2228">
        <v>-11659.62</v>
      </c>
      <c r="Z423" s="2208"/>
      <c r="AA423" s="2195">
        <v>-1559.1141170569999</v>
      </c>
      <c r="AB423" s="2195">
        <v>-7136.1302662730004</v>
      </c>
      <c r="AC423" s="2215">
        <v>-103.41155275600001</v>
      </c>
      <c r="AD423" s="2195">
        <v>649.96627104000004</v>
      </c>
      <c r="AE423" s="2195">
        <v>284.29997687000002</v>
      </c>
      <c r="AF423" s="1972">
        <v>607.15492805199995</v>
      </c>
      <c r="AG423" s="1972">
        <v>364.42014704399998</v>
      </c>
      <c r="AH423" s="1972">
        <v>274.3</v>
      </c>
      <c r="AI423" s="3081">
        <v>279.282736376</v>
      </c>
      <c r="AJ423" s="1972">
        <v>817.63976330599996</v>
      </c>
      <c r="AL423" s="2208">
        <v>-8695.2443833300003</v>
      </c>
    </row>
    <row r="424" spans="1:38" ht="15">
      <c r="A424" s="2205" t="s">
        <v>364</v>
      </c>
      <c r="B424" s="2199">
        <v>20</v>
      </c>
      <c r="C424" s="2199">
        <v>120</v>
      </c>
      <c r="D424" s="2199">
        <v>0</v>
      </c>
      <c r="E424" s="2199">
        <v>136.65</v>
      </c>
      <c r="F424" s="2199">
        <v>590.67616136000004</v>
      </c>
      <c r="G424" s="2199">
        <v>37.281104622000001</v>
      </c>
      <c r="H424" s="2199">
        <v>114.68478</v>
      </c>
      <c r="I424" s="2199">
        <v>84.313100000000006</v>
      </c>
      <c r="J424" s="2199">
        <v>53.088509999999999</v>
      </c>
      <c r="K424" s="2199">
        <v>34.227559999999997</v>
      </c>
      <c r="L424" s="2199">
        <v>40.004170000000002</v>
      </c>
      <c r="M424" s="2199">
        <v>17.427510000000002</v>
      </c>
      <c r="N424" s="2199">
        <v>16.388909999999999</v>
      </c>
      <c r="O424" s="2199">
        <v>30.953970000000002</v>
      </c>
      <c r="P424" s="2199">
        <v>66.576589999999996</v>
      </c>
      <c r="Q424" s="2199">
        <v>39.143700000000003</v>
      </c>
      <c r="R424" s="2199">
        <v>26.545559999999998</v>
      </c>
      <c r="S424" s="2199">
        <v>71.715000000000003</v>
      </c>
      <c r="T424" s="2199">
        <v>59.633580760000001</v>
      </c>
      <c r="U424" s="2199">
        <v>87.611404675000003</v>
      </c>
      <c r="V424" s="2199">
        <v>77.028689275000005</v>
      </c>
      <c r="W424" s="2195">
        <v>73.0505</v>
      </c>
      <c r="X424">
        <v>163.34</v>
      </c>
      <c r="Y424" s="1972">
        <v>1196.24</v>
      </c>
      <c r="Z424" s="2199"/>
      <c r="AA424" s="2195">
        <v>0</v>
      </c>
      <c r="AB424" s="2195">
        <v>73.0505</v>
      </c>
      <c r="AC424" s="2195">
        <v>0</v>
      </c>
      <c r="AD424" s="2215">
        <v>-5125.6276851829998</v>
      </c>
      <c r="AE424" s="2215">
        <v>1969.2851698300001</v>
      </c>
      <c r="AF424" s="3079">
        <v>-1213.567970069</v>
      </c>
      <c r="AG424" s="3079">
        <v>-1972.318909327</v>
      </c>
      <c r="AH424" s="3079">
        <v>-981.16</v>
      </c>
      <c r="AI424" s="3082">
        <v>4273.0456451760001</v>
      </c>
      <c r="AJ424" s="3079">
        <v>1981.787361553</v>
      </c>
      <c r="AK424" s="2214"/>
      <c r="AL424" s="2199">
        <v>73.0505</v>
      </c>
    </row>
    <row r="425" spans="1:38" ht="15">
      <c r="A425" s="2205" t="s">
        <v>365</v>
      </c>
      <c r="B425" s="2199">
        <v>-26.704999999999998</v>
      </c>
      <c r="C425" s="2199">
        <v>0</v>
      </c>
      <c r="D425" s="2199">
        <v>0</v>
      </c>
      <c r="E425" s="2199">
        <v>0</v>
      </c>
      <c r="F425" s="2199">
        <v>-1.8499999999999999E-2</v>
      </c>
      <c r="G425" s="2199">
        <v>-0.60409999999999997</v>
      </c>
      <c r="H425" s="2199">
        <v>-2.3668499999999999</v>
      </c>
      <c r="I425" s="2199">
        <v>-3.6050399999999998</v>
      </c>
      <c r="J425" s="2199">
        <v>2.1133999999999999</v>
      </c>
      <c r="K425" s="2199">
        <v>8.2491000000000003</v>
      </c>
      <c r="L425" s="2199">
        <v>1.17906</v>
      </c>
      <c r="M425" s="2199">
        <v>-2.9420000000000002E-2</v>
      </c>
      <c r="N425" s="2199">
        <v>0</v>
      </c>
      <c r="O425" s="2199">
        <v>-4.3494999999999999</v>
      </c>
      <c r="P425" s="2199">
        <v>-0.87629999999999997</v>
      </c>
      <c r="Q425" s="2199">
        <v>-0.13</v>
      </c>
      <c r="R425" s="2199">
        <v>0</v>
      </c>
      <c r="S425" s="2199">
        <v>-0.269625</v>
      </c>
      <c r="T425" s="2199">
        <v>0</v>
      </c>
      <c r="U425" s="2199">
        <v>0</v>
      </c>
      <c r="V425" s="2199">
        <v>0</v>
      </c>
      <c r="W425" s="2195">
        <v>0</v>
      </c>
      <c r="X425">
        <v>0</v>
      </c>
      <c r="Y425" s="1972">
        <v>0</v>
      </c>
      <c r="Z425" s="2199"/>
      <c r="AA425" s="2195">
        <v>0</v>
      </c>
      <c r="AB425" s="2195">
        <v>0</v>
      </c>
      <c r="AC425" s="2195">
        <v>0</v>
      </c>
      <c r="AD425" s="2195">
        <v>0</v>
      </c>
      <c r="AE425" s="2195">
        <v>0</v>
      </c>
      <c r="AF425" s="1972">
        <v>0</v>
      </c>
      <c r="AG425" s="1972">
        <v>57.131819874000001</v>
      </c>
      <c r="AH425" s="1972">
        <v>106.21</v>
      </c>
      <c r="AI425" s="3081">
        <v>0</v>
      </c>
      <c r="AJ425" s="1972">
        <v>1196.22939</v>
      </c>
      <c r="AK425" s="2214"/>
      <c r="AL425" s="2199">
        <v>0</v>
      </c>
    </row>
    <row r="426" spans="1:38" ht="15">
      <c r="A426" s="2205" t="s">
        <v>366</v>
      </c>
      <c r="B426" s="2199">
        <v>64.828000000000003</v>
      </c>
      <c r="C426" s="2199">
        <v>185.4</v>
      </c>
      <c r="D426" s="2199">
        <v>2753.8</v>
      </c>
      <c r="E426" s="2199">
        <v>3764.4802815910002</v>
      </c>
      <c r="F426" s="2199">
        <v>5581.8743065560002</v>
      </c>
      <c r="G426" s="2199">
        <v>6181.5241643139998</v>
      </c>
      <c r="H426" s="2199">
        <v>6138.9726665999997</v>
      </c>
      <c r="I426" s="2199">
        <v>11750.348530857</v>
      </c>
      <c r="J426" s="2199">
        <v>10294.347714482999</v>
      </c>
      <c r="K426" s="2199">
        <v>11504.198543664999</v>
      </c>
      <c r="L426" s="2199">
        <v>10415.676735351</v>
      </c>
      <c r="M426" s="2199">
        <v>14216.536260965</v>
      </c>
      <c r="N426" s="2199">
        <v>23817.42876228</v>
      </c>
      <c r="O426" s="2199">
        <v>23921.460737848</v>
      </c>
      <c r="P426" s="2199">
        <v>22299.129726143001</v>
      </c>
      <c r="Q426" s="2199">
        <v>21302.571414665999</v>
      </c>
      <c r="R426" s="2199">
        <v>10281.501672838</v>
      </c>
      <c r="S426" s="2199">
        <v>13403.998747456</v>
      </c>
      <c r="T426" s="2199">
        <v>20448.570691368001</v>
      </c>
      <c r="U426" s="2199">
        <v>34463.706577010998</v>
      </c>
      <c r="V426" s="2199">
        <v>28120.228984732999</v>
      </c>
      <c r="W426" s="2195">
        <v>34271.246237259998</v>
      </c>
      <c r="X426" s="1972">
        <v>30946.28</v>
      </c>
      <c r="Y426" s="1972">
        <v>43070.81</v>
      </c>
      <c r="Z426" s="2199"/>
      <c r="AA426" s="2195">
        <v>6698.2281614439999</v>
      </c>
      <c r="AB426" s="2195">
        <v>11615.919717863</v>
      </c>
      <c r="AC426" s="2195">
        <v>8360.6013676220009</v>
      </c>
      <c r="AD426" s="2195">
        <v>0</v>
      </c>
      <c r="AE426" s="2195">
        <v>0</v>
      </c>
      <c r="AF426" s="1972">
        <v>0</v>
      </c>
      <c r="AG426" s="1972">
        <v>0</v>
      </c>
      <c r="AH426" s="1972">
        <v>0</v>
      </c>
      <c r="AI426" s="3081">
        <v>0</v>
      </c>
      <c r="AJ426" s="1972">
        <v>0</v>
      </c>
      <c r="AK426" s="2214"/>
      <c r="AL426" s="2199">
        <v>18314.147879306998</v>
      </c>
    </row>
    <row r="427" spans="1:38" ht="15">
      <c r="A427" s="2205" t="s">
        <v>367</v>
      </c>
      <c r="B427" s="2199">
        <v>0</v>
      </c>
      <c r="C427" s="2199">
        <v>0</v>
      </c>
      <c r="D427" s="2199">
        <v>-2478.1770000000001</v>
      </c>
      <c r="E427" s="2199">
        <v>-3519.0351435060002</v>
      </c>
      <c r="F427" s="2199">
        <v>-5761.7574879590002</v>
      </c>
      <c r="G427" s="2199">
        <v>-5655.7162553850003</v>
      </c>
      <c r="H427" s="2199">
        <v>-6202.5112624229996</v>
      </c>
      <c r="I427" s="2199">
        <v>-8861.0904745059997</v>
      </c>
      <c r="J427" s="2199">
        <v>-9944.2793664119999</v>
      </c>
      <c r="K427" s="2199">
        <v>-11305.75427243</v>
      </c>
      <c r="L427" s="2199">
        <v>-12208.917387615</v>
      </c>
      <c r="M427" s="2199">
        <v>-12875.984294847</v>
      </c>
      <c r="N427" s="2199">
        <v>-21174.638669986001</v>
      </c>
      <c r="O427" s="2199">
        <v>-21980.611812448002</v>
      </c>
      <c r="P427" s="2199">
        <v>-21165.445479720998</v>
      </c>
      <c r="Q427" s="2199">
        <v>-21923.254763024001</v>
      </c>
      <c r="R427" s="2199">
        <v>-8046.9465878649999</v>
      </c>
      <c r="S427" s="2199">
        <v>-12504.73339324</v>
      </c>
      <c r="T427" s="2199">
        <v>-15570.014545746</v>
      </c>
      <c r="U427" s="2199">
        <v>-26931.165232996002</v>
      </c>
      <c r="V427" s="2199">
        <v>-35740.054948912002</v>
      </c>
      <c r="W427" s="2195">
        <v>-32551.882452709</v>
      </c>
      <c r="X427" s="1972">
        <v>-30013.23</v>
      </c>
      <c r="Y427" s="1972">
        <v>-36890.980000000003</v>
      </c>
      <c r="Z427" s="2199"/>
      <c r="AA427" s="2195">
        <v>-6685.0888648230002</v>
      </c>
      <c r="AB427" s="2195">
        <v>-4450.2363642110004</v>
      </c>
      <c r="AC427" s="2195">
        <v>-8696.6479871470001</v>
      </c>
      <c r="AD427" s="2195">
        <v>7596.4969903310002</v>
      </c>
      <c r="AE427" s="2195">
        <v>10487.172776046</v>
      </c>
      <c r="AF427" s="1972">
        <v>7228.6339458929997</v>
      </c>
      <c r="AG427" s="1972">
        <v>7449.9187275860004</v>
      </c>
      <c r="AH427" s="1972">
        <v>5780.56</v>
      </c>
      <c r="AI427" s="3081">
        <v>12175.546656648001</v>
      </c>
      <c r="AJ427" s="1972">
        <v>11552.806194766999</v>
      </c>
      <c r="AK427" s="2214"/>
      <c r="AL427" s="2199">
        <v>-11135.325229034001</v>
      </c>
    </row>
    <row r="428" spans="1:38" ht="15">
      <c r="A428" s="2205" t="s">
        <v>368</v>
      </c>
      <c r="B428" s="2199">
        <v>0</v>
      </c>
      <c r="C428" s="2199">
        <v>0</v>
      </c>
      <c r="D428" s="2199">
        <v>0</v>
      </c>
      <c r="E428" s="2199">
        <v>0</v>
      </c>
      <c r="F428" s="2199">
        <v>0</v>
      </c>
      <c r="G428" s="2199">
        <v>0</v>
      </c>
      <c r="H428" s="2199">
        <v>0</v>
      </c>
      <c r="I428" s="2199">
        <v>0</v>
      </c>
      <c r="J428" s="2199">
        <v>0</v>
      </c>
      <c r="K428" s="2199">
        <v>0</v>
      </c>
      <c r="L428" s="2199">
        <v>0</v>
      </c>
      <c r="M428" s="2199">
        <v>0</v>
      </c>
      <c r="N428" s="2199">
        <v>0</v>
      </c>
      <c r="O428" s="2199">
        <v>0</v>
      </c>
      <c r="P428" s="2199">
        <v>0</v>
      </c>
      <c r="Q428" s="2199">
        <v>0</v>
      </c>
      <c r="R428" s="2199">
        <v>0</v>
      </c>
      <c r="S428" s="2199">
        <v>-1.5227724659999999</v>
      </c>
      <c r="T428" s="2199">
        <v>-1.75379342</v>
      </c>
      <c r="U428" s="2199">
        <v>-1.306368312</v>
      </c>
      <c r="V428" s="2199">
        <v>-8.3761454240000006</v>
      </c>
      <c r="W428" s="2195">
        <v>-30.169775111</v>
      </c>
      <c r="X428">
        <v>-2.31</v>
      </c>
      <c r="Y428" s="1972">
        <v>-0.99</v>
      </c>
      <c r="Z428" s="2199"/>
      <c r="AA428" s="2195">
        <v>-2.2882080619999998</v>
      </c>
      <c r="AB428" s="2195">
        <v>-4.2825318790000004</v>
      </c>
      <c r="AC428" s="2195">
        <v>-0.29470712399999999</v>
      </c>
      <c r="AD428" s="2195">
        <v>-12719.909236527999</v>
      </c>
      <c r="AE428" s="2195">
        <v>-7982.4677205790003</v>
      </c>
      <c r="AF428" s="1972">
        <v>-7172.7144731580001</v>
      </c>
      <c r="AG428" s="1972">
        <v>-9459.8496704030003</v>
      </c>
      <c r="AH428" s="1972">
        <v>-5398.19</v>
      </c>
      <c r="AI428" s="3081">
        <v>-7902.2608705599996</v>
      </c>
      <c r="AJ428" s="1972">
        <v>-7901.5150472579999</v>
      </c>
      <c r="AK428" s="2214"/>
      <c r="AL428" s="2199">
        <v>-6.5707399410000003</v>
      </c>
    </row>
    <row r="429" spans="1:38" ht="15">
      <c r="A429" s="2205" t="s">
        <v>369</v>
      </c>
      <c r="B429" s="2199">
        <v>0</v>
      </c>
      <c r="C429" s="2199">
        <v>0</v>
      </c>
      <c r="D429" s="2199">
        <v>0</v>
      </c>
      <c r="E429" s="2199">
        <v>-2.0903499999999999</v>
      </c>
      <c r="F429" s="2199">
        <v>-34.568652</v>
      </c>
      <c r="G429" s="2199">
        <v>-280.49614943400002</v>
      </c>
      <c r="H429" s="2199">
        <v>-389.3118614</v>
      </c>
      <c r="I429" s="2199">
        <v>-521.18399484600002</v>
      </c>
      <c r="J429" s="2199">
        <v>-286.25448340899999</v>
      </c>
      <c r="K429" s="2199">
        <v>-728.26686972100003</v>
      </c>
      <c r="L429" s="2199">
        <v>-988.35621153500006</v>
      </c>
      <c r="M429" s="2199">
        <v>-750.31392754800004</v>
      </c>
      <c r="N429" s="2199">
        <v>-755.75850377500001</v>
      </c>
      <c r="O429" s="2199">
        <v>-974.001961553</v>
      </c>
      <c r="P429" s="2199">
        <v>-1058.583700785</v>
      </c>
      <c r="Q429" s="2199">
        <v>-1330.4322874750001</v>
      </c>
      <c r="R429" s="2199">
        <v>-1707.6214843749999</v>
      </c>
      <c r="S429" s="2199">
        <v>-1483.5585937999999</v>
      </c>
      <c r="T429" s="2199">
        <v>-1899.0793829249999</v>
      </c>
      <c r="U429" s="2199">
        <v>-2254.1839459749999</v>
      </c>
      <c r="V429" s="2199">
        <v>-2222.1347959949999</v>
      </c>
      <c r="W429" s="2195">
        <v>-2930.6284481349999</v>
      </c>
      <c r="X429" s="1972">
        <v>-3291.86</v>
      </c>
      <c r="Y429" s="1972">
        <v>-4573.75</v>
      </c>
      <c r="Z429" s="2199"/>
      <c r="AA429" s="2195">
        <v>-178.95776519500001</v>
      </c>
      <c r="AB429" s="2195">
        <v>-377.87487379999999</v>
      </c>
      <c r="AC429" s="2195">
        <v>-2371.9382495250002</v>
      </c>
      <c r="AD429" s="2195">
        <v>-0.357879371</v>
      </c>
      <c r="AE429" s="2195">
        <v>-0.34556325199999999</v>
      </c>
      <c r="AF429" s="1972">
        <v>-0.33639742</v>
      </c>
      <c r="AG429" s="1972">
        <v>-1.4006998070000001</v>
      </c>
      <c r="AH429" s="1972">
        <v>-0.22</v>
      </c>
      <c r="AI429" s="3081">
        <v>-0.230583912</v>
      </c>
      <c r="AJ429" s="1972">
        <v>-0.262813768</v>
      </c>
      <c r="AK429" s="2214"/>
      <c r="AL429" s="2199">
        <v>-556.83263899500002</v>
      </c>
    </row>
    <row r="430" spans="1:38" ht="15">
      <c r="A430" s="2205" t="s">
        <v>370</v>
      </c>
      <c r="B430" s="2199">
        <v>0</v>
      </c>
      <c r="C430" s="2199">
        <v>0</v>
      </c>
      <c r="D430" s="2199">
        <v>0</v>
      </c>
      <c r="E430" s="2199">
        <v>0</v>
      </c>
      <c r="F430" s="2199">
        <v>0</v>
      </c>
      <c r="G430" s="2199">
        <v>0</v>
      </c>
      <c r="H430" s="2199">
        <v>0</v>
      </c>
      <c r="I430" s="2199">
        <v>0</v>
      </c>
      <c r="J430" s="2199">
        <v>0</v>
      </c>
      <c r="K430" s="2199">
        <v>0</v>
      </c>
      <c r="L430" s="2199">
        <v>0</v>
      </c>
      <c r="M430" s="2199">
        <v>0</v>
      </c>
      <c r="N430" s="2199">
        <v>0</v>
      </c>
      <c r="O430" s="2199">
        <v>0</v>
      </c>
      <c r="P430" s="2199">
        <v>0</v>
      </c>
      <c r="Q430" s="2199">
        <v>0</v>
      </c>
      <c r="R430" s="2199">
        <v>0</v>
      </c>
      <c r="S430" s="2199">
        <v>0</v>
      </c>
      <c r="T430" s="2199">
        <v>0</v>
      </c>
      <c r="U430" s="2199">
        <v>0</v>
      </c>
      <c r="V430" s="2199">
        <v>0</v>
      </c>
      <c r="W430" s="2195">
        <v>0</v>
      </c>
      <c r="X430">
        <v>0</v>
      </c>
      <c r="Y430">
        <v>0</v>
      </c>
      <c r="Z430" s="2199"/>
      <c r="AA430" s="2195">
        <v>0</v>
      </c>
      <c r="AB430" s="2195">
        <v>0</v>
      </c>
      <c r="AC430" s="2195">
        <v>0</v>
      </c>
      <c r="AD430" s="2195">
        <v>-1.857559615</v>
      </c>
      <c r="AE430" s="2195">
        <v>-535.07432238499996</v>
      </c>
      <c r="AF430" s="1972">
        <v>-1269.1510453840001</v>
      </c>
      <c r="AG430" s="1972">
        <v>-18.119086577000001</v>
      </c>
      <c r="AH430" s="1972">
        <v>-1469.52</v>
      </c>
      <c r="AI430" s="3081">
        <v>-9.5569999999999995E-3</v>
      </c>
      <c r="AJ430" s="1972">
        <v>-2865.4703621879999</v>
      </c>
      <c r="AK430" s="2214"/>
      <c r="AL430" s="2199">
        <v>0</v>
      </c>
    </row>
    <row r="431" spans="1:38" ht="15">
      <c r="A431" s="2336" t="s">
        <v>371</v>
      </c>
      <c r="B431" s="2208">
        <v>58.122999999999998</v>
      </c>
      <c r="C431" s="2208">
        <v>305.39999999999998</v>
      </c>
      <c r="D431" s="2208">
        <v>275.62299999999999</v>
      </c>
      <c r="E431" s="2208">
        <v>380.00478808499997</v>
      </c>
      <c r="F431" s="2208">
        <v>376.205827957</v>
      </c>
      <c r="G431" s="2208">
        <v>281.98876411700002</v>
      </c>
      <c r="H431" s="2208">
        <v>-340.53252722299999</v>
      </c>
      <c r="I431" s="2208">
        <v>2448.7821215049999</v>
      </c>
      <c r="J431" s="2208">
        <v>119.015774662</v>
      </c>
      <c r="K431" s="2208">
        <v>-487.34593848600002</v>
      </c>
      <c r="L431" s="2208">
        <v>-2740.4136337989999</v>
      </c>
      <c r="M431" s="2208">
        <v>607.63612856999998</v>
      </c>
      <c r="N431" s="2208">
        <v>1903.4204985189999</v>
      </c>
      <c r="O431" s="2208">
        <v>993.45143384699998</v>
      </c>
      <c r="P431" s="2208">
        <v>140.80083563700001</v>
      </c>
      <c r="Q431" s="2208">
        <v>-1912.101935833</v>
      </c>
      <c r="R431" s="2208">
        <v>553.47916059800002</v>
      </c>
      <c r="S431" s="2208">
        <v>-514.37063705000003</v>
      </c>
      <c r="T431" s="2208">
        <v>3037.356550037</v>
      </c>
      <c r="U431" s="2208">
        <v>5364.6624344029997</v>
      </c>
      <c r="V431" s="2208">
        <v>-9773.3082163229992</v>
      </c>
      <c r="W431" s="2215">
        <v>-1168.3839386950001</v>
      </c>
      <c r="X431" s="2228">
        <v>-2197.77</v>
      </c>
      <c r="Y431" s="2228">
        <v>2801.32</v>
      </c>
      <c r="AA431" s="2195">
        <v>-168.106676636</v>
      </c>
      <c r="AB431" s="2195">
        <v>6856.5764479729996</v>
      </c>
      <c r="AC431" s="2215">
        <v>-2708.2795761739999</v>
      </c>
      <c r="AD431" s="2195">
        <v>0</v>
      </c>
      <c r="AE431" s="2195">
        <v>0</v>
      </c>
      <c r="AF431" s="1972">
        <v>0</v>
      </c>
      <c r="AG431" s="1972">
        <v>0</v>
      </c>
      <c r="AH431" s="1972">
        <v>0</v>
      </c>
      <c r="AI431" s="3081">
        <v>0</v>
      </c>
      <c r="AJ431" s="1972">
        <v>0</v>
      </c>
      <c r="AL431" s="2208">
        <v>6688.4697713369997</v>
      </c>
    </row>
    <row r="432" spans="1:38" ht="15">
      <c r="A432" s="2205" t="s">
        <v>372</v>
      </c>
      <c r="B432" s="2199">
        <v>70.234999999999999</v>
      </c>
      <c r="C432" s="2199">
        <v>-22.792000000000002</v>
      </c>
      <c r="D432" s="2199">
        <v>292.72500000000002</v>
      </c>
      <c r="E432" s="2199">
        <v>42.376722985999997</v>
      </c>
      <c r="F432" s="2199">
        <v>254.408056835</v>
      </c>
      <c r="G432" s="2199">
        <v>226.06310608499999</v>
      </c>
      <c r="H432" s="2199">
        <v>346.98812406600001</v>
      </c>
      <c r="I432" s="2199">
        <v>1068.0070991340001</v>
      </c>
      <c r="J432" s="2199">
        <v>-874.38226110100004</v>
      </c>
      <c r="K432" s="2199">
        <v>1466.2550577520001</v>
      </c>
      <c r="L432" s="2199">
        <v>-583.46780119200002</v>
      </c>
      <c r="M432" s="2199">
        <v>432.05612192500001</v>
      </c>
      <c r="N432" s="2199">
        <v>1585.3113037539999</v>
      </c>
      <c r="O432" s="2199">
        <v>-751.57329600000003</v>
      </c>
      <c r="P432" s="2199">
        <v>2428.6522380050001</v>
      </c>
      <c r="Q432" s="2199">
        <v>-2532.7018749859999</v>
      </c>
      <c r="R432" s="2199">
        <v>445.06769150500003</v>
      </c>
      <c r="S432" s="2199">
        <v>-460.68914622699998</v>
      </c>
      <c r="T432" s="2199">
        <v>1232.9112962889999</v>
      </c>
      <c r="U432" s="2199">
        <v>791.46587279899995</v>
      </c>
      <c r="V432" s="2199">
        <v>1037.755477702</v>
      </c>
      <c r="W432" s="2225">
        <v>1800.3375939990001</v>
      </c>
      <c r="X432" s="1972">
        <v>1044.2</v>
      </c>
      <c r="Y432" s="1972">
        <v>1330.71</v>
      </c>
      <c r="Z432" s="2199"/>
      <c r="AA432" s="2195">
        <v>-3153.9160125479998</v>
      </c>
      <c r="AB432" s="2195">
        <v>2984.619453194</v>
      </c>
      <c r="AC432" s="2215">
        <v>892.28185417899999</v>
      </c>
      <c r="AD432" s="2215">
        <v>1081.7875342980001</v>
      </c>
      <c r="AE432" s="2215">
        <v>-1900.2917796009999</v>
      </c>
      <c r="AF432" s="3079">
        <v>496.137431521</v>
      </c>
      <c r="AG432" s="3079">
        <v>1136.3171514999999</v>
      </c>
      <c r="AH432" s="3079">
        <v>1312.04</v>
      </c>
      <c r="AI432" s="3082">
        <v>-2631.2470789849999</v>
      </c>
      <c r="AJ432" s="3079">
        <v>3331.9531743849998</v>
      </c>
      <c r="AK432" s="2214"/>
      <c r="AL432" s="2199">
        <v>-169.29655935399978</v>
      </c>
    </row>
    <row r="433" spans="1:39" ht="15">
      <c r="A433" s="2335" t="s">
        <v>395</v>
      </c>
      <c r="B433" s="2208">
        <v>32.511000000000003</v>
      </c>
      <c r="C433" s="2208">
        <v>102.747</v>
      </c>
      <c r="D433" s="2208">
        <v>79.956000000000003</v>
      </c>
      <c r="E433" s="2208">
        <v>372.68143752499998</v>
      </c>
      <c r="F433" s="2208">
        <v>415.05816051099998</v>
      </c>
      <c r="G433" s="2208">
        <v>669.45169734599995</v>
      </c>
      <c r="H433" s="2208">
        <v>895.51480343100002</v>
      </c>
      <c r="I433" s="2208">
        <v>1242.502927497</v>
      </c>
      <c r="J433" s="2208">
        <v>2310.5100266310001</v>
      </c>
      <c r="K433" s="2208">
        <v>1436.12776553</v>
      </c>
      <c r="L433" s="2208">
        <v>2902.3828232820001</v>
      </c>
      <c r="M433" s="2208">
        <v>2318.9150220900001</v>
      </c>
      <c r="N433" s="2208">
        <v>2750.9711440149999</v>
      </c>
      <c r="O433" s="2208">
        <v>4336.2824477690001</v>
      </c>
      <c r="P433" s="2208">
        <v>3584.7091517690001</v>
      </c>
      <c r="Q433" s="2208">
        <v>6013.3613897739997</v>
      </c>
      <c r="R433" s="2208">
        <v>3480.6595147879998</v>
      </c>
      <c r="S433" s="2208">
        <v>3925.7272062930001</v>
      </c>
      <c r="T433" s="2208">
        <v>3453.388617569</v>
      </c>
      <c r="U433" s="2208">
        <v>4686.1913740379996</v>
      </c>
      <c r="V433" s="2208">
        <v>5417.8452932419996</v>
      </c>
      <c r="W433" s="2215">
        <v>6440.1771743219997</v>
      </c>
      <c r="X433" s="2228">
        <v>8279.16</v>
      </c>
      <c r="Y433" s="2228">
        <v>9315.44</v>
      </c>
      <c r="Z433" s="2208"/>
      <c r="AA433" s="2195">
        <v>6440.1771743219997</v>
      </c>
      <c r="AB433" s="2195">
        <v>3289.4244512290002</v>
      </c>
      <c r="AC433" s="2215">
        <v>6236.4751014060002</v>
      </c>
      <c r="AD433" s="2215">
        <v>7153.6250697949999</v>
      </c>
      <c r="AE433" s="2215">
        <v>8279.1566832209992</v>
      </c>
      <c r="AF433" s="3079">
        <v>6341.4575049960004</v>
      </c>
      <c r="AG433" s="3079">
        <v>6836.2625491950002</v>
      </c>
      <c r="AH433" s="3079">
        <v>7935.63</v>
      </c>
      <c r="AI433" s="3082">
        <v>9315.4404388839994</v>
      </c>
      <c r="AJ433" s="3079">
        <v>6755.6452142520002</v>
      </c>
      <c r="AL433" s="2208">
        <v>9729.6016255510003</v>
      </c>
    </row>
    <row r="434" spans="1:39" ht="15">
      <c r="A434" s="2205" t="s">
        <v>373</v>
      </c>
      <c r="B434" s="2199">
        <v>0</v>
      </c>
      <c r="C434" s="2199">
        <v>0</v>
      </c>
      <c r="D434" s="2199">
        <v>0</v>
      </c>
      <c r="E434" s="2199">
        <v>0</v>
      </c>
      <c r="F434" s="2199">
        <v>-1.452E-2</v>
      </c>
      <c r="G434" s="2199">
        <v>0</v>
      </c>
      <c r="H434" s="2199">
        <v>0</v>
      </c>
      <c r="I434" s="2199">
        <v>0</v>
      </c>
      <c r="J434" s="2199">
        <v>0</v>
      </c>
      <c r="K434" s="2199">
        <v>0</v>
      </c>
      <c r="L434" s="2199">
        <v>0</v>
      </c>
      <c r="M434" s="2199">
        <v>0</v>
      </c>
      <c r="N434" s="2199">
        <v>0</v>
      </c>
      <c r="O434" s="2199">
        <v>0</v>
      </c>
      <c r="P434" s="2199">
        <v>0</v>
      </c>
      <c r="Q434" s="2199">
        <v>0</v>
      </c>
      <c r="R434" s="2199">
        <v>0</v>
      </c>
      <c r="S434" s="2199">
        <v>-11.649442497000001</v>
      </c>
      <c r="T434" s="2199">
        <v>-0.10853982</v>
      </c>
      <c r="U434" s="2199">
        <v>-59.811953594999999</v>
      </c>
      <c r="V434" s="2199">
        <v>-15.423596622</v>
      </c>
      <c r="W434" s="2225">
        <v>38.641914900000003</v>
      </c>
      <c r="X434">
        <v>-7.92</v>
      </c>
      <c r="Y434">
        <v>-105.97</v>
      </c>
      <c r="Z434" s="2199"/>
      <c r="AA434" s="2195">
        <v>3.1632894550000001</v>
      </c>
      <c r="AB434" s="2195">
        <v>-37.568803017</v>
      </c>
      <c r="AC434" s="2215">
        <v>24.868114210000002</v>
      </c>
      <c r="AD434" s="2215">
        <v>43.744079128000003</v>
      </c>
      <c r="AE434" s="2215">
        <v>-37.407398624000002</v>
      </c>
      <c r="AF434" s="3079">
        <v>-1.332387322</v>
      </c>
      <c r="AG434" s="3079">
        <v>-36.947293338000001</v>
      </c>
      <c r="AH434" s="3079">
        <v>67.77</v>
      </c>
      <c r="AI434" s="3082">
        <v>71.451854353000002</v>
      </c>
      <c r="AJ434" s="3079">
        <v>-67.967393501000004</v>
      </c>
      <c r="AK434" s="2214"/>
      <c r="AL434" s="2199">
        <v>-34.405513562000003</v>
      </c>
    </row>
    <row r="435" spans="1:39" ht="15">
      <c r="A435" s="2335" t="s">
        <v>374</v>
      </c>
      <c r="B435" s="2208">
        <v>102.746</v>
      </c>
      <c r="C435" s="2208">
        <v>79.954999999999998</v>
      </c>
      <c r="D435" s="2208">
        <v>372.68099999999998</v>
      </c>
      <c r="E435" s="2208">
        <v>415.05816051099998</v>
      </c>
      <c r="F435" s="2208">
        <v>669.45169734599995</v>
      </c>
      <c r="G435" s="2208">
        <v>895.51480343100002</v>
      </c>
      <c r="H435" s="2208">
        <v>1242.502927497</v>
      </c>
      <c r="I435" s="2208">
        <v>2310.5100266310001</v>
      </c>
      <c r="J435" s="2208">
        <v>1436.12776553</v>
      </c>
      <c r="K435" s="2208">
        <v>2902.3828232820001</v>
      </c>
      <c r="L435" s="2208">
        <v>2318.9150220900001</v>
      </c>
      <c r="M435" s="2208">
        <v>2750.9711440149999</v>
      </c>
      <c r="N435" s="2208">
        <v>4336.2824477690001</v>
      </c>
      <c r="O435" s="2208">
        <v>3584.7091517690001</v>
      </c>
      <c r="P435" s="2208">
        <v>6013.3613897739997</v>
      </c>
      <c r="Q435" s="2208">
        <v>3480.6595147879998</v>
      </c>
      <c r="R435" s="2208">
        <v>3925.7272062930001</v>
      </c>
      <c r="S435" s="2208">
        <v>3453.388617569</v>
      </c>
      <c r="T435" s="2208">
        <v>4686.1913740379996</v>
      </c>
      <c r="U435" s="2208">
        <v>5417.8452932419996</v>
      </c>
      <c r="V435" s="2208">
        <v>6440.1771743219997</v>
      </c>
      <c r="W435" s="2372">
        <v>8279.1566832209992</v>
      </c>
      <c r="X435" s="2228">
        <v>9315.44</v>
      </c>
      <c r="Y435" s="2228">
        <v>10540.18</v>
      </c>
      <c r="Z435" s="2208"/>
      <c r="AA435" s="2195">
        <v>3289.4244512290002</v>
      </c>
      <c r="AB435" s="2195">
        <v>6236.4751014060002</v>
      </c>
      <c r="AC435" s="2215">
        <v>7153.6250697949999</v>
      </c>
      <c r="AD435" s="2215">
        <v>8279.1566832209992</v>
      </c>
      <c r="AE435" s="2215">
        <v>6341.4575049960004</v>
      </c>
      <c r="AF435" s="3079">
        <v>6836.2625491950002</v>
      </c>
      <c r="AG435" s="3079">
        <v>7935.6324073570004</v>
      </c>
      <c r="AH435" s="3079">
        <v>9315.44</v>
      </c>
      <c r="AI435" s="3082">
        <v>6755.6452142520002</v>
      </c>
      <c r="AJ435" s="3079">
        <v>10019.630995136</v>
      </c>
      <c r="AL435" s="2208">
        <v>9525.8995526350009</v>
      </c>
      <c r="AM435" s="2196"/>
    </row>
    <row r="436" spans="1:39" ht="15">
      <c r="A436" s="2219"/>
      <c r="V436" s="598"/>
      <c r="W436" s="598"/>
      <c r="X436" s="598"/>
      <c r="Y436" s="598"/>
      <c r="AK436" s="2214"/>
    </row>
    <row r="437" spans="1:39" ht="15">
      <c r="A437" s="2219" t="s">
        <v>396</v>
      </c>
      <c r="AK437" s="2214"/>
    </row>
    <row r="438" spans="1:39" ht="14.25">
      <c r="A438" s="2220" t="s">
        <v>397</v>
      </c>
      <c r="AK438" s="2214"/>
    </row>
    <row r="439" spans="1:39" ht="14.25">
      <c r="A439" s="2220" t="s">
        <v>398</v>
      </c>
      <c r="AK439" s="2214"/>
    </row>
    <row r="440" spans="1:39" ht="14.25">
      <c r="A440" s="2213" t="s">
        <v>399</v>
      </c>
      <c r="AK440" s="2214"/>
    </row>
    <row r="441" spans="1:39" ht="14.25">
      <c r="AK441" s="2214"/>
    </row>
    <row r="442" spans="1:39" ht="15">
      <c r="A442" s="2219" t="s">
        <v>400</v>
      </c>
      <c r="AK442" s="2214"/>
    </row>
    <row r="443" spans="1:39" ht="15">
      <c r="A443" s="2219" t="s">
        <v>401</v>
      </c>
      <c r="AK443" s="2214"/>
    </row>
    <row r="444" spans="1:39" ht="14.25">
      <c r="A444" s="2220" t="s">
        <v>402</v>
      </c>
      <c r="B444" s="2221">
        <v>0</v>
      </c>
      <c r="C444" s="2221">
        <v>0</v>
      </c>
      <c r="D444" s="2222">
        <v>-0.89991175829762504</v>
      </c>
      <c r="E444" s="2222">
        <v>-0.93479972805667977</v>
      </c>
      <c r="F444" s="2222">
        <v>-1.0322263045571851</v>
      </c>
      <c r="G444" s="2222">
        <v>-0.91493879260967803</v>
      </c>
      <c r="H444" s="2222">
        <v>-1.0103500372576493</v>
      </c>
      <c r="I444" s="2222">
        <v>-0.75411299088161809</v>
      </c>
      <c r="J444" s="2222">
        <v>-0.96599412048434186</v>
      </c>
      <c r="K444" s="2222">
        <v>-0.98275027412976312</v>
      </c>
      <c r="L444" s="2222">
        <v>-1.1721674642779289</v>
      </c>
      <c r="M444" s="2222">
        <v>-0.90570474118939814</v>
      </c>
      <c r="N444" s="2222">
        <v>-0.88903965584734224</v>
      </c>
      <c r="O444" s="2222">
        <v>-0.91886578555258414</v>
      </c>
      <c r="P444" s="2222">
        <v>-0.94916015735390347</v>
      </c>
      <c r="Q444" s="2222">
        <v>-1.0291365458317714</v>
      </c>
      <c r="R444" s="2222">
        <v>-0.78266257633587522</v>
      </c>
      <c r="S444" s="2222">
        <v>-0.93291066560367475</v>
      </c>
      <c r="T444" s="2222">
        <v>-0.76142312246393851</v>
      </c>
      <c r="U444" s="2222">
        <v>-0.7814355421352277</v>
      </c>
      <c r="V444" s="2222">
        <v>-1.2709731122145538</v>
      </c>
      <c r="W444" s="2222"/>
      <c r="X444" s="2222"/>
      <c r="Y444" s="2222"/>
      <c r="Z444" s="2222"/>
      <c r="AA444" s="2222"/>
      <c r="AB444" s="2222"/>
      <c r="AK444" s="2214"/>
      <c r="AL444" s="2334">
        <v>-0.60801765402449937</v>
      </c>
    </row>
    <row r="445" spans="1:39" ht="14.25">
      <c r="A445" s="2213" t="s">
        <v>403</v>
      </c>
      <c r="AK445" s="2214"/>
    </row>
    <row r="446" spans="1:39" ht="14.25">
      <c r="AK446" s="2214"/>
    </row>
    <row r="447" spans="1:39" ht="15">
      <c r="A447" s="2219" t="s">
        <v>404</v>
      </c>
      <c r="AK447" s="2214"/>
    </row>
    <row r="448" spans="1:39" ht="14.25">
      <c r="A448" s="2220" t="s">
        <v>405</v>
      </c>
      <c r="AK448" s="2214"/>
    </row>
    <row r="449" spans="1:78" ht="14.25">
      <c r="A449" s="2213" t="s">
        <v>403</v>
      </c>
      <c r="AK449" s="2214"/>
    </row>
    <row r="450" spans="1:78" ht="14.25">
      <c r="AK450" s="2214"/>
    </row>
    <row r="451" spans="1:78" ht="14.25">
      <c r="AK451" s="2214"/>
    </row>
    <row r="456" spans="1:78" ht="15">
      <c r="A456" s="3591" t="s">
        <v>2158</v>
      </c>
    </row>
    <row r="459" spans="1:78" ht="15">
      <c r="BZ459" s="2479"/>
    </row>
    <row r="460" spans="1:78" ht="15">
      <c r="BZ460" s="2479"/>
    </row>
    <row r="461" spans="1:78" ht="15">
      <c r="BZ461" s="2479"/>
    </row>
    <row r="462" spans="1:78" ht="15">
      <c r="BZ462" s="2479"/>
    </row>
    <row r="463" spans="1:78" ht="30">
      <c r="A463" s="1062" t="s">
        <v>322</v>
      </c>
      <c r="B463" s="358" t="s">
        <v>839</v>
      </c>
      <c r="BZ463" s="2478"/>
    </row>
    <row r="464" spans="1:78" ht="30">
      <c r="A464" s="1062" t="s">
        <v>323</v>
      </c>
      <c r="B464" s="358" t="s">
        <v>840</v>
      </c>
      <c r="L464" s="329"/>
      <c r="BZ464" s="2478"/>
    </row>
    <row r="465" spans="1:91" ht="14.25">
      <c r="C465" s="1063"/>
      <c r="L465" s="329"/>
    </row>
    <row r="466" spans="1:91" ht="15">
      <c r="A466" s="1062" t="s">
        <v>324</v>
      </c>
      <c r="B466" s="358" t="s">
        <v>841</v>
      </c>
      <c r="D466" s="1062" t="s">
        <v>325</v>
      </c>
      <c r="E466" s="358" t="s">
        <v>703</v>
      </c>
      <c r="F466" s="358" t="s">
        <v>704</v>
      </c>
      <c r="BZ466" s="2478"/>
    </row>
    <row r="467" spans="1:91" ht="15">
      <c r="A467" s="1062" t="s">
        <v>328</v>
      </c>
      <c r="B467" s="358" t="s">
        <v>329</v>
      </c>
      <c r="D467" s="1062" t="s">
        <v>330</v>
      </c>
      <c r="E467" s="358" t="s">
        <v>331</v>
      </c>
      <c r="F467" s="358" t="s">
        <v>332</v>
      </c>
      <c r="BZ467" s="2478"/>
    </row>
    <row r="468" spans="1:91" ht="14.25">
      <c r="BM468" s="360" t="s">
        <v>1020</v>
      </c>
      <c r="BN468" s="360" t="s">
        <v>1209</v>
      </c>
      <c r="BO468" s="360" t="s">
        <v>1210</v>
      </c>
      <c r="BP468" s="360" t="s">
        <v>1211</v>
      </c>
      <c r="BQ468" s="360" t="s">
        <v>1014</v>
      </c>
      <c r="BR468" s="360" t="s">
        <v>1017</v>
      </c>
      <c r="BS468" s="360" t="s">
        <v>1018</v>
      </c>
      <c r="BT468" s="360" t="s">
        <v>1019</v>
      </c>
      <c r="BU468" s="360" t="s">
        <v>1015</v>
      </c>
      <c r="BV468" s="360" t="s">
        <v>1036</v>
      </c>
      <c r="BW468" s="360" t="s">
        <v>1242</v>
      </c>
      <c r="BX468" s="360" t="s">
        <v>1354</v>
      </c>
      <c r="BY468" s="360" t="s">
        <v>1498</v>
      </c>
      <c r="BZ468" s="360" t="s">
        <v>1704</v>
      </c>
      <c r="CA468" s="360" t="s">
        <v>1789</v>
      </c>
      <c r="CB468" s="360" t="s">
        <v>1792</v>
      </c>
      <c r="CC468" s="360" t="s">
        <v>1793</v>
      </c>
      <c r="CD468" s="360" t="s">
        <v>1794</v>
      </c>
    </row>
    <row r="469" spans="1:91" ht="15">
      <c r="A469" s="2197"/>
      <c r="B469" s="2198" t="s">
        <v>705</v>
      </c>
      <c r="C469" s="2198" t="s">
        <v>706</v>
      </c>
      <c r="D469" s="2198" t="s">
        <v>707</v>
      </c>
      <c r="E469" s="2198" t="s">
        <v>708</v>
      </c>
      <c r="F469" s="2198" t="s">
        <v>709</v>
      </c>
      <c r="G469" s="2198" t="s">
        <v>710</v>
      </c>
      <c r="H469" s="2198" t="s">
        <v>711</v>
      </c>
      <c r="I469" s="2198" t="s">
        <v>712</v>
      </c>
      <c r="J469" s="2198" t="s">
        <v>713</v>
      </c>
      <c r="K469" s="2198" t="s">
        <v>714</v>
      </c>
      <c r="L469" s="2198" t="s">
        <v>715</v>
      </c>
      <c r="M469" s="2198" t="s">
        <v>716</v>
      </c>
      <c r="N469" s="2198" t="s">
        <v>717</v>
      </c>
      <c r="O469" s="2198" t="s">
        <v>718</v>
      </c>
      <c r="P469" s="2198" t="s">
        <v>719</v>
      </c>
      <c r="Q469" s="2198" t="s">
        <v>720</v>
      </c>
      <c r="R469" s="2198" t="s">
        <v>721</v>
      </c>
      <c r="S469" s="2198" t="s">
        <v>722</v>
      </c>
      <c r="T469" s="2198" t="s">
        <v>723</v>
      </c>
      <c r="U469" s="2198" t="s">
        <v>724</v>
      </c>
      <c r="V469" s="2198" t="s">
        <v>725</v>
      </c>
      <c r="W469" s="2198" t="s">
        <v>726</v>
      </c>
      <c r="X469" s="2198" t="s">
        <v>727</v>
      </c>
      <c r="Y469" s="2198" t="s">
        <v>728</v>
      </c>
      <c r="Z469" s="2198" t="s">
        <v>729</v>
      </c>
      <c r="AA469" s="2198" t="s">
        <v>730</v>
      </c>
      <c r="AB469" s="2198" t="s">
        <v>731</v>
      </c>
      <c r="AC469" s="2198" t="s">
        <v>732</v>
      </c>
      <c r="AD469" s="2198" t="s">
        <v>733</v>
      </c>
      <c r="AE469" s="2198" t="s">
        <v>734</v>
      </c>
      <c r="AF469" s="2198" t="s">
        <v>735</v>
      </c>
      <c r="AG469" s="2198" t="s">
        <v>736</v>
      </c>
      <c r="AH469" s="2198" t="s">
        <v>737</v>
      </c>
      <c r="AI469" s="2198" t="s">
        <v>738</v>
      </c>
      <c r="AJ469" s="2198" t="s">
        <v>739</v>
      </c>
      <c r="AK469" s="2198" t="s">
        <v>626</v>
      </c>
      <c r="AL469" s="2198" t="s">
        <v>627</v>
      </c>
      <c r="AM469" s="2198" t="s">
        <v>628</v>
      </c>
      <c r="AN469" s="2198" t="s">
        <v>629</v>
      </c>
      <c r="AO469" s="2198" t="s">
        <v>630</v>
      </c>
      <c r="AP469" s="2198" t="s">
        <v>631</v>
      </c>
      <c r="AQ469" s="2198" t="s">
        <v>632</v>
      </c>
      <c r="AR469" s="2198" t="s">
        <v>633</v>
      </c>
      <c r="AS469" s="2198" t="s">
        <v>634</v>
      </c>
      <c r="AT469" s="2198" t="s">
        <v>635</v>
      </c>
      <c r="AU469" s="2198" t="s">
        <v>636</v>
      </c>
      <c r="AV469" s="2198" t="s">
        <v>637</v>
      </c>
      <c r="AW469" s="2198" t="s">
        <v>638</v>
      </c>
      <c r="AX469" s="2198" t="s">
        <v>639</v>
      </c>
      <c r="AY469" s="2198" t="s">
        <v>640</v>
      </c>
      <c r="AZ469" s="2198" t="s">
        <v>641</v>
      </c>
      <c r="BA469" s="2198" t="s">
        <v>642</v>
      </c>
      <c r="BB469" s="2198" t="s">
        <v>643</v>
      </c>
      <c r="BC469" s="2198" t="s">
        <v>644</v>
      </c>
      <c r="BD469" s="2198" t="s">
        <v>645</v>
      </c>
      <c r="BE469" s="2198" t="s">
        <v>646</v>
      </c>
      <c r="BF469" s="2198" t="s">
        <v>647</v>
      </c>
      <c r="BG469" s="2198" t="s">
        <v>648</v>
      </c>
      <c r="BH469" s="2198" t="s">
        <v>649</v>
      </c>
      <c r="BI469" s="2198" t="s">
        <v>650</v>
      </c>
      <c r="BJ469" s="2198" t="s">
        <v>651</v>
      </c>
      <c r="BK469" s="2198" t="s">
        <v>652</v>
      </c>
      <c r="BL469" s="2198" t="s">
        <v>257</v>
      </c>
      <c r="BM469" s="2198" t="s">
        <v>653</v>
      </c>
      <c r="BN469" s="2198" t="s">
        <v>654</v>
      </c>
      <c r="BO469" s="2198" t="s">
        <v>655</v>
      </c>
      <c r="BP469" s="2198" t="s">
        <v>256</v>
      </c>
      <c r="BQ469" s="2198" t="s">
        <v>656</v>
      </c>
      <c r="BR469" s="2198" t="s">
        <v>290</v>
      </c>
      <c r="BS469" s="2198" t="s">
        <v>791</v>
      </c>
      <c r="BT469" s="2198" t="s">
        <v>792</v>
      </c>
      <c r="BU469" s="2198" t="s">
        <v>815</v>
      </c>
      <c r="BV469" s="2198" t="s">
        <v>1031</v>
      </c>
      <c r="BW469" s="2325" t="s">
        <v>1241</v>
      </c>
      <c r="BX469" s="2481" t="s">
        <v>1496</v>
      </c>
      <c r="BY469" s="2481" t="s">
        <v>1497</v>
      </c>
      <c r="BZ469" s="3078" t="s">
        <v>1677</v>
      </c>
      <c r="CA469" s="3492" t="s">
        <v>1791</v>
      </c>
      <c r="CB469" s="3492" t="s">
        <v>1803</v>
      </c>
      <c r="CC469" s="3493" t="s">
        <v>1976</v>
      </c>
      <c r="CD469" s="3494" t="s">
        <v>2004</v>
      </c>
      <c r="CE469" s="3494" t="s">
        <v>2075</v>
      </c>
      <c r="CF469" s="3492" t="s">
        <v>2076</v>
      </c>
      <c r="CG469" s="3499" t="s">
        <v>2088</v>
      </c>
      <c r="CH469" s="2355"/>
    </row>
    <row r="470" spans="1:91">
      <c r="A470" s="2201" t="s">
        <v>349</v>
      </c>
      <c r="B470" s="2202" t="s">
        <v>350</v>
      </c>
      <c r="C470" s="2202" t="s">
        <v>350</v>
      </c>
      <c r="D470" s="2202" t="s">
        <v>350</v>
      </c>
      <c r="E470" s="2202" t="s">
        <v>657</v>
      </c>
      <c r="F470" s="2202" t="s">
        <v>350</v>
      </c>
      <c r="G470" s="2202" t="s">
        <v>350</v>
      </c>
      <c r="H470" s="2202" t="s">
        <v>657</v>
      </c>
      <c r="I470" s="2202" t="s">
        <v>657</v>
      </c>
      <c r="J470" s="2202" t="s">
        <v>350</v>
      </c>
      <c r="K470" s="2202" t="s">
        <v>350</v>
      </c>
      <c r="L470" s="2202" t="s">
        <v>657</v>
      </c>
      <c r="M470" s="2202" t="s">
        <v>657</v>
      </c>
      <c r="N470" s="2202" t="s">
        <v>657</v>
      </c>
      <c r="O470" s="2202" t="s">
        <v>657</v>
      </c>
      <c r="P470" s="2202" t="s">
        <v>657</v>
      </c>
      <c r="Q470" s="2202" t="s">
        <v>657</v>
      </c>
      <c r="R470" s="2202" t="s">
        <v>657</v>
      </c>
      <c r="S470" s="2202" t="s">
        <v>657</v>
      </c>
      <c r="T470" s="2202" t="s">
        <v>657</v>
      </c>
      <c r="U470" s="2202" t="s">
        <v>657</v>
      </c>
      <c r="V470" s="2202" t="s">
        <v>657</v>
      </c>
      <c r="W470" s="2202" t="s">
        <v>657</v>
      </c>
      <c r="X470" s="2202" t="s">
        <v>657</v>
      </c>
      <c r="Y470" s="2202" t="s">
        <v>657</v>
      </c>
      <c r="Z470" s="2202" t="s">
        <v>657</v>
      </c>
      <c r="AA470" s="2202" t="s">
        <v>657</v>
      </c>
      <c r="AB470" s="2202" t="s">
        <v>657</v>
      </c>
      <c r="AC470" s="2202" t="s">
        <v>657</v>
      </c>
      <c r="AD470" s="2202" t="s">
        <v>657</v>
      </c>
      <c r="AE470" s="2202" t="s">
        <v>657</v>
      </c>
      <c r="AF470" s="2202" t="s">
        <v>657</v>
      </c>
      <c r="AG470" s="2202" t="s">
        <v>657</v>
      </c>
      <c r="AH470" s="2202" t="s">
        <v>657</v>
      </c>
      <c r="AI470" s="2202" t="s">
        <v>657</v>
      </c>
      <c r="AJ470" s="2202" t="s">
        <v>657</v>
      </c>
      <c r="AK470" s="2202" t="s">
        <v>657</v>
      </c>
      <c r="AL470" s="2202" t="s">
        <v>657</v>
      </c>
      <c r="AM470" s="2202" t="s">
        <v>657</v>
      </c>
      <c r="AN470" s="2202" t="s">
        <v>657</v>
      </c>
      <c r="AO470" s="2202" t="s">
        <v>657</v>
      </c>
      <c r="AP470" s="2202" t="s">
        <v>657</v>
      </c>
      <c r="AQ470" s="2202" t="s">
        <v>657</v>
      </c>
      <c r="AR470" s="2202" t="s">
        <v>657</v>
      </c>
      <c r="AS470" s="2202" t="s">
        <v>657</v>
      </c>
      <c r="AT470" s="2202" t="s">
        <v>350</v>
      </c>
      <c r="AU470" s="2202" t="s">
        <v>657</v>
      </c>
      <c r="AV470" s="2202" t="s">
        <v>657</v>
      </c>
      <c r="AW470" s="2202" t="s">
        <v>657</v>
      </c>
      <c r="AX470" s="2202" t="s">
        <v>350</v>
      </c>
      <c r="AY470" s="2202" t="s">
        <v>657</v>
      </c>
      <c r="AZ470" s="2202" t="s">
        <v>657</v>
      </c>
      <c r="BA470" s="2202" t="s">
        <v>657</v>
      </c>
      <c r="BB470" s="2202" t="s">
        <v>350</v>
      </c>
      <c r="BC470" s="2202" t="s">
        <v>657</v>
      </c>
      <c r="BD470" s="2202" t="s">
        <v>657</v>
      </c>
      <c r="BE470" s="2202" t="s">
        <v>657</v>
      </c>
      <c r="BF470" s="2202" t="s">
        <v>350</v>
      </c>
      <c r="BG470" s="2202" t="s">
        <v>657</v>
      </c>
      <c r="BH470" s="2202" t="s">
        <v>657</v>
      </c>
      <c r="BI470" s="2202" t="s">
        <v>657</v>
      </c>
      <c r="BJ470" s="2202" t="s">
        <v>350</v>
      </c>
      <c r="BK470" s="2202" t="s">
        <v>657</v>
      </c>
      <c r="BL470" s="2202" t="s">
        <v>657</v>
      </c>
      <c r="BM470" s="2202" t="s">
        <v>657</v>
      </c>
      <c r="BN470" s="2202" t="s">
        <v>350</v>
      </c>
      <c r="BO470" s="2202" t="s">
        <v>657</v>
      </c>
      <c r="BP470" s="2202" t="s">
        <v>657</v>
      </c>
      <c r="BQ470" s="2202" t="s">
        <v>657</v>
      </c>
      <c r="BR470" s="2202" t="s">
        <v>350</v>
      </c>
      <c r="BS470" s="2202" t="s">
        <v>657</v>
      </c>
      <c r="BT470" s="2202" t="s">
        <v>657</v>
      </c>
      <c r="BU470" s="2202" t="s">
        <v>657</v>
      </c>
      <c r="BV470" s="2202" t="s">
        <v>657</v>
      </c>
      <c r="BW470" s="2308" t="s">
        <v>1194</v>
      </c>
      <c r="BX470" s="2200" t="s">
        <v>1194</v>
      </c>
      <c r="BY470" s="2200" t="s">
        <v>1194</v>
      </c>
      <c r="BZ470" s="3056" t="s">
        <v>1194</v>
      </c>
      <c r="CA470" s="1447" t="s">
        <v>657</v>
      </c>
      <c r="CB470" s="1447" t="s">
        <v>1358</v>
      </c>
      <c r="CC470" s="3495" t="s">
        <v>1194</v>
      </c>
      <c r="CD470" s="1447" t="s">
        <v>1194</v>
      </c>
      <c r="CE470" s="1447" t="s">
        <v>1194</v>
      </c>
      <c r="CF470" s="1447" t="s">
        <v>1194</v>
      </c>
      <c r="CG470" s="3405" t="s">
        <v>1194</v>
      </c>
    </row>
    <row r="471" spans="1:91">
      <c r="A471" s="2204" t="s">
        <v>351</v>
      </c>
      <c r="B471" s="2205"/>
      <c r="C471" s="2205"/>
      <c r="D471" s="2205"/>
      <c r="E471" s="2205"/>
      <c r="F471" s="2205"/>
      <c r="G471" s="2205"/>
      <c r="H471" s="2205"/>
      <c r="I471" s="2205"/>
      <c r="J471" s="2205"/>
      <c r="K471" s="2205"/>
      <c r="L471" s="2205"/>
      <c r="M471" s="2205"/>
      <c r="N471" s="2205"/>
      <c r="O471" s="2205"/>
      <c r="P471" s="2205"/>
      <c r="Q471" s="2205"/>
      <c r="R471" s="2205"/>
      <c r="S471" s="2205"/>
      <c r="T471" s="2205"/>
      <c r="U471" s="2205"/>
      <c r="V471" s="2205"/>
      <c r="W471" s="2205"/>
      <c r="X471" s="2205"/>
      <c r="Y471" s="2205"/>
      <c r="Z471" s="2205"/>
      <c r="AA471" s="2205"/>
      <c r="AB471" s="2205"/>
      <c r="AC471" s="2205"/>
      <c r="AD471" s="2205" t="s">
        <v>352</v>
      </c>
      <c r="AE471" s="2205"/>
      <c r="AF471" s="2205"/>
      <c r="AG471" s="2205"/>
      <c r="AH471" s="2205"/>
      <c r="AI471" s="2205"/>
      <c r="AJ471" s="2205"/>
      <c r="AK471" s="2205"/>
      <c r="AL471" s="2205"/>
      <c r="AM471" s="2205"/>
      <c r="AN471" s="2205"/>
      <c r="AO471" s="2205"/>
      <c r="AP471" s="2205"/>
      <c r="AQ471" s="2205"/>
      <c r="AR471" s="2205"/>
      <c r="AS471" s="2205"/>
      <c r="AT471" s="2205"/>
      <c r="AU471" s="2205"/>
      <c r="AV471" s="2205"/>
      <c r="AW471" s="2205"/>
      <c r="AX471" s="2205"/>
      <c r="AY471" s="2205"/>
      <c r="AZ471" s="2205"/>
      <c r="BA471" s="2205"/>
      <c r="BB471" s="2205"/>
      <c r="BC471" s="2205"/>
      <c r="BD471" s="2205"/>
      <c r="BE471" s="2205"/>
      <c r="BF471" s="2205" t="s">
        <v>352</v>
      </c>
      <c r="BG471" s="2205"/>
      <c r="BH471" s="2205"/>
      <c r="BI471" s="2205"/>
      <c r="BJ471" s="2205" t="s">
        <v>352</v>
      </c>
      <c r="BK471" s="2205"/>
      <c r="BL471" s="2205"/>
      <c r="BM471" s="2205"/>
      <c r="BN471" s="2205"/>
      <c r="BO471" s="2205"/>
      <c r="BP471" s="2205"/>
      <c r="BQ471" s="2205"/>
      <c r="BR471" s="2205" t="s">
        <v>658</v>
      </c>
      <c r="BS471" s="2205"/>
      <c r="BT471" s="2205"/>
      <c r="BU471" s="2205"/>
      <c r="BV471" s="2205"/>
      <c r="BW471" s="1447"/>
      <c r="BX471" s="2200"/>
      <c r="BY471" s="2200"/>
      <c r="BZ471" s="3056"/>
      <c r="CA471" s="1447"/>
      <c r="CB471" s="1447"/>
      <c r="CC471" s="3495"/>
      <c r="CD471" s="1447"/>
      <c r="CE471" s="1447"/>
      <c r="CF471" s="1447"/>
      <c r="CG471" s="1985"/>
    </row>
    <row r="472" spans="1:91">
      <c r="A472" s="2204" t="s">
        <v>353</v>
      </c>
      <c r="B472" s="2205"/>
      <c r="C472" s="2205"/>
      <c r="D472" s="2205"/>
      <c r="E472" s="2205"/>
      <c r="F472" s="2205"/>
      <c r="G472" s="2205"/>
      <c r="H472" s="2205"/>
      <c r="I472" s="2205"/>
      <c r="J472" s="2205"/>
      <c r="K472" s="2205"/>
      <c r="L472" s="2205"/>
      <c r="M472" s="2205"/>
      <c r="N472" s="2205"/>
      <c r="O472" s="2205"/>
      <c r="P472" s="2205"/>
      <c r="Q472" s="2205"/>
      <c r="R472" s="2205"/>
      <c r="S472" s="2205"/>
      <c r="T472" s="2205"/>
      <c r="U472" s="2205"/>
      <c r="V472" s="2205"/>
      <c r="W472" s="2205"/>
      <c r="X472" s="2205"/>
      <c r="Y472" s="2205"/>
      <c r="Z472" s="2205"/>
      <c r="AA472" s="2205"/>
      <c r="AB472" s="2205"/>
      <c r="AC472" s="2205"/>
      <c r="AD472" s="2205" t="s">
        <v>354</v>
      </c>
      <c r="AE472" s="2205"/>
      <c r="AF472" s="2205"/>
      <c r="AG472" s="2205"/>
      <c r="AH472" s="2205"/>
      <c r="AI472" s="2205"/>
      <c r="AJ472" s="2205"/>
      <c r="AK472" s="2205"/>
      <c r="AL472" s="2205"/>
      <c r="AM472" s="2205"/>
      <c r="AN472" s="2205"/>
      <c r="AO472" s="2205"/>
      <c r="AP472" s="2205"/>
      <c r="AQ472" s="2205"/>
      <c r="AR472" s="2205"/>
      <c r="AS472" s="2205"/>
      <c r="AT472" s="2205"/>
      <c r="AU472" s="2205"/>
      <c r="AV472" s="2205"/>
      <c r="AW472" s="2205"/>
      <c r="AX472" s="2205"/>
      <c r="AY472" s="2205"/>
      <c r="AZ472" s="2205"/>
      <c r="BA472" s="2205"/>
      <c r="BB472" s="2205"/>
      <c r="BC472" s="2205"/>
      <c r="BD472" s="2205"/>
      <c r="BE472" s="2205"/>
      <c r="BF472" s="2205" t="s">
        <v>354</v>
      </c>
      <c r="BG472" s="2205"/>
      <c r="BH472" s="2205"/>
      <c r="BI472" s="2205"/>
      <c r="BJ472" s="2205" t="s">
        <v>354</v>
      </c>
      <c r="BK472" s="2205"/>
      <c r="BL472" s="2205"/>
      <c r="BM472" s="2205"/>
      <c r="BN472" s="2205"/>
      <c r="BO472" s="2205"/>
      <c r="BP472" s="2205"/>
      <c r="BQ472" s="2205"/>
      <c r="BR472" s="2205" t="s">
        <v>354</v>
      </c>
      <c r="BS472" s="2205"/>
      <c r="BT472" s="2205"/>
      <c r="BU472" s="2205"/>
      <c r="BV472" s="2205"/>
      <c r="BW472" s="1447"/>
      <c r="BX472" s="2200"/>
      <c r="BY472" s="2200"/>
      <c r="BZ472" s="3056"/>
      <c r="CA472" s="1447"/>
      <c r="CB472" s="1447"/>
      <c r="CC472" s="3495"/>
      <c r="CD472" s="1447"/>
      <c r="CE472" s="1447"/>
      <c r="CF472" s="1447"/>
      <c r="CG472" s="1985"/>
    </row>
    <row r="473" spans="1:91" ht="15.75">
      <c r="A473" s="2204" t="s">
        <v>659</v>
      </c>
      <c r="B473" s="2199">
        <v>0</v>
      </c>
      <c r="C473" s="2199">
        <v>0</v>
      </c>
      <c r="D473" s="2199">
        <v>0</v>
      </c>
      <c r="E473" s="2199">
        <v>4753.7505667289997</v>
      </c>
      <c r="F473" s="2199">
        <v>0</v>
      </c>
      <c r="G473" s="2199">
        <v>0</v>
      </c>
      <c r="H473" s="2199">
        <v>5452.4308644020002</v>
      </c>
      <c r="I473" s="2199">
        <v>7142.5534799039997</v>
      </c>
      <c r="J473" s="2199">
        <v>5663.5847189699998</v>
      </c>
      <c r="K473" s="2199">
        <v>6238.1094202719996</v>
      </c>
      <c r="L473" s="2199">
        <v>9376.3972681960004</v>
      </c>
      <c r="M473" s="2199">
        <v>8403.5305723649999</v>
      </c>
      <c r="N473" s="2199">
        <v>8830.4573092549999</v>
      </c>
      <c r="O473" s="2199">
        <v>7464.3275570449996</v>
      </c>
      <c r="P473" s="2199">
        <v>9113.0844234279994</v>
      </c>
      <c r="Q473" s="2199">
        <v>7438.681961628</v>
      </c>
      <c r="R473" s="2199">
        <v>8799.3901273789998</v>
      </c>
      <c r="S473" s="2199">
        <v>8377.0665723670008</v>
      </c>
      <c r="T473" s="2199">
        <v>14983.873055399999</v>
      </c>
      <c r="U473" s="2199">
        <v>8020.4290572379996</v>
      </c>
      <c r="V473" s="2199">
        <v>10723.957823328999</v>
      </c>
      <c r="W473" s="2199">
        <v>12602.884150567999</v>
      </c>
      <c r="X473" s="2199">
        <v>10198.524365711</v>
      </c>
      <c r="Y473" s="2199">
        <v>10210.524580435</v>
      </c>
      <c r="Z473" s="2199">
        <v>9329.7717418350003</v>
      </c>
      <c r="AA473" s="2199">
        <v>10140.718445304999</v>
      </c>
      <c r="AB473" s="2199">
        <v>13842.904276694</v>
      </c>
      <c r="AC473" s="2199">
        <v>8940.9790148720003</v>
      </c>
      <c r="AD473" s="2199">
        <v>9669.2738321720008</v>
      </c>
      <c r="AE473" s="2199">
        <v>9875.1519812759998</v>
      </c>
      <c r="AF473" s="2199">
        <v>10040.654310254</v>
      </c>
      <c r="AG473" s="2199">
        <v>8624.7466823449995</v>
      </c>
      <c r="AH473" s="2199">
        <v>9356.1743111680007</v>
      </c>
      <c r="AI473" s="2199">
        <v>12022.073340628</v>
      </c>
      <c r="AJ473" s="2199">
        <v>11312.683119637</v>
      </c>
      <c r="AK473" s="2199">
        <v>10917.007018701001</v>
      </c>
      <c r="AL473" s="2199">
        <v>10733.370147857</v>
      </c>
      <c r="AM473" s="2199">
        <v>13536.552309844001</v>
      </c>
      <c r="AN473" s="2199">
        <v>15407.479354559</v>
      </c>
      <c r="AO473" s="2199">
        <v>8758.0709439559996</v>
      </c>
      <c r="AP473" s="2199">
        <v>9479.1615526250007</v>
      </c>
      <c r="AQ473" s="2199">
        <v>9728.9807647760008</v>
      </c>
      <c r="AR473" s="2199">
        <v>10476.293038008</v>
      </c>
      <c r="AS473" s="2199">
        <v>8702.5903041719994</v>
      </c>
      <c r="AT473" s="2199">
        <v>9213.3175097660005</v>
      </c>
      <c r="AU473" s="2199">
        <v>9963.5125850889999</v>
      </c>
      <c r="AV473" s="2199">
        <v>12615.351927832</v>
      </c>
      <c r="AW473" s="2199">
        <v>9606.9524515749999</v>
      </c>
      <c r="AX473" s="2199">
        <v>10089.127514119</v>
      </c>
      <c r="AY473" s="2199">
        <v>10973.968764817</v>
      </c>
      <c r="AZ473" s="2199">
        <v>12661.494286638999</v>
      </c>
      <c r="BA473" s="2324">
        <v>4756.965340838</v>
      </c>
      <c r="BB473" s="2324">
        <v>5479.3493286399998</v>
      </c>
      <c r="BC473" s="2324">
        <v>6047.7295579239999</v>
      </c>
      <c r="BD473" s="2324">
        <v>6975.0820498639996</v>
      </c>
      <c r="BE473" s="2324">
        <v>5672.1263634090001</v>
      </c>
      <c r="BF473" s="2324">
        <v>6834.1813837870004</v>
      </c>
      <c r="BG473" s="2324">
        <v>7138.8048486150001</v>
      </c>
      <c r="BH473" s="2324">
        <v>8146.8695811440002</v>
      </c>
      <c r="BI473" s="2324">
        <v>6645.0143717889996</v>
      </c>
      <c r="BJ473" s="2324">
        <v>6997.2634889820001</v>
      </c>
      <c r="BK473" s="2324">
        <v>7578.6910431959996</v>
      </c>
      <c r="BL473" s="2324">
        <v>8700.7292403289994</v>
      </c>
      <c r="BM473" s="2324">
        <v>7605.6746785349997</v>
      </c>
      <c r="BN473" s="2324">
        <v>8625.5044433010007</v>
      </c>
      <c r="BO473" s="2324">
        <v>8687.0496143410001</v>
      </c>
      <c r="BP473" s="2324">
        <v>10714.772437502001</v>
      </c>
      <c r="BQ473" s="2324">
        <v>9731.8324205999998</v>
      </c>
      <c r="BR473" s="2324">
        <v>10096.707659064001</v>
      </c>
      <c r="BS473" s="2324">
        <v>11148.779552747999</v>
      </c>
      <c r="BT473" s="2324">
        <v>13053.462794764</v>
      </c>
      <c r="BU473" s="2324">
        <v>11683.021258544</v>
      </c>
      <c r="BV473" s="2324">
        <v>12484.515133084</v>
      </c>
      <c r="BW473" s="2200">
        <v>13761.831884948</v>
      </c>
      <c r="BX473" s="2227">
        <v>14695.806584757</v>
      </c>
      <c r="BY473" s="2227">
        <v>14093.297397476001</v>
      </c>
      <c r="BZ473" s="3057">
        <v>15245.892288520001</v>
      </c>
      <c r="CA473" s="2225">
        <v>15972.3970697</v>
      </c>
      <c r="CB473" s="2225">
        <v>17651.07</v>
      </c>
      <c r="CC473" s="3496">
        <v>16064.980391264</v>
      </c>
      <c r="CD473" s="2225">
        <v>16658.335760738999</v>
      </c>
      <c r="CE473" s="3480">
        <v>17225.507121683</v>
      </c>
      <c r="CF473" s="3480">
        <v>20258.865670866999</v>
      </c>
      <c r="CG473" s="3500">
        <v>12485.836704351999</v>
      </c>
      <c r="CH473" s="3079"/>
      <c r="CI473" s="2515">
        <v>29339.189685996003</v>
      </c>
      <c r="CK473" s="2515"/>
      <c r="CL473" s="2515">
        <v>32723.316152002997</v>
      </c>
      <c r="CM473" s="268">
        <v>1</v>
      </c>
    </row>
    <row r="474" spans="1:91" ht="15.75">
      <c r="A474" s="2204" t="s">
        <v>660</v>
      </c>
      <c r="B474" s="2199">
        <v>0</v>
      </c>
      <c r="C474" s="2199">
        <v>0</v>
      </c>
      <c r="D474" s="2199">
        <v>0</v>
      </c>
      <c r="E474" s="2199">
        <v>0</v>
      </c>
      <c r="F474" s="2199">
        <v>0</v>
      </c>
      <c r="G474" s="2199">
        <v>0</v>
      </c>
      <c r="H474" s="2199">
        <v>0</v>
      </c>
      <c r="I474" s="2199">
        <v>0</v>
      </c>
      <c r="J474" s="2199">
        <v>0</v>
      </c>
      <c r="K474" s="2199">
        <v>0</v>
      </c>
      <c r="L474" s="2199">
        <v>0</v>
      </c>
      <c r="M474" s="2199">
        <v>0</v>
      </c>
      <c r="N474" s="2199">
        <v>0</v>
      </c>
      <c r="O474" s="2199">
        <v>0</v>
      </c>
      <c r="P474" s="2199">
        <v>0</v>
      </c>
      <c r="Q474" s="2199">
        <v>0</v>
      </c>
      <c r="R474" s="2199">
        <v>0</v>
      </c>
      <c r="S474" s="2199">
        <v>0</v>
      </c>
      <c r="T474" s="2199">
        <v>0</v>
      </c>
      <c r="U474" s="2199">
        <v>-2.8987632049999998</v>
      </c>
      <c r="V474" s="2199">
        <v>0</v>
      </c>
      <c r="W474" s="2199">
        <v>0</v>
      </c>
      <c r="X474" s="2199">
        <v>0</v>
      </c>
      <c r="Y474" s="2199">
        <v>-11.429357380000001</v>
      </c>
      <c r="Z474" s="2199">
        <v>0</v>
      </c>
      <c r="AA474" s="2199">
        <v>0</v>
      </c>
      <c r="AB474" s="2199">
        <v>-10.878113243</v>
      </c>
      <c r="AC474" s="2199">
        <v>-3.6273020680000001</v>
      </c>
      <c r="AD474" s="2199">
        <v>-2.6610820899999998</v>
      </c>
      <c r="AE474" s="2199">
        <v>-5.4108840789999997</v>
      </c>
      <c r="AF474" s="2199">
        <v>-19.879720823</v>
      </c>
      <c r="AG474" s="2199">
        <v>-13.707363596</v>
      </c>
      <c r="AH474" s="2199">
        <v>-19.61274702</v>
      </c>
      <c r="AI474" s="2199">
        <v>-21.473944371999998</v>
      </c>
      <c r="AJ474" s="2199">
        <v>-29.256140371000001</v>
      </c>
      <c r="AK474" s="2199">
        <v>-49.685343347</v>
      </c>
      <c r="AL474" s="2199">
        <v>-47.959136694999998</v>
      </c>
      <c r="AM474" s="2199">
        <v>-59.337401733999997</v>
      </c>
      <c r="AN474" s="2199">
        <v>-74.288021510999997</v>
      </c>
      <c r="AO474" s="2199">
        <v>-116.589493666</v>
      </c>
      <c r="AP474" s="2199">
        <v>-150.621636728</v>
      </c>
      <c r="AQ474" s="2199">
        <v>-201.51725819999999</v>
      </c>
      <c r="AR474" s="2199">
        <v>-27.250254334000001</v>
      </c>
      <c r="AS474" s="2199">
        <v>-236.07204315300001</v>
      </c>
      <c r="AT474" s="2199">
        <v>-254.79107718700001</v>
      </c>
      <c r="AU474" s="2199">
        <v>-208.22423499300001</v>
      </c>
      <c r="AV474" s="2199">
        <v>-215.77883806200001</v>
      </c>
      <c r="AW474" s="2199">
        <v>-188.83288395400001</v>
      </c>
      <c r="AX474" s="2199">
        <v>-142.42491533899999</v>
      </c>
      <c r="AY474" s="2199">
        <v>-142.77072737200001</v>
      </c>
      <c r="AZ474" s="2199">
        <v>-165.75693397399999</v>
      </c>
      <c r="BA474" s="2324">
        <v>-6.196729221</v>
      </c>
      <c r="BB474" s="2324">
        <v>-5.0866045399999997</v>
      </c>
      <c r="BC474" s="2324">
        <v>-11.670624489</v>
      </c>
      <c r="BD474" s="2324">
        <v>-22.635461290999999</v>
      </c>
      <c r="BE474" s="2324">
        <v>-5.6467473449999996</v>
      </c>
      <c r="BF474" s="2324">
        <v>-8.2628591890000003</v>
      </c>
      <c r="BG474" s="2324">
        <v>-34.430711072000001</v>
      </c>
      <c r="BH474" s="2324">
        <v>-26.681706947999999</v>
      </c>
      <c r="BI474" s="2324">
        <v>-14.449460351000001</v>
      </c>
      <c r="BJ474" s="2324">
        <v>-17.260990645</v>
      </c>
      <c r="BK474" s="2324">
        <v>-25.562539124000001</v>
      </c>
      <c r="BL474" s="2324">
        <v>-34.024627352000003</v>
      </c>
      <c r="BM474" s="2324">
        <v>-19.347008581000001</v>
      </c>
      <c r="BN474" s="2324">
        <v>16.20284152</v>
      </c>
      <c r="BO474" s="2324">
        <v>38.122342631000002</v>
      </c>
      <c r="BP474" s="2324">
        <v>-10.716804222</v>
      </c>
      <c r="BQ474" s="2324">
        <v>-1.578576209</v>
      </c>
      <c r="BR474" s="2324">
        <v>-0.64756810499999995</v>
      </c>
      <c r="BS474" s="2324">
        <v>-0.22053239499999999</v>
      </c>
      <c r="BT474" s="2324">
        <v>-11.036523655</v>
      </c>
      <c r="BU474" s="2324">
        <v>-1.6423752410000001</v>
      </c>
      <c r="BV474" s="2324">
        <v>-0.15086818199999999</v>
      </c>
      <c r="BW474" s="2200">
        <v>-8.6909090999999994E-2</v>
      </c>
      <c r="BX474" s="2227">
        <v>-5.3938814339999999</v>
      </c>
      <c r="BY474" s="2227">
        <v>-0.36898377700000001</v>
      </c>
      <c r="BZ474" s="3057">
        <v>-0.66587249999999998</v>
      </c>
      <c r="CA474" s="2225">
        <v>-69.575353942999996</v>
      </c>
      <c r="CB474" s="2225">
        <v>-43.25</v>
      </c>
      <c r="CC474" s="3496">
        <v>-6.8394488039999999</v>
      </c>
      <c r="CD474" s="2225">
        <v>-33.622720672</v>
      </c>
      <c r="CE474" s="3480">
        <v>-20.985896381</v>
      </c>
      <c r="CF474" s="3480">
        <v>-33.415777986000002</v>
      </c>
      <c r="CG474" s="3500">
        <v>-5.8394975770000004</v>
      </c>
      <c r="CH474" s="3079"/>
      <c r="CI474" s="2515">
        <v>-1.034856277</v>
      </c>
      <c r="CJ474" s="2515">
        <v>-40.462169476</v>
      </c>
      <c r="CK474" s="2515"/>
      <c r="CL474" s="2515">
        <v>-40.462169476</v>
      </c>
      <c r="CM474" s="268">
        <v>-1.2364935536499197E-3</v>
      </c>
    </row>
    <row r="475" spans="1:91" ht="15.75">
      <c r="A475" s="2204" t="s">
        <v>140</v>
      </c>
      <c r="B475" s="2199">
        <v>0</v>
      </c>
      <c r="C475" s="2199">
        <v>0</v>
      </c>
      <c r="D475" s="2199">
        <v>0</v>
      </c>
      <c r="E475" s="2199">
        <v>4753.7505667289997</v>
      </c>
      <c r="F475" s="2199">
        <v>0</v>
      </c>
      <c r="G475" s="2199">
        <v>0</v>
      </c>
      <c r="H475" s="2199">
        <v>5452.4308644020002</v>
      </c>
      <c r="I475" s="2199">
        <v>7142.5534799039997</v>
      </c>
      <c r="J475" s="2199">
        <v>5663.5847189699998</v>
      </c>
      <c r="K475" s="2199">
        <v>6238.1094202719996</v>
      </c>
      <c r="L475" s="2199">
        <v>9376.3972681960004</v>
      </c>
      <c r="M475" s="2199">
        <v>8403.5305723649999</v>
      </c>
      <c r="N475" s="2199">
        <v>8830.4573092549999</v>
      </c>
      <c r="O475" s="2199">
        <v>7464.3275570449996</v>
      </c>
      <c r="P475" s="2199">
        <v>9113.0844234279994</v>
      </c>
      <c r="Q475" s="2199">
        <v>7438.681961628</v>
      </c>
      <c r="R475" s="2199">
        <v>8799.3901273789998</v>
      </c>
      <c r="S475" s="2199">
        <v>8377.0665723670008</v>
      </c>
      <c r="T475" s="2199">
        <v>14983.873055399999</v>
      </c>
      <c r="U475" s="2199">
        <v>8017.5302940330002</v>
      </c>
      <c r="V475" s="2199">
        <v>10723.957823328999</v>
      </c>
      <c r="W475" s="2199">
        <v>12602.884150567999</v>
      </c>
      <c r="X475" s="2199">
        <v>10198.524365711</v>
      </c>
      <c r="Y475" s="2199">
        <v>10199.095223054999</v>
      </c>
      <c r="Z475" s="2199">
        <v>9329.7717418350003</v>
      </c>
      <c r="AA475" s="2199">
        <v>10140.718445304999</v>
      </c>
      <c r="AB475" s="2199">
        <v>13832.026163451001</v>
      </c>
      <c r="AC475" s="2199">
        <v>8937.3517128040003</v>
      </c>
      <c r="AD475" s="2199">
        <v>9666.6127500820003</v>
      </c>
      <c r="AE475" s="2199">
        <v>9869.7410971970003</v>
      </c>
      <c r="AF475" s="2199">
        <v>10020.774589430999</v>
      </c>
      <c r="AG475" s="2199">
        <v>8611.0393187490008</v>
      </c>
      <c r="AH475" s="2199">
        <v>9336.5615641479999</v>
      </c>
      <c r="AI475" s="2199">
        <v>12000.599396256001</v>
      </c>
      <c r="AJ475" s="2199">
        <v>11283.426979266</v>
      </c>
      <c r="AK475" s="2199">
        <v>10867.321675354</v>
      </c>
      <c r="AL475" s="2199">
        <v>10685.411011161999</v>
      </c>
      <c r="AM475" s="2199">
        <v>13477.21490811</v>
      </c>
      <c r="AN475" s="2199">
        <v>15333.191333048</v>
      </c>
      <c r="AO475" s="2199">
        <v>8641.4814502900008</v>
      </c>
      <c r="AP475" s="2199">
        <v>9328.5399158969994</v>
      </c>
      <c r="AQ475" s="2199">
        <v>9527.4635065759994</v>
      </c>
      <c r="AR475" s="2199">
        <v>10449.042783674</v>
      </c>
      <c r="AS475" s="2199">
        <v>8466.5182610190004</v>
      </c>
      <c r="AT475" s="2199">
        <v>8958.5264325789994</v>
      </c>
      <c r="AU475" s="2199">
        <v>9755.2883500959997</v>
      </c>
      <c r="AV475" s="2199">
        <v>12399.57308977</v>
      </c>
      <c r="AW475" s="2199">
        <v>9418.1195676210009</v>
      </c>
      <c r="AX475" s="2199">
        <v>9946.7025987800007</v>
      </c>
      <c r="AY475" s="2199">
        <v>10831.198037444999</v>
      </c>
      <c r="AZ475" s="2199">
        <v>12495.737352665001</v>
      </c>
      <c r="BA475" s="2324">
        <v>4750.7686116169998</v>
      </c>
      <c r="BB475" s="2324">
        <v>5474.2627241</v>
      </c>
      <c r="BC475" s="2324">
        <v>6036.0589334349997</v>
      </c>
      <c r="BD475" s="2324">
        <v>6952.4465885729996</v>
      </c>
      <c r="BE475" s="2324">
        <v>5666.4796160639999</v>
      </c>
      <c r="BF475" s="2324">
        <v>6825.9185245979997</v>
      </c>
      <c r="BG475" s="2324">
        <v>7104.374137543</v>
      </c>
      <c r="BH475" s="2324">
        <v>8120.1878741959999</v>
      </c>
      <c r="BI475" s="2324">
        <v>6630.5649114380003</v>
      </c>
      <c r="BJ475" s="2324">
        <v>6980.0024983370004</v>
      </c>
      <c r="BK475" s="2324">
        <v>7553.1285040720004</v>
      </c>
      <c r="BL475" s="2324">
        <v>8666.7046129770006</v>
      </c>
      <c r="BM475" s="2324">
        <v>7586.3276699540002</v>
      </c>
      <c r="BN475" s="2324">
        <v>8641.7072848209991</v>
      </c>
      <c r="BO475" s="2324">
        <v>8725.1719569720008</v>
      </c>
      <c r="BP475" s="2324">
        <v>10704.055633280001</v>
      </c>
      <c r="BQ475" s="2324">
        <v>9730.2538443909998</v>
      </c>
      <c r="BR475" s="2324">
        <v>10096.060090958999</v>
      </c>
      <c r="BS475" s="2324">
        <v>11148.559020352999</v>
      </c>
      <c r="BT475" s="2324">
        <v>13042.426271109</v>
      </c>
      <c r="BU475" s="2324">
        <v>11681.378883302999</v>
      </c>
      <c r="BV475" s="2324">
        <v>12484.364264902</v>
      </c>
      <c r="BW475" s="2200">
        <v>13761.744975857</v>
      </c>
      <c r="BX475" s="2227">
        <v>14690.412703323</v>
      </c>
      <c r="BY475" s="2227">
        <v>14092.928413699001</v>
      </c>
      <c r="BZ475" s="3057">
        <v>15245.226416019999</v>
      </c>
      <c r="CA475" s="2225">
        <v>15902.821715757</v>
      </c>
      <c r="CB475" s="2225">
        <v>17607.82</v>
      </c>
      <c r="CC475" s="3496">
        <v>16058.140942460001</v>
      </c>
      <c r="CD475" s="2225">
        <v>16624.713040066999</v>
      </c>
      <c r="CE475" s="3480">
        <v>17204.521225302</v>
      </c>
      <c r="CF475" s="3480">
        <v>20225.449892880999</v>
      </c>
      <c r="CG475" s="3500">
        <v>12479.997206775</v>
      </c>
      <c r="CH475" s="3079"/>
      <c r="CI475" s="2515">
        <v>29338.154829719002</v>
      </c>
      <c r="CJ475" s="2515">
        <v>32682.853982526998</v>
      </c>
      <c r="CK475" s="2515"/>
      <c r="CL475" s="2515">
        <v>32682.853982526998</v>
      </c>
      <c r="CM475" s="268">
        <v>0.99876350644635015</v>
      </c>
    </row>
    <row r="476" spans="1:91" ht="15.75">
      <c r="A476" s="2204" t="s">
        <v>661</v>
      </c>
      <c r="B476" s="2199">
        <v>0</v>
      </c>
      <c r="C476" s="2199">
        <v>0</v>
      </c>
      <c r="D476" s="2199">
        <v>0</v>
      </c>
      <c r="E476" s="2199">
        <v>-4426.6462541629999</v>
      </c>
      <c r="F476" s="2199">
        <v>0</v>
      </c>
      <c r="G476" s="2199">
        <v>0</v>
      </c>
      <c r="H476" s="2199">
        <v>-5117.6642903379998</v>
      </c>
      <c r="I476" s="2199">
        <v>-6527.8959958779997</v>
      </c>
      <c r="J476" s="2199">
        <v>-5260.6532265639999</v>
      </c>
      <c r="K476" s="2199">
        <v>-5757.7252579229998</v>
      </c>
      <c r="L476" s="2199">
        <v>-8480.6435260170001</v>
      </c>
      <c r="M476" s="2199">
        <v>-7713.9784888060003</v>
      </c>
      <c r="N476" s="2199">
        <v>-7868.9464271449997</v>
      </c>
      <c r="O476" s="2199">
        <v>-6743.3612396340004</v>
      </c>
      <c r="P476" s="2199">
        <v>-8097.0550119019999</v>
      </c>
      <c r="Q476" s="2199">
        <v>-6562.7150766029999</v>
      </c>
      <c r="R476" s="2199">
        <v>-7863.8616810000003</v>
      </c>
      <c r="S476" s="2199">
        <v>-7326.8708410099998</v>
      </c>
      <c r="T476" s="2199">
        <v>-13633.384811824</v>
      </c>
      <c r="U476" s="2199">
        <v>-7008.2647362899997</v>
      </c>
      <c r="V476" s="2199">
        <v>-9530.95999252</v>
      </c>
      <c r="W476" s="2199">
        <v>-11474.978859077</v>
      </c>
      <c r="X476" s="2199">
        <v>-8901.5644476020007</v>
      </c>
      <c r="Y476" s="2199">
        <v>-9038.2655559390005</v>
      </c>
      <c r="Z476" s="2199">
        <v>-8038.828497601</v>
      </c>
      <c r="AA476" s="2199">
        <v>-8896.4965771290008</v>
      </c>
      <c r="AB476" s="2199">
        <v>-12178.538952968</v>
      </c>
      <c r="AC476" s="2199">
        <v>-7820.0096469379996</v>
      </c>
      <c r="AD476" s="2199">
        <v>-8422.7681326900001</v>
      </c>
      <c r="AE476" s="2199">
        <v>-8734.2124987160005</v>
      </c>
      <c r="AF476" s="2199">
        <v>-8509.6432281889993</v>
      </c>
      <c r="AG476" s="2199">
        <v>-7417.8633683759999</v>
      </c>
      <c r="AH476" s="2199">
        <v>-7971.3550713650002</v>
      </c>
      <c r="AI476" s="2199">
        <v>-10654.524368152999</v>
      </c>
      <c r="AJ476" s="2199">
        <v>-9645.3133439489993</v>
      </c>
      <c r="AK476" s="2199">
        <v>-9522.2630351690004</v>
      </c>
      <c r="AL476" s="2199">
        <v>-9131.4074382580002</v>
      </c>
      <c r="AM476" s="2199">
        <v>-11870.554158755</v>
      </c>
      <c r="AN476" s="2199">
        <v>-13564.975357077999</v>
      </c>
      <c r="AO476" s="2199">
        <v>-6951.7635743500005</v>
      </c>
      <c r="AP476" s="2199">
        <v>-7526.6271329170004</v>
      </c>
      <c r="AQ476" s="2199">
        <v>-7612.8668816910003</v>
      </c>
      <c r="AR476" s="2199">
        <v>-8290.3621973190002</v>
      </c>
      <c r="AS476" s="2199">
        <v>-6780.366914104</v>
      </c>
      <c r="AT476" s="2199">
        <v>-7024.9760731099996</v>
      </c>
      <c r="AU476" s="2199">
        <v>-7538.7073012669998</v>
      </c>
      <c r="AV476" s="2199">
        <v>-9612.4455174350005</v>
      </c>
      <c r="AW476" s="2199">
        <v>-7342.606178604</v>
      </c>
      <c r="AX476" s="2199">
        <v>-7515.1230479409996</v>
      </c>
      <c r="AY476" s="2199">
        <v>-8415.3614120689999</v>
      </c>
      <c r="AZ476" s="2199">
        <v>-9645.3153362920002</v>
      </c>
      <c r="BA476" s="2324">
        <v>-2895.2082848129999</v>
      </c>
      <c r="BB476" s="2324">
        <v>-3473.590126697</v>
      </c>
      <c r="BC476" s="2324">
        <v>-3740.3886906460002</v>
      </c>
      <c r="BD476" s="2324">
        <v>-4381.2358411169998</v>
      </c>
      <c r="BE476" s="2324">
        <v>-3387.1493163959999</v>
      </c>
      <c r="BF476" s="2324">
        <v>-4247.7889824780004</v>
      </c>
      <c r="BG476" s="2324">
        <v>-4321.6488683110001</v>
      </c>
      <c r="BH476" s="2324">
        <v>-5049.1595966790001</v>
      </c>
      <c r="BI476" s="2324">
        <v>-4006.1865329120001</v>
      </c>
      <c r="BJ476" s="2324">
        <v>-4258.2478243859996</v>
      </c>
      <c r="BK476" s="2324">
        <v>-4554.3503122940001</v>
      </c>
      <c r="BL476" s="2324">
        <v>-5195.7836627340002</v>
      </c>
      <c r="BM476" s="2324">
        <v>-4691.800715286</v>
      </c>
      <c r="BN476" s="2324">
        <v>-5201.5261419159997</v>
      </c>
      <c r="BO476" s="2324">
        <v>-5474.2432229469996</v>
      </c>
      <c r="BP476" s="2324">
        <v>-6609.6874579409996</v>
      </c>
      <c r="BQ476" s="2324">
        <v>-5776.9325518380001</v>
      </c>
      <c r="BR476" s="2324">
        <v>-6253.3717416489999</v>
      </c>
      <c r="BS476" s="2324">
        <v>-6789.0733280960003</v>
      </c>
      <c r="BT476" s="2324">
        <v>-7801.1524869470004</v>
      </c>
      <c r="BU476" s="2324">
        <v>-7113.4998826090005</v>
      </c>
      <c r="BV476" s="2324">
        <v>-7850.5399578650004</v>
      </c>
      <c r="BW476" s="2200">
        <v>-8265.3760088409999</v>
      </c>
      <c r="BX476" s="2227">
        <v>-9058.5491431619994</v>
      </c>
      <c r="BY476" s="2227">
        <v>-8582.4627336119993</v>
      </c>
      <c r="BZ476" s="3057">
        <v>-9593.8690931220008</v>
      </c>
      <c r="CA476" s="2225">
        <v>-9743.8660513510004</v>
      </c>
      <c r="CB476" s="2225">
        <v>-11230.25</v>
      </c>
      <c r="CC476" s="3496">
        <v>-9756.7930381940005</v>
      </c>
      <c r="CD476" s="2225">
        <v>-10603.672997092001</v>
      </c>
      <c r="CE476" s="3480">
        <v>-10685.654746292001</v>
      </c>
      <c r="CF476" s="3480">
        <v>-13178.174806719</v>
      </c>
      <c r="CG476" s="3500">
        <v>-8235.1073160870001</v>
      </c>
      <c r="CH476" s="3079"/>
      <c r="CI476" s="2515">
        <v>-18176.331826734</v>
      </c>
      <c r="CJ476" s="2515">
        <v>-20360.466035286001</v>
      </c>
      <c r="CK476" s="2515"/>
      <c r="CL476" s="2515">
        <v>-20360.466035286001</v>
      </c>
      <c r="CM476" s="268">
        <v>-0.62220057223753389</v>
      </c>
    </row>
    <row r="477" spans="1:91" ht="15.75">
      <c r="A477" s="2204" t="s">
        <v>141</v>
      </c>
      <c r="B477" s="2199">
        <v>0</v>
      </c>
      <c r="C477" s="2199">
        <v>0</v>
      </c>
      <c r="D477" s="2199">
        <v>0</v>
      </c>
      <c r="E477" s="2199">
        <v>327.10431256599998</v>
      </c>
      <c r="F477" s="2199">
        <v>0</v>
      </c>
      <c r="G477" s="2199">
        <v>0</v>
      </c>
      <c r="H477" s="2199">
        <v>334.766574064</v>
      </c>
      <c r="I477" s="2199">
        <v>614.65748402600002</v>
      </c>
      <c r="J477" s="2199">
        <v>402.93149240600002</v>
      </c>
      <c r="K477" s="2199">
        <v>480.38416234900001</v>
      </c>
      <c r="L477" s="2199">
        <v>895.75374217900003</v>
      </c>
      <c r="M477" s="2199">
        <v>689.55208355900004</v>
      </c>
      <c r="N477" s="2199">
        <v>961.51088211000001</v>
      </c>
      <c r="O477" s="2199">
        <v>720.96631741099998</v>
      </c>
      <c r="P477" s="2199">
        <v>1016.029411526</v>
      </c>
      <c r="Q477" s="2199">
        <v>875.96688502500001</v>
      </c>
      <c r="R477" s="2199">
        <v>935.528446379</v>
      </c>
      <c r="S477" s="2199">
        <v>1050.1957313570001</v>
      </c>
      <c r="T477" s="2199">
        <v>1350.4882435760001</v>
      </c>
      <c r="U477" s="2199">
        <v>1009.265557743</v>
      </c>
      <c r="V477" s="2199">
        <v>1192.9978308090001</v>
      </c>
      <c r="W477" s="2199">
        <v>1127.9052914910001</v>
      </c>
      <c r="X477" s="2199">
        <v>1296.959918109</v>
      </c>
      <c r="Y477" s="2199">
        <v>1160.8296671160001</v>
      </c>
      <c r="Z477" s="2199">
        <v>1290.9432442340001</v>
      </c>
      <c r="AA477" s="2199">
        <v>1244.221868176</v>
      </c>
      <c r="AB477" s="2199">
        <v>1653.4872104829999</v>
      </c>
      <c r="AC477" s="2199">
        <v>1117.342065866</v>
      </c>
      <c r="AD477" s="2199">
        <v>1243.8446173919999</v>
      </c>
      <c r="AE477" s="2199">
        <v>1135.528598481</v>
      </c>
      <c r="AF477" s="2199">
        <v>1511.1313612419999</v>
      </c>
      <c r="AG477" s="2199">
        <v>1193.175950373</v>
      </c>
      <c r="AH477" s="2199">
        <v>1365.2064927829999</v>
      </c>
      <c r="AI477" s="2199">
        <v>1346.075028103</v>
      </c>
      <c r="AJ477" s="2199">
        <v>1638.113635317</v>
      </c>
      <c r="AK477" s="2199">
        <v>1345.0586401850001</v>
      </c>
      <c r="AL477" s="2199">
        <v>1554.0035729040001</v>
      </c>
      <c r="AM477" s="2199">
        <v>1606.660749355</v>
      </c>
      <c r="AN477" s="2199">
        <v>1768.21597597</v>
      </c>
      <c r="AO477" s="2199">
        <v>1689.7178759400001</v>
      </c>
      <c r="AP477" s="2199">
        <v>1801.91278298</v>
      </c>
      <c r="AQ477" s="2199">
        <v>1914.596624885</v>
      </c>
      <c r="AR477" s="2199">
        <v>2158.6805863549998</v>
      </c>
      <c r="AS477" s="2199">
        <v>1686.151346915</v>
      </c>
      <c r="AT477" s="2199">
        <v>1933.5503594689999</v>
      </c>
      <c r="AU477" s="2199">
        <v>2216.5810488289999</v>
      </c>
      <c r="AV477" s="2199">
        <v>2787.127572335</v>
      </c>
      <c r="AW477" s="2199">
        <v>2075.513389017</v>
      </c>
      <c r="AX477" s="2199">
        <v>2431.5795508390001</v>
      </c>
      <c r="AY477" s="2199">
        <v>2415.836625376</v>
      </c>
      <c r="AZ477" s="2199">
        <v>2850.4220163730001</v>
      </c>
      <c r="BA477" s="2324">
        <v>1855.5603268039999</v>
      </c>
      <c r="BB477" s="2324">
        <v>2000.6725974030001</v>
      </c>
      <c r="BC477" s="2324">
        <v>2295.670242789</v>
      </c>
      <c r="BD477" s="2324">
        <v>2571.2107474559998</v>
      </c>
      <c r="BE477" s="2324">
        <v>2279.330299668</v>
      </c>
      <c r="BF477" s="2324">
        <v>2578.1295421200002</v>
      </c>
      <c r="BG477" s="2324">
        <v>2782.7252692319998</v>
      </c>
      <c r="BH477" s="2324">
        <v>3071.0282775169999</v>
      </c>
      <c r="BI477" s="2324">
        <v>2624.3783785259998</v>
      </c>
      <c r="BJ477" s="2324">
        <v>2721.7546739509999</v>
      </c>
      <c r="BK477" s="2324">
        <v>2998.7781917779998</v>
      </c>
      <c r="BL477" s="2324">
        <v>3470.9209502429999</v>
      </c>
      <c r="BM477" s="2324">
        <v>2894.5269546680001</v>
      </c>
      <c r="BN477" s="2324">
        <v>3440.1811429049999</v>
      </c>
      <c r="BO477" s="2324">
        <v>3250.9287340249998</v>
      </c>
      <c r="BP477" s="2324">
        <v>4094.3681753390001</v>
      </c>
      <c r="BQ477" s="2324">
        <v>3953.3212925530001</v>
      </c>
      <c r="BR477" s="2324">
        <v>3842.6883493099999</v>
      </c>
      <c r="BS477" s="2324">
        <v>4359.4856922569998</v>
      </c>
      <c r="BT477" s="2324">
        <v>5241.2737841620001</v>
      </c>
      <c r="BU477" s="2324">
        <v>4567.8790006939998</v>
      </c>
      <c r="BV477" s="2324">
        <v>4633.8243070369999</v>
      </c>
      <c r="BW477" s="2200">
        <v>5496.3689670160002</v>
      </c>
      <c r="BX477" s="2227">
        <v>5631.8635601610004</v>
      </c>
      <c r="BY477" s="2227">
        <v>5510.4656800869998</v>
      </c>
      <c r="BZ477" s="3057">
        <v>5651.3573228980003</v>
      </c>
      <c r="CA477" s="2225">
        <v>6158.9556644060003</v>
      </c>
      <c r="CB477" s="2225">
        <v>6377.57</v>
      </c>
      <c r="CC477" s="3496">
        <v>6301.3479042660001</v>
      </c>
      <c r="CD477" s="2225">
        <v>6021.0400429749998</v>
      </c>
      <c r="CE477" s="3480">
        <v>6518.8664790100001</v>
      </c>
      <c r="CF477" s="3480">
        <v>7047.2750861619998</v>
      </c>
      <c r="CG477" s="3500">
        <v>4244.8898906880004</v>
      </c>
      <c r="CH477" s="3079"/>
      <c r="CI477" s="2515">
        <v>11161.823002985</v>
      </c>
      <c r="CJ477" s="2515">
        <v>12322.387947241001</v>
      </c>
      <c r="CK477" s="2515">
        <v>3129.3792592049995</v>
      </c>
      <c r="CL477" s="2515">
        <v>12322.387947241001</v>
      </c>
      <c r="CM477" s="268">
        <v>0.37656293420881631</v>
      </c>
    </row>
    <row r="478" spans="1:91" ht="15.75">
      <c r="A478" s="2204" t="s">
        <v>269</v>
      </c>
      <c r="B478" s="2199">
        <v>0</v>
      </c>
      <c r="C478" s="2199">
        <v>0</v>
      </c>
      <c r="D478" s="2199">
        <v>0</v>
      </c>
      <c r="E478" s="2199">
        <v>2.779237518</v>
      </c>
      <c r="F478" s="2199">
        <v>0</v>
      </c>
      <c r="G478" s="2199">
        <v>0</v>
      </c>
      <c r="H478" s="2199">
        <v>2.4144021090000001</v>
      </c>
      <c r="I478" s="2199">
        <v>4.4001346579999998</v>
      </c>
      <c r="J478" s="2199">
        <v>10.100065261999999</v>
      </c>
      <c r="K478" s="2199">
        <v>8.0715330170000001</v>
      </c>
      <c r="L478" s="2199">
        <v>25.557548195999999</v>
      </c>
      <c r="M478" s="2199">
        <v>41.779476549000002</v>
      </c>
      <c r="N478" s="2199">
        <v>44.281125615000001</v>
      </c>
      <c r="O478" s="2199">
        <v>41.366828472000002</v>
      </c>
      <c r="P478" s="2199">
        <v>69.678221574999995</v>
      </c>
      <c r="Q478" s="2199">
        <v>26.431500922000001</v>
      </c>
      <c r="R478" s="2199">
        <v>41.519333758000002</v>
      </c>
      <c r="S478" s="2199">
        <v>39.13690261</v>
      </c>
      <c r="T478" s="2199">
        <v>80.853576304000001</v>
      </c>
      <c r="U478" s="2199">
        <v>115.615898143</v>
      </c>
      <c r="V478" s="2199">
        <v>100.53509322799999</v>
      </c>
      <c r="W478" s="2199">
        <v>194.863280387</v>
      </c>
      <c r="X478" s="2199">
        <v>129.939307593</v>
      </c>
      <c r="Y478" s="2199">
        <v>131.29765294800001</v>
      </c>
      <c r="Z478" s="2199">
        <v>167.928466738</v>
      </c>
      <c r="AA478" s="2199">
        <v>222.314527371</v>
      </c>
      <c r="AB478" s="2199">
        <v>120.36159818</v>
      </c>
      <c r="AC478" s="2199">
        <v>109.579928886</v>
      </c>
      <c r="AD478" s="2199">
        <v>129.04316742500001</v>
      </c>
      <c r="AE478" s="2199">
        <v>129.24597463200001</v>
      </c>
      <c r="AF478" s="2199">
        <v>323.14952197999997</v>
      </c>
      <c r="AG478" s="2199">
        <v>62.994839536999997</v>
      </c>
      <c r="AH478" s="2199">
        <v>78.484913031000005</v>
      </c>
      <c r="AI478" s="2199">
        <v>60.335678666</v>
      </c>
      <c r="AJ478" s="2199">
        <v>183.90592906800001</v>
      </c>
      <c r="AK478" s="2199">
        <v>83.919239548999997</v>
      </c>
      <c r="AL478" s="2199">
        <v>75.899632592000003</v>
      </c>
      <c r="AM478" s="2199">
        <v>98.394902661000003</v>
      </c>
      <c r="AN478" s="2199">
        <v>109.430790906</v>
      </c>
      <c r="AO478" s="2199">
        <v>89.420051564999994</v>
      </c>
      <c r="AP478" s="2199">
        <v>98.267830949</v>
      </c>
      <c r="AQ478" s="2199">
        <v>111.424116814</v>
      </c>
      <c r="AR478" s="2199">
        <v>157.336802226</v>
      </c>
      <c r="AS478" s="2199">
        <v>161.40537388600001</v>
      </c>
      <c r="AT478" s="2199">
        <v>159.032637935</v>
      </c>
      <c r="AU478" s="2199">
        <v>139.92242211300001</v>
      </c>
      <c r="AV478" s="2199">
        <v>240.044516526</v>
      </c>
      <c r="AW478" s="2199">
        <v>165.92189025100001</v>
      </c>
      <c r="AX478" s="2199">
        <v>162.59573308099999</v>
      </c>
      <c r="AY478" s="2199">
        <v>174.82799680299999</v>
      </c>
      <c r="AZ478" s="2199">
        <v>1135.2414495380001</v>
      </c>
      <c r="BA478" s="2324">
        <v>153.49256098399999</v>
      </c>
      <c r="BB478" s="2324">
        <v>112.69987032100001</v>
      </c>
      <c r="BC478" s="2324">
        <v>124.076383785</v>
      </c>
      <c r="BD478" s="2324">
        <v>216.866279123</v>
      </c>
      <c r="BE478" s="2324">
        <v>153.57769800400001</v>
      </c>
      <c r="BF478" s="2324">
        <v>164.11505831900001</v>
      </c>
      <c r="BG478" s="2324">
        <v>165.79390763999999</v>
      </c>
      <c r="BH478" s="2324">
        <v>206.12338331399999</v>
      </c>
      <c r="BI478" s="2324">
        <v>178.33969471099999</v>
      </c>
      <c r="BJ478" s="2324">
        <v>202.24195044999999</v>
      </c>
      <c r="BK478" s="2324">
        <v>218.18862756600001</v>
      </c>
      <c r="BL478" s="2324">
        <v>223.12615205500001</v>
      </c>
      <c r="BM478" s="2324">
        <v>325.44042327900002</v>
      </c>
      <c r="BN478" s="2324">
        <v>240.540286743</v>
      </c>
      <c r="BO478" s="2324">
        <v>332.26654130499998</v>
      </c>
      <c r="BP478" s="2324">
        <v>372.54213493999998</v>
      </c>
      <c r="BQ478" s="2324">
        <v>415.78630190299998</v>
      </c>
      <c r="BR478" s="2324">
        <v>506.15359690700001</v>
      </c>
      <c r="BS478" s="2324">
        <v>549.70441487599999</v>
      </c>
      <c r="BT478" s="2324">
        <v>526.329659816</v>
      </c>
      <c r="BU478" s="2324">
        <v>676.47654642600003</v>
      </c>
      <c r="BV478" s="2324">
        <v>623.04411564300005</v>
      </c>
      <c r="BW478" s="2200">
        <v>516.20304641500002</v>
      </c>
      <c r="BX478" s="2227">
        <v>520.34547083500001</v>
      </c>
      <c r="BY478" s="2227">
        <v>457.09297998599999</v>
      </c>
      <c r="BZ478" s="3057">
        <v>569.29254452299995</v>
      </c>
      <c r="CA478" s="2225">
        <v>326.68900685599999</v>
      </c>
      <c r="CB478" s="2225">
        <v>582.66999999999996</v>
      </c>
      <c r="CC478" s="3496">
        <v>573.33189319099995</v>
      </c>
      <c r="CD478" s="2225">
        <v>1236.9930268769999</v>
      </c>
      <c r="CE478" s="3480">
        <v>613.11047350199999</v>
      </c>
      <c r="CF478" s="3480">
        <v>553.70192219299997</v>
      </c>
      <c r="CG478" s="3500">
        <v>415.86386917900001</v>
      </c>
      <c r="CH478" s="3079"/>
      <c r="CI478" s="2515">
        <v>1026.3855245089999</v>
      </c>
      <c r="CJ478" s="2515">
        <v>1810.3249200679998</v>
      </c>
      <c r="CK478" s="2515"/>
      <c r="CL478" s="2515">
        <v>1810.3249200679998</v>
      </c>
      <c r="CM478" s="268">
        <v>5.5322171862376777E-2</v>
      </c>
    </row>
    <row r="479" spans="1:91" ht="15.75">
      <c r="A479" s="2204" t="s">
        <v>662</v>
      </c>
      <c r="B479" s="2199">
        <v>0</v>
      </c>
      <c r="C479" s="2199">
        <v>0</v>
      </c>
      <c r="D479" s="2199">
        <v>0</v>
      </c>
      <c r="E479" s="2199">
        <v>-12.546926020000001</v>
      </c>
      <c r="F479" s="2199">
        <v>0</v>
      </c>
      <c r="G479" s="2199">
        <v>0</v>
      </c>
      <c r="H479" s="2199">
        <v>-21.436551197</v>
      </c>
      <c r="I479" s="2199">
        <v>-16.288564239999999</v>
      </c>
      <c r="J479" s="2199">
        <v>-13.644174369</v>
      </c>
      <c r="K479" s="2199">
        <v>-21.82470077</v>
      </c>
      <c r="L479" s="2199">
        <v>-22.023938176000001</v>
      </c>
      <c r="M479" s="2199">
        <v>-47.240440161999999</v>
      </c>
      <c r="N479" s="2199">
        <v>-212.52893109499999</v>
      </c>
      <c r="O479" s="2199">
        <v>-133.45633713999999</v>
      </c>
      <c r="P479" s="2199">
        <v>-81.594715821999998</v>
      </c>
      <c r="Q479" s="2199">
        <v>-71.628416967000007</v>
      </c>
      <c r="R479" s="2199">
        <v>-73.712080208000003</v>
      </c>
      <c r="S479" s="2199">
        <v>-48.657616877999999</v>
      </c>
      <c r="T479" s="2199">
        <v>-251.37279319000001</v>
      </c>
      <c r="U479" s="2199">
        <v>-148.188278618</v>
      </c>
      <c r="V479" s="2199">
        <v>-38.819290961</v>
      </c>
      <c r="W479" s="2199">
        <v>-193.899526186</v>
      </c>
      <c r="X479" s="2199">
        <v>-253.37349272899999</v>
      </c>
      <c r="Y479" s="2199">
        <v>-304.28004654300003</v>
      </c>
      <c r="Z479" s="2199">
        <v>-175.450423438</v>
      </c>
      <c r="AA479" s="2199">
        <v>-176.659287707</v>
      </c>
      <c r="AB479" s="2199">
        <v>-135.53251788099999</v>
      </c>
      <c r="AC479" s="2199">
        <v>-122.82169027400001</v>
      </c>
      <c r="AD479" s="2199">
        <v>-122.785230075</v>
      </c>
      <c r="AE479" s="2199">
        <v>-90.702707129000004</v>
      </c>
      <c r="AF479" s="2199">
        <v>-268.33765434999998</v>
      </c>
      <c r="AG479" s="2199">
        <v>-63.070822216000003</v>
      </c>
      <c r="AH479" s="2199">
        <v>-83.267090537000001</v>
      </c>
      <c r="AI479" s="2199">
        <v>-65.079637610999995</v>
      </c>
      <c r="AJ479" s="2199">
        <v>-59.138016837000002</v>
      </c>
      <c r="AK479" s="2199">
        <v>-61.447491419000002</v>
      </c>
      <c r="AL479" s="2199">
        <v>-88.081178481999999</v>
      </c>
      <c r="AM479" s="2199">
        <v>-77.732928024000003</v>
      </c>
      <c r="AN479" s="2199">
        <v>-129.23616717499999</v>
      </c>
      <c r="AO479" s="2199">
        <v>-120.816576677</v>
      </c>
      <c r="AP479" s="2199">
        <v>-142.84195242499999</v>
      </c>
      <c r="AQ479" s="2199">
        <v>-194.92301862900001</v>
      </c>
      <c r="AR479" s="2199">
        <v>-165.56186270200001</v>
      </c>
      <c r="AS479" s="2199">
        <v>-124.384876152</v>
      </c>
      <c r="AT479" s="2199">
        <v>-223.84544089100001</v>
      </c>
      <c r="AU479" s="2199">
        <v>-192.11212795399999</v>
      </c>
      <c r="AV479" s="2199">
        <v>-279.51675798600002</v>
      </c>
      <c r="AW479" s="2199">
        <v>-200.267169456</v>
      </c>
      <c r="AX479" s="2199">
        <v>-188.90886175899999</v>
      </c>
      <c r="AY479" s="2199">
        <v>-138.678362738</v>
      </c>
      <c r="AZ479" s="2199">
        <v>-128.50453225999999</v>
      </c>
      <c r="BA479" s="2324">
        <v>-142.29539943899999</v>
      </c>
      <c r="BB479" s="2324">
        <v>-70.016554955999993</v>
      </c>
      <c r="BC479" s="2324">
        <v>-66.603046663000001</v>
      </c>
      <c r="BD479" s="2324">
        <v>-89.173349173000005</v>
      </c>
      <c r="BE479" s="2324">
        <v>-121.303122605</v>
      </c>
      <c r="BF479" s="2324">
        <v>-204.22533156599999</v>
      </c>
      <c r="BG479" s="2324">
        <v>-130.42235565199999</v>
      </c>
      <c r="BH479" s="2324">
        <v>-171.720224922</v>
      </c>
      <c r="BI479" s="2324">
        <v>-181.04573445700001</v>
      </c>
      <c r="BJ479" s="2324">
        <v>-106.159096432</v>
      </c>
      <c r="BK479" s="2324">
        <v>-108.899945949</v>
      </c>
      <c r="BL479" s="2324">
        <v>-152.06043477899999</v>
      </c>
      <c r="BM479" s="2324">
        <v>-141.136993354</v>
      </c>
      <c r="BN479" s="2324">
        <v>-361.83017577700002</v>
      </c>
      <c r="BO479" s="2324">
        <v>-272.888215242</v>
      </c>
      <c r="BP479" s="2324">
        <v>-366.884116683</v>
      </c>
      <c r="BQ479" s="2324">
        <v>-267.57252543200002</v>
      </c>
      <c r="BR479" s="2324">
        <v>-336.84134215099999</v>
      </c>
      <c r="BS479" s="2324">
        <v>-413.92649221400001</v>
      </c>
      <c r="BT479" s="2324">
        <v>-644.38129500800005</v>
      </c>
      <c r="BU479" s="2324">
        <v>-496.815340139</v>
      </c>
      <c r="BV479" s="2324">
        <v>-287.49845167900003</v>
      </c>
      <c r="BW479" s="2200">
        <v>-406.42828712900001</v>
      </c>
      <c r="BX479" s="2227">
        <v>-527.55638476299998</v>
      </c>
      <c r="BY479" s="2227">
        <v>-334.06527330099999</v>
      </c>
      <c r="BZ479" s="3057">
        <v>-337.92790636799998</v>
      </c>
      <c r="CA479" s="2225">
        <v>-308.17880687899998</v>
      </c>
      <c r="CB479" s="2225">
        <v>-831.38</v>
      </c>
      <c r="CC479" s="3496">
        <v>-311.34376936400002</v>
      </c>
      <c r="CD479" s="2225">
        <v>-531.36621506999995</v>
      </c>
      <c r="CE479" s="3480">
        <v>-352.57507987100001</v>
      </c>
      <c r="CF479" s="3480">
        <v>-476.744596151</v>
      </c>
      <c r="CG479" s="3500">
        <v>-367.211384721</v>
      </c>
      <c r="CH479" s="3079"/>
      <c r="CI479" s="2515">
        <v>-671.99317966900003</v>
      </c>
      <c r="CJ479" s="2515">
        <v>-842.70998443400003</v>
      </c>
      <c r="CK479" s="2515"/>
      <c r="CL479" s="2515">
        <v>-842.70998443400003</v>
      </c>
      <c r="CM479" s="268">
        <v>-2.5752585114525984E-2</v>
      </c>
    </row>
    <row r="480" spans="1:91" ht="14.25">
      <c r="A480" s="2204" t="s">
        <v>663</v>
      </c>
      <c r="B480" s="2199">
        <v>0</v>
      </c>
      <c r="C480" s="2199">
        <v>0</v>
      </c>
      <c r="D480" s="2199">
        <v>0</v>
      </c>
      <c r="E480" s="2199">
        <v>-10.075754459000001</v>
      </c>
      <c r="F480" s="2199">
        <v>0</v>
      </c>
      <c r="G480" s="2199">
        <v>0</v>
      </c>
      <c r="H480" s="2199">
        <v>0</v>
      </c>
      <c r="I480" s="2199">
        <v>-10.717172015999999</v>
      </c>
      <c r="J480" s="2199">
        <v>-9.6099886399999992</v>
      </c>
      <c r="K480" s="2199">
        <v>-10.205903777</v>
      </c>
      <c r="L480" s="2199">
        <v>-12.391631002</v>
      </c>
      <c r="M480" s="2199">
        <v>-22.055490966000001</v>
      </c>
      <c r="N480" s="2199">
        <v>-28.091216966000001</v>
      </c>
      <c r="O480" s="2199">
        <v>-18.787551796999999</v>
      </c>
      <c r="P480" s="2199">
        <v>-11.551066410000001</v>
      </c>
      <c r="Q480" s="2199">
        <v>-13.268048840000001</v>
      </c>
      <c r="R480" s="2199">
        <v>-15.652650645</v>
      </c>
      <c r="S480" s="2199">
        <v>-15.691418509</v>
      </c>
      <c r="T480" s="2199">
        <v>-65.179847663999993</v>
      </c>
      <c r="U480" s="2199">
        <v>-74.331818876</v>
      </c>
      <c r="V480" s="2199">
        <v>-52.272278729999996</v>
      </c>
      <c r="W480" s="2199">
        <v>-103.227497357</v>
      </c>
      <c r="X480" s="2199">
        <v>-86.390220075000002</v>
      </c>
      <c r="Y480" s="2199">
        <v>-99.144295475999996</v>
      </c>
      <c r="Z480" s="2199">
        <v>-91.544648187999996</v>
      </c>
      <c r="AA480" s="2199">
        <v>-99.415900390999994</v>
      </c>
      <c r="AB480" s="2199">
        <v>-54.626306020999998</v>
      </c>
      <c r="AC480" s="2199">
        <v>-55.413903128000001</v>
      </c>
      <c r="AD480" s="2199">
        <v>-85.601149007000004</v>
      </c>
      <c r="AE480" s="2199">
        <v>-68.950952012000002</v>
      </c>
      <c r="AF480" s="2199">
        <v>-73.434953424</v>
      </c>
      <c r="AG480" s="2199">
        <v>-35.581809118999999</v>
      </c>
      <c r="AH480" s="2199">
        <v>-29.936292949999999</v>
      </c>
      <c r="AI480" s="2199">
        <v>-33.765560182999998</v>
      </c>
      <c r="AJ480" s="2199">
        <v>-33.207510569999997</v>
      </c>
      <c r="AK480" s="2199">
        <v>-35.506573224</v>
      </c>
      <c r="AL480" s="2199">
        <v>-47.212296680000001</v>
      </c>
      <c r="AM480" s="2199">
        <v>-49.194248354000003</v>
      </c>
      <c r="AN480" s="2199">
        <v>-91.952795323000004</v>
      </c>
      <c r="AO480" s="2199">
        <v>-40.841485196999997</v>
      </c>
      <c r="AP480" s="2199">
        <v>-65.642153436000001</v>
      </c>
      <c r="AQ480" s="2199">
        <v>-54.828938991000001</v>
      </c>
      <c r="AR480" s="2199">
        <v>-105.133994523</v>
      </c>
      <c r="AS480" s="2199">
        <v>-63.801798832999999</v>
      </c>
      <c r="AT480" s="2199">
        <v>-107.257164992</v>
      </c>
      <c r="AU480" s="2199">
        <v>-104.295791626</v>
      </c>
      <c r="AV480" s="2199">
        <v>-102.512653453</v>
      </c>
      <c r="AW480" s="2199">
        <v>-112.87191694099999</v>
      </c>
      <c r="AX480" s="2199">
        <v>-100.132120954</v>
      </c>
      <c r="AY480" s="2199">
        <v>-85.119266198999995</v>
      </c>
      <c r="AZ480" s="2199">
        <v>-70.422375454000004</v>
      </c>
      <c r="BA480" s="2324">
        <v>-46.408615421999997</v>
      </c>
      <c r="BB480" s="2324">
        <v>-55.088753336000003</v>
      </c>
      <c r="BC480" s="2324">
        <v>-62.035657522000001</v>
      </c>
      <c r="BD480" s="2324">
        <v>-74.811405467</v>
      </c>
      <c r="BE480" s="2324">
        <v>-72.702857836000007</v>
      </c>
      <c r="BF480" s="2324">
        <v>-72.389484922999998</v>
      </c>
      <c r="BG480" s="2324">
        <v>-100.505919296</v>
      </c>
      <c r="BH480" s="2324">
        <v>-120.746859238</v>
      </c>
      <c r="BI480" s="2324">
        <v>-99.625907808999997</v>
      </c>
      <c r="BJ480" s="2324">
        <v>-101.366297422</v>
      </c>
      <c r="BK480" s="2324">
        <v>-85.791923679999996</v>
      </c>
      <c r="BL480" s="2324">
        <v>-98.553625984999996</v>
      </c>
      <c r="BM480" s="2324">
        <v>-99.817213604000003</v>
      </c>
      <c r="BN480" s="2324">
        <v>-124.53044780099999</v>
      </c>
      <c r="BO480" s="2324">
        <v>-120.148949616</v>
      </c>
      <c r="BP480" s="2324">
        <v>-138.051289994</v>
      </c>
      <c r="BQ480" s="2324">
        <v>-145.819741163</v>
      </c>
      <c r="BR480" s="2324">
        <v>-176.78020233300001</v>
      </c>
      <c r="BS480" s="2324">
        <v>-166.54232931499999</v>
      </c>
      <c r="BT480" s="2324">
        <v>-156.583283497</v>
      </c>
      <c r="BU480" s="2324">
        <v>-147.98566827400001</v>
      </c>
      <c r="BV480" s="2324">
        <v>-212.36400535999999</v>
      </c>
      <c r="BW480" s="2200">
        <v>-265.654864395</v>
      </c>
      <c r="BX480" s="2200">
        <v>-206.64407323200001</v>
      </c>
      <c r="BY480" s="2200">
        <v>-137.833720086</v>
      </c>
      <c r="BZ480" s="3057">
        <v>-150.125422101</v>
      </c>
      <c r="CA480" s="2195">
        <v>-128.82595060099999</v>
      </c>
      <c r="CB480" s="2195">
        <v>-134.85</v>
      </c>
      <c r="CC480" s="3496">
        <v>-152.38953833299999</v>
      </c>
      <c r="CD480" s="2195">
        <v>-216.76129570500001</v>
      </c>
      <c r="CE480" s="2195">
        <v>-233.58291448099999</v>
      </c>
      <c r="CF480" s="2195">
        <v>-207.02585263700001</v>
      </c>
      <c r="CG480" s="3406">
        <v>-179.461207664</v>
      </c>
      <c r="CH480" s="1972"/>
      <c r="CI480" s="2515">
        <v>-287.959142187</v>
      </c>
      <c r="CJ480" s="2515">
        <v>-369.15083403799997</v>
      </c>
      <c r="CK480" s="2515"/>
      <c r="CL480" s="2515">
        <v>-369.15083403799997</v>
      </c>
      <c r="CM480" s="268">
        <v>-1.1280972635024467E-2</v>
      </c>
    </row>
    <row r="481" spans="1:91" ht="15.75">
      <c r="A481" s="2206" t="s">
        <v>664</v>
      </c>
      <c r="B481" s="2199">
        <v>0</v>
      </c>
      <c r="C481" s="2199">
        <v>0</v>
      </c>
      <c r="D481" s="2199">
        <v>0</v>
      </c>
      <c r="E481" s="2199">
        <v>0</v>
      </c>
      <c r="F481" s="2199">
        <v>0</v>
      </c>
      <c r="G481" s="2199">
        <v>0</v>
      </c>
      <c r="H481" s="2199">
        <v>0</v>
      </c>
      <c r="I481" s="2199">
        <v>0</v>
      </c>
      <c r="J481" s="2199">
        <v>0</v>
      </c>
      <c r="K481" s="2199">
        <v>0</v>
      </c>
      <c r="L481" s="2199">
        <v>0</v>
      </c>
      <c r="M481" s="2199">
        <v>0</v>
      </c>
      <c r="N481" s="2199">
        <v>0</v>
      </c>
      <c r="O481" s="2199">
        <v>0</v>
      </c>
      <c r="P481" s="2199">
        <v>0</v>
      </c>
      <c r="Q481" s="2199">
        <v>0</v>
      </c>
      <c r="R481" s="2199">
        <v>0</v>
      </c>
      <c r="S481" s="2199">
        <v>0</v>
      </c>
      <c r="T481" s="2199">
        <v>0</v>
      </c>
      <c r="U481" s="2199">
        <v>0</v>
      </c>
      <c r="V481" s="2199">
        <v>0</v>
      </c>
      <c r="W481" s="2199">
        <v>0</v>
      </c>
      <c r="X481" s="2199">
        <v>0</v>
      </c>
      <c r="Y481" s="2199">
        <v>0</v>
      </c>
      <c r="Z481" s="2199">
        <v>0</v>
      </c>
      <c r="AA481" s="2199">
        <v>0</v>
      </c>
      <c r="AB481" s="2199">
        <v>0</v>
      </c>
      <c r="AC481" s="2199">
        <v>0</v>
      </c>
      <c r="AD481" s="2199">
        <v>0</v>
      </c>
      <c r="AE481" s="2199">
        <v>0</v>
      </c>
      <c r="AF481" s="2199">
        <v>0</v>
      </c>
      <c r="AG481" s="2199">
        <v>0</v>
      </c>
      <c r="AH481" s="2199">
        <v>0</v>
      </c>
      <c r="AI481" s="2199">
        <v>0</v>
      </c>
      <c r="AJ481" s="2199">
        <v>0</v>
      </c>
      <c r="AK481" s="2199">
        <v>0</v>
      </c>
      <c r="AL481" s="2199">
        <v>0</v>
      </c>
      <c r="AM481" s="2199">
        <v>0</v>
      </c>
      <c r="AN481" s="2199">
        <v>0</v>
      </c>
      <c r="AO481" s="2199">
        <v>0</v>
      </c>
      <c r="AP481" s="2199">
        <v>8.9704276509999996</v>
      </c>
      <c r="AQ481" s="2199">
        <v>7.754671095</v>
      </c>
      <c r="AR481" s="2199">
        <v>8.8487422759999994</v>
      </c>
      <c r="AS481" s="2199">
        <v>7.3875800509999996</v>
      </c>
      <c r="AT481" s="2199">
        <v>9.9415805890000009</v>
      </c>
      <c r="AU481" s="2199">
        <v>7.9527666760000004</v>
      </c>
      <c r="AV481" s="2199">
        <v>9.8514350539999995</v>
      </c>
      <c r="AW481" s="2199">
        <v>10.193812103999999</v>
      </c>
      <c r="AX481" s="2199">
        <v>10.544051485000001</v>
      </c>
      <c r="AY481" s="2199">
        <v>10.845866292</v>
      </c>
      <c r="AZ481" s="2199">
        <v>37.741436878999998</v>
      </c>
      <c r="BA481" s="2324">
        <v>97.762341652000003</v>
      </c>
      <c r="BB481" s="2324">
        <v>117.921377105</v>
      </c>
      <c r="BC481" s="2324">
        <v>112.620018554</v>
      </c>
      <c r="BD481" s="2324">
        <v>110.723377378</v>
      </c>
      <c r="BE481" s="2324">
        <v>94.803959655</v>
      </c>
      <c r="BF481" s="2324">
        <v>124.252626107</v>
      </c>
      <c r="BG481" s="2324">
        <v>119.41368411800001</v>
      </c>
      <c r="BH481" s="2324">
        <v>66.457196432999993</v>
      </c>
      <c r="BI481" s="2324">
        <v>80.123998401999998</v>
      </c>
      <c r="BJ481" s="2324">
        <v>69.375800440999996</v>
      </c>
      <c r="BK481" s="2324">
        <v>67.778123792000002</v>
      </c>
      <c r="BL481" s="2324">
        <v>94.915649543000001</v>
      </c>
      <c r="BM481" s="2324">
        <v>115.085619364</v>
      </c>
      <c r="BN481" s="2324">
        <v>149.843474585</v>
      </c>
      <c r="BO481" s="2324">
        <v>147.867487076</v>
      </c>
      <c r="BP481" s="2324">
        <v>272.53338029899999</v>
      </c>
      <c r="BQ481" s="2324">
        <v>208.830242201</v>
      </c>
      <c r="BR481" s="2324">
        <v>86.152785186000003</v>
      </c>
      <c r="BS481" s="2324">
        <v>91.215132079</v>
      </c>
      <c r="BT481" s="2324">
        <v>98.197938511999993</v>
      </c>
      <c r="BU481" s="2324">
        <v>43.757073943999998</v>
      </c>
      <c r="BV481" s="2324">
        <v>-65.748307686999993</v>
      </c>
      <c r="BW481" s="2200">
        <v>39.896110382000003</v>
      </c>
      <c r="BX481" s="2227">
        <v>58.146301170000001</v>
      </c>
      <c r="BY481" s="2227">
        <v>74.454138017000005</v>
      </c>
      <c r="BZ481" s="3057">
        <v>58.601427291999997</v>
      </c>
      <c r="CA481" s="2225">
        <v>142.580948775</v>
      </c>
      <c r="CB481" s="2225">
        <v>116.89</v>
      </c>
      <c r="CC481" s="3496">
        <v>136.730336838</v>
      </c>
      <c r="CD481" s="2225">
        <v>106.714935715</v>
      </c>
      <c r="CE481" s="3480">
        <v>130.83342558699999</v>
      </c>
      <c r="CF481" s="3480">
        <v>283.74613717400001</v>
      </c>
      <c r="CG481" s="3500">
        <v>666.84127014700005</v>
      </c>
      <c r="CH481" s="3079"/>
      <c r="CI481" s="2515">
        <v>133.055565309</v>
      </c>
      <c r="CJ481" s="2515">
        <v>243.445272553</v>
      </c>
      <c r="CK481" s="2515"/>
      <c r="CL481" s="2515">
        <v>243.445272553</v>
      </c>
      <c r="CM481" s="268">
        <v>7.4395049518261825E-3</v>
      </c>
    </row>
    <row r="482" spans="1:91" ht="15.75">
      <c r="A482" s="2204" t="s">
        <v>16</v>
      </c>
      <c r="B482" s="2199">
        <v>0</v>
      </c>
      <c r="C482" s="2199">
        <v>0</v>
      </c>
      <c r="D482" s="2199">
        <v>0</v>
      </c>
      <c r="E482" s="2199">
        <v>-102.261242798</v>
      </c>
      <c r="F482" s="2199">
        <v>0</v>
      </c>
      <c r="G482" s="2199">
        <v>0</v>
      </c>
      <c r="H482" s="2199">
        <v>-116.417204719</v>
      </c>
      <c r="I482" s="2199">
        <v>-191.99851509699999</v>
      </c>
      <c r="J482" s="2199">
        <v>-110.29043054900001</v>
      </c>
      <c r="K482" s="2199">
        <v>-172.09857213399999</v>
      </c>
      <c r="L482" s="2199">
        <v>-306.98287463499997</v>
      </c>
      <c r="M482" s="2199">
        <v>-224.88138101800001</v>
      </c>
      <c r="N482" s="2199">
        <v>-221.92458717700001</v>
      </c>
      <c r="O482" s="2199">
        <v>-248.59199267599999</v>
      </c>
      <c r="P482" s="2199">
        <v>-276.73456326799999</v>
      </c>
      <c r="Q482" s="2199">
        <v>-210.88758135399999</v>
      </c>
      <c r="R482" s="2199">
        <v>-231.72664029000001</v>
      </c>
      <c r="S482" s="2199">
        <v>-242.06611287300001</v>
      </c>
      <c r="T482" s="2199">
        <v>-374.63990216600001</v>
      </c>
      <c r="U482" s="2199">
        <v>-225.020455433</v>
      </c>
      <c r="V482" s="2199">
        <v>-279.38027230500001</v>
      </c>
      <c r="W482" s="2199">
        <v>-345.52948456199999</v>
      </c>
      <c r="X482" s="2199">
        <v>-298.27952657700001</v>
      </c>
      <c r="Y482" s="2199">
        <v>-145.72845479700001</v>
      </c>
      <c r="Z482" s="2199">
        <v>-190.28924327600001</v>
      </c>
      <c r="AA482" s="2199">
        <v>-224.360183425</v>
      </c>
      <c r="AB482" s="2199">
        <v>-259.46648882</v>
      </c>
      <c r="AC482" s="2199">
        <v>-166.00926903600001</v>
      </c>
      <c r="AD482" s="2199">
        <v>-209.35025848199999</v>
      </c>
      <c r="AE482" s="2199">
        <v>-237.161566241</v>
      </c>
      <c r="AF482" s="2199">
        <v>-310.73396745000002</v>
      </c>
      <c r="AG482" s="2199">
        <v>-254.508011272</v>
      </c>
      <c r="AH482" s="2199">
        <v>-296.75939886399999</v>
      </c>
      <c r="AI482" s="2199">
        <v>-344.08045602800001</v>
      </c>
      <c r="AJ482" s="2199">
        <v>-477.72792836600001</v>
      </c>
      <c r="AK482" s="2199">
        <v>-344.49256343000002</v>
      </c>
      <c r="AL482" s="2199">
        <v>-387.40790643499997</v>
      </c>
      <c r="AM482" s="2199">
        <v>-415.17011445399999</v>
      </c>
      <c r="AN482" s="2199">
        <v>-542.27593840600002</v>
      </c>
      <c r="AO482" s="2199">
        <v>-522.72391979700001</v>
      </c>
      <c r="AP482" s="2199">
        <v>-523.47646052200002</v>
      </c>
      <c r="AQ482" s="2199">
        <v>-589.22806706300003</v>
      </c>
      <c r="AR482" s="2199">
        <v>-500.71007807900003</v>
      </c>
      <c r="AS482" s="2199">
        <v>-597.56064236600002</v>
      </c>
      <c r="AT482" s="2199">
        <v>-574.76043546999995</v>
      </c>
      <c r="AU482" s="2199">
        <v>-698.48038573500003</v>
      </c>
      <c r="AV482" s="2199">
        <v>-840.78565750400003</v>
      </c>
      <c r="AW482" s="2199">
        <v>-729.39043516100003</v>
      </c>
      <c r="AX482" s="2199">
        <v>-722.12692836799999</v>
      </c>
      <c r="AY482" s="2199">
        <v>-756.29542188599999</v>
      </c>
      <c r="AZ482" s="2199">
        <v>-868.66602045599996</v>
      </c>
      <c r="BA482" s="2324">
        <v>-422.70740572199998</v>
      </c>
      <c r="BB482" s="2324">
        <v>-451.95925439600001</v>
      </c>
      <c r="BC482" s="2324">
        <v>-507.53495844999998</v>
      </c>
      <c r="BD482" s="2324">
        <v>-665.49633447099995</v>
      </c>
      <c r="BE482" s="2324">
        <v>-488.58604888799999</v>
      </c>
      <c r="BF482" s="2324">
        <v>-566.45549799200001</v>
      </c>
      <c r="BG482" s="2324">
        <v>-559.02313908400004</v>
      </c>
      <c r="BH482" s="2324">
        <v>-727.16923425000004</v>
      </c>
      <c r="BI482" s="2324">
        <v>-620.22056150599997</v>
      </c>
      <c r="BJ482" s="2324">
        <v>-683.17373726400001</v>
      </c>
      <c r="BK482" s="2324">
        <v>-627.45166772799996</v>
      </c>
      <c r="BL482" s="2324">
        <v>-858.58275423800001</v>
      </c>
      <c r="BM482" s="2324">
        <v>-852.11492132800004</v>
      </c>
      <c r="BN482" s="2324">
        <v>-829.919009383</v>
      </c>
      <c r="BO482" s="2324">
        <v>-804.02383046299997</v>
      </c>
      <c r="BP482" s="2324">
        <v>-1225.9420203699999</v>
      </c>
      <c r="BQ482" s="2324">
        <v>-1007.092497146</v>
      </c>
      <c r="BR482" s="2324">
        <v>-1013.823056754</v>
      </c>
      <c r="BS482" s="2324">
        <v>-1131.4023728879999</v>
      </c>
      <c r="BT482" s="2324">
        <v>-1481.341041915</v>
      </c>
      <c r="BU482" s="2324">
        <v>-1101.871534159</v>
      </c>
      <c r="BV482" s="2324">
        <v>-1238.296534096</v>
      </c>
      <c r="BW482" s="2200">
        <v>-1434.174354947</v>
      </c>
      <c r="BX482" s="2227">
        <v>-1316.1562853949999</v>
      </c>
      <c r="BY482" s="2227">
        <v>-1368.9486257430001</v>
      </c>
      <c r="BZ482" s="3057">
        <v>-1588.212329172</v>
      </c>
      <c r="CA482" s="2225">
        <v>-1563.862943636</v>
      </c>
      <c r="CB482" s="2225">
        <v>-1594.94</v>
      </c>
      <c r="CC482" s="3496">
        <v>-1828.7859292820001</v>
      </c>
      <c r="CD482" s="2225">
        <v>-1790.295896888</v>
      </c>
      <c r="CE482" s="3480">
        <v>-1916.5828326430001</v>
      </c>
      <c r="CF482" s="3480">
        <v>-2026.9959816410001</v>
      </c>
      <c r="CG482" s="3500">
        <v>-1002.337155317</v>
      </c>
      <c r="CH482" s="3079"/>
      <c r="CI482" s="2515">
        <v>-2957.1609549149998</v>
      </c>
      <c r="CJ482" s="2515">
        <v>-3619.0818261700001</v>
      </c>
      <c r="CK482" s="2515"/>
      <c r="CL482" s="2515">
        <v>-3619.0818261700001</v>
      </c>
      <c r="CM482" s="268">
        <v>-0.11059642639392082</v>
      </c>
    </row>
    <row r="483" spans="1:91" ht="15.75">
      <c r="A483" s="3488" t="s">
        <v>665</v>
      </c>
      <c r="B483" s="2603">
        <v>0</v>
      </c>
      <c r="C483" s="2603">
        <v>0</v>
      </c>
      <c r="D483" s="2603">
        <v>0</v>
      </c>
      <c r="E483" s="2603">
        <v>-92.709949872999999</v>
      </c>
      <c r="F483" s="2603">
        <v>0</v>
      </c>
      <c r="G483" s="2603">
        <v>0</v>
      </c>
      <c r="H483" s="2603">
        <v>-111.97429509600001</v>
      </c>
      <c r="I483" s="2603">
        <v>-166.782274124</v>
      </c>
      <c r="J483" s="2603">
        <v>-126.89965161799999</v>
      </c>
      <c r="K483" s="2603">
        <v>-177.75004638300001</v>
      </c>
      <c r="L483" s="2603">
        <v>-241.904153189</v>
      </c>
      <c r="M483" s="2603">
        <v>-171.321848558</v>
      </c>
      <c r="N483" s="2603">
        <v>-243.74735532400001</v>
      </c>
      <c r="O483" s="2603">
        <v>-182.94970547400001</v>
      </c>
      <c r="P483" s="2603">
        <v>-311.87936505900001</v>
      </c>
      <c r="Q483" s="2603">
        <v>-239.21700693099999</v>
      </c>
      <c r="R483" s="2603">
        <v>-293.64551159899997</v>
      </c>
      <c r="S483" s="2603">
        <v>-313.77235631100001</v>
      </c>
      <c r="T483" s="2603">
        <v>-454.30479597300001</v>
      </c>
      <c r="U483" s="2603">
        <v>-331.56667978500002</v>
      </c>
      <c r="V483" s="2603">
        <v>-387.074030354</v>
      </c>
      <c r="W483" s="2603">
        <v>-360.60914613300002</v>
      </c>
      <c r="X483" s="2603">
        <v>-450.74904901799999</v>
      </c>
      <c r="Y483" s="2603">
        <v>-367.48746145199999</v>
      </c>
      <c r="Z483" s="2603">
        <v>-444.24420168400002</v>
      </c>
      <c r="AA483" s="2603">
        <v>-441.16601481800001</v>
      </c>
      <c r="AB483" s="2603">
        <v>-717.79873881399999</v>
      </c>
      <c r="AC483" s="2603">
        <v>-378.29887960100001</v>
      </c>
      <c r="AD483" s="2603">
        <v>-447.51610317900003</v>
      </c>
      <c r="AE483" s="2603">
        <v>-412.90754517900001</v>
      </c>
      <c r="AF483" s="2603">
        <v>-629.00962607300005</v>
      </c>
      <c r="AG483" s="2603">
        <v>-386.68887637699999</v>
      </c>
      <c r="AH483" s="2603">
        <v>-387.78494962899998</v>
      </c>
      <c r="AI483" s="2603">
        <v>-450.43168429399998</v>
      </c>
      <c r="AJ483" s="2603">
        <v>-608.51812831899997</v>
      </c>
      <c r="AK483" s="2603">
        <v>-456.17486225699997</v>
      </c>
      <c r="AL483" s="2603">
        <v>-526.03051591600001</v>
      </c>
      <c r="AM483" s="2603">
        <v>-621.21982300499997</v>
      </c>
      <c r="AN483" s="2603">
        <v>-593.72511261600005</v>
      </c>
      <c r="AO483" s="2603">
        <v>-506.65645318899999</v>
      </c>
      <c r="AP483" s="2603">
        <v>-531.22905861000004</v>
      </c>
      <c r="AQ483" s="2603">
        <v>-627.79756614500002</v>
      </c>
      <c r="AR483" s="2603">
        <v>-815.10192195299999</v>
      </c>
      <c r="AS483" s="2603">
        <v>-578.21744798899999</v>
      </c>
      <c r="AT483" s="2603">
        <v>-629.55817514800003</v>
      </c>
      <c r="AU483" s="2603">
        <v>-724.84994423800003</v>
      </c>
      <c r="AV483" s="2603">
        <v>-930.67555250199996</v>
      </c>
      <c r="AW483" s="2603">
        <v>-692.06051728700004</v>
      </c>
      <c r="AX483" s="2603">
        <v>-914.56679550299998</v>
      </c>
      <c r="AY483" s="2603">
        <v>-824.28452830799995</v>
      </c>
      <c r="AZ483" s="2603">
        <v>-1104.104575075</v>
      </c>
      <c r="BA483" s="3481">
        <v>-770.42648117500005</v>
      </c>
      <c r="BB483" s="3481">
        <v>-829.76603690399998</v>
      </c>
      <c r="BC483" s="3481">
        <v>-900.927435586</v>
      </c>
      <c r="BD483" s="3481">
        <v>-1057.6961290419999</v>
      </c>
      <c r="BE483" s="3481">
        <v>-980.58876392299999</v>
      </c>
      <c r="BF483" s="3481">
        <v>-931.28080750699996</v>
      </c>
      <c r="BG483" s="3481">
        <v>-1031.084693003</v>
      </c>
      <c r="BH483" s="3481">
        <v>-1309.1446437960001</v>
      </c>
      <c r="BI483" s="3481">
        <v>-954.03929000400001</v>
      </c>
      <c r="BJ483" s="3481">
        <v>-935.99708226099995</v>
      </c>
      <c r="BK483" s="3481">
        <v>-1178.990862353</v>
      </c>
      <c r="BL483" s="3481">
        <v>-1355.121201405</v>
      </c>
      <c r="BM483" s="3481">
        <v>-961.763590894</v>
      </c>
      <c r="BN483" s="3481">
        <v>-1115.156026481</v>
      </c>
      <c r="BO483" s="3481">
        <v>-1071.115122466</v>
      </c>
      <c r="BP483" s="3481">
        <v>-1406.8719091190001</v>
      </c>
      <c r="BQ483" s="3481">
        <v>-1530.5722349919999</v>
      </c>
      <c r="BR483" s="3481">
        <v>-1248.1602167410001</v>
      </c>
      <c r="BS483" s="3481">
        <v>-1461.418832201</v>
      </c>
      <c r="BT483" s="3481">
        <v>-1761.816901184</v>
      </c>
      <c r="BU483" s="3481">
        <v>-1592.4924646300001</v>
      </c>
      <c r="BV483" s="3481">
        <v>-1475.558757945</v>
      </c>
      <c r="BW483" s="3482">
        <v>-1773.5044498520001</v>
      </c>
      <c r="BX483" s="3483">
        <v>-1979.944371544</v>
      </c>
      <c r="BY483" s="3483">
        <v>-1823.4717760139999</v>
      </c>
      <c r="BZ483" s="2227">
        <v>-1712.6580955760001</v>
      </c>
      <c r="CA483" s="2225">
        <v>-1807.9578649519999</v>
      </c>
      <c r="CB483" s="2225">
        <v>-1729.95</v>
      </c>
      <c r="CC483" s="3496">
        <v>-1877.437056836</v>
      </c>
      <c r="CD483" s="2225">
        <v>-1913.7066344039999</v>
      </c>
      <c r="CE483" s="3480">
        <v>-1647.276732839</v>
      </c>
      <c r="CF483" s="3480">
        <v>-1898.93429655</v>
      </c>
      <c r="CG483" s="3500">
        <v>-1210.2826629260001</v>
      </c>
      <c r="CH483" s="3079"/>
      <c r="CI483" s="2515">
        <v>-3536.1298715900002</v>
      </c>
      <c r="CJ483" s="2515">
        <v>-3791.14369124</v>
      </c>
      <c r="CK483" s="2515"/>
      <c r="CL483" s="2515">
        <v>-3791.14369124</v>
      </c>
      <c r="CM483" s="268">
        <v>-0.11585450794869834</v>
      </c>
    </row>
    <row r="484" spans="1:91" ht="15.75">
      <c r="A484" s="3489" t="s">
        <v>666</v>
      </c>
      <c r="B484" s="2603">
        <v>0</v>
      </c>
      <c r="C484" s="2603">
        <v>0</v>
      </c>
      <c r="D484" s="2603">
        <v>0</v>
      </c>
      <c r="E484" s="2603">
        <v>122.36543139299999</v>
      </c>
      <c r="F484" s="2603">
        <v>0</v>
      </c>
      <c r="G484" s="2603">
        <v>0</v>
      </c>
      <c r="H484" s="2603">
        <v>87.352925161000002</v>
      </c>
      <c r="I484" s="2603">
        <v>243.98826522300001</v>
      </c>
      <c r="J484" s="2603">
        <v>162.19730113200001</v>
      </c>
      <c r="K484" s="2603">
        <v>116.782376079</v>
      </c>
      <c r="L484" s="2603">
        <v>350.40032437500003</v>
      </c>
      <c r="M484" s="2603">
        <v>287.88789036999998</v>
      </c>
      <c r="N484" s="2603">
        <v>327.59113412900001</v>
      </c>
      <c r="O484" s="2603">
        <v>197.335110593</v>
      </c>
      <c r="P484" s="2603">
        <v>415.49898895199999</v>
      </c>
      <c r="Q484" s="2603">
        <v>380.66538069500001</v>
      </c>
      <c r="R484" s="2603">
        <v>377.96354803999998</v>
      </c>
      <c r="S484" s="2603">
        <v>484.83654790499997</v>
      </c>
      <c r="T484" s="2603">
        <v>351.024328551</v>
      </c>
      <c r="U484" s="2603">
        <v>420.10604204999999</v>
      </c>
      <c r="V484" s="2603">
        <v>588.259330417</v>
      </c>
      <c r="W484" s="2603">
        <v>422.73041499700003</v>
      </c>
      <c r="X484" s="2603">
        <v>424.497157378</v>
      </c>
      <c r="Y484" s="2603">
        <v>474.631357272</v>
      </c>
      <c r="Z484" s="2603">
        <v>648.88784257400005</v>
      </c>
      <c r="AA484" s="2603">
        <v>624.35090959700005</v>
      </c>
      <c r="AB484" s="2603">
        <v>661.05106314800003</v>
      </c>
      <c r="AC484" s="2603">
        <v>559.79215584099995</v>
      </c>
      <c r="AD484" s="2603">
        <v>593.23619308100001</v>
      </c>
      <c r="AE484" s="2603">
        <v>524.00275456400004</v>
      </c>
      <c r="AF484" s="2603">
        <v>626.199635349</v>
      </c>
      <c r="AG484" s="2603">
        <v>551.90308004500002</v>
      </c>
      <c r="AH484" s="2603">
        <v>675.87996678399998</v>
      </c>
      <c r="AI484" s="2603">
        <v>546.81892883600005</v>
      </c>
      <c r="AJ484" s="2603">
        <v>676.63549086299997</v>
      </c>
      <c r="AK484" s="2603">
        <v>566.86296262799999</v>
      </c>
      <c r="AL484" s="2603">
        <v>628.38360466300003</v>
      </c>
      <c r="AM484" s="2603">
        <v>590.93278653300001</v>
      </c>
      <c r="AN484" s="2603">
        <v>612.40954867899995</v>
      </c>
      <c r="AO484" s="2603">
        <v>628.94097784200005</v>
      </c>
      <c r="AP484" s="2603">
        <v>711.60357002299997</v>
      </c>
      <c r="AQ484" s="2603">
        <v>621.82676095700003</v>
      </c>
      <c r="AR484" s="2603">
        <v>843.49226812300003</v>
      </c>
      <c r="AS484" s="2603">
        <v>554.781334345</v>
      </c>
      <c r="AT484" s="2603">
        <v>674.36052648400005</v>
      </c>
      <c r="AU484" s="2603">
        <v>749.01377969099997</v>
      </c>
      <c r="AV484" s="2603">
        <v>986.04555592300005</v>
      </c>
      <c r="AW484" s="2603">
        <v>629.91096946799996</v>
      </c>
      <c r="AX484" s="2603">
        <v>779.11674977500002</v>
      </c>
      <c r="AY484" s="2603">
        <v>882.25217553899995</v>
      </c>
      <c r="AZ484" s="2603">
        <v>1922.1297749989999</v>
      </c>
      <c r="BA484" s="3481">
        <v>771.38594310400003</v>
      </c>
      <c r="BB484" s="3481">
        <v>879.55199857299999</v>
      </c>
      <c r="BC484" s="3481">
        <v>1057.3012044290001</v>
      </c>
      <c r="BD484" s="3481">
        <v>1086.434591271</v>
      </c>
      <c r="BE484" s="3481">
        <v>937.23402191100001</v>
      </c>
      <c r="BF484" s="3481">
        <v>1164.535589481</v>
      </c>
      <c r="BG484" s="3481">
        <v>1347.4026732509999</v>
      </c>
      <c r="BH484" s="3481">
        <v>1135.574754296</v>
      </c>
      <c r="BI484" s="3481">
        <v>1127.536485672</v>
      </c>
      <c r="BJ484" s="3481">
        <v>1268.042508885</v>
      </c>
      <c r="BK484" s="3481">
        <v>1369.4024671059999</v>
      </c>
      <c r="BL484" s="3481">
        <v>1423.1983614190001</v>
      </c>
      <c r="BM484" s="3481">
        <v>1380.037491735</v>
      </c>
      <c r="BN484" s="3481">
        <v>1523.6596925920001</v>
      </c>
      <c r="BO484" s="3481">
        <v>1583.035594235</v>
      </c>
      <c r="BP484" s="3481">
        <v>1739.7456444060001</v>
      </c>
      <c r="BQ484" s="3481">
        <v>1772.7005790870001</v>
      </c>
      <c r="BR484" s="3481">
        <v>1836.1701157570001</v>
      </c>
      <c r="BS484" s="3481">
        <v>1993.657541909</v>
      </c>
      <c r="BT484" s="3481">
        <v>1978.2621443830001</v>
      </c>
      <c r="BU484" s="3481">
        <v>2096.9332821359999</v>
      </c>
      <c r="BV484" s="3481">
        <v>2189.766371273</v>
      </c>
      <c r="BW484" s="3482">
        <v>2438.3610318850001</v>
      </c>
      <c r="BX484" s="3483">
        <v>2386.6982904639999</v>
      </c>
      <c r="BY484" s="3483">
        <v>2515.527123032</v>
      </c>
      <c r="BZ484" s="3484">
        <v>2635.7808177480001</v>
      </c>
      <c r="CA484" s="2604">
        <v>2948.22600457</v>
      </c>
      <c r="CB484" s="2604">
        <v>2920.87</v>
      </c>
      <c r="CC484" s="3497">
        <v>2993.8433788130001</v>
      </c>
      <c r="CD484" s="2604">
        <v>3129.3792592049999</v>
      </c>
      <c r="CE484" s="3480">
        <v>3346.3757327459998</v>
      </c>
      <c r="CF484" s="3480">
        <v>3482.048271187</v>
      </c>
      <c r="CG484" s="3500">
        <v>2747.7638270500001</v>
      </c>
      <c r="CH484" s="3485"/>
      <c r="CI484" s="2515">
        <v>5151.3079407799996</v>
      </c>
      <c r="CJ484" s="2515">
        <v>6123.222638018</v>
      </c>
      <c r="CK484" s="2515"/>
      <c r="CL484" s="2515">
        <v>6123.222638018</v>
      </c>
      <c r="CM484" s="268">
        <v>0.18712109156587411</v>
      </c>
    </row>
    <row r="485" spans="1:91" ht="14.25">
      <c r="A485" s="3488" t="s">
        <v>667</v>
      </c>
      <c r="B485" s="2603">
        <v>0</v>
      </c>
      <c r="C485" s="2603">
        <v>0</v>
      </c>
      <c r="D485" s="2603">
        <v>0</v>
      </c>
      <c r="E485" s="2603">
        <v>2.823004139</v>
      </c>
      <c r="F485" s="2603">
        <v>0</v>
      </c>
      <c r="G485" s="2603">
        <v>0</v>
      </c>
      <c r="H485" s="2603">
        <v>19.681816714</v>
      </c>
      <c r="I485" s="2603">
        <v>52.178833638999997</v>
      </c>
      <c r="J485" s="2603">
        <v>51.239438176999997</v>
      </c>
      <c r="K485" s="2603">
        <v>42.458648355999998</v>
      </c>
      <c r="L485" s="2603">
        <v>51.042139026999997</v>
      </c>
      <c r="M485" s="2603">
        <v>20.863627397999998</v>
      </c>
      <c r="N485" s="2603">
        <v>18.569272638000001</v>
      </c>
      <c r="O485" s="2603">
        <v>54.513644681000002</v>
      </c>
      <c r="P485" s="2603">
        <v>70.863161321999996</v>
      </c>
      <c r="Q485" s="2603">
        <v>30.979443174</v>
      </c>
      <c r="R485" s="2603">
        <v>37.754336094999999</v>
      </c>
      <c r="S485" s="2603">
        <v>55.144832651000002</v>
      </c>
      <c r="T485" s="2603">
        <v>61.712900498000003</v>
      </c>
      <c r="U485" s="2603">
        <v>54.929830070000001</v>
      </c>
      <c r="V485" s="2603">
        <v>54.127962863</v>
      </c>
      <c r="W485" s="2603">
        <v>62.881413023999997</v>
      </c>
      <c r="X485" s="2603">
        <v>58.768883832999997</v>
      </c>
      <c r="Y485" s="2603">
        <v>54.239266553999997</v>
      </c>
      <c r="Z485" s="2603">
        <v>38.583941867999997</v>
      </c>
      <c r="AA485" s="2603">
        <v>34.296247176999998</v>
      </c>
      <c r="AB485" s="2603">
        <v>115.737837111</v>
      </c>
      <c r="AC485" s="2603">
        <v>29.085776471999999</v>
      </c>
      <c r="AD485" s="2603">
        <v>49.437137196999998</v>
      </c>
      <c r="AE485" s="2603">
        <v>163.40438756</v>
      </c>
      <c r="AF485" s="2603">
        <v>-53.213750238999999</v>
      </c>
      <c r="AG485" s="2603">
        <v>56.173108966000001</v>
      </c>
      <c r="AH485" s="2603">
        <v>43.904284009000001</v>
      </c>
      <c r="AI485" s="2603">
        <v>59.853465673999999</v>
      </c>
      <c r="AJ485" s="2603">
        <v>25.294979068</v>
      </c>
      <c r="AK485" s="2603">
        <v>37.979782413000002</v>
      </c>
      <c r="AL485" s="2603">
        <v>26.772619527</v>
      </c>
      <c r="AM485" s="2603">
        <v>40.894534831999998</v>
      </c>
      <c r="AN485" s="2603">
        <v>103.06121079499999</v>
      </c>
      <c r="AO485" s="2603">
        <v>38.083316195000002</v>
      </c>
      <c r="AP485" s="2603">
        <v>12.063446445</v>
      </c>
      <c r="AQ485" s="2603">
        <v>44.791672712999997</v>
      </c>
      <c r="AR485" s="2603">
        <v>54.002904929000003</v>
      </c>
      <c r="AS485" s="2603">
        <v>18.635534991</v>
      </c>
      <c r="AT485" s="2603">
        <v>32.176848794999998</v>
      </c>
      <c r="AU485" s="2603">
        <v>16.804138915999999</v>
      </c>
      <c r="AV485" s="2603">
        <v>33.744471773999997</v>
      </c>
      <c r="AW485" s="2603">
        <v>26.062430404000001</v>
      </c>
      <c r="AX485" s="2603">
        <v>16.805228346</v>
      </c>
      <c r="AY485" s="2603">
        <v>35.213205592000001</v>
      </c>
      <c r="AZ485" s="2603">
        <v>29.884696213000002</v>
      </c>
      <c r="BA485" s="3481">
        <v>33.761809018000001</v>
      </c>
      <c r="BB485" s="3481">
        <v>27.692097787000002</v>
      </c>
      <c r="BC485" s="3481">
        <v>13.190925206999999</v>
      </c>
      <c r="BD485" s="3481">
        <v>-14.195905985</v>
      </c>
      <c r="BE485" s="3481">
        <v>34.065047810999999</v>
      </c>
      <c r="BF485" s="3481">
        <v>9.5434839769999993</v>
      </c>
      <c r="BG485" s="3481">
        <v>34.369794908000003</v>
      </c>
      <c r="BH485" s="3481">
        <v>82.751354247999998</v>
      </c>
      <c r="BI485" s="3481">
        <v>19.137086947</v>
      </c>
      <c r="BJ485" s="3481">
        <v>28.388165755999999</v>
      </c>
      <c r="BK485" s="3481">
        <v>38.544844654999999</v>
      </c>
      <c r="BL485" s="3481">
        <v>45.331089591000001</v>
      </c>
      <c r="BM485" s="3481">
        <v>23.250469269</v>
      </c>
      <c r="BN485" s="3481">
        <v>20.800020851999999</v>
      </c>
      <c r="BO485" s="3481">
        <v>59.501680278999999</v>
      </c>
      <c r="BP485" s="3481">
        <v>29.667007221999999</v>
      </c>
      <c r="BQ485" s="3481">
        <v>31.763099752999999</v>
      </c>
      <c r="BR485" s="3481">
        <v>39.323957364999998</v>
      </c>
      <c r="BS485" s="3481">
        <v>46.394199264000001</v>
      </c>
      <c r="BT485" s="3481">
        <v>67.004874959999995</v>
      </c>
      <c r="BU485" s="3481">
        <v>42.879374489</v>
      </c>
      <c r="BV485" s="3481">
        <v>46.978996702000003</v>
      </c>
      <c r="BW485" s="3482">
        <v>46.849960697999997</v>
      </c>
      <c r="BX485" s="3483">
        <v>48.394509126999999</v>
      </c>
      <c r="BY485" s="3482">
        <v>44.782907584999997</v>
      </c>
      <c r="BZ485" s="3484">
        <v>28.515588226999999</v>
      </c>
      <c r="CA485" s="2604">
        <v>-39.605371196</v>
      </c>
      <c r="CB485" s="2604">
        <v>37.619999999999997</v>
      </c>
      <c r="CC485" s="3497">
        <v>30.850132036000002</v>
      </c>
      <c r="CD485" s="2605">
        <v>28.751046396</v>
      </c>
      <c r="CE485" s="2195">
        <v>34.839399620999998</v>
      </c>
      <c r="CF485" s="2195">
        <v>40.089602923999998</v>
      </c>
      <c r="CG485" s="3406">
        <v>61.674012142000002</v>
      </c>
      <c r="CH485" s="3486"/>
      <c r="CI485" s="2515">
        <v>73.298495811999999</v>
      </c>
      <c r="CJ485" s="2515">
        <v>42.474134466000002</v>
      </c>
      <c r="CK485" s="2515"/>
      <c r="CL485" s="2515">
        <v>59.601178431999998</v>
      </c>
      <c r="CM485" s="268">
        <v>1.8213673136043642E-3</v>
      </c>
    </row>
    <row r="486" spans="1:91" ht="14.25">
      <c r="A486" s="3488" t="s">
        <v>668</v>
      </c>
      <c r="B486" s="2603">
        <v>0</v>
      </c>
      <c r="C486" s="2603">
        <v>0</v>
      </c>
      <c r="D486" s="2603">
        <v>0</v>
      </c>
      <c r="E486" s="2603">
        <v>-1.017595692</v>
      </c>
      <c r="F486" s="2603">
        <v>0</v>
      </c>
      <c r="G486" s="2603">
        <v>0</v>
      </c>
      <c r="H486" s="2603">
        <v>-7.9380663000000004E-2</v>
      </c>
      <c r="I486" s="2603">
        <v>-24.002485987</v>
      </c>
      <c r="J486" s="2603">
        <v>-6.7148877049999998</v>
      </c>
      <c r="K486" s="2603">
        <v>-6.0113632360000002</v>
      </c>
      <c r="L486" s="2603">
        <v>-37.200585052000001</v>
      </c>
      <c r="M486" s="2603">
        <v>-4.9266476829999997</v>
      </c>
      <c r="N486" s="2603">
        <v>-5.2473775280000003</v>
      </c>
      <c r="O486" s="2603">
        <v>-46.052584475000003</v>
      </c>
      <c r="P486" s="2603">
        <v>-51.587393382999998</v>
      </c>
      <c r="Q486" s="2603">
        <v>-26.907412530999999</v>
      </c>
      <c r="R486" s="2603">
        <v>-34.287507249000001</v>
      </c>
      <c r="S486" s="2603">
        <v>-73.057201527999993</v>
      </c>
      <c r="T486" s="2603">
        <v>-17.974224591999999</v>
      </c>
      <c r="U486" s="2603">
        <v>-39.561481614999998</v>
      </c>
      <c r="V486" s="2603">
        <v>-41.240024648999999</v>
      </c>
      <c r="W486" s="2603">
        <v>-53.836962216000003</v>
      </c>
      <c r="X486" s="2603">
        <v>-39.614750989999997</v>
      </c>
      <c r="Y486" s="2603">
        <v>-38.268823021999999</v>
      </c>
      <c r="Z486" s="2603">
        <v>-29.934698707999999</v>
      </c>
      <c r="AA486" s="2603">
        <v>-26.951480366999998</v>
      </c>
      <c r="AB486" s="2603">
        <v>-102.360554271</v>
      </c>
      <c r="AC486" s="2603">
        <v>-24.08289808</v>
      </c>
      <c r="AD486" s="2603">
        <v>-31.716945211999999</v>
      </c>
      <c r="AE486" s="2603">
        <v>-140.560011667</v>
      </c>
      <c r="AF486" s="2603">
        <v>78.314316022</v>
      </c>
      <c r="AG486" s="2603">
        <v>-34.915057449000003</v>
      </c>
      <c r="AH486" s="2603">
        <v>-24.285908367000001</v>
      </c>
      <c r="AI486" s="2603">
        <v>-48.674479654000002</v>
      </c>
      <c r="AJ486" s="2603">
        <v>-34.478752843000002</v>
      </c>
      <c r="AK486" s="2603">
        <v>-33.605874655000001</v>
      </c>
      <c r="AL486" s="2603">
        <v>-17.853916881</v>
      </c>
      <c r="AM486" s="2603">
        <v>-42.420969378999999</v>
      </c>
      <c r="AN486" s="2603">
        <v>-97.472128534000007</v>
      </c>
      <c r="AO486" s="2603">
        <v>-30.593135200999999</v>
      </c>
      <c r="AP486" s="2603">
        <v>-18.642470839000001</v>
      </c>
      <c r="AQ486" s="2603">
        <v>-48.118470481999999</v>
      </c>
      <c r="AR486" s="2603">
        <v>-15.405975614000001</v>
      </c>
      <c r="AS486" s="2603">
        <v>-10.671233393</v>
      </c>
      <c r="AT486" s="2603">
        <v>-11.767717682000001</v>
      </c>
      <c r="AU486" s="2603">
        <v>-11.731785178000001</v>
      </c>
      <c r="AV486" s="2603">
        <v>-17.492788425000001</v>
      </c>
      <c r="AW486" s="2603">
        <v>-12.728605120999999</v>
      </c>
      <c r="AX486" s="2603">
        <v>-12.439019431</v>
      </c>
      <c r="AY486" s="2603">
        <v>-35.812634158000002</v>
      </c>
      <c r="AZ486" s="2603">
        <v>-11.819589933</v>
      </c>
      <c r="BA486" s="3481">
        <v>-24.369541269999999</v>
      </c>
      <c r="BB486" s="3481">
        <v>-0.92987601099999995</v>
      </c>
      <c r="BC486" s="3481">
        <v>-19.815203632999999</v>
      </c>
      <c r="BD486" s="3481">
        <v>42.294318079999996</v>
      </c>
      <c r="BE486" s="3481">
        <v>-10.932348106999999</v>
      </c>
      <c r="BF486" s="3481">
        <v>4.5496768420000002</v>
      </c>
      <c r="BG486" s="3481">
        <v>-13.301440288</v>
      </c>
      <c r="BH486" s="3481">
        <v>-61.262096655999997</v>
      </c>
      <c r="BI486" s="3481">
        <v>-4.3837037920000004</v>
      </c>
      <c r="BJ486" s="3481">
        <v>-10.937566638</v>
      </c>
      <c r="BK486" s="3481">
        <v>-22.068339874999999</v>
      </c>
      <c r="BL486" s="3481">
        <v>-21.209410607999999</v>
      </c>
      <c r="BM486" s="3481">
        <v>-6.5367496669999996</v>
      </c>
      <c r="BN486" s="3481">
        <v>-4.99519497</v>
      </c>
      <c r="BO486" s="3481">
        <v>-3.9645026300000001</v>
      </c>
      <c r="BP486" s="3481">
        <v>-9.0104261609999998</v>
      </c>
      <c r="BQ486" s="3481">
        <v>-25.415832160000001</v>
      </c>
      <c r="BR486" s="3481">
        <v>-17.649446735000001</v>
      </c>
      <c r="BS486" s="3481">
        <v>-12.026921249000001</v>
      </c>
      <c r="BT486" s="3481">
        <v>-56.238388428999997</v>
      </c>
      <c r="BU486" s="3481">
        <v>-19.169009527</v>
      </c>
      <c r="BV486" s="3481">
        <v>-18.612734627999998</v>
      </c>
      <c r="BW486" s="3482">
        <v>-56.060532723999998</v>
      </c>
      <c r="BX486" s="3482">
        <v>64.518573767000007</v>
      </c>
      <c r="BY486" s="3482">
        <v>-26.727976065</v>
      </c>
      <c r="BZ486" s="3484">
        <v>27.511312610000001</v>
      </c>
      <c r="CA486" s="2605">
        <v>34.674999188999998</v>
      </c>
      <c r="CB486" s="2605">
        <v>68.48</v>
      </c>
      <c r="CC486" s="3497">
        <v>39.212521539000001</v>
      </c>
      <c r="CD486" s="2605">
        <v>-17.127043965999999</v>
      </c>
      <c r="CE486" s="2195">
        <v>-6.4765342769999998</v>
      </c>
      <c r="CF486" s="2195">
        <v>-18.969733714</v>
      </c>
      <c r="CG486" s="3406">
        <v>-5.5935575159999997</v>
      </c>
      <c r="CH486" s="3486"/>
      <c r="CI486" s="2515">
        <v>0.78333654500000094</v>
      </c>
      <c r="CJ486" s="2515">
        <v>67.963567935</v>
      </c>
      <c r="CK486" s="2515"/>
      <c r="CL486" s="2515">
        <v>22.085477573000002</v>
      </c>
      <c r="CM486" s="268">
        <v>6.7491563111790999E-4</v>
      </c>
    </row>
    <row r="487" spans="1:91" ht="15.75">
      <c r="A487" s="3490" t="s">
        <v>669</v>
      </c>
      <c r="B487" s="2605">
        <v>0</v>
      </c>
      <c r="C487" s="2605">
        <v>0</v>
      </c>
      <c r="D487" s="2605">
        <v>0</v>
      </c>
      <c r="E487" s="2605">
        <v>1.805408447</v>
      </c>
      <c r="F487" s="2605">
        <v>0</v>
      </c>
      <c r="G487" s="2605">
        <v>19.602436051000002</v>
      </c>
      <c r="H487" s="2605">
        <v>28.176347652</v>
      </c>
      <c r="I487" s="2605">
        <v>44.524550472000001</v>
      </c>
      <c r="J487" s="2605">
        <v>31.221536889999999</v>
      </c>
      <c r="K487" s="2605">
        <v>36.447285119999997</v>
      </c>
      <c r="L487" s="2605">
        <v>13.841553975</v>
      </c>
      <c r="M487" s="2605">
        <v>15.936979715</v>
      </c>
      <c r="N487" s="2605">
        <v>13.32189511</v>
      </c>
      <c r="O487" s="2605">
        <v>8.4610602060000009</v>
      </c>
      <c r="P487" s="2605">
        <v>19.275767939000001</v>
      </c>
      <c r="Q487" s="2605">
        <v>4.0720306429999997</v>
      </c>
      <c r="R487" s="2605">
        <v>3.4668288459999999</v>
      </c>
      <c r="S487" s="2605">
        <v>-17.912368876999999</v>
      </c>
      <c r="T487" s="2605">
        <v>43.738675905999997</v>
      </c>
      <c r="U487" s="2605">
        <v>15.368348455</v>
      </c>
      <c r="V487" s="2605">
        <v>12.887938214</v>
      </c>
      <c r="W487" s="2605">
        <v>9.0444508080000006</v>
      </c>
      <c r="X487" s="2605">
        <v>19.154132842999999</v>
      </c>
      <c r="Y487" s="2605">
        <v>15.970443532000001</v>
      </c>
      <c r="Z487" s="2605">
        <v>8.6492431599999993</v>
      </c>
      <c r="AA487" s="2605">
        <v>7.3447668100000003</v>
      </c>
      <c r="AB487" s="2605">
        <v>13.377282839999999</v>
      </c>
      <c r="AC487" s="2605">
        <v>5.0028783920000004</v>
      </c>
      <c r="AD487" s="2605">
        <v>17.720191985</v>
      </c>
      <c r="AE487" s="2605">
        <v>22.844375892999999</v>
      </c>
      <c r="AF487" s="2605">
        <v>25.100565783</v>
      </c>
      <c r="AG487" s="2605">
        <v>21.258051516999998</v>
      </c>
      <c r="AH487" s="2605">
        <v>19.618375642</v>
      </c>
      <c r="AI487" s="2605">
        <v>11.17898602</v>
      </c>
      <c r="AJ487" s="2605">
        <v>-9.1837737750000006</v>
      </c>
      <c r="AK487" s="2605">
        <v>4.3739077579999996</v>
      </c>
      <c r="AL487" s="2605">
        <v>8.9187026459999998</v>
      </c>
      <c r="AM487" s="2605">
        <v>-1.526434547</v>
      </c>
      <c r="AN487" s="2605">
        <v>5.5890822609999997</v>
      </c>
      <c r="AO487" s="2605">
        <v>7.4901809940000001</v>
      </c>
      <c r="AP487" s="2605">
        <v>-6.5790243940000002</v>
      </c>
      <c r="AQ487" s="2605">
        <v>-3.3267977690000001</v>
      </c>
      <c r="AR487" s="2605">
        <v>38.596929314999997</v>
      </c>
      <c r="AS487" s="2605">
        <v>7.9643015979999996</v>
      </c>
      <c r="AT487" s="2605">
        <v>20.409131113000001</v>
      </c>
      <c r="AU487" s="2605">
        <v>5.0723537380000003</v>
      </c>
      <c r="AV487" s="2605">
        <v>16.251683349</v>
      </c>
      <c r="AW487" s="2605">
        <v>13.333825282999999</v>
      </c>
      <c r="AX487" s="2605">
        <v>4.3662089149999996</v>
      </c>
      <c r="AY487" s="2605">
        <v>-0.59942856600000005</v>
      </c>
      <c r="AZ487" s="2605">
        <v>18.065106279999998</v>
      </c>
      <c r="BA487" s="2605">
        <v>9.3922677480000001</v>
      </c>
      <c r="BB487" s="2605">
        <v>26.762221776000001</v>
      </c>
      <c r="BC487" s="2605">
        <v>-6.6242784260000001</v>
      </c>
      <c r="BD487" s="2605">
        <v>28.098412095</v>
      </c>
      <c r="BE487" s="2605">
        <v>23.132699704</v>
      </c>
      <c r="BF487" s="2605">
        <v>14.093160819</v>
      </c>
      <c r="BG487" s="2605">
        <v>21.068354620000001</v>
      </c>
      <c r="BH487" s="2605">
        <v>21.489257592000001</v>
      </c>
      <c r="BI487" s="2605">
        <v>14.753383155</v>
      </c>
      <c r="BJ487" s="2605">
        <v>17.450599118</v>
      </c>
      <c r="BK487" s="2605">
        <v>16.476504779999999</v>
      </c>
      <c r="BL487" s="2605">
        <v>24.121678982999999</v>
      </c>
      <c r="BM487" s="2605">
        <v>16.713719602000001</v>
      </c>
      <c r="BN487" s="2605">
        <v>15.804825881999999</v>
      </c>
      <c r="BO487" s="2605">
        <v>55.537177649</v>
      </c>
      <c r="BP487" s="2605">
        <v>20.656581061000001</v>
      </c>
      <c r="BQ487" s="2605">
        <v>6.3472675929999998</v>
      </c>
      <c r="BR487" s="2605">
        <v>21.67451063</v>
      </c>
      <c r="BS487" s="2605">
        <v>34.367278014999997</v>
      </c>
      <c r="BT487" s="2605">
        <v>10.766486531</v>
      </c>
      <c r="BU487" s="2605">
        <v>23.710364962</v>
      </c>
      <c r="BV487" s="2605">
        <v>28.366262074000002</v>
      </c>
      <c r="BW487" s="2605">
        <v>-9.2105720259999995</v>
      </c>
      <c r="BX487" s="2605">
        <v>48.394509126999999</v>
      </c>
      <c r="BY487" s="2605">
        <v>18.05493152</v>
      </c>
      <c r="BZ487" s="2605">
        <v>28.515588226999999</v>
      </c>
      <c r="CA487" s="2605">
        <v>-39.605371196</v>
      </c>
      <c r="CB487" s="2605">
        <v>37.620496312999997</v>
      </c>
      <c r="CC487" s="2605">
        <v>30.850132036000002</v>
      </c>
      <c r="CD487" s="2605">
        <v>11.624002430000001</v>
      </c>
      <c r="CE487" s="3480">
        <v>28.362865343999999</v>
      </c>
      <c r="CF487" s="3480">
        <v>21.119869210000001</v>
      </c>
      <c r="CG487" s="3500">
        <v>56.080454625999998</v>
      </c>
      <c r="CH487" s="3487"/>
      <c r="CI487" s="3169">
        <v>46.570519746999999</v>
      </c>
      <c r="CJ487" s="3169">
        <v>13.723088070000003</v>
      </c>
      <c r="CK487" s="3169"/>
      <c r="CL487" s="2515">
        <v>42.474134466000002</v>
      </c>
      <c r="CM487" s="268">
        <v>1.2979776948248002E-3</v>
      </c>
    </row>
    <row r="488" spans="1:91" ht="15.75">
      <c r="A488" s="3488" t="s">
        <v>670</v>
      </c>
      <c r="B488" s="2603">
        <v>0</v>
      </c>
      <c r="C488" s="2603">
        <v>0</v>
      </c>
      <c r="D488" s="2603">
        <v>0</v>
      </c>
      <c r="E488" s="2603">
        <v>0</v>
      </c>
      <c r="F488" s="2603">
        <v>0</v>
      </c>
      <c r="G488" s="2603">
        <v>0</v>
      </c>
      <c r="H488" s="2603">
        <v>0</v>
      </c>
      <c r="I488" s="2603">
        <v>0</v>
      </c>
      <c r="J488" s="2603">
        <v>0</v>
      </c>
      <c r="K488" s="2603">
        <v>0</v>
      </c>
      <c r="L488" s="2603">
        <v>2.94671211</v>
      </c>
      <c r="M488" s="2603">
        <v>-0.79683366799999999</v>
      </c>
      <c r="N488" s="2603">
        <v>-13.017008046000001</v>
      </c>
      <c r="O488" s="2603">
        <v>6.689057558</v>
      </c>
      <c r="P488" s="2603">
        <v>-29.114918269</v>
      </c>
      <c r="Q488" s="2603">
        <v>6.8989377029999996</v>
      </c>
      <c r="R488" s="2603">
        <v>13.841676426999999</v>
      </c>
      <c r="S488" s="2603">
        <v>17.986988008000001</v>
      </c>
      <c r="T488" s="2603">
        <v>30.939878154999999</v>
      </c>
      <c r="U488" s="2603">
        <v>19.581202285</v>
      </c>
      <c r="V488" s="2603">
        <v>30.697685713999999</v>
      </c>
      <c r="W488" s="2603">
        <v>29.797574689000001</v>
      </c>
      <c r="X488" s="2603">
        <v>30.001969364000001</v>
      </c>
      <c r="Y488" s="2603">
        <v>25.102503153000001</v>
      </c>
      <c r="Z488" s="2603">
        <v>30.759359642</v>
      </c>
      <c r="AA488" s="2603">
        <v>30.682296520000001</v>
      </c>
      <c r="AB488" s="2603">
        <v>-25.782152604</v>
      </c>
      <c r="AC488" s="2603">
        <v>13.123919486</v>
      </c>
      <c r="AD488" s="2603">
        <v>16.205345130000001</v>
      </c>
      <c r="AE488" s="2603">
        <v>3.2692779349999999</v>
      </c>
      <c r="AF488" s="2603">
        <v>6.3315845999999995E-2</v>
      </c>
      <c r="AG488" s="2603">
        <v>1.222948079</v>
      </c>
      <c r="AH488" s="2603">
        <v>6.8263902620000003</v>
      </c>
      <c r="AI488" s="2603">
        <v>4.5315400070000003</v>
      </c>
      <c r="AJ488" s="2603">
        <v>8.9400079320000003</v>
      </c>
      <c r="AK488" s="2603">
        <v>10.333768081000001</v>
      </c>
      <c r="AL488" s="2603">
        <v>7.702177067</v>
      </c>
      <c r="AM488" s="2603">
        <v>10.017911454</v>
      </c>
      <c r="AN488" s="2603">
        <v>12.804742843</v>
      </c>
      <c r="AO488" s="2603">
        <v>8.9008461959999998</v>
      </c>
      <c r="AP488" s="2603">
        <v>0</v>
      </c>
      <c r="AQ488" s="2603">
        <v>0</v>
      </c>
      <c r="AR488" s="2603">
        <v>0</v>
      </c>
      <c r="AS488" s="2603">
        <v>0</v>
      </c>
      <c r="AT488" s="2603">
        <v>0</v>
      </c>
      <c r="AU488" s="2603">
        <v>0</v>
      </c>
      <c r="AV488" s="2603">
        <v>0</v>
      </c>
      <c r="AW488" s="2603">
        <v>0</v>
      </c>
      <c r="AX488" s="2603">
        <v>0</v>
      </c>
      <c r="AY488" s="2603">
        <v>0</v>
      </c>
      <c r="AZ488" s="2603">
        <v>0</v>
      </c>
      <c r="BA488" s="3481">
        <v>0</v>
      </c>
      <c r="BB488" s="3481">
        <v>0</v>
      </c>
      <c r="BC488" s="3481">
        <v>0</v>
      </c>
      <c r="BD488" s="3481">
        <v>0</v>
      </c>
      <c r="BE488" s="3481">
        <v>0</v>
      </c>
      <c r="BF488" s="3481">
        <v>0</v>
      </c>
      <c r="BG488" s="3481">
        <v>0</v>
      </c>
      <c r="BH488" s="3481">
        <v>0</v>
      </c>
      <c r="BI488" s="3481">
        <v>0</v>
      </c>
      <c r="BJ488" s="3481">
        <v>0</v>
      </c>
      <c r="BK488" s="3481">
        <v>0</v>
      </c>
      <c r="BL488" s="3481">
        <v>0</v>
      </c>
      <c r="BM488" s="3481">
        <v>0</v>
      </c>
      <c r="BN488" s="3481">
        <v>0</v>
      </c>
      <c r="BO488" s="3481">
        <v>0</v>
      </c>
      <c r="BP488" s="3481">
        <v>0</v>
      </c>
      <c r="BQ488" s="3481">
        <v>0</v>
      </c>
      <c r="BR488" s="3481">
        <v>0</v>
      </c>
      <c r="BS488" s="3481">
        <v>0</v>
      </c>
      <c r="BT488" s="3481">
        <v>0</v>
      </c>
      <c r="BU488" s="3481">
        <v>0</v>
      </c>
      <c r="BV488" s="3481">
        <v>0</v>
      </c>
      <c r="BW488" s="3482">
        <v>0</v>
      </c>
      <c r="BX488" s="3483">
        <v>0</v>
      </c>
      <c r="BY488" s="3483">
        <v>0</v>
      </c>
      <c r="BZ488" s="3057">
        <v>0</v>
      </c>
      <c r="CA488" s="2225">
        <v>0</v>
      </c>
      <c r="CB488" s="2225">
        <v>0</v>
      </c>
      <c r="CC488" s="3496">
        <v>0</v>
      </c>
      <c r="CD488" s="2225">
        <v>0</v>
      </c>
      <c r="CE488" s="3480">
        <v>0</v>
      </c>
      <c r="CF488" s="3480">
        <v>0</v>
      </c>
      <c r="CG488" s="3500">
        <v>0</v>
      </c>
      <c r="CH488" s="3079"/>
      <c r="CI488" s="2515">
        <v>0</v>
      </c>
      <c r="CJ488" s="2515">
        <v>0</v>
      </c>
      <c r="CK488" s="2515"/>
      <c r="CL488" s="2515">
        <v>0</v>
      </c>
      <c r="CM488" s="268">
        <v>0</v>
      </c>
    </row>
    <row r="489" spans="1:91" ht="15.75">
      <c r="A489" s="3489" t="s">
        <v>671</v>
      </c>
      <c r="B489" s="2603">
        <v>0</v>
      </c>
      <c r="C489" s="2603">
        <v>0</v>
      </c>
      <c r="D489" s="2603">
        <v>0</v>
      </c>
      <c r="E489" s="2603">
        <v>124.17083984</v>
      </c>
      <c r="F489" s="2603">
        <v>0</v>
      </c>
      <c r="G489" s="2603">
        <v>0</v>
      </c>
      <c r="H489" s="2603">
        <v>106.955361212</v>
      </c>
      <c r="I489" s="2603">
        <v>272.16461287499999</v>
      </c>
      <c r="J489" s="2603">
        <v>206.72185160399999</v>
      </c>
      <c r="K489" s="2603">
        <v>153.22966119899999</v>
      </c>
      <c r="L489" s="2603">
        <v>367.18859046</v>
      </c>
      <c r="M489" s="2603">
        <v>303.02803641700001</v>
      </c>
      <c r="N489" s="2603">
        <v>327.89602119300002</v>
      </c>
      <c r="O489" s="2603">
        <v>212.48522835700001</v>
      </c>
      <c r="P489" s="2603">
        <v>405.659838622</v>
      </c>
      <c r="Q489" s="2603">
        <v>391.63634904100002</v>
      </c>
      <c r="R489" s="2603">
        <v>395.27205331300001</v>
      </c>
      <c r="S489" s="2603">
        <v>484.91116703599999</v>
      </c>
      <c r="T489" s="2603">
        <v>425.702882612</v>
      </c>
      <c r="U489" s="2603">
        <v>455.05559278999999</v>
      </c>
      <c r="V489" s="2603">
        <v>631.84495434500002</v>
      </c>
      <c r="W489" s="2603">
        <v>461.57244049399998</v>
      </c>
      <c r="X489" s="2603">
        <v>473.653259585</v>
      </c>
      <c r="Y489" s="2603">
        <v>515.70430395699998</v>
      </c>
      <c r="Z489" s="2603">
        <v>688.29644537599995</v>
      </c>
      <c r="AA489" s="2603">
        <v>662.37797292699997</v>
      </c>
      <c r="AB489" s="2603">
        <v>648.64619338399996</v>
      </c>
      <c r="AC489" s="2603">
        <v>577.918953719</v>
      </c>
      <c r="AD489" s="2603">
        <v>627.16173019600001</v>
      </c>
      <c r="AE489" s="2603">
        <v>550.11640839200004</v>
      </c>
      <c r="AF489" s="2603">
        <v>651.36351697800001</v>
      </c>
      <c r="AG489" s="2603">
        <v>574.38407964099997</v>
      </c>
      <c r="AH489" s="2603">
        <v>702.32473268800004</v>
      </c>
      <c r="AI489" s="2603">
        <v>562.52945486299996</v>
      </c>
      <c r="AJ489" s="2603">
        <v>676.39172501999997</v>
      </c>
      <c r="AK489" s="2603">
        <v>581.57063846699998</v>
      </c>
      <c r="AL489" s="2603">
        <v>645.00448437600005</v>
      </c>
      <c r="AM489" s="2603">
        <v>599.42426344</v>
      </c>
      <c r="AN489" s="2603">
        <v>630.80337378299998</v>
      </c>
      <c r="AO489" s="2603">
        <v>645.33200503199998</v>
      </c>
      <c r="AP489" s="2603">
        <v>705.02454562900004</v>
      </c>
      <c r="AQ489" s="2603">
        <v>618.49996318800004</v>
      </c>
      <c r="AR489" s="2603">
        <v>882.08919743800004</v>
      </c>
      <c r="AS489" s="2603">
        <v>562.74563594300002</v>
      </c>
      <c r="AT489" s="2603">
        <v>694.76965759699999</v>
      </c>
      <c r="AU489" s="2603">
        <v>754.08613342900003</v>
      </c>
      <c r="AV489" s="2603">
        <v>1002.297239272</v>
      </c>
      <c r="AW489" s="2603">
        <v>643.24479475099997</v>
      </c>
      <c r="AX489" s="2603">
        <v>783.48295869000003</v>
      </c>
      <c r="AY489" s="2603">
        <v>881.65274697300003</v>
      </c>
      <c r="AZ489" s="2603">
        <v>1940.1948812789999</v>
      </c>
      <c r="BA489" s="3481">
        <v>780.77821085200003</v>
      </c>
      <c r="BB489" s="3481">
        <v>906.31422034900004</v>
      </c>
      <c r="BC489" s="3481">
        <v>1050.6769260030001</v>
      </c>
      <c r="BD489" s="3481">
        <v>1114.533003366</v>
      </c>
      <c r="BE489" s="3481">
        <v>960.36672161499996</v>
      </c>
      <c r="BF489" s="3481">
        <v>1178.6287503000001</v>
      </c>
      <c r="BG489" s="3481">
        <v>1368.4710278709999</v>
      </c>
      <c r="BH489" s="3481">
        <v>1157.0640118880001</v>
      </c>
      <c r="BI489" s="3481">
        <v>1142.289868827</v>
      </c>
      <c r="BJ489" s="3481">
        <v>1285.4931080030001</v>
      </c>
      <c r="BK489" s="3481">
        <v>1385.878971886</v>
      </c>
      <c r="BL489" s="3481">
        <v>1447.3200404019999</v>
      </c>
      <c r="BM489" s="3481">
        <v>1396.7512113370001</v>
      </c>
      <c r="BN489" s="3481">
        <v>1539.464518474</v>
      </c>
      <c r="BO489" s="3481">
        <v>1638.5727718840001</v>
      </c>
      <c r="BP489" s="3481">
        <v>1760.4022254670001</v>
      </c>
      <c r="BQ489" s="3481">
        <v>1779.04784668</v>
      </c>
      <c r="BR489" s="3481">
        <v>1857.8446263870001</v>
      </c>
      <c r="BS489" s="3481">
        <v>2028.024819924</v>
      </c>
      <c r="BT489" s="3481">
        <v>1989.0286309139999</v>
      </c>
      <c r="BU489" s="3481">
        <v>2120.6436470980002</v>
      </c>
      <c r="BV489" s="3481">
        <v>2218.1326333470001</v>
      </c>
      <c r="BW489" s="3482">
        <v>2429.150459859</v>
      </c>
      <c r="BX489" s="3483">
        <v>2435.0927995910001</v>
      </c>
      <c r="BY489" s="3483">
        <v>2533.582054552</v>
      </c>
      <c r="BZ489" s="3057">
        <v>2664.2964059750002</v>
      </c>
      <c r="CA489" s="2225">
        <v>2908.6206333740001</v>
      </c>
      <c r="CB489" s="2225">
        <v>2958.5</v>
      </c>
      <c r="CC489" s="3496">
        <v>3024.6935108490002</v>
      </c>
      <c r="CD489" s="2225">
        <v>3141.0032616349999</v>
      </c>
      <c r="CE489" s="3480">
        <v>3374.7385980899999</v>
      </c>
      <c r="CF489" s="3480">
        <v>3503.1681403970001</v>
      </c>
      <c r="CG489" s="3500">
        <v>2803.8442816759998</v>
      </c>
      <c r="CH489" s="3079"/>
      <c r="CI489" s="2515">
        <v>5197.8784605270002</v>
      </c>
      <c r="CJ489" s="2515">
        <v>6165.6967724839997</v>
      </c>
      <c r="CK489" s="2515"/>
      <c r="CL489" s="2515">
        <v>6165.6967724839997</v>
      </c>
      <c r="CM489" s="268">
        <v>0.1884190692606989</v>
      </c>
    </row>
    <row r="490" spans="1:91" ht="15.75">
      <c r="A490" s="2204" t="s">
        <v>672</v>
      </c>
      <c r="B490" s="2199">
        <v>0</v>
      </c>
      <c r="C490" s="2199">
        <v>0</v>
      </c>
      <c r="D490" s="2199">
        <v>0</v>
      </c>
      <c r="E490" s="2199">
        <v>-16.127530991</v>
      </c>
      <c r="F490" s="2199">
        <v>0</v>
      </c>
      <c r="G490" s="2199">
        <v>0</v>
      </c>
      <c r="H490" s="2199">
        <v>-13.707144957000001</v>
      </c>
      <c r="I490" s="2199">
        <v>-32.149904366999998</v>
      </c>
      <c r="J490" s="2199">
        <v>-27.266211126999998</v>
      </c>
      <c r="K490" s="2199">
        <v>-24.844276837999999</v>
      </c>
      <c r="L490" s="2199">
        <v>-54.444298887999999</v>
      </c>
      <c r="M490" s="2199">
        <v>-56.669280372999999</v>
      </c>
      <c r="N490" s="2199">
        <v>-55.309482586999998</v>
      </c>
      <c r="O490" s="2199">
        <v>-36.690411537999999</v>
      </c>
      <c r="P490" s="2199">
        <v>-58.263415225999999</v>
      </c>
      <c r="Q490" s="2199">
        <v>-72.972964621000003</v>
      </c>
      <c r="R490" s="2199">
        <v>-84.141545672000007</v>
      </c>
      <c r="S490" s="2199">
        <v>-78.679616808000006</v>
      </c>
      <c r="T490" s="2199">
        <v>-93.234563343999994</v>
      </c>
      <c r="U490" s="2199">
        <v>-70.378477486999998</v>
      </c>
      <c r="V490" s="2199">
        <v>-121.452249632</v>
      </c>
      <c r="W490" s="2199">
        <v>-88.473533306999997</v>
      </c>
      <c r="X490" s="2199">
        <v>-68.719346466000005</v>
      </c>
      <c r="Y490" s="2199">
        <v>-106.600553975</v>
      </c>
      <c r="Z490" s="2199">
        <v>-131.40898193800001</v>
      </c>
      <c r="AA490" s="2199">
        <v>-127.286056957</v>
      </c>
      <c r="AB490" s="2199">
        <v>-59.431702369</v>
      </c>
      <c r="AC490" s="2199">
        <v>-109.53199465900001</v>
      </c>
      <c r="AD490" s="2199">
        <v>-96.281935493999995</v>
      </c>
      <c r="AE490" s="2199">
        <v>-97.194127874000003</v>
      </c>
      <c r="AF490" s="2199">
        <v>-121.561475753</v>
      </c>
      <c r="AG490" s="2199">
        <v>-105.48489736499999</v>
      </c>
      <c r="AH490" s="2199">
        <v>-124.887149259</v>
      </c>
      <c r="AI490" s="2199">
        <v>-105.57485812</v>
      </c>
      <c r="AJ490" s="2199">
        <v>-141.07085525700001</v>
      </c>
      <c r="AK490" s="2199">
        <v>-105.743731666</v>
      </c>
      <c r="AL490" s="2199">
        <v>-96.429427588999999</v>
      </c>
      <c r="AM490" s="2199">
        <v>-102.58279772100001</v>
      </c>
      <c r="AN490" s="2199">
        <v>-100.607451803</v>
      </c>
      <c r="AO490" s="2199">
        <v>-101.775111228</v>
      </c>
      <c r="AP490" s="2199">
        <v>-125.417226089</v>
      </c>
      <c r="AQ490" s="2199">
        <v>-107.228020329</v>
      </c>
      <c r="AR490" s="2199">
        <v>-162.69201499600001</v>
      </c>
      <c r="AS490" s="2199">
        <v>-85.635186967999999</v>
      </c>
      <c r="AT490" s="2199">
        <v>-74.546875005000004</v>
      </c>
      <c r="AU490" s="2199">
        <v>-87.796091824000001</v>
      </c>
      <c r="AV490" s="2199">
        <v>-177.169809141</v>
      </c>
      <c r="AW490" s="2199">
        <v>-107.04773744000001</v>
      </c>
      <c r="AX490" s="2199">
        <v>-98.141264516999996</v>
      </c>
      <c r="AY490" s="2199">
        <v>-145.050581744</v>
      </c>
      <c r="AZ490" s="2199">
        <v>-347.75415764299999</v>
      </c>
      <c r="BA490" s="2324">
        <v>-106.062709043</v>
      </c>
      <c r="BB490" s="2324">
        <v>-147.07081602400001</v>
      </c>
      <c r="BC490" s="2324">
        <v>-160.198530011</v>
      </c>
      <c r="BD490" s="2324">
        <v>-186.08684576100001</v>
      </c>
      <c r="BE490" s="2324">
        <v>-168.144970817</v>
      </c>
      <c r="BF490" s="2324">
        <v>-195.21894986500001</v>
      </c>
      <c r="BG490" s="2324">
        <v>-207.59170414499999</v>
      </c>
      <c r="BH490" s="2324">
        <v>-191.03398728900001</v>
      </c>
      <c r="BI490" s="2324">
        <v>-204.460980777</v>
      </c>
      <c r="BJ490" s="2324">
        <v>-186.395040913</v>
      </c>
      <c r="BK490" s="2324">
        <v>-238.99200658199999</v>
      </c>
      <c r="BL490" s="2324">
        <v>-307.03500147400001</v>
      </c>
      <c r="BM490" s="2324">
        <v>-224.52632045600001</v>
      </c>
      <c r="BN490" s="2324">
        <v>-276.48990517700003</v>
      </c>
      <c r="BO490" s="2324">
        <v>-238.201206888</v>
      </c>
      <c r="BP490" s="2324">
        <v>-217.58318888700001</v>
      </c>
      <c r="BQ490" s="2324">
        <v>-264.151335856</v>
      </c>
      <c r="BR490" s="2324">
        <v>-284.12003390899997</v>
      </c>
      <c r="BS490" s="2324">
        <v>-306.45292189600002</v>
      </c>
      <c r="BT490" s="2324">
        <v>-335.96480645299999</v>
      </c>
      <c r="BU490" s="2324">
        <v>-308.33014470099999</v>
      </c>
      <c r="BV490" s="2324">
        <v>-337.90533793899999</v>
      </c>
      <c r="BW490" s="2200">
        <v>-344.59519618100001</v>
      </c>
      <c r="BX490" s="2227">
        <v>-383.85202860999999</v>
      </c>
      <c r="BY490" s="2227">
        <v>-373.31676491000002</v>
      </c>
      <c r="BZ490" s="3057">
        <v>-381.25541704</v>
      </c>
      <c r="CA490" s="2225">
        <v>-430.02301087400002</v>
      </c>
      <c r="CB490" s="2225">
        <v>-457.65</v>
      </c>
      <c r="CC490" s="3496">
        <v>-429.13603053999998</v>
      </c>
      <c r="CD490" s="2225">
        <v>-400.76118378199999</v>
      </c>
      <c r="CE490" s="2195">
        <v>-589.55362703399999</v>
      </c>
      <c r="CF490" s="2195">
        <v>-486.19521544399998</v>
      </c>
      <c r="CG490" s="3406">
        <v>-454.67859741299998</v>
      </c>
      <c r="CH490" s="3079"/>
      <c r="CI490" s="2515">
        <v>-754.57218194999996</v>
      </c>
      <c r="CJ490" s="2515">
        <v>-829.89721432199997</v>
      </c>
      <c r="CK490" s="2515"/>
      <c r="CL490" s="2515"/>
    </row>
    <row r="491" spans="1:91" ht="14.25">
      <c r="A491" s="2204" t="s">
        <v>673</v>
      </c>
      <c r="B491" s="2199">
        <v>0</v>
      </c>
      <c r="C491" s="2199">
        <v>0</v>
      </c>
      <c r="D491" s="2199">
        <v>0</v>
      </c>
      <c r="E491" s="2199">
        <v>0</v>
      </c>
      <c r="F491" s="2199">
        <v>0</v>
      </c>
      <c r="G491" s="2199">
        <v>0</v>
      </c>
      <c r="H491" s="2199">
        <v>0</v>
      </c>
      <c r="I491" s="2199">
        <v>0</v>
      </c>
      <c r="J491" s="2199">
        <v>0</v>
      </c>
      <c r="K491" s="2199">
        <v>0</v>
      </c>
      <c r="L491" s="2199">
        <v>0</v>
      </c>
      <c r="M491" s="2199">
        <v>0</v>
      </c>
      <c r="N491" s="2199">
        <v>0</v>
      </c>
      <c r="O491" s="2199">
        <v>0</v>
      </c>
      <c r="P491" s="2199">
        <v>13.382504087999999</v>
      </c>
      <c r="Q491" s="2199">
        <v>-1.5436204039999999</v>
      </c>
      <c r="R491" s="2199">
        <v>3.4842277500000001</v>
      </c>
      <c r="S491" s="2199">
        <v>-0.26821351999999998</v>
      </c>
      <c r="T491" s="2199">
        <v>35.708178758000003</v>
      </c>
      <c r="U491" s="2199">
        <v>-0.26821351999999998</v>
      </c>
      <c r="V491" s="2199">
        <v>-5.1201705640000004</v>
      </c>
      <c r="W491" s="2199">
        <v>-0.26821351999999998</v>
      </c>
      <c r="X491" s="2199">
        <v>23.775384761000002</v>
      </c>
      <c r="Y491" s="2199">
        <v>7.223670351</v>
      </c>
      <c r="Z491" s="2199">
        <v>-3.8411255569999998</v>
      </c>
      <c r="AA491" s="2199">
        <v>4.440923733</v>
      </c>
      <c r="AB491" s="2199">
        <v>-9.5254572680000003</v>
      </c>
      <c r="AC491" s="2199">
        <v>-7.9700914699999998</v>
      </c>
      <c r="AD491" s="2199">
        <v>-1.3827071200000001</v>
      </c>
      <c r="AE491" s="2199">
        <v>-0.99244061500000003</v>
      </c>
      <c r="AF491" s="2199">
        <v>14.77871317</v>
      </c>
      <c r="AG491" s="2199">
        <v>5.7817830499999996</v>
      </c>
      <c r="AH491" s="2199">
        <v>6.8614164999999998</v>
      </c>
      <c r="AI491" s="2199">
        <v>8.1548882079999991</v>
      </c>
      <c r="AJ491" s="2199">
        <v>5.9026753410000001</v>
      </c>
      <c r="AK491" s="2199">
        <v>5.1265363209999997</v>
      </c>
      <c r="AL491" s="2199">
        <v>8.8832812420000007</v>
      </c>
      <c r="AM491" s="2199">
        <v>6.8800677429999997</v>
      </c>
      <c r="AN491" s="2199">
        <v>3.4402525389999998</v>
      </c>
      <c r="AO491" s="2199">
        <v>3.7918847480000002</v>
      </c>
      <c r="AP491" s="2199">
        <v>10.901745593999999</v>
      </c>
      <c r="AQ491" s="2199">
        <v>7.9545199929999999</v>
      </c>
      <c r="AR491" s="2199">
        <v>61.324194878</v>
      </c>
      <c r="AS491" s="2199">
        <v>-30.601827384</v>
      </c>
      <c r="AT491" s="2199">
        <v>9.9668184310000001</v>
      </c>
      <c r="AU491" s="2199">
        <v>1.175755492</v>
      </c>
      <c r="AV491" s="2199">
        <v>6.3993954359999998</v>
      </c>
      <c r="AW491" s="2199">
        <v>4.1428761549999997</v>
      </c>
      <c r="AX491" s="2199">
        <v>-14.884471894000001</v>
      </c>
      <c r="AY491" s="2199">
        <v>7.4288308049999996</v>
      </c>
      <c r="AZ491" s="2199">
        <v>-25.197182552000001</v>
      </c>
      <c r="BA491" s="2324">
        <v>-21.947069543000001</v>
      </c>
      <c r="BB491" s="2324">
        <v>-0.214570816</v>
      </c>
      <c r="BC491" s="2324">
        <v>-0.214570816</v>
      </c>
      <c r="BD491" s="2324">
        <v>-2.0143060159999999</v>
      </c>
      <c r="BE491" s="2324">
        <v>1.701077956</v>
      </c>
      <c r="BF491" s="2324">
        <v>2.7574318170000001</v>
      </c>
      <c r="BG491" s="2324">
        <v>-1.16736748</v>
      </c>
      <c r="BH491" s="2324">
        <v>5.8801249899999997</v>
      </c>
      <c r="BI491" s="2324">
        <v>-0.86631319699999998</v>
      </c>
      <c r="BJ491" s="2324">
        <v>-14.876078696</v>
      </c>
      <c r="BK491" s="2324">
        <v>1.744406809</v>
      </c>
      <c r="BL491" s="2324">
        <v>112.303662813</v>
      </c>
      <c r="BM491" s="2324">
        <v>-21.522267376999999</v>
      </c>
      <c r="BN491" s="2324">
        <v>-3.3081634050000002</v>
      </c>
      <c r="BO491" s="2324">
        <v>-25.756489578</v>
      </c>
      <c r="BP491" s="2324">
        <v>16.995648309</v>
      </c>
      <c r="BQ491" s="2324">
        <v>23.66160365</v>
      </c>
      <c r="BR491" s="2324">
        <v>-12.150301092999999</v>
      </c>
      <c r="BS491" s="2324">
        <v>34.425563560999997</v>
      </c>
      <c r="BT491" s="2324">
        <v>-33.171856353000003</v>
      </c>
      <c r="BU491" s="2324">
        <v>-2.5140485030000002</v>
      </c>
      <c r="BV491" s="2324">
        <v>-24.645039772000001</v>
      </c>
      <c r="BW491" s="2200">
        <v>-8.6859076529999992</v>
      </c>
      <c r="BX491" s="2200">
        <v>-424.98134448100001</v>
      </c>
      <c r="BY491" s="2200">
        <v>-389.75542398800002</v>
      </c>
      <c r="BZ491" s="3057">
        <v>-561.24862038900005</v>
      </c>
      <c r="CA491" s="2195">
        <v>-441.22495155399997</v>
      </c>
      <c r="CB491" s="2195">
        <v>-530.70000000000005</v>
      </c>
      <c r="CC491" s="3496">
        <v>-377.28759956300001</v>
      </c>
      <c r="CD491" s="2195">
        <v>-463.96175040100002</v>
      </c>
      <c r="CE491" s="2195">
        <v>116.360781594</v>
      </c>
      <c r="CF491" s="2195">
        <v>-22.008107856999999</v>
      </c>
      <c r="CG491" s="3406">
        <v>127.624149218</v>
      </c>
      <c r="CH491" s="1972"/>
      <c r="CI491" s="2515">
        <v>-951.00404437700013</v>
      </c>
      <c r="CJ491" s="2515">
        <v>-841.24934996399998</v>
      </c>
      <c r="CK491" s="2515"/>
      <c r="CL491" s="2515"/>
    </row>
    <row r="492" spans="1:91" ht="15.75">
      <c r="A492" s="2204" t="s">
        <v>674</v>
      </c>
      <c r="B492" s="2199">
        <v>0</v>
      </c>
      <c r="C492" s="2199">
        <v>0</v>
      </c>
      <c r="D492" s="2199">
        <v>0</v>
      </c>
      <c r="E492" s="2199">
        <v>-16.127530991</v>
      </c>
      <c r="F492" s="2199">
        <v>0</v>
      </c>
      <c r="G492" s="2199">
        <v>0</v>
      </c>
      <c r="H492" s="2199">
        <v>-13.707144957000001</v>
      </c>
      <c r="I492" s="2199">
        <v>-32.149904366999998</v>
      </c>
      <c r="J492" s="2199">
        <v>-27.266211126999998</v>
      </c>
      <c r="K492" s="2199">
        <v>-24.844276837999999</v>
      </c>
      <c r="L492" s="2199">
        <v>-54.444298887999999</v>
      </c>
      <c r="M492" s="2199">
        <v>-56.669280372999999</v>
      </c>
      <c r="N492" s="2199">
        <v>-55.309482586999998</v>
      </c>
      <c r="O492" s="2199">
        <v>-36.690411537999999</v>
      </c>
      <c r="P492" s="2199">
        <v>-44.880911138000002</v>
      </c>
      <c r="Q492" s="2199">
        <v>-74.516585024999998</v>
      </c>
      <c r="R492" s="2199">
        <v>-80.657317922000004</v>
      </c>
      <c r="S492" s="2199">
        <v>-78.947830327999995</v>
      </c>
      <c r="T492" s="2199">
        <v>-57.526384585999999</v>
      </c>
      <c r="U492" s="2199">
        <v>-70.646691007000001</v>
      </c>
      <c r="V492" s="2199">
        <v>-126.572420196</v>
      </c>
      <c r="W492" s="2199">
        <v>-88.741746827</v>
      </c>
      <c r="X492" s="2199">
        <v>-44.943961705</v>
      </c>
      <c r="Y492" s="2199">
        <v>-99.376883624000001</v>
      </c>
      <c r="Z492" s="2199">
        <v>-135.25010749500001</v>
      </c>
      <c r="AA492" s="2199">
        <v>-122.84513322399999</v>
      </c>
      <c r="AB492" s="2199">
        <v>-68.957159637000004</v>
      </c>
      <c r="AC492" s="2199">
        <v>-117.50208612900001</v>
      </c>
      <c r="AD492" s="2199">
        <v>-97.664642614000002</v>
      </c>
      <c r="AE492" s="2199">
        <v>-98.186568488999995</v>
      </c>
      <c r="AF492" s="2199">
        <v>-106.78276258299999</v>
      </c>
      <c r="AG492" s="2199">
        <v>-99.703114314999993</v>
      </c>
      <c r="AH492" s="2199">
        <v>-118.02573275899999</v>
      </c>
      <c r="AI492" s="2199">
        <v>-97.419969911999999</v>
      </c>
      <c r="AJ492" s="2199">
        <v>-135.16817991600001</v>
      </c>
      <c r="AK492" s="2199">
        <v>-100.617195345</v>
      </c>
      <c r="AL492" s="2199">
        <v>-87.546146347000004</v>
      </c>
      <c r="AM492" s="2199">
        <v>-95.702729977999994</v>
      </c>
      <c r="AN492" s="2199">
        <v>-97.167199264000004</v>
      </c>
      <c r="AO492" s="2199">
        <v>-97.983226479999999</v>
      </c>
      <c r="AP492" s="2199">
        <v>-114.51548049500001</v>
      </c>
      <c r="AQ492" s="2199">
        <v>-99.273500335999998</v>
      </c>
      <c r="AR492" s="2199">
        <v>-101.367820118</v>
      </c>
      <c r="AS492" s="2199">
        <v>-116.237014352</v>
      </c>
      <c r="AT492" s="2199">
        <v>-64.580056573999997</v>
      </c>
      <c r="AU492" s="2199">
        <v>-86.620336331999994</v>
      </c>
      <c r="AV492" s="2199">
        <v>-170.77041370500001</v>
      </c>
      <c r="AW492" s="2199">
        <v>-102.904861285</v>
      </c>
      <c r="AX492" s="2199">
        <v>-113.025736411</v>
      </c>
      <c r="AY492" s="2199">
        <v>-137.62175093900001</v>
      </c>
      <c r="AZ492" s="2199">
        <v>-372.951340195</v>
      </c>
      <c r="BA492" s="2324">
        <v>-128.00977858600001</v>
      </c>
      <c r="BB492" s="2324">
        <v>-147.28538684</v>
      </c>
      <c r="BC492" s="2324">
        <v>-160.41310082699999</v>
      </c>
      <c r="BD492" s="2324">
        <v>-188.10115177700001</v>
      </c>
      <c r="BE492" s="2324">
        <v>-166.44389286099999</v>
      </c>
      <c r="BF492" s="2324">
        <v>-192.46151804799999</v>
      </c>
      <c r="BG492" s="2324">
        <v>-208.75907162499999</v>
      </c>
      <c r="BH492" s="2324">
        <v>-185.153862299</v>
      </c>
      <c r="BI492" s="2324">
        <v>-205.32729397400001</v>
      </c>
      <c r="BJ492" s="2324">
        <v>-201.27111960900001</v>
      </c>
      <c r="BK492" s="2324">
        <v>-237.24759977299999</v>
      </c>
      <c r="BL492" s="2324">
        <v>-194.731338661</v>
      </c>
      <c r="BM492" s="2324">
        <v>-246.048587833</v>
      </c>
      <c r="BN492" s="2324">
        <v>-279.79806858199998</v>
      </c>
      <c r="BO492" s="2324">
        <v>-263.95769646600002</v>
      </c>
      <c r="BP492" s="2324">
        <v>-200.58754057799999</v>
      </c>
      <c r="BQ492" s="2324">
        <v>-240.48973220600001</v>
      </c>
      <c r="BR492" s="2324">
        <v>-296.27033500200002</v>
      </c>
      <c r="BS492" s="2324">
        <v>-272.02735833499997</v>
      </c>
      <c r="BT492" s="2324">
        <v>-369.136662806</v>
      </c>
      <c r="BU492" s="2324">
        <v>-310.84419320400002</v>
      </c>
      <c r="BV492" s="2324">
        <v>-362.55037771100001</v>
      </c>
      <c r="BW492" s="2200">
        <v>-353.28110383400002</v>
      </c>
      <c r="BX492" s="2200">
        <v>41.129315871000003</v>
      </c>
      <c r="BY492" s="2200">
        <v>16.438659078000001</v>
      </c>
      <c r="BZ492" s="3057">
        <v>179.993203349</v>
      </c>
      <c r="CA492" s="2195">
        <v>11.20194068</v>
      </c>
      <c r="CB492" s="2195">
        <v>73.05</v>
      </c>
      <c r="CC492" s="3496">
        <v>-51.848430977</v>
      </c>
      <c r="CD492" s="2195">
        <v>63.200566619</v>
      </c>
      <c r="CE492" s="3480">
        <v>-473.19284543999999</v>
      </c>
      <c r="CF492" s="3480">
        <v>-508.20332330100001</v>
      </c>
      <c r="CG492" s="3500">
        <v>-327.05444819500002</v>
      </c>
      <c r="CH492" s="1972"/>
      <c r="CI492" s="2515">
        <v>196.431862427</v>
      </c>
      <c r="CJ492" s="2515">
        <v>11.352135642</v>
      </c>
      <c r="CK492" s="2515"/>
      <c r="CL492" s="2515"/>
    </row>
    <row r="493" spans="1:91" ht="15.75">
      <c r="A493" s="2207" t="s">
        <v>675</v>
      </c>
      <c r="B493" s="2208">
        <v>0</v>
      </c>
      <c r="C493" s="2208">
        <v>0</v>
      </c>
      <c r="D493" s="2208">
        <v>0</v>
      </c>
      <c r="E493" s="2208">
        <v>108.043308849</v>
      </c>
      <c r="F493" s="2208">
        <v>0</v>
      </c>
      <c r="G493" s="2208">
        <v>0</v>
      </c>
      <c r="H493" s="2208">
        <v>93.248216255000003</v>
      </c>
      <c r="I493" s="2208">
        <v>240.01470850800001</v>
      </c>
      <c r="J493" s="2208">
        <v>179.455640477</v>
      </c>
      <c r="K493" s="2208">
        <v>128.38538436100001</v>
      </c>
      <c r="L493" s="2208">
        <v>312.74429157200001</v>
      </c>
      <c r="M493" s="2208">
        <v>246.35875604399999</v>
      </c>
      <c r="N493" s="2208">
        <v>272.58653860599998</v>
      </c>
      <c r="O493" s="2208">
        <v>175.794816819</v>
      </c>
      <c r="P493" s="2208">
        <v>360.77892748400001</v>
      </c>
      <c r="Q493" s="2208">
        <v>317.11976401599998</v>
      </c>
      <c r="R493" s="2208">
        <v>314.61473539100001</v>
      </c>
      <c r="S493" s="2208">
        <v>405.96333670799999</v>
      </c>
      <c r="T493" s="2208">
        <v>368.17649802599999</v>
      </c>
      <c r="U493" s="2208">
        <v>384.40890178299998</v>
      </c>
      <c r="V493" s="2208">
        <v>505.27253414900002</v>
      </c>
      <c r="W493" s="2208">
        <v>372.83069366699999</v>
      </c>
      <c r="X493" s="2208">
        <v>428.70929788000001</v>
      </c>
      <c r="Y493" s="2208">
        <v>416.32742033300002</v>
      </c>
      <c r="Z493" s="2208">
        <v>553.046337881</v>
      </c>
      <c r="AA493" s="2208">
        <v>539.53283970300004</v>
      </c>
      <c r="AB493" s="2208">
        <v>579.68903374700005</v>
      </c>
      <c r="AC493" s="2208">
        <v>460.41686758999998</v>
      </c>
      <c r="AD493" s="2208">
        <v>529.49708758199995</v>
      </c>
      <c r="AE493" s="2208">
        <v>451.92983990300002</v>
      </c>
      <c r="AF493" s="2208">
        <v>544.58075439499999</v>
      </c>
      <c r="AG493" s="2208">
        <v>474.68096532599998</v>
      </c>
      <c r="AH493" s="2208">
        <v>584.29899992900005</v>
      </c>
      <c r="AI493" s="2208">
        <v>465.10948495100001</v>
      </c>
      <c r="AJ493" s="2208">
        <v>541.22354510399998</v>
      </c>
      <c r="AK493" s="2208">
        <v>480.95344312200001</v>
      </c>
      <c r="AL493" s="2208">
        <v>557.45833802899995</v>
      </c>
      <c r="AM493" s="2208">
        <v>503.72153346200002</v>
      </c>
      <c r="AN493" s="2208">
        <v>533.63617451899995</v>
      </c>
      <c r="AO493" s="2208">
        <v>547.348778552</v>
      </c>
      <c r="AP493" s="2208">
        <v>590.50906513400002</v>
      </c>
      <c r="AQ493" s="2208">
        <v>519.22646285200005</v>
      </c>
      <c r="AR493" s="2208">
        <v>780.72137731999999</v>
      </c>
      <c r="AS493" s="2208">
        <v>446.50862159100001</v>
      </c>
      <c r="AT493" s="2208">
        <v>630.18960102300002</v>
      </c>
      <c r="AU493" s="2208">
        <v>667.46579709699995</v>
      </c>
      <c r="AV493" s="2208">
        <v>831.52682556699995</v>
      </c>
      <c r="AW493" s="2208">
        <v>540.33993346600005</v>
      </c>
      <c r="AX493" s="2208">
        <v>670.45722227900001</v>
      </c>
      <c r="AY493" s="2208">
        <v>744.03099603400005</v>
      </c>
      <c r="AZ493" s="2208">
        <v>1567.2435410840001</v>
      </c>
      <c r="BA493" s="2326">
        <v>652.76843226599999</v>
      </c>
      <c r="BB493" s="2326">
        <v>759.02883350900004</v>
      </c>
      <c r="BC493" s="2326">
        <v>890.26382517599995</v>
      </c>
      <c r="BD493" s="2326">
        <v>926.43185158899996</v>
      </c>
      <c r="BE493" s="2326">
        <v>793.92282875399997</v>
      </c>
      <c r="BF493" s="2326">
        <v>986.16723225199996</v>
      </c>
      <c r="BG493" s="2326">
        <v>1159.711956246</v>
      </c>
      <c r="BH493" s="2326">
        <v>971.91014958899996</v>
      </c>
      <c r="BI493" s="2326">
        <v>936.96257485299998</v>
      </c>
      <c r="BJ493" s="2326">
        <v>1084.2219883939999</v>
      </c>
      <c r="BK493" s="2326">
        <v>1148.631372113</v>
      </c>
      <c r="BL493" s="2326">
        <v>1252.588701741</v>
      </c>
      <c r="BM493" s="2326">
        <v>1150.702623504</v>
      </c>
      <c r="BN493" s="2326">
        <v>1259.6664498919999</v>
      </c>
      <c r="BO493" s="2326">
        <v>1374.6150754180001</v>
      </c>
      <c r="BP493" s="2326">
        <v>1559.8146848890001</v>
      </c>
      <c r="BQ493" s="2326">
        <v>1538.5581144739999</v>
      </c>
      <c r="BR493" s="2326">
        <v>1561.5742913849999</v>
      </c>
      <c r="BS493" s="2326">
        <v>1755.9974615890001</v>
      </c>
      <c r="BT493" s="2326">
        <v>1619.8919681079999</v>
      </c>
      <c r="BU493" s="2326">
        <v>1809.799453894</v>
      </c>
      <c r="BV493" s="2326">
        <v>1855.5822556359999</v>
      </c>
      <c r="BW493" s="228">
        <v>2075.8693560249999</v>
      </c>
      <c r="BX493" s="2227">
        <v>2051.240770981</v>
      </c>
      <c r="BY493" s="2227">
        <v>2160.265289642</v>
      </c>
      <c r="BZ493" s="3057">
        <v>2283.0409889349999</v>
      </c>
      <c r="CA493" s="2225">
        <v>2478.5976224999999</v>
      </c>
      <c r="CB493" s="2225">
        <v>2500.85</v>
      </c>
      <c r="CC493" s="3496">
        <v>2595.5574803089999</v>
      </c>
      <c r="CD493" s="2225">
        <v>2740.242077853</v>
      </c>
      <c r="CE493" s="3480">
        <v>2901.5457526499999</v>
      </c>
      <c r="CF493" s="3480">
        <v>2994.9648170959999</v>
      </c>
      <c r="CG493" s="3500">
        <v>2476.7898334810002</v>
      </c>
      <c r="CH493" s="3079"/>
      <c r="CI493" s="2515">
        <v>4443.3062785769998</v>
      </c>
      <c r="CJ493" s="2515">
        <v>5335.7995581619998</v>
      </c>
      <c r="CK493" s="2515"/>
      <c r="CL493" s="2515"/>
    </row>
    <row r="494" spans="1:91" ht="15.75">
      <c r="A494" s="2204" t="s">
        <v>676</v>
      </c>
      <c r="B494" s="2199">
        <v>0</v>
      </c>
      <c r="C494" s="2199">
        <v>0</v>
      </c>
      <c r="D494" s="2199">
        <v>0</v>
      </c>
      <c r="E494" s="2199">
        <v>10.977811368999999</v>
      </c>
      <c r="F494" s="2199">
        <v>0</v>
      </c>
      <c r="G494" s="2199">
        <v>0</v>
      </c>
      <c r="H494" s="2199">
        <v>24.902236953999999</v>
      </c>
      <c r="I494" s="2199">
        <v>11.652955560000001</v>
      </c>
      <c r="J494" s="2199">
        <v>24.409006803</v>
      </c>
      <c r="K494" s="2199">
        <v>40.573602317999999</v>
      </c>
      <c r="L494" s="2199">
        <v>40.237626812999999</v>
      </c>
      <c r="M494" s="2199">
        <v>60.253674625000002</v>
      </c>
      <c r="N494" s="2199">
        <v>71.002300394000002</v>
      </c>
      <c r="O494" s="2199">
        <v>55.326022838999997</v>
      </c>
      <c r="P494" s="2199">
        <v>30.282983198</v>
      </c>
      <c r="Q494" s="2199">
        <v>97.599325183000005</v>
      </c>
      <c r="R494" s="2199">
        <v>82.756146473000001</v>
      </c>
      <c r="S494" s="2199">
        <v>83.803647202999997</v>
      </c>
      <c r="T494" s="2199">
        <v>78.366301425000003</v>
      </c>
      <c r="U494" s="2199">
        <v>94.323462567000007</v>
      </c>
      <c r="V494" s="2199">
        <v>117.172209913</v>
      </c>
      <c r="W494" s="2199">
        <v>91.793428339000002</v>
      </c>
      <c r="X494" s="2199">
        <v>124.881355391</v>
      </c>
      <c r="Y494" s="2199">
        <v>119.701071406</v>
      </c>
      <c r="Z494" s="2199">
        <v>137.58913185599999</v>
      </c>
      <c r="AA494" s="2199">
        <v>26.207110245999999</v>
      </c>
      <c r="AB494" s="2199">
        <v>116.94317903</v>
      </c>
      <c r="AC494" s="2199">
        <v>119.78727335000001</v>
      </c>
      <c r="AD494" s="2199">
        <v>117.156296959</v>
      </c>
      <c r="AE494" s="2199">
        <v>113.52735325</v>
      </c>
      <c r="AF494" s="2199">
        <v>95.626725579999999</v>
      </c>
      <c r="AG494" s="2199">
        <v>116.35823366</v>
      </c>
      <c r="AH494" s="2199">
        <v>139.51334660500001</v>
      </c>
      <c r="AI494" s="2199">
        <v>134.51961674</v>
      </c>
      <c r="AJ494" s="2199">
        <v>67.213579323000005</v>
      </c>
      <c r="AK494" s="2199">
        <v>119.436059828</v>
      </c>
      <c r="AL494" s="2199">
        <v>129.87278093800001</v>
      </c>
      <c r="AM494" s="2199">
        <v>114.623578631</v>
      </c>
      <c r="AN494" s="2199">
        <v>83.107292345000005</v>
      </c>
      <c r="AO494" s="2199">
        <v>122.687947353</v>
      </c>
      <c r="AP494" s="2199">
        <v>133.87588768099999</v>
      </c>
      <c r="AQ494" s="2199">
        <v>130.16247810199999</v>
      </c>
      <c r="AR494" s="2199">
        <v>118.363531322</v>
      </c>
      <c r="AS494" s="2199">
        <v>100.81857668799999</v>
      </c>
      <c r="AT494" s="2199">
        <v>114.186505587</v>
      </c>
      <c r="AU494" s="2199">
        <v>199.65450436899999</v>
      </c>
      <c r="AV494" s="2199">
        <v>170.38868024199999</v>
      </c>
      <c r="AW494" s="2199">
        <v>127.44004613600001</v>
      </c>
      <c r="AX494" s="2199">
        <v>158.77153727499999</v>
      </c>
      <c r="AY494" s="2199">
        <v>161.390343605</v>
      </c>
      <c r="AZ494" s="2199">
        <v>147.598090625</v>
      </c>
      <c r="BA494" s="2324">
        <v>143.754710155</v>
      </c>
      <c r="BB494" s="2324">
        <v>164.74648763600001</v>
      </c>
      <c r="BC494" s="2324">
        <v>165.34590057599999</v>
      </c>
      <c r="BD494" s="2324">
        <v>139.97141069200001</v>
      </c>
      <c r="BE494" s="2324">
        <v>167.61855243299999</v>
      </c>
      <c r="BF494" s="2324">
        <v>194.46294902299999</v>
      </c>
      <c r="BG494" s="2324">
        <v>199.603945404</v>
      </c>
      <c r="BH494" s="2324">
        <v>214.67634339099999</v>
      </c>
      <c r="BI494" s="2324">
        <v>189.85743581200001</v>
      </c>
      <c r="BJ494" s="2324">
        <v>205.51147088299999</v>
      </c>
      <c r="BK494" s="2324">
        <v>219.74357147500001</v>
      </c>
      <c r="BL494" s="2324">
        <v>269.74500956000003</v>
      </c>
      <c r="BM494" s="2324">
        <v>244.55994232099999</v>
      </c>
      <c r="BN494" s="2324">
        <v>259.63537390900001</v>
      </c>
      <c r="BO494" s="2324">
        <v>249.77633751100001</v>
      </c>
      <c r="BP494" s="2324">
        <v>258.29258026100001</v>
      </c>
      <c r="BQ494" s="2324">
        <v>299.67868948799997</v>
      </c>
      <c r="BR494" s="2324">
        <v>310.75381262299999</v>
      </c>
      <c r="BS494" s="2324">
        <v>302.28118061999999</v>
      </c>
      <c r="BT494" s="2324">
        <v>268.29086229199999</v>
      </c>
      <c r="BU494" s="2324">
        <v>316.23687300400002</v>
      </c>
      <c r="BV494" s="2324">
        <v>346.36272439300001</v>
      </c>
      <c r="BW494" s="2200">
        <v>336.52899578099999</v>
      </c>
      <c r="BX494" s="2227">
        <v>322.84080964600003</v>
      </c>
      <c r="BY494" s="2227">
        <v>362.23442611399997</v>
      </c>
      <c r="BZ494" s="3057">
        <v>409.226238163</v>
      </c>
      <c r="CA494" s="2225">
        <v>389.74541009199999</v>
      </c>
      <c r="CB494" s="2225">
        <v>406.12</v>
      </c>
      <c r="CC494" s="3496">
        <v>421.25609378399997</v>
      </c>
      <c r="CD494" s="2225">
        <v>482.80881255499997</v>
      </c>
      <c r="CE494" s="3480">
        <v>466.70431791800002</v>
      </c>
      <c r="CF494" s="3480">
        <v>485.442596976</v>
      </c>
      <c r="CG494" s="3500">
        <v>-10.581753618</v>
      </c>
      <c r="CH494" s="3079"/>
      <c r="CI494" s="2515">
        <v>771.46066427699998</v>
      </c>
      <c r="CJ494" s="2515">
        <v>904.06490633899989</v>
      </c>
      <c r="CK494" s="2515"/>
      <c r="CL494" s="2515"/>
    </row>
    <row r="495" spans="1:91" ht="15.75">
      <c r="A495" s="2209" t="s">
        <v>677</v>
      </c>
      <c r="B495" s="2208">
        <v>0</v>
      </c>
      <c r="C495" s="2208">
        <v>0</v>
      </c>
      <c r="D495" s="2208">
        <v>0</v>
      </c>
      <c r="E495" s="2208">
        <v>97.065497480000005</v>
      </c>
      <c r="F495" s="2208">
        <v>0</v>
      </c>
      <c r="G495" s="2208">
        <v>0</v>
      </c>
      <c r="H495" s="2208">
        <v>68.345979301</v>
      </c>
      <c r="I495" s="2208">
        <v>228.361752948</v>
      </c>
      <c r="J495" s="2208">
        <v>155.04663367399999</v>
      </c>
      <c r="K495" s="2208">
        <v>87.811782042999994</v>
      </c>
      <c r="L495" s="2208">
        <v>272.50666475899999</v>
      </c>
      <c r="M495" s="2208">
        <v>186.10508141899999</v>
      </c>
      <c r="N495" s="2208">
        <v>201.584238212</v>
      </c>
      <c r="O495" s="2208">
        <v>120.46879398</v>
      </c>
      <c r="P495" s="2208">
        <v>330.495944286</v>
      </c>
      <c r="Q495" s="2208">
        <v>219.52043883299999</v>
      </c>
      <c r="R495" s="2208">
        <v>231.85858891800001</v>
      </c>
      <c r="S495" s="2208">
        <v>322.15968950500002</v>
      </c>
      <c r="T495" s="2208">
        <v>289.81019660099997</v>
      </c>
      <c r="U495" s="2208">
        <v>290.085439216</v>
      </c>
      <c r="V495" s="2208">
        <v>388.10032423600001</v>
      </c>
      <c r="W495" s="2208">
        <v>281.03726532799999</v>
      </c>
      <c r="X495" s="2208">
        <v>303.82794248900001</v>
      </c>
      <c r="Y495" s="2208">
        <v>296.62634892699998</v>
      </c>
      <c r="Z495" s="2208">
        <v>415.457206025</v>
      </c>
      <c r="AA495" s="2208">
        <v>513.32572945699997</v>
      </c>
      <c r="AB495" s="2208">
        <v>462.74585471699999</v>
      </c>
      <c r="AC495" s="2208">
        <v>340.62959424000002</v>
      </c>
      <c r="AD495" s="2208">
        <v>412.34079062299998</v>
      </c>
      <c r="AE495" s="2208">
        <v>338.40248665299998</v>
      </c>
      <c r="AF495" s="2208">
        <v>448.95402881500002</v>
      </c>
      <c r="AG495" s="2208">
        <v>358.32273166599998</v>
      </c>
      <c r="AH495" s="2208">
        <v>444.78565332400001</v>
      </c>
      <c r="AI495" s="2208">
        <v>330.58986821100001</v>
      </c>
      <c r="AJ495" s="2208">
        <v>474.00996578100001</v>
      </c>
      <c r="AK495" s="2208">
        <v>361.51738329400001</v>
      </c>
      <c r="AL495" s="2208">
        <v>427.585557091</v>
      </c>
      <c r="AM495" s="2208">
        <v>389.09795483099998</v>
      </c>
      <c r="AN495" s="2208">
        <v>450.52888217399999</v>
      </c>
      <c r="AO495" s="2208">
        <v>424.66083119899997</v>
      </c>
      <c r="AP495" s="2208">
        <v>456.63317745299997</v>
      </c>
      <c r="AQ495" s="2208">
        <v>389.06398474999997</v>
      </c>
      <c r="AR495" s="2208">
        <v>662.35784599800002</v>
      </c>
      <c r="AS495" s="2208">
        <v>345.690044903</v>
      </c>
      <c r="AT495" s="2208">
        <v>516.00309543599997</v>
      </c>
      <c r="AU495" s="2208">
        <v>467.81129272800001</v>
      </c>
      <c r="AV495" s="2208">
        <v>661.13814532499998</v>
      </c>
      <c r="AW495" s="2208">
        <v>412.89988733000001</v>
      </c>
      <c r="AX495" s="2208">
        <v>511.68568500399999</v>
      </c>
      <c r="AY495" s="2208">
        <v>582.64065242900006</v>
      </c>
      <c r="AZ495" s="2208">
        <v>1419.6454504589999</v>
      </c>
      <c r="BA495" s="2326">
        <v>509.01372211099999</v>
      </c>
      <c r="BB495" s="2326">
        <v>594.28234587300005</v>
      </c>
      <c r="BC495" s="2326">
        <v>724.91792459999999</v>
      </c>
      <c r="BD495" s="2326">
        <v>786.46044089700001</v>
      </c>
      <c r="BE495" s="2326">
        <v>626.30427632099997</v>
      </c>
      <c r="BF495" s="2326">
        <v>791.704283229</v>
      </c>
      <c r="BG495" s="2326">
        <v>960.108010842</v>
      </c>
      <c r="BH495" s="2326">
        <v>757.23380619800002</v>
      </c>
      <c r="BI495" s="2326">
        <v>747.10513904100003</v>
      </c>
      <c r="BJ495" s="2326">
        <v>878.71051751100003</v>
      </c>
      <c r="BK495" s="2326">
        <v>928.88780063800004</v>
      </c>
      <c r="BL495" s="2326">
        <v>982.84369218100005</v>
      </c>
      <c r="BM495" s="2326">
        <v>906.14268118300004</v>
      </c>
      <c r="BN495" s="2326">
        <v>1000.0310759830001</v>
      </c>
      <c r="BO495" s="2326">
        <v>1124.838737907</v>
      </c>
      <c r="BP495" s="2326">
        <v>1301.5221046280001</v>
      </c>
      <c r="BQ495" s="2326">
        <v>1238.879424986</v>
      </c>
      <c r="BR495" s="2326">
        <v>1250.820478762</v>
      </c>
      <c r="BS495" s="2326">
        <v>1453.7162809690001</v>
      </c>
      <c r="BT495" s="2326">
        <v>1351.601105816</v>
      </c>
      <c r="BU495" s="2326">
        <v>1493.5625808899999</v>
      </c>
      <c r="BV495" s="2326">
        <v>1509.2195312429999</v>
      </c>
      <c r="BW495" s="228">
        <v>1739.3403602440001</v>
      </c>
      <c r="BX495" s="2227">
        <v>1728.3999613349999</v>
      </c>
      <c r="BY495" s="2227">
        <v>1798.0308635280001</v>
      </c>
      <c r="BZ495" s="3057">
        <v>1873.814750772</v>
      </c>
      <c r="CA495" s="2225">
        <v>2088.852212408</v>
      </c>
      <c r="CB495" s="2225">
        <v>2094.73</v>
      </c>
      <c r="CC495" s="3496">
        <v>2174.301386525</v>
      </c>
      <c r="CD495" s="2225">
        <v>2257.4332652980002</v>
      </c>
      <c r="CE495" s="3480">
        <v>2434.8414347319999</v>
      </c>
      <c r="CF495" s="3480">
        <v>2509.5222201199999</v>
      </c>
      <c r="CG495" s="3500">
        <v>2487.371587099</v>
      </c>
      <c r="CH495" s="3079"/>
      <c r="CI495" s="2515">
        <v>3671.8456143000003</v>
      </c>
      <c r="CJ495" s="2515">
        <v>4431.7346518230006</v>
      </c>
      <c r="CK495" s="2515"/>
      <c r="CL495" s="2515"/>
    </row>
    <row r="496" spans="1:91" ht="14.25">
      <c r="A496" s="2206" t="s">
        <v>678</v>
      </c>
      <c r="B496" s="2199">
        <v>0</v>
      </c>
      <c r="C496" s="2199">
        <v>0</v>
      </c>
      <c r="D496" s="2199">
        <v>0</v>
      </c>
      <c r="E496" s="2199">
        <v>1.773E-6</v>
      </c>
      <c r="F496" s="2199">
        <v>0</v>
      </c>
      <c r="G496" s="2199">
        <v>0</v>
      </c>
      <c r="H496" s="2199">
        <v>1.249E-6</v>
      </c>
      <c r="I496" s="2199">
        <v>4.0600000000000001E-6</v>
      </c>
      <c r="J496" s="2199">
        <v>2.5500000000000001E-6</v>
      </c>
      <c r="K496" s="2199">
        <v>9.5499999999999996E-7</v>
      </c>
      <c r="L496" s="2199">
        <v>2.9510000000000002E-6</v>
      </c>
      <c r="M496" s="2199">
        <v>2.0150000000000002E-6</v>
      </c>
      <c r="N496" s="2199">
        <v>2.17E-6</v>
      </c>
      <c r="O496" s="2199">
        <v>1.28E-6</v>
      </c>
      <c r="P496" s="2199">
        <v>2.3719999999999999E-6</v>
      </c>
      <c r="Q496" s="2199">
        <v>1.5570000000000001E-6</v>
      </c>
      <c r="R496" s="2199">
        <v>1.6449999999999999E-6</v>
      </c>
      <c r="S496" s="2199">
        <v>2.2859999999999998E-6</v>
      </c>
      <c r="T496" s="2199">
        <v>1.516E-6</v>
      </c>
      <c r="U496" s="2199">
        <v>2.0209999999999998E-6</v>
      </c>
      <c r="V496" s="2199">
        <v>2.0279999999999999E-6</v>
      </c>
      <c r="W496" s="2199">
        <v>1.468E-6</v>
      </c>
      <c r="X496" s="2199">
        <v>1.587E-6</v>
      </c>
      <c r="Y496" s="2199">
        <v>1.5340000000000001E-6</v>
      </c>
      <c r="Z496" s="2199">
        <v>2.148E-6</v>
      </c>
      <c r="AA496" s="2199">
        <v>2.0640000000000001E-6</v>
      </c>
      <c r="AB496" s="2199">
        <v>2.1629999999999999E-6</v>
      </c>
      <c r="AC496" s="2199">
        <v>1.5770000000000001E-6</v>
      </c>
      <c r="AD496" s="2199">
        <v>1.212E-6</v>
      </c>
      <c r="AE496" s="2199">
        <v>1.2470000000000001E-6</v>
      </c>
      <c r="AF496" s="2199">
        <v>1.6509999999999999E-6</v>
      </c>
      <c r="AG496" s="2199">
        <v>1.3090000000000001E-6</v>
      </c>
      <c r="AH496" s="2199">
        <v>1.6249999999999999E-6</v>
      </c>
      <c r="AI496" s="2199">
        <v>1.206E-6</v>
      </c>
      <c r="AJ496" s="2199">
        <v>1.7269999999999999E-6</v>
      </c>
      <c r="AK496" s="2199">
        <v>1.314E-6</v>
      </c>
      <c r="AL496" s="2199">
        <v>1.243E-6</v>
      </c>
      <c r="AM496" s="2199">
        <v>1.1310000000000001E-6</v>
      </c>
      <c r="AN496" s="2199">
        <v>1.31E-6</v>
      </c>
      <c r="AO496" s="2199">
        <v>1.235E-6</v>
      </c>
      <c r="AP496" s="2199">
        <v>1.1519999999999999E-6</v>
      </c>
      <c r="AQ496" s="2199">
        <v>9.8100000000000001E-7</v>
      </c>
      <c r="AR496" s="2199">
        <v>1.1680000000000001E-6</v>
      </c>
      <c r="AS496" s="2199">
        <v>8.7000000000000003E-7</v>
      </c>
      <c r="AT496" s="2199">
        <v>1.0109999999999999E-6</v>
      </c>
      <c r="AU496" s="2199">
        <v>1.0189999999999999E-6</v>
      </c>
      <c r="AV496" s="2199">
        <v>1.026E-6</v>
      </c>
      <c r="AW496" s="2199">
        <v>8.9899999999999999E-7</v>
      </c>
      <c r="AX496" s="2199">
        <v>8.4799999999999997E-7</v>
      </c>
      <c r="AY496" s="2199">
        <v>1.1000000000000001E-6</v>
      </c>
      <c r="AZ496" s="2199">
        <v>2.2790000000000001E-6</v>
      </c>
      <c r="BA496" s="2324">
        <v>9.5900000000000005E-7</v>
      </c>
      <c r="BB496" s="2324">
        <v>9.7100000000000011E-7</v>
      </c>
      <c r="BC496" s="2324">
        <v>1.184E-6</v>
      </c>
      <c r="BD496" s="2324">
        <v>9.1299999999999998E-7</v>
      </c>
      <c r="BE496" s="2324">
        <v>1.0210000000000001E-6</v>
      </c>
      <c r="BF496" s="2324">
        <v>1.0759999999999999E-6</v>
      </c>
      <c r="BG496" s="2324">
        <v>1.418E-6</v>
      </c>
      <c r="BH496" s="2324">
        <v>7.0999999999999998E-7</v>
      </c>
      <c r="BI496" s="2324">
        <v>1.1009999999999999E-6</v>
      </c>
      <c r="BJ496" s="2324">
        <v>7.0399999999999995E-7</v>
      </c>
      <c r="BK496" s="2324">
        <v>1.187E-6</v>
      </c>
      <c r="BL496" s="2324">
        <v>8.5700000000000001E-7</v>
      </c>
      <c r="BM496" s="2324">
        <v>1.156E-6</v>
      </c>
      <c r="BN496" s="2324">
        <v>9.5099999999999998E-7</v>
      </c>
      <c r="BO496" s="2324">
        <v>1.2419999999999999E-6</v>
      </c>
      <c r="BP496" s="2324">
        <v>1.001E-6</v>
      </c>
      <c r="BQ496" s="2324">
        <v>1.3650000000000001E-6</v>
      </c>
      <c r="BR496" s="2324">
        <v>9.1399999999999995E-7</v>
      </c>
      <c r="BS496" s="2324">
        <v>1.3289999999999999E-6</v>
      </c>
      <c r="BT496" s="2324">
        <v>1.235E-6</v>
      </c>
      <c r="BU496" s="2324">
        <v>1.361E-6</v>
      </c>
      <c r="BV496" s="2324">
        <v>1.373E-6</v>
      </c>
      <c r="BW496" s="2324">
        <v>4.843E-6</v>
      </c>
      <c r="BX496" s="2324">
        <v>4.843E-6</v>
      </c>
      <c r="BY496" s="2324">
        <v>4.843E-6</v>
      </c>
      <c r="BZ496" s="2324">
        <v>4.843E-6</v>
      </c>
      <c r="CA496" s="2324">
        <v>4.843E-6</v>
      </c>
      <c r="CB496" s="1116"/>
      <c r="CC496" s="1116"/>
      <c r="CD496" s="1116"/>
      <c r="CG496" s="3404"/>
      <c r="CI496" s="2515">
        <v>9.6860000000000001E-6</v>
      </c>
      <c r="CJ496" s="2515">
        <v>0</v>
      </c>
      <c r="CK496" s="2515"/>
      <c r="CL496" s="2515"/>
    </row>
    <row r="497" spans="1:90" ht="14.25">
      <c r="A497" s="2206" t="s">
        <v>679</v>
      </c>
      <c r="B497" s="2199">
        <v>0</v>
      </c>
      <c r="C497" s="2199">
        <v>0</v>
      </c>
      <c r="D497" s="2199">
        <v>0</v>
      </c>
      <c r="E497" s="2199">
        <v>0</v>
      </c>
      <c r="F497" s="2199">
        <v>0</v>
      </c>
      <c r="G497" s="2199">
        <v>0</v>
      </c>
      <c r="H497" s="2199">
        <v>0</v>
      </c>
      <c r="I497" s="2199">
        <v>0</v>
      </c>
      <c r="J497" s="2199">
        <v>0</v>
      </c>
      <c r="K497" s="2199">
        <v>0</v>
      </c>
      <c r="L497" s="2199">
        <v>0</v>
      </c>
      <c r="M497" s="2199">
        <v>0</v>
      </c>
      <c r="N497" s="2199">
        <v>0</v>
      </c>
      <c r="O497" s="2199">
        <v>0</v>
      </c>
      <c r="P497" s="2199">
        <v>0</v>
      </c>
      <c r="Q497" s="2199">
        <v>0</v>
      </c>
      <c r="R497" s="2199">
        <v>0</v>
      </c>
      <c r="S497" s="2199">
        <v>0</v>
      </c>
      <c r="T497" s="2199">
        <v>0</v>
      </c>
      <c r="U497" s="2199">
        <v>0</v>
      </c>
      <c r="V497" s="2199">
        <v>0</v>
      </c>
      <c r="W497" s="2199">
        <v>0</v>
      </c>
      <c r="X497" s="2199">
        <v>0</v>
      </c>
      <c r="Y497" s="2199">
        <v>0</v>
      </c>
      <c r="Z497" s="2199">
        <v>0</v>
      </c>
      <c r="AA497" s="2199">
        <v>0</v>
      </c>
      <c r="AB497" s="2199">
        <v>0</v>
      </c>
      <c r="AC497" s="2199">
        <v>0</v>
      </c>
      <c r="AD497" s="2199">
        <v>0</v>
      </c>
      <c r="AE497" s="2199">
        <v>0</v>
      </c>
      <c r="AF497" s="2199">
        <v>0</v>
      </c>
      <c r="AG497" s="2199">
        <v>0</v>
      </c>
      <c r="AH497" s="2199">
        <v>0</v>
      </c>
      <c r="AI497" s="2199">
        <v>0</v>
      </c>
      <c r="AJ497" s="2199">
        <v>0</v>
      </c>
      <c r="AK497" s="2199">
        <v>0</v>
      </c>
      <c r="AL497" s="2199">
        <v>0</v>
      </c>
      <c r="AM497" s="2199">
        <v>0</v>
      </c>
      <c r="AN497" s="2199">
        <v>0</v>
      </c>
      <c r="AO497" s="2199">
        <v>0</v>
      </c>
      <c r="AP497" s="2199">
        <v>0</v>
      </c>
      <c r="AQ497" s="2199">
        <v>0</v>
      </c>
      <c r="AR497" s="2199">
        <v>0</v>
      </c>
      <c r="AS497" s="2199">
        <v>0</v>
      </c>
      <c r="AT497" s="2199">
        <v>0</v>
      </c>
      <c r="AU497" s="2199">
        <v>0</v>
      </c>
      <c r="AV497" s="2199">
        <v>0</v>
      </c>
      <c r="AW497" s="2199">
        <v>0</v>
      </c>
      <c r="AX497" s="2199">
        <v>0</v>
      </c>
      <c r="AY497" s="2199">
        <v>0</v>
      </c>
      <c r="AZ497" s="2199">
        <v>0</v>
      </c>
      <c r="BA497" s="2324">
        <v>9.5900000000000005E-7</v>
      </c>
      <c r="BB497" s="2324">
        <v>9.7100000000000011E-7</v>
      </c>
      <c r="BC497" s="2324">
        <v>1.184E-6</v>
      </c>
      <c r="BD497" s="2324">
        <v>9.1299999999999998E-7</v>
      </c>
      <c r="BE497" s="2324">
        <v>1.0210000000000001E-6</v>
      </c>
      <c r="BF497" s="2324">
        <v>1.0759999999999999E-6</v>
      </c>
      <c r="BG497" s="2324">
        <v>1.418E-6</v>
      </c>
      <c r="BH497" s="2324">
        <v>7.0999999999999998E-7</v>
      </c>
      <c r="BI497" s="2324">
        <v>1.1009999999999999E-6</v>
      </c>
      <c r="BJ497" s="2324">
        <v>7.0399999999999995E-7</v>
      </c>
      <c r="BK497" s="2324">
        <v>1.187E-6</v>
      </c>
      <c r="BL497" s="2324">
        <v>8.5700000000000001E-7</v>
      </c>
      <c r="BM497" s="2324">
        <v>1.156E-6</v>
      </c>
      <c r="BN497" s="2324">
        <v>9.5099999999999998E-7</v>
      </c>
      <c r="BO497" s="2324">
        <v>1.2419999999999999E-6</v>
      </c>
      <c r="BP497" s="2324">
        <v>1.001E-6</v>
      </c>
      <c r="BQ497" s="2324">
        <v>1.3650000000000001E-6</v>
      </c>
      <c r="BR497" s="2324">
        <v>9.1399999999999995E-7</v>
      </c>
      <c r="BS497" s="2324">
        <v>1.3289999999999999E-6</v>
      </c>
      <c r="BT497" s="2324">
        <v>1.235E-6</v>
      </c>
      <c r="BU497" s="2324">
        <v>1.361E-6</v>
      </c>
      <c r="BV497" s="2324">
        <v>1.373E-6</v>
      </c>
      <c r="BW497" s="2324">
        <v>4.843E-6</v>
      </c>
      <c r="BX497" s="2324">
        <v>4.843E-6</v>
      </c>
      <c r="BY497" s="2324">
        <v>4.843E-6</v>
      </c>
      <c r="BZ497" s="2324">
        <v>4.843E-6</v>
      </c>
      <c r="CA497" s="2324">
        <v>4.843E-6</v>
      </c>
      <c r="CB497" s="1116"/>
      <c r="CC497" s="1116"/>
      <c r="CD497" s="1116"/>
      <c r="CG497" s="3404"/>
      <c r="CI497" s="2515">
        <v>9.6860000000000001E-6</v>
      </c>
      <c r="CJ497" s="2515">
        <v>0</v>
      </c>
      <c r="CK497" s="2515"/>
      <c r="CL497" s="2515"/>
    </row>
    <row r="498" spans="1:90" ht="15.75">
      <c r="A498" s="2206" t="s">
        <v>678</v>
      </c>
      <c r="B498" s="2199"/>
      <c r="C498" s="2199"/>
      <c r="D498" s="2199"/>
      <c r="E498" s="2199"/>
      <c r="F498" s="2199"/>
      <c r="G498" s="2199"/>
      <c r="H498" s="2199"/>
      <c r="I498" s="2199"/>
      <c r="J498" s="2199"/>
      <c r="K498" s="2199"/>
      <c r="L498" s="2199"/>
      <c r="M498" s="2199"/>
      <c r="N498" s="2199"/>
      <c r="O498" s="2199"/>
      <c r="P498" s="2199"/>
      <c r="Q498" s="2199"/>
      <c r="R498" s="2199"/>
      <c r="S498" s="2199"/>
      <c r="T498" s="2199"/>
      <c r="U498" s="2199"/>
      <c r="V498" s="2199"/>
      <c r="W498" s="2199"/>
      <c r="X498" s="2199"/>
      <c r="Y498" s="2199"/>
      <c r="Z498" s="2199"/>
      <c r="AA498" s="2199"/>
      <c r="AB498" s="2199"/>
      <c r="AC498" s="2199"/>
      <c r="AD498" s="2199"/>
      <c r="AE498" s="2199"/>
      <c r="AF498" s="2199"/>
      <c r="AG498" s="2199"/>
      <c r="AH498" s="2199"/>
      <c r="AI498" s="2199"/>
      <c r="AJ498" s="2199"/>
      <c r="AK498" s="2199"/>
      <c r="AL498" s="2199"/>
      <c r="AM498" s="2199"/>
      <c r="AN498" s="2199"/>
      <c r="AO498" s="2199"/>
      <c r="AP498" s="2199"/>
      <c r="AQ498" s="2199"/>
      <c r="AR498" s="2199"/>
      <c r="AS498" s="2199"/>
      <c r="AT498" s="2199"/>
      <c r="AU498" s="2199"/>
      <c r="AV498" s="2199"/>
      <c r="AW498" s="2199"/>
      <c r="AX498" s="2199"/>
      <c r="AY498" s="2199"/>
      <c r="AZ498" s="2199"/>
      <c r="BA498" s="2324"/>
      <c r="BB498" s="2324"/>
      <c r="BC498" s="2324"/>
      <c r="BD498" s="2324"/>
      <c r="BE498" s="2324"/>
      <c r="BF498" s="2324"/>
      <c r="BG498" s="2324"/>
      <c r="BH498" s="2324"/>
      <c r="BI498" s="2324"/>
      <c r="BJ498" s="2324"/>
      <c r="BK498" s="2324">
        <v>1187</v>
      </c>
      <c r="BL498" s="2324">
        <v>857</v>
      </c>
      <c r="BM498" s="2324">
        <v>1156</v>
      </c>
      <c r="BN498" s="2324">
        <v>951</v>
      </c>
      <c r="BO498" s="2324">
        <v>1242</v>
      </c>
      <c r="BP498" s="2324">
        <v>1001</v>
      </c>
      <c r="BQ498" s="2324">
        <v>1365</v>
      </c>
      <c r="BR498" s="2324">
        <v>914</v>
      </c>
      <c r="BS498" s="2324">
        <v>1329</v>
      </c>
      <c r="BT498" s="2324">
        <v>1235</v>
      </c>
      <c r="BU498" s="2324">
        <v>1361</v>
      </c>
      <c r="BV498" s="2324">
        <v>1013</v>
      </c>
      <c r="BW498" s="2200">
        <v>1373</v>
      </c>
      <c r="BX498" s="2227">
        <v>925</v>
      </c>
      <c r="BY498" s="2227">
        <v>1416</v>
      </c>
      <c r="BZ498" s="3057">
        <v>1098</v>
      </c>
      <c r="CA498" s="2225">
        <v>1430</v>
      </c>
      <c r="CB498" s="2324">
        <v>999</v>
      </c>
      <c r="CC498" s="3496">
        <v>1478</v>
      </c>
      <c r="CD498" s="2225">
        <v>1529</v>
      </c>
      <c r="CE498" s="3480">
        <v>1036</v>
      </c>
      <c r="CF498" s="3480">
        <v>1173</v>
      </c>
      <c r="CG498" s="3500">
        <v>1460</v>
      </c>
      <c r="CH498" s="3079"/>
      <c r="CI498" s="2515">
        <v>2514</v>
      </c>
      <c r="CJ498" s="2515">
        <v>3007</v>
      </c>
      <c r="CK498" s="2515"/>
      <c r="CL498" s="2515"/>
    </row>
    <row r="499" spans="1:90" ht="15.75">
      <c r="A499" s="2210" t="s">
        <v>679</v>
      </c>
      <c r="B499" s="2211"/>
      <c r="C499" s="2211"/>
      <c r="D499" s="2211"/>
      <c r="E499" s="2211"/>
      <c r="F499" s="2211"/>
      <c r="G499" s="2211"/>
      <c r="H499" s="2211"/>
      <c r="I499" s="2211"/>
      <c r="J499" s="2211"/>
      <c r="K499" s="2211"/>
      <c r="L499" s="2211"/>
      <c r="M499" s="2211"/>
      <c r="N499" s="2211"/>
      <c r="O499" s="2211"/>
      <c r="P499" s="2211"/>
      <c r="Q499" s="2211"/>
      <c r="R499" s="2211"/>
      <c r="S499" s="2211"/>
      <c r="T499" s="2211"/>
      <c r="U499" s="2211"/>
      <c r="V499" s="2211"/>
      <c r="W499" s="2211"/>
      <c r="X499" s="2211"/>
      <c r="Y499" s="2211"/>
      <c r="Z499" s="2211"/>
      <c r="AA499" s="2211"/>
      <c r="AB499" s="2211"/>
      <c r="AC499" s="2211"/>
      <c r="AD499" s="2211"/>
      <c r="AE499" s="2211"/>
      <c r="AF499" s="2211"/>
      <c r="AG499" s="2211"/>
      <c r="AH499" s="2211"/>
      <c r="AI499" s="2211"/>
      <c r="AJ499" s="2211"/>
      <c r="AK499" s="2211"/>
      <c r="AL499" s="2211"/>
      <c r="AM499" s="2211"/>
      <c r="AN499" s="2211"/>
      <c r="AO499" s="2211"/>
      <c r="AP499" s="2211"/>
      <c r="AQ499" s="2211"/>
      <c r="AR499" s="2211"/>
      <c r="AS499" s="2211"/>
      <c r="AT499" s="2211"/>
      <c r="AU499" s="2211"/>
      <c r="AV499" s="2211"/>
      <c r="AW499" s="2211"/>
      <c r="AX499" s="2211"/>
      <c r="AY499" s="2211"/>
      <c r="AZ499" s="2211"/>
      <c r="BA499" s="2211"/>
      <c r="BB499" s="2211"/>
      <c r="BC499" s="2211"/>
      <c r="BD499" s="2211"/>
      <c r="BE499" s="2211"/>
      <c r="BF499" s="2211"/>
      <c r="BG499" s="2211"/>
      <c r="BH499" s="2211"/>
      <c r="BI499" s="2211"/>
      <c r="BJ499" s="2211"/>
      <c r="BK499" s="2212">
        <v>1187</v>
      </c>
      <c r="BL499" s="2212">
        <v>857</v>
      </c>
      <c r="BM499" s="2212">
        <v>1156</v>
      </c>
      <c r="BN499" s="2212">
        <v>951</v>
      </c>
      <c r="BO499" s="2212">
        <v>1242</v>
      </c>
      <c r="BP499" s="2212">
        <v>1001</v>
      </c>
      <c r="BQ499" s="2212">
        <v>1365</v>
      </c>
      <c r="BR499" s="2212">
        <v>914</v>
      </c>
      <c r="BS499" s="2212">
        <v>1329</v>
      </c>
      <c r="BT499" s="2212">
        <v>1235</v>
      </c>
      <c r="BU499" s="2212">
        <v>1361</v>
      </c>
      <c r="BV499" s="2212">
        <v>1013</v>
      </c>
      <c r="BW499" s="2327">
        <v>1373</v>
      </c>
      <c r="BX499" s="2328">
        <v>925</v>
      </c>
      <c r="BY499" s="2328">
        <v>1416</v>
      </c>
      <c r="BZ499" s="2570">
        <v>1098</v>
      </c>
      <c r="CA499" s="3075">
        <v>1430</v>
      </c>
      <c r="CB499" s="2212">
        <v>999</v>
      </c>
      <c r="CC499" s="3498">
        <v>1478</v>
      </c>
      <c r="CD499" s="3075">
        <v>1529</v>
      </c>
      <c r="CE499" s="3491">
        <v>1036</v>
      </c>
      <c r="CF499" s="3491">
        <v>1173</v>
      </c>
      <c r="CG499" s="3501">
        <v>1460</v>
      </c>
      <c r="CH499" s="3079"/>
      <c r="CI499" s="2515">
        <v>2514</v>
      </c>
      <c r="CJ499" s="2515">
        <v>3007</v>
      </c>
      <c r="CK499" s="2515"/>
      <c r="CL499" s="2515"/>
    </row>
    <row r="500" spans="1:90" ht="15.75">
      <c r="A500" s="2329" t="s">
        <v>396</v>
      </c>
      <c r="B500" s="2330"/>
      <c r="C500" s="2330"/>
      <c r="D500" s="2330"/>
      <c r="E500" s="2330"/>
      <c r="F500" s="2330"/>
      <c r="G500" s="2330"/>
      <c r="H500" s="2330"/>
      <c r="I500" s="2330"/>
      <c r="J500" s="2330"/>
      <c r="K500" s="2330"/>
      <c r="L500" s="2330"/>
      <c r="M500" s="2330"/>
      <c r="N500" s="2330"/>
      <c r="O500" s="2330"/>
      <c r="P500" s="2330"/>
      <c r="Q500" s="2330"/>
      <c r="R500" s="2330"/>
      <c r="S500" s="2330"/>
      <c r="T500" s="2330"/>
      <c r="U500" s="2330"/>
      <c r="V500" s="2330"/>
      <c r="W500" s="2330"/>
      <c r="X500" s="2330"/>
      <c r="Y500" s="2330"/>
      <c r="Z500" s="2330"/>
      <c r="AA500" s="2330"/>
      <c r="AB500" s="2330"/>
      <c r="AC500" s="2330"/>
      <c r="AD500" s="2330"/>
      <c r="AE500" s="2330"/>
      <c r="AF500" s="2330"/>
      <c r="AG500" s="2330"/>
      <c r="AH500" s="2330"/>
      <c r="AI500" s="2330"/>
      <c r="AJ500" s="2330"/>
      <c r="AK500" s="2330"/>
      <c r="AL500" s="2330"/>
      <c r="AM500" s="2330"/>
      <c r="AN500" s="2330"/>
      <c r="AO500" s="2330"/>
      <c r="AP500" s="2330"/>
      <c r="AQ500" s="2330"/>
      <c r="AR500" s="2330"/>
      <c r="AS500" s="2330"/>
      <c r="AT500" s="2330"/>
      <c r="AU500" s="2330"/>
      <c r="AV500" s="2330"/>
      <c r="AW500" s="2330"/>
      <c r="AX500" s="2330"/>
      <c r="AY500" s="2330"/>
      <c r="AZ500" s="2330"/>
      <c r="BA500" s="2330"/>
      <c r="BB500" s="2330"/>
      <c r="BC500" s="2330"/>
      <c r="BD500" s="2330"/>
      <c r="BE500" s="2330"/>
      <c r="BF500" s="2330"/>
      <c r="BG500" s="2330"/>
      <c r="BH500" s="2330"/>
      <c r="BI500" s="2330"/>
      <c r="BJ500" s="2330"/>
      <c r="BK500" s="2330"/>
      <c r="BL500" s="2330"/>
      <c r="BM500" s="2330"/>
      <c r="BN500" s="2330"/>
      <c r="BO500" s="2330"/>
      <c r="BP500" s="2330"/>
      <c r="BQ500" s="2330"/>
      <c r="BR500" s="2330"/>
      <c r="BS500" s="2330"/>
      <c r="BT500" s="2330"/>
      <c r="BU500" s="2330"/>
      <c r="BV500" s="2330"/>
      <c r="BW500" s="2330"/>
      <c r="BX500" s="2330"/>
      <c r="BY500" s="2330"/>
      <c r="BZ500" s="2480"/>
    </row>
    <row r="501" spans="1:90" ht="15.75">
      <c r="A501" s="2331" t="s">
        <v>397</v>
      </c>
      <c r="B501" s="2330"/>
      <c r="C501" s="2330"/>
      <c r="D501" s="2330"/>
      <c r="E501" s="2330"/>
      <c r="F501" s="2330"/>
      <c r="G501" s="2330"/>
      <c r="H501" s="2330"/>
      <c r="I501" s="2330"/>
      <c r="J501" s="2330"/>
      <c r="K501" s="2330"/>
      <c r="L501" s="2330"/>
      <c r="M501" s="2330"/>
      <c r="N501" s="2330"/>
      <c r="O501" s="2330"/>
      <c r="P501" s="2330"/>
      <c r="Q501" s="2330"/>
      <c r="R501" s="2330"/>
      <c r="S501" s="2330"/>
      <c r="T501" s="2330"/>
      <c r="U501" s="2330"/>
      <c r="V501" s="2330"/>
      <c r="W501" s="2330"/>
      <c r="X501" s="2330"/>
      <c r="Y501" s="2330"/>
      <c r="Z501" s="2330"/>
      <c r="AA501" s="2330"/>
      <c r="AB501" s="2330"/>
      <c r="AC501" s="2330"/>
      <c r="AD501" s="2330"/>
      <c r="AE501" s="2330"/>
      <c r="AF501" s="2330"/>
      <c r="AG501" s="2330"/>
      <c r="AH501" s="2330"/>
      <c r="AI501" s="2330"/>
      <c r="AJ501" s="2330"/>
      <c r="AK501" s="2330"/>
      <c r="AL501" s="2330"/>
      <c r="AM501" s="2330"/>
      <c r="AN501" s="2330"/>
      <c r="AO501" s="2330"/>
      <c r="AP501" s="2330"/>
      <c r="AQ501" s="2330"/>
      <c r="AR501" s="2330"/>
      <c r="AS501" s="2330"/>
      <c r="AT501" s="2330"/>
      <c r="AU501" s="2330"/>
      <c r="AV501" s="2330"/>
      <c r="AW501" s="2330"/>
      <c r="AX501" s="2330"/>
      <c r="AY501" s="2330"/>
      <c r="AZ501" s="2330"/>
      <c r="BA501" s="2330"/>
      <c r="BB501" s="2330"/>
      <c r="BC501" s="2330"/>
      <c r="BD501" s="2330"/>
      <c r="BE501" s="2330"/>
      <c r="BF501" s="2330"/>
      <c r="BG501" s="2330"/>
      <c r="BH501" s="2330"/>
      <c r="BI501" s="2330"/>
      <c r="BJ501" s="2330"/>
      <c r="BK501" s="2330"/>
      <c r="BL501" s="2330"/>
      <c r="BM501" s="2330"/>
      <c r="BN501" s="2330"/>
      <c r="BO501" s="2330"/>
      <c r="BP501" s="2330"/>
      <c r="BQ501" s="2330"/>
      <c r="BR501" s="2330"/>
      <c r="BS501" s="2330"/>
      <c r="BT501" s="2330"/>
      <c r="BU501" s="2330"/>
      <c r="BV501" s="2330"/>
      <c r="BW501" s="2330"/>
      <c r="BX501" s="2330"/>
      <c r="BY501" s="2330"/>
      <c r="BZ501" s="2480"/>
    </row>
    <row r="502" spans="1:90" ht="15.75">
      <c r="A502" s="2331" t="s">
        <v>398</v>
      </c>
      <c r="B502" s="2330"/>
      <c r="C502" s="2330"/>
      <c r="D502" s="2330"/>
      <c r="E502" s="2330"/>
      <c r="F502" s="2330"/>
      <c r="G502" s="2330"/>
      <c r="H502" s="2330"/>
      <c r="I502" s="2330"/>
      <c r="J502" s="2330"/>
      <c r="K502" s="2330"/>
      <c r="L502" s="2330"/>
      <c r="M502" s="2330"/>
      <c r="N502" s="2330"/>
      <c r="O502" s="2330"/>
      <c r="P502" s="2330"/>
      <c r="Q502" s="2330"/>
      <c r="R502" s="2330"/>
      <c r="S502" s="2330"/>
      <c r="T502" s="2330"/>
      <c r="U502" s="2330"/>
      <c r="V502" s="2330"/>
      <c r="W502" s="2330"/>
      <c r="X502" s="2330"/>
      <c r="Y502" s="2330"/>
      <c r="Z502" s="2330"/>
      <c r="AA502" s="2330"/>
      <c r="AB502" s="2330"/>
      <c r="AC502" s="2330"/>
      <c r="AD502" s="2330"/>
      <c r="AE502" s="2330"/>
      <c r="AF502" s="2330"/>
      <c r="AG502" s="2330"/>
      <c r="AH502" s="2330"/>
      <c r="AI502" s="2330"/>
      <c r="AJ502" s="2330"/>
      <c r="AK502" s="2330"/>
      <c r="AL502" s="2330"/>
      <c r="AM502" s="2330"/>
      <c r="AN502" s="2330"/>
      <c r="AO502" s="2330"/>
      <c r="AP502" s="2330"/>
      <c r="AQ502" s="2330"/>
      <c r="AR502" s="2330"/>
      <c r="AS502" s="2330"/>
      <c r="AT502" s="2330"/>
      <c r="AU502" s="2330"/>
      <c r="AV502" s="2330"/>
      <c r="AW502" s="2330"/>
      <c r="AX502" s="2330"/>
      <c r="AY502" s="2330"/>
      <c r="AZ502" s="2330"/>
      <c r="BA502" s="2330"/>
      <c r="BB502" s="2330"/>
      <c r="BC502" s="2330"/>
      <c r="BD502" s="2330"/>
      <c r="BE502" s="2330"/>
      <c r="BF502" s="2330"/>
      <c r="BG502" s="2330"/>
      <c r="BH502" s="2330"/>
      <c r="BI502" s="2330"/>
      <c r="BJ502" s="2330"/>
      <c r="BK502" s="2330"/>
      <c r="BL502" s="2330"/>
      <c r="BM502" s="2330"/>
      <c r="BN502" s="2330"/>
      <c r="BO502" s="2330"/>
      <c r="BP502" s="2330"/>
      <c r="BQ502" s="2330"/>
      <c r="BR502" s="2330"/>
      <c r="BS502" s="2330"/>
      <c r="BT502" s="2330"/>
      <c r="BU502" s="2330"/>
      <c r="BV502" s="2330"/>
      <c r="BW502" s="2330"/>
      <c r="BX502" s="2330"/>
      <c r="BY502" s="2330"/>
      <c r="BZ502" s="2480"/>
    </row>
    <row r="503" spans="1:90" ht="15.75">
      <c r="A503" s="2213" t="s">
        <v>399</v>
      </c>
      <c r="B503" s="2330"/>
      <c r="C503" s="2330"/>
      <c r="D503" s="2330"/>
      <c r="E503" s="2330"/>
      <c r="F503" s="2330"/>
      <c r="G503" s="2330"/>
      <c r="H503" s="2330"/>
      <c r="I503" s="2330"/>
      <c r="J503" s="2330"/>
      <c r="K503" s="2330"/>
      <c r="L503" s="2330"/>
      <c r="M503" s="2330"/>
      <c r="N503" s="2330"/>
      <c r="O503" s="2330"/>
      <c r="P503" s="2330"/>
      <c r="Q503" s="2330"/>
      <c r="R503" s="2330"/>
      <c r="S503" s="2330"/>
      <c r="T503" s="2330"/>
      <c r="U503" s="2330"/>
      <c r="V503" s="2330"/>
      <c r="W503" s="2330"/>
      <c r="X503" s="2330"/>
      <c r="Y503" s="2330"/>
      <c r="Z503" s="2330"/>
      <c r="AA503" s="2330"/>
      <c r="AB503" s="2330"/>
      <c r="AC503" s="2330"/>
      <c r="AD503" s="2330"/>
      <c r="AE503" s="2330"/>
      <c r="AF503" s="2330"/>
      <c r="AG503" s="2330"/>
      <c r="AH503" s="2330"/>
      <c r="AI503" s="2330"/>
      <c r="AJ503" s="2330"/>
      <c r="AK503" s="2330"/>
      <c r="AL503" s="2330"/>
      <c r="AM503" s="2330"/>
      <c r="AN503" s="2330"/>
      <c r="AO503" s="2330"/>
      <c r="AP503" s="2330"/>
      <c r="AQ503" s="2330"/>
      <c r="AR503" s="2330"/>
      <c r="AS503" s="2330"/>
      <c r="AT503" s="2330"/>
      <c r="AU503" s="2330"/>
      <c r="AV503" s="2330"/>
      <c r="AW503" s="2330"/>
      <c r="AX503" s="2330"/>
      <c r="AY503" s="2330"/>
      <c r="AZ503" s="2330"/>
      <c r="BA503" s="2330"/>
      <c r="BB503" s="2330"/>
      <c r="BC503" s="2330"/>
      <c r="BD503" s="2330"/>
      <c r="BE503" s="2330"/>
      <c r="BF503" s="2330"/>
      <c r="BG503" s="2330"/>
      <c r="BH503" s="2330"/>
      <c r="BI503" s="2330"/>
      <c r="BJ503" s="2330"/>
      <c r="BK503" s="2330"/>
      <c r="BL503" s="2330"/>
      <c r="BM503" s="2330"/>
      <c r="BN503" s="2330"/>
      <c r="BO503" s="2330"/>
      <c r="BP503" s="2330"/>
      <c r="BQ503" s="2330"/>
      <c r="BR503" s="2330"/>
      <c r="BS503" s="2330"/>
      <c r="BT503" s="2330"/>
      <c r="BU503" s="2330"/>
      <c r="BV503" s="2330"/>
      <c r="BW503" s="2330"/>
      <c r="BX503" s="2330"/>
      <c r="BY503" s="2330"/>
      <c r="BZ503" s="2480"/>
    </row>
    <row r="504" spans="1:90" ht="15.75">
      <c r="A504" s="1064"/>
      <c r="BZ504" s="2480"/>
    </row>
    <row r="505" spans="1:90" ht="15.75">
      <c r="A505" s="1065" t="s">
        <v>400</v>
      </c>
      <c r="BZ505" s="2480"/>
    </row>
    <row r="506" spans="1:90" ht="15.75">
      <c r="A506" s="1065" t="s">
        <v>401</v>
      </c>
      <c r="BZ506" s="2480"/>
    </row>
    <row r="507" spans="1:90" ht="15.75">
      <c r="A507" s="1066" t="s">
        <v>402</v>
      </c>
    </row>
    <row r="508" spans="1:90" ht="15">
      <c r="A508" s="1067" t="s">
        <v>403</v>
      </c>
    </row>
    <row r="509" spans="1:90" ht="15">
      <c r="A509" s="1064"/>
    </row>
    <row r="510" spans="1:90" ht="15.75">
      <c r="A510" s="1065" t="s">
        <v>404</v>
      </c>
    </row>
    <row r="511" spans="1:90" ht="15.75">
      <c r="A511" s="1066" t="s">
        <v>405</v>
      </c>
    </row>
    <row r="512" spans="1:90" ht="15">
      <c r="A512" s="1067" t="s">
        <v>403</v>
      </c>
    </row>
    <row r="513" spans="1:1" ht="15">
      <c r="A513" s="1064"/>
    </row>
    <row r="514" spans="1:1" ht="15">
      <c r="A514" s="106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8BE38-987E-4C52-A869-8B9AE975FFB6}">
  <sheetPr codeName="Sheet1">
    <tabColor rgb="FF5B9BD5"/>
  </sheetPr>
  <dimension ref="A1:X2461"/>
  <sheetViews>
    <sheetView zoomScaleNormal="100" workbookViewId="0">
      <pane xSplit="1" ySplit="1" topLeftCell="B2" activePane="bottomRight" state="frozen"/>
      <selection activeCell="B957" sqref="B957:C2203"/>
      <selection pane="topRight"/>
      <selection pane="bottomLeft"/>
      <selection pane="bottomRight" activeCell="B2" sqref="B2"/>
    </sheetView>
  </sheetViews>
  <sheetFormatPr defaultColWidth="9.140625" defaultRowHeight="14.25"/>
  <cols>
    <col min="1" max="1" width="24.42578125" style="2267" customWidth="1"/>
    <col min="2" max="2" width="12.42578125" style="2267" customWidth="1"/>
    <col min="3" max="3" width="15.28515625" style="2267" customWidth="1"/>
    <col min="4" max="4" width="13" style="2267" customWidth="1"/>
    <col min="5" max="5" width="12.85546875" style="2267" customWidth="1"/>
    <col min="6" max="6" width="12" style="2267" customWidth="1"/>
    <col min="7" max="7" width="10" style="2267" bestFit="1" customWidth="1"/>
    <col min="8" max="8" width="9.140625" style="2267"/>
    <col min="9" max="9" width="10.7109375" style="2267" customWidth="1"/>
    <col min="10" max="10" width="11.7109375" style="2267" customWidth="1"/>
    <col min="11" max="11" width="11.28515625" style="2267" customWidth="1"/>
    <col min="12" max="12" width="11.7109375" style="2267" customWidth="1"/>
    <col min="13" max="13" width="12.42578125" style="2267" customWidth="1"/>
    <col min="14" max="14" width="12.140625" style="2267" customWidth="1"/>
    <col min="15" max="15" width="9.140625" style="2267"/>
    <col min="16" max="16" width="14.28515625" style="2267" customWidth="1"/>
    <col min="17" max="17" width="9.140625" style="2267"/>
    <col min="18" max="18" width="11.140625" style="2267" customWidth="1"/>
    <col min="19" max="19" width="13.42578125" style="2267" customWidth="1"/>
    <col min="20" max="20" width="17.42578125" style="2267" customWidth="1"/>
    <col min="21" max="21" width="14" style="2267" customWidth="1"/>
    <col min="22" max="22" width="15.7109375" style="2268" customWidth="1"/>
    <col min="23" max="16384" width="9.140625" style="2267"/>
  </cols>
  <sheetData>
    <row r="1" spans="1:24" s="2264" customFormat="1">
      <c r="V1" s="2265"/>
    </row>
    <row r="2" spans="1:24" s="2264" customFormat="1">
      <c r="V2" s="2265"/>
    </row>
    <row r="3" spans="1:24" s="2264" customFormat="1">
      <c r="V3" s="2265"/>
    </row>
    <row r="4" spans="1:24" s="2264" customFormat="1">
      <c r="V4" s="2265"/>
    </row>
    <row r="5" spans="1:24" ht="15">
      <c r="A5" s="2252" t="s">
        <v>322</v>
      </c>
      <c r="B5" s="2252"/>
      <c r="C5" s="2253" t="s">
        <v>1256</v>
      </c>
      <c r="D5" s="2254"/>
      <c r="E5" s="2266"/>
      <c r="F5" s="2266"/>
    </row>
    <row r="6" spans="1:24" ht="15">
      <c r="A6" s="2252" t="s">
        <v>323</v>
      </c>
      <c r="B6" s="2252"/>
      <c r="C6" s="2255" t="s">
        <v>1257</v>
      </c>
      <c r="D6" s="2256"/>
      <c r="E6" s="2269"/>
      <c r="F6" s="2269"/>
      <c r="G6" s="2269"/>
      <c r="H6" s="2269"/>
      <c r="I6" s="2269"/>
      <c r="J6" s="2269"/>
      <c r="K6" s="2269"/>
      <c r="N6" s="2270"/>
    </row>
    <row r="7" spans="1:24">
      <c r="A7" s="2269"/>
      <c r="B7" s="2269"/>
      <c r="C7" s="2269"/>
      <c r="D7" s="2269"/>
      <c r="E7" s="2269"/>
      <c r="F7" s="2269"/>
      <c r="G7" s="2269"/>
      <c r="H7" s="2269"/>
      <c r="I7" s="2269"/>
      <c r="J7" s="2269"/>
      <c r="K7" s="2269"/>
    </row>
    <row r="8" spans="1:24" ht="180">
      <c r="A8" s="2252" t="s">
        <v>154</v>
      </c>
      <c r="B8" s="2252" t="s">
        <v>169</v>
      </c>
      <c r="C8" s="2252" t="s">
        <v>1258</v>
      </c>
      <c r="D8" s="2252" t="s">
        <v>1255</v>
      </c>
      <c r="E8" s="2252" t="s">
        <v>1259</v>
      </c>
      <c r="F8" s="2252" t="s">
        <v>1254</v>
      </c>
      <c r="G8" s="2252" t="s">
        <v>1260</v>
      </c>
      <c r="H8" s="2252" t="s">
        <v>1261</v>
      </c>
      <c r="I8" s="2252" t="s">
        <v>1262</v>
      </c>
      <c r="J8" s="2252" t="s">
        <v>1263</v>
      </c>
      <c r="K8" s="2252" t="s">
        <v>1264</v>
      </c>
      <c r="S8" s="2271"/>
      <c r="T8" s="2271"/>
      <c r="X8" s="2271"/>
    </row>
    <row r="9" spans="1:24">
      <c r="A9" s="2257" t="s">
        <v>1265</v>
      </c>
      <c r="B9" s="2257"/>
      <c r="C9" s="2257" t="s">
        <v>1266</v>
      </c>
      <c r="D9" s="2257"/>
      <c r="E9" s="2257" t="s">
        <v>1267</v>
      </c>
      <c r="F9" s="2257"/>
      <c r="G9" s="2257" t="s">
        <v>1268</v>
      </c>
      <c r="H9" s="2257" t="s">
        <v>1269</v>
      </c>
      <c r="I9" s="2257" t="s">
        <v>1270</v>
      </c>
      <c r="J9" s="2257" t="s">
        <v>1271</v>
      </c>
      <c r="K9" s="2257" t="s">
        <v>1272</v>
      </c>
      <c r="S9" s="2272">
        <v>1</v>
      </c>
      <c r="T9" s="2273" t="s">
        <v>1274</v>
      </c>
      <c r="U9" s="2274" t="s">
        <v>1250</v>
      </c>
      <c r="V9" s="2272">
        <v>45257</v>
      </c>
      <c r="W9" s="2272">
        <v>18.7773</v>
      </c>
      <c r="X9" s="2272">
        <v>24060</v>
      </c>
    </row>
    <row r="10" spans="1:24">
      <c r="A10" s="2255">
        <v>44410.291666666701</v>
      </c>
      <c r="B10" s="2275">
        <f t="shared" ref="B10:B73" si="0">(C10-C$10)/C$10</f>
        <v>0</v>
      </c>
      <c r="C10" s="2258">
        <v>22820</v>
      </c>
      <c r="D10" s="2275">
        <f t="shared" ref="D10:D73" si="1">(E10-E$10)/E$10</f>
        <v>0</v>
      </c>
      <c r="E10" s="2258">
        <v>26546</v>
      </c>
      <c r="F10" s="2276">
        <f t="shared" ref="F10:F73" si="2">(G10-G$10)/G$10</f>
        <v>0</v>
      </c>
      <c r="G10" s="2258">
        <v>204</v>
      </c>
      <c r="H10" s="2259"/>
      <c r="I10" s="2259"/>
      <c r="J10" s="2259"/>
      <c r="K10" s="2259"/>
      <c r="S10" s="2277"/>
      <c r="T10" s="2218"/>
      <c r="U10" s="2278"/>
      <c r="V10" s="2279"/>
      <c r="W10" s="2260"/>
      <c r="X10" s="2277"/>
    </row>
    <row r="11" spans="1:24">
      <c r="A11" s="2255">
        <v>44411.291666666701</v>
      </c>
      <c r="B11" s="2276">
        <f t="shared" si="0"/>
        <v>0</v>
      </c>
      <c r="C11" s="2258">
        <v>22820</v>
      </c>
      <c r="D11" s="2276">
        <f t="shared" si="1"/>
        <v>3.3903412943569653E-4</v>
      </c>
      <c r="E11" s="2258">
        <v>26555</v>
      </c>
      <c r="F11" s="2276">
        <f t="shared" si="2"/>
        <v>4.9019607843137254E-3</v>
      </c>
      <c r="G11" s="2258">
        <v>205</v>
      </c>
      <c r="H11" s="2259"/>
      <c r="I11" s="2259"/>
      <c r="J11" s="2259"/>
      <c r="K11" s="2259"/>
      <c r="S11" s="2277"/>
      <c r="T11" s="2218"/>
      <c r="U11" s="2280"/>
      <c r="V11" s="2281"/>
      <c r="W11" s="2261"/>
      <c r="X11" s="2277"/>
    </row>
    <row r="12" spans="1:24">
      <c r="A12" s="2255">
        <v>44412.291666666701</v>
      </c>
      <c r="B12" s="2276">
        <f t="shared" si="0"/>
        <v>-4.3821209465381246E-4</v>
      </c>
      <c r="C12" s="2258">
        <v>22810</v>
      </c>
      <c r="D12" s="2276">
        <f t="shared" si="1"/>
        <v>-8.2875009417614708E-4</v>
      </c>
      <c r="E12" s="2258">
        <v>26524</v>
      </c>
      <c r="F12" s="2276">
        <f t="shared" si="2"/>
        <v>4.9019607843137254E-3</v>
      </c>
      <c r="G12" s="2258">
        <v>205</v>
      </c>
      <c r="H12" s="2259"/>
      <c r="I12" s="2259"/>
      <c r="J12" s="2259"/>
      <c r="K12" s="2259"/>
      <c r="S12" s="2277"/>
      <c r="T12" s="2218"/>
      <c r="U12" s="2280"/>
      <c r="V12" s="2281"/>
      <c r="W12" s="2261"/>
      <c r="X12" s="2277"/>
    </row>
    <row r="13" spans="1:24">
      <c r="A13" s="2255">
        <v>44413.291666666701</v>
      </c>
      <c r="B13" s="2276">
        <f t="shared" si="0"/>
        <v>-4.3821209465381246E-4</v>
      </c>
      <c r="C13" s="2258">
        <v>22810</v>
      </c>
      <c r="D13" s="2276">
        <f t="shared" si="1"/>
        <v>-3.2773299178783999E-3</v>
      </c>
      <c r="E13" s="2258">
        <v>26459</v>
      </c>
      <c r="F13" s="2276">
        <f t="shared" si="2"/>
        <v>0</v>
      </c>
      <c r="G13" s="2258">
        <v>204</v>
      </c>
      <c r="H13" s="2259"/>
      <c r="I13" s="2259"/>
      <c r="J13" s="2259"/>
      <c r="K13" s="2259"/>
      <c r="S13" s="2277"/>
      <c r="T13" s="2218"/>
      <c r="U13" s="2280"/>
      <c r="V13" s="2281"/>
      <c r="W13" s="2261"/>
      <c r="X13" s="2277"/>
    </row>
    <row r="14" spans="1:24">
      <c r="A14" s="2255">
        <v>44414.291666666701</v>
      </c>
      <c r="B14" s="2276">
        <f t="shared" si="0"/>
        <v>-8.7642418930762491E-4</v>
      </c>
      <c r="C14" s="2258">
        <v>22800</v>
      </c>
      <c r="D14" s="2276">
        <f t="shared" si="1"/>
        <v>-4.8971596474045058E-3</v>
      </c>
      <c r="E14" s="2258">
        <v>26416</v>
      </c>
      <c r="F14" s="2276">
        <f t="shared" si="2"/>
        <v>0</v>
      </c>
      <c r="G14" s="2258">
        <v>204</v>
      </c>
      <c r="H14" s="2259"/>
      <c r="I14" s="2259"/>
      <c r="J14" s="2259"/>
      <c r="K14" s="2259"/>
      <c r="S14" s="2277"/>
      <c r="T14" s="2218"/>
      <c r="U14" s="2280"/>
      <c r="V14" s="2281"/>
      <c r="W14" s="2261"/>
      <c r="X14" s="2277"/>
    </row>
    <row r="15" spans="1:24">
      <c r="A15" s="2255">
        <v>44417.291666666701</v>
      </c>
      <c r="B15" s="2276">
        <f t="shared" si="0"/>
        <v>-8.7642418930762491E-4</v>
      </c>
      <c r="C15" s="2258">
        <v>22800</v>
      </c>
      <c r="D15" s="2276">
        <f t="shared" si="1"/>
        <v>-1.0886762600768478E-2</v>
      </c>
      <c r="E15" s="2258">
        <v>26257</v>
      </c>
      <c r="F15" s="2276">
        <f t="shared" si="2"/>
        <v>-4.9019607843137254E-3</v>
      </c>
      <c r="G15" s="2258">
        <v>203</v>
      </c>
      <c r="H15" s="2259"/>
      <c r="I15" s="2259"/>
      <c r="J15" s="2259"/>
      <c r="K15" s="2259"/>
      <c r="S15" s="2277"/>
      <c r="T15" s="2218"/>
      <c r="U15" s="2280"/>
      <c r="V15" s="2281"/>
      <c r="W15" s="2261"/>
      <c r="X15" s="2277"/>
    </row>
    <row r="16" spans="1:24">
      <c r="A16" s="2255">
        <v>44418.291666666701</v>
      </c>
      <c r="B16" s="2276">
        <f t="shared" si="0"/>
        <v>-2.1910604732690623E-3</v>
      </c>
      <c r="C16" s="2258">
        <v>22770</v>
      </c>
      <c r="D16" s="2276">
        <f t="shared" si="1"/>
        <v>-1.3109319671513599E-2</v>
      </c>
      <c r="E16" s="2258">
        <v>26198</v>
      </c>
      <c r="F16" s="2276">
        <f t="shared" si="2"/>
        <v>-9.8039215686274508E-3</v>
      </c>
      <c r="G16" s="2258">
        <v>202</v>
      </c>
      <c r="H16" s="2259"/>
      <c r="I16" s="2259"/>
      <c r="J16" s="2259"/>
      <c r="K16" s="2259"/>
      <c r="S16" s="2277"/>
      <c r="T16" s="2218"/>
      <c r="U16" s="2280"/>
      <c r="V16" s="2281"/>
      <c r="W16" s="2261"/>
      <c r="X16" s="2277"/>
    </row>
    <row r="17" spans="1:24">
      <c r="A17" s="2255">
        <v>44419.291666666701</v>
      </c>
      <c r="B17" s="2276">
        <f t="shared" si="0"/>
        <v>-6.5731814198071864E-3</v>
      </c>
      <c r="C17" s="2258">
        <v>22670</v>
      </c>
      <c r="D17" s="2276">
        <f t="shared" si="1"/>
        <v>-1.8835229413094252E-2</v>
      </c>
      <c r="E17" s="2258">
        <v>26046</v>
      </c>
      <c r="F17" s="2276">
        <f t="shared" si="2"/>
        <v>-1.4705882352941176E-2</v>
      </c>
      <c r="G17" s="2258">
        <v>201</v>
      </c>
      <c r="H17" s="2259"/>
      <c r="I17" s="2259"/>
      <c r="J17" s="2259"/>
      <c r="K17" s="2259"/>
      <c r="S17" s="2277"/>
      <c r="T17" s="2218"/>
      <c r="U17" s="2280"/>
      <c r="V17" s="2281"/>
      <c r="W17" s="2261"/>
      <c r="X17" s="2277"/>
    </row>
    <row r="18" spans="1:24">
      <c r="A18" s="2255">
        <v>44420.291666666701</v>
      </c>
      <c r="B18" s="2276">
        <f t="shared" si="0"/>
        <v>-6.1349693251533744E-3</v>
      </c>
      <c r="C18" s="2258">
        <v>22680</v>
      </c>
      <c r="D18" s="2276">
        <f t="shared" si="1"/>
        <v>-1.7215399683568146E-2</v>
      </c>
      <c r="E18" s="2258">
        <v>26089</v>
      </c>
      <c r="F18" s="2276">
        <f t="shared" si="2"/>
        <v>-1.4705882352941176E-2</v>
      </c>
      <c r="G18" s="2258">
        <v>201</v>
      </c>
      <c r="H18" s="2259"/>
      <c r="I18" s="2259"/>
      <c r="J18" s="2259"/>
      <c r="K18" s="2259"/>
      <c r="S18" s="2277"/>
      <c r="T18" s="2218"/>
      <c r="U18" s="2280"/>
      <c r="V18" s="2281"/>
      <c r="W18" s="2261"/>
      <c r="X18" s="2277"/>
    </row>
    <row r="19" spans="1:24">
      <c r="A19" s="2255">
        <v>44421.291666666701</v>
      </c>
      <c r="B19" s="2276">
        <f t="shared" si="0"/>
        <v>-5.2585451358457495E-3</v>
      </c>
      <c r="C19" s="2258">
        <v>22700</v>
      </c>
      <c r="D19" s="2276">
        <f t="shared" si="1"/>
        <v>-1.5783922248172984E-2</v>
      </c>
      <c r="E19" s="2258">
        <v>26127</v>
      </c>
      <c r="F19" s="2276">
        <f t="shared" si="2"/>
        <v>-9.8039215686274508E-3</v>
      </c>
      <c r="G19" s="2258">
        <v>202</v>
      </c>
      <c r="H19" s="2259"/>
      <c r="I19" s="2259"/>
      <c r="J19" s="2259"/>
      <c r="K19" s="2259"/>
      <c r="S19" s="2277"/>
      <c r="T19" s="2218"/>
      <c r="U19" s="2280"/>
      <c r="V19" s="2281"/>
      <c r="W19" s="2261"/>
      <c r="X19" s="2277"/>
    </row>
    <row r="20" spans="1:24">
      <c r="A20" s="2255">
        <v>44424.291666666701</v>
      </c>
      <c r="B20" s="2276">
        <f t="shared" si="0"/>
        <v>-4.8203330411919366E-3</v>
      </c>
      <c r="C20" s="2258">
        <v>22710</v>
      </c>
      <c r="D20" s="2276">
        <f t="shared" si="1"/>
        <v>-1.0886762600768478E-2</v>
      </c>
      <c r="E20" s="2258">
        <v>26257</v>
      </c>
      <c r="F20" s="2276">
        <f t="shared" si="2"/>
        <v>-4.9019607843137254E-3</v>
      </c>
      <c r="G20" s="2258">
        <v>203</v>
      </c>
      <c r="H20" s="2259"/>
      <c r="I20" s="2259"/>
      <c r="J20" s="2259"/>
      <c r="K20" s="2259"/>
      <c r="S20" s="2277"/>
      <c r="T20" s="2218"/>
      <c r="U20" s="2280"/>
      <c r="V20" s="2281"/>
      <c r="W20" s="2261"/>
      <c r="X20" s="2277"/>
    </row>
    <row r="21" spans="1:24">
      <c r="A21" s="2255">
        <v>44425.291666666701</v>
      </c>
      <c r="B21" s="2276">
        <f t="shared" si="0"/>
        <v>-5.039439088518843E-3</v>
      </c>
      <c r="C21" s="2258">
        <v>22705</v>
      </c>
      <c r="D21" s="2276">
        <f t="shared" si="1"/>
        <v>-1.2732615083251714E-2</v>
      </c>
      <c r="E21" s="2258">
        <v>26208</v>
      </c>
      <c r="F21" s="2276">
        <f t="shared" si="2"/>
        <v>0</v>
      </c>
      <c r="G21" s="2258">
        <v>204</v>
      </c>
      <c r="H21" s="2259"/>
      <c r="I21" s="2259"/>
      <c r="J21" s="2259"/>
      <c r="K21" s="2259"/>
      <c r="S21" s="2277"/>
      <c r="T21" s="2218"/>
      <c r="U21" s="2280"/>
      <c r="V21" s="2281"/>
      <c r="W21" s="2261"/>
      <c r="X21" s="2277"/>
    </row>
    <row r="22" spans="1:24">
      <c r="A22" s="2255">
        <v>44426.291666666701</v>
      </c>
      <c r="B22" s="2276">
        <f t="shared" si="0"/>
        <v>-6.1349693251533744E-3</v>
      </c>
      <c r="C22" s="2258">
        <v>22680</v>
      </c>
      <c r="D22" s="2276">
        <f t="shared" si="1"/>
        <v>-1.8232502071875236E-2</v>
      </c>
      <c r="E22" s="2258">
        <v>26062</v>
      </c>
      <c r="F22" s="2276">
        <f t="shared" si="2"/>
        <v>-4.9019607843137254E-3</v>
      </c>
      <c r="G22" s="2258">
        <v>203</v>
      </c>
      <c r="H22" s="2262">
        <v>4.4999999999999998E-2</v>
      </c>
      <c r="I22" s="2262">
        <v>0.06</v>
      </c>
      <c r="J22" s="2259"/>
      <c r="K22" s="2262">
        <v>3.3000000000000002E-2</v>
      </c>
      <c r="S22" s="2277"/>
      <c r="T22" s="2218"/>
      <c r="U22" s="2280"/>
      <c r="V22" s="2281"/>
      <c r="W22" s="2261"/>
      <c r="X22" s="2277"/>
    </row>
    <row r="23" spans="1:24">
      <c r="A23" s="2255">
        <v>44427.291666666701</v>
      </c>
      <c r="B23" s="2276">
        <f t="shared" si="0"/>
        <v>-6.1349693251533744E-3</v>
      </c>
      <c r="C23" s="2258">
        <v>22680</v>
      </c>
      <c r="D23" s="2276">
        <f t="shared" si="1"/>
        <v>-2.0831763730882243E-2</v>
      </c>
      <c r="E23" s="2258">
        <v>25993</v>
      </c>
      <c r="F23" s="2276">
        <f t="shared" si="2"/>
        <v>-9.8039215686274508E-3</v>
      </c>
      <c r="G23" s="2258">
        <v>202</v>
      </c>
      <c r="H23" s="2259"/>
      <c r="I23" s="2259"/>
      <c r="J23" s="2259"/>
      <c r="K23" s="2259"/>
      <c r="S23" s="2277"/>
      <c r="T23" s="2218"/>
      <c r="U23" s="2280"/>
      <c r="V23" s="2281"/>
      <c r="W23" s="2261"/>
      <c r="X23" s="2277"/>
    </row>
    <row r="24" spans="1:24">
      <c r="A24" s="2255">
        <v>44428.291666666701</v>
      </c>
      <c r="B24" s="2276">
        <f t="shared" si="0"/>
        <v>-5.9158632778264679E-3</v>
      </c>
      <c r="C24" s="2258">
        <v>22685</v>
      </c>
      <c r="D24" s="2276">
        <f t="shared" si="1"/>
        <v>-2.1057786483839373E-2</v>
      </c>
      <c r="E24" s="2258">
        <v>25987</v>
      </c>
      <c r="F24" s="2276">
        <f t="shared" si="2"/>
        <v>-4.9019607843137254E-3</v>
      </c>
      <c r="G24" s="2258">
        <v>203</v>
      </c>
      <c r="H24" s="2259"/>
      <c r="I24" s="2259"/>
      <c r="J24" s="2259"/>
      <c r="K24" s="2259"/>
      <c r="S24" s="2277"/>
      <c r="T24" s="2218"/>
      <c r="U24" s="2280"/>
      <c r="V24" s="2281"/>
      <c r="W24" s="2261"/>
      <c r="X24" s="2277"/>
    </row>
    <row r="25" spans="1:24">
      <c r="A25" s="2255">
        <v>44431.291666666701</v>
      </c>
      <c r="B25" s="2276">
        <f t="shared" si="0"/>
        <v>-5.4776511831726559E-3</v>
      </c>
      <c r="C25" s="2258">
        <v>22695</v>
      </c>
      <c r="D25" s="2276">
        <f t="shared" si="1"/>
        <v>-1.9249604460182326E-2</v>
      </c>
      <c r="E25" s="2258">
        <v>26035</v>
      </c>
      <c r="F25" s="2276">
        <f t="shared" si="2"/>
        <v>-4.9019607843137254E-3</v>
      </c>
      <c r="G25" s="2258">
        <v>203</v>
      </c>
      <c r="H25" s="2259"/>
      <c r="I25" s="2259"/>
      <c r="J25" s="2259"/>
      <c r="K25" s="2259"/>
      <c r="S25" s="2277"/>
      <c r="T25" s="2218"/>
      <c r="U25" s="2280"/>
      <c r="V25" s="2281"/>
      <c r="W25" s="2261"/>
      <c r="X25" s="2277"/>
    </row>
    <row r="26" spans="1:24">
      <c r="A26" s="2255">
        <v>44432.291666666701</v>
      </c>
      <c r="B26" s="2276">
        <f t="shared" si="0"/>
        <v>-5.4776511831726559E-3</v>
      </c>
      <c r="C26" s="2258">
        <v>22695</v>
      </c>
      <c r="D26" s="2276">
        <f t="shared" si="1"/>
        <v>-1.6085285918782492E-2</v>
      </c>
      <c r="E26" s="2258">
        <v>26119</v>
      </c>
      <c r="F26" s="2276">
        <f t="shared" si="2"/>
        <v>-4.9019607843137254E-3</v>
      </c>
      <c r="G26" s="2258">
        <v>203</v>
      </c>
      <c r="H26" s="2259"/>
      <c r="I26" s="2259"/>
      <c r="J26" s="2259"/>
      <c r="K26" s="2259"/>
      <c r="S26" s="2277"/>
      <c r="T26" s="2218"/>
      <c r="U26" s="2280"/>
      <c r="V26" s="2281"/>
      <c r="W26" s="2261"/>
      <c r="X26" s="2277"/>
    </row>
    <row r="27" spans="1:24">
      <c r="A27" s="2255">
        <v>44433.291666666701</v>
      </c>
      <c r="B27" s="2276">
        <f t="shared" si="0"/>
        <v>-6.5731814198071864E-3</v>
      </c>
      <c r="C27" s="2258">
        <v>22670</v>
      </c>
      <c r="D27" s="2276">
        <f t="shared" si="1"/>
        <v>-1.7667445189482409E-2</v>
      </c>
      <c r="E27" s="2258">
        <v>26077</v>
      </c>
      <c r="F27" s="2276">
        <f t="shared" si="2"/>
        <v>-4.9019607843137254E-3</v>
      </c>
      <c r="G27" s="2258">
        <v>203</v>
      </c>
      <c r="H27" s="2259"/>
      <c r="I27" s="2259"/>
      <c r="J27" s="2259"/>
      <c r="K27" s="2259"/>
      <c r="S27" s="2277"/>
      <c r="T27" s="2218"/>
      <c r="U27" s="2280"/>
      <c r="V27" s="2281"/>
      <c r="W27" s="2261"/>
      <c r="X27" s="2277"/>
    </row>
    <row r="28" spans="1:24">
      <c r="A28" s="2255">
        <v>44434.291666666701</v>
      </c>
      <c r="B28" s="2276">
        <f t="shared" si="0"/>
        <v>-7.4496056091148113E-3</v>
      </c>
      <c r="C28" s="2258">
        <v>22650</v>
      </c>
      <c r="D28" s="2276">
        <f t="shared" si="1"/>
        <v>-1.6085285918782492E-2</v>
      </c>
      <c r="E28" s="2258">
        <v>26119</v>
      </c>
      <c r="F28" s="2276">
        <f t="shared" si="2"/>
        <v>-9.8039215686274508E-3</v>
      </c>
      <c r="G28" s="2258">
        <v>202</v>
      </c>
      <c r="H28" s="2259"/>
      <c r="I28" s="2259"/>
      <c r="J28" s="2259"/>
      <c r="K28" s="2259"/>
      <c r="S28" s="2277"/>
      <c r="T28" s="2218"/>
      <c r="U28" s="2280"/>
      <c r="V28" s="2281"/>
      <c r="W28" s="2261"/>
      <c r="X28" s="2277"/>
    </row>
    <row r="29" spans="1:24">
      <c r="A29" s="2255">
        <v>44435.291666666701</v>
      </c>
      <c r="B29" s="2276">
        <f t="shared" si="0"/>
        <v>-7.0113935144609993E-3</v>
      </c>
      <c r="C29" s="2258">
        <v>22660</v>
      </c>
      <c r="D29" s="2276">
        <f t="shared" si="1"/>
        <v>-1.5482558577563475E-2</v>
      </c>
      <c r="E29" s="2258">
        <v>26135</v>
      </c>
      <c r="F29" s="2276">
        <f t="shared" si="2"/>
        <v>-9.8039215686274508E-3</v>
      </c>
      <c r="G29" s="2258">
        <v>202</v>
      </c>
      <c r="H29" s="2259"/>
      <c r="I29" s="2259"/>
      <c r="J29" s="2259"/>
      <c r="K29" s="2259"/>
      <c r="S29" s="2277"/>
      <c r="T29" s="2218"/>
      <c r="U29" s="2280"/>
      <c r="V29" s="2281"/>
      <c r="W29" s="2261"/>
      <c r="X29" s="2277"/>
    </row>
    <row r="30" spans="1:24">
      <c r="A30" s="2255">
        <v>44438.291666666701</v>
      </c>
      <c r="B30" s="2276">
        <f t="shared" si="0"/>
        <v>-7.4496056091148113E-3</v>
      </c>
      <c r="C30" s="2258">
        <v>22650</v>
      </c>
      <c r="D30" s="2276">
        <f t="shared" si="1"/>
        <v>-1.359903563625405E-2</v>
      </c>
      <c r="E30" s="2258">
        <v>26185</v>
      </c>
      <c r="F30" s="2276">
        <f t="shared" si="2"/>
        <v>-9.8039215686274508E-3</v>
      </c>
      <c r="G30" s="2258">
        <v>202</v>
      </c>
      <c r="H30" s="2259"/>
      <c r="I30" s="2259"/>
      <c r="J30" s="2259"/>
      <c r="K30" s="2259"/>
      <c r="S30" s="2277"/>
      <c r="T30" s="2218"/>
      <c r="U30" s="2280"/>
      <c r="V30" s="2281"/>
      <c r="W30" s="2261"/>
      <c r="X30" s="2277"/>
    </row>
    <row r="31" spans="1:24">
      <c r="A31" s="2255">
        <v>44439.291666666701</v>
      </c>
      <c r="B31" s="2276">
        <f t="shared" si="0"/>
        <v>-7.8878177037686233E-3</v>
      </c>
      <c r="C31" s="2258">
        <v>22640</v>
      </c>
      <c r="D31" s="2276">
        <f t="shared" si="1"/>
        <v>-1.1075114894899421E-2</v>
      </c>
      <c r="E31" s="2258">
        <v>26252</v>
      </c>
      <c r="F31" s="2276">
        <f t="shared" si="2"/>
        <v>-9.8039215686274508E-3</v>
      </c>
      <c r="G31" s="2258">
        <v>202</v>
      </c>
      <c r="H31" s="2259"/>
      <c r="I31" s="2259"/>
      <c r="J31" s="2259"/>
      <c r="K31" s="2259"/>
      <c r="S31" s="2277"/>
      <c r="T31" s="2218"/>
      <c r="U31" s="2280"/>
      <c r="V31" s="2281"/>
      <c r="W31" s="2261"/>
      <c r="X31" s="2277"/>
    </row>
    <row r="32" spans="1:24">
      <c r="A32" s="2255">
        <v>44440.291666666701</v>
      </c>
      <c r="B32" s="2276">
        <f t="shared" si="0"/>
        <v>-7.4496056091148113E-3</v>
      </c>
      <c r="C32" s="2258">
        <v>22650</v>
      </c>
      <c r="D32" s="2276">
        <f t="shared" si="1"/>
        <v>-1.2770285542077903E-2</v>
      </c>
      <c r="E32" s="2258">
        <v>26207</v>
      </c>
      <c r="F32" s="2276">
        <f t="shared" si="2"/>
        <v>-1.4705882352941176E-2</v>
      </c>
      <c r="G32" s="2258">
        <v>201</v>
      </c>
      <c r="H32" s="2259"/>
      <c r="I32" s="2259"/>
      <c r="J32" s="2259"/>
      <c r="K32" s="2259"/>
      <c r="S32" s="2277"/>
      <c r="T32" s="2218"/>
      <c r="U32" s="2280"/>
      <c r="V32" s="2281"/>
      <c r="W32" s="2261"/>
      <c r="X32" s="2277"/>
    </row>
    <row r="33" spans="1:24">
      <c r="A33" s="2255">
        <v>44441.291666666701</v>
      </c>
      <c r="B33" s="2276">
        <f t="shared" si="0"/>
        <v>-7.4496056091148113E-3</v>
      </c>
      <c r="C33" s="2258">
        <v>22650</v>
      </c>
      <c r="D33" s="2276">
        <f t="shared" si="1"/>
        <v>-1.2770285542077903E-2</v>
      </c>
      <c r="E33" s="2258">
        <v>26207</v>
      </c>
      <c r="F33" s="2276">
        <f t="shared" si="2"/>
        <v>-1.4705882352941176E-2</v>
      </c>
      <c r="G33" s="2258">
        <v>201</v>
      </c>
      <c r="H33" s="2259"/>
      <c r="I33" s="2259"/>
      <c r="J33" s="2259"/>
      <c r="K33" s="2259"/>
      <c r="S33" s="2277"/>
      <c r="T33" s="2218"/>
      <c r="U33" s="2280"/>
      <c r="V33" s="2281"/>
      <c r="W33" s="2261"/>
      <c r="X33" s="2277"/>
    </row>
    <row r="34" spans="1:24">
      <c r="A34" s="2255">
        <v>44442.291666666701</v>
      </c>
      <c r="B34" s="2276">
        <f t="shared" si="0"/>
        <v>-7.4496056091148113E-3</v>
      </c>
      <c r="C34" s="2258">
        <v>22650</v>
      </c>
      <c r="D34" s="2276">
        <f t="shared" si="1"/>
        <v>-1.2770285542077903E-2</v>
      </c>
      <c r="E34" s="2258">
        <v>26207</v>
      </c>
      <c r="F34" s="2276">
        <f t="shared" si="2"/>
        <v>-1.4705882352941176E-2</v>
      </c>
      <c r="G34" s="2258">
        <v>201</v>
      </c>
      <c r="H34" s="2259"/>
      <c r="I34" s="2259"/>
      <c r="J34" s="2259"/>
      <c r="K34" s="2259"/>
      <c r="S34" s="2277"/>
      <c r="T34" s="2218"/>
      <c r="U34" s="2280"/>
      <c r="V34" s="2281"/>
      <c r="W34" s="2261"/>
      <c r="X34" s="2277"/>
    </row>
    <row r="35" spans="1:24">
      <c r="A35" s="2255">
        <v>44445.291666666701</v>
      </c>
      <c r="B35" s="2276">
        <f t="shared" si="0"/>
        <v>-8.1069237510955298E-3</v>
      </c>
      <c r="C35" s="2258">
        <v>22635</v>
      </c>
      <c r="D35" s="2276">
        <f t="shared" si="1"/>
        <v>-8.0991486476305278E-3</v>
      </c>
      <c r="E35" s="2258">
        <v>26331</v>
      </c>
      <c r="F35" s="2276">
        <f t="shared" si="2"/>
        <v>-9.8039215686274508E-3</v>
      </c>
      <c r="G35" s="2258">
        <v>202</v>
      </c>
      <c r="H35" s="2259"/>
      <c r="I35" s="2259"/>
      <c r="J35" s="2259"/>
      <c r="K35" s="2259"/>
      <c r="S35" s="2277"/>
      <c r="T35" s="2218"/>
      <c r="U35" s="2280"/>
      <c r="V35" s="2281"/>
      <c r="W35" s="2261"/>
      <c r="X35" s="2277"/>
    </row>
    <row r="36" spans="1:24">
      <c r="A36" s="2255">
        <v>44446.291666666701</v>
      </c>
      <c r="B36" s="2276">
        <f t="shared" si="0"/>
        <v>-8.3260297984224362E-3</v>
      </c>
      <c r="C36" s="2258">
        <v>22630</v>
      </c>
      <c r="D36" s="2276">
        <f t="shared" si="1"/>
        <v>-7.1950576358020043E-3</v>
      </c>
      <c r="E36" s="2258">
        <v>26355</v>
      </c>
      <c r="F36" s="2276">
        <f t="shared" si="2"/>
        <v>-9.8039215686274508E-3</v>
      </c>
      <c r="G36" s="2258">
        <v>202</v>
      </c>
      <c r="H36" s="2259"/>
      <c r="I36" s="2259"/>
      <c r="J36" s="2259"/>
      <c r="K36" s="2259"/>
      <c r="S36" s="2277"/>
      <c r="T36" s="2218"/>
      <c r="U36" s="2280"/>
      <c r="V36" s="2281"/>
      <c r="W36" s="2261"/>
      <c r="X36" s="2277"/>
    </row>
    <row r="37" spans="1:24">
      <c r="A37" s="2255">
        <v>44447.291666666701</v>
      </c>
      <c r="B37" s="2276">
        <f t="shared" si="0"/>
        <v>-7.8878177037686233E-3</v>
      </c>
      <c r="C37" s="2258">
        <v>22640</v>
      </c>
      <c r="D37" s="2276">
        <f t="shared" si="1"/>
        <v>-9.492955624199502E-3</v>
      </c>
      <c r="E37" s="2258">
        <v>26294</v>
      </c>
      <c r="F37" s="2276">
        <f t="shared" si="2"/>
        <v>-1.4705882352941176E-2</v>
      </c>
      <c r="G37" s="2258">
        <v>201</v>
      </c>
      <c r="H37" s="2259"/>
      <c r="I37" s="2259"/>
      <c r="J37" s="2259"/>
      <c r="K37" s="2259"/>
      <c r="S37" s="2277"/>
      <c r="T37" s="2218"/>
      <c r="U37" s="2280"/>
      <c r="V37" s="2281"/>
      <c r="W37" s="2261"/>
      <c r="X37" s="2277"/>
    </row>
    <row r="38" spans="1:24">
      <c r="A38" s="2255">
        <v>44448.291666666701</v>
      </c>
      <c r="B38" s="2276">
        <f t="shared" si="0"/>
        <v>-7.8878177037686233E-3</v>
      </c>
      <c r="C38" s="2258">
        <v>22640</v>
      </c>
      <c r="D38" s="2276">
        <f t="shared" si="1"/>
        <v>-1.0924433059594665E-2</v>
      </c>
      <c r="E38" s="2258">
        <v>26256</v>
      </c>
      <c r="F38" s="2276">
        <f t="shared" si="2"/>
        <v>-9.8039215686274508E-3</v>
      </c>
      <c r="G38" s="2258">
        <v>202</v>
      </c>
      <c r="H38" s="2259"/>
      <c r="I38" s="2259"/>
      <c r="J38" s="2259"/>
      <c r="K38" s="2259"/>
      <c r="S38" s="2277"/>
      <c r="T38" s="2218"/>
      <c r="U38" s="2280"/>
      <c r="V38" s="2281"/>
      <c r="W38" s="2261"/>
      <c r="X38" s="2277"/>
    </row>
    <row r="39" spans="1:24">
      <c r="A39" s="2255">
        <v>44449.291666666701</v>
      </c>
      <c r="B39" s="2276">
        <f t="shared" si="0"/>
        <v>-7.8878177037686233E-3</v>
      </c>
      <c r="C39" s="2258">
        <v>22640</v>
      </c>
      <c r="D39" s="2276">
        <f t="shared" si="1"/>
        <v>-1.1414149024335116E-2</v>
      </c>
      <c r="E39" s="2258">
        <v>26243</v>
      </c>
      <c r="F39" s="2276">
        <f t="shared" si="2"/>
        <v>-9.8039215686274508E-3</v>
      </c>
      <c r="G39" s="2258">
        <v>202</v>
      </c>
      <c r="H39" s="2259"/>
      <c r="I39" s="2259"/>
      <c r="J39" s="2259"/>
      <c r="K39" s="2259"/>
      <c r="S39" s="2277"/>
      <c r="T39" s="2218"/>
      <c r="U39" s="2280"/>
      <c r="V39" s="2281"/>
      <c r="W39" s="2261"/>
      <c r="X39" s="2277"/>
    </row>
    <row r="40" spans="1:24">
      <c r="A40" s="2255">
        <v>44452.291666666701</v>
      </c>
      <c r="B40" s="2276">
        <f t="shared" si="0"/>
        <v>-7.8878177037686233E-3</v>
      </c>
      <c r="C40" s="2258">
        <v>22640</v>
      </c>
      <c r="D40" s="2276">
        <f t="shared" si="1"/>
        <v>-1.3184660589165976E-2</v>
      </c>
      <c r="E40" s="2258">
        <v>26196</v>
      </c>
      <c r="F40" s="2276">
        <f t="shared" si="2"/>
        <v>-9.8039215686274508E-3</v>
      </c>
      <c r="G40" s="2258">
        <v>202</v>
      </c>
      <c r="H40" s="2262">
        <v>4.3999999999999997E-2</v>
      </c>
      <c r="I40" s="2262">
        <v>0.06</v>
      </c>
      <c r="J40" s="2262">
        <v>9.5000000000000001E-2</v>
      </c>
      <c r="K40" s="2262">
        <v>3.3000000000000002E-2</v>
      </c>
      <c r="S40" s="2277"/>
      <c r="T40" s="2218"/>
      <c r="U40" s="2280"/>
      <c r="V40" s="2281"/>
      <c r="W40" s="2261"/>
      <c r="X40" s="2277"/>
    </row>
    <row r="41" spans="1:24">
      <c r="A41" s="2255">
        <v>44453.291666666701</v>
      </c>
      <c r="B41" s="2276">
        <f t="shared" si="0"/>
        <v>-7.8878177037686233E-3</v>
      </c>
      <c r="C41" s="2258">
        <v>22640</v>
      </c>
      <c r="D41" s="2276">
        <f t="shared" si="1"/>
        <v>-1.2845626459730279E-2</v>
      </c>
      <c r="E41" s="2258">
        <v>26205</v>
      </c>
      <c r="F41" s="2276">
        <f t="shared" si="2"/>
        <v>-9.8039215686274508E-3</v>
      </c>
      <c r="G41" s="2258">
        <v>202</v>
      </c>
      <c r="H41" s="2259"/>
      <c r="I41" s="2259"/>
      <c r="J41" s="2259"/>
      <c r="K41" s="2259"/>
      <c r="S41" s="2277"/>
      <c r="T41" s="2218"/>
      <c r="U41" s="2280"/>
      <c r="V41" s="2281"/>
      <c r="W41" s="2261"/>
      <c r="X41" s="2277"/>
    </row>
    <row r="42" spans="1:24">
      <c r="A42" s="2255">
        <v>44454.291666666701</v>
      </c>
      <c r="B42" s="2276">
        <f t="shared" si="0"/>
        <v>-8.3260297984224362E-3</v>
      </c>
      <c r="C42" s="2258">
        <v>22630</v>
      </c>
      <c r="D42" s="2276">
        <f t="shared" si="1"/>
        <v>-1.2619603706773149E-2</v>
      </c>
      <c r="E42" s="2258">
        <v>26211</v>
      </c>
      <c r="F42" s="2276">
        <f t="shared" si="2"/>
        <v>-4.9019607843137254E-3</v>
      </c>
      <c r="G42" s="2258">
        <v>203</v>
      </c>
      <c r="H42" s="2259"/>
      <c r="I42" s="2259"/>
      <c r="J42" s="2259"/>
      <c r="K42" s="2259"/>
      <c r="S42" s="2277"/>
      <c r="T42" s="2218"/>
      <c r="U42" s="2280"/>
      <c r="V42" s="2281"/>
      <c r="W42" s="2261"/>
      <c r="X42" s="2277"/>
    </row>
    <row r="43" spans="1:24">
      <c r="A43" s="2255">
        <v>44455.291666666701</v>
      </c>
      <c r="B43" s="2276">
        <f t="shared" si="0"/>
        <v>-8.3260297984224362E-3</v>
      </c>
      <c r="C43" s="2258">
        <v>22630</v>
      </c>
      <c r="D43" s="2276">
        <f t="shared" si="1"/>
        <v>-1.2544262789120771E-2</v>
      </c>
      <c r="E43" s="2258">
        <v>26213</v>
      </c>
      <c r="F43" s="2276">
        <f t="shared" si="2"/>
        <v>-4.9019607843137254E-3</v>
      </c>
      <c r="G43" s="2258">
        <v>203</v>
      </c>
      <c r="H43" s="2259"/>
      <c r="I43" s="2259"/>
      <c r="J43" s="2259"/>
      <c r="K43" s="2259"/>
      <c r="S43" s="2277"/>
      <c r="T43" s="2218"/>
      <c r="U43" s="2280"/>
      <c r="V43" s="2281"/>
      <c r="W43" s="2261"/>
      <c r="X43" s="2277"/>
    </row>
    <row r="44" spans="1:24">
      <c r="A44" s="2255">
        <v>44456.291666666701</v>
      </c>
      <c r="B44" s="2276">
        <f t="shared" si="0"/>
        <v>-7.8878177037686233E-3</v>
      </c>
      <c r="C44" s="2258">
        <v>22640</v>
      </c>
      <c r="D44" s="2276">
        <f t="shared" si="1"/>
        <v>-1.6122956377608678E-2</v>
      </c>
      <c r="E44" s="2258">
        <v>26118</v>
      </c>
      <c r="F44" s="2276">
        <f t="shared" si="2"/>
        <v>-9.8039215686274508E-3</v>
      </c>
      <c r="G44" s="2258">
        <v>202</v>
      </c>
      <c r="H44" s="2259"/>
      <c r="I44" s="2259"/>
      <c r="J44" s="2259"/>
      <c r="K44" s="2259"/>
      <c r="S44" s="2277"/>
      <c r="T44" s="2218"/>
      <c r="U44" s="2280"/>
      <c r="V44" s="2281"/>
      <c r="W44" s="2261"/>
      <c r="X44" s="2277"/>
    </row>
    <row r="45" spans="1:24">
      <c r="A45" s="2255">
        <v>44459.291666666701</v>
      </c>
      <c r="B45" s="2276">
        <f t="shared" si="0"/>
        <v>-7.6687116564417178E-3</v>
      </c>
      <c r="C45" s="2258">
        <v>22645</v>
      </c>
      <c r="D45" s="2276">
        <f t="shared" si="1"/>
        <v>-2.0643411436751299E-2</v>
      </c>
      <c r="E45" s="2258">
        <v>25998</v>
      </c>
      <c r="F45" s="2276">
        <f t="shared" si="2"/>
        <v>-9.8039215686274508E-3</v>
      </c>
      <c r="G45" s="2258">
        <v>202</v>
      </c>
      <c r="H45" s="2259"/>
      <c r="I45" s="2259"/>
      <c r="J45" s="2259"/>
      <c r="K45" s="2259"/>
      <c r="S45" s="2277"/>
      <c r="T45" s="2218"/>
      <c r="U45" s="2280"/>
      <c r="V45" s="2281"/>
      <c r="W45" s="2261"/>
      <c r="X45" s="2277"/>
    </row>
    <row r="46" spans="1:24">
      <c r="A46" s="2255">
        <v>44460.291666666701</v>
      </c>
      <c r="B46" s="2276">
        <f t="shared" si="0"/>
        <v>-7.8878177037686233E-3</v>
      </c>
      <c r="C46" s="2258">
        <v>22640</v>
      </c>
      <c r="D46" s="2276">
        <f t="shared" si="1"/>
        <v>-1.9437956754313267E-2</v>
      </c>
      <c r="E46" s="2258">
        <v>26030</v>
      </c>
      <c r="F46" s="2276">
        <f t="shared" si="2"/>
        <v>-4.9019607843137254E-3</v>
      </c>
      <c r="G46" s="2258">
        <v>203</v>
      </c>
      <c r="H46" s="2259"/>
      <c r="I46" s="2259"/>
      <c r="J46" s="2259"/>
      <c r="K46" s="2259"/>
      <c r="S46" s="2277"/>
      <c r="T46" s="2218"/>
      <c r="U46" s="2280"/>
      <c r="V46" s="2281"/>
      <c r="W46" s="2261"/>
      <c r="X46" s="2277"/>
    </row>
    <row r="47" spans="1:24">
      <c r="A47" s="2255">
        <v>44461.291666666701</v>
      </c>
      <c r="B47" s="2276">
        <f t="shared" si="0"/>
        <v>-8.3260297984224362E-3</v>
      </c>
      <c r="C47" s="2258">
        <v>22630</v>
      </c>
      <c r="D47" s="2276">
        <f t="shared" si="1"/>
        <v>-2.0304377307315602E-2</v>
      </c>
      <c r="E47" s="2258">
        <v>26007</v>
      </c>
      <c r="F47" s="2276">
        <f t="shared" si="2"/>
        <v>-4.9019607843137254E-3</v>
      </c>
      <c r="G47" s="2258">
        <v>203</v>
      </c>
      <c r="H47" s="2259"/>
      <c r="I47" s="2259"/>
      <c r="J47" s="2259"/>
      <c r="K47" s="2259"/>
      <c r="S47" s="2277"/>
      <c r="T47" s="2218"/>
      <c r="U47" s="2280"/>
      <c r="V47" s="2281"/>
      <c r="W47" s="2261"/>
      <c r="X47" s="2277"/>
    </row>
    <row r="48" spans="1:24">
      <c r="A48" s="2255">
        <v>44462.291666666701</v>
      </c>
      <c r="B48" s="2276">
        <f t="shared" si="0"/>
        <v>-8.3260297984224362E-3</v>
      </c>
      <c r="C48" s="2258">
        <v>22630</v>
      </c>
      <c r="D48" s="2276">
        <f t="shared" si="1"/>
        <v>-2.3242673095758306E-2</v>
      </c>
      <c r="E48" s="2258">
        <v>25929</v>
      </c>
      <c r="F48" s="2276">
        <f t="shared" si="2"/>
        <v>-9.8039215686274508E-3</v>
      </c>
      <c r="G48" s="2258">
        <v>202</v>
      </c>
      <c r="H48" s="2259"/>
      <c r="I48" s="2259"/>
      <c r="J48" s="2259"/>
      <c r="K48" s="2259"/>
      <c r="S48" s="2277"/>
      <c r="T48" s="2218"/>
      <c r="U48" s="2280"/>
      <c r="V48" s="2281"/>
      <c r="W48" s="2261"/>
      <c r="X48" s="2277"/>
    </row>
    <row r="49" spans="1:24">
      <c r="A49" s="2255">
        <v>44463.291666666701</v>
      </c>
      <c r="B49" s="2276">
        <f t="shared" si="0"/>
        <v>-8.3260297984224362E-3</v>
      </c>
      <c r="C49" s="2258">
        <v>22630</v>
      </c>
      <c r="D49" s="2276">
        <f t="shared" si="1"/>
        <v>-1.8872899871920441E-2</v>
      </c>
      <c r="E49" s="2258">
        <v>26045</v>
      </c>
      <c r="F49" s="2276">
        <f t="shared" si="2"/>
        <v>-1.4705882352941176E-2</v>
      </c>
      <c r="G49" s="2258">
        <v>201</v>
      </c>
      <c r="H49" s="2259"/>
      <c r="I49" s="2259"/>
      <c r="J49" s="2259"/>
      <c r="K49" s="2259"/>
      <c r="S49" s="2277"/>
      <c r="T49" s="2218"/>
      <c r="U49" s="2280"/>
      <c r="V49" s="2281"/>
      <c r="W49" s="2261"/>
      <c r="X49" s="2277"/>
    </row>
    <row r="50" spans="1:24">
      <c r="A50" s="2255">
        <v>44466.291666666701</v>
      </c>
      <c r="B50" s="2276">
        <f t="shared" si="0"/>
        <v>-8.3260297984224362E-3</v>
      </c>
      <c r="C50" s="2258">
        <v>22630</v>
      </c>
      <c r="D50" s="2276">
        <f t="shared" si="1"/>
        <v>-2.0794093272056054E-2</v>
      </c>
      <c r="E50" s="2258">
        <v>25994</v>
      </c>
      <c r="F50" s="2276">
        <f t="shared" si="2"/>
        <v>-1.9607843137254902E-2</v>
      </c>
      <c r="G50" s="2258">
        <v>200</v>
      </c>
      <c r="H50" s="2259"/>
      <c r="I50" s="2259"/>
      <c r="J50" s="2259"/>
      <c r="K50" s="2259"/>
      <c r="S50" s="2277"/>
      <c r="T50" s="2218"/>
      <c r="U50" s="2280"/>
      <c r="V50" s="2281"/>
      <c r="W50" s="2261"/>
      <c r="X50" s="2277"/>
    </row>
    <row r="51" spans="1:24">
      <c r="A51" s="2255">
        <v>44467.291666666701</v>
      </c>
      <c r="B51" s="2276">
        <f t="shared" si="0"/>
        <v>-7.8878177037686233E-3</v>
      </c>
      <c r="C51" s="2258">
        <v>22640</v>
      </c>
      <c r="D51" s="2276">
        <f t="shared" si="1"/>
        <v>-2.2978979883974987E-2</v>
      </c>
      <c r="E51" s="2258">
        <v>25936</v>
      </c>
      <c r="F51" s="2276">
        <f t="shared" si="2"/>
        <v>-1.9607843137254902E-2</v>
      </c>
      <c r="G51" s="2258">
        <v>200</v>
      </c>
      <c r="H51" s="2259"/>
      <c r="I51" s="2259"/>
      <c r="J51" s="2259"/>
      <c r="K51" s="2259"/>
      <c r="S51" s="2277"/>
      <c r="T51" s="2218"/>
      <c r="U51" s="2280"/>
      <c r="V51" s="2281"/>
      <c r="W51" s="2261"/>
      <c r="X51" s="2277"/>
    </row>
    <row r="52" spans="1:24">
      <c r="A52" s="2255">
        <v>44468.291666666701</v>
      </c>
      <c r="B52" s="2276">
        <f t="shared" si="0"/>
        <v>-8.3260297984224362E-3</v>
      </c>
      <c r="C52" s="2258">
        <v>22630</v>
      </c>
      <c r="D52" s="2276">
        <f t="shared" si="1"/>
        <v>-2.3807729978151133E-2</v>
      </c>
      <c r="E52" s="2258">
        <v>25914</v>
      </c>
      <c r="F52" s="2276">
        <f t="shared" si="2"/>
        <v>-2.4509803921568627E-2</v>
      </c>
      <c r="G52" s="2258">
        <v>199</v>
      </c>
      <c r="H52" s="2259"/>
      <c r="I52" s="2259"/>
      <c r="J52" s="2259"/>
      <c r="K52" s="2259"/>
      <c r="S52" s="2277"/>
      <c r="T52" s="2218"/>
      <c r="U52" s="2280"/>
      <c r="V52" s="2281"/>
      <c r="W52" s="2261"/>
      <c r="X52" s="2277"/>
    </row>
    <row r="53" spans="1:24">
      <c r="A53" s="2255">
        <v>44469.291666666701</v>
      </c>
      <c r="B53" s="2276">
        <f t="shared" si="0"/>
        <v>-8.3260297984224362E-3</v>
      </c>
      <c r="C53" s="2258">
        <v>22630</v>
      </c>
      <c r="D53" s="2276">
        <f t="shared" si="1"/>
        <v>-3.0324719355081745E-2</v>
      </c>
      <c r="E53" s="2258">
        <v>25741</v>
      </c>
      <c r="F53" s="2276">
        <f t="shared" si="2"/>
        <v>-2.9411764705882353E-2</v>
      </c>
      <c r="G53" s="2258">
        <v>198</v>
      </c>
      <c r="H53" s="2259"/>
      <c r="I53" s="2259"/>
      <c r="J53" s="2259"/>
      <c r="K53" s="2259"/>
      <c r="S53" s="2277"/>
      <c r="T53" s="2218"/>
      <c r="U53" s="2280"/>
      <c r="V53" s="2281"/>
      <c r="W53" s="2261"/>
      <c r="X53" s="2277"/>
    </row>
    <row r="54" spans="1:24">
      <c r="A54" s="2255">
        <v>44470.291666666701</v>
      </c>
      <c r="B54" s="2276">
        <f t="shared" si="0"/>
        <v>-8.3260297984224362E-3</v>
      </c>
      <c r="C54" s="2258">
        <v>22630</v>
      </c>
      <c r="D54" s="2276">
        <f t="shared" si="1"/>
        <v>-3.3074662849393505E-2</v>
      </c>
      <c r="E54" s="2258">
        <v>25668</v>
      </c>
      <c r="F54" s="2276">
        <f t="shared" si="2"/>
        <v>-2.4509803921568627E-2</v>
      </c>
      <c r="G54" s="2258">
        <v>199</v>
      </c>
      <c r="H54" s="2259"/>
      <c r="I54" s="2259"/>
      <c r="J54" s="2259"/>
      <c r="K54" s="2259"/>
      <c r="S54" s="2277"/>
      <c r="T54" s="2218"/>
      <c r="U54" s="2280"/>
      <c r="V54" s="2281"/>
      <c r="W54" s="2261"/>
      <c r="X54" s="2277"/>
    </row>
    <row r="55" spans="1:24">
      <c r="A55" s="2255">
        <v>44473.291666666701</v>
      </c>
      <c r="B55" s="2276">
        <f t="shared" si="0"/>
        <v>-8.3260297984224362E-3</v>
      </c>
      <c r="C55" s="2258">
        <v>22630</v>
      </c>
      <c r="D55" s="2276">
        <f t="shared" si="1"/>
        <v>-3.0324719355081745E-2</v>
      </c>
      <c r="E55" s="2258">
        <v>25741</v>
      </c>
      <c r="F55" s="2276">
        <f t="shared" si="2"/>
        <v>-1.9607843137254902E-2</v>
      </c>
      <c r="G55" s="2258">
        <v>200</v>
      </c>
      <c r="H55" s="2259"/>
      <c r="I55" s="2259"/>
      <c r="J55" s="2259"/>
      <c r="K55" s="2259"/>
      <c r="S55" s="2277"/>
      <c r="T55" s="2218"/>
      <c r="U55" s="2280"/>
      <c r="V55" s="2281"/>
      <c r="W55" s="2261"/>
      <c r="X55" s="2277"/>
    </row>
    <row r="56" spans="1:24">
      <c r="A56" s="2255">
        <v>44474.291666666701</v>
      </c>
      <c r="B56" s="2276">
        <f t="shared" si="0"/>
        <v>-8.3260297984224362E-3</v>
      </c>
      <c r="C56" s="2258">
        <v>22630</v>
      </c>
      <c r="D56" s="2276">
        <f t="shared" si="1"/>
        <v>-2.9646651096210352E-2</v>
      </c>
      <c r="E56" s="2258">
        <v>25759</v>
      </c>
      <c r="F56" s="2276">
        <f t="shared" si="2"/>
        <v>-1.9607843137254902E-2</v>
      </c>
      <c r="G56" s="2258">
        <v>200</v>
      </c>
      <c r="H56" s="2259"/>
      <c r="I56" s="2259"/>
      <c r="J56" s="2259"/>
      <c r="K56" s="2259"/>
      <c r="S56" s="2277"/>
      <c r="T56" s="2218"/>
      <c r="U56" s="2280"/>
      <c r="V56" s="2281"/>
      <c r="W56" s="2261"/>
      <c r="X56" s="2277"/>
    </row>
    <row r="57" spans="1:24">
      <c r="A57" s="2255">
        <v>44475.291666666701</v>
      </c>
      <c r="B57" s="2276">
        <f t="shared" si="0"/>
        <v>-8.3260297984224362E-3</v>
      </c>
      <c r="C57" s="2258">
        <v>22630</v>
      </c>
      <c r="D57" s="2276">
        <f t="shared" si="1"/>
        <v>-3.1078128531605517E-2</v>
      </c>
      <c r="E57" s="2258">
        <v>25721</v>
      </c>
      <c r="F57" s="2276">
        <f t="shared" si="2"/>
        <v>-2.4509803921568627E-2</v>
      </c>
      <c r="G57" s="2258">
        <v>199</v>
      </c>
      <c r="H57" s="2259"/>
      <c r="I57" s="2259"/>
      <c r="J57" s="2259"/>
      <c r="K57" s="2259"/>
      <c r="S57" s="2277"/>
      <c r="T57" s="2218"/>
      <c r="U57" s="2280"/>
      <c r="V57" s="2281"/>
      <c r="W57" s="2261"/>
      <c r="X57" s="2277"/>
    </row>
    <row r="58" spans="1:24">
      <c r="A58" s="2255">
        <v>44476.291666666701</v>
      </c>
      <c r="B58" s="2276">
        <f t="shared" si="0"/>
        <v>-8.3260297984224362E-3</v>
      </c>
      <c r="C58" s="2258">
        <v>22630</v>
      </c>
      <c r="D58" s="2276">
        <f t="shared" si="1"/>
        <v>-3.4091765237700598E-2</v>
      </c>
      <c r="E58" s="2258">
        <v>25641</v>
      </c>
      <c r="F58" s="2276">
        <f t="shared" si="2"/>
        <v>-2.4509803921568627E-2</v>
      </c>
      <c r="G58" s="2258">
        <v>199</v>
      </c>
      <c r="H58" s="2259"/>
      <c r="I58" s="2259"/>
      <c r="J58" s="2259"/>
      <c r="K58" s="2259"/>
      <c r="S58" s="2277"/>
      <c r="T58" s="2218"/>
      <c r="U58" s="2280"/>
      <c r="V58" s="2281"/>
      <c r="W58" s="2261"/>
      <c r="X58" s="2277"/>
    </row>
    <row r="59" spans="1:24">
      <c r="A59" s="2255">
        <v>44477.291666666701</v>
      </c>
      <c r="B59" s="2276">
        <f t="shared" si="0"/>
        <v>-8.3260297984224362E-3</v>
      </c>
      <c r="C59" s="2258">
        <v>22630</v>
      </c>
      <c r="D59" s="2276">
        <f t="shared" si="1"/>
        <v>-3.4242447073005347E-2</v>
      </c>
      <c r="E59" s="2258">
        <v>25637</v>
      </c>
      <c r="F59" s="2276">
        <f t="shared" si="2"/>
        <v>-2.4509803921568627E-2</v>
      </c>
      <c r="G59" s="2258">
        <v>199</v>
      </c>
      <c r="H59" s="2259"/>
      <c r="I59" s="2259"/>
      <c r="J59" s="2259"/>
      <c r="K59" s="2259"/>
      <c r="S59" s="2277"/>
      <c r="T59" s="2218"/>
      <c r="U59" s="2280"/>
      <c r="V59" s="2281"/>
      <c r="W59" s="2261"/>
      <c r="X59" s="2277"/>
    </row>
    <row r="60" spans="1:24">
      <c r="A60" s="2255">
        <v>44480.291666666701</v>
      </c>
      <c r="B60" s="2276">
        <f t="shared" si="0"/>
        <v>-8.3260297984224362E-3</v>
      </c>
      <c r="C60" s="2258">
        <v>22630</v>
      </c>
      <c r="D60" s="2276">
        <f t="shared" si="1"/>
        <v>-3.367739019061252E-2</v>
      </c>
      <c r="E60" s="2258">
        <v>25652</v>
      </c>
      <c r="F60" s="2276">
        <f t="shared" si="2"/>
        <v>-2.9411764705882353E-2</v>
      </c>
      <c r="G60" s="2258">
        <v>198</v>
      </c>
      <c r="H60" s="2259"/>
      <c r="I60" s="2259"/>
      <c r="J60" s="2259"/>
      <c r="K60" s="2259"/>
      <c r="S60" s="2277"/>
      <c r="T60" s="2218"/>
      <c r="U60" s="2280"/>
      <c r="V60" s="2281"/>
      <c r="W60" s="2261"/>
      <c r="X60" s="2277"/>
    </row>
    <row r="61" spans="1:24">
      <c r="A61" s="2255">
        <v>44481.291666666701</v>
      </c>
      <c r="B61" s="2276">
        <f t="shared" si="0"/>
        <v>-8.7642418930762491E-3</v>
      </c>
      <c r="C61" s="2258">
        <v>22620</v>
      </c>
      <c r="D61" s="2276">
        <f t="shared" si="1"/>
        <v>-3.5259549461312441E-2</v>
      </c>
      <c r="E61" s="2258">
        <v>25610</v>
      </c>
      <c r="F61" s="2276">
        <f t="shared" si="2"/>
        <v>-3.9215686274509803E-2</v>
      </c>
      <c r="G61" s="2258">
        <v>196</v>
      </c>
      <c r="H61" s="2259"/>
      <c r="I61" s="2259"/>
      <c r="J61" s="2259"/>
      <c r="K61" s="2259"/>
      <c r="S61" s="2277"/>
      <c r="T61" s="2218"/>
      <c r="U61" s="2280"/>
      <c r="V61" s="2281"/>
      <c r="W61" s="2261"/>
      <c r="X61" s="2277"/>
    </row>
    <row r="62" spans="1:24">
      <c r="A62" s="2255">
        <v>44482.291666666701</v>
      </c>
      <c r="B62" s="2276">
        <f t="shared" si="0"/>
        <v>-8.3260297984224362E-3</v>
      </c>
      <c r="C62" s="2258">
        <v>22630</v>
      </c>
      <c r="D62" s="2276">
        <f t="shared" si="1"/>
        <v>-3.574926542605289E-2</v>
      </c>
      <c r="E62" s="2258">
        <v>25597</v>
      </c>
      <c r="F62" s="2276">
        <f t="shared" si="2"/>
        <v>-3.9215686274509803E-2</v>
      </c>
      <c r="G62" s="2258">
        <v>196</v>
      </c>
      <c r="H62" s="2259"/>
      <c r="I62" s="2259"/>
      <c r="J62" s="2259"/>
      <c r="K62" s="2259"/>
      <c r="S62" s="2277"/>
      <c r="T62" s="2218"/>
      <c r="U62" s="2280"/>
      <c r="V62" s="2281"/>
      <c r="W62" s="2261"/>
      <c r="X62" s="2277"/>
    </row>
    <row r="63" spans="1:24">
      <c r="A63" s="2255">
        <v>44483.291666666701</v>
      </c>
      <c r="B63" s="2276">
        <f t="shared" si="0"/>
        <v>-8.3260297984224362E-3</v>
      </c>
      <c r="C63" s="2258">
        <v>22630</v>
      </c>
      <c r="D63" s="2276">
        <f t="shared" si="1"/>
        <v>-3.0927446696300761E-2</v>
      </c>
      <c r="E63" s="2258">
        <v>25725</v>
      </c>
      <c r="F63" s="2276">
        <f t="shared" si="2"/>
        <v>-3.9215686274509803E-2</v>
      </c>
      <c r="G63" s="2258">
        <v>196</v>
      </c>
      <c r="H63" s="2259"/>
      <c r="I63" s="2259"/>
      <c r="J63" s="2259"/>
      <c r="K63" s="2259"/>
      <c r="S63" s="2277"/>
      <c r="T63" s="2218"/>
      <c r="U63" s="2280"/>
      <c r="V63" s="2281"/>
      <c r="W63" s="2261"/>
      <c r="X63" s="2277"/>
    </row>
    <row r="64" spans="1:24">
      <c r="A64" s="2255">
        <v>44484.291666666701</v>
      </c>
      <c r="B64" s="2276">
        <f t="shared" si="0"/>
        <v>-8.3260297984224362E-3</v>
      </c>
      <c r="C64" s="2258">
        <v>22630</v>
      </c>
      <c r="D64" s="2276">
        <f t="shared" si="1"/>
        <v>-3.1417162661041213E-2</v>
      </c>
      <c r="E64" s="2258">
        <v>25712</v>
      </c>
      <c r="F64" s="2276">
        <f t="shared" si="2"/>
        <v>-4.9019607843137254E-2</v>
      </c>
      <c r="G64" s="2258">
        <v>194</v>
      </c>
      <c r="H64" s="2259"/>
      <c r="I64" s="2259"/>
      <c r="J64" s="2259"/>
      <c r="K64" s="2259"/>
      <c r="S64" s="2277"/>
      <c r="T64" s="2218"/>
      <c r="U64" s="2280"/>
      <c r="V64" s="2281"/>
      <c r="W64" s="2261"/>
      <c r="X64" s="2277"/>
    </row>
    <row r="65" spans="1:24">
      <c r="A65" s="2255">
        <v>44487.291666666701</v>
      </c>
      <c r="B65" s="2276">
        <f t="shared" si="0"/>
        <v>-8.3260297984224362E-3</v>
      </c>
      <c r="C65" s="2258">
        <v>22630</v>
      </c>
      <c r="D65" s="2276">
        <f t="shared" si="1"/>
        <v>-3.2019890002260229E-2</v>
      </c>
      <c r="E65" s="2258">
        <v>25696</v>
      </c>
      <c r="F65" s="2276">
        <f t="shared" si="2"/>
        <v>-5.3921568627450983E-2</v>
      </c>
      <c r="G65" s="2258">
        <v>193</v>
      </c>
      <c r="H65" s="2259"/>
      <c r="I65" s="2259"/>
      <c r="J65" s="2259"/>
      <c r="K65" s="2259"/>
      <c r="S65" s="2277"/>
      <c r="T65" s="2218"/>
      <c r="U65" s="2280"/>
      <c r="V65" s="2281"/>
      <c r="W65" s="2261"/>
      <c r="X65" s="2277"/>
    </row>
    <row r="66" spans="1:24">
      <c r="A66" s="2255">
        <v>44488.291666666701</v>
      </c>
      <c r="B66" s="2276">
        <f t="shared" si="0"/>
        <v>-8.3260297984224362E-3</v>
      </c>
      <c r="C66" s="2258">
        <v>22630</v>
      </c>
      <c r="D66" s="2276">
        <f t="shared" si="1"/>
        <v>-2.9081594213817525E-2</v>
      </c>
      <c r="E66" s="2258">
        <v>25774</v>
      </c>
      <c r="F66" s="2276">
        <f t="shared" si="2"/>
        <v>-5.3921568627450983E-2</v>
      </c>
      <c r="G66" s="2258">
        <v>193</v>
      </c>
      <c r="H66" s="2259"/>
      <c r="I66" s="2259"/>
      <c r="J66" s="2259"/>
      <c r="K66" s="2259"/>
      <c r="S66" s="2277"/>
      <c r="T66" s="2218"/>
      <c r="U66" s="2280"/>
      <c r="V66" s="2281"/>
      <c r="W66" s="2261"/>
      <c r="X66" s="2277"/>
    </row>
    <row r="67" spans="1:24">
      <c r="A67" s="2255">
        <v>44489.291666666701</v>
      </c>
      <c r="B67" s="2276">
        <f t="shared" si="0"/>
        <v>-8.5451358457493427E-3</v>
      </c>
      <c r="C67" s="2258">
        <v>22625</v>
      </c>
      <c r="D67" s="2276">
        <f t="shared" si="1"/>
        <v>-2.8365855496119943E-2</v>
      </c>
      <c r="E67" s="2258">
        <v>25793</v>
      </c>
      <c r="F67" s="2276">
        <f t="shared" si="2"/>
        <v>-5.3921568627450983E-2</v>
      </c>
      <c r="G67" s="2258">
        <v>193</v>
      </c>
      <c r="H67" s="2259"/>
      <c r="I67" s="2259"/>
      <c r="J67" s="2259"/>
      <c r="K67" s="2259"/>
      <c r="S67" s="2277"/>
      <c r="T67" s="2218"/>
      <c r="U67" s="2280"/>
      <c r="V67" s="2281"/>
      <c r="W67" s="2261"/>
      <c r="X67" s="2277"/>
    </row>
    <row r="68" spans="1:24">
      <c r="A68" s="2255">
        <v>44490.291666666701</v>
      </c>
      <c r="B68" s="2276">
        <f t="shared" si="0"/>
        <v>-8.5451358457493427E-3</v>
      </c>
      <c r="C68" s="2258">
        <v>22625</v>
      </c>
      <c r="D68" s="2276">
        <f t="shared" si="1"/>
        <v>-2.6293980260679577E-2</v>
      </c>
      <c r="E68" s="2258">
        <v>25848</v>
      </c>
      <c r="F68" s="2276">
        <f t="shared" si="2"/>
        <v>-5.3921568627450983E-2</v>
      </c>
      <c r="G68" s="2258">
        <v>193</v>
      </c>
      <c r="H68" s="2259"/>
      <c r="I68" s="2259"/>
      <c r="J68" s="2259"/>
      <c r="K68" s="2259"/>
      <c r="S68" s="2277"/>
      <c r="T68" s="2218"/>
      <c r="U68" s="2280"/>
      <c r="V68" s="2281"/>
      <c r="W68" s="2261"/>
      <c r="X68" s="2277"/>
    </row>
    <row r="69" spans="1:24">
      <c r="A69" s="2255">
        <v>44491.291666666701</v>
      </c>
      <c r="B69" s="2276">
        <f t="shared" si="0"/>
        <v>-8.5451358457493427E-3</v>
      </c>
      <c r="C69" s="2258">
        <v>22625</v>
      </c>
      <c r="D69" s="2276">
        <f t="shared" si="1"/>
        <v>-2.8704889625555639E-2</v>
      </c>
      <c r="E69" s="2258">
        <v>25784</v>
      </c>
      <c r="F69" s="2276">
        <f t="shared" si="2"/>
        <v>-4.9019607843137254E-2</v>
      </c>
      <c r="G69" s="2258">
        <v>194</v>
      </c>
      <c r="H69" s="2259"/>
      <c r="I69" s="2259"/>
      <c r="J69" s="2259"/>
      <c r="K69" s="2259"/>
      <c r="S69" s="2277"/>
      <c r="T69" s="2218"/>
      <c r="U69" s="2280"/>
      <c r="V69" s="2281"/>
      <c r="W69" s="2261"/>
      <c r="X69" s="2277"/>
    </row>
    <row r="70" spans="1:24">
      <c r="A70" s="2255">
        <v>44494.291666666701</v>
      </c>
      <c r="B70" s="2276">
        <f t="shared" si="0"/>
        <v>-8.5451358457493427E-3</v>
      </c>
      <c r="C70" s="2258">
        <v>22625</v>
      </c>
      <c r="D70" s="2276">
        <f t="shared" si="1"/>
        <v>-2.6821366684246215E-2</v>
      </c>
      <c r="E70" s="2258">
        <v>25834</v>
      </c>
      <c r="F70" s="2276">
        <f t="shared" si="2"/>
        <v>-4.9019607843137254E-2</v>
      </c>
      <c r="G70" s="2258">
        <v>194</v>
      </c>
      <c r="H70" s="2259"/>
      <c r="I70" s="2259"/>
      <c r="J70" s="2259"/>
      <c r="K70" s="2259"/>
      <c r="S70" s="2277"/>
      <c r="T70" s="2218"/>
      <c r="U70" s="2280"/>
      <c r="V70" s="2281"/>
      <c r="W70" s="2261"/>
      <c r="X70" s="2277"/>
    </row>
    <row r="71" spans="1:24">
      <c r="A71" s="2255">
        <v>44495.291666666701</v>
      </c>
      <c r="B71" s="2276">
        <f t="shared" si="0"/>
        <v>-8.5451358457493427E-3</v>
      </c>
      <c r="C71" s="2258">
        <v>22625</v>
      </c>
      <c r="D71" s="2276">
        <f t="shared" si="1"/>
        <v>-3.0626083025691253E-2</v>
      </c>
      <c r="E71" s="2258">
        <v>25733</v>
      </c>
      <c r="F71" s="2276">
        <f t="shared" si="2"/>
        <v>-4.9019607843137254E-2</v>
      </c>
      <c r="G71" s="2258">
        <v>194</v>
      </c>
      <c r="H71" s="2259"/>
      <c r="I71" s="2259"/>
      <c r="J71" s="2259"/>
      <c r="K71" s="2259"/>
      <c r="S71" s="2277"/>
      <c r="T71" s="2218"/>
      <c r="U71" s="2280"/>
      <c r="V71" s="2281"/>
      <c r="W71" s="2261"/>
      <c r="X71" s="2277"/>
    </row>
    <row r="72" spans="1:24">
      <c r="A72" s="2255">
        <v>44496.291666666701</v>
      </c>
      <c r="B72" s="2276">
        <f t="shared" si="0"/>
        <v>-8.5451358457493427E-3</v>
      </c>
      <c r="C72" s="2258">
        <v>22625</v>
      </c>
      <c r="D72" s="2276">
        <f t="shared" si="1"/>
        <v>-3.0626083025691253E-2</v>
      </c>
      <c r="E72" s="2258">
        <v>25733</v>
      </c>
      <c r="F72" s="2276">
        <f t="shared" si="2"/>
        <v>-5.3921568627450983E-2</v>
      </c>
      <c r="G72" s="2258">
        <v>193</v>
      </c>
      <c r="H72" s="2259"/>
      <c r="I72" s="2259"/>
      <c r="J72" s="2259"/>
      <c r="K72" s="2259"/>
      <c r="S72" s="2277"/>
      <c r="T72" s="2218"/>
      <c r="U72" s="2280"/>
      <c r="V72" s="2281"/>
      <c r="W72" s="2261"/>
      <c r="X72" s="2277"/>
    </row>
    <row r="73" spans="1:24">
      <c r="A73" s="2255">
        <v>44497.291666666701</v>
      </c>
      <c r="B73" s="2276">
        <f t="shared" si="0"/>
        <v>-8.5451358457493427E-3</v>
      </c>
      <c r="C73" s="2258">
        <v>22625</v>
      </c>
      <c r="D73" s="2276">
        <f t="shared" si="1"/>
        <v>-3.1793867249303095E-2</v>
      </c>
      <c r="E73" s="2258">
        <v>25702</v>
      </c>
      <c r="F73" s="2276">
        <f t="shared" si="2"/>
        <v>-4.9019607843137254E-2</v>
      </c>
      <c r="G73" s="2258">
        <v>194</v>
      </c>
      <c r="H73" s="2259"/>
      <c r="I73" s="2259"/>
      <c r="J73" s="2259"/>
      <c r="K73" s="2259"/>
      <c r="S73" s="2277"/>
      <c r="T73" s="2218"/>
      <c r="U73" s="2280"/>
      <c r="V73" s="2281"/>
      <c r="W73" s="2261"/>
      <c r="X73" s="2277"/>
    </row>
    <row r="74" spans="1:24">
      <c r="A74" s="2255">
        <v>44498.291666666701</v>
      </c>
      <c r="B74" s="2276">
        <f t="shared" ref="B74:B137" si="3">(C74-C$10)/C$10</f>
        <v>-8.7642418930762491E-3</v>
      </c>
      <c r="C74" s="2258">
        <v>22620</v>
      </c>
      <c r="D74" s="2276">
        <f t="shared" ref="D74:D137" si="4">(E74-E$10)/E$10</f>
        <v>-2.3920741354629699E-2</v>
      </c>
      <c r="E74" s="2258">
        <v>25911</v>
      </c>
      <c r="F74" s="2276">
        <f t="shared" ref="F74:F137" si="5">(G74-G$10)/G$10</f>
        <v>-4.9019607843137254E-2</v>
      </c>
      <c r="G74" s="2258">
        <v>194</v>
      </c>
      <c r="H74" s="2259"/>
      <c r="I74" s="2259"/>
      <c r="J74" s="2259"/>
      <c r="K74" s="2259"/>
      <c r="S74" s="2277"/>
      <c r="T74" s="2218"/>
      <c r="U74" s="2280"/>
      <c r="V74" s="2281"/>
      <c r="W74" s="2261"/>
      <c r="X74" s="2277"/>
    </row>
    <row r="75" spans="1:24">
      <c r="A75" s="2255">
        <v>44501.291666666701</v>
      </c>
      <c r="B75" s="2276">
        <f t="shared" si="3"/>
        <v>-8.7642418930762491E-3</v>
      </c>
      <c r="C75" s="2258">
        <v>22620</v>
      </c>
      <c r="D75" s="2276">
        <f t="shared" si="4"/>
        <v>-3.4920515331876741E-2</v>
      </c>
      <c r="E75" s="2258">
        <v>25619</v>
      </c>
      <c r="F75" s="2276">
        <f t="shared" si="5"/>
        <v>-5.3921568627450983E-2</v>
      </c>
      <c r="G75" s="2258">
        <v>193</v>
      </c>
      <c r="H75" s="2259"/>
      <c r="I75" s="2259"/>
      <c r="J75" s="2259"/>
      <c r="K75" s="2259"/>
      <c r="S75" s="2277"/>
      <c r="T75" s="2218"/>
      <c r="U75" s="2280"/>
      <c r="V75" s="2281"/>
      <c r="W75" s="2261"/>
      <c r="X75" s="2277"/>
    </row>
    <row r="76" spans="1:24">
      <c r="A76" s="2255">
        <v>44502.291666666701</v>
      </c>
      <c r="B76" s="2276">
        <f t="shared" si="3"/>
        <v>-8.7642418930762491E-3</v>
      </c>
      <c r="C76" s="2258">
        <v>22620</v>
      </c>
      <c r="D76" s="2276">
        <f t="shared" si="4"/>
        <v>-3.1417162661041213E-2</v>
      </c>
      <c r="E76" s="2258">
        <v>25712</v>
      </c>
      <c r="F76" s="2276">
        <f t="shared" si="5"/>
        <v>-5.3921568627450983E-2</v>
      </c>
      <c r="G76" s="2258">
        <v>193</v>
      </c>
      <c r="H76" s="2259"/>
      <c r="I76" s="2259"/>
      <c r="J76" s="2259"/>
      <c r="K76" s="2259"/>
      <c r="S76" s="2277"/>
      <c r="T76" s="2218"/>
      <c r="U76" s="2280"/>
      <c r="V76" s="2281"/>
      <c r="W76" s="2261"/>
      <c r="X76" s="2277"/>
    </row>
    <row r="77" spans="1:24">
      <c r="A77" s="2255">
        <v>44503.291666666701</v>
      </c>
      <c r="B77" s="2276">
        <f t="shared" si="3"/>
        <v>-9.6406660823838732E-3</v>
      </c>
      <c r="C77" s="2258">
        <v>22600</v>
      </c>
      <c r="D77" s="2276">
        <f t="shared" si="4"/>
        <v>-3.3187674225872071E-2</v>
      </c>
      <c r="E77" s="2258">
        <v>25665</v>
      </c>
      <c r="F77" s="2276">
        <f t="shared" si="5"/>
        <v>-4.9019607843137254E-2</v>
      </c>
      <c r="G77" s="2258">
        <v>194</v>
      </c>
      <c r="H77" s="2259"/>
      <c r="I77" s="2259"/>
      <c r="J77" s="2259"/>
      <c r="K77" s="2259"/>
      <c r="S77" s="2277"/>
      <c r="T77" s="2218"/>
      <c r="U77" s="2280"/>
      <c r="V77" s="2281"/>
      <c r="W77" s="2261"/>
      <c r="X77" s="2277"/>
    </row>
    <row r="78" spans="1:24">
      <c r="A78" s="2255">
        <v>44504.291666666701</v>
      </c>
      <c r="B78" s="2276">
        <f t="shared" si="3"/>
        <v>-1.1831726555652936E-2</v>
      </c>
      <c r="C78" s="2258">
        <v>22550</v>
      </c>
      <c r="D78" s="2276">
        <f t="shared" si="4"/>
        <v>-3.3828072025917276E-2</v>
      </c>
      <c r="E78" s="2258">
        <v>25648</v>
      </c>
      <c r="F78" s="2276">
        <f t="shared" si="5"/>
        <v>-5.3921568627450983E-2</v>
      </c>
      <c r="G78" s="2258">
        <v>193</v>
      </c>
      <c r="H78" s="2259"/>
      <c r="I78" s="2259"/>
      <c r="J78" s="2259"/>
      <c r="K78" s="2259"/>
      <c r="S78" s="2277"/>
      <c r="T78" s="2218"/>
      <c r="U78" s="2280"/>
      <c r="V78" s="2281"/>
      <c r="W78" s="2261"/>
      <c r="X78" s="2277"/>
    </row>
    <row r="79" spans="1:24">
      <c r="A79" s="2255">
        <v>44505.291666666701</v>
      </c>
      <c r="B79" s="2276">
        <f t="shared" si="3"/>
        <v>-1.2269938650306749E-2</v>
      </c>
      <c r="C79" s="2258">
        <v>22540</v>
      </c>
      <c r="D79" s="2276">
        <f t="shared" si="4"/>
        <v>-3.8009492955624197E-2</v>
      </c>
      <c r="E79" s="2258">
        <v>25537</v>
      </c>
      <c r="F79" s="2276">
        <f t="shared" si="5"/>
        <v>-5.3921568627450983E-2</v>
      </c>
      <c r="G79" s="2258">
        <v>193</v>
      </c>
      <c r="H79" s="2259"/>
      <c r="I79" s="2259"/>
      <c r="J79" s="2259"/>
      <c r="K79" s="2259"/>
      <c r="S79" s="2277"/>
      <c r="T79" s="2218"/>
      <c r="U79" s="2280"/>
      <c r="V79" s="2281"/>
      <c r="W79" s="2261"/>
      <c r="X79" s="2277"/>
    </row>
    <row r="80" spans="1:24">
      <c r="A80" s="2255">
        <v>44508.291666666701</v>
      </c>
      <c r="B80" s="2276">
        <f t="shared" si="3"/>
        <v>-1.2708150744960562E-2</v>
      </c>
      <c r="C80" s="2258">
        <v>22530</v>
      </c>
      <c r="D80" s="2276">
        <f t="shared" si="4"/>
        <v>-3.857454983801703E-2</v>
      </c>
      <c r="E80" s="2258">
        <v>25522</v>
      </c>
      <c r="F80" s="2276">
        <f t="shared" si="5"/>
        <v>-4.9019607843137254E-2</v>
      </c>
      <c r="G80" s="2258">
        <v>194</v>
      </c>
      <c r="H80" s="2259"/>
      <c r="I80" s="2259"/>
      <c r="J80" s="2259"/>
      <c r="K80" s="2259"/>
      <c r="S80" s="2277"/>
      <c r="T80" s="2218"/>
      <c r="U80" s="2280"/>
      <c r="V80" s="2281"/>
      <c r="W80" s="2261"/>
      <c r="X80" s="2277"/>
    </row>
    <row r="81" spans="1:24">
      <c r="A81" s="2255">
        <v>44509.291666666701</v>
      </c>
      <c r="B81" s="2276">
        <f t="shared" si="3"/>
        <v>-1.2708150744960562E-2</v>
      </c>
      <c r="C81" s="2258">
        <v>22530</v>
      </c>
      <c r="D81" s="2276">
        <f t="shared" si="4"/>
        <v>-3.6502674602576661E-2</v>
      </c>
      <c r="E81" s="2258">
        <v>25577</v>
      </c>
      <c r="F81" s="2276">
        <f t="shared" si="5"/>
        <v>-4.9019607843137254E-2</v>
      </c>
      <c r="G81" s="2258">
        <v>194</v>
      </c>
      <c r="H81" s="2259"/>
      <c r="I81" s="2259"/>
      <c r="J81" s="2259"/>
      <c r="K81" s="2259"/>
      <c r="S81" s="2277"/>
      <c r="T81" s="2218"/>
      <c r="U81" s="2280"/>
      <c r="V81" s="2281"/>
      <c r="W81" s="2261"/>
      <c r="X81" s="2277"/>
    </row>
    <row r="82" spans="1:24">
      <c r="A82" s="2255">
        <v>44510.291666666701</v>
      </c>
      <c r="B82" s="2276">
        <f t="shared" si="3"/>
        <v>-1.2708150744960562E-2</v>
      </c>
      <c r="C82" s="2258">
        <v>22530</v>
      </c>
      <c r="D82" s="2276">
        <f t="shared" si="4"/>
        <v>-3.5598583590748134E-2</v>
      </c>
      <c r="E82" s="2258">
        <v>25601</v>
      </c>
      <c r="F82" s="2276">
        <f t="shared" si="5"/>
        <v>-4.4117647058823532E-2</v>
      </c>
      <c r="G82" s="2258">
        <v>195</v>
      </c>
      <c r="H82" s="2262">
        <v>4.2999999999999997E-2</v>
      </c>
      <c r="I82" s="2262">
        <v>0.06</v>
      </c>
      <c r="J82" s="2262">
        <v>9.2999999999999999E-2</v>
      </c>
      <c r="K82" s="2262">
        <v>3.3000000000000002E-2</v>
      </c>
      <c r="S82" s="2277"/>
      <c r="T82" s="2218"/>
      <c r="U82" s="2280"/>
      <c r="V82" s="2281"/>
      <c r="W82" s="2261"/>
      <c r="X82" s="2277"/>
    </row>
    <row r="83" spans="1:24">
      <c r="A83" s="2255">
        <v>44511.291666666701</v>
      </c>
      <c r="B83" s="2276">
        <f t="shared" si="3"/>
        <v>-1.3365468886941279E-2</v>
      </c>
      <c r="C83" s="2258">
        <v>22515</v>
      </c>
      <c r="D83" s="2276">
        <f t="shared" si="4"/>
        <v>-4.5882618850297596E-2</v>
      </c>
      <c r="E83" s="2258">
        <v>25328</v>
      </c>
      <c r="F83" s="2276">
        <f t="shared" si="5"/>
        <v>-5.3921568627450983E-2</v>
      </c>
      <c r="G83" s="2258">
        <v>193</v>
      </c>
      <c r="H83" s="2259"/>
      <c r="I83" s="2259"/>
      <c r="J83" s="2259"/>
      <c r="K83" s="2259"/>
      <c r="S83" s="2277"/>
      <c r="T83" s="2218"/>
      <c r="U83" s="2280"/>
      <c r="V83" s="2281"/>
      <c r="W83" s="2261"/>
      <c r="X83" s="2277"/>
    </row>
    <row r="84" spans="1:24">
      <c r="A84" s="2255">
        <v>44512.291666666701</v>
      </c>
      <c r="B84" s="2276">
        <f t="shared" si="3"/>
        <v>-1.3365468886941279E-2</v>
      </c>
      <c r="C84" s="2258">
        <v>22515</v>
      </c>
      <c r="D84" s="2276">
        <f t="shared" si="4"/>
        <v>-4.8783244179914115E-2</v>
      </c>
      <c r="E84" s="2258">
        <v>25251</v>
      </c>
      <c r="F84" s="2276">
        <f t="shared" si="5"/>
        <v>-5.8823529411764705E-2</v>
      </c>
      <c r="G84" s="2258">
        <v>192</v>
      </c>
      <c r="H84" s="2259"/>
      <c r="I84" s="2259"/>
      <c r="J84" s="2259"/>
      <c r="K84" s="2259"/>
      <c r="S84" s="2277"/>
      <c r="T84" s="2218"/>
      <c r="U84" s="2280"/>
      <c r="V84" s="2281"/>
      <c r="W84" s="2261"/>
      <c r="X84" s="2277"/>
    </row>
    <row r="85" spans="1:24">
      <c r="A85" s="2255">
        <v>44515.291666666701</v>
      </c>
      <c r="B85" s="2276">
        <f t="shared" si="3"/>
        <v>-1.3146362839614373E-2</v>
      </c>
      <c r="C85" s="2258">
        <v>22520</v>
      </c>
      <c r="D85" s="2276">
        <f t="shared" si="4"/>
        <v>-4.825585775634747E-2</v>
      </c>
      <c r="E85" s="2258">
        <v>25265</v>
      </c>
      <c r="F85" s="2276">
        <f t="shared" si="5"/>
        <v>-5.3921568627450983E-2</v>
      </c>
      <c r="G85" s="2258">
        <v>193</v>
      </c>
      <c r="H85" s="2259"/>
      <c r="I85" s="2259"/>
      <c r="J85" s="2259"/>
      <c r="K85" s="2259"/>
      <c r="S85" s="2277"/>
      <c r="T85" s="2218"/>
      <c r="U85" s="2280"/>
      <c r="V85" s="2281"/>
      <c r="W85" s="2261"/>
      <c r="X85" s="2277"/>
    </row>
    <row r="86" spans="1:24">
      <c r="A86" s="2255">
        <v>44516.291666666701</v>
      </c>
      <c r="B86" s="2276">
        <f t="shared" si="3"/>
        <v>-1.3146362839614373E-2</v>
      </c>
      <c r="C86" s="2258">
        <v>22520</v>
      </c>
      <c r="D86" s="2276">
        <f t="shared" si="4"/>
        <v>-5.5224892639192343E-2</v>
      </c>
      <c r="E86" s="2258">
        <v>25080</v>
      </c>
      <c r="F86" s="2276">
        <f t="shared" si="5"/>
        <v>-5.8823529411764705E-2</v>
      </c>
      <c r="G86" s="2258">
        <v>192</v>
      </c>
      <c r="H86" s="2259"/>
      <c r="I86" s="2259"/>
      <c r="J86" s="2259"/>
      <c r="K86" s="2259"/>
      <c r="S86" s="2277"/>
      <c r="T86" s="2218"/>
      <c r="U86" s="2280"/>
      <c r="V86" s="2281"/>
      <c r="W86" s="2261"/>
      <c r="X86" s="2277"/>
    </row>
    <row r="87" spans="1:24">
      <c r="A87" s="2255">
        <v>44517.291666666701</v>
      </c>
      <c r="B87" s="2276">
        <f t="shared" si="3"/>
        <v>-1.3146362839614373E-2</v>
      </c>
      <c r="C87" s="2258">
        <v>22520</v>
      </c>
      <c r="D87" s="2276">
        <f t="shared" si="4"/>
        <v>-5.8878927145332632E-2</v>
      </c>
      <c r="E87" s="2258">
        <v>24983</v>
      </c>
      <c r="F87" s="2276">
        <f t="shared" si="5"/>
        <v>-6.3725490196078427E-2</v>
      </c>
      <c r="G87" s="2258">
        <v>191</v>
      </c>
      <c r="H87" s="2259"/>
      <c r="I87" s="2259"/>
      <c r="J87" s="2259"/>
      <c r="K87" s="2259"/>
      <c r="S87" s="2277"/>
      <c r="T87" s="2218"/>
      <c r="U87" s="2280"/>
      <c r="V87" s="2281"/>
      <c r="W87" s="2261"/>
      <c r="X87" s="2277"/>
    </row>
    <row r="88" spans="1:24">
      <c r="A88" s="2255">
        <v>44518.291666666701</v>
      </c>
      <c r="B88" s="2276">
        <f t="shared" si="3"/>
        <v>-1.3146362839614373E-2</v>
      </c>
      <c r="C88" s="2258">
        <v>22520</v>
      </c>
      <c r="D88" s="2276">
        <f t="shared" si="4"/>
        <v>-5.8878927145332632E-2</v>
      </c>
      <c r="E88" s="2258">
        <v>24983</v>
      </c>
      <c r="F88" s="2276">
        <f t="shared" si="5"/>
        <v>-5.8823529411764705E-2</v>
      </c>
      <c r="G88" s="2258">
        <v>192</v>
      </c>
      <c r="H88" s="2259"/>
      <c r="I88" s="2259"/>
      <c r="J88" s="2259"/>
      <c r="K88" s="2259"/>
      <c r="S88" s="2277"/>
      <c r="T88" s="2218"/>
      <c r="U88" s="2280"/>
      <c r="V88" s="2281"/>
      <c r="W88" s="2261"/>
      <c r="X88" s="2277"/>
    </row>
    <row r="89" spans="1:24">
      <c r="A89" s="2255">
        <v>44519.291666666701</v>
      </c>
      <c r="B89" s="2276">
        <f t="shared" si="3"/>
        <v>-1.2927256792287466E-2</v>
      </c>
      <c r="C89" s="2258">
        <v>22525</v>
      </c>
      <c r="D89" s="2276">
        <f t="shared" si="4"/>
        <v>-5.4509153921494767E-2</v>
      </c>
      <c r="E89" s="2258">
        <v>25099</v>
      </c>
      <c r="F89" s="2276">
        <f t="shared" si="5"/>
        <v>-5.8823529411764705E-2</v>
      </c>
      <c r="G89" s="2258">
        <v>192</v>
      </c>
      <c r="H89" s="2259"/>
      <c r="I89" s="2259"/>
      <c r="J89" s="2259"/>
      <c r="K89" s="2259"/>
      <c r="S89" s="2277"/>
      <c r="T89" s="2218"/>
      <c r="U89" s="2280"/>
      <c r="V89" s="2281"/>
      <c r="W89" s="2261"/>
      <c r="X89" s="2277"/>
    </row>
    <row r="90" spans="1:24">
      <c r="A90" s="2255">
        <v>44522.291666666701</v>
      </c>
      <c r="B90" s="2276">
        <f t="shared" si="3"/>
        <v>-1.2269938650306749E-2</v>
      </c>
      <c r="C90" s="2258">
        <v>22540</v>
      </c>
      <c r="D90" s="2276">
        <f t="shared" si="4"/>
        <v>-6.1628870639644388E-2</v>
      </c>
      <c r="E90" s="2258">
        <v>24910</v>
      </c>
      <c r="F90" s="2276">
        <f t="shared" si="5"/>
        <v>-5.3921568627450983E-2</v>
      </c>
      <c r="G90" s="2258">
        <v>193</v>
      </c>
      <c r="H90" s="2259"/>
      <c r="I90" s="2259"/>
      <c r="J90" s="2259"/>
      <c r="K90" s="2259"/>
      <c r="S90" s="2277"/>
      <c r="T90" s="2218"/>
      <c r="U90" s="2280"/>
      <c r="V90" s="2281"/>
      <c r="W90" s="2261"/>
      <c r="X90" s="2277"/>
    </row>
    <row r="91" spans="1:24">
      <c r="A91" s="2255">
        <v>44523.291666666701</v>
      </c>
      <c r="B91" s="2276">
        <f t="shared" si="3"/>
        <v>-1.2050832602979842E-2</v>
      </c>
      <c r="C91" s="2258">
        <v>22545</v>
      </c>
      <c r="D91" s="2276">
        <f t="shared" si="4"/>
        <v>-6.4341143675129969E-2</v>
      </c>
      <c r="E91" s="2258">
        <v>24838</v>
      </c>
      <c r="F91" s="2276">
        <f t="shared" si="5"/>
        <v>-5.8823529411764705E-2</v>
      </c>
      <c r="G91" s="2258">
        <v>192</v>
      </c>
      <c r="H91" s="2259"/>
      <c r="I91" s="2259"/>
      <c r="J91" s="2259"/>
      <c r="K91" s="2259"/>
      <c r="S91" s="2277"/>
      <c r="T91" s="2218"/>
      <c r="U91" s="2280"/>
      <c r="V91" s="2281"/>
      <c r="W91" s="2261"/>
      <c r="X91" s="2277"/>
    </row>
    <row r="92" spans="1:24">
      <c r="A92" s="2255">
        <v>44524.291666666701</v>
      </c>
      <c r="B92" s="2276">
        <f t="shared" si="3"/>
        <v>-1.1612620508326029E-2</v>
      </c>
      <c r="C92" s="2258">
        <v>22555</v>
      </c>
      <c r="D92" s="2276">
        <f t="shared" si="4"/>
        <v>-6.4002109545694269E-2</v>
      </c>
      <c r="E92" s="2258">
        <v>24847</v>
      </c>
      <c r="F92" s="2276">
        <f t="shared" si="5"/>
        <v>-6.3725490196078427E-2</v>
      </c>
      <c r="G92" s="2258">
        <v>191</v>
      </c>
      <c r="H92" s="2259"/>
      <c r="I92" s="2259"/>
      <c r="J92" s="2259"/>
      <c r="K92" s="2259"/>
      <c r="S92" s="2277"/>
      <c r="T92" s="2218"/>
      <c r="U92" s="2280"/>
      <c r="V92" s="2281"/>
      <c r="W92" s="2261"/>
      <c r="X92" s="2277"/>
    </row>
    <row r="93" spans="1:24">
      <c r="A93" s="2255">
        <v>44525.291666666701</v>
      </c>
      <c r="B93" s="2276">
        <f t="shared" si="3"/>
        <v>-1.2050832602979842E-2</v>
      </c>
      <c r="C93" s="2258">
        <v>22545</v>
      </c>
      <c r="D93" s="2276">
        <f t="shared" si="4"/>
        <v>-6.6940405334136976E-2</v>
      </c>
      <c r="E93" s="2258">
        <v>24769</v>
      </c>
      <c r="F93" s="2276">
        <f t="shared" si="5"/>
        <v>-6.3725490196078427E-2</v>
      </c>
      <c r="G93" s="2258">
        <v>191</v>
      </c>
      <c r="H93" s="2259"/>
      <c r="I93" s="2259"/>
      <c r="J93" s="2259"/>
      <c r="K93" s="2259"/>
      <c r="S93" s="2277"/>
      <c r="T93" s="2218"/>
      <c r="U93" s="2280"/>
      <c r="V93" s="2281"/>
      <c r="W93" s="2261"/>
      <c r="X93" s="2277"/>
    </row>
    <row r="94" spans="1:24">
      <c r="A94" s="2255">
        <v>44526.291666666701</v>
      </c>
      <c r="B94" s="2276">
        <f t="shared" si="3"/>
        <v>-1.2050832602979842E-2</v>
      </c>
      <c r="C94" s="2258">
        <v>22545</v>
      </c>
      <c r="D94" s="2276">
        <f t="shared" si="4"/>
        <v>-6.6676712122353654E-2</v>
      </c>
      <c r="E94" s="2258">
        <v>24776</v>
      </c>
      <c r="F94" s="2276">
        <f t="shared" si="5"/>
        <v>-6.3725490196078427E-2</v>
      </c>
      <c r="G94" s="2258">
        <v>191</v>
      </c>
      <c r="H94" s="2259"/>
      <c r="I94" s="2259"/>
      <c r="J94" s="2259"/>
      <c r="K94" s="2259"/>
      <c r="S94" s="2277"/>
      <c r="T94" s="2218"/>
      <c r="U94" s="2280"/>
      <c r="V94" s="2281"/>
      <c r="W94" s="2261"/>
      <c r="X94" s="2277"/>
    </row>
    <row r="95" spans="1:24">
      <c r="A95" s="2255">
        <v>44529.291666666701</v>
      </c>
      <c r="B95" s="2276">
        <f t="shared" si="3"/>
        <v>-1.1393514460999123E-2</v>
      </c>
      <c r="C95" s="2258">
        <v>22560</v>
      </c>
      <c r="D95" s="2276">
        <f t="shared" si="4"/>
        <v>-6.0385745498380168E-2</v>
      </c>
      <c r="E95" s="2258">
        <v>24943</v>
      </c>
      <c r="F95" s="2276">
        <f t="shared" si="5"/>
        <v>-4.9019607843137254E-2</v>
      </c>
      <c r="G95" s="2258">
        <v>194</v>
      </c>
      <c r="H95" s="2259"/>
      <c r="I95" s="2259"/>
      <c r="J95" s="2259"/>
      <c r="K95" s="2259"/>
      <c r="S95" s="2277"/>
      <c r="T95" s="2218"/>
      <c r="U95" s="2280"/>
      <c r="V95" s="2281"/>
      <c r="W95" s="2261"/>
      <c r="X95" s="2277"/>
    </row>
    <row r="96" spans="1:24">
      <c r="A96" s="2255">
        <v>44530.291666666701</v>
      </c>
      <c r="B96" s="2276">
        <f t="shared" si="3"/>
        <v>-1.0955302366345312E-2</v>
      </c>
      <c r="C96" s="2258">
        <v>22570</v>
      </c>
      <c r="D96" s="2276">
        <f t="shared" si="4"/>
        <v>-5.7635802004068412E-2</v>
      </c>
      <c r="E96" s="2258">
        <v>25016</v>
      </c>
      <c r="F96" s="2276">
        <f t="shared" si="5"/>
        <v>-4.9019607843137254E-2</v>
      </c>
      <c r="G96" s="2258">
        <v>194</v>
      </c>
      <c r="H96" s="2259"/>
      <c r="I96" s="2259"/>
      <c r="J96" s="2259"/>
      <c r="K96" s="2259"/>
      <c r="S96" s="2277"/>
      <c r="T96" s="2218"/>
      <c r="U96" s="2280"/>
      <c r="V96" s="2281"/>
      <c r="W96" s="2261"/>
      <c r="X96" s="2277"/>
    </row>
    <row r="97" spans="1:24">
      <c r="A97" s="2255">
        <v>44531.291666666701</v>
      </c>
      <c r="B97" s="2276">
        <f t="shared" si="3"/>
        <v>-1.0517090271691499E-2</v>
      </c>
      <c r="C97" s="2258">
        <v>22580</v>
      </c>
      <c r="D97" s="2276">
        <f t="shared" si="4"/>
        <v>-5.4735176674451894E-2</v>
      </c>
      <c r="E97" s="2258">
        <v>25093</v>
      </c>
      <c r="F97" s="2276">
        <f t="shared" si="5"/>
        <v>-4.9019607843137254E-2</v>
      </c>
      <c r="G97" s="2258">
        <v>194</v>
      </c>
      <c r="H97" s="2259"/>
      <c r="I97" s="2259"/>
      <c r="J97" s="2259"/>
      <c r="K97" s="2259"/>
      <c r="S97" s="2277"/>
      <c r="T97" s="2218"/>
      <c r="U97" s="2280"/>
      <c r="V97" s="2281"/>
      <c r="W97" s="2261"/>
      <c r="X97" s="2277"/>
    </row>
    <row r="98" spans="1:24">
      <c r="A98" s="2255">
        <v>44532.291666666701</v>
      </c>
      <c r="B98" s="2276">
        <f t="shared" si="3"/>
        <v>-9.6406660823838732E-3</v>
      </c>
      <c r="C98" s="2258">
        <v>22600</v>
      </c>
      <c r="D98" s="2276">
        <f t="shared" si="4"/>
        <v>-5.5902960898063736E-2</v>
      </c>
      <c r="E98" s="2258">
        <v>25062</v>
      </c>
      <c r="F98" s="2276">
        <f t="shared" si="5"/>
        <v>-4.4117647058823532E-2</v>
      </c>
      <c r="G98" s="2258">
        <v>195</v>
      </c>
      <c r="H98" s="2259"/>
      <c r="I98" s="2259"/>
      <c r="J98" s="2259"/>
      <c r="K98" s="2259"/>
      <c r="S98" s="2277"/>
      <c r="T98" s="2218"/>
      <c r="U98" s="2280"/>
      <c r="V98" s="2281"/>
      <c r="W98" s="2261"/>
      <c r="X98" s="2277"/>
    </row>
    <row r="99" spans="1:24">
      <c r="A99" s="2255">
        <v>44533.291666666701</v>
      </c>
      <c r="B99" s="2276">
        <f t="shared" si="3"/>
        <v>-6.5731814198071864E-3</v>
      </c>
      <c r="C99" s="2258">
        <v>22670</v>
      </c>
      <c r="D99" s="2276">
        <f t="shared" si="4"/>
        <v>-5.4320801627363823E-2</v>
      </c>
      <c r="E99" s="2258">
        <v>25104</v>
      </c>
      <c r="F99" s="2276">
        <f t="shared" si="5"/>
        <v>-4.4117647058823532E-2</v>
      </c>
      <c r="G99" s="2258">
        <v>195</v>
      </c>
      <c r="H99" s="2259"/>
      <c r="I99" s="2259"/>
      <c r="J99" s="2259"/>
      <c r="K99" s="2259"/>
      <c r="S99" s="2277"/>
      <c r="T99" s="2218"/>
      <c r="U99" s="2280"/>
      <c r="V99" s="2281"/>
      <c r="W99" s="2261"/>
      <c r="X99" s="2277"/>
    </row>
    <row r="100" spans="1:24">
      <c r="A100" s="2255">
        <v>44536.291666666701</v>
      </c>
      <c r="B100" s="2276">
        <f t="shared" si="3"/>
        <v>5.6967572304995615E-3</v>
      </c>
      <c r="C100" s="2258">
        <v>22950</v>
      </c>
      <c r="D100" s="2276">
        <f t="shared" si="4"/>
        <v>-4.279364122655014E-2</v>
      </c>
      <c r="E100" s="2258">
        <v>25410</v>
      </c>
      <c r="F100" s="2276">
        <f t="shared" si="5"/>
        <v>-2.9411764705882353E-2</v>
      </c>
      <c r="G100" s="2258">
        <v>198</v>
      </c>
      <c r="H100" s="2259"/>
      <c r="I100" s="2259"/>
      <c r="J100" s="2259"/>
      <c r="K100" s="2259"/>
      <c r="S100" s="2277"/>
      <c r="T100" s="2218"/>
      <c r="U100" s="2280"/>
      <c r="V100" s="2281"/>
      <c r="W100" s="2261"/>
      <c r="X100" s="2277"/>
    </row>
    <row r="101" spans="1:24">
      <c r="A101" s="2255">
        <v>44537.291666666701</v>
      </c>
      <c r="B101" s="2276">
        <f t="shared" si="3"/>
        <v>4.8203330411919366E-3</v>
      </c>
      <c r="C101" s="2258">
        <v>22930</v>
      </c>
      <c r="D101" s="2276">
        <f t="shared" si="4"/>
        <v>-4.3622391320726289E-2</v>
      </c>
      <c r="E101" s="2258">
        <v>25388</v>
      </c>
      <c r="F101" s="2276">
        <f t="shared" si="5"/>
        <v>-3.4313725490196081E-2</v>
      </c>
      <c r="G101" s="2258">
        <v>197</v>
      </c>
      <c r="H101" s="2259"/>
      <c r="I101" s="2259"/>
      <c r="J101" s="2259"/>
      <c r="K101" s="2259"/>
      <c r="S101" s="2277"/>
      <c r="T101" s="2218"/>
      <c r="U101" s="2280"/>
      <c r="V101" s="2281"/>
      <c r="W101" s="2261"/>
      <c r="X101" s="2277"/>
    </row>
    <row r="102" spans="1:24">
      <c r="A102" s="2255">
        <v>44538.291666666701</v>
      </c>
      <c r="B102" s="2276">
        <f t="shared" si="3"/>
        <v>-4.3821209465381246E-4</v>
      </c>
      <c r="C102" s="2258">
        <v>22810</v>
      </c>
      <c r="D102" s="2276">
        <f t="shared" si="4"/>
        <v>-4.8858585097566486E-2</v>
      </c>
      <c r="E102" s="2258">
        <v>25249</v>
      </c>
      <c r="F102" s="2276">
        <f t="shared" si="5"/>
        <v>-3.9215686274509803E-2</v>
      </c>
      <c r="G102" s="2258">
        <v>196</v>
      </c>
      <c r="H102" s="2259"/>
      <c r="I102" s="2259"/>
      <c r="J102" s="2259"/>
      <c r="K102" s="2259"/>
      <c r="S102" s="2277"/>
      <c r="T102" s="2218"/>
      <c r="U102" s="2280"/>
      <c r="V102" s="2281"/>
      <c r="W102" s="2261"/>
      <c r="X102" s="2277"/>
    </row>
    <row r="103" spans="1:24">
      <c r="A103" s="2255">
        <v>44539.291666666701</v>
      </c>
      <c r="B103" s="2276">
        <f t="shared" si="3"/>
        <v>4.3821209465381246E-4</v>
      </c>
      <c r="C103" s="2258">
        <v>22830</v>
      </c>
      <c r="D103" s="2276">
        <f t="shared" si="4"/>
        <v>-4.5242221050252392E-2</v>
      </c>
      <c r="E103" s="2258">
        <v>25345</v>
      </c>
      <c r="F103" s="2276">
        <f t="shared" si="5"/>
        <v>-3.9215686274509803E-2</v>
      </c>
      <c r="G103" s="2258">
        <v>196</v>
      </c>
      <c r="H103" s="2259"/>
      <c r="I103" s="2259"/>
      <c r="J103" s="2259"/>
      <c r="K103" s="2259"/>
      <c r="S103" s="2277"/>
      <c r="T103" s="2218"/>
      <c r="U103" s="2280"/>
      <c r="V103" s="2281"/>
      <c r="W103" s="2261"/>
      <c r="X103" s="2277"/>
    </row>
    <row r="104" spans="1:24">
      <c r="A104" s="2255">
        <v>44540.291666666701</v>
      </c>
      <c r="B104" s="2276">
        <f t="shared" si="3"/>
        <v>4.3821209465381246E-4</v>
      </c>
      <c r="C104" s="2258">
        <v>22830</v>
      </c>
      <c r="D104" s="2276">
        <f t="shared" si="4"/>
        <v>-4.7427107662171328E-2</v>
      </c>
      <c r="E104" s="2258">
        <v>25287</v>
      </c>
      <c r="F104" s="2276">
        <f t="shared" si="5"/>
        <v>-3.9215686274509803E-2</v>
      </c>
      <c r="G104" s="2258">
        <v>196</v>
      </c>
      <c r="H104" s="2262">
        <v>4.2999999999999997E-2</v>
      </c>
      <c r="I104" s="2262">
        <v>0.06</v>
      </c>
      <c r="J104" s="2262">
        <v>9.2999999999999999E-2</v>
      </c>
      <c r="K104" s="2262">
        <v>3.3000000000000002E-2</v>
      </c>
      <c r="S104" s="2277"/>
      <c r="T104" s="2218"/>
      <c r="U104" s="2280"/>
      <c r="V104" s="2281"/>
      <c r="W104" s="2261"/>
      <c r="X104" s="2277"/>
    </row>
    <row r="105" spans="1:24">
      <c r="A105" s="2255">
        <v>44543.291666666701</v>
      </c>
      <c r="B105" s="2276">
        <f t="shared" si="3"/>
        <v>0</v>
      </c>
      <c r="C105" s="2258">
        <v>22820</v>
      </c>
      <c r="D105" s="2276">
        <f t="shared" si="4"/>
        <v>-4.6673698485647556E-2</v>
      </c>
      <c r="E105" s="2258">
        <v>25307</v>
      </c>
      <c r="F105" s="2276">
        <f t="shared" si="5"/>
        <v>-3.9215686274509803E-2</v>
      </c>
      <c r="G105" s="2258">
        <v>196</v>
      </c>
      <c r="H105" s="2259"/>
      <c r="I105" s="2259"/>
      <c r="J105" s="2259"/>
      <c r="K105" s="2259"/>
      <c r="S105" s="2277"/>
      <c r="T105" s="2218"/>
      <c r="U105" s="2280"/>
      <c r="V105" s="2281"/>
      <c r="W105" s="2261"/>
      <c r="X105" s="2277"/>
    </row>
    <row r="106" spans="1:24">
      <c r="A106" s="2255">
        <v>44544.291666666701</v>
      </c>
      <c r="B106" s="2276">
        <f t="shared" si="3"/>
        <v>8.7642418930762491E-4</v>
      </c>
      <c r="C106" s="2258">
        <v>22840</v>
      </c>
      <c r="D106" s="2276">
        <f t="shared" si="4"/>
        <v>-4.9235289685828375E-2</v>
      </c>
      <c r="E106" s="2258">
        <v>25239</v>
      </c>
      <c r="F106" s="2276">
        <f t="shared" si="5"/>
        <v>-3.9215686274509803E-2</v>
      </c>
      <c r="G106" s="2258">
        <v>196</v>
      </c>
      <c r="H106" s="2259"/>
      <c r="I106" s="2259"/>
      <c r="J106" s="2259"/>
      <c r="K106" s="2259"/>
      <c r="S106" s="2277"/>
      <c r="T106" s="2218"/>
      <c r="U106" s="2280"/>
      <c r="V106" s="2281"/>
      <c r="W106" s="2261"/>
      <c r="X106" s="2277"/>
    </row>
    <row r="107" spans="1:24">
      <c r="A107" s="2255">
        <v>44545.291666666701</v>
      </c>
      <c r="B107" s="2276">
        <f t="shared" si="3"/>
        <v>2.1910604732690623E-3</v>
      </c>
      <c r="C107" s="2258">
        <v>22870</v>
      </c>
      <c r="D107" s="2276">
        <f t="shared" si="4"/>
        <v>-4.8481880509304603E-2</v>
      </c>
      <c r="E107" s="2258">
        <v>25259</v>
      </c>
      <c r="F107" s="2276">
        <f t="shared" si="5"/>
        <v>-3.9215686274509803E-2</v>
      </c>
      <c r="G107" s="2258">
        <v>196</v>
      </c>
      <c r="H107" s="2259"/>
      <c r="I107" s="2259"/>
      <c r="J107" s="2259"/>
      <c r="K107" s="2259"/>
      <c r="S107" s="2277"/>
      <c r="T107" s="2218"/>
      <c r="U107" s="2280"/>
      <c r="V107" s="2281"/>
      <c r="W107" s="2261"/>
      <c r="X107" s="2277"/>
    </row>
    <row r="108" spans="1:24">
      <c r="A108" s="2255">
        <v>44546.291666666701</v>
      </c>
      <c r="B108" s="2276">
        <f t="shared" si="3"/>
        <v>1.3146362839614374E-3</v>
      </c>
      <c r="C108" s="2258">
        <v>22850</v>
      </c>
      <c r="D108" s="2276">
        <f t="shared" si="4"/>
        <v>-4.4752505085511943E-2</v>
      </c>
      <c r="E108" s="2258">
        <v>25358</v>
      </c>
      <c r="F108" s="2276">
        <f t="shared" si="5"/>
        <v>-3.9215686274509803E-2</v>
      </c>
      <c r="G108" s="2258">
        <v>196</v>
      </c>
      <c r="H108" s="2259"/>
      <c r="I108" s="2259"/>
      <c r="J108" s="2259"/>
      <c r="K108" s="2259"/>
      <c r="S108" s="2277"/>
      <c r="T108" s="2218"/>
      <c r="U108" s="2280"/>
      <c r="V108" s="2281"/>
      <c r="W108" s="2261"/>
      <c r="X108" s="2277"/>
    </row>
    <row r="109" spans="1:24">
      <c r="A109" s="2255">
        <v>44547.291666666701</v>
      </c>
      <c r="B109" s="2276">
        <f t="shared" si="3"/>
        <v>-1.3146362839614374E-3</v>
      </c>
      <c r="C109" s="2258">
        <v>22790</v>
      </c>
      <c r="D109" s="2276">
        <f t="shared" si="4"/>
        <v>-4.4903186920816698E-2</v>
      </c>
      <c r="E109" s="2258">
        <v>25354</v>
      </c>
      <c r="F109" s="2276">
        <f t="shared" si="5"/>
        <v>-3.9215686274509803E-2</v>
      </c>
      <c r="G109" s="2258">
        <v>196</v>
      </c>
      <c r="H109" s="2259"/>
      <c r="I109" s="2259"/>
      <c r="J109" s="2259"/>
      <c r="K109" s="2259"/>
      <c r="S109" s="2277"/>
      <c r="T109" s="2218"/>
      <c r="U109" s="2280"/>
      <c r="V109" s="2281"/>
      <c r="W109" s="2261"/>
      <c r="X109" s="2277"/>
    </row>
    <row r="110" spans="1:24">
      <c r="A110" s="2255">
        <v>44550.291666666701</v>
      </c>
      <c r="B110" s="2276">
        <f t="shared" si="3"/>
        <v>-2.6292725679228747E-3</v>
      </c>
      <c r="C110" s="2258">
        <v>22760</v>
      </c>
      <c r="D110" s="2276">
        <f t="shared" si="4"/>
        <v>-5.4132449333232878E-2</v>
      </c>
      <c r="E110" s="2258">
        <v>25109</v>
      </c>
      <c r="F110" s="2276">
        <f t="shared" si="5"/>
        <v>-3.9215686274509803E-2</v>
      </c>
      <c r="G110" s="2258">
        <v>196</v>
      </c>
      <c r="H110" s="2259"/>
      <c r="I110" s="2259"/>
      <c r="J110" s="2259"/>
      <c r="K110" s="2259"/>
      <c r="S110" s="2277"/>
      <c r="T110" s="2218"/>
      <c r="U110" s="2280"/>
      <c r="V110" s="2281"/>
      <c r="W110" s="2261"/>
      <c r="X110" s="2277"/>
    </row>
    <row r="111" spans="1:24">
      <c r="A111" s="2255">
        <v>44551.291666666701</v>
      </c>
      <c r="B111" s="2276">
        <f t="shared" si="3"/>
        <v>-3.9439088518843117E-3</v>
      </c>
      <c r="C111" s="2258">
        <v>22730</v>
      </c>
      <c r="D111" s="2276">
        <f t="shared" si="4"/>
        <v>-5.202290363896632E-2</v>
      </c>
      <c r="E111" s="2258">
        <v>25165</v>
      </c>
      <c r="F111" s="2276">
        <f t="shared" si="5"/>
        <v>-4.4117647058823532E-2</v>
      </c>
      <c r="G111" s="2258">
        <v>195</v>
      </c>
      <c r="H111" s="2259"/>
      <c r="I111" s="2259"/>
      <c r="J111" s="2259"/>
      <c r="K111" s="2259"/>
      <c r="S111" s="2277"/>
      <c r="T111" s="2218"/>
      <c r="U111" s="2280"/>
      <c r="V111" s="2281"/>
      <c r="W111" s="2261"/>
      <c r="X111" s="2277"/>
    </row>
    <row r="112" spans="1:24">
      <c r="A112" s="2255">
        <v>44552.291666666701</v>
      </c>
      <c r="B112" s="2276">
        <f t="shared" si="3"/>
        <v>-1.7528483786152498E-3</v>
      </c>
      <c r="C112" s="2258">
        <v>22780</v>
      </c>
      <c r="D112" s="2276">
        <f t="shared" si="4"/>
        <v>-5.0101710238830706E-2</v>
      </c>
      <c r="E112" s="2258">
        <v>25216</v>
      </c>
      <c r="F112" s="2276">
        <f t="shared" si="5"/>
        <v>-4.4117647058823532E-2</v>
      </c>
      <c r="G112" s="2258">
        <v>195</v>
      </c>
      <c r="H112" s="2259"/>
      <c r="I112" s="2259"/>
      <c r="J112" s="2259"/>
      <c r="K112" s="2259"/>
      <c r="S112" s="2277"/>
      <c r="T112" s="2218"/>
      <c r="U112" s="2280"/>
      <c r="V112" s="2281"/>
      <c r="W112" s="2261"/>
      <c r="X112" s="2277"/>
    </row>
    <row r="113" spans="1:24">
      <c r="A113" s="2255">
        <v>44553.291666666701</v>
      </c>
      <c r="B113" s="2276">
        <f t="shared" si="3"/>
        <v>-1.5337423312883436E-3</v>
      </c>
      <c r="C113" s="2258">
        <v>22785</v>
      </c>
      <c r="D113" s="2276">
        <f t="shared" si="4"/>
        <v>-4.4978527838469069E-2</v>
      </c>
      <c r="E113" s="2258">
        <v>25352</v>
      </c>
      <c r="F113" s="2276">
        <f t="shared" si="5"/>
        <v>-4.4117647058823532E-2</v>
      </c>
      <c r="G113" s="2258">
        <v>195</v>
      </c>
      <c r="H113" s="2259"/>
      <c r="I113" s="2259"/>
      <c r="J113" s="2259"/>
      <c r="K113" s="2259"/>
      <c r="S113" s="2277"/>
      <c r="T113" s="2218"/>
      <c r="U113" s="2280"/>
      <c r="V113" s="2281"/>
      <c r="W113" s="2261"/>
      <c r="X113" s="2277"/>
    </row>
    <row r="114" spans="1:24">
      <c r="A114" s="2255">
        <v>44554.291666666701</v>
      </c>
      <c r="B114" s="2276">
        <f t="shared" si="3"/>
        <v>-5.2585451358457495E-3</v>
      </c>
      <c r="C114" s="2258">
        <v>22700</v>
      </c>
      <c r="D114" s="2276">
        <f t="shared" si="4"/>
        <v>-4.8971596474045052E-2</v>
      </c>
      <c r="E114" s="2258">
        <v>25246</v>
      </c>
      <c r="F114" s="2276">
        <f t="shared" si="5"/>
        <v>-4.9019607843137254E-2</v>
      </c>
      <c r="G114" s="2258">
        <v>194</v>
      </c>
      <c r="H114" s="2259"/>
      <c r="I114" s="2259"/>
      <c r="J114" s="2259"/>
      <c r="K114" s="2259"/>
      <c r="S114" s="2277"/>
      <c r="T114" s="2218"/>
      <c r="U114" s="2280"/>
      <c r="V114" s="2281"/>
      <c r="W114" s="2261"/>
      <c r="X114" s="2277"/>
    </row>
    <row r="115" spans="1:24">
      <c r="A115" s="2255">
        <v>44557.291666666701</v>
      </c>
      <c r="B115" s="2276">
        <f t="shared" si="3"/>
        <v>-8.7642418930762491E-3</v>
      </c>
      <c r="C115" s="2258">
        <v>22620</v>
      </c>
      <c r="D115" s="2276">
        <f t="shared" si="4"/>
        <v>-5.2889324191968658E-2</v>
      </c>
      <c r="E115" s="2258">
        <v>25142</v>
      </c>
      <c r="F115" s="2276">
        <f t="shared" si="5"/>
        <v>-5.3921568627450983E-2</v>
      </c>
      <c r="G115" s="2258">
        <v>193</v>
      </c>
      <c r="H115" s="2259"/>
      <c r="I115" s="2259"/>
      <c r="J115" s="2259"/>
      <c r="K115" s="2259"/>
      <c r="S115" s="2277"/>
      <c r="T115" s="2218"/>
      <c r="U115" s="2280"/>
      <c r="V115" s="2281"/>
      <c r="W115" s="2261"/>
      <c r="X115" s="2277"/>
    </row>
    <row r="116" spans="1:24">
      <c r="A116" s="2255">
        <v>44558.291666666701</v>
      </c>
      <c r="B116" s="2276">
        <f t="shared" si="3"/>
        <v>-6.5731814198071864E-3</v>
      </c>
      <c r="C116" s="2258">
        <v>22670</v>
      </c>
      <c r="D116" s="2276">
        <f t="shared" si="4"/>
        <v>-5.0892789874180666E-2</v>
      </c>
      <c r="E116" s="2258">
        <v>25195</v>
      </c>
      <c r="F116" s="2276">
        <f t="shared" si="5"/>
        <v>-5.3921568627450983E-2</v>
      </c>
      <c r="G116" s="2258">
        <v>193</v>
      </c>
      <c r="H116" s="2259"/>
      <c r="I116" s="2259"/>
      <c r="J116" s="2259"/>
      <c r="K116" s="2259"/>
      <c r="S116" s="2277"/>
      <c r="T116" s="2218"/>
      <c r="U116" s="2280"/>
      <c r="V116" s="2281"/>
      <c r="W116" s="2261"/>
      <c r="X116" s="2277"/>
    </row>
    <row r="117" spans="1:24">
      <c r="A117" s="2255">
        <v>44559.291666666701</v>
      </c>
      <c r="B117" s="2276">
        <f t="shared" si="3"/>
        <v>-6.5731814198071864E-3</v>
      </c>
      <c r="C117" s="2258">
        <v>22670</v>
      </c>
      <c r="D117" s="2276">
        <f t="shared" si="4"/>
        <v>-5.2060574097792509E-2</v>
      </c>
      <c r="E117" s="2258">
        <v>25164</v>
      </c>
      <c r="F117" s="2276">
        <f t="shared" si="5"/>
        <v>-5.3921568627450983E-2</v>
      </c>
      <c r="G117" s="2258">
        <v>193</v>
      </c>
      <c r="H117" s="2259"/>
      <c r="I117" s="2259"/>
      <c r="J117" s="2259"/>
      <c r="K117" s="2259"/>
      <c r="S117" s="2277"/>
      <c r="T117" s="2218"/>
      <c r="U117" s="2280"/>
      <c r="V117" s="2281"/>
      <c r="W117" s="2261"/>
      <c r="X117" s="2277"/>
    </row>
    <row r="118" spans="1:24">
      <c r="A118" s="2255">
        <v>44560.291666666701</v>
      </c>
      <c r="B118" s="2276">
        <f t="shared" si="3"/>
        <v>-9.202453987730062E-3</v>
      </c>
      <c r="C118" s="2258">
        <v>22610</v>
      </c>
      <c r="D118" s="2276">
        <f t="shared" si="4"/>
        <v>-5.5074210803887594E-2</v>
      </c>
      <c r="E118" s="2258">
        <v>25084</v>
      </c>
      <c r="F118" s="2276">
        <f t="shared" si="5"/>
        <v>-5.8823529411764705E-2</v>
      </c>
      <c r="G118" s="2258">
        <v>192</v>
      </c>
      <c r="H118" s="2259"/>
      <c r="I118" s="2259"/>
      <c r="J118" s="2259"/>
      <c r="K118" s="2259"/>
      <c r="S118" s="2277"/>
      <c r="T118" s="2218"/>
      <c r="U118" s="2280"/>
      <c r="V118" s="2281"/>
      <c r="W118" s="2261"/>
      <c r="X118" s="2277"/>
    </row>
    <row r="119" spans="1:24">
      <c r="A119" s="2255">
        <v>44561.291666666701</v>
      </c>
      <c r="B119" s="2276">
        <f t="shared" si="3"/>
        <v>-9.202453987730062E-3</v>
      </c>
      <c r="C119" s="2258">
        <v>22610</v>
      </c>
      <c r="D119" s="2276">
        <f t="shared" si="4"/>
        <v>-5.3077676486099602E-2</v>
      </c>
      <c r="E119" s="2258">
        <v>25137</v>
      </c>
      <c r="F119" s="2276">
        <f t="shared" si="5"/>
        <v>-5.8823529411764705E-2</v>
      </c>
      <c r="G119" s="2258">
        <v>192</v>
      </c>
      <c r="H119" s="2259"/>
      <c r="I119" s="2259"/>
      <c r="J119" s="2259"/>
      <c r="K119" s="2259"/>
      <c r="S119" s="2277"/>
      <c r="T119" s="2218"/>
      <c r="U119" s="2280"/>
      <c r="V119" s="2281"/>
      <c r="W119" s="2261"/>
      <c r="X119" s="2277"/>
    </row>
    <row r="120" spans="1:24">
      <c r="A120" s="2255">
        <v>44564.291666666701</v>
      </c>
      <c r="B120" s="2276">
        <f t="shared" si="3"/>
        <v>-9.202453987730062E-3</v>
      </c>
      <c r="C120" s="2258">
        <v>22610</v>
      </c>
      <c r="D120" s="2276">
        <f t="shared" si="4"/>
        <v>-5.3077676486099602E-2</v>
      </c>
      <c r="E120" s="2258">
        <v>25137</v>
      </c>
      <c r="F120" s="2276">
        <f t="shared" si="5"/>
        <v>-5.8823529411764705E-2</v>
      </c>
      <c r="G120" s="2258">
        <v>192</v>
      </c>
      <c r="H120" s="2259"/>
      <c r="I120" s="2259"/>
      <c r="J120" s="2259"/>
      <c r="K120" s="2259"/>
      <c r="S120" s="2277"/>
      <c r="T120" s="2218"/>
      <c r="U120" s="2280"/>
      <c r="V120" s="2281"/>
      <c r="W120" s="2261"/>
      <c r="X120" s="2277"/>
    </row>
    <row r="121" spans="1:24">
      <c r="A121" s="2255">
        <v>44565.291666666701</v>
      </c>
      <c r="B121" s="2276">
        <f t="shared" si="3"/>
        <v>-9.202453987730062E-3</v>
      </c>
      <c r="C121" s="2258">
        <v>22610</v>
      </c>
      <c r="D121" s="2276">
        <f t="shared" si="4"/>
        <v>-5.4885858509756649E-2</v>
      </c>
      <c r="E121" s="2258">
        <v>25089</v>
      </c>
      <c r="F121" s="2276">
        <f t="shared" si="5"/>
        <v>-5.8823529411764705E-2</v>
      </c>
      <c r="G121" s="2258">
        <v>192</v>
      </c>
      <c r="H121" s="2259"/>
      <c r="I121" s="2259"/>
      <c r="J121" s="2259"/>
      <c r="K121" s="2259"/>
      <c r="S121" s="2277"/>
      <c r="T121" s="2218"/>
      <c r="U121" s="2280"/>
      <c r="V121" s="2281"/>
      <c r="W121" s="2261"/>
      <c r="X121" s="2277"/>
    </row>
    <row r="122" spans="1:24">
      <c r="A122" s="2255">
        <v>44566.291666666701</v>
      </c>
      <c r="B122" s="2276">
        <f t="shared" si="3"/>
        <v>-1.0078878177037686E-2</v>
      </c>
      <c r="C122" s="2258">
        <v>22590</v>
      </c>
      <c r="D122" s="2276">
        <f t="shared" si="4"/>
        <v>-5.782415429819935E-2</v>
      </c>
      <c r="E122" s="2258">
        <v>25011</v>
      </c>
      <c r="F122" s="2276">
        <f t="shared" si="5"/>
        <v>-6.8627450980392163E-2</v>
      </c>
      <c r="G122" s="2258">
        <v>190</v>
      </c>
      <c r="H122" s="2259"/>
      <c r="I122" s="2259"/>
      <c r="J122" s="2259"/>
      <c r="K122" s="2259"/>
      <c r="S122" s="2277"/>
      <c r="T122" s="2218"/>
      <c r="U122" s="2280"/>
      <c r="V122" s="2281"/>
      <c r="W122" s="2261"/>
      <c r="X122" s="2277"/>
    </row>
    <row r="123" spans="1:24">
      <c r="A123" s="2255">
        <v>44567.291666666701</v>
      </c>
      <c r="B123" s="2276">
        <f t="shared" si="3"/>
        <v>-1.0078878177037686E-2</v>
      </c>
      <c r="C123" s="2258">
        <v>22590</v>
      </c>
      <c r="D123" s="2276">
        <f t="shared" si="4"/>
        <v>-5.530023355684472E-2</v>
      </c>
      <c r="E123" s="2258">
        <v>25078</v>
      </c>
      <c r="F123" s="2276">
        <f t="shared" si="5"/>
        <v>-6.8627450980392163E-2</v>
      </c>
      <c r="G123" s="2258">
        <v>190</v>
      </c>
      <c r="H123" s="2259"/>
      <c r="I123" s="2259"/>
      <c r="J123" s="2259"/>
      <c r="K123" s="2259"/>
      <c r="S123" s="2277"/>
      <c r="T123" s="2218"/>
      <c r="U123" s="2280"/>
      <c r="V123" s="2281"/>
      <c r="W123" s="2261"/>
      <c r="X123" s="2277"/>
    </row>
    <row r="124" spans="1:24">
      <c r="A124" s="2255">
        <v>44568.291666666701</v>
      </c>
      <c r="B124" s="2276">
        <f t="shared" si="3"/>
        <v>-1.2269938650306749E-2</v>
      </c>
      <c r="C124" s="2258">
        <v>22540</v>
      </c>
      <c r="D124" s="2276">
        <f t="shared" si="4"/>
        <v>-5.771114292172079E-2</v>
      </c>
      <c r="E124" s="2258">
        <v>25014</v>
      </c>
      <c r="F124" s="2276">
        <f t="shared" si="5"/>
        <v>-6.8627450980392163E-2</v>
      </c>
      <c r="G124" s="2258">
        <v>190</v>
      </c>
      <c r="H124" s="2259"/>
      <c r="I124" s="2259"/>
      <c r="J124" s="2259"/>
      <c r="K124" s="2259"/>
      <c r="S124" s="2277"/>
      <c r="T124" s="2218"/>
      <c r="U124" s="2280"/>
      <c r="V124" s="2281"/>
      <c r="W124" s="2261"/>
      <c r="X124" s="2277"/>
    </row>
    <row r="125" spans="1:24">
      <c r="A125" s="2255">
        <v>44571.291666666701</v>
      </c>
      <c r="B125" s="2276">
        <f t="shared" si="3"/>
        <v>-1.3584574934268186E-2</v>
      </c>
      <c r="C125" s="2258">
        <v>22510</v>
      </c>
      <c r="D125" s="2276">
        <f t="shared" si="4"/>
        <v>-5.6957733745197019E-2</v>
      </c>
      <c r="E125" s="2258">
        <v>25034</v>
      </c>
      <c r="F125" s="2276">
        <f t="shared" si="5"/>
        <v>-6.8627450980392163E-2</v>
      </c>
      <c r="G125" s="2258">
        <v>190</v>
      </c>
      <c r="H125" s="2262">
        <v>4.2999999999999997E-2</v>
      </c>
      <c r="I125" s="2262">
        <v>3.2000000000000001E-2</v>
      </c>
      <c r="J125" s="2262">
        <v>9.1999999999999998E-2</v>
      </c>
      <c r="K125" s="2262">
        <v>3.3000000000000002E-2</v>
      </c>
      <c r="S125" s="2277"/>
      <c r="T125" s="2218"/>
      <c r="U125" s="2280"/>
      <c r="V125" s="2281"/>
      <c r="W125" s="2261"/>
      <c r="X125" s="2277"/>
    </row>
    <row r="126" spans="1:24">
      <c r="A126" s="2255">
        <v>44572.291666666701</v>
      </c>
      <c r="B126" s="2276">
        <f t="shared" si="3"/>
        <v>-1.2708150744960562E-2</v>
      </c>
      <c r="C126" s="2258">
        <v>22530</v>
      </c>
      <c r="D126" s="2276">
        <f t="shared" si="4"/>
        <v>-5.5789949521585176E-2</v>
      </c>
      <c r="E126" s="2258">
        <v>25065</v>
      </c>
      <c r="F126" s="2276">
        <f t="shared" si="5"/>
        <v>-6.3725490196078427E-2</v>
      </c>
      <c r="G126" s="2258">
        <v>191</v>
      </c>
      <c r="H126" s="2259"/>
      <c r="I126" s="2259"/>
      <c r="J126" s="2259"/>
      <c r="K126" s="2259"/>
      <c r="S126" s="2277"/>
      <c r="T126" s="2218"/>
      <c r="U126" s="2280"/>
      <c r="V126" s="2281"/>
      <c r="W126" s="2261"/>
      <c r="X126" s="2277"/>
    </row>
    <row r="127" spans="1:24">
      <c r="A127" s="2255">
        <v>44573.291666666701</v>
      </c>
      <c r="B127" s="2276">
        <f t="shared" si="3"/>
        <v>-1.2708150744960562E-2</v>
      </c>
      <c r="C127" s="2258">
        <v>22530</v>
      </c>
      <c r="D127" s="2276">
        <f t="shared" si="4"/>
        <v>-5.2625630980185335E-2</v>
      </c>
      <c r="E127" s="2258">
        <v>25149</v>
      </c>
      <c r="F127" s="2276">
        <f t="shared" si="5"/>
        <v>-6.3725490196078427E-2</v>
      </c>
      <c r="G127" s="2258">
        <v>191</v>
      </c>
      <c r="H127" s="2259"/>
      <c r="I127" s="2259"/>
      <c r="J127" s="2259"/>
      <c r="K127" s="2259"/>
      <c r="S127" s="2277"/>
      <c r="T127" s="2218"/>
      <c r="U127" s="2280"/>
      <c r="V127" s="2281"/>
      <c r="W127" s="2261"/>
      <c r="X127" s="2277"/>
    </row>
    <row r="128" spans="1:24">
      <c r="A128" s="2255">
        <v>44574.291666666701</v>
      </c>
      <c r="B128" s="2276">
        <f t="shared" si="3"/>
        <v>-1.2708150744960562E-2</v>
      </c>
      <c r="C128" s="2258">
        <v>22530</v>
      </c>
      <c r="D128" s="2276">
        <f t="shared" si="4"/>
        <v>-4.6824380320952312E-2</v>
      </c>
      <c r="E128" s="2258">
        <v>25303</v>
      </c>
      <c r="F128" s="2276">
        <f t="shared" si="5"/>
        <v>-5.8823529411764705E-2</v>
      </c>
      <c r="G128" s="2258">
        <v>192</v>
      </c>
      <c r="H128" s="2259"/>
      <c r="I128" s="2259"/>
      <c r="J128" s="2259"/>
      <c r="K128" s="2259"/>
      <c r="S128" s="2277"/>
      <c r="T128" s="2218"/>
      <c r="U128" s="2280"/>
      <c r="V128" s="2281"/>
      <c r="W128" s="2261"/>
      <c r="X128" s="2277"/>
    </row>
    <row r="129" spans="1:24">
      <c r="A129" s="2255">
        <v>44575.291666666701</v>
      </c>
      <c r="B129" s="2276">
        <f t="shared" si="3"/>
        <v>-1.2269938650306749E-2</v>
      </c>
      <c r="C129" s="2258">
        <v>22540</v>
      </c>
      <c r="D129" s="2276">
        <f t="shared" si="4"/>
        <v>-4.5543584720861903E-2</v>
      </c>
      <c r="E129" s="2258">
        <v>25337</v>
      </c>
      <c r="F129" s="2276">
        <f t="shared" si="5"/>
        <v>-5.3921568627450983E-2</v>
      </c>
      <c r="G129" s="2258">
        <v>193</v>
      </c>
      <c r="H129" s="2259"/>
      <c r="I129" s="2259"/>
      <c r="J129" s="2259"/>
      <c r="K129" s="2259"/>
      <c r="S129" s="2277"/>
      <c r="T129" s="2218"/>
      <c r="U129" s="2280"/>
      <c r="V129" s="2281"/>
      <c r="W129" s="2261"/>
      <c r="X129" s="2277"/>
    </row>
    <row r="130" spans="1:24">
      <c r="A130" s="2255">
        <v>44578.291666666701</v>
      </c>
      <c r="B130" s="2276">
        <f t="shared" si="3"/>
        <v>-1.2269938650306749E-2</v>
      </c>
      <c r="C130" s="2258">
        <v>22540</v>
      </c>
      <c r="D130" s="2276">
        <f t="shared" si="4"/>
        <v>-4.938597152113313E-2</v>
      </c>
      <c r="E130" s="2258">
        <v>25235</v>
      </c>
      <c r="F130" s="2276">
        <f t="shared" si="5"/>
        <v>-5.3921568627450983E-2</v>
      </c>
      <c r="G130" s="2258">
        <v>193</v>
      </c>
      <c r="H130" s="2259"/>
      <c r="I130" s="2259"/>
      <c r="J130" s="2259"/>
      <c r="K130" s="2259"/>
      <c r="S130" s="2277"/>
      <c r="T130" s="2218"/>
      <c r="U130" s="2280"/>
      <c r="V130" s="2281"/>
      <c r="W130" s="2261"/>
      <c r="X130" s="2277"/>
    </row>
    <row r="131" spans="1:24">
      <c r="A131" s="2255">
        <v>44579.291666666701</v>
      </c>
      <c r="B131" s="2276">
        <f t="shared" si="3"/>
        <v>-1.1393514460999123E-2</v>
      </c>
      <c r="C131" s="2258">
        <v>22560</v>
      </c>
      <c r="D131" s="2276">
        <f t="shared" si="4"/>
        <v>-4.9122278309349808E-2</v>
      </c>
      <c r="E131" s="2258">
        <v>25242</v>
      </c>
      <c r="F131" s="2276">
        <f t="shared" si="5"/>
        <v>-5.8823529411764705E-2</v>
      </c>
      <c r="G131" s="2258">
        <v>192</v>
      </c>
      <c r="H131" s="2259"/>
      <c r="I131" s="2259"/>
      <c r="J131" s="2259"/>
      <c r="K131" s="2259"/>
      <c r="S131" s="2277"/>
      <c r="T131" s="2218"/>
      <c r="U131" s="2280"/>
      <c r="V131" s="2281"/>
      <c r="W131" s="2261"/>
      <c r="X131" s="2277"/>
    </row>
    <row r="132" spans="1:24">
      <c r="A132" s="2255">
        <v>44580.291666666701</v>
      </c>
      <c r="B132" s="2276">
        <f t="shared" si="3"/>
        <v>-1.2708150744960562E-2</v>
      </c>
      <c r="C132" s="2258">
        <v>22530</v>
      </c>
      <c r="D132" s="2276">
        <f t="shared" si="4"/>
        <v>-5.4961199427409027E-2</v>
      </c>
      <c r="E132" s="2258">
        <v>25087</v>
      </c>
      <c r="F132" s="2276">
        <f t="shared" si="5"/>
        <v>-5.8823529411764705E-2</v>
      </c>
      <c r="G132" s="2258">
        <v>192</v>
      </c>
      <c r="H132" s="2259"/>
      <c r="I132" s="2259"/>
      <c r="J132" s="2259"/>
      <c r="K132" s="2259"/>
      <c r="S132" s="2277"/>
      <c r="T132" s="2218"/>
      <c r="U132" s="2280"/>
      <c r="V132" s="2281"/>
      <c r="W132" s="2261"/>
      <c r="X132" s="2277"/>
    </row>
    <row r="133" spans="1:24">
      <c r="A133" s="2255">
        <v>44581.291666666701</v>
      </c>
      <c r="B133" s="2276">
        <f t="shared" si="3"/>
        <v>-1.5337423312883436E-2</v>
      </c>
      <c r="C133" s="2258">
        <v>22470</v>
      </c>
      <c r="D133" s="2276">
        <f t="shared" si="4"/>
        <v>-5.5714608603932798E-2</v>
      </c>
      <c r="E133" s="2258">
        <v>25067</v>
      </c>
      <c r="F133" s="2276">
        <f t="shared" si="5"/>
        <v>-5.8823529411764705E-2</v>
      </c>
      <c r="G133" s="2258">
        <v>192</v>
      </c>
      <c r="H133" s="2259"/>
      <c r="I133" s="2259"/>
      <c r="J133" s="2259"/>
      <c r="K133" s="2259"/>
      <c r="S133" s="2277"/>
      <c r="T133" s="2218"/>
      <c r="U133" s="2280"/>
      <c r="V133" s="2281"/>
      <c r="W133" s="2261"/>
      <c r="X133" s="2277"/>
    </row>
    <row r="134" spans="1:24">
      <c r="A134" s="2255">
        <v>44582.291666666701</v>
      </c>
      <c r="B134" s="2276">
        <f t="shared" si="3"/>
        <v>-1.621384750219106E-2</v>
      </c>
      <c r="C134" s="2258">
        <v>22450</v>
      </c>
      <c r="D134" s="2276">
        <f t="shared" si="4"/>
        <v>-5.9556995404204026E-2</v>
      </c>
      <c r="E134" s="2258">
        <v>24965</v>
      </c>
      <c r="F134" s="2276">
        <f t="shared" si="5"/>
        <v>-5.3921568627450983E-2</v>
      </c>
      <c r="G134" s="2258">
        <v>193</v>
      </c>
      <c r="H134" s="2259"/>
      <c r="I134" s="2259"/>
      <c r="J134" s="2259"/>
      <c r="K134" s="2259"/>
      <c r="S134" s="2277"/>
      <c r="T134" s="2218"/>
      <c r="U134" s="2280"/>
      <c r="V134" s="2281"/>
      <c r="W134" s="2261"/>
      <c r="X134" s="2277"/>
    </row>
    <row r="135" spans="1:24">
      <c r="A135" s="2255">
        <v>44585.291666666701</v>
      </c>
      <c r="B135" s="2276">
        <f t="shared" si="3"/>
        <v>-1.4022787028921999E-2</v>
      </c>
      <c r="C135" s="2258">
        <v>22500</v>
      </c>
      <c r="D135" s="2276">
        <f t="shared" si="4"/>
        <v>-5.8238529345287428E-2</v>
      </c>
      <c r="E135" s="2258">
        <v>25000</v>
      </c>
      <c r="F135" s="2276">
        <f t="shared" si="5"/>
        <v>-5.3921568627450983E-2</v>
      </c>
      <c r="G135" s="2258">
        <v>193</v>
      </c>
      <c r="H135" s="2259"/>
      <c r="I135" s="2259"/>
      <c r="J135" s="2259"/>
      <c r="K135" s="2259"/>
      <c r="S135" s="2277"/>
      <c r="T135" s="2218"/>
      <c r="U135" s="2280"/>
      <c r="V135" s="2281"/>
      <c r="W135" s="2261"/>
      <c r="X135" s="2277"/>
    </row>
    <row r="136" spans="1:24">
      <c r="A136" s="2255">
        <v>44586.291666666701</v>
      </c>
      <c r="B136" s="2276">
        <f t="shared" si="3"/>
        <v>-1.5337423312883436E-2</v>
      </c>
      <c r="C136" s="2258">
        <v>22470</v>
      </c>
      <c r="D136" s="2276">
        <f t="shared" si="4"/>
        <v>-6.147818880433964E-2</v>
      </c>
      <c r="E136" s="2258">
        <v>24914</v>
      </c>
      <c r="F136" s="2276">
        <f t="shared" si="5"/>
        <v>-5.3921568627450983E-2</v>
      </c>
      <c r="G136" s="2258">
        <v>193</v>
      </c>
      <c r="H136" s="2259"/>
      <c r="I136" s="2259"/>
      <c r="J136" s="2259"/>
      <c r="K136" s="2259"/>
      <c r="S136" s="2277"/>
      <c r="T136" s="2218"/>
      <c r="U136" s="2280"/>
      <c r="V136" s="2281"/>
      <c r="W136" s="2261"/>
      <c r="X136" s="2277"/>
    </row>
    <row r="137" spans="1:24">
      <c r="A137" s="2255">
        <v>44587.291666666701</v>
      </c>
      <c r="B137" s="2276">
        <f t="shared" si="3"/>
        <v>-1.5775635407537247E-2</v>
      </c>
      <c r="C137" s="2258">
        <v>22460</v>
      </c>
      <c r="D137" s="2276">
        <f t="shared" si="4"/>
        <v>-6.1289836510208695E-2</v>
      </c>
      <c r="E137" s="2258">
        <v>24919</v>
      </c>
      <c r="F137" s="2276">
        <f t="shared" si="5"/>
        <v>-5.3921568627450983E-2</v>
      </c>
      <c r="G137" s="2258">
        <v>193</v>
      </c>
      <c r="H137" s="2259"/>
      <c r="I137" s="2259"/>
      <c r="J137" s="2259"/>
      <c r="K137" s="2259"/>
      <c r="S137" s="2277"/>
      <c r="T137" s="2218"/>
      <c r="U137" s="2280"/>
      <c r="V137" s="2281"/>
      <c r="W137" s="2261"/>
      <c r="X137" s="2277"/>
    </row>
    <row r="138" spans="1:24">
      <c r="A138" s="2255">
        <v>44588.291666666701</v>
      </c>
      <c r="B138" s="2276">
        <f t="shared" ref="B138:B201" si="6">(C138-C$10)/C$10</f>
        <v>-1.5337423312883436E-2</v>
      </c>
      <c r="C138" s="2258">
        <v>22470</v>
      </c>
      <c r="D138" s="2276">
        <f t="shared" ref="D138:D201" si="7">(E138-E$10)/E$10</f>
        <v>-6.6714382581179843E-2</v>
      </c>
      <c r="E138" s="2258">
        <v>24775</v>
      </c>
      <c r="F138" s="2276">
        <f t="shared" ref="F138:F201" si="8">(G138-G$10)/G$10</f>
        <v>-6.3725490196078427E-2</v>
      </c>
      <c r="G138" s="2258">
        <v>191</v>
      </c>
      <c r="H138" s="2259"/>
      <c r="I138" s="2259"/>
      <c r="J138" s="2259"/>
      <c r="K138" s="2259"/>
      <c r="S138" s="2277"/>
      <c r="T138" s="2218"/>
      <c r="U138" s="2280"/>
      <c r="V138" s="2281"/>
      <c r="W138" s="2261"/>
      <c r="X138" s="2277"/>
    </row>
    <row r="139" spans="1:24">
      <c r="A139" s="2255">
        <v>44589.291666666701</v>
      </c>
      <c r="B139" s="2276">
        <f t="shared" si="6"/>
        <v>-1.5337423312883436E-2</v>
      </c>
      <c r="C139" s="2258">
        <v>22470</v>
      </c>
      <c r="D139" s="2276">
        <f t="shared" si="7"/>
        <v>-7.899495215851729E-2</v>
      </c>
      <c r="E139" s="2258">
        <v>24449</v>
      </c>
      <c r="F139" s="2276">
        <f t="shared" si="8"/>
        <v>-7.3529411764705885E-2</v>
      </c>
      <c r="G139" s="2258">
        <v>189</v>
      </c>
      <c r="H139" s="2259"/>
      <c r="I139" s="2259"/>
      <c r="J139" s="2259"/>
      <c r="K139" s="2259"/>
      <c r="S139" s="2277"/>
      <c r="T139" s="2218"/>
      <c r="U139" s="2280"/>
      <c r="V139" s="2281"/>
      <c r="W139" s="2261"/>
      <c r="X139" s="2277"/>
    </row>
    <row r="140" spans="1:24">
      <c r="A140" s="2255">
        <v>44592.291666666701</v>
      </c>
      <c r="B140" s="2276">
        <f t="shared" si="6"/>
        <v>-1.5337423312883436E-2</v>
      </c>
      <c r="C140" s="2258">
        <v>22470</v>
      </c>
      <c r="D140" s="2276">
        <f t="shared" si="7"/>
        <v>-7.899495215851729E-2</v>
      </c>
      <c r="E140" s="2258">
        <v>24449</v>
      </c>
      <c r="F140" s="2276">
        <f t="shared" si="8"/>
        <v>-7.3529411764705885E-2</v>
      </c>
      <c r="G140" s="2258">
        <v>189</v>
      </c>
      <c r="H140" s="2259"/>
      <c r="I140" s="2259"/>
      <c r="J140" s="2259"/>
      <c r="K140" s="2259"/>
      <c r="S140" s="2277"/>
      <c r="T140" s="2218"/>
      <c r="U140" s="2280"/>
      <c r="V140" s="2281"/>
      <c r="W140" s="2261"/>
      <c r="X140" s="2277"/>
    </row>
    <row r="141" spans="1:24">
      <c r="A141" s="2255">
        <v>44593.291666666701</v>
      </c>
      <c r="B141" s="2276">
        <f t="shared" si="6"/>
        <v>-1.5337423312883436E-2</v>
      </c>
      <c r="C141" s="2258">
        <v>22470</v>
      </c>
      <c r="D141" s="2276">
        <f t="shared" si="7"/>
        <v>-7.899495215851729E-2</v>
      </c>
      <c r="E141" s="2258">
        <v>24449</v>
      </c>
      <c r="F141" s="2276">
        <f t="shared" si="8"/>
        <v>-7.3529411764705885E-2</v>
      </c>
      <c r="G141" s="2258">
        <v>189</v>
      </c>
      <c r="H141" s="2259"/>
      <c r="I141" s="2259"/>
      <c r="J141" s="2259"/>
      <c r="K141" s="2259"/>
      <c r="S141" s="2277"/>
      <c r="T141" s="2218"/>
      <c r="U141" s="2280"/>
      <c r="V141" s="2281"/>
      <c r="W141" s="2261"/>
      <c r="X141" s="2277"/>
    </row>
    <row r="142" spans="1:24">
      <c r="A142" s="2255">
        <v>44594.291666666701</v>
      </c>
      <c r="B142" s="2276">
        <f t="shared" si="6"/>
        <v>-1.5337423312883436E-2</v>
      </c>
      <c r="C142" s="2258">
        <v>22470</v>
      </c>
      <c r="D142" s="2276">
        <f t="shared" si="7"/>
        <v>-7.899495215851729E-2</v>
      </c>
      <c r="E142" s="2258">
        <v>24449</v>
      </c>
      <c r="F142" s="2276">
        <f t="shared" si="8"/>
        <v>-7.3529411764705885E-2</v>
      </c>
      <c r="G142" s="2258">
        <v>189</v>
      </c>
      <c r="H142" s="2259"/>
      <c r="I142" s="2259"/>
      <c r="J142" s="2259"/>
      <c r="K142" s="2259"/>
      <c r="S142" s="2277"/>
      <c r="T142" s="2218"/>
      <c r="U142" s="2280"/>
      <c r="V142" s="2281"/>
      <c r="W142" s="2261"/>
      <c r="X142" s="2277"/>
    </row>
    <row r="143" spans="1:24">
      <c r="A143" s="2255">
        <v>44595.291666666701</v>
      </c>
      <c r="B143" s="2276">
        <f t="shared" si="6"/>
        <v>-1.5337423312883436E-2</v>
      </c>
      <c r="C143" s="2258">
        <v>22470</v>
      </c>
      <c r="D143" s="2276">
        <f t="shared" si="7"/>
        <v>-7.899495215851729E-2</v>
      </c>
      <c r="E143" s="2258">
        <v>24449</v>
      </c>
      <c r="F143" s="2276">
        <f t="shared" si="8"/>
        <v>-7.3529411764705885E-2</v>
      </c>
      <c r="G143" s="2258">
        <v>189</v>
      </c>
      <c r="H143" s="2259"/>
      <c r="I143" s="2259"/>
      <c r="J143" s="2259"/>
      <c r="K143" s="2259"/>
      <c r="S143" s="2277"/>
      <c r="T143" s="2218"/>
      <c r="U143" s="2280"/>
      <c r="V143" s="2281"/>
      <c r="W143" s="2261"/>
      <c r="X143" s="2277"/>
    </row>
    <row r="144" spans="1:24">
      <c r="A144" s="2255">
        <v>44596.291666666701</v>
      </c>
      <c r="B144" s="2276">
        <f t="shared" si="6"/>
        <v>-1.5337423312883436E-2</v>
      </c>
      <c r="C144" s="2258">
        <v>22470</v>
      </c>
      <c r="D144" s="2276">
        <f t="shared" si="7"/>
        <v>-7.899495215851729E-2</v>
      </c>
      <c r="E144" s="2258">
        <v>24449</v>
      </c>
      <c r="F144" s="2276">
        <f t="shared" si="8"/>
        <v>-7.3529411764705885E-2</v>
      </c>
      <c r="G144" s="2258">
        <v>189</v>
      </c>
      <c r="H144" s="2259"/>
      <c r="I144" s="2259"/>
      <c r="J144" s="2259"/>
      <c r="K144" s="2259"/>
      <c r="S144" s="2277"/>
      <c r="T144" s="2218"/>
      <c r="U144" s="2280"/>
      <c r="V144" s="2281"/>
      <c r="W144" s="2261"/>
      <c r="X144" s="2277"/>
    </row>
    <row r="145" spans="1:24">
      <c r="A145" s="2255">
        <v>44599.291666666701</v>
      </c>
      <c r="B145" s="2276">
        <f t="shared" si="6"/>
        <v>-1.4022787028921999E-2</v>
      </c>
      <c r="C145" s="2258">
        <v>22500</v>
      </c>
      <c r="D145" s="2276">
        <f t="shared" si="7"/>
        <v>-4.8896255556392675E-2</v>
      </c>
      <c r="E145" s="2258">
        <v>25248</v>
      </c>
      <c r="F145" s="2276">
        <f t="shared" si="8"/>
        <v>-6.3725490196078427E-2</v>
      </c>
      <c r="G145" s="2258">
        <v>191</v>
      </c>
      <c r="H145" s="2259"/>
      <c r="I145" s="2259"/>
      <c r="J145" s="2259"/>
      <c r="K145" s="2259"/>
      <c r="S145" s="2277"/>
      <c r="T145" s="2218"/>
      <c r="U145" s="2280"/>
      <c r="V145" s="2281"/>
      <c r="W145" s="2261"/>
      <c r="X145" s="2277"/>
    </row>
    <row r="146" spans="1:24">
      <c r="A146" s="2255">
        <v>44600.291666666701</v>
      </c>
      <c r="B146" s="2276">
        <f t="shared" si="6"/>
        <v>-1.0955302366345312E-2</v>
      </c>
      <c r="C146" s="2258">
        <v>22570</v>
      </c>
      <c r="D146" s="2276">
        <f t="shared" si="7"/>
        <v>-4.814284637986891E-2</v>
      </c>
      <c r="E146" s="2258">
        <v>25268</v>
      </c>
      <c r="F146" s="2276">
        <f t="shared" si="8"/>
        <v>-6.3725490196078427E-2</v>
      </c>
      <c r="G146" s="2258">
        <v>191</v>
      </c>
      <c r="H146" s="2259"/>
      <c r="I146" s="2259"/>
      <c r="J146" s="2259"/>
      <c r="K146" s="2259"/>
      <c r="S146" s="2277"/>
      <c r="T146" s="2218"/>
      <c r="U146" s="2280"/>
      <c r="V146" s="2281"/>
      <c r="W146" s="2261"/>
      <c r="X146" s="2277"/>
    </row>
    <row r="147" spans="1:24">
      <c r="A147" s="2255">
        <v>44601.291666666701</v>
      </c>
      <c r="B147" s="2276">
        <f t="shared" si="6"/>
        <v>-1.3146362839614373E-2</v>
      </c>
      <c r="C147" s="2258">
        <v>22520</v>
      </c>
      <c r="D147" s="2276">
        <f t="shared" si="7"/>
        <v>-4.9725005650568824E-2</v>
      </c>
      <c r="E147" s="2258">
        <v>25226</v>
      </c>
      <c r="F147" s="2276">
        <f t="shared" si="8"/>
        <v>-6.3725490196078427E-2</v>
      </c>
      <c r="G147" s="2258">
        <v>191</v>
      </c>
      <c r="H147" s="2262">
        <v>4.2999999999999997E-2</v>
      </c>
      <c r="I147" s="2262">
        <v>3.2000000000000001E-2</v>
      </c>
      <c r="J147" s="2262">
        <v>9.1999999999999998E-2</v>
      </c>
      <c r="K147" s="2262">
        <v>3.3000000000000002E-2</v>
      </c>
      <c r="S147" s="2277"/>
      <c r="T147" s="2218"/>
      <c r="U147" s="2280"/>
      <c r="V147" s="2281"/>
      <c r="W147" s="2261"/>
      <c r="X147" s="2277"/>
    </row>
    <row r="148" spans="1:24">
      <c r="A148" s="2255">
        <v>44602.291666666701</v>
      </c>
      <c r="B148" s="2276">
        <f t="shared" si="6"/>
        <v>-1.3584574934268186E-2</v>
      </c>
      <c r="C148" s="2258">
        <v>22510</v>
      </c>
      <c r="D148" s="2276">
        <f t="shared" si="7"/>
        <v>-4.949898289761169E-2</v>
      </c>
      <c r="E148" s="2258">
        <v>25232</v>
      </c>
      <c r="F148" s="2276">
        <f t="shared" si="8"/>
        <v>-6.8627450980392163E-2</v>
      </c>
      <c r="G148" s="2258">
        <v>190</v>
      </c>
      <c r="H148" s="2259"/>
      <c r="I148" s="2259"/>
      <c r="J148" s="2259"/>
      <c r="K148" s="2259"/>
      <c r="S148" s="2277"/>
      <c r="T148" s="2218"/>
      <c r="U148" s="2280"/>
      <c r="V148" s="2281"/>
      <c r="W148" s="2261"/>
      <c r="X148" s="2277"/>
    </row>
    <row r="149" spans="1:24">
      <c r="A149" s="2255">
        <v>44603.291666666701</v>
      </c>
      <c r="B149" s="2276">
        <f t="shared" si="6"/>
        <v>-1.3146362839614373E-2</v>
      </c>
      <c r="C149" s="2258">
        <v>22520</v>
      </c>
      <c r="D149" s="2276">
        <f t="shared" si="7"/>
        <v>-5.1495517215399682E-2</v>
      </c>
      <c r="E149" s="2258">
        <v>25179</v>
      </c>
      <c r="F149" s="2276">
        <f t="shared" si="8"/>
        <v>-6.8627450980392163E-2</v>
      </c>
      <c r="G149" s="2258">
        <v>190</v>
      </c>
      <c r="H149" s="2259"/>
      <c r="I149" s="2259"/>
      <c r="J149" s="2259"/>
      <c r="K149" s="2259"/>
      <c r="S149" s="2277"/>
      <c r="T149" s="2218"/>
      <c r="U149" s="2280"/>
      <c r="V149" s="2281"/>
      <c r="W149" s="2261"/>
      <c r="X149" s="2277"/>
    </row>
    <row r="150" spans="1:24">
      <c r="A150" s="2255">
        <v>44606.291666666701</v>
      </c>
      <c r="B150" s="2276">
        <f t="shared" si="6"/>
        <v>-1.1831726555652936E-2</v>
      </c>
      <c r="C150" s="2258">
        <v>22550</v>
      </c>
      <c r="D150" s="2276">
        <f t="shared" si="7"/>
        <v>-5.4885858509756649E-2</v>
      </c>
      <c r="E150" s="2258">
        <v>25089</v>
      </c>
      <c r="F150" s="2276">
        <f t="shared" si="8"/>
        <v>-6.3725490196078427E-2</v>
      </c>
      <c r="G150" s="2258">
        <v>191</v>
      </c>
      <c r="H150" s="2259"/>
      <c r="I150" s="2259"/>
      <c r="J150" s="2259"/>
      <c r="K150" s="2259"/>
      <c r="S150" s="2277"/>
      <c r="T150" s="2218"/>
      <c r="U150" s="2280"/>
      <c r="V150" s="2281"/>
      <c r="W150" s="2261"/>
      <c r="X150" s="2277"/>
    </row>
    <row r="151" spans="1:24">
      <c r="A151" s="2255">
        <v>44607.291666666701</v>
      </c>
      <c r="B151" s="2276">
        <f t="shared" si="6"/>
        <v>-1.0517090271691499E-2</v>
      </c>
      <c r="C151" s="2258">
        <v>22580</v>
      </c>
      <c r="D151" s="2276">
        <f t="shared" si="7"/>
        <v>-5.4810517592104271E-2</v>
      </c>
      <c r="E151" s="2258">
        <v>25091</v>
      </c>
      <c r="F151" s="2276">
        <f t="shared" si="8"/>
        <v>-6.3725490196078427E-2</v>
      </c>
      <c r="G151" s="2258">
        <v>191</v>
      </c>
      <c r="H151" s="2259"/>
      <c r="I151" s="2259"/>
      <c r="J151" s="2259"/>
      <c r="K151" s="2259"/>
      <c r="S151" s="2277"/>
      <c r="T151" s="2218"/>
      <c r="U151" s="2280"/>
      <c r="V151" s="2281"/>
      <c r="W151" s="2261"/>
      <c r="X151" s="2277"/>
    </row>
    <row r="152" spans="1:24">
      <c r="A152" s="2255">
        <v>44608.291666666701</v>
      </c>
      <c r="B152" s="2276">
        <f t="shared" si="6"/>
        <v>-1.0078878177037686E-2</v>
      </c>
      <c r="C152" s="2258">
        <v>22590</v>
      </c>
      <c r="D152" s="2276">
        <f t="shared" si="7"/>
        <v>-5.2324267309575831E-2</v>
      </c>
      <c r="E152" s="2258">
        <v>25157</v>
      </c>
      <c r="F152" s="2276">
        <f t="shared" si="8"/>
        <v>-6.3725490196078427E-2</v>
      </c>
      <c r="G152" s="2258">
        <v>191</v>
      </c>
      <c r="H152" s="2259"/>
      <c r="I152" s="2259"/>
      <c r="J152" s="2259"/>
      <c r="K152" s="2259"/>
      <c r="S152" s="2277"/>
      <c r="T152" s="2218"/>
      <c r="U152" s="2280"/>
      <c r="V152" s="2281"/>
      <c r="W152" s="2261"/>
      <c r="X152" s="2277"/>
    </row>
    <row r="153" spans="1:24">
      <c r="A153" s="2255">
        <v>44609.291666666701</v>
      </c>
      <c r="B153" s="2276">
        <f t="shared" si="6"/>
        <v>-8.7642418930762491E-3</v>
      </c>
      <c r="C153" s="2258">
        <v>22620</v>
      </c>
      <c r="D153" s="2276">
        <f t="shared" si="7"/>
        <v>-5.0553755744744973E-2</v>
      </c>
      <c r="E153" s="2258">
        <v>25204</v>
      </c>
      <c r="F153" s="2276">
        <f t="shared" si="8"/>
        <v>-5.8823529411764705E-2</v>
      </c>
      <c r="G153" s="2258">
        <v>192</v>
      </c>
      <c r="H153" s="2259"/>
      <c r="I153" s="2259"/>
      <c r="J153" s="2259"/>
      <c r="K153" s="2259"/>
      <c r="S153" s="2277"/>
      <c r="T153" s="2218"/>
      <c r="U153" s="2280"/>
      <c r="V153" s="2281"/>
      <c r="W153" s="2261"/>
      <c r="X153" s="2277"/>
    </row>
    <row r="154" spans="1:24">
      <c r="A154" s="2255">
        <v>44610.291666666701</v>
      </c>
      <c r="B154" s="2276">
        <f t="shared" si="6"/>
        <v>-6.5731814198071864E-3</v>
      </c>
      <c r="C154" s="2258">
        <v>22670</v>
      </c>
      <c r="D154" s="2276">
        <f t="shared" si="7"/>
        <v>-4.7125743991561816E-2</v>
      </c>
      <c r="E154" s="2258">
        <v>25295</v>
      </c>
      <c r="F154" s="2276">
        <f t="shared" si="8"/>
        <v>-5.8823529411764705E-2</v>
      </c>
      <c r="G154" s="2258">
        <v>192</v>
      </c>
      <c r="H154" s="2259"/>
      <c r="I154" s="2259"/>
      <c r="J154" s="2259"/>
      <c r="K154" s="2259"/>
      <c r="S154" s="2277"/>
      <c r="T154" s="2218"/>
      <c r="U154" s="2280"/>
      <c r="V154" s="2281"/>
      <c r="W154" s="2261"/>
      <c r="X154" s="2277"/>
    </row>
    <row r="155" spans="1:24">
      <c r="A155" s="2255">
        <v>44613.291666666701</v>
      </c>
      <c r="B155" s="2276">
        <f t="shared" si="6"/>
        <v>-8.7642418930762491E-3</v>
      </c>
      <c r="C155" s="2258">
        <v>22620</v>
      </c>
      <c r="D155" s="2276">
        <f t="shared" si="7"/>
        <v>-4.8368869132826037E-2</v>
      </c>
      <c r="E155" s="2258">
        <v>25262</v>
      </c>
      <c r="F155" s="2276">
        <f t="shared" si="8"/>
        <v>-5.8823529411764705E-2</v>
      </c>
      <c r="G155" s="2258">
        <v>192</v>
      </c>
      <c r="H155" s="2259"/>
      <c r="I155" s="2259"/>
      <c r="J155" s="2259"/>
      <c r="K155" s="2259"/>
      <c r="S155" s="2277"/>
      <c r="T155" s="2218"/>
      <c r="U155" s="2280"/>
      <c r="V155" s="2281"/>
      <c r="W155" s="2261"/>
      <c r="X155" s="2277"/>
    </row>
    <row r="156" spans="1:24">
      <c r="A156" s="2255">
        <v>44614.291666666701</v>
      </c>
      <c r="B156" s="2276">
        <f t="shared" si="6"/>
        <v>-8.3260297984224362E-3</v>
      </c>
      <c r="C156" s="2258">
        <v>22630</v>
      </c>
      <c r="D156" s="2276">
        <f t="shared" si="7"/>
        <v>-5.3303699239056729E-2</v>
      </c>
      <c r="E156" s="2258">
        <v>25131</v>
      </c>
      <c r="F156" s="2276">
        <f t="shared" si="8"/>
        <v>-5.3921568627450983E-2</v>
      </c>
      <c r="G156" s="2258">
        <v>193</v>
      </c>
      <c r="H156" s="2259"/>
      <c r="I156" s="2259"/>
      <c r="J156" s="2259"/>
      <c r="K156" s="2259"/>
      <c r="S156" s="2277"/>
      <c r="T156" s="2218"/>
      <c r="U156" s="2280"/>
      <c r="V156" s="2281"/>
      <c r="W156" s="2261"/>
      <c r="X156" s="2277"/>
    </row>
    <row r="157" spans="1:24">
      <c r="A157" s="2255">
        <v>44615.291666666701</v>
      </c>
      <c r="B157" s="2276">
        <f t="shared" si="6"/>
        <v>-7.4496056091148113E-3</v>
      </c>
      <c r="C157" s="2258">
        <v>22650</v>
      </c>
      <c r="D157" s="2276">
        <f t="shared" si="7"/>
        <v>-5.0817448956528288E-2</v>
      </c>
      <c r="E157" s="2258">
        <v>25197</v>
      </c>
      <c r="F157" s="2276">
        <f t="shared" si="8"/>
        <v>-5.8823529411764705E-2</v>
      </c>
      <c r="G157" s="2258">
        <v>192</v>
      </c>
      <c r="H157" s="2259"/>
      <c r="I157" s="2259"/>
      <c r="J157" s="2259"/>
      <c r="K157" s="2259"/>
      <c r="S157" s="2277"/>
      <c r="T157" s="2218"/>
      <c r="U157" s="2280"/>
      <c r="V157" s="2281"/>
      <c r="W157" s="2261"/>
      <c r="X157" s="2277"/>
    </row>
    <row r="158" spans="1:24">
      <c r="A158" s="2255">
        <v>44616.291666666701</v>
      </c>
      <c r="B158" s="2276">
        <f t="shared" si="6"/>
        <v>-7.4496056091148113E-3</v>
      </c>
      <c r="C158" s="2258">
        <v>22650</v>
      </c>
      <c r="D158" s="2276">
        <f t="shared" si="7"/>
        <v>-5.4735176674451894E-2</v>
      </c>
      <c r="E158" s="2258">
        <v>25093</v>
      </c>
      <c r="F158" s="2276">
        <f t="shared" si="8"/>
        <v>-5.3921568627450983E-2</v>
      </c>
      <c r="G158" s="2258">
        <v>193</v>
      </c>
      <c r="H158" s="2259"/>
      <c r="I158" s="2259"/>
      <c r="J158" s="2259"/>
      <c r="K158" s="2259"/>
      <c r="S158" s="2277"/>
      <c r="T158" s="2218"/>
      <c r="U158" s="2280"/>
      <c r="V158" s="2281"/>
      <c r="W158" s="2261"/>
      <c r="X158" s="2277"/>
    </row>
    <row r="159" spans="1:24">
      <c r="A159" s="2255">
        <v>44617.291666666701</v>
      </c>
      <c r="B159" s="2276">
        <f t="shared" si="6"/>
        <v>-7.4496056091148113E-3</v>
      </c>
      <c r="C159" s="2258">
        <v>22650</v>
      </c>
      <c r="D159" s="2276">
        <f t="shared" si="7"/>
        <v>-6.4039780004520458E-2</v>
      </c>
      <c r="E159" s="2258">
        <v>24846</v>
      </c>
      <c r="F159" s="2276">
        <f t="shared" si="8"/>
        <v>-5.8823529411764705E-2</v>
      </c>
      <c r="G159" s="2258">
        <v>192</v>
      </c>
      <c r="H159" s="2259"/>
      <c r="I159" s="2259"/>
      <c r="J159" s="2259"/>
      <c r="K159" s="2259"/>
      <c r="S159" s="2277"/>
      <c r="T159" s="2218"/>
      <c r="U159" s="2280"/>
      <c r="V159" s="2281"/>
      <c r="W159" s="2261"/>
      <c r="X159" s="2277"/>
    </row>
    <row r="160" spans="1:24">
      <c r="A160" s="2255">
        <v>44620.291666666701</v>
      </c>
      <c r="B160" s="2276">
        <f t="shared" si="6"/>
        <v>-7.8878177037686233E-3</v>
      </c>
      <c r="C160" s="2258">
        <v>22640</v>
      </c>
      <c r="D160" s="2276">
        <f t="shared" si="7"/>
        <v>-6.328637082799668E-2</v>
      </c>
      <c r="E160" s="2258">
        <v>24866</v>
      </c>
      <c r="F160" s="2276">
        <f t="shared" si="8"/>
        <v>-5.8823529411764705E-2</v>
      </c>
      <c r="G160" s="2258">
        <v>192</v>
      </c>
      <c r="H160" s="2259"/>
      <c r="I160" s="2259"/>
      <c r="J160" s="2259"/>
      <c r="K160" s="2259"/>
      <c r="S160" s="2277"/>
      <c r="T160" s="2218"/>
      <c r="U160" s="2280"/>
      <c r="V160" s="2281"/>
      <c r="W160" s="2261"/>
      <c r="X160" s="2277"/>
    </row>
    <row r="161" spans="1:24">
      <c r="A161" s="2255">
        <v>44621.291666666701</v>
      </c>
      <c r="B161" s="2276">
        <f t="shared" si="6"/>
        <v>-7.8878177037686233E-3</v>
      </c>
      <c r="C161" s="2258">
        <v>22640</v>
      </c>
      <c r="D161" s="2276">
        <f t="shared" si="7"/>
        <v>-6.2796654863256238E-2</v>
      </c>
      <c r="E161" s="2258">
        <v>24879</v>
      </c>
      <c r="F161" s="2276">
        <f t="shared" si="8"/>
        <v>-5.8823529411764705E-2</v>
      </c>
      <c r="G161" s="2258">
        <v>192</v>
      </c>
      <c r="H161" s="2259"/>
      <c r="I161" s="2259"/>
      <c r="J161" s="2259"/>
      <c r="K161" s="2259"/>
      <c r="S161" s="2277"/>
      <c r="T161" s="2218"/>
      <c r="U161" s="2280"/>
      <c r="V161" s="2281"/>
      <c r="W161" s="2261"/>
      <c r="X161" s="2277"/>
    </row>
    <row r="162" spans="1:24">
      <c r="A162" s="2255">
        <v>44622.291666666701</v>
      </c>
      <c r="B162" s="2276">
        <f t="shared" si="6"/>
        <v>-6.5731814198071864E-3</v>
      </c>
      <c r="C162" s="2258">
        <v>22670</v>
      </c>
      <c r="D162" s="2276">
        <f t="shared" si="7"/>
        <v>-6.9162962404882095E-2</v>
      </c>
      <c r="E162" s="2258">
        <v>24710</v>
      </c>
      <c r="F162" s="2276">
        <f t="shared" si="8"/>
        <v>-5.8823529411764705E-2</v>
      </c>
      <c r="G162" s="2258">
        <v>192</v>
      </c>
      <c r="H162" s="2259"/>
      <c r="I162" s="2259"/>
      <c r="J162" s="2259"/>
      <c r="K162" s="2259"/>
      <c r="S162" s="2277"/>
      <c r="T162" s="2218"/>
      <c r="U162" s="2280"/>
      <c r="V162" s="2281"/>
      <c r="W162" s="2261"/>
      <c r="X162" s="2277"/>
    </row>
    <row r="163" spans="1:24">
      <c r="A163" s="2255">
        <v>44623.291666666701</v>
      </c>
      <c r="B163" s="2276">
        <f t="shared" si="6"/>
        <v>-6.5731814198071864E-3</v>
      </c>
      <c r="C163" s="2258">
        <v>22670</v>
      </c>
      <c r="D163" s="2276">
        <f t="shared" si="7"/>
        <v>-6.8409553228358316E-2</v>
      </c>
      <c r="E163" s="2258">
        <v>24730</v>
      </c>
      <c r="F163" s="2276">
        <f t="shared" si="8"/>
        <v>-5.8823529411764705E-2</v>
      </c>
      <c r="G163" s="2258">
        <v>192</v>
      </c>
      <c r="H163" s="2259"/>
      <c r="I163" s="2259"/>
      <c r="J163" s="2259"/>
      <c r="K163" s="2259"/>
      <c r="S163" s="2277"/>
      <c r="T163" s="2218"/>
      <c r="U163" s="2280"/>
      <c r="V163" s="2281"/>
      <c r="W163" s="2261"/>
      <c r="X163" s="2277"/>
    </row>
    <row r="164" spans="1:24">
      <c r="A164" s="2255">
        <v>44624.291666666701</v>
      </c>
      <c r="B164" s="2276">
        <f t="shared" si="6"/>
        <v>-6.5731814198071864E-3</v>
      </c>
      <c r="C164" s="2258">
        <v>22670</v>
      </c>
      <c r="D164" s="2276">
        <f t="shared" si="7"/>
        <v>-7.4361485722896109E-2</v>
      </c>
      <c r="E164" s="2258">
        <v>24572</v>
      </c>
      <c r="F164" s="2276">
        <f t="shared" si="8"/>
        <v>-5.8823529411764705E-2</v>
      </c>
      <c r="G164" s="2258">
        <v>192</v>
      </c>
      <c r="H164" s="2259"/>
      <c r="I164" s="2259"/>
      <c r="J164" s="2259"/>
      <c r="K164" s="2259"/>
      <c r="S164" s="2277"/>
      <c r="T164" s="2218"/>
      <c r="U164" s="2280"/>
      <c r="V164" s="2281"/>
      <c r="W164" s="2261"/>
      <c r="X164" s="2277"/>
    </row>
    <row r="165" spans="1:24">
      <c r="A165" s="2255">
        <v>44627.291666666701</v>
      </c>
      <c r="B165" s="2276">
        <f t="shared" si="6"/>
        <v>-6.1349693251533744E-3</v>
      </c>
      <c r="C165" s="2258">
        <v>22680</v>
      </c>
      <c r="D165" s="2276">
        <f t="shared" si="7"/>
        <v>-8.8563248700369177E-2</v>
      </c>
      <c r="E165" s="2258">
        <v>24195</v>
      </c>
      <c r="F165" s="2276">
        <f t="shared" si="8"/>
        <v>-5.3921568627450983E-2</v>
      </c>
      <c r="G165" s="2258">
        <v>193</v>
      </c>
      <c r="H165" s="2259"/>
      <c r="I165" s="2259"/>
      <c r="J165" s="2259"/>
      <c r="K165" s="2259"/>
      <c r="S165" s="2277"/>
      <c r="T165" s="2218"/>
      <c r="U165" s="2280"/>
      <c r="V165" s="2281"/>
      <c r="W165" s="2261"/>
      <c r="X165" s="2277"/>
    </row>
    <row r="166" spans="1:24">
      <c r="A166" s="2255">
        <v>44628.291666666701</v>
      </c>
      <c r="B166" s="2276">
        <f t="shared" si="6"/>
        <v>-6.1349693251533744E-3</v>
      </c>
      <c r="C166" s="2258">
        <v>22680</v>
      </c>
      <c r="D166" s="2276">
        <f t="shared" si="7"/>
        <v>-8.9165976041588185E-2</v>
      </c>
      <c r="E166" s="2258">
        <v>24179</v>
      </c>
      <c r="F166" s="2276">
        <f t="shared" si="8"/>
        <v>-5.8823529411764705E-2</v>
      </c>
      <c r="G166" s="2258">
        <v>192</v>
      </c>
      <c r="H166" s="2259"/>
      <c r="I166" s="2259"/>
      <c r="J166" s="2259"/>
      <c r="K166" s="2259"/>
      <c r="S166" s="2277"/>
      <c r="T166" s="2218"/>
      <c r="U166" s="2280"/>
      <c r="V166" s="2281"/>
      <c r="W166" s="2261"/>
      <c r="X166" s="2277"/>
    </row>
    <row r="167" spans="1:24">
      <c r="A167" s="2255">
        <v>44629.291666666701</v>
      </c>
      <c r="B167" s="2276">
        <f t="shared" si="6"/>
        <v>-6.1349693251533744E-3</v>
      </c>
      <c r="C167" s="2258">
        <v>22680</v>
      </c>
      <c r="D167" s="2276">
        <f t="shared" si="7"/>
        <v>-8.4871543735402691E-2</v>
      </c>
      <c r="E167" s="2258">
        <v>24293</v>
      </c>
      <c r="F167" s="2276">
        <f t="shared" si="8"/>
        <v>-6.3725490196078427E-2</v>
      </c>
      <c r="G167" s="2258">
        <v>191</v>
      </c>
      <c r="H167" s="2259"/>
      <c r="I167" s="2259"/>
      <c r="J167" s="2259"/>
      <c r="K167" s="2259"/>
      <c r="S167" s="2277"/>
      <c r="T167" s="2218"/>
      <c r="U167" s="2280"/>
      <c r="V167" s="2281"/>
      <c r="W167" s="2261"/>
      <c r="X167" s="2277"/>
    </row>
    <row r="168" spans="1:24">
      <c r="A168" s="2255">
        <v>44630.291666666701</v>
      </c>
      <c r="B168" s="2276">
        <f t="shared" si="6"/>
        <v>-6.5731814198071864E-3</v>
      </c>
      <c r="C168" s="2258">
        <v>22670</v>
      </c>
      <c r="D168" s="2276">
        <f t="shared" si="7"/>
        <v>-7.3382053793415197E-2</v>
      </c>
      <c r="E168" s="2258">
        <v>24598</v>
      </c>
      <c r="F168" s="2276">
        <f t="shared" si="8"/>
        <v>-6.3725490196078427E-2</v>
      </c>
      <c r="G168" s="2258">
        <v>191</v>
      </c>
      <c r="H168" s="2259"/>
      <c r="I168" s="2259"/>
      <c r="J168" s="2259"/>
      <c r="K168" s="2259"/>
      <c r="S168" s="2277"/>
      <c r="T168" s="2218"/>
      <c r="U168" s="2280"/>
      <c r="V168" s="2281"/>
      <c r="W168" s="2261"/>
      <c r="X168" s="2277"/>
    </row>
    <row r="169" spans="1:24">
      <c r="A169" s="2255">
        <v>44631.291666666701</v>
      </c>
      <c r="B169" s="2276">
        <f t="shared" si="6"/>
        <v>-5.2585451358457495E-3</v>
      </c>
      <c r="C169" s="2258">
        <v>22700</v>
      </c>
      <c r="D169" s="2276">
        <f t="shared" si="7"/>
        <v>-7.7601145181948314E-2</v>
      </c>
      <c r="E169" s="2258">
        <v>24486</v>
      </c>
      <c r="F169" s="2276">
        <f t="shared" si="8"/>
        <v>-6.8627450980392163E-2</v>
      </c>
      <c r="G169" s="2258">
        <v>190</v>
      </c>
      <c r="H169" s="2259"/>
      <c r="I169" s="2259"/>
      <c r="J169" s="2259"/>
      <c r="K169" s="2259"/>
      <c r="S169" s="2277"/>
      <c r="T169" s="2218"/>
      <c r="U169" s="2280"/>
      <c r="V169" s="2281"/>
      <c r="W169" s="2261"/>
      <c r="X169" s="2277"/>
    </row>
    <row r="170" spans="1:24">
      <c r="A170" s="2255">
        <v>44634.291666666701</v>
      </c>
      <c r="B170" s="2276">
        <f t="shared" si="6"/>
        <v>-4.3821209465381246E-3</v>
      </c>
      <c r="C170" s="2258">
        <v>22720</v>
      </c>
      <c r="D170" s="2276">
        <f t="shared" si="7"/>
        <v>-8.3779100429443226E-2</v>
      </c>
      <c r="E170" s="2258">
        <v>24322</v>
      </c>
      <c r="F170" s="2276">
        <f t="shared" si="8"/>
        <v>-7.8431372549019607E-2</v>
      </c>
      <c r="G170" s="2258">
        <v>188</v>
      </c>
      <c r="H170" s="2259"/>
      <c r="I170" s="2259"/>
      <c r="J170" s="2259"/>
      <c r="K170" s="2259"/>
      <c r="S170" s="2277"/>
      <c r="T170" s="2218"/>
      <c r="U170" s="2280"/>
      <c r="V170" s="2281"/>
      <c r="W170" s="2261"/>
      <c r="X170" s="2277"/>
    </row>
    <row r="171" spans="1:24">
      <c r="A171" s="2255">
        <v>44635.291666666701</v>
      </c>
      <c r="B171" s="2276">
        <f t="shared" si="6"/>
        <v>-4.3821209465381246E-3</v>
      </c>
      <c r="C171" s="2258">
        <v>22720</v>
      </c>
      <c r="D171" s="2276">
        <f t="shared" si="7"/>
        <v>-7.9974384087998188E-2</v>
      </c>
      <c r="E171" s="2258">
        <v>24423</v>
      </c>
      <c r="F171" s="2276">
        <f t="shared" si="8"/>
        <v>-7.8431372549019607E-2</v>
      </c>
      <c r="G171" s="2258">
        <v>188</v>
      </c>
      <c r="H171" s="2259"/>
      <c r="I171" s="2259"/>
      <c r="J171" s="2259"/>
      <c r="K171" s="2259"/>
      <c r="S171" s="2277"/>
      <c r="T171" s="2218"/>
      <c r="U171" s="2280"/>
      <c r="V171" s="2281"/>
      <c r="W171" s="2261"/>
      <c r="X171" s="2277"/>
    </row>
    <row r="172" spans="1:24">
      <c r="A172" s="2255">
        <v>44636.291666666701</v>
      </c>
      <c r="B172" s="2276">
        <f t="shared" si="6"/>
        <v>-4.8203330411919366E-3</v>
      </c>
      <c r="C172" s="2258">
        <v>22710</v>
      </c>
      <c r="D172" s="2276">
        <f t="shared" si="7"/>
        <v>-7.9710690876214879E-2</v>
      </c>
      <c r="E172" s="2258">
        <v>24430</v>
      </c>
      <c r="F172" s="2276">
        <f t="shared" si="8"/>
        <v>-8.3333333333333329E-2</v>
      </c>
      <c r="G172" s="2258">
        <v>187</v>
      </c>
      <c r="H172" s="2259"/>
      <c r="I172" s="2259"/>
      <c r="J172" s="2259"/>
      <c r="K172" s="2259"/>
      <c r="S172" s="2277"/>
      <c r="T172" s="2218"/>
      <c r="U172" s="2280"/>
      <c r="V172" s="2281"/>
      <c r="W172" s="2261"/>
      <c r="X172" s="2277"/>
    </row>
    <row r="173" spans="1:24">
      <c r="A173" s="2255">
        <v>44637.291666666701</v>
      </c>
      <c r="B173" s="2276">
        <f t="shared" si="6"/>
        <v>-4.8203330411919366E-3</v>
      </c>
      <c r="C173" s="2258">
        <v>22710</v>
      </c>
      <c r="D173" s="2276">
        <f t="shared" si="7"/>
        <v>-7.3495065169893764E-2</v>
      </c>
      <c r="E173" s="2258">
        <v>24595</v>
      </c>
      <c r="F173" s="2276">
        <f t="shared" si="8"/>
        <v>-8.3333333333333329E-2</v>
      </c>
      <c r="G173" s="2258">
        <v>187</v>
      </c>
      <c r="H173" s="2259"/>
      <c r="I173" s="2259"/>
      <c r="J173" s="2259"/>
      <c r="K173" s="2259"/>
      <c r="S173" s="2277"/>
      <c r="T173" s="2218"/>
      <c r="U173" s="2280"/>
      <c r="V173" s="2281"/>
      <c r="W173" s="2261"/>
      <c r="X173" s="2277"/>
    </row>
    <row r="174" spans="1:24">
      <c r="A174" s="2255">
        <v>44638.291666666701</v>
      </c>
      <c r="B174" s="2276">
        <f t="shared" si="6"/>
        <v>-5.6967572304995615E-3</v>
      </c>
      <c r="C174" s="2258">
        <v>22690</v>
      </c>
      <c r="D174" s="2276">
        <f t="shared" si="7"/>
        <v>-7.0782792134408204E-2</v>
      </c>
      <c r="E174" s="2258">
        <v>24667</v>
      </c>
      <c r="F174" s="2276">
        <f t="shared" si="8"/>
        <v>-8.3333333333333329E-2</v>
      </c>
      <c r="G174" s="2258">
        <v>187</v>
      </c>
      <c r="H174" s="2259"/>
      <c r="I174" s="2259"/>
      <c r="J174" s="2259"/>
      <c r="K174" s="2259"/>
      <c r="S174" s="2277"/>
      <c r="T174" s="2218"/>
      <c r="U174" s="2280"/>
      <c r="V174" s="2281"/>
      <c r="W174" s="2261"/>
      <c r="X174" s="2277"/>
    </row>
    <row r="175" spans="1:24">
      <c r="A175" s="2255">
        <v>44641.291666666701</v>
      </c>
      <c r="B175" s="2276">
        <f t="shared" si="6"/>
        <v>-5.2585451358457495E-3</v>
      </c>
      <c r="C175" s="2258">
        <v>22700</v>
      </c>
      <c r="D175" s="2276">
        <f t="shared" si="7"/>
        <v>-7.2666315075717622E-2</v>
      </c>
      <c r="E175" s="2258">
        <v>24617</v>
      </c>
      <c r="F175" s="2276">
        <f t="shared" si="8"/>
        <v>-8.3333333333333329E-2</v>
      </c>
      <c r="G175" s="2258">
        <v>187</v>
      </c>
      <c r="H175" s="2259"/>
      <c r="I175" s="2259"/>
      <c r="J175" s="2259"/>
      <c r="K175" s="2259"/>
      <c r="S175" s="2277"/>
      <c r="T175" s="2218"/>
      <c r="U175" s="2280"/>
      <c r="V175" s="2281"/>
      <c r="W175" s="2261"/>
      <c r="X175" s="2277"/>
    </row>
    <row r="176" spans="1:24">
      <c r="A176" s="2255">
        <v>44642.291666666701</v>
      </c>
      <c r="B176" s="2276">
        <f t="shared" si="6"/>
        <v>-5.039439088518843E-3</v>
      </c>
      <c r="C176" s="2258">
        <v>22705</v>
      </c>
      <c r="D176" s="2276">
        <f t="shared" si="7"/>
        <v>-7.8731258946733967E-2</v>
      </c>
      <c r="E176" s="2258">
        <v>24456</v>
      </c>
      <c r="F176" s="2276">
        <f t="shared" si="8"/>
        <v>-9.3137254901960786E-2</v>
      </c>
      <c r="G176" s="2258">
        <v>185</v>
      </c>
      <c r="H176" s="2259"/>
      <c r="I176" s="2259"/>
      <c r="J176" s="2259"/>
      <c r="K176" s="2259"/>
      <c r="S176" s="2277"/>
      <c r="T176" s="2218"/>
      <c r="U176" s="2280"/>
      <c r="V176" s="2281"/>
      <c r="W176" s="2261"/>
      <c r="X176" s="2277"/>
    </row>
    <row r="177" spans="1:24">
      <c r="A177" s="2255">
        <v>44643.291666666701</v>
      </c>
      <c r="B177" s="2276">
        <f t="shared" si="6"/>
        <v>-4.8203330411919366E-3</v>
      </c>
      <c r="C177" s="2258">
        <v>22710</v>
      </c>
      <c r="D177" s="2276">
        <f t="shared" si="7"/>
        <v>-7.4436826640548487E-2</v>
      </c>
      <c r="E177" s="2258">
        <v>24570</v>
      </c>
      <c r="F177" s="2276">
        <f t="shared" si="8"/>
        <v>-9.8039215686274508E-2</v>
      </c>
      <c r="G177" s="2258">
        <v>184</v>
      </c>
      <c r="H177" s="2259"/>
      <c r="I177" s="2259"/>
      <c r="J177" s="2259"/>
      <c r="K177" s="2259"/>
      <c r="S177" s="2277"/>
      <c r="T177" s="2218"/>
      <c r="U177" s="2280"/>
      <c r="V177" s="2281"/>
      <c r="W177" s="2261"/>
      <c r="X177" s="2277"/>
    </row>
    <row r="178" spans="1:24">
      <c r="A178" s="2255">
        <v>44644.291666666701</v>
      </c>
      <c r="B178" s="2276">
        <f t="shared" si="6"/>
        <v>-5.039439088518843E-3</v>
      </c>
      <c r="C178" s="2258">
        <v>22705</v>
      </c>
      <c r="D178" s="2276">
        <f t="shared" si="7"/>
        <v>-7.6320349581857905E-2</v>
      </c>
      <c r="E178" s="2258">
        <v>24520</v>
      </c>
      <c r="F178" s="2276">
        <f t="shared" si="8"/>
        <v>-9.8039215686274508E-2</v>
      </c>
      <c r="G178" s="2258">
        <v>184</v>
      </c>
      <c r="H178" s="2259"/>
      <c r="I178" s="2259"/>
      <c r="J178" s="2259"/>
      <c r="K178" s="2259"/>
      <c r="S178" s="2277"/>
      <c r="T178" s="2218"/>
      <c r="U178" s="2280"/>
      <c r="V178" s="2281"/>
      <c r="W178" s="2261"/>
      <c r="X178" s="2277"/>
    </row>
    <row r="179" spans="1:24">
      <c r="A179" s="2255">
        <v>44645.291666666701</v>
      </c>
      <c r="B179" s="2276">
        <f t="shared" si="6"/>
        <v>-5.2585451358457495E-3</v>
      </c>
      <c r="C179" s="2258">
        <v>22700</v>
      </c>
      <c r="D179" s="2276">
        <f t="shared" si="7"/>
        <v>-7.6094326828900771E-2</v>
      </c>
      <c r="E179" s="2258">
        <v>24526</v>
      </c>
      <c r="F179" s="2276">
        <f t="shared" si="8"/>
        <v>-0.10784313725490197</v>
      </c>
      <c r="G179" s="2258">
        <v>182</v>
      </c>
      <c r="H179" s="2259"/>
      <c r="I179" s="2259"/>
      <c r="J179" s="2259"/>
      <c r="K179" s="2259"/>
      <c r="S179" s="2277"/>
      <c r="T179" s="2218"/>
      <c r="U179" s="2280"/>
      <c r="V179" s="2281"/>
      <c r="W179" s="2261"/>
      <c r="X179" s="2277"/>
    </row>
    <row r="180" spans="1:24">
      <c r="A180" s="2255">
        <v>44648.291666666701</v>
      </c>
      <c r="B180" s="2276">
        <f t="shared" si="6"/>
        <v>-5.039439088518843E-3</v>
      </c>
      <c r="C180" s="2258">
        <v>22705</v>
      </c>
      <c r="D180" s="2276">
        <f t="shared" si="7"/>
        <v>-8.0162736382129132E-2</v>
      </c>
      <c r="E180" s="2258">
        <v>24418</v>
      </c>
      <c r="F180" s="2276">
        <f t="shared" si="8"/>
        <v>-0.11764705882352941</v>
      </c>
      <c r="G180" s="2258">
        <v>180</v>
      </c>
      <c r="H180" s="2259"/>
      <c r="I180" s="2259"/>
      <c r="J180" s="2259"/>
      <c r="K180" s="2259"/>
      <c r="S180" s="2277"/>
      <c r="T180" s="2218"/>
      <c r="U180" s="2280"/>
      <c r="V180" s="2281"/>
      <c r="W180" s="2261"/>
      <c r="X180" s="2277"/>
    </row>
    <row r="181" spans="1:24">
      <c r="A181" s="2255">
        <v>44649.291666666701</v>
      </c>
      <c r="B181" s="2276">
        <f t="shared" si="6"/>
        <v>-4.8203330411919366E-3</v>
      </c>
      <c r="C181" s="2258">
        <v>22710</v>
      </c>
      <c r="D181" s="2276">
        <f t="shared" si="7"/>
        <v>-7.8542906652603023E-2</v>
      </c>
      <c r="E181" s="2258">
        <v>24461</v>
      </c>
      <c r="F181" s="2276">
        <f t="shared" si="8"/>
        <v>-0.12254901960784313</v>
      </c>
      <c r="G181" s="2258">
        <v>179</v>
      </c>
      <c r="H181" s="2259"/>
      <c r="I181" s="2259"/>
      <c r="J181" s="2259"/>
      <c r="K181" s="2259"/>
      <c r="S181" s="2277"/>
      <c r="T181" s="2218"/>
      <c r="U181" s="2280"/>
      <c r="V181" s="2281"/>
      <c r="W181" s="2261"/>
      <c r="X181" s="2277"/>
    </row>
    <row r="182" spans="1:24">
      <c r="A182" s="2255">
        <v>44650.291666666701</v>
      </c>
      <c r="B182" s="2276">
        <f t="shared" si="6"/>
        <v>-5.6967572304995615E-3</v>
      </c>
      <c r="C182" s="2258">
        <v>22690</v>
      </c>
      <c r="D182" s="2276">
        <f t="shared" si="7"/>
        <v>-6.7769155428313119E-2</v>
      </c>
      <c r="E182" s="2258">
        <v>24747</v>
      </c>
      <c r="F182" s="2276">
        <f t="shared" si="8"/>
        <v>-0.10784313725490197</v>
      </c>
      <c r="G182" s="2258">
        <v>182</v>
      </c>
      <c r="H182" s="2259"/>
      <c r="I182" s="2259"/>
      <c r="J182" s="2259"/>
      <c r="K182" s="2259"/>
      <c r="S182" s="2277"/>
      <c r="T182" s="2218"/>
      <c r="U182" s="2280"/>
      <c r="V182" s="2281"/>
      <c r="W182" s="2261"/>
      <c r="X182" s="2277"/>
    </row>
    <row r="183" spans="1:24">
      <c r="A183" s="2255">
        <v>44651.291666666701</v>
      </c>
      <c r="B183" s="2276">
        <f t="shared" si="6"/>
        <v>-6.5731814198071864E-3</v>
      </c>
      <c r="C183" s="2258">
        <v>22670</v>
      </c>
      <c r="D183" s="2276">
        <f t="shared" si="7"/>
        <v>-6.3889098169215702E-2</v>
      </c>
      <c r="E183" s="2258">
        <v>24850</v>
      </c>
      <c r="F183" s="2276">
        <f t="shared" si="8"/>
        <v>-0.10784313725490197</v>
      </c>
      <c r="G183" s="2258">
        <v>182</v>
      </c>
      <c r="H183" s="2259"/>
      <c r="I183" s="2259"/>
      <c r="J183" s="2259"/>
      <c r="K183" s="2259"/>
      <c r="S183" s="2277"/>
      <c r="T183" s="2218"/>
      <c r="U183" s="2280"/>
      <c r="V183" s="2281"/>
      <c r="W183" s="2261"/>
      <c r="X183" s="2277"/>
    </row>
    <row r="184" spans="1:24">
      <c r="A184" s="2255">
        <v>44652.291666666701</v>
      </c>
      <c r="B184" s="2276">
        <f t="shared" si="6"/>
        <v>-6.5731814198071864E-3</v>
      </c>
      <c r="C184" s="2258">
        <v>22670</v>
      </c>
      <c r="D184" s="2276">
        <f t="shared" si="7"/>
        <v>-7.2176599110977166E-2</v>
      </c>
      <c r="E184" s="2258">
        <v>24630</v>
      </c>
      <c r="F184" s="2276">
        <f t="shared" si="8"/>
        <v>-0.10784313725490197</v>
      </c>
      <c r="G184" s="2258">
        <v>182</v>
      </c>
      <c r="H184" s="2259"/>
      <c r="I184" s="2259"/>
      <c r="J184" s="2259"/>
      <c r="K184" s="2259"/>
      <c r="S184" s="2277"/>
      <c r="T184" s="2218"/>
      <c r="U184" s="2280"/>
      <c r="V184" s="2281"/>
      <c r="W184" s="2261"/>
      <c r="X184" s="2277"/>
    </row>
    <row r="185" spans="1:24">
      <c r="A185" s="2255">
        <v>44655.291666666701</v>
      </c>
      <c r="B185" s="2276">
        <f t="shared" si="6"/>
        <v>-6.5731814198071864E-3</v>
      </c>
      <c r="C185" s="2258">
        <v>22670</v>
      </c>
      <c r="D185" s="2276">
        <f t="shared" si="7"/>
        <v>-7.3871769758155653E-2</v>
      </c>
      <c r="E185" s="2258">
        <v>24585</v>
      </c>
      <c r="F185" s="2276">
        <f t="shared" si="8"/>
        <v>-0.11274509803921569</v>
      </c>
      <c r="G185" s="2258">
        <v>181</v>
      </c>
      <c r="H185" s="2259"/>
      <c r="I185" s="2259"/>
      <c r="J185" s="2259"/>
      <c r="K185" s="2259"/>
      <c r="S185" s="2277"/>
      <c r="T185" s="2218"/>
      <c r="U185" s="2280"/>
      <c r="V185" s="2281"/>
      <c r="W185" s="2261"/>
      <c r="X185" s="2277"/>
    </row>
    <row r="186" spans="1:24">
      <c r="A186" s="2255">
        <v>44656.291666666701</v>
      </c>
      <c r="B186" s="2276">
        <f t="shared" si="6"/>
        <v>-5.2585451358457495E-3</v>
      </c>
      <c r="C186" s="2258">
        <v>22700</v>
      </c>
      <c r="D186" s="2276">
        <f t="shared" si="7"/>
        <v>-7.9786031793867243E-2</v>
      </c>
      <c r="E186" s="2258">
        <v>24428</v>
      </c>
      <c r="F186" s="2276">
        <f t="shared" si="8"/>
        <v>-0.11274509803921569</v>
      </c>
      <c r="G186" s="2258">
        <v>181</v>
      </c>
      <c r="H186" s="2259"/>
      <c r="I186" s="2259"/>
      <c r="J186" s="2259"/>
      <c r="K186" s="2259"/>
      <c r="S186" s="2277"/>
      <c r="T186" s="2218"/>
      <c r="U186" s="2280"/>
      <c r="V186" s="2281"/>
      <c r="W186" s="2261"/>
      <c r="X186" s="2277"/>
    </row>
    <row r="187" spans="1:24">
      <c r="A187" s="2255">
        <v>44657.291666666701</v>
      </c>
      <c r="B187" s="2276">
        <f t="shared" si="6"/>
        <v>-5.2585451358457495E-3</v>
      </c>
      <c r="C187" s="2258">
        <v>22700</v>
      </c>
      <c r="D187" s="2276">
        <f t="shared" si="7"/>
        <v>-8.5737964288405036E-2</v>
      </c>
      <c r="E187" s="2258">
        <v>24270</v>
      </c>
      <c r="F187" s="2276">
        <f t="shared" si="8"/>
        <v>-0.11764705882352941</v>
      </c>
      <c r="G187" s="2258">
        <v>180</v>
      </c>
      <c r="H187" s="2259"/>
      <c r="I187" s="2259"/>
      <c r="J187" s="2259"/>
      <c r="K187" s="2259"/>
      <c r="S187" s="2277"/>
      <c r="T187" s="2218"/>
      <c r="U187" s="2280"/>
      <c r="V187" s="2281"/>
      <c r="W187" s="2261"/>
      <c r="X187" s="2277"/>
    </row>
    <row r="188" spans="1:24">
      <c r="A188" s="2255">
        <v>44658.291666666701</v>
      </c>
      <c r="B188" s="2276">
        <f t="shared" si="6"/>
        <v>-5.6967572304995615E-3</v>
      </c>
      <c r="C188" s="2258">
        <v>22690</v>
      </c>
      <c r="D188" s="2276">
        <f t="shared" si="7"/>
        <v>-8.4796202817750327E-2</v>
      </c>
      <c r="E188" s="2258">
        <v>24295</v>
      </c>
      <c r="F188" s="2276">
        <f t="shared" si="8"/>
        <v>-0.11764705882352941</v>
      </c>
      <c r="G188" s="2258">
        <v>180</v>
      </c>
      <c r="H188" s="2259"/>
      <c r="I188" s="2259"/>
      <c r="J188" s="2259"/>
      <c r="K188" s="2259"/>
      <c r="S188" s="2277"/>
      <c r="T188" s="2218"/>
      <c r="U188" s="2280"/>
      <c r="V188" s="2281"/>
      <c r="W188" s="2261"/>
      <c r="X188" s="2277"/>
    </row>
    <row r="189" spans="1:24">
      <c r="A189" s="2255">
        <v>44659.291666666701</v>
      </c>
      <c r="B189" s="2276">
        <f t="shared" si="6"/>
        <v>-5.6967572304995615E-3</v>
      </c>
      <c r="C189" s="2258">
        <v>22690</v>
      </c>
      <c r="D189" s="2276">
        <f t="shared" si="7"/>
        <v>-8.8412566865064421E-2</v>
      </c>
      <c r="E189" s="2258">
        <v>24199</v>
      </c>
      <c r="F189" s="2276">
        <f t="shared" si="8"/>
        <v>-0.12254901960784313</v>
      </c>
      <c r="G189" s="2258">
        <v>179</v>
      </c>
      <c r="H189" s="2259"/>
      <c r="I189" s="2259"/>
      <c r="J189" s="2259"/>
      <c r="K189" s="2259"/>
      <c r="S189" s="2277"/>
      <c r="T189" s="2218"/>
      <c r="U189" s="2280"/>
      <c r="V189" s="2281"/>
      <c r="W189" s="2261"/>
      <c r="X189" s="2277"/>
    </row>
    <row r="190" spans="1:24">
      <c r="A190" s="2255">
        <v>44663.291666666701</v>
      </c>
      <c r="B190" s="2276">
        <f t="shared" si="6"/>
        <v>-4.601226993865031E-3</v>
      </c>
      <c r="C190" s="2258">
        <v>22715</v>
      </c>
      <c r="D190" s="2276">
        <f t="shared" si="7"/>
        <v>-8.8337225947412043E-2</v>
      </c>
      <c r="E190" s="2258">
        <v>24201</v>
      </c>
      <c r="F190" s="2276">
        <f t="shared" si="8"/>
        <v>-0.13235294117647059</v>
      </c>
      <c r="G190" s="2258">
        <v>177</v>
      </c>
      <c r="H190" s="2259"/>
      <c r="I190" s="2259"/>
      <c r="J190" s="2259"/>
      <c r="K190" s="2259"/>
      <c r="S190" s="2277"/>
      <c r="T190" s="2218"/>
      <c r="U190" s="2280"/>
      <c r="V190" s="2281"/>
      <c r="W190" s="2261"/>
      <c r="X190" s="2277"/>
    </row>
    <row r="191" spans="1:24">
      <c r="A191" s="2255">
        <v>44664.291666666701</v>
      </c>
      <c r="B191" s="2276">
        <f t="shared" si="6"/>
        <v>-4.8203330411919366E-3</v>
      </c>
      <c r="C191" s="2258">
        <v>22710</v>
      </c>
      <c r="D191" s="2276">
        <f t="shared" si="7"/>
        <v>-9.1915919535899948E-2</v>
      </c>
      <c r="E191" s="2258">
        <v>24106</v>
      </c>
      <c r="F191" s="2276">
        <f t="shared" si="8"/>
        <v>-0.13235294117647059</v>
      </c>
      <c r="G191" s="2258">
        <v>177</v>
      </c>
      <c r="H191" s="2259"/>
      <c r="I191" s="2259"/>
      <c r="J191" s="2259"/>
      <c r="K191" s="2259"/>
      <c r="S191" s="2277"/>
      <c r="T191" s="2218"/>
      <c r="U191" s="2280"/>
      <c r="V191" s="2281"/>
      <c r="W191" s="2261"/>
      <c r="X191" s="2277"/>
    </row>
    <row r="192" spans="1:24">
      <c r="A192" s="2255">
        <v>44665.291666666701</v>
      </c>
      <c r="B192" s="2276">
        <f t="shared" si="6"/>
        <v>-3.9439088518843117E-3</v>
      </c>
      <c r="C192" s="2258">
        <v>22730</v>
      </c>
      <c r="D192" s="2276">
        <f t="shared" si="7"/>
        <v>-8.2875009417614706E-2</v>
      </c>
      <c r="E192" s="2258">
        <v>24346</v>
      </c>
      <c r="F192" s="2276">
        <f t="shared" si="8"/>
        <v>-0.12745098039215685</v>
      </c>
      <c r="G192" s="2258">
        <v>178</v>
      </c>
      <c r="H192" s="2259"/>
      <c r="I192" s="2259"/>
      <c r="J192" s="2259"/>
      <c r="K192" s="2259"/>
      <c r="S192" s="2277"/>
      <c r="T192" s="2218"/>
      <c r="U192" s="2280"/>
      <c r="V192" s="2281"/>
      <c r="W192" s="2261"/>
      <c r="X192" s="2277"/>
    </row>
    <row r="193" spans="1:24">
      <c r="A193" s="2255">
        <v>44666.291666666701</v>
      </c>
      <c r="B193" s="2276">
        <f t="shared" si="6"/>
        <v>-3.9439088518843117E-3</v>
      </c>
      <c r="C193" s="2258">
        <v>22730</v>
      </c>
      <c r="D193" s="2276">
        <f t="shared" si="7"/>
        <v>-9.1539214947638059E-2</v>
      </c>
      <c r="E193" s="2258">
        <v>24116</v>
      </c>
      <c r="F193" s="2276">
        <f t="shared" si="8"/>
        <v>-0.13725490196078433</v>
      </c>
      <c r="G193" s="2258">
        <v>176</v>
      </c>
      <c r="H193" s="2259"/>
      <c r="I193" s="2259"/>
      <c r="J193" s="2259"/>
      <c r="K193" s="2259"/>
      <c r="S193" s="2277"/>
      <c r="T193" s="2218"/>
      <c r="U193" s="2280"/>
      <c r="V193" s="2281"/>
      <c r="W193" s="2261"/>
      <c r="X193" s="2277"/>
    </row>
    <row r="194" spans="1:24">
      <c r="A194" s="2255">
        <v>44669.291666666701</v>
      </c>
      <c r="B194" s="2276">
        <f t="shared" si="6"/>
        <v>-3.0674846625766872E-3</v>
      </c>
      <c r="C194" s="2258">
        <v>22750</v>
      </c>
      <c r="D194" s="2276">
        <f t="shared" si="7"/>
        <v>-9.2028930912378515E-2</v>
      </c>
      <c r="E194" s="2258">
        <v>24103</v>
      </c>
      <c r="F194" s="2276">
        <f t="shared" si="8"/>
        <v>-0.13725490196078433</v>
      </c>
      <c r="G194" s="2258">
        <v>176</v>
      </c>
      <c r="H194" s="2259"/>
      <c r="I194" s="2259"/>
      <c r="J194" s="2259"/>
      <c r="K194" s="2259"/>
      <c r="S194" s="2277"/>
      <c r="T194" s="2218"/>
      <c r="U194" s="2280"/>
      <c r="V194" s="2281"/>
      <c r="W194" s="2261"/>
      <c r="X194" s="2277"/>
    </row>
    <row r="195" spans="1:24">
      <c r="A195" s="2255">
        <v>44670.291666666701</v>
      </c>
      <c r="B195" s="2276">
        <f t="shared" si="6"/>
        <v>-1.5337423312883436E-3</v>
      </c>
      <c r="C195" s="2258">
        <v>22785</v>
      </c>
      <c r="D195" s="2276">
        <f t="shared" si="7"/>
        <v>-9.0107737512242894E-2</v>
      </c>
      <c r="E195" s="2258">
        <v>24154</v>
      </c>
      <c r="F195" s="2276">
        <f t="shared" si="8"/>
        <v>-0.14705882352941177</v>
      </c>
      <c r="G195" s="2258">
        <v>174</v>
      </c>
      <c r="H195" s="2259"/>
      <c r="I195" s="2259"/>
      <c r="J195" s="2259"/>
      <c r="K195" s="2259"/>
      <c r="S195" s="2277"/>
      <c r="T195" s="2218"/>
      <c r="U195" s="2280"/>
      <c r="V195" s="2281"/>
      <c r="W195" s="2261"/>
      <c r="X195" s="2277"/>
    </row>
    <row r="196" spans="1:24">
      <c r="A196" s="2255">
        <v>44671.291666666701</v>
      </c>
      <c r="B196" s="2276">
        <f t="shared" si="6"/>
        <v>-1.0955302366345311E-3</v>
      </c>
      <c r="C196" s="2258">
        <v>22795</v>
      </c>
      <c r="D196" s="2276">
        <f t="shared" si="7"/>
        <v>-8.9203646500414374E-2</v>
      </c>
      <c r="E196" s="2258">
        <v>24178</v>
      </c>
      <c r="F196" s="2276">
        <f t="shared" si="8"/>
        <v>-0.14705882352941177</v>
      </c>
      <c r="G196" s="2258">
        <v>174</v>
      </c>
      <c r="H196" s="2259"/>
      <c r="I196" s="2259"/>
      <c r="J196" s="2259"/>
      <c r="K196" s="2259"/>
      <c r="S196" s="2277"/>
      <c r="T196" s="2218"/>
      <c r="U196" s="2280"/>
      <c r="V196" s="2281"/>
      <c r="W196" s="2261"/>
      <c r="X196" s="2277"/>
    </row>
    <row r="197" spans="1:24">
      <c r="A197" s="2255">
        <v>44672.291666666701</v>
      </c>
      <c r="B197" s="2276">
        <f t="shared" si="6"/>
        <v>-1.0955302366345311E-3</v>
      </c>
      <c r="C197" s="2258">
        <v>22795</v>
      </c>
      <c r="D197" s="2276">
        <f t="shared" si="7"/>
        <v>-8.6792737135538311E-2</v>
      </c>
      <c r="E197" s="2258">
        <v>24242</v>
      </c>
      <c r="F197" s="2276">
        <f t="shared" si="8"/>
        <v>-0.14705882352941177</v>
      </c>
      <c r="G197" s="2258">
        <v>174</v>
      </c>
      <c r="H197" s="2259"/>
      <c r="I197" s="2259"/>
      <c r="J197" s="2259"/>
      <c r="K197" s="2259"/>
      <c r="S197" s="2277"/>
      <c r="T197" s="2218"/>
      <c r="U197" s="2280"/>
      <c r="V197" s="2281"/>
      <c r="W197" s="2261"/>
      <c r="X197" s="2277"/>
    </row>
    <row r="198" spans="1:24">
      <c r="A198" s="2255">
        <v>44673.291666666701</v>
      </c>
      <c r="B198" s="2276">
        <f t="shared" si="6"/>
        <v>-8.7642418930762491E-4</v>
      </c>
      <c r="C198" s="2258">
        <v>22800</v>
      </c>
      <c r="D198" s="2276">
        <f t="shared" si="7"/>
        <v>-8.9844044300459586E-2</v>
      </c>
      <c r="E198" s="2258">
        <v>24161</v>
      </c>
      <c r="F198" s="2276">
        <f t="shared" si="8"/>
        <v>-0.14705882352941177</v>
      </c>
      <c r="G198" s="2258">
        <v>174</v>
      </c>
      <c r="H198" s="2259"/>
      <c r="I198" s="2259"/>
      <c r="J198" s="2259"/>
      <c r="K198" s="2259"/>
      <c r="S198" s="2277"/>
      <c r="T198" s="2218"/>
      <c r="U198" s="2280"/>
      <c r="V198" s="2281"/>
      <c r="W198" s="2261"/>
      <c r="X198" s="2277"/>
    </row>
    <row r="199" spans="1:24">
      <c r="A199" s="2255">
        <v>44676.291666666701</v>
      </c>
      <c r="B199" s="2276">
        <f t="shared" si="6"/>
        <v>-4.3821209465381246E-4</v>
      </c>
      <c r="C199" s="2258">
        <v>22810</v>
      </c>
      <c r="D199" s="2276">
        <f t="shared" si="7"/>
        <v>-9.0635123935809539E-2</v>
      </c>
      <c r="E199" s="2258">
        <v>24140</v>
      </c>
      <c r="F199" s="2276">
        <f t="shared" si="8"/>
        <v>-0.14705882352941177</v>
      </c>
      <c r="G199" s="2258">
        <v>174</v>
      </c>
      <c r="H199" s="2259"/>
      <c r="I199" s="2259"/>
      <c r="J199" s="2259"/>
      <c r="K199" s="2259"/>
      <c r="S199" s="2277"/>
      <c r="T199" s="2218"/>
      <c r="U199" s="2280"/>
      <c r="V199" s="2281"/>
      <c r="W199" s="2261"/>
      <c r="X199" s="2277"/>
    </row>
    <row r="200" spans="1:24">
      <c r="A200" s="2255">
        <v>44677.291666666701</v>
      </c>
      <c r="B200" s="2276">
        <f t="shared" si="6"/>
        <v>-4.3821209465381246E-4</v>
      </c>
      <c r="C200" s="2258">
        <v>22810</v>
      </c>
      <c r="D200" s="2276">
        <f t="shared" si="7"/>
        <v>-9.5419272206735475E-2</v>
      </c>
      <c r="E200" s="2258">
        <v>24013</v>
      </c>
      <c r="F200" s="2276">
        <f t="shared" si="8"/>
        <v>-0.14215686274509803</v>
      </c>
      <c r="G200" s="2258">
        <v>175</v>
      </c>
      <c r="H200" s="2259"/>
      <c r="I200" s="2259"/>
      <c r="J200" s="2259"/>
      <c r="K200" s="2259"/>
      <c r="S200" s="2277"/>
      <c r="T200" s="2218"/>
      <c r="U200" s="2280"/>
      <c r="V200" s="2281"/>
      <c r="W200" s="2261"/>
      <c r="X200" s="2277"/>
    </row>
    <row r="201" spans="1:24">
      <c r="A201" s="2255">
        <v>44678.291666666701</v>
      </c>
      <c r="B201" s="2276">
        <f t="shared" si="6"/>
        <v>-1.0955302366345311E-3</v>
      </c>
      <c r="C201" s="2258">
        <v>22795</v>
      </c>
      <c r="D201" s="2276">
        <f t="shared" si="7"/>
        <v>-0.1071347849016801</v>
      </c>
      <c r="E201" s="2258">
        <v>23702</v>
      </c>
      <c r="F201" s="2276">
        <f t="shared" si="8"/>
        <v>-0.14215686274509803</v>
      </c>
      <c r="G201" s="2258">
        <v>175</v>
      </c>
      <c r="H201" s="2259"/>
      <c r="I201" s="2259"/>
      <c r="J201" s="2259"/>
      <c r="K201" s="2259"/>
      <c r="S201" s="2277"/>
      <c r="T201" s="2218"/>
      <c r="U201" s="2280"/>
      <c r="V201" s="2281"/>
      <c r="W201" s="2261"/>
      <c r="X201" s="2277"/>
    </row>
    <row r="202" spans="1:24">
      <c r="A202" s="2255">
        <v>44679.291666666701</v>
      </c>
      <c r="B202" s="2276">
        <f t="shared" ref="B202:B265" si="9">(C202-C$10)/C$10</f>
        <v>-1.7528483786152498E-3</v>
      </c>
      <c r="C202" s="2258">
        <v>22780</v>
      </c>
      <c r="D202" s="2276">
        <f t="shared" ref="D202:D265" si="10">(E202-E$10)/E$10</f>
        <v>-0.11229563776086793</v>
      </c>
      <c r="E202" s="2258">
        <v>23565</v>
      </c>
      <c r="F202" s="2276">
        <f t="shared" ref="F202:F265" si="11">(G202-G$10)/G$10</f>
        <v>-0.16176470588235295</v>
      </c>
      <c r="G202" s="2258">
        <v>171</v>
      </c>
      <c r="H202" s="2259"/>
      <c r="I202" s="2259"/>
      <c r="J202" s="2259"/>
      <c r="K202" s="2259"/>
      <c r="S202" s="2277"/>
      <c r="T202" s="2218"/>
      <c r="U202" s="2280"/>
      <c r="V202" s="2281"/>
      <c r="W202" s="2261"/>
      <c r="X202" s="2277"/>
    </row>
    <row r="203" spans="1:24">
      <c r="A203" s="2255">
        <v>44680.291666666701</v>
      </c>
      <c r="B203" s="2276">
        <f t="shared" si="9"/>
        <v>-1.5337423312883436E-3</v>
      </c>
      <c r="C203" s="2258">
        <v>22785</v>
      </c>
      <c r="D203" s="2276">
        <f t="shared" si="10"/>
        <v>-0.11444285391396067</v>
      </c>
      <c r="E203" s="2258">
        <v>23508</v>
      </c>
      <c r="F203" s="2276">
        <f t="shared" si="11"/>
        <v>-0.16176470588235295</v>
      </c>
      <c r="G203" s="2258">
        <v>171</v>
      </c>
      <c r="H203" s="2259"/>
      <c r="I203" s="2259"/>
      <c r="J203" s="2259"/>
      <c r="K203" s="2259"/>
      <c r="S203" s="2277"/>
      <c r="T203" s="2218"/>
      <c r="U203" s="2280"/>
      <c r="V203" s="2281"/>
      <c r="W203" s="2261"/>
      <c r="X203" s="2277"/>
    </row>
    <row r="204" spans="1:24">
      <c r="A204" s="2255">
        <v>44685.291666666701</v>
      </c>
      <c r="B204" s="2276">
        <f t="shared" si="9"/>
        <v>-8.7642418930762491E-4</v>
      </c>
      <c r="C204" s="2258">
        <v>22800</v>
      </c>
      <c r="D204" s="2276">
        <f t="shared" si="10"/>
        <v>-0.11278535372560838</v>
      </c>
      <c r="E204" s="2258">
        <v>23552</v>
      </c>
      <c r="F204" s="2276">
        <f t="shared" si="11"/>
        <v>-0.15686274509803921</v>
      </c>
      <c r="G204" s="2258">
        <v>172</v>
      </c>
      <c r="H204" s="2259"/>
      <c r="I204" s="2259"/>
      <c r="J204" s="2259"/>
      <c r="K204" s="2259"/>
      <c r="S204" s="2277"/>
      <c r="T204" s="2218"/>
      <c r="U204" s="2280"/>
      <c r="V204" s="2281"/>
      <c r="W204" s="2261"/>
      <c r="X204" s="2277"/>
    </row>
    <row r="205" spans="1:24">
      <c r="A205" s="2255">
        <v>44686.291666666701</v>
      </c>
      <c r="B205" s="2276">
        <f t="shared" si="9"/>
        <v>-1.7528483786152498E-3</v>
      </c>
      <c r="C205" s="2258">
        <v>22780</v>
      </c>
      <c r="D205" s="2276">
        <f t="shared" si="10"/>
        <v>-0.10562796654863256</v>
      </c>
      <c r="E205" s="2258">
        <v>23742</v>
      </c>
      <c r="F205" s="2276">
        <f t="shared" si="11"/>
        <v>-0.15196078431372548</v>
      </c>
      <c r="G205" s="2258">
        <v>173</v>
      </c>
      <c r="H205" s="2259"/>
      <c r="I205" s="2259"/>
      <c r="J205" s="2259"/>
      <c r="K205" s="2259"/>
      <c r="S205" s="2277"/>
      <c r="T205" s="2218"/>
      <c r="U205" s="2280"/>
      <c r="V205" s="2281"/>
      <c r="W205" s="2261"/>
      <c r="X205" s="2277"/>
    </row>
    <row r="206" spans="1:24">
      <c r="A206" s="2255">
        <v>44687.291666666701</v>
      </c>
      <c r="B206" s="2276">
        <f t="shared" si="9"/>
        <v>-1.7528483786152498E-3</v>
      </c>
      <c r="C206" s="2258">
        <v>22780</v>
      </c>
      <c r="D206" s="2276">
        <f t="shared" si="10"/>
        <v>-0.11237097867852031</v>
      </c>
      <c r="E206" s="2258">
        <v>23563</v>
      </c>
      <c r="F206" s="2276">
        <f t="shared" si="11"/>
        <v>-0.16176470588235295</v>
      </c>
      <c r="G206" s="2258">
        <v>171</v>
      </c>
      <c r="H206" s="2262">
        <v>4.2999999999999997E-2</v>
      </c>
      <c r="I206" s="2262">
        <v>3.2000000000000001E-2</v>
      </c>
      <c r="J206" s="2262">
        <v>9.1999999999999998E-2</v>
      </c>
      <c r="K206" s="2262">
        <v>3.2000000000000001E-2</v>
      </c>
      <c r="S206" s="2277"/>
      <c r="T206" s="2218"/>
      <c r="U206" s="2280"/>
      <c r="V206" s="2281"/>
      <c r="W206" s="2261"/>
      <c r="X206" s="2277"/>
    </row>
    <row r="207" spans="1:24">
      <c r="A207" s="2255">
        <v>44690.291666666701</v>
      </c>
      <c r="B207" s="2276">
        <f t="shared" si="9"/>
        <v>-1.5337423312883436E-3</v>
      </c>
      <c r="C207" s="2258">
        <v>22785</v>
      </c>
      <c r="D207" s="2276">
        <f t="shared" si="10"/>
        <v>-0.11470654712574399</v>
      </c>
      <c r="E207" s="2258">
        <v>23501</v>
      </c>
      <c r="F207" s="2276">
        <f t="shared" si="11"/>
        <v>-0.16176470588235295</v>
      </c>
      <c r="G207" s="2258">
        <v>171</v>
      </c>
      <c r="H207" s="2259"/>
      <c r="I207" s="2259"/>
      <c r="J207" s="2259"/>
      <c r="K207" s="2259"/>
      <c r="S207" s="2277"/>
      <c r="T207" s="2218"/>
      <c r="U207" s="2280"/>
      <c r="V207" s="2281"/>
      <c r="W207" s="2261"/>
      <c r="X207" s="2277"/>
    </row>
    <row r="208" spans="1:24">
      <c r="A208" s="2255">
        <v>44691.291666666701</v>
      </c>
      <c r="B208" s="2276">
        <f t="shared" si="9"/>
        <v>-2.4101665205959683E-3</v>
      </c>
      <c r="C208" s="2258">
        <v>22765</v>
      </c>
      <c r="D208" s="2276">
        <f t="shared" si="10"/>
        <v>-0.1104121148195585</v>
      </c>
      <c r="E208" s="2258">
        <v>23615</v>
      </c>
      <c r="F208" s="2276">
        <f t="shared" si="11"/>
        <v>-0.16176470588235295</v>
      </c>
      <c r="G208" s="2258">
        <v>171</v>
      </c>
      <c r="H208" s="2259"/>
      <c r="I208" s="2259"/>
      <c r="J208" s="2259"/>
      <c r="K208" s="2259"/>
      <c r="S208" s="2277"/>
      <c r="T208" s="2218"/>
      <c r="U208" s="2280"/>
      <c r="V208" s="2281"/>
      <c r="W208" s="2261"/>
      <c r="X208" s="2277"/>
    </row>
    <row r="209" spans="1:24">
      <c r="A209" s="2255">
        <v>44692.291666666701</v>
      </c>
      <c r="B209" s="2276">
        <f t="shared" si="9"/>
        <v>3.0674846625766872E-3</v>
      </c>
      <c r="C209" s="2258">
        <v>22890</v>
      </c>
      <c r="D209" s="2276">
        <f t="shared" si="10"/>
        <v>-0.10675808031341821</v>
      </c>
      <c r="E209" s="2258">
        <v>23712</v>
      </c>
      <c r="F209" s="2276">
        <f t="shared" si="11"/>
        <v>-0.15196078431372548</v>
      </c>
      <c r="G209" s="2258">
        <v>173</v>
      </c>
      <c r="H209" s="2259"/>
      <c r="I209" s="2259"/>
      <c r="J209" s="2259"/>
      <c r="K209" s="2259"/>
      <c r="S209" s="2277"/>
      <c r="T209" s="2218"/>
      <c r="U209" s="2280"/>
      <c r="V209" s="2281"/>
      <c r="W209" s="2261"/>
      <c r="X209" s="2277"/>
    </row>
    <row r="210" spans="1:24">
      <c r="A210" s="2255">
        <v>44693.291666666701</v>
      </c>
      <c r="B210" s="2276">
        <f t="shared" si="9"/>
        <v>4.3821209465381246E-3</v>
      </c>
      <c r="C210" s="2258">
        <v>22920</v>
      </c>
      <c r="D210" s="2276">
        <f t="shared" si="10"/>
        <v>-0.11508325171400588</v>
      </c>
      <c r="E210" s="2258">
        <v>23491</v>
      </c>
      <c r="F210" s="2276">
        <f t="shared" si="11"/>
        <v>-0.14215686274509803</v>
      </c>
      <c r="G210" s="2258">
        <v>175</v>
      </c>
      <c r="H210" s="2259"/>
      <c r="I210" s="2259"/>
      <c r="J210" s="2259"/>
      <c r="K210" s="2259"/>
      <c r="S210" s="2277"/>
      <c r="T210" s="2218"/>
      <c r="U210" s="2280"/>
      <c r="V210" s="2281"/>
      <c r="W210" s="2261"/>
      <c r="X210" s="2277"/>
    </row>
    <row r="211" spans="1:24">
      <c r="A211" s="2255">
        <v>44694.291666666701</v>
      </c>
      <c r="B211" s="2276">
        <f t="shared" si="9"/>
        <v>4.3821209465381246E-3</v>
      </c>
      <c r="C211" s="2258">
        <v>22920</v>
      </c>
      <c r="D211" s="2276">
        <f t="shared" si="10"/>
        <v>-0.12050779778497703</v>
      </c>
      <c r="E211" s="2258">
        <v>23347</v>
      </c>
      <c r="F211" s="2276">
        <f t="shared" si="11"/>
        <v>-0.14215686274509803</v>
      </c>
      <c r="G211" s="2258">
        <v>175</v>
      </c>
      <c r="H211" s="2259"/>
      <c r="I211" s="2259"/>
      <c r="J211" s="2259"/>
      <c r="K211" s="2259"/>
      <c r="S211" s="2277"/>
      <c r="T211" s="2218"/>
      <c r="U211" s="2280"/>
      <c r="V211" s="2281"/>
      <c r="W211" s="2261"/>
      <c r="X211" s="2277"/>
    </row>
    <row r="212" spans="1:24">
      <c r="A212" s="2255">
        <v>44697.291666666701</v>
      </c>
      <c r="B212" s="2276">
        <f t="shared" si="9"/>
        <v>4.3821209465381246E-3</v>
      </c>
      <c r="C212" s="2258">
        <v>22920</v>
      </c>
      <c r="D212" s="2276">
        <f t="shared" si="10"/>
        <v>-0.11805921796127476</v>
      </c>
      <c r="E212" s="2258">
        <v>23412</v>
      </c>
      <c r="F212" s="2276">
        <f t="shared" si="11"/>
        <v>-0.15196078431372548</v>
      </c>
      <c r="G212" s="2258">
        <v>173</v>
      </c>
      <c r="H212" s="2259"/>
      <c r="I212" s="2259"/>
      <c r="J212" s="2259"/>
      <c r="K212" s="2259"/>
      <c r="S212" s="2277"/>
      <c r="T212" s="2218"/>
      <c r="U212" s="2280"/>
      <c r="V212" s="2281"/>
      <c r="W212" s="2261"/>
      <c r="X212" s="2277"/>
    </row>
    <row r="213" spans="1:24">
      <c r="A213" s="2255">
        <v>44698.291666666701</v>
      </c>
      <c r="B213" s="2276">
        <f t="shared" si="9"/>
        <v>6.1349693251533744E-3</v>
      </c>
      <c r="C213" s="2258">
        <v>22960</v>
      </c>
      <c r="D213" s="2276">
        <f t="shared" si="10"/>
        <v>-0.11203194454908461</v>
      </c>
      <c r="E213" s="2258">
        <v>23572</v>
      </c>
      <c r="F213" s="2276">
        <f t="shared" si="11"/>
        <v>-0.14705882352941177</v>
      </c>
      <c r="G213" s="2258">
        <v>174</v>
      </c>
      <c r="H213" s="2259"/>
      <c r="I213" s="2259"/>
      <c r="J213" s="2259"/>
      <c r="K213" s="2259"/>
      <c r="S213" s="2277"/>
      <c r="T213" s="2218"/>
      <c r="U213" s="2280"/>
      <c r="V213" s="2281"/>
      <c r="W213" s="2261"/>
      <c r="X213" s="2277"/>
    </row>
    <row r="214" spans="1:24">
      <c r="A214" s="2255">
        <v>44699.291666666701</v>
      </c>
      <c r="B214" s="2276">
        <f t="shared" si="9"/>
        <v>6.5731814198071864E-3</v>
      </c>
      <c r="C214" s="2258">
        <v>22970</v>
      </c>
      <c r="D214" s="2276">
        <f t="shared" si="10"/>
        <v>-0.10781285316055149</v>
      </c>
      <c r="E214" s="2258">
        <v>23684</v>
      </c>
      <c r="F214" s="2276">
        <f t="shared" si="11"/>
        <v>-0.14705882352941177</v>
      </c>
      <c r="G214" s="2258">
        <v>174</v>
      </c>
      <c r="H214" s="2259"/>
      <c r="I214" s="2259"/>
      <c r="J214" s="2259"/>
      <c r="K214" s="2259"/>
      <c r="S214" s="2277"/>
      <c r="T214" s="2218"/>
      <c r="U214" s="2280"/>
      <c r="V214" s="2281"/>
      <c r="W214" s="2261"/>
      <c r="X214" s="2277"/>
    </row>
    <row r="215" spans="1:24">
      <c r="A215" s="2255">
        <v>44700.291666666701</v>
      </c>
      <c r="B215" s="2276">
        <f t="shared" si="9"/>
        <v>7.6687116564417178E-3</v>
      </c>
      <c r="C215" s="2258">
        <v>22995</v>
      </c>
      <c r="D215" s="2276">
        <f t="shared" si="10"/>
        <v>-0.108114216831161</v>
      </c>
      <c r="E215" s="2258">
        <v>23676</v>
      </c>
      <c r="F215" s="2276">
        <f t="shared" si="11"/>
        <v>-0.13725490196078433</v>
      </c>
      <c r="G215" s="2258">
        <v>176</v>
      </c>
      <c r="H215" s="2259"/>
      <c r="I215" s="2259"/>
      <c r="J215" s="2259"/>
      <c r="K215" s="2259"/>
      <c r="S215" s="2277"/>
      <c r="T215" s="2218"/>
      <c r="U215" s="2280"/>
      <c r="V215" s="2281"/>
      <c r="W215" s="2261"/>
      <c r="X215" s="2277"/>
    </row>
    <row r="216" spans="1:24">
      <c r="A216" s="2255">
        <v>44701.291666666701</v>
      </c>
      <c r="B216" s="2276">
        <f t="shared" si="9"/>
        <v>7.8878177037686233E-3</v>
      </c>
      <c r="C216" s="2258">
        <v>23000</v>
      </c>
      <c r="D216" s="2276">
        <f t="shared" si="10"/>
        <v>-0.10042944323061855</v>
      </c>
      <c r="E216" s="2258">
        <v>23880</v>
      </c>
      <c r="F216" s="2276">
        <f t="shared" si="11"/>
        <v>-0.13725490196078433</v>
      </c>
      <c r="G216" s="2258">
        <v>176</v>
      </c>
      <c r="H216" s="2259"/>
      <c r="I216" s="2259"/>
      <c r="J216" s="2259"/>
      <c r="K216" s="2259"/>
      <c r="S216" s="2277"/>
      <c r="T216" s="2218"/>
      <c r="U216" s="2280"/>
      <c r="V216" s="2281"/>
      <c r="W216" s="2261"/>
      <c r="X216" s="2277"/>
    </row>
    <row r="217" spans="1:24">
      <c r="A217" s="2255">
        <v>44704.291666666701</v>
      </c>
      <c r="B217" s="2276">
        <f t="shared" si="9"/>
        <v>8.1069237510955298E-3</v>
      </c>
      <c r="C217" s="2258">
        <v>23005</v>
      </c>
      <c r="D217" s="2276">
        <f t="shared" si="10"/>
        <v>-9.9676034054094781E-2</v>
      </c>
      <c r="E217" s="2258">
        <v>23900</v>
      </c>
      <c r="F217" s="2276">
        <f t="shared" si="11"/>
        <v>-0.13725490196078433</v>
      </c>
      <c r="G217" s="2258">
        <v>176</v>
      </c>
      <c r="H217" s="2259"/>
      <c r="I217" s="2259"/>
      <c r="J217" s="2259"/>
      <c r="K217" s="2259"/>
      <c r="S217" s="2277"/>
      <c r="T217" s="2218"/>
      <c r="U217" s="2280"/>
      <c r="V217" s="2281"/>
      <c r="W217" s="2261"/>
      <c r="X217" s="2277"/>
    </row>
    <row r="218" spans="1:24">
      <c r="A218" s="2255">
        <v>44705.291666666701</v>
      </c>
      <c r="B218" s="2276">
        <f t="shared" si="9"/>
        <v>9.6406660823838732E-3</v>
      </c>
      <c r="C218" s="2258">
        <v>23040</v>
      </c>
      <c r="D218" s="2276">
        <f t="shared" si="10"/>
        <v>-8.720711218262639E-2</v>
      </c>
      <c r="E218" s="2258">
        <v>24231</v>
      </c>
      <c r="F218" s="2276">
        <f t="shared" si="11"/>
        <v>-0.13235294117647059</v>
      </c>
      <c r="G218" s="2258">
        <v>177</v>
      </c>
      <c r="H218" s="2259"/>
      <c r="I218" s="2259"/>
      <c r="J218" s="2259"/>
      <c r="K218" s="2259"/>
      <c r="S218" s="2277"/>
      <c r="T218" s="2218"/>
      <c r="U218" s="2280"/>
      <c r="V218" s="2281"/>
      <c r="W218" s="2261"/>
      <c r="X218" s="2277"/>
    </row>
    <row r="219" spans="1:24">
      <c r="A219" s="2255">
        <v>44706.291666666701</v>
      </c>
      <c r="B219" s="2276">
        <f t="shared" si="9"/>
        <v>9.6406660823838732E-3</v>
      </c>
      <c r="C219" s="2258">
        <v>23040</v>
      </c>
      <c r="D219" s="2276">
        <f t="shared" si="10"/>
        <v>-8.7998191817976343E-2</v>
      </c>
      <c r="E219" s="2258">
        <v>24210</v>
      </c>
      <c r="F219" s="2276">
        <f t="shared" si="11"/>
        <v>-0.12745098039215685</v>
      </c>
      <c r="G219" s="2258">
        <v>178</v>
      </c>
      <c r="H219" s="2259"/>
      <c r="I219" s="2259"/>
      <c r="J219" s="2259"/>
      <c r="K219" s="2259"/>
      <c r="S219" s="2277"/>
      <c r="T219" s="2218"/>
      <c r="U219" s="2280"/>
      <c r="V219" s="2281"/>
      <c r="W219" s="2261"/>
      <c r="X219" s="2277"/>
    </row>
    <row r="220" spans="1:24">
      <c r="A220" s="2255">
        <v>44707.291666666701</v>
      </c>
      <c r="B220" s="2276">
        <f t="shared" si="9"/>
        <v>9.202453987730062E-3</v>
      </c>
      <c r="C220" s="2258">
        <v>23030</v>
      </c>
      <c r="D220" s="2276">
        <f t="shared" si="10"/>
        <v>-8.9052964665109619E-2</v>
      </c>
      <c r="E220" s="2258">
        <v>24182</v>
      </c>
      <c r="F220" s="2276">
        <f t="shared" si="11"/>
        <v>-0.13235294117647059</v>
      </c>
      <c r="G220" s="2258">
        <v>177</v>
      </c>
      <c r="H220" s="2259"/>
      <c r="I220" s="2259"/>
      <c r="J220" s="2259"/>
      <c r="K220" s="2259"/>
      <c r="S220" s="2277"/>
      <c r="T220" s="2218"/>
      <c r="U220" s="2280"/>
      <c r="V220" s="2281"/>
      <c r="W220" s="2261"/>
      <c r="X220" s="2277"/>
    </row>
    <row r="221" spans="1:24">
      <c r="A221" s="2255">
        <v>44708.291666666701</v>
      </c>
      <c r="B221" s="2276">
        <f t="shared" si="9"/>
        <v>9.202453987730062E-3</v>
      </c>
      <c r="C221" s="2258">
        <v>23030</v>
      </c>
      <c r="D221" s="2276">
        <f t="shared" si="10"/>
        <v>-8.6001657500188358E-2</v>
      </c>
      <c r="E221" s="2258">
        <v>24263</v>
      </c>
      <c r="F221" s="2276">
        <f t="shared" si="11"/>
        <v>-0.12745098039215685</v>
      </c>
      <c r="G221" s="2258">
        <v>178</v>
      </c>
      <c r="H221" s="2259"/>
      <c r="I221" s="2259"/>
      <c r="J221" s="2259"/>
      <c r="K221" s="2259"/>
      <c r="S221" s="2277"/>
      <c r="T221" s="2218"/>
      <c r="U221" s="2280"/>
      <c r="V221" s="2281"/>
      <c r="W221" s="2261"/>
      <c r="X221" s="2277"/>
    </row>
    <row r="222" spans="1:24">
      <c r="A222" s="2255">
        <v>44711.291666666701</v>
      </c>
      <c r="B222" s="2276">
        <f t="shared" si="9"/>
        <v>8.7642418930762491E-3</v>
      </c>
      <c r="C222" s="2258">
        <v>23020</v>
      </c>
      <c r="D222" s="2276">
        <f t="shared" si="10"/>
        <v>-8.68304075943645E-2</v>
      </c>
      <c r="E222" s="2258">
        <v>24241</v>
      </c>
      <c r="F222" s="2276">
        <f t="shared" si="11"/>
        <v>-0.13235294117647059</v>
      </c>
      <c r="G222" s="2258">
        <v>177</v>
      </c>
      <c r="H222" s="2259"/>
      <c r="I222" s="2259"/>
      <c r="J222" s="2259"/>
      <c r="K222" s="2259"/>
      <c r="S222" s="2277"/>
      <c r="T222" s="2218"/>
      <c r="U222" s="2280"/>
      <c r="V222" s="2281"/>
      <c r="W222" s="2261"/>
      <c r="X222" s="2277"/>
    </row>
    <row r="223" spans="1:24">
      <c r="A223" s="2255">
        <v>44712.291666666701</v>
      </c>
      <c r="B223" s="2276">
        <f t="shared" si="9"/>
        <v>8.7642418930762491E-3</v>
      </c>
      <c r="C223" s="2258">
        <v>23020</v>
      </c>
      <c r="D223" s="2276">
        <f t="shared" si="10"/>
        <v>-8.5285918782490769E-2</v>
      </c>
      <c r="E223" s="2258">
        <v>24282</v>
      </c>
      <c r="F223" s="2276">
        <f t="shared" si="11"/>
        <v>-0.13725490196078433</v>
      </c>
      <c r="G223" s="2258">
        <v>176</v>
      </c>
      <c r="H223" s="2259"/>
      <c r="I223" s="2259"/>
      <c r="J223" s="2259"/>
      <c r="K223" s="2259"/>
      <c r="S223" s="2277"/>
      <c r="T223" s="2218"/>
      <c r="U223" s="2280"/>
      <c r="V223" s="2281"/>
      <c r="W223" s="2261"/>
      <c r="X223" s="2277"/>
    </row>
    <row r="224" spans="1:24">
      <c r="A224" s="2255">
        <v>44713.291666666701</v>
      </c>
      <c r="B224" s="2276">
        <f t="shared" si="9"/>
        <v>9.202453987730062E-3</v>
      </c>
      <c r="C224" s="2258">
        <v>23030</v>
      </c>
      <c r="D224" s="2276">
        <f t="shared" si="10"/>
        <v>-8.739546447675732E-2</v>
      </c>
      <c r="E224" s="2258">
        <v>24226</v>
      </c>
      <c r="F224" s="2276">
        <f t="shared" si="11"/>
        <v>-0.14705882352941177</v>
      </c>
      <c r="G224" s="2258">
        <v>174</v>
      </c>
      <c r="H224" s="2259"/>
      <c r="I224" s="2259"/>
      <c r="J224" s="2259"/>
      <c r="K224" s="2259"/>
      <c r="S224" s="2277"/>
      <c r="T224" s="2218"/>
      <c r="U224" s="2280"/>
      <c r="V224" s="2281"/>
      <c r="W224" s="2261"/>
      <c r="X224" s="2277"/>
    </row>
    <row r="225" spans="1:24">
      <c r="A225" s="2255">
        <v>44714.291666666701</v>
      </c>
      <c r="B225" s="2276">
        <f t="shared" si="9"/>
        <v>9.6406660823838732E-3</v>
      </c>
      <c r="C225" s="2258">
        <v>23040</v>
      </c>
      <c r="D225" s="2276">
        <f t="shared" si="10"/>
        <v>-9.2593987794771335E-2</v>
      </c>
      <c r="E225" s="2258">
        <v>24088</v>
      </c>
      <c r="F225" s="2276">
        <f t="shared" si="11"/>
        <v>-0.14705882352941177</v>
      </c>
      <c r="G225" s="2258">
        <v>174</v>
      </c>
      <c r="H225" s="2259"/>
      <c r="I225" s="2259"/>
      <c r="J225" s="2259"/>
      <c r="K225" s="2259"/>
      <c r="S225" s="2277"/>
      <c r="T225" s="2218"/>
      <c r="U225" s="2280"/>
      <c r="V225" s="2281"/>
      <c r="W225" s="2261"/>
      <c r="X225" s="2277"/>
    </row>
    <row r="226" spans="1:24">
      <c r="A226" s="2255">
        <v>44715.291666666701</v>
      </c>
      <c r="B226" s="2276">
        <f t="shared" si="9"/>
        <v>9.202453987730062E-3</v>
      </c>
      <c r="C226" s="2258">
        <v>23030</v>
      </c>
      <c r="D226" s="2276">
        <f t="shared" si="10"/>
        <v>-8.4042793641226549E-2</v>
      </c>
      <c r="E226" s="2258">
        <v>24315</v>
      </c>
      <c r="F226" s="2276">
        <f t="shared" si="11"/>
        <v>-0.15196078431372548</v>
      </c>
      <c r="G226" s="2258">
        <v>173</v>
      </c>
      <c r="H226" s="2259"/>
      <c r="I226" s="2259"/>
      <c r="J226" s="2259"/>
      <c r="K226" s="2259"/>
      <c r="S226" s="2277"/>
      <c r="T226" s="2218"/>
      <c r="U226" s="2280"/>
      <c r="V226" s="2281"/>
      <c r="W226" s="2261"/>
      <c r="X226" s="2277"/>
    </row>
    <row r="227" spans="1:24">
      <c r="A227" s="2255">
        <v>44718.291666666701</v>
      </c>
      <c r="B227" s="2276">
        <f t="shared" si="9"/>
        <v>8.9833479404031556E-3</v>
      </c>
      <c r="C227" s="2258">
        <v>23025</v>
      </c>
      <c r="D227" s="2276">
        <f t="shared" si="10"/>
        <v>-8.7546146312062076E-2</v>
      </c>
      <c r="E227" s="2258">
        <v>24222</v>
      </c>
      <c r="F227" s="2276">
        <f t="shared" si="11"/>
        <v>-0.15686274509803921</v>
      </c>
      <c r="G227" s="2258">
        <v>172</v>
      </c>
      <c r="H227" s="2262">
        <v>4.2999999999999997E-2</v>
      </c>
      <c r="I227" s="2262">
        <v>3.3000000000000002E-2</v>
      </c>
      <c r="J227" s="2262">
        <v>9.1999999999999998E-2</v>
      </c>
      <c r="K227" s="2262">
        <v>3.2000000000000001E-2</v>
      </c>
      <c r="S227" s="2277"/>
      <c r="T227" s="2218"/>
      <c r="U227" s="2280"/>
      <c r="V227" s="2281"/>
      <c r="W227" s="2261"/>
      <c r="X227" s="2277"/>
    </row>
    <row r="228" spans="1:24">
      <c r="A228" s="2255">
        <v>44719.291666666701</v>
      </c>
      <c r="B228" s="2276">
        <f t="shared" si="9"/>
        <v>8.5451358457493427E-3</v>
      </c>
      <c r="C228" s="2258">
        <v>23015</v>
      </c>
      <c r="D228" s="2276">
        <f t="shared" si="10"/>
        <v>-9.0748135312288106E-2</v>
      </c>
      <c r="E228" s="2258">
        <v>24137</v>
      </c>
      <c r="F228" s="2276">
        <f t="shared" si="11"/>
        <v>-0.16176470588235295</v>
      </c>
      <c r="G228" s="2258">
        <v>171</v>
      </c>
      <c r="H228" s="2259"/>
      <c r="I228" s="2259"/>
      <c r="J228" s="2259"/>
      <c r="K228" s="2259"/>
      <c r="S228" s="2277"/>
      <c r="T228" s="2218"/>
      <c r="U228" s="2280"/>
      <c r="V228" s="2281"/>
      <c r="W228" s="2261"/>
      <c r="X228" s="2277"/>
    </row>
    <row r="229" spans="1:24">
      <c r="A229" s="2255">
        <v>44720.291666666701</v>
      </c>
      <c r="B229" s="2276">
        <f t="shared" si="9"/>
        <v>8.7642418930762491E-3</v>
      </c>
      <c r="C229" s="2258">
        <v>23020</v>
      </c>
      <c r="D229" s="2276">
        <f t="shared" si="10"/>
        <v>-8.9618021547502452E-2</v>
      </c>
      <c r="E229" s="2258">
        <v>24167</v>
      </c>
      <c r="F229" s="2276">
        <f t="shared" si="11"/>
        <v>-0.16666666666666666</v>
      </c>
      <c r="G229" s="2258">
        <v>170</v>
      </c>
      <c r="H229" s="2259"/>
      <c r="I229" s="2259"/>
      <c r="J229" s="2259"/>
      <c r="K229" s="2259"/>
      <c r="S229" s="2277"/>
      <c r="T229" s="2218"/>
      <c r="U229" s="2280"/>
      <c r="V229" s="2281"/>
      <c r="W229" s="2261"/>
      <c r="X229" s="2277"/>
    </row>
    <row r="230" spans="1:24">
      <c r="A230" s="2255">
        <v>44721.291666666701</v>
      </c>
      <c r="B230" s="2276">
        <f t="shared" si="9"/>
        <v>7.8878177037686233E-3</v>
      </c>
      <c r="C230" s="2258">
        <v>23000</v>
      </c>
      <c r="D230" s="2276">
        <f t="shared" si="10"/>
        <v>-9.025841934754765E-2</v>
      </c>
      <c r="E230" s="2258">
        <v>24150</v>
      </c>
      <c r="F230" s="2276">
        <f t="shared" si="11"/>
        <v>-0.17156862745098039</v>
      </c>
      <c r="G230" s="2258">
        <v>169</v>
      </c>
      <c r="H230" s="2259"/>
      <c r="I230" s="2259"/>
      <c r="J230" s="2259"/>
      <c r="K230" s="2259"/>
      <c r="S230" s="2277"/>
      <c r="T230" s="2218"/>
      <c r="U230" s="2280"/>
      <c r="V230" s="2281"/>
      <c r="W230" s="2261"/>
      <c r="X230" s="2277"/>
    </row>
    <row r="231" spans="1:24">
      <c r="A231" s="2255">
        <v>44722.291666666701</v>
      </c>
      <c r="B231" s="2276">
        <f t="shared" si="9"/>
        <v>7.8878177037686233E-3</v>
      </c>
      <c r="C231" s="2258">
        <v>23000</v>
      </c>
      <c r="D231" s="2276">
        <f t="shared" si="10"/>
        <v>-9.560762450086642E-2</v>
      </c>
      <c r="E231" s="2258">
        <v>24008</v>
      </c>
      <c r="F231" s="2276">
        <f t="shared" si="11"/>
        <v>-0.17647058823529413</v>
      </c>
      <c r="G231" s="2258">
        <v>168</v>
      </c>
      <c r="H231" s="2259"/>
      <c r="I231" s="2259"/>
      <c r="J231" s="2259"/>
      <c r="K231" s="2259"/>
      <c r="S231" s="2277"/>
      <c r="T231" s="2218"/>
      <c r="U231" s="2280"/>
      <c r="V231" s="2281"/>
      <c r="W231" s="2261"/>
      <c r="X231" s="2277"/>
    </row>
    <row r="232" spans="1:24">
      <c r="A232" s="2255">
        <v>44725.291666666701</v>
      </c>
      <c r="B232" s="2276">
        <f t="shared" si="9"/>
        <v>9.202453987730062E-3</v>
      </c>
      <c r="C232" s="2258">
        <v>23030</v>
      </c>
      <c r="D232" s="2276">
        <f t="shared" si="10"/>
        <v>-0.10709711444285391</v>
      </c>
      <c r="E232" s="2258">
        <v>23703</v>
      </c>
      <c r="F232" s="2276">
        <f t="shared" si="11"/>
        <v>-0.18137254901960784</v>
      </c>
      <c r="G232" s="2258">
        <v>167</v>
      </c>
      <c r="H232" s="2259"/>
      <c r="I232" s="2259"/>
      <c r="J232" s="2259"/>
      <c r="K232" s="2259"/>
      <c r="S232" s="2277"/>
      <c r="T232" s="2218"/>
      <c r="U232" s="2280"/>
      <c r="V232" s="2281"/>
      <c r="W232" s="2261"/>
      <c r="X232" s="2277"/>
    </row>
    <row r="233" spans="1:24">
      <c r="A233" s="2255">
        <v>44726.291666666701</v>
      </c>
      <c r="B233" s="2276">
        <f t="shared" si="9"/>
        <v>1.0517090271691499E-2</v>
      </c>
      <c r="C233" s="2258">
        <v>23060</v>
      </c>
      <c r="D233" s="2276">
        <f t="shared" si="10"/>
        <v>-0.11319972877269645</v>
      </c>
      <c r="E233" s="2258">
        <v>23541</v>
      </c>
      <c r="F233" s="2276">
        <f t="shared" si="11"/>
        <v>-0.17647058823529413</v>
      </c>
      <c r="G233" s="2258">
        <v>168</v>
      </c>
      <c r="H233" s="2259"/>
      <c r="I233" s="2259"/>
      <c r="J233" s="2259"/>
      <c r="K233" s="2259"/>
      <c r="S233" s="2277"/>
      <c r="T233" s="2218"/>
      <c r="U233" s="2280"/>
      <c r="V233" s="2281"/>
      <c r="W233" s="2261"/>
      <c r="X233" s="2277"/>
    </row>
    <row r="234" spans="1:24">
      <c r="A234" s="2255">
        <v>44727.291666666701</v>
      </c>
      <c r="B234" s="2276">
        <f t="shared" si="9"/>
        <v>1.0078878177037686E-2</v>
      </c>
      <c r="C234" s="2258">
        <v>23050</v>
      </c>
      <c r="D234" s="2276">
        <f t="shared" si="10"/>
        <v>-0.11101484216077752</v>
      </c>
      <c r="E234" s="2258">
        <v>23599</v>
      </c>
      <c r="F234" s="2276">
        <f t="shared" si="11"/>
        <v>-0.18137254901960784</v>
      </c>
      <c r="G234" s="2258">
        <v>167</v>
      </c>
      <c r="H234" s="2259"/>
      <c r="I234" s="2259"/>
      <c r="J234" s="2259"/>
      <c r="K234" s="2259"/>
      <c r="S234" s="2277"/>
      <c r="T234" s="2218"/>
      <c r="U234" s="2280"/>
      <c r="V234" s="2281"/>
      <c r="W234" s="2261"/>
      <c r="X234" s="2277"/>
    </row>
    <row r="235" spans="1:24">
      <c r="A235" s="2255">
        <v>44728.291666666701</v>
      </c>
      <c r="B235" s="2276">
        <f t="shared" si="9"/>
        <v>1.0517090271691499E-2</v>
      </c>
      <c r="C235" s="2258">
        <v>23060</v>
      </c>
      <c r="D235" s="2276">
        <f t="shared" si="10"/>
        <v>-0.108114216831161</v>
      </c>
      <c r="E235" s="2258">
        <v>23676</v>
      </c>
      <c r="F235" s="2276">
        <f t="shared" si="11"/>
        <v>-0.17647058823529413</v>
      </c>
      <c r="G235" s="2258">
        <v>168</v>
      </c>
      <c r="H235" s="2259"/>
      <c r="I235" s="2259"/>
      <c r="J235" s="2259"/>
      <c r="K235" s="2259"/>
      <c r="S235" s="2277"/>
      <c r="T235" s="2218"/>
      <c r="U235" s="2280"/>
      <c r="V235" s="2281"/>
      <c r="W235" s="2261"/>
      <c r="X235" s="2277"/>
    </row>
    <row r="236" spans="1:24">
      <c r="A236" s="2255">
        <v>44729.291666666701</v>
      </c>
      <c r="B236" s="2276">
        <f t="shared" si="9"/>
        <v>1.0955302366345312E-2</v>
      </c>
      <c r="C236" s="2258">
        <v>23070</v>
      </c>
      <c r="D236" s="2276">
        <f t="shared" si="10"/>
        <v>-0.10133353424244708</v>
      </c>
      <c r="E236" s="2258">
        <v>23856</v>
      </c>
      <c r="F236" s="2276">
        <f t="shared" si="11"/>
        <v>-0.16666666666666666</v>
      </c>
      <c r="G236" s="2258">
        <v>170</v>
      </c>
      <c r="H236" s="2259"/>
      <c r="I236" s="2259"/>
      <c r="J236" s="2259"/>
      <c r="K236" s="2259"/>
      <c r="S236" s="2277"/>
      <c r="T236" s="2218"/>
      <c r="U236" s="2280"/>
      <c r="V236" s="2281"/>
      <c r="W236" s="2261"/>
      <c r="X236" s="2277"/>
    </row>
    <row r="237" spans="1:24">
      <c r="A237" s="2255">
        <v>44732.291666666701</v>
      </c>
      <c r="B237" s="2276">
        <f t="shared" si="9"/>
        <v>1.0955302366345312E-2</v>
      </c>
      <c r="C237" s="2258">
        <v>23070</v>
      </c>
      <c r="D237" s="2276">
        <f t="shared" si="10"/>
        <v>-0.10532660287802305</v>
      </c>
      <c r="E237" s="2258">
        <v>23750</v>
      </c>
      <c r="F237" s="2276">
        <f t="shared" si="11"/>
        <v>-0.18137254901960784</v>
      </c>
      <c r="G237" s="2258">
        <v>167</v>
      </c>
      <c r="H237" s="2259"/>
      <c r="I237" s="2259"/>
      <c r="J237" s="2259"/>
      <c r="K237" s="2259"/>
      <c r="S237" s="2277"/>
      <c r="T237" s="2218"/>
      <c r="U237" s="2280"/>
      <c r="V237" s="2281"/>
      <c r="W237" s="2261"/>
      <c r="X237" s="2277"/>
    </row>
    <row r="238" spans="1:24">
      <c r="A238" s="2255">
        <v>44733.291666666701</v>
      </c>
      <c r="B238" s="2276">
        <f t="shared" si="9"/>
        <v>1.0955302366345312E-2</v>
      </c>
      <c r="C238" s="2258">
        <v>23070</v>
      </c>
      <c r="D238" s="2276">
        <f t="shared" si="10"/>
        <v>-0.10250131846605892</v>
      </c>
      <c r="E238" s="2258">
        <v>23825</v>
      </c>
      <c r="F238" s="2276">
        <f t="shared" si="11"/>
        <v>-0.17647058823529413</v>
      </c>
      <c r="G238" s="2258">
        <v>168</v>
      </c>
      <c r="H238" s="2259"/>
      <c r="I238" s="2259"/>
      <c r="J238" s="2259"/>
      <c r="K238" s="2259"/>
      <c r="S238" s="2277"/>
      <c r="T238" s="2218"/>
      <c r="U238" s="2280"/>
      <c r="V238" s="2281"/>
      <c r="W238" s="2261"/>
      <c r="X238" s="2277"/>
    </row>
    <row r="239" spans="1:24">
      <c r="A239" s="2255">
        <v>44734.291666666701</v>
      </c>
      <c r="B239" s="2276">
        <f t="shared" si="9"/>
        <v>1.1174408413672217E-2</v>
      </c>
      <c r="C239" s="2258">
        <v>23075</v>
      </c>
      <c r="D239" s="2276">
        <f t="shared" si="10"/>
        <v>-0.10506290966623974</v>
      </c>
      <c r="E239" s="2258">
        <v>23757</v>
      </c>
      <c r="F239" s="2276">
        <f t="shared" si="11"/>
        <v>-0.19117647058823528</v>
      </c>
      <c r="G239" s="2258">
        <v>165</v>
      </c>
      <c r="H239" s="2259"/>
      <c r="I239" s="2259"/>
      <c r="J239" s="2259"/>
      <c r="K239" s="2259"/>
      <c r="S239" s="2277"/>
      <c r="T239" s="2218"/>
      <c r="U239" s="2280"/>
      <c r="V239" s="2281"/>
      <c r="W239" s="2261"/>
      <c r="X239" s="2277"/>
    </row>
    <row r="240" spans="1:24">
      <c r="A240" s="2255">
        <v>44735.291666666701</v>
      </c>
      <c r="B240" s="2276">
        <f t="shared" si="9"/>
        <v>1.1393514460999123E-2</v>
      </c>
      <c r="C240" s="2258">
        <v>23080</v>
      </c>
      <c r="D240" s="2276">
        <f t="shared" si="10"/>
        <v>-9.809387478339486E-2</v>
      </c>
      <c r="E240" s="2258">
        <v>23942</v>
      </c>
      <c r="F240" s="2276">
        <f t="shared" si="11"/>
        <v>-0.18137254901960784</v>
      </c>
      <c r="G240" s="2258">
        <v>167</v>
      </c>
      <c r="H240" s="2259"/>
      <c r="I240" s="2259"/>
      <c r="J240" s="2259"/>
      <c r="K240" s="2259"/>
      <c r="S240" s="2277"/>
      <c r="T240" s="2218"/>
      <c r="U240" s="2280"/>
      <c r="V240" s="2281"/>
      <c r="W240" s="2261"/>
      <c r="X240" s="2277"/>
    </row>
    <row r="241" spans="1:24">
      <c r="A241" s="2255">
        <v>44736.291666666701</v>
      </c>
      <c r="B241" s="2276">
        <f t="shared" si="9"/>
        <v>1.1393514460999123E-2</v>
      </c>
      <c r="C241" s="2258">
        <v>23080</v>
      </c>
      <c r="D241" s="2276">
        <f t="shared" si="10"/>
        <v>-0.10238830708958035</v>
      </c>
      <c r="E241" s="2258">
        <v>23828</v>
      </c>
      <c r="F241" s="2276">
        <f t="shared" si="11"/>
        <v>-0.18137254901960784</v>
      </c>
      <c r="G241" s="2258">
        <v>167</v>
      </c>
      <c r="H241" s="2259"/>
      <c r="I241" s="2259"/>
      <c r="J241" s="2259"/>
      <c r="K241" s="2259"/>
      <c r="S241" s="2277"/>
      <c r="T241" s="2218"/>
      <c r="U241" s="2280"/>
      <c r="V241" s="2281"/>
      <c r="W241" s="2261"/>
      <c r="X241" s="2277"/>
    </row>
    <row r="242" spans="1:24">
      <c r="A242" s="2255">
        <v>44739.291666666701</v>
      </c>
      <c r="B242" s="2276">
        <f t="shared" si="9"/>
        <v>1.1393514460999123E-2</v>
      </c>
      <c r="C242" s="2258">
        <v>23080</v>
      </c>
      <c r="D242" s="2276">
        <f t="shared" si="10"/>
        <v>-9.847057937165675E-2</v>
      </c>
      <c r="E242" s="2258">
        <v>23932</v>
      </c>
      <c r="F242" s="2276">
        <f t="shared" si="11"/>
        <v>-0.18137254901960784</v>
      </c>
      <c r="G242" s="2258">
        <v>167</v>
      </c>
      <c r="H242" s="2259"/>
      <c r="I242" s="2259"/>
      <c r="J242" s="2259"/>
      <c r="K242" s="2259"/>
      <c r="S242" s="2277"/>
      <c r="T242" s="2218"/>
      <c r="U242" s="2280"/>
      <c r="V242" s="2281"/>
      <c r="W242" s="2261"/>
      <c r="X242" s="2277"/>
    </row>
    <row r="243" spans="1:24">
      <c r="A243" s="2255">
        <v>44740.291666666701</v>
      </c>
      <c r="B243" s="2276">
        <f t="shared" si="9"/>
        <v>1.1393514460999123E-2</v>
      </c>
      <c r="C243" s="2258">
        <v>23080</v>
      </c>
      <c r="D243" s="2276">
        <f t="shared" si="10"/>
        <v>-9.7604158818654405E-2</v>
      </c>
      <c r="E243" s="2258">
        <v>23955</v>
      </c>
      <c r="F243" s="2276">
        <f t="shared" si="11"/>
        <v>-0.18627450980392157</v>
      </c>
      <c r="G243" s="2258">
        <v>166</v>
      </c>
      <c r="H243" s="2259"/>
      <c r="I243" s="2259"/>
      <c r="J243" s="2259"/>
      <c r="K243" s="2259"/>
      <c r="S243" s="2277"/>
      <c r="T243" s="2218"/>
      <c r="U243" s="2280"/>
      <c r="V243" s="2281"/>
      <c r="W243" s="2261"/>
      <c r="X243" s="2277"/>
    </row>
    <row r="244" spans="1:24">
      <c r="A244" s="2255">
        <v>44741.291666666701</v>
      </c>
      <c r="B244" s="2276">
        <f t="shared" si="9"/>
        <v>1.0955302366345312E-2</v>
      </c>
      <c r="C244" s="2258">
        <v>23070</v>
      </c>
      <c r="D244" s="2276">
        <f t="shared" si="10"/>
        <v>-0.1038951254426279</v>
      </c>
      <c r="E244" s="2258">
        <v>23788</v>
      </c>
      <c r="F244" s="2276">
        <f t="shared" si="11"/>
        <v>-0.18627450980392157</v>
      </c>
      <c r="G244" s="2258">
        <v>166</v>
      </c>
      <c r="H244" s="2259"/>
      <c r="I244" s="2259"/>
      <c r="J244" s="2259"/>
      <c r="K244" s="2259"/>
      <c r="S244" s="2277"/>
      <c r="T244" s="2218"/>
      <c r="U244" s="2280"/>
      <c r="V244" s="2281"/>
      <c r="W244" s="2261"/>
      <c r="X244" s="2277"/>
    </row>
    <row r="245" spans="1:24">
      <c r="A245" s="2255">
        <v>44742.291666666701</v>
      </c>
      <c r="B245" s="2276">
        <f t="shared" si="9"/>
        <v>1.2489044697633655E-2</v>
      </c>
      <c r="C245" s="2258">
        <v>23105</v>
      </c>
      <c r="D245" s="2276">
        <f t="shared" si="10"/>
        <v>-0.10705944398402772</v>
      </c>
      <c r="E245" s="2258">
        <v>23704</v>
      </c>
      <c r="F245" s="2276">
        <f t="shared" si="11"/>
        <v>-0.18627450980392157</v>
      </c>
      <c r="G245" s="2258">
        <v>166</v>
      </c>
      <c r="H245" s="2259"/>
      <c r="I245" s="2259"/>
      <c r="J245" s="2259"/>
      <c r="K245" s="2259"/>
      <c r="S245" s="2277"/>
      <c r="T245" s="2218"/>
      <c r="U245" s="2280"/>
      <c r="V245" s="2281"/>
      <c r="W245" s="2261"/>
      <c r="X245" s="2277"/>
    </row>
    <row r="246" spans="1:24">
      <c r="A246" s="2255">
        <v>44743.291666666701</v>
      </c>
      <c r="B246" s="2276">
        <f t="shared" si="9"/>
        <v>1.3584574934268186E-2</v>
      </c>
      <c r="C246" s="2258">
        <v>23130</v>
      </c>
      <c r="D246" s="2276">
        <f t="shared" si="10"/>
        <v>-0.1058163188427635</v>
      </c>
      <c r="E246" s="2258">
        <v>23737</v>
      </c>
      <c r="F246" s="2276">
        <f t="shared" si="11"/>
        <v>-0.18137254901960784</v>
      </c>
      <c r="G246" s="2258">
        <v>167</v>
      </c>
      <c r="H246" s="2259"/>
      <c r="I246" s="2259"/>
      <c r="J246" s="2259"/>
      <c r="K246" s="2259"/>
      <c r="S246" s="2277"/>
      <c r="T246" s="2218"/>
      <c r="U246" s="2280"/>
      <c r="V246" s="2281"/>
      <c r="W246" s="2261"/>
      <c r="X246" s="2277"/>
    </row>
    <row r="247" spans="1:24">
      <c r="A247" s="2255">
        <v>44746.291666666701</v>
      </c>
      <c r="B247" s="2276">
        <f t="shared" si="9"/>
        <v>1.4899211218229623E-2</v>
      </c>
      <c r="C247" s="2258">
        <v>23160</v>
      </c>
      <c r="D247" s="2276">
        <f t="shared" si="10"/>
        <v>-0.10641904618398253</v>
      </c>
      <c r="E247" s="2258">
        <v>23721</v>
      </c>
      <c r="F247" s="2276">
        <f t="shared" si="11"/>
        <v>-0.18137254901960784</v>
      </c>
      <c r="G247" s="2258">
        <v>167</v>
      </c>
      <c r="H247" s="2259"/>
      <c r="I247" s="2259"/>
      <c r="J247" s="2259"/>
      <c r="K247" s="2259"/>
      <c r="S247" s="2277"/>
      <c r="T247" s="2218"/>
      <c r="U247" s="2280"/>
      <c r="V247" s="2281"/>
      <c r="W247" s="2261"/>
      <c r="X247" s="2277"/>
    </row>
    <row r="248" spans="1:24">
      <c r="A248" s="2255">
        <v>44747.291666666701</v>
      </c>
      <c r="B248" s="2276">
        <f t="shared" si="9"/>
        <v>1.5775635407537247E-2</v>
      </c>
      <c r="C248" s="2258">
        <v>23180</v>
      </c>
      <c r="D248" s="2276">
        <f t="shared" si="10"/>
        <v>-0.10596700067806826</v>
      </c>
      <c r="E248" s="2258">
        <v>23733</v>
      </c>
      <c r="F248" s="2276">
        <f t="shared" si="11"/>
        <v>-0.18137254901960784</v>
      </c>
      <c r="G248" s="2258">
        <v>167</v>
      </c>
      <c r="H248" s="2262">
        <v>4.2999999999999997E-2</v>
      </c>
      <c r="I248" s="2262">
        <v>3.4000000000000002E-2</v>
      </c>
      <c r="J248" s="2262">
        <v>9.2999999999999999E-2</v>
      </c>
      <c r="K248" s="2262">
        <v>3.3000000000000002E-2</v>
      </c>
      <c r="S248" s="2277"/>
      <c r="T248" s="2218"/>
      <c r="U248" s="2280"/>
      <c r="V248" s="2281"/>
      <c r="W248" s="2261"/>
      <c r="X248" s="2277"/>
    </row>
    <row r="249" spans="1:24">
      <c r="A249" s="2255">
        <v>44748.291666666701</v>
      </c>
      <c r="B249" s="2276">
        <f t="shared" si="9"/>
        <v>1.6432953549517966E-2</v>
      </c>
      <c r="C249" s="2258">
        <v>23195</v>
      </c>
      <c r="D249" s="2276">
        <f t="shared" si="10"/>
        <v>-0.12043245686732465</v>
      </c>
      <c r="E249" s="2258">
        <v>23349</v>
      </c>
      <c r="F249" s="2276">
        <f t="shared" si="11"/>
        <v>-0.18137254901960784</v>
      </c>
      <c r="G249" s="2258">
        <v>167</v>
      </c>
      <c r="H249" s="2259"/>
      <c r="I249" s="2259"/>
      <c r="J249" s="2259"/>
      <c r="K249" s="2259"/>
      <c r="S249" s="2277"/>
      <c r="T249" s="2218"/>
      <c r="U249" s="2280"/>
      <c r="V249" s="2281"/>
      <c r="W249" s="2261"/>
      <c r="X249" s="2277"/>
    </row>
    <row r="250" spans="1:24">
      <c r="A250" s="2255">
        <v>44749.291666666701</v>
      </c>
      <c r="B250" s="2276">
        <f t="shared" si="9"/>
        <v>1.5775635407537247E-2</v>
      </c>
      <c r="C250" s="2258">
        <v>23180</v>
      </c>
      <c r="D250" s="2276">
        <f t="shared" si="10"/>
        <v>-0.12691177578542906</v>
      </c>
      <c r="E250" s="2258">
        <v>23177</v>
      </c>
      <c r="F250" s="2276">
        <f t="shared" si="11"/>
        <v>-0.18627450980392157</v>
      </c>
      <c r="G250" s="2258">
        <v>166</v>
      </c>
      <c r="H250" s="2259"/>
      <c r="I250" s="2259"/>
      <c r="J250" s="2259"/>
      <c r="K250" s="2259"/>
      <c r="S250" s="2277"/>
      <c r="T250" s="2218"/>
      <c r="U250" s="2280"/>
      <c r="V250" s="2281"/>
      <c r="W250" s="2261"/>
      <c r="X250" s="2277"/>
    </row>
    <row r="251" spans="1:24">
      <c r="A251" s="2255">
        <v>44750.291666666701</v>
      </c>
      <c r="B251" s="2276">
        <f t="shared" si="9"/>
        <v>1.621384750219106E-2</v>
      </c>
      <c r="C251" s="2258">
        <v>23190</v>
      </c>
      <c r="D251" s="2276">
        <f t="shared" si="10"/>
        <v>-0.12770285542077903</v>
      </c>
      <c r="E251" s="2258">
        <v>23156</v>
      </c>
      <c r="F251" s="2276">
        <f t="shared" si="11"/>
        <v>-0.18137254901960784</v>
      </c>
      <c r="G251" s="2258">
        <v>167</v>
      </c>
      <c r="H251" s="2259"/>
      <c r="I251" s="2259"/>
      <c r="J251" s="2259"/>
      <c r="K251" s="2259"/>
      <c r="S251" s="2277"/>
      <c r="T251" s="2218"/>
      <c r="U251" s="2280"/>
      <c r="V251" s="2281"/>
      <c r="W251" s="2261"/>
      <c r="X251" s="2277"/>
    </row>
    <row r="252" spans="1:24">
      <c r="A252" s="2255">
        <v>44753.291666666701</v>
      </c>
      <c r="B252" s="2276">
        <f t="shared" si="9"/>
        <v>1.5775635407537247E-2</v>
      </c>
      <c r="C252" s="2258">
        <v>23180</v>
      </c>
      <c r="D252" s="2276">
        <f t="shared" si="10"/>
        <v>-0.12981240111504558</v>
      </c>
      <c r="E252" s="2258">
        <v>23100</v>
      </c>
      <c r="F252" s="2276">
        <f t="shared" si="11"/>
        <v>-0.18627450980392157</v>
      </c>
      <c r="G252" s="2258">
        <v>166</v>
      </c>
      <c r="H252" s="2259"/>
      <c r="I252" s="2259"/>
      <c r="J252" s="2259"/>
      <c r="K252" s="2259"/>
      <c r="S252" s="2277"/>
      <c r="T252" s="2218"/>
      <c r="U252" s="2280"/>
      <c r="V252" s="2281"/>
      <c r="W252" s="2261"/>
      <c r="X252" s="2277"/>
    </row>
    <row r="253" spans="1:24">
      <c r="A253" s="2255">
        <v>44754.291666666701</v>
      </c>
      <c r="B253" s="2276">
        <f t="shared" si="9"/>
        <v>1.7090271691498685E-2</v>
      </c>
      <c r="C253" s="2258">
        <v>23210</v>
      </c>
      <c r="D253" s="2276">
        <f t="shared" si="10"/>
        <v>-0.13983274316281172</v>
      </c>
      <c r="E253" s="2258">
        <v>22834</v>
      </c>
      <c r="F253" s="2276">
        <f t="shared" si="11"/>
        <v>-0.19117647058823528</v>
      </c>
      <c r="G253" s="2258">
        <v>165</v>
      </c>
      <c r="H253" s="2259"/>
      <c r="I253" s="2259"/>
      <c r="J253" s="2259"/>
      <c r="K253" s="2259"/>
      <c r="S253" s="2277"/>
      <c r="T253" s="2218"/>
      <c r="U253" s="2280"/>
      <c r="V253" s="2281"/>
      <c r="W253" s="2261"/>
      <c r="X253" s="2277"/>
    </row>
    <row r="254" spans="1:24">
      <c r="A254" s="2255">
        <v>44755.291666666701</v>
      </c>
      <c r="B254" s="2276">
        <f t="shared" si="9"/>
        <v>1.7528483786152498E-2</v>
      </c>
      <c r="C254" s="2258">
        <v>23220</v>
      </c>
      <c r="D254" s="2276">
        <f t="shared" si="10"/>
        <v>-0.13904166352746175</v>
      </c>
      <c r="E254" s="2258">
        <v>22855</v>
      </c>
      <c r="F254" s="2276">
        <f t="shared" si="11"/>
        <v>-0.18627450980392157</v>
      </c>
      <c r="G254" s="2258">
        <v>166</v>
      </c>
      <c r="H254" s="2259"/>
      <c r="I254" s="2259"/>
      <c r="J254" s="2259"/>
      <c r="K254" s="2259"/>
      <c r="S254" s="2277"/>
      <c r="T254" s="2218"/>
      <c r="U254" s="2280"/>
      <c r="V254" s="2281"/>
      <c r="W254" s="2261"/>
      <c r="X254" s="2277"/>
    </row>
    <row r="255" spans="1:24">
      <c r="A255" s="2255">
        <v>44756.291666666701</v>
      </c>
      <c r="B255" s="2276">
        <f t="shared" si="9"/>
        <v>1.8185801928133218E-2</v>
      </c>
      <c r="C255" s="2258">
        <v>23235</v>
      </c>
      <c r="D255" s="2276">
        <f t="shared" si="10"/>
        <v>-0.14039780004520455</v>
      </c>
      <c r="E255" s="2258">
        <v>22819</v>
      </c>
      <c r="F255" s="2276">
        <f t="shared" si="11"/>
        <v>-0.19607843137254902</v>
      </c>
      <c r="G255" s="2258">
        <v>164</v>
      </c>
      <c r="H255" s="2259"/>
      <c r="I255" s="2259"/>
      <c r="J255" s="2259"/>
      <c r="K255" s="2259"/>
      <c r="S255" s="2277"/>
      <c r="T255" s="2218"/>
      <c r="U255" s="2280"/>
      <c r="V255" s="2281"/>
      <c r="W255" s="2261"/>
      <c r="X255" s="2277"/>
    </row>
    <row r="256" spans="1:24">
      <c r="A256" s="2255">
        <v>44757.291666666701</v>
      </c>
      <c r="B256" s="2276">
        <f t="shared" si="9"/>
        <v>1.9719544259421559E-2</v>
      </c>
      <c r="C256" s="2258">
        <v>23270</v>
      </c>
      <c r="D256" s="2276">
        <f t="shared" si="10"/>
        <v>-0.13678143599789044</v>
      </c>
      <c r="E256" s="2258">
        <v>22915</v>
      </c>
      <c r="F256" s="2276">
        <f t="shared" si="11"/>
        <v>-0.19607843137254902</v>
      </c>
      <c r="G256" s="2258">
        <v>164</v>
      </c>
      <c r="H256" s="2259"/>
      <c r="I256" s="2259"/>
      <c r="J256" s="2259"/>
      <c r="K256" s="2259"/>
      <c r="S256" s="2277"/>
      <c r="T256" s="2218"/>
      <c r="U256" s="2280"/>
      <c r="V256" s="2281"/>
      <c r="W256" s="2261"/>
      <c r="X256" s="2277"/>
    </row>
    <row r="257" spans="1:24">
      <c r="A257" s="2255">
        <v>44760.291666666701</v>
      </c>
      <c r="B257" s="2276">
        <f t="shared" si="9"/>
        <v>2.0157756354075372E-2</v>
      </c>
      <c r="C257" s="2258">
        <v>23280</v>
      </c>
      <c r="D257" s="2276">
        <f t="shared" si="10"/>
        <v>-0.13199728772696451</v>
      </c>
      <c r="E257" s="2258">
        <v>23042</v>
      </c>
      <c r="F257" s="2276">
        <f t="shared" si="11"/>
        <v>-0.19117647058823528</v>
      </c>
      <c r="G257" s="2258">
        <v>165</v>
      </c>
      <c r="H257" s="2259"/>
      <c r="I257" s="2259"/>
      <c r="J257" s="2259"/>
      <c r="K257" s="2259"/>
      <c r="S257" s="2277"/>
      <c r="T257" s="2218"/>
      <c r="U257" s="2280"/>
      <c r="V257" s="2281"/>
      <c r="W257" s="2261"/>
      <c r="X257" s="2277"/>
    </row>
    <row r="258" spans="1:24">
      <c r="A258" s="2255">
        <v>44761.291666666701</v>
      </c>
      <c r="B258" s="2276">
        <f t="shared" si="9"/>
        <v>1.9281332164767746E-2</v>
      </c>
      <c r="C258" s="2258">
        <v>23260</v>
      </c>
      <c r="D258" s="2276">
        <f t="shared" si="10"/>
        <v>-0.12698711670308144</v>
      </c>
      <c r="E258" s="2258">
        <v>23175</v>
      </c>
      <c r="F258" s="2276">
        <f t="shared" si="11"/>
        <v>-0.19117647058823528</v>
      </c>
      <c r="G258" s="2258">
        <v>165</v>
      </c>
      <c r="H258" s="2259"/>
      <c r="I258" s="2259"/>
      <c r="J258" s="2259"/>
      <c r="K258" s="2259"/>
      <c r="S258" s="2277"/>
      <c r="T258" s="2218"/>
      <c r="U258" s="2280"/>
      <c r="V258" s="2281"/>
      <c r="W258" s="2261"/>
      <c r="X258" s="2277"/>
    </row>
    <row r="259" spans="1:24">
      <c r="A259" s="2255">
        <v>44762.291666666701</v>
      </c>
      <c r="B259" s="2276">
        <f t="shared" si="9"/>
        <v>1.8843120070113933E-2</v>
      </c>
      <c r="C259" s="2258">
        <v>23250</v>
      </c>
      <c r="D259" s="2276">
        <f t="shared" si="10"/>
        <v>-0.11960370677314849</v>
      </c>
      <c r="E259" s="2258">
        <v>23371</v>
      </c>
      <c r="F259" s="2276">
        <f t="shared" si="11"/>
        <v>-0.19117647058823528</v>
      </c>
      <c r="G259" s="2258">
        <v>165</v>
      </c>
      <c r="H259" s="2259"/>
      <c r="I259" s="2259"/>
      <c r="J259" s="2259"/>
      <c r="K259" s="2259"/>
      <c r="S259" s="2277"/>
      <c r="T259" s="2218"/>
      <c r="U259" s="2280"/>
      <c r="V259" s="2281"/>
      <c r="W259" s="2261"/>
      <c r="X259" s="2277"/>
    </row>
    <row r="260" spans="1:24">
      <c r="A260" s="2255">
        <v>44763.291666666701</v>
      </c>
      <c r="B260" s="2276">
        <f t="shared" si="9"/>
        <v>1.8843120070113933E-2</v>
      </c>
      <c r="C260" s="2258">
        <v>23250</v>
      </c>
      <c r="D260" s="2276">
        <f t="shared" si="10"/>
        <v>-0.12435018458524826</v>
      </c>
      <c r="E260" s="2258">
        <v>23245</v>
      </c>
      <c r="F260" s="2276">
        <f t="shared" si="11"/>
        <v>-0.19607843137254902</v>
      </c>
      <c r="G260" s="2258">
        <v>164</v>
      </c>
      <c r="H260" s="2259"/>
      <c r="I260" s="2259"/>
      <c r="J260" s="2259"/>
      <c r="K260" s="2259"/>
      <c r="S260" s="2277"/>
      <c r="T260" s="2218"/>
      <c r="U260" s="2280"/>
      <c r="V260" s="2281"/>
      <c r="W260" s="2261"/>
      <c r="X260" s="2277"/>
    </row>
    <row r="261" spans="1:24">
      <c r="A261" s="2255">
        <v>44764.291666666701</v>
      </c>
      <c r="B261" s="2276">
        <f t="shared" si="9"/>
        <v>1.8404907975460124E-2</v>
      </c>
      <c r="C261" s="2258">
        <v>23240</v>
      </c>
      <c r="D261" s="2276">
        <f t="shared" si="10"/>
        <v>-0.12713779853838619</v>
      </c>
      <c r="E261" s="2258">
        <v>23171</v>
      </c>
      <c r="F261" s="2276">
        <f t="shared" si="11"/>
        <v>-0.19117647058823528</v>
      </c>
      <c r="G261" s="2258">
        <v>165</v>
      </c>
      <c r="H261" s="2259"/>
      <c r="I261" s="2259"/>
      <c r="J261" s="2259"/>
      <c r="K261" s="2259"/>
      <c r="S261" s="2277"/>
      <c r="T261" s="2218"/>
      <c r="U261" s="2280"/>
      <c r="V261" s="2281"/>
      <c r="W261" s="2261"/>
      <c r="X261" s="2277"/>
    </row>
    <row r="262" spans="1:24">
      <c r="A262" s="2255">
        <v>44767.291666666701</v>
      </c>
      <c r="B262" s="2276">
        <f t="shared" si="9"/>
        <v>1.7528483786152498E-2</v>
      </c>
      <c r="C262" s="2258">
        <v>23220</v>
      </c>
      <c r="D262" s="2276">
        <f t="shared" si="10"/>
        <v>-0.12382279816168161</v>
      </c>
      <c r="E262" s="2258">
        <v>23259</v>
      </c>
      <c r="F262" s="2276">
        <f t="shared" si="11"/>
        <v>-0.18137254901960784</v>
      </c>
      <c r="G262" s="2258">
        <v>167</v>
      </c>
      <c r="H262" s="2259"/>
      <c r="I262" s="2259"/>
      <c r="J262" s="2259"/>
      <c r="K262" s="2259"/>
      <c r="S262" s="2277"/>
      <c r="T262" s="2218"/>
      <c r="U262" s="2280"/>
      <c r="V262" s="2281"/>
      <c r="W262" s="2261"/>
      <c r="X262" s="2277"/>
    </row>
    <row r="263" spans="1:24">
      <c r="A263" s="2255">
        <v>44768.291666666701</v>
      </c>
      <c r="B263" s="2276">
        <f t="shared" si="9"/>
        <v>1.5994741454864153E-2</v>
      </c>
      <c r="C263" s="2258">
        <v>23185</v>
      </c>
      <c r="D263" s="2276">
        <f t="shared" si="10"/>
        <v>-0.1235214344910721</v>
      </c>
      <c r="E263" s="2258">
        <v>23267</v>
      </c>
      <c r="F263" s="2276">
        <f t="shared" si="11"/>
        <v>-0.18627450980392157</v>
      </c>
      <c r="G263" s="2258">
        <v>166</v>
      </c>
      <c r="H263" s="2259"/>
      <c r="I263" s="2259"/>
      <c r="J263" s="2259"/>
      <c r="K263" s="2259"/>
      <c r="S263" s="2277"/>
      <c r="T263" s="2218"/>
      <c r="U263" s="2280"/>
      <c r="V263" s="2281"/>
      <c r="W263" s="2261"/>
      <c r="X263" s="2277"/>
    </row>
    <row r="264" spans="1:24">
      <c r="A264" s="2255">
        <v>44769.291666666701</v>
      </c>
      <c r="B264" s="2276">
        <f t="shared" si="9"/>
        <v>1.6652059596844872E-2</v>
      </c>
      <c r="C264" s="2258">
        <v>23200</v>
      </c>
      <c r="D264" s="2276">
        <f t="shared" si="10"/>
        <v>-0.13128154900926695</v>
      </c>
      <c r="E264" s="2258">
        <v>23061</v>
      </c>
      <c r="F264" s="2276">
        <f t="shared" si="11"/>
        <v>-0.18627450980392157</v>
      </c>
      <c r="G264" s="2258">
        <v>166</v>
      </c>
      <c r="H264" s="2259"/>
      <c r="I264" s="2259"/>
      <c r="J264" s="2259"/>
      <c r="K264" s="2259"/>
      <c r="S264" s="2277"/>
      <c r="T264" s="2218"/>
      <c r="U264" s="2280"/>
      <c r="V264" s="2281"/>
      <c r="W264" s="2261"/>
      <c r="X264" s="2277"/>
    </row>
    <row r="265" spans="1:24">
      <c r="A265" s="2255">
        <v>44770.291666666701</v>
      </c>
      <c r="B265" s="2276">
        <f t="shared" si="9"/>
        <v>1.7090271691498685E-2</v>
      </c>
      <c r="C265" s="2258">
        <v>23210</v>
      </c>
      <c r="D265" s="2276">
        <f t="shared" si="10"/>
        <v>-0.12638438936186241</v>
      </c>
      <c r="E265" s="2258">
        <v>23191</v>
      </c>
      <c r="F265" s="2276">
        <f t="shared" si="11"/>
        <v>-0.18627450980392157</v>
      </c>
      <c r="G265" s="2258">
        <v>166</v>
      </c>
      <c r="H265" s="2259"/>
      <c r="I265" s="2259"/>
      <c r="J265" s="2259"/>
      <c r="K265" s="2259"/>
      <c r="S265" s="2277"/>
      <c r="T265" s="2218"/>
      <c r="U265" s="2280"/>
      <c r="V265" s="2281"/>
      <c r="W265" s="2261"/>
      <c r="X265" s="2277"/>
    </row>
    <row r="266" spans="1:24">
      <c r="A266" s="2255">
        <v>44771.291666666701</v>
      </c>
      <c r="B266" s="2276">
        <f t="shared" ref="B266:B329" si="12">(C266-C$10)/C$10</f>
        <v>1.5337423312883436E-2</v>
      </c>
      <c r="C266" s="2258">
        <v>23170</v>
      </c>
      <c r="D266" s="2276">
        <f t="shared" ref="D266:D329" si="13">(E266-E$10)/E$10</f>
        <v>-0.12664808257364574</v>
      </c>
      <c r="E266" s="2258">
        <v>23184</v>
      </c>
      <c r="F266" s="2276">
        <f t="shared" ref="F266:F329" si="14">(G266-G$10)/G$10</f>
        <v>-0.16666666666666666</v>
      </c>
      <c r="G266" s="2258">
        <v>170</v>
      </c>
      <c r="H266" s="2259"/>
      <c r="I266" s="2259"/>
      <c r="J266" s="2259"/>
      <c r="K266" s="2259"/>
      <c r="S266" s="2277"/>
      <c r="T266" s="2218"/>
      <c r="U266" s="2280"/>
      <c r="V266" s="2281"/>
      <c r="W266" s="2261"/>
      <c r="X266" s="2277"/>
    </row>
    <row r="267" spans="1:24">
      <c r="A267" s="2255">
        <v>44774.291666666701</v>
      </c>
      <c r="B267" s="2276">
        <f t="shared" si="12"/>
        <v>1.5775635407537247E-2</v>
      </c>
      <c r="C267" s="2258">
        <v>23180</v>
      </c>
      <c r="D267" s="2276">
        <f t="shared" si="13"/>
        <v>-0.12431251412642207</v>
      </c>
      <c r="E267" s="2258">
        <v>23246</v>
      </c>
      <c r="F267" s="2276">
        <f t="shared" si="14"/>
        <v>-0.16176470588235295</v>
      </c>
      <c r="G267" s="2258">
        <v>171</v>
      </c>
      <c r="H267" s="2259"/>
      <c r="I267" s="2259"/>
      <c r="J267" s="2259"/>
      <c r="K267" s="2259"/>
      <c r="S267" s="2277"/>
      <c r="T267" s="2218"/>
      <c r="U267" s="2280"/>
      <c r="V267" s="2281"/>
      <c r="W267" s="2261"/>
      <c r="X267" s="2277"/>
    </row>
    <row r="268" spans="1:24">
      <c r="A268" s="2255">
        <v>44775.291666666701</v>
      </c>
      <c r="B268" s="2276">
        <f t="shared" si="12"/>
        <v>1.621384750219106E-2</v>
      </c>
      <c r="C268" s="2258">
        <v>23190</v>
      </c>
      <c r="D268" s="2276">
        <f t="shared" si="13"/>
        <v>-0.11813455887892714</v>
      </c>
      <c r="E268" s="2258">
        <v>23410</v>
      </c>
      <c r="F268" s="2276">
        <f t="shared" si="14"/>
        <v>-0.15196078431372548</v>
      </c>
      <c r="G268" s="2258">
        <v>173</v>
      </c>
      <c r="H268" s="2259"/>
      <c r="I268" s="2259"/>
      <c r="J268" s="2259"/>
      <c r="K268" s="2259"/>
      <c r="S268" s="2277"/>
      <c r="T268" s="2218"/>
      <c r="U268" s="2280"/>
      <c r="V268" s="2281"/>
      <c r="W268" s="2261"/>
      <c r="X268" s="2277"/>
    </row>
    <row r="269" spans="1:24">
      <c r="A269" s="2255">
        <v>44776.291666666701</v>
      </c>
      <c r="B269" s="2276">
        <f t="shared" si="12"/>
        <v>1.7528483786152498E-2</v>
      </c>
      <c r="C269" s="2258">
        <v>23220</v>
      </c>
      <c r="D269" s="2276">
        <f t="shared" si="13"/>
        <v>-0.12536728697355534</v>
      </c>
      <c r="E269" s="2258">
        <v>23218</v>
      </c>
      <c r="F269" s="2276">
        <f t="shared" si="14"/>
        <v>-0.16176470588235295</v>
      </c>
      <c r="G269" s="2258">
        <v>171</v>
      </c>
      <c r="H269" s="2259"/>
      <c r="I269" s="2259"/>
      <c r="J269" s="2259"/>
      <c r="K269" s="2259"/>
      <c r="S269" s="2277"/>
      <c r="T269" s="2218"/>
      <c r="U269" s="2280"/>
      <c r="V269" s="2281"/>
      <c r="W269" s="2261"/>
      <c r="X269" s="2277"/>
    </row>
    <row r="270" spans="1:24">
      <c r="A270" s="2255">
        <v>44777.291666666701</v>
      </c>
      <c r="B270" s="2276">
        <f t="shared" si="12"/>
        <v>1.7966695880806311E-2</v>
      </c>
      <c r="C270" s="2258">
        <v>23230</v>
      </c>
      <c r="D270" s="2276">
        <f t="shared" si="13"/>
        <v>-0.12495291192646726</v>
      </c>
      <c r="E270" s="2258">
        <v>23229</v>
      </c>
      <c r="F270" s="2276">
        <f t="shared" si="14"/>
        <v>-0.17156862745098039</v>
      </c>
      <c r="G270" s="2258">
        <v>169</v>
      </c>
      <c r="H270" s="2259"/>
      <c r="I270" s="2259"/>
      <c r="J270" s="2259"/>
      <c r="K270" s="2259"/>
      <c r="S270" s="2277"/>
      <c r="T270" s="2218"/>
      <c r="U270" s="2280"/>
      <c r="V270" s="2281"/>
      <c r="W270" s="2261"/>
      <c r="X270" s="2277"/>
    </row>
    <row r="271" spans="1:24">
      <c r="A271" s="2255">
        <v>44778.291666666701</v>
      </c>
      <c r="B271" s="2276">
        <f t="shared" si="12"/>
        <v>1.7528483786152498E-2</v>
      </c>
      <c r="C271" s="2258">
        <v>23220</v>
      </c>
      <c r="D271" s="2276">
        <f t="shared" si="13"/>
        <v>-0.12212762751450312</v>
      </c>
      <c r="E271" s="2258">
        <v>23304</v>
      </c>
      <c r="F271" s="2276">
        <f t="shared" si="14"/>
        <v>-0.16176470588235295</v>
      </c>
      <c r="G271" s="2258">
        <v>171</v>
      </c>
      <c r="H271" s="2262">
        <v>4.3999999999999997E-2</v>
      </c>
      <c r="I271" s="2262">
        <v>3.5999999999999997E-2</v>
      </c>
      <c r="J271" s="2262">
        <v>9.2999999999999999E-2</v>
      </c>
      <c r="K271" s="2262">
        <v>3.3000000000000002E-2</v>
      </c>
      <c r="S271" s="2277"/>
      <c r="T271" s="2218"/>
      <c r="U271" s="2280"/>
      <c r="V271" s="2281"/>
      <c r="W271" s="2261"/>
      <c r="X271" s="2277"/>
    </row>
    <row r="272" spans="1:24">
      <c r="A272" s="2255">
        <v>44781.291666666701</v>
      </c>
      <c r="B272" s="2276">
        <f t="shared" si="12"/>
        <v>1.7528483786152498E-2</v>
      </c>
      <c r="C272" s="2258">
        <v>23220</v>
      </c>
      <c r="D272" s="2276">
        <f t="shared" si="13"/>
        <v>-0.1274391622089957</v>
      </c>
      <c r="E272" s="2258">
        <v>23163</v>
      </c>
      <c r="F272" s="2276">
        <f t="shared" si="14"/>
        <v>-0.17647058823529413</v>
      </c>
      <c r="G272" s="2258">
        <v>168</v>
      </c>
      <c r="H272" s="2259"/>
      <c r="I272" s="2259"/>
      <c r="J272" s="2259"/>
      <c r="K272" s="2259"/>
      <c r="S272" s="2277"/>
      <c r="T272" s="2218"/>
      <c r="U272" s="2280"/>
      <c r="V272" s="2281"/>
      <c r="W272" s="2261"/>
      <c r="X272" s="2277"/>
    </row>
    <row r="273" spans="1:24">
      <c r="A273" s="2255">
        <v>44782.291666666701</v>
      </c>
      <c r="B273" s="2276">
        <f t="shared" si="12"/>
        <v>1.7528483786152498E-2</v>
      </c>
      <c r="C273" s="2258">
        <v>23220</v>
      </c>
      <c r="D273" s="2276">
        <f t="shared" si="13"/>
        <v>-0.12536728697355534</v>
      </c>
      <c r="E273" s="2258">
        <v>23218</v>
      </c>
      <c r="F273" s="2276">
        <f t="shared" si="14"/>
        <v>-0.17156862745098039</v>
      </c>
      <c r="G273" s="2258">
        <v>169</v>
      </c>
      <c r="H273" s="2259"/>
      <c r="I273" s="2259"/>
      <c r="J273" s="2259"/>
      <c r="K273" s="2259"/>
      <c r="S273" s="2277"/>
      <c r="T273" s="2218"/>
      <c r="U273" s="2280"/>
      <c r="V273" s="2281"/>
      <c r="W273" s="2261"/>
      <c r="X273" s="2277"/>
    </row>
    <row r="274" spans="1:24">
      <c r="A274" s="2255">
        <v>44783.291666666701</v>
      </c>
      <c r="B274" s="2276">
        <f t="shared" si="12"/>
        <v>1.7528483786152498E-2</v>
      </c>
      <c r="C274" s="2258">
        <v>23220</v>
      </c>
      <c r="D274" s="2276">
        <f t="shared" si="13"/>
        <v>-0.12412416183229112</v>
      </c>
      <c r="E274" s="2258">
        <v>23251</v>
      </c>
      <c r="F274" s="2276">
        <f t="shared" si="14"/>
        <v>-0.17647058823529413</v>
      </c>
      <c r="G274" s="2258">
        <v>168</v>
      </c>
      <c r="H274" s="2259"/>
      <c r="I274" s="2259"/>
      <c r="J274" s="2259"/>
      <c r="K274" s="2259"/>
      <c r="S274" s="2277"/>
      <c r="T274" s="2218"/>
      <c r="U274" s="2280"/>
      <c r="V274" s="2281"/>
      <c r="W274" s="2261"/>
      <c r="X274" s="2277"/>
    </row>
    <row r="275" spans="1:24">
      <c r="A275" s="2255">
        <v>44784.291666666701</v>
      </c>
      <c r="B275" s="2276">
        <f t="shared" si="12"/>
        <v>1.7528483786152498E-2</v>
      </c>
      <c r="C275" s="2258">
        <v>23220</v>
      </c>
      <c r="D275" s="2276">
        <f t="shared" si="13"/>
        <v>-0.11568597905522489</v>
      </c>
      <c r="E275" s="2258">
        <v>23475</v>
      </c>
      <c r="F275" s="2276">
        <f t="shared" si="14"/>
        <v>-0.16176470588235295</v>
      </c>
      <c r="G275" s="2258">
        <v>171</v>
      </c>
      <c r="H275" s="2259"/>
      <c r="I275" s="2259"/>
      <c r="J275" s="2259"/>
      <c r="K275" s="2259"/>
      <c r="S275" s="2277"/>
      <c r="T275" s="2218"/>
      <c r="U275" s="2280"/>
      <c r="V275" s="2281"/>
      <c r="W275" s="2261"/>
      <c r="X275" s="2277"/>
    </row>
    <row r="276" spans="1:24">
      <c r="A276" s="2255">
        <v>44785.291666666701</v>
      </c>
      <c r="B276" s="2276">
        <f t="shared" si="12"/>
        <v>1.7528483786152498E-2</v>
      </c>
      <c r="C276" s="2258">
        <v>23220</v>
      </c>
      <c r="D276" s="2276">
        <f t="shared" si="13"/>
        <v>-0.11481955850222256</v>
      </c>
      <c r="E276" s="2258">
        <v>23498</v>
      </c>
      <c r="F276" s="2276">
        <f t="shared" si="14"/>
        <v>-0.16666666666666666</v>
      </c>
      <c r="G276" s="2258">
        <v>170</v>
      </c>
      <c r="H276" s="2259"/>
      <c r="I276" s="2259"/>
      <c r="J276" s="2259"/>
      <c r="K276" s="2259"/>
      <c r="S276" s="2277"/>
      <c r="T276" s="2218"/>
      <c r="U276" s="2280"/>
      <c r="V276" s="2281"/>
      <c r="W276" s="2261"/>
      <c r="X276" s="2277"/>
    </row>
    <row r="277" spans="1:24">
      <c r="A277" s="2255">
        <v>44788.291666666701</v>
      </c>
      <c r="B277" s="2276">
        <f t="shared" si="12"/>
        <v>1.7966695880806311E-2</v>
      </c>
      <c r="C277" s="2258">
        <v>23230</v>
      </c>
      <c r="D277" s="2276">
        <f t="shared" si="13"/>
        <v>-0.11888796805545092</v>
      </c>
      <c r="E277" s="2258">
        <v>23390</v>
      </c>
      <c r="F277" s="2276">
        <f t="shared" si="14"/>
        <v>-0.16176470588235295</v>
      </c>
      <c r="G277" s="2258">
        <v>171</v>
      </c>
      <c r="H277" s="2259"/>
      <c r="I277" s="2259"/>
      <c r="J277" s="2259"/>
      <c r="K277" s="2259"/>
      <c r="S277" s="2277"/>
      <c r="T277" s="2218"/>
      <c r="U277" s="2280"/>
      <c r="V277" s="2281"/>
      <c r="W277" s="2261"/>
      <c r="X277" s="2277"/>
    </row>
    <row r="278" spans="1:24">
      <c r="A278" s="2255">
        <v>44789.291666666701</v>
      </c>
      <c r="B278" s="2276">
        <f t="shared" si="12"/>
        <v>1.7966695880806311E-2</v>
      </c>
      <c r="C278" s="2258">
        <v>23230</v>
      </c>
      <c r="D278" s="2276">
        <f t="shared" si="13"/>
        <v>-0.12807956000904092</v>
      </c>
      <c r="E278" s="2258">
        <v>23146</v>
      </c>
      <c r="F278" s="2276">
        <f t="shared" si="14"/>
        <v>-0.16176470588235295</v>
      </c>
      <c r="G278" s="2258">
        <v>171</v>
      </c>
      <c r="H278" s="2259"/>
      <c r="I278" s="2259"/>
      <c r="J278" s="2259"/>
      <c r="K278" s="2259"/>
      <c r="S278" s="2277"/>
      <c r="T278" s="2218"/>
      <c r="U278" s="2280"/>
      <c r="V278" s="2281"/>
      <c r="W278" s="2261"/>
      <c r="X278" s="2277"/>
    </row>
    <row r="279" spans="1:24">
      <c r="A279" s="2255">
        <v>44790.291666666701</v>
      </c>
      <c r="B279" s="2276">
        <f t="shared" si="12"/>
        <v>1.8185801928133218E-2</v>
      </c>
      <c r="C279" s="2258">
        <v>23235</v>
      </c>
      <c r="D279" s="2276">
        <f t="shared" si="13"/>
        <v>-0.12653507119716717</v>
      </c>
      <c r="E279" s="2258">
        <v>23187</v>
      </c>
      <c r="F279" s="2276">
        <f t="shared" si="14"/>
        <v>-0.16666666666666666</v>
      </c>
      <c r="G279" s="2258">
        <v>170</v>
      </c>
      <c r="H279" s="2259"/>
      <c r="I279" s="2259"/>
      <c r="J279" s="2259"/>
      <c r="K279" s="2259"/>
      <c r="S279" s="2277"/>
      <c r="T279" s="2218"/>
      <c r="U279" s="2280"/>
      <c r="V279" s="2281"/>
      <c r="W279" s="2261"/>
      <c r="X279" s="2277"/>
    </row>
    <row r="280" spans="1:24">
      <c r="A280" s="2255">
        <v>44791.291666666701</v>
      </c>
      <c r="B280" s="2276">
        <f t="shared" si="12"/>
        <v>1.7966695880806311E-2</v>
      </c>
      <c r="C280" s="2258">
        <v>23230</v>
      </c>
      <c r="D280" s="2276">
        <f t="shared" si="13"/>
        <v>-0.12819257138551948</v>
      </c>
      <c r="E280" s="2258">
        <v>23143</v>
      </c>
      <c r="F280" s="2276">
        <f t="shared" si="14"/>
        <v>-0.17647058823529413</v>
      </c>
      <c r="G280" s="2258">
        <v>168</v>
      </c>
      <c r="H280" s="2259"/>
      <c r="I280" s="2259"/>
      <c r="J280" s="2259"/>
      <c r="K280" s="2259"/>
      <c r="S280" s="2277"/>
      <c r="T280" s="2218"/>
      <c r="U280" s="2280"/>
      <c r="V280" s="2281"/>
      <c r="W280" s="2261"/>
      <c r="X280" s="2277"/>
    </row>
    <row r="281" spans="1:24">
      <c r="A281" s="2255">
        <v>44792.291666666701</v>
      </c>
      <c r="B281" s="2276">
        <f t="shared" si="12"/>
        <v>1.8185801928133218E-2</v>
      </c>
      <c r="C281" s="2258">
        <v>23235</v>
      </c>
      <c r="D281" s="2276">
        <f t="shared" si="13"/>
        <v>-0.134295185715362</v>
      </c>
      <c r="E281" s="2258">
        <v>22981</v>
      </c>
      <c r="F281" s="2276">
        <f t="shared" si="14"/>
        <v>-0.18137254901960784</v>
      </c>
      <c r="G281" s="2258">
        <v>167</v>
      </c>
      <c r="H281" s="2259"/>
      <c r="I281" s="2259"/>
      <c r="J281" s="2259"/>
      <c r="K281" s="2259"/>
      <c r="S281" s="2277"/>
      <c r="T281" s="2218"/>
      <c r="U281" s="2280"/>
      <c r="V281" s="2281"/>
      <c r="W281" s="2261"/>
      <c r="X281" s="2277"/>
    </row>
    <row r="282" spans="1:24">
      <c r="A282" s="2255">
        <v>44795.291666666701</v>
      </c>
      <c r="B282" s="2276">
        <f t="shared" si="12"/>
        <v>1.8185801928133218E-2</v>
      </c>
      <c r="C282" s="2258">
        <v>23235</v>
      </c>
      <c r="D282" s="2276">
        <f t="shared" si="13"/>
        <v>-0.13892865215098321</v>
      </c>
      <c r="E282" s="2258">
        <v>22858</v>
      </c>
      <c r="F282" s="2276">
        <f t="shared" si="14"/>
        <v>-0.19117647058823528</v>
      </c>
      <c r="G282" s="2258">
        <v>165</v>
      </c>
      <c r="H282" s="2259"/>
      <c r="I282" s="2259"/>
      <c r="J282" s="2259"/>
      <c r="K282" s="2259"/>
      <c r="S282" s="2277"/>
      <c r="T282" s="2218"/>
      <c r="U282" s="2280"/>
      <c r="V282" s="2281"/>
      <c r="W282" s="2261"/>
      <c r="X282" s="2277"/>
    </row>
    <row r="283" spans="1:24">
      <c r="A283" s="2255">
        <v>44796.291666666701</v>
      </c>
      <c r="B283" s="2276">
        <f t="shared" si="12"/>
        <v>1.9281332164767746E-2</v>
      </c>
      <c r="C283" s="2258">
        <v>23260</v>
      </c>
      <c r="D283" s="2276">
        <f t="shared" si="13"/>
        <v>-0.14729149401039704</v>
      </c>
      <c r="E283" s="2258">
        <v>22636</v>
      </c>
      <c r="F283" s="2276">
        <f t="shared" si="14"/>
        <v>-0.18627450980392157</v>
      </c>
      <c r="G283" s="2258">
        <v>166</v>
      </c>
      <c r="H283" s="2259"/>
      <c r="I283" s="2259"/>
      <c r="J283" s="2259"/>
      <c r="K283" s="2259"/>
      <c r="S283" s="2277"/>
      <c r="T283" s="2218"/>
      <c r="U283" s="2280"/>
      <c r="V283" s="2281"/>
      <c r="W283" s="2261"/>
      <c r="X283" s="2277"/>
    </row>
    <row r="284" spans="1:24">
      <c r="A284" s="2255">
        <v>44797.291666666701</v>
      </c>
      <c r="B284" s="2276">
        <f t="shared" si="12"/>
        <v>2.1034180543382998E-2</v>
      </c>
      <c r="C284" s="2258">
        <v>23300</v>
      </c>
      <c r="D284" s="2276">
        <f t="shared" si="13"/>
        <v>-0.14307240262186394</v>
      </c>
      <c r="E284" s="2258">
        <v>22748</v>
      </c>
      <c r="F284" s="2276">
        <f t="shared" si="14"/>
        <v>-0.18137254901960784</v>
      </c>
      <c r="G284" s="2258">
        <v>167</v>
      </c>
      <c r="H284" s="2259"/>
      <c r="I284" s="2259"/>
      <c r="J284" s="2259"/>
      <c r="K284" s="2259"/>
      <c r="S284" s="2277"/>
      <c r="T284" s="2218"/>
      <c r="U284" s="2280"/>
      <c r="V284" s="2281"/>
      <c r="W284" s="2261"/>
      <c r="X284" s="2277"/>
    </row>
    <row r="285" spans="1:24">
      <c r="A285" s="2255">
        <v>44798.291666666701</v>
      </c>
      <c r="B285" s="2276">
        <f t="shared" si="12"/>
        <v>1.8843120070113933E-2</v>
      </c>
      <c r="C285" s="2258">
        <v>23250</v>
      </c>
      <c r="D285" s="2276">
        <f t="shared" si="13"/>
        <v>-0.13870262939802608</v>
      </c>
      <c r="E285" s="2258">
        <v>22864</v>
      </c>
      <c r="F285" s="2276">
        <f t="shared" si="14"/>
        <v>-0.18627450980392157</v>
      </c>
      <c r="G285" s="2258">
        <v>166</v>
      </c>
      <c r="H285" s="2259"/>
      <c r="I285" s="2259"/>
      <c r="J285" s="2259"/>
      <c r="K285" s="2259"/>
      <c r="S285" s="2277"/>
      <c r="T285" s="2218"/>
      <c r="U285" s="2280"/>
      <c r="V285" s="2281"/>
      <c r="W285" s="2261"/>
      <c r="X285" s="2277"/>
    </row>
    <row r="286" spans="1:24">
      <c r="A286" s="2255">
        <v>44799.291666666701</v>
      </c>
      <c r="B286" s="2276">
        <f t="shared" si="12"/>
        <v>1.9281332164767746E-2</v>
      </c>
      <c r="C286" s="2258">
        <v>23260</v>
      </c>
      <c r="D286" s="2276">
        <f t="shared" si="13"/>
        <v>-0.14314774353951631</v>
      </c>
      <c r="E286" s="2258">
        <v>22746</v>
      </c>
      <c r="F286" s="2276">
        <f t="shared" si="14"/>
        <v>-0.18627450980392157</v>
      </c>
      <c r="G286" s="2258">
        <v>166</v>
      </c>
      <c r="H286" s="2259"/>
      <c r="I286" s="2259"/>
      <c r="J286" s="2259"/>
      <c r="K286" s="2259"/>
      <c r="S286" s="2277"/>
      <c r="T286" s="2218"/>
      <c r="U286" s="2280"/>
      <c r="V286" s="2281"/>
      <c r="W286" s="2261"/>
      <c r="X286" s="2277"/>
    </row>
    <row r="287" spans="1:24">
      <c r="A287" s="2255">
        <v>44802.291666666701</v>
      </c>
      <c r="B287" s="2276">
        <f t="shared" si="12"/>
        <v>1.8404907975460124E-2</v>
      </c>
      <c r="C287" s="2258">
        <v>23240</v>
      </c>
      <c r="D287" s="2276">
        <f t="shared" si="13"/>
        <v>-0.14699013033978753</v>
      </c>
      <c r="E287" s="2258">
        <v>22644</v>
      </c>
      <c r="F287" s="2276">
        <f t="shared" si="14"/>
        <v>-0.19607843137254902</v>
      </c>
      <c r="G287" s="2258">
        <v>164</v>
      </c>
      <c r="H287" s="2259"/>
      <c r="I287" s="2259"/>
      <c r="J287" s="2259"/>
      <c r="K287" s="2259"/>
      <c r="S287" s="2277"/>
      <c r="T287" s="2218"/>
      <c r="U287" s="2280"/>
      <c r="V287" s="2281"/>
      <c r="W287" s="2261"/>
      <c r="X287" s="2277"/>
    </row>
    <row r="288" spans="1:24">
      <c r="A288" s="2255">
        <v>44803.291666666701</v>
      </c>
      <c r="B288" s="2276">
        <f t="shared" si="12"/>
        <v>1.9281332164767746E-2</v>
      </c>
      <c r="C288" s="2258">
        <v>23260</v>
      </c>
      <c r="D288" s="2276">
        <f t="shared" si="13"/>
        <v>-0.13979507270398553</v>
      </c>
      <c r="E288" s="2258">
        <v>22835</v>
      </c>
      <c r="F288" s="2276">
        <f t="shared" si="14"/>
        <v>-0.19607843137254902</v>
      </c>
      <c r="G288" s="2258">
        <v>164</v>
      </c>
      <c r="H288" s="2259"/>
      <c r="I288" s="2259"/>
      <c r="J288" s="2259"/>
      <c r="K288" s="2259"/>
      <c r="S288" s="2277"/>
      <c r="T288" s="2218"/>
      <c r="U288" s="2280"/>
      <c r="V288" s="2281"/>
      <c r="W288" s="2261"/>
      <c r="X288" s="2277"/>
    </row>
    <row r="289" spans="1:24">
      <c r="A289" s="2255">
        <v>44804.291666666701</v>
      </c>
      <c r="B289" s="2276">
        <f t="shared" si="12"/>
        <v>2.0595968448729185E-2</v>
      </c>
      <c r="C289" s="2258">
        <v>23290</v>
      </c>
      <c r="D289" s="2276">
        <f t="shared" si="13"/>
        <v>-0.13708279966849996</v>
      </c>
      <c r="E289" s="2258">
        <v>22907</v>
      </c>
      <c r="F289" s="2276">
        <f t="shared" si="14"/>
        <v>-0.19607843137254902</v>
      </c>
      <c r="G289" s="2258">
        <v>164</v>
      </c>
      <c r="H289" s="2259"/>
      <c r="I289" s="2259"/>
      <c r="J289" s="2259"/>
      <c r="K289" s="2259"/>
      <c r="S289" s="2277"/>
      <c r="T289" s="2218"/>
      <c r="U289" s="2280"/>
      <c r="V289" s="2281"/>
      <c r="W289" s="2261"/>
      <c r="X289" s="2277"/>
    </row>
    <row r="290" spans="1:24">
      <c r="A290" s="2255">
        <v>44805.291666666701</v>
      </c>
      <c r="B290" s="2276">
        <f t="shared" si="12"/>
        <v>2.0595968448729185E-2</v>
      </c>
      <c r="C290" s="2258">
        <v>23290</v>
      </c>
      <c r="D290" s="2276">
        <f t="shared" si="13"/>
        <v>-0.13708279966849996</v>
      </c>
      <c r="E290" s="2258">
        <v>22907</v>
      </c>
      <c r="F290" s="2276">
        <f t="shared" si="14"/>
        <v>-0.19607843137254902</v>
      </c>
      <c r="G290" s="2258">
        <v>164</v>
      </c>
      <c r="H290" s="2259"/>
      <c r="I290" s="2259"/>
      <c r="J290" s="2259"/>
      <c r="K290" s="2259"/>
      <c r="S290" s="2277"/>
      <c r="T290" s="2218"/>
      <c r="U290" s="2280"/>
      <c r="V290" s="2281"/>
      <c r="W290" s="2261"/>
      <c r="X290" s="2277"/>
    </row>
    <row r="291" spans="1:24">
      <c r="A291" s="2255">
        <v>44806.291666666701</v>
      </c>
      <c r="B291" s="2276">
        <f t="shared" si="12"/>
        <v>2.0595968448729185E-2</v>
      </c>
      <c r="C291" s="2258">
        <v>23290</v>
      </c>
      <c r="D291" s="2276">
        <f t="shared" si="13"/>
        <v>-0.13708279966849996</v>
      </c>
      <c r="E291" s="2258">
        <v>22907</v>
      </c>
      <c r="F291" s="2276">
        <f t="shared" si="14"/>
        <v>-0.19607843137254902</v>
      </c>
      <c r="G291" s="2258">
        <v>164</v>
      </c>
      <c r="H291" s="2259"/>
      <c r="I291" s="2259"/>
      <c r="J291" s="2259"/>
      <c r="K291" s="2259"/>
      <c r="S291" s="2277"/>
      <c r="T291" s="2218"/>
      <c r="U291" s="2280"/>
      <c r="V291" s="2281"/>
      <c r="W291" s="2261"/>
      <c r="X291" s="2277"/>
    </row>
    <row r="292" spans="1:24">
      <c r="A292" s="2255">
        <v>44809.291666666701</v>
      </c>
      <c r="B292" s="2276">
        <f t="shared" si="12"/>
        <v>2.4101665205959685E-2</v>
      </c>
      <c r="C292" s="2258">
        <v>23370</v>
      </c>
      <c r="D292" s="2276">
        <f t="shared" si="13"/>
        <v>-0.14431552776312814</v>
      </c>
      <c r="E292" s="2258">
        <v>22715</v>
      </c>
      <c r="F292" s="2276">
        <f t="shared" si="14"/>
        <v>-0.20098039215686275</v>
      </c>
      <c r="G292" s="2258">
        <v>163</v>
      </c>
      <c r="H292" s="2259"/>
      <c r="I292" s="2259"/>
      <c r="J292" s="2259"/>
      <c r="K292" s="2259"/>
      <c r="S292" s="2277"/>
      <c r="T292" s="2218"/>
      <c r="U292" s="2280"/>
      <c r="V292" s="2281"/>
      <c r="W292" s="2261"/>
      <c r="X292" s="2277"/>
    </row>
    <row r="293" spans="1:24">
      <c r="A293" s="2255">
        <v>44810.291666666701</v>
      </c>
      <c r="B293" s="2276">
        <f t="shared" si="12"/>
        <v>2.4101665205959685E-2</v>
      </c>
      <c r="C293" s="2258">
        <v>23370</v>
      </c>
      <c r="D293" s="2276">
        <f t="shared" si="13"/>
        <v>-0.13930535673924507</v>
      </c>
      <c r="E293" s="2258">
        <v>22848</v>
      </c>
      <c r="F293" s="2276">
        <f t="shared" si="14"/>
        <v>-0.20098039215686275</v>
      </c>
      <c r="G293" s="2258">
        <v>163</v>
      </c>
      <c r="H293" s="2259"/>
      <c r="I293" s="2259"/>
      <c r="J293" s="2259"/>
      <c r="K293" s="2259"/>
      <c r="S293" s="2277"/>
      <c r="T293" s="2218"/>
      <c r="U293" s="2280"/>
      <c r="V293" s="2281"/>
      <c r="W293" s="2261"/>
      <c r="X293" s="2277"/>
    </row>
    <row r="294" spans="1:24">
      <c r="A294" s="2255">
        <v>44811.291666666701</v>
      </c>
      <c r="B294" s="2276">
        <f t="shared" si="12"/>
        <v>2.6730937773882558E-2</v>
      </c>
      <c r="C294" s="2258">
        <v>23430</v>
      </c>
      <c r="D294" s="2276">
        <f t="shared" si="13"/>
        <v>-0.14333609583364726</v>
      </c>
      <c r="E294" s="2258">
        <v>22741</v>
      </c>
      <c r="F294" s="2276">
        <f t="shared" si="14"/>
        <v>-0.22058823529411764</v>
      </c>
      <c r="G294" s="2258">
        <v>159</v>
      </c>
      <c r="H294" s="2259"/>
      <c r="I294" s="2259"/>
      <c r="J294" s="2259"/>
      <c r="K294" s="2259"/>
      <c r="S294" s="2277"/>
      <c r="T294" s="2218"/>
      <c r="U294" s="2280"/>
      <c r="V294" s="2281"/>
      <c r="W294" s="2261"/>
      <c r="X294" s="2277"/>
    </row>
    <row r="295" spans="1:24">
      <c r="A295" s="2255">
        <v>44812.291666666701</v>
      </c>
      <c r="B295" s="2276">
        <f t="shared" si="12"/>
        <v>2.3663453111305872E-2</v>
      </c>
      <c r="C295" s="2258">
        <v>23360</v>
      </c>
      <c r="D295" s="2276">
        <f t="shared" si="13"/>
        <v>-0.13674376553906425</v>
      </c>
      <c r="E295" s="2258">
        <v>22916</v>
      </c>
      <c r="F295" s="2276">
        <f t="shared" si="14"/>
        <v>-0.22058823529411764</v>
      </c>
      <c r="G295" s="2258">
        <v>159</v>
      </c>
      <c r="H295" s="2259"/>
      <c r="I295" s="2259"/>
      <c r="J295" s="2259"/>
      <c r="K295" s="2259"/>
      <c r="S295" s="2277"/>
      <c r="T295" s="2218"/>
      <c r="U295" s="2280"/>
      <c r="V295" s="2281"/>
      <c r="W295" s="2261"/>
      <c r="X295" s="2277"/>
    </row>
    <row r="296" spans="1:24">
      <c r="A296" s="2255">
        <v>44813.291666666701</v>
      </c>
      <c r="B296" s="2276">
        <f t="shared" si="12"/>
        <v>2.4539877300613498E-2</v>
      </c>
      <c r="C296" s="2258">
        <v>23380</v>
      </c>
      <c r="D296" s="2276">
        <f t="shared" si="13"/>
        <v>-0.13184660589165975</v>
      </c>
      <c r="E296" s="2258">
        <v>23046</v>
      </c>
      <c r="F296" s="2276">
        <f t="shared" si="14"/>
        <v>-0.22058823529411764</v>
      </c>
      <c r="G296" s="2258">
        <v>159</v>
      </c>
      <c r="H296" s="2259"/>
      <c r="I296" s="2259"/>
      <c r="J296" s="2259"/>
      <c r="K296" s="2259"/>
      <c r="S296" s="2277"/>
      <c r="T296" s="2218"/>
      <c r="U296" s="2280"/>
      <c r="V296" s="2281"/>
      <c r="W296" s="2261"/>
      <c r="X296" s="2277"/>
    </row>
    <row r="297" spans="1:24">
      <c r="A297" s="2255">
        <v>44816.291666666701</v>
      </c>
      <c r="B297" s="2276">
        <f t="shared" si="12"/>
        <v>2.3663453111305872E-2</v>
      </c>
      <c r="C297" s="2258">
        <v>23360</v>
      </c>
      <c r="D297" s="2276">
        <f t="shared" si="13"/>
        <v>-0.1293980260679575</v>
      </c>
      <c r="E297" s="2258">
        <v>23111</v>
      </c>
      <c r="F297" s="2276">
        <f t="shared" si="14"/>
        <v>-0.21568627450980393</v>
      </c>
      <c r="G297" s="2258">
        <v>160</v>
      </c>
      <c r="H297" s="2259"/>
      <c r="I297" s="2259"/>
      <c r="J297" s="2259"/>
      <c r="K297" s="2259"/>
      <c r="S297" s="2277"/>
      <c r="T297" s="2218"/>
      <c r="U297" s="2280"/>
      <c r="V297" s="2281"/>
      <c r="W297" s="2261"/>
      <c r="X297" s="2277"/>
    </row>
    <row r="298" spans="1:24">
      <c r="A298" s="2255">
        <v>44817.291666666701</v>
      </c>
      <c r="B298" s="2276">
        <f t="shared" si="12"/>
        <v>2.4539877300613498E-2</v>
      </c>
      <c r="C298" s="2258">
        <v>23380</v>
      </c>
      <c r="D298" s="2276">
        <f t="shared" si="13"/>
        <v>-0.12397347999698637</v>
      </c>
      <c r="E298" s="2258">
        <v>23255</v>
      </c>
      <c r="F298" s="2276">
        <f t="shared" si="14"/>
        <v>-0.21568627450980393</v>
      </c>
      <c r="G298" s="2258">
        <v>160</v>
      </c>
      <c r="H298" s="2259"/>
      <c r="I298" s="2259"/>
      <c r="J298" s="2259"/>
      <c r="K298" s="2259"/>
      <c r="S298" s="2277"/>
      <c r="T298" s="2218"/>
      <c r="U298" s="2280"/>
      <c r="V298" s="2281"/>
      <c r="W298" s="2261"/>
      <c r="X298" s="2277"/>
    </row>
    <row r="299" spans="1:24">
      <c r="A299" s="2255">
        <v>44818.291666666701</v>
      </c>
      <c r="B299" s="2276">
        <f t="shared" si="12"/>
        <v>2.6292725679228746E-2</v>
      </c>
      <c r="C299" s="2258">
        <v>23420</v>
      </c>
      <c r="D299" s="2276">
        <f t="shared" si="13"/>
        <v>-0.13410683342123106</v>
      </c>
      <c r="E299" s="2258">
        <v>22986</v>
      </c>
      <c r="F299" s="2276">
        <f t="shared" si="14"/>
        <v>-0.21568627450980393</v>
      </c>
      <c r="G299" s="2258">
        <v>160</v>
      </c>
      <c r="H299" s="2259"/>
      <c r="I299" s="2259"/>
      <c r="J299" s="2259"/>
      <c r="K299" s="2259"/>
      <c r="S299" s="2277"/>
      <c r="T299" s="2218"/>
      <c r="U299" s="2280"/>
      <c r="V299" s="2281"/>
      <c r="W299" s="2261"/>
      <c r="X299" s="2277"/>
    </row>
    <row r="300" spans="1:24">
      <c r="A300" s="2255">
        <v>44819.291666666701</v>
      </c>
      <c r="B300" s="2276">
        <f t="shared" si="12"/>
        <v>2.6730937773882558E-2</v>
      </c>
      <c r="C300" s="2258">
        <v>23430</v>
      </c>
      <c r="D300" s="2276">
        <f t="shared" si="13"/>
        <v>-0.13625404957432383</v>
      </c>
      <c r="E300" s="2258">
        <v>22929</v>
      </c>
      <c r="F300" s="2276">
        <f t="shared" si="14"/>
        <v>-0.2107843137254902</v>
      </c>
      <c r="G300" s="2258">
        <v>161</v>
      </c>
      <c r="H300" s="2259"/>
      <c r="I300" s="2259"/>
      <c r="J300" s="2259"/>
      <c r="K300" s="2259"/>
      <c r="S300" s="2277"/>
      <c r="T300" s="2218"/>
      <c r="U300" s="2280"/>
      <c r="V300" s="2281"/>
      <c r="W300" s="2261"/>
      <c r="X300" s="2277"/>
    </row>
    <row r="301" spans="1:24">
      <c r="A301" s="2255">
        <v>44820.291666666701</v>
      </c>
      <c r="B301" s="2276">
        <f t="shared" si="12"/>
        <v>2.9141104294478526E-2</v>
      </c>
      <c r="C301" s="2258">
        <v>23485</v>
      </c>
      <c r="D301" s="2276">
        <f t="shared" si="13"/>
        <v>-0.13614103819784526</v>
      </c>
      <c r="E301" s="2258">
        <v>22932</v>
      </c>
      <c r="F301" s="2276">
        <f t="shared" si="14"/>
        <v>-0.2107843137254902</v>
      </c>
      <c r="G301" s="2258">
        <v>161</v>
      </c>
      <c r="H301" s="2259"/>
      <c r="I301" s="2259"/>
      <c r="J301" s="2259"/>
      <c r="K301" s="2259"/>
      <c r="S301" s="2277"/>
      <c r="T301" s="2218"/>
      <c r="U301" s="2280"/>
      <c r="V301" s="2281"/>
      <c r="W301" s="2261"/>
      <c r="X301" s="2277"/>
    </row>
    <row r="302" spans="1:24">
      <c r="A302" s="2255">
        <v>44823.291666666701</v>
      </c>
      <c r="B302" s="2276">
        <f t="shared" si="12"/>
        <v>2.9798422436459245E-2</v>
      </c>
      <c r="C302" s="2258">
        <v>23500</v>
      </c>
      <c r="D302" s="2276">
        <f t="shared" si="13"/>
        <v>-0.13056581029156936</v>
      </c>
      <c r="E302" s="2258">
        <v>23080</v>
      </c>
      <c r="F302" s="2276">
        <f t="shared" si="14"/>
        <v>-0.2107843137254902</v>
      </c>
      <c r="G302" s="2258">
        <v>161</v>
      </c>
      <c r="H302" s="2259"/>
      <c r="I302" s="2259"/>
      <c r="J302" s="2259"/>
      <c r="K302" s="2259"/>
      <c r="S302" s="2277"/>
      <c r="T302" s="2218"/>
      <c r="U302" s="2280"/>
      <c r="V302" s="2281"/>
      <c r="W302" s="2261"/>
      <c r="X302" s="2277"/>
    </row>
    <row r="303" spans="1:24">
      <c r="A303" s="2255">
        <v>44824.291666666701</v>
      </c>
      <c r="B303" s="2276">
        <f t="shared" si="12"/>
        <v>2.9798422436459245E-2</v>
      </c>
      <c r="C303" s="2258">
        <v>23500</v>
      </c>
      <c r="D303" s="2276">
        <f t="shared" si="13"/>
        <v>-0.1277781963384314</v>
      </c>
      <c r="E303" s="2258">
        <v>23154</v>
      </c>
      <c r="F303" s="2276">
        <f t="shared" si="14"/>
        <v>-0.2107843137254902</v>
      </c>
      <c r="G303" s="2258">
        <v>161</v>
      </c>
      <c r="H303" s="2259"/>
      <c r="I303" s="2259"/>
      <c r="J303" s="2259"/>
      <c r="K303" s="2259"/>
      <c r="S303" s="2277"/>
      <c r="T303" s="2218"/>
      <c r="U303" s="2280"/>
      <c r="V303" s="2281"/>
      <c r="W303" s="2261"/>
      <c r="X303" s="2277"/>
    </row>
    <row r="304" spans="1:24">
      <c r="A304" s="2255">
        <v>44825.291666666701</v>
      </c>
      <c r="B304" s="2276">
        <f t="shared" si="12"/>
        <v>3.0455740578439965E-2</v>
      </c>
      <c r="C304" s="2258">
        <v>23515</v>
      </c>
      <c r="D304" s="2276">
        <f t="shared" si="13"/>
        <v>-0.13870262939802608</v>
      </c>
      <c r="E304" s="2258">
        <v>22864</v>
      </c>
      <c r="F304" s="2276">
        <f t="shared" si="14"/>
        <v>-0.21568627450980393</v>
      </c>
      <c r="G304" s="2258">
        <v>160</v>
      </c>
      <c r="H304" s="2259"/>
      <c r="I304" s="2259"/>
      <c r="J304" s="2259"/>
      <c r="K304" s="2259"/>
      <c r="S304" s="2277"/>
      <c r="T304" s="2218"/>
      <c r="U304" s="2280"/>
      <c r="V304" s="2281"/>
      <c r="W304" s="2261"/>
      <c r="X304" s="2277"/>
    </row>
    <row r="305" spans="1:24">
      <c r="A305" s="2255">
        <v>44826.291666666701</v>
      </c>
      <c r="B305" s="2276">
        <f t="shared" si="12"/>
        <v>3.133216476774759E-2</v>
      </c>
      <c r="C305" s="2258">
        <v>23535</v>
      </c>
      <c r="D305" s="2276">
        <f t="shared" si="13"/>
        <v>-0.13821291343328562</v>
      </c>
      <c r="E305" s="2258">
        <v>22877</v>
      </c>
      <c r="F305" s="2276">
        <f t="shared" si="14"/>
        <v>-0.20098039215686275</v>
      </c>
      <c r="G305" s="2258">
        <v>163</v>
      </c>
      <c r="H305" s="2259"/>
      <c r="I305" s="2259"/>
      <c r="J305" s="2259"/>
      <c r="K305" s="2259"/>
      <c r="S305" s="2277"/>
      <c r="T305" s="2218"/>
      <c r="U305" s="2280"/>
      <c r="V305" s="2281"/>
      <c r="W305" s="2261"/>
      <c r="X305" s="2277"/>
    </row>
    <row r="306" spans="1:24">
      <c r="A306" s="2255">
        <v>44827.291666666701</v>
      </c>
      <c r="B306" s="2276">
        <f t="shared" si="12"/>
        <v>3.133216476774759E-2</v>
      </c>
      <c r="C306" s="2258">
        <v>23535</v>
      </c>
      <c r="D306" s="2276">
        <f t="shared" si="13"/>
        <v>-0.15056882392827545</v>
      </c>
      <c r="E306" s="2258">
        <v>22549</v>
      </c>
      <c r="F306" s="2276">
        <f t="shared" si="14"/>
        <v>-0.2107843137254902</v>
      </c>
      <c r="G306" s="2258">
        <v>161</v>
      </c>
      <c r="H306" s="2259"/>
      <c r="I306" s="2259"/>
      <c r="J306" s="2259"/>
      <c r="K306" s="2259"/>
      <c r="S306" s="2277"/>
      <c r="T306" s="2218"/>
      <c r="U306" s="2280"/>
      <c r="V306" s="2281"/>
      <c r="W306" s="2261"/>
      <c r="X306" s="2277"/>
    </row>
    <row r="307" spans="1:24">
      <c r="A307" s="2255">
        <v>44830.291666666701</v>
      </c>
      <c r="B307" s="2276">
        <f t="shared" si="12"/>
        <v>3.2427695004382119E-2</v>
      </c>
      <c r="C307" s="2258">
        <v>23560</v>
      </c>
      <c r="D307" s="2276">
        <f t="shared" si="13"/>
        <v>-0.15640774504633467</v>
      </c>
      <c r="E307" s="2258">
        <v>22394</v>
      </c>
      <c r="F307" s="2276">
        <f t="shared" si="14"/>
        <v>-0.21568627450980393</v>
      </c>
      <c r="G307" s="2258">
        <v>160</v>
      </c>
      <c r="H307" s="2259"/>
      <c r="I307" s="2259"/>
      <c r="J307" s="2259"/>
      <c r="K307" s="2259"/>
      <c r="S307" s="2277"/>
      <c r="T307" s="2218"/>
      <c r="U307" s="2280"/>
      <c r="V307" s="2281"/>
      <c r="W307" s="2261"/>
      <c r="X307" s="2277"/>
    </row>
    <row r="308" spans="1:24">
      <c r="A308" s="2255">
        <v>44831.291666666701</v>
      </c>
      <c r="B308" s="2276">
        <f t="shared" si="12"/>
        <v>3.2646801051709029E-2</v>
      </c>
      <c r="C308" s="2258">
        <v>23565</v>
      </c>
      <c r="D308" s="2276">
        <f t="shared" si="13"/>
        <v>-0.15968507496421305</v>
      </c>
      <c r="E308" s="2258">
        <v>22307</v>
      </c>
      <c r="F308" s="2276">
        <f t="shared" si="14"/>
        <v>-0.22058823529411764</v>
      </c>
      <c r="G308" s="2258">
        <v>159</v>
      </c>
      <c r="H308" s="2262">
        <v>4.4999999999999998E-2</v>
      </c>
      <c r="I308" s="2262">
        <v>3.7999999999999999E-2</v>
      </c>
      <c r="J308" s="2262">
        <v>9.5000000000000001E-2</v>
      </c>
      <c r="K308" s="2262">
        <v>3.4000000000000002E-2</v>
      </c>
      <c r="S308" s="2277"/>
      <c r="T308" s="2218"/>
      <c r="U308" s="2280"/>
      <c r="V308" s="2281"/>
      <c r="W308" s="2261"/>
      <c r="X308" s="2277"/>
    </row>
    <row r="309" spans="1:24">
      <c r="A309" s="2255">
        <v>44832.291666666701</v>
      </c>
      <c r="B309" s="2276">
        <f t="shared" si="12"/>
        <v>3.3304119193689745E-2</v>
      </c>
      <c r="C309" s="2258">
        <v>23580</v>
      </c>
      <c r="D309" s="2276">
        <f t="shared" si="13"/>
        <v>-0.16526030287048896</v>
      </c>
      <c r="E309" s="2258">
        <v>22159</v>
      </c>
      <c r="F309" s="2276">
        <f t="shared" si="14"/>
        <v>-0.22058823529411764</v>
      </c>
      <c r="G309" s="2258">
        <v>159</v>
      </c>
      <c r="H309" s="2259"/>
      <c r="I309" s="2259"/>
      <c r="J309" s="2259"/>
      <c r="K309" s="2259"/>
      <c r="S309" s="2277"/>
      <c r="T309" s="2218"/>
      <c r="U309" s="2280"/>
      <c r="V309" s="2281"/>
      <c r="W309" s="2261"/>
      <c r="X309" s="2277"/>
    </row>
    <row r="310" spans="1:24">
      <c r="A310" s="2255">
        <v>44833.291666666701</v>
      </c>
      <c r="B310" s="2276">
        <f t="shared" si="12"/>
        <v>3.5933391761612622E-2</v>
      </c>
      <c r="C310" s="2258">
        <v>23640</v>
      </c>
      <c r="D310" s="2276">
        <f t="shared" si="13"/>
        <v>-0.15704814284637986</v>
      </c>
      <c r="E310" s="2258">
        <v>22377</v>
      </c>
      <c r="F310" s="2276">
        <f t="shared" si="14"/>
        <v>-0.21568627450980393</v>
      </c>
      <c r="G310" s="2258">
        <v>160</v>
      </c>
      <c r="H310" s="2259"/>
      <c r="I310" s="2259"/>
      <c r="J310" s="2259"/>
      <c r="K310" s="2259"/>
      <c r="S310" s="2277"/>
      <c r="T310" s="2218"/>
      <c r="U310" s="2280"/>
      <c r="V310" s="2281"/>
      <c r="W310" s="2261"/>
      <c r="X310" s="2277"/>
    </row>
    <row r="311" spans="1:24">
      <c r="A311" s="2255">
        <v>44834.291666666701</v>
      </c>
      <c r="B311" s="2276">
        <f t="shared" si="12"/>
        <v>3.8562664329535493E-2</v>
      </c>
      <c r="C311" s="2258">
        <v>23700</v>
      </c>
      <c r="D311" s="2276">
        <f t="shared" si="13"/>
        <v>-0.1412642205982069</v>
      </c>
      <c r="E311" s="2258">
        <v>22796</v>
      </c>
      <c r="F311" s="2276">
        <f t="shared" si="14"/>
        <v>-0.21568627450980393</v>
      </c>
      <c r="G311" s="2258">
        <v>160</v>
      </c>
      <c r="H311" s="2262">
        <v>4.4999999999999998E-2</v>
      </c>
      <c r="I311" s="2262">
        <v>4.1000000000000002E-2</v>
      </c>
      <c r="J311" s="2262">
        <v>9.5000000000000001E-2</v>
      </c>
      <c r="K311" s="2262">
        <v>3.5000000000000003E-2</v>
      </c>
      <c r="S311" s="2277"/>
      <c r="T311" s="2218"/>
      <c r="U311" s="2280"/>
      <c r="V311" s="2281"/>
      <c r="W311" s="2261"/>
      <c r="X311" s="2277"/>
    </row>
    <row r="312" spans="1:24">
      <c r="A312" s="2255">
        <v>44837.291666666701</v>
      </c>
      <c r="B312" s="2276">
        <f t="shared" si="12"/>
        <v>3.9877300613496931E-2</v>
      </c>
      <c r="C312" s="2258">
        <v>23730</v>
      </c>
      <c r="D312" s="2276">
        <f t="shared" si="13"/>
        <v>-0.13945603857454983</v>
      </c>
      <c r="E312" s="2258">
        <v>22844</v>
      </c>
      <c r="F312" s="2276">
        <f t="shared" si="14"/>
        <v>-0.21568627450980393</v>
      </c>
      <c r="G312" s="2258">
        <v>160</v>
      </c>
      <c r="H312" s="2259"/>
      <c r="I312" s="2259"/>
      <c r="J312" s="2259"/>
      <c r="K312" s="2259"/>
      <c r="S312" s="2277"/>
      <c r="T312" s="2218"/>
      <c r="U312" s="2280"/>
      <c r="V312" s="2281"/>
      <c r="W312" s="2261"/>
      <c r="X312" s="2277"/>
    </row>
    <row r="313" spans="1:24">
      <c r="A313" s="2255">
        <v>44838.291666666701</v>
      </c>
      <c r="B313" s="2276">
        <f t="shared" si="12"/>
        <v>3.9439088518843118E-2</v>
      </c>
      <c r="C313" s="2258">
        <v>23720</v>
      </c>
      <c r="D313" s="2276">
        <f t="shared" si="13"/>
        <v>-0.13870262939802608</v>
      </c>
      <c r="E313" s="2258">
        <v>22864</v>
      </c>
      <c r="F313" s="2276">
        <f t="shared" si="14"/>
        <v>-0.21568627450980393</v>
      </c>
      <c r="G313" s="2258">
        <v>160</v>
      </c>
      <c r="H313" s="2259"/>
      <c r="I313" s="2259"/>
      <c r="J313" s="2259"/>
      <c r="K313" s="2259"/>
      <c r="S313" s="2277"/>
      <c r="T313" s="2218"/>
      <c r="U313" s="2280"/>
      <c r="V313" s="2281"/>
      <c r="W313" s="2261"/>
      <c r="X313" s="2277"/>
    </row>
    <row r="314" spans="1:24">
      <c r="A314" s="2255">
        <v>44839.291666666701</v>
      </c>
      <c r="B314" s="2276">
        <f t="shared" si="12"/>
        <v>3.9000876424189306E-2</v>
      </c>
      <c r="C314" s="2258">
        <v>23710</v>
      </c>
      <c r="D314" s="2276">
        <f t="shared" si="13"/>
        <v>-0.12687410532660287</v>
      </c>
      <c r="E314" s="2258">
        <v>23178</v>
      </c>
      <c r="F314" s="2276">
        <f t="shared" si="14"/>
        <v>-0.2107843137254902</v>
      </c>
      <c r="G314" s="2258">
        <v>161</v>
      </c>
      <c r="H314" s="2259"/>
      <c r="I314" s="2259"/>
      <c r="J314" s="2259"/>
      <c r="K314" s="2259"/>
      <c r="S314" s="2277"/>
      <c r="T314" s="2218"/>
      <c r="U314" s="2280"/>
      <c r="V314" s="2281"/>
      <c r="W314" s="2261"/>
      <c r="X314" s="2277"/>
    </row>
    <row r="315" spans="1:24">
      <c r="A315" s="2255">
        <v>44840.291666666701</v>
      </c>
      <c r="B315" s="2276">
        <f t="shared" si="12"/>
        <v>3.8781770376862403E-2</v>
      </c>
      <c r="C315" s="2258">
        <v>23705</v>
      </c>
      <c r="D315" s="2276">
        <f t="shared" si="13"/>
        <v>-0.13098018533865743</v>
      </c>
      <c r="E315" s="2258">
        <v>23069</v>
      </c>
      <c r="F315" s="2276">
        <f t="shared" si="14"/>
        <v>-0.21568627450980393</v>
      </c>
      <c r="G315" s="2258">
        <v>160</v>
      </c>
      <c r="H315" s="2259"/>
      <c r="I315" s="2259"/>
      <c r="J315" s="2259"/>
      <c r="K315" s="2259"/>
      <c r="S315" s="2277"/>
      <c r="T315" s="2218"/>
      <c r="U315" s="2280"/>
      <c r="V315" s="2281"/>
      <c r="W315" s="2261"/>
      <c r="X315" s="2277"/>
    </row>
    <row r="316" spans="1:24">
      <c r="A316" s="2255">
        <v>44841.291666666701</v>
      </c>
      <c r="B316" s="2276">
        <f t="shared" si="12"/>
        <v>3.9000876424189306E-2</v>
      </c>
      <c r="C316" s="2258">
        <v>23710</v>
      </c>
      <c r="D316" s="2276">
        <f t="shared" si="13"/>
        <v>-0.14081217509229263</v>
      </c>
      <c r="E316" s="2258">
        <v>22808</v>
      </c>
      <c r="F316" s="2276">
        <f t="shared" si="14"/>
        <v>-0.21568627450980393</v>
      </c>
      <c r="G316" s="2258">
        <v>160</v>
      </c>
      <c r="H316" s="2259"/>
      <c r="I316" s="2259"/>
      <c r="J316" s="2259"/>
      <c r="K316" s="2259"/>
      <c r="S316" s="2277"/>
      <c r="T316" s="2218"/>
      <c r="U316" s="2280"/>
      <c r="V316" s="2281"/>
      <c r="W316" s="2261"/>
      <c r="X316" s="2277"/>
    </row>
    <row r="317" spans="1:24">
      <c r="A317" s="2255">
        <v>44844.291666666701</v>
      </c>
      <c r="B317" s="2276">
        <f t="shared" si="12"/>
        <v>3.9000876424189306E-2</v>
      </c>
      <c r="C317" s="2258">
        <v>23710</v>
      </c>
      <c r="D317" s="2276">
        <f t="shared" si="13"/>
        <v>-0.14808257364574701</v>
      </c>
      <c r="E317" s="2258">
        <v>22615</v>
      </c>
      <c r="F317" s="2276">
        <f t="shared" si="14"/>
        <v>-0.22058823529411764</v>
      </c>
      <c r="G317" s="2258">
        <v>159</v>
      </c>
      <c r="H317" s="2259"/>
      <c r="I317" s="2259"/>
      <c r="J317" s="2259"/>
      <c r="K317" s="2259"/>
      <c r="S317" s="2277"/>
      <c r="T317" s="2218"/>
      <c r="U317" s="2280"/>
      <c r="V317" s="2281"/>
      <c r="W317" s="2261"/>
      <c r="X317" s="2277"/>
    </row>
    <row r="318" spans="1:24">
      <c r="A318" s="2255">
        <v>44845.291666666701</v>
      </c>
      <c r="B318" s="2276">
        <f t="shared" si="12"/>
        <v>4.119193689745837E-2</v>
      </c>
      <c r="C318" s="2258">
        <v>23760</v>
      </c>
      <c r="D318" s="2276">
        <f t="shared" si="13"/>
        <v>-0.14759285768100655</v>
      </c>
      <c r="E318" s="2258">
        <v>22628</v>
      </c>
      <c r="F318" s="2276">
        <f t="shared" si="14"/>
        <v>-0.22058823529411764</v>
      </c>
      <c r="G318" s="2258">
        <v>159</v>
      </c>
      <c r="H318" s="2259"/>
      <c r="I318" s="2259"/>
      <c r="J318" s="2259"/>
      <c r="K318" s="2259"/>
      <c r="S318" s="2277"/>
      <c r="T318" s="2218"/>
      <c r="U318" s="2280"/>
      <c r="V318" s="2281"/>
      <c r="W318" s="2261"/>
      <c r="X318" s="2277"/>
    </row>
    <row r="319" spans="1:24">
      <c r="A319" s="2255">
        <v>44846.291666666701</v>
      </c>
      <c r="B319" s="2276">
        <f t="shared" si="12"/>
        <v>4.1630148992112183E-2</v>
      </c>
      <c r="C319" s="2258">
        <v>23770</v>
      </c>
      <c r="D319" s="2276">
        <f t="shared" si="13"/>
        <v>-0.14717848263391847</v>
      </c>
      <c r="E319" s="2258">
        <v>22639</v>
      </c>
      <c r="F319" s="2276">
        <f t="shared" si="14"/>
        <v>-0.22058823529411764</v>
      </c>
      <c r="G319" s="2258">
        <v>159</v>
      </c>
      <c r="H319" s="2259"/>
      <c r="I319" s="2259"/>
      <c r="J319" s="2259"/>
      <c r="K319" s="2259"/>
      <c r="S319" s="2277"/>
      <c r="T319" s="2218"/>
      <c r="U319" s="2280"/>
      <c r="V319" s="2281"/>
      <c r="W319" s="2261"/>
      <c r="X319" s="2277"/>
    </row>
    <row r="320" spans="1:24">
      <c r="A320" s="2255">
        <v>44847.291666666701</v>
      </c>
      <c r="B320" s="2276">
        <f t="shared" si="12"/>
        <v>4.6888694127957931E-2</v>
      </c>
      <c r="C320" s="2258">
        <v>23890</v>
      </c>
      <c r="D320" s="2276">
        <f t="shared" si="13"/>
        <v>-0.14431552776312814</v>
      </c>
      <c r="E320" s="2258">
        <v>22715</v>
      </c>
      <c r="F320" s="2276">
        <f t="shared" si="14"/>
        <v>-0.22058823529411764</v>
      </c>
      <c r="G320" s="2258">
        <v>159</v>
      </c>
      <c r="H320" s="2259"/>
      <c r="I320" s="2259"/>
      <c r="J320" s="2259"/>
      <c r="K320" s="2259"/>
      <c r="S320" s="2277"/>
      <c r="T320" s="2218"/>
      <c r="U320" s="2280"/>
      <c r="V320" s="2281"/>
      <c r="W320" s="2261"/>
      <c r="X320" s="2277"/>
    </row>
    <row r="321" spans="1:24">
      <c r="A321" s="2255">
        <v>44848.291666666701</v>
      </c>
      <c r="B321" s="2276">
        <f t="shared" si="12"/>
        <v>4.8203330411919369E-2</v>
      </c>
      <c r="C321" s="2258">
        <v>23920</v>
      </c>
      <c r="D321" s="2276">
        <f t="shared" si="13"/>
        <v>-0.13587734498606194</v>
      </c>
      <c r="E321" s="2258">
        <v>22939</v>
      </c>
      <c r="F321" s="2276">
        <f t="shared" si="14"/>
        <v>-0.22058823529411764</v>
      </c>
      <c r="G321" s="2258">
        <v>159</v>
      </c>
      <c r="H321" s="2259"/>
      <c r="I321" s="2259"/>
      <c r="J321" s="2259"/>
      <c r="K321" s="2259"/>
      <c r="S321" s="2277"/>
      <c r="T321" s="2218"/>
      <c r="U321" s="2280"/>
      <c r="V321" s="2281"/>
      <c r="W321" s="2261"/>
      <c r="X321" s="2277"/>
    </row>
    <row r="322" spans="1:24">
      <c r="A322" s="2255">
        <v>44851.291666666701</v>
      </c>
      <c r="B322" s="2276">
        <f t="shared" si="12"/>
        <v>5.7405784399649433E-2</v>
      </c>
      <c r="C322" s="2258">
        <v>24130</v>
      </c>
      <c r="D322" s="2276">
        <f t="shared" si="13"/>
        <v>-0.13158291267987643</v>
      </c>
      <c r="E322" s="2258">
        <v>23053</v>
      </c>
      <c r="F322" s="2276">
        <f t="shared" si="14"/>
        <v>-0.22549019607843138</v>
      </c>
      <c r="G322" s="2258">
        <v>158</v>
      </c>
      <c r="H322" s="2259"/>
      <c r="I322" s="2259"/>
      <c r="J322" s="2259"/>
      <c r="K322" s="2259"/>
      <c r="S322" s="2277"/>
      <c r="T322" s="2218"/>
      <c r="U322" s="2280"/>
      <c r="V322" s="2281"/>
      <c r="W322" s="2261"/>
      <c r="X322" s="2277"/>
    </row>
    <row r="323" spans="1:24">
      <c r="A323" s="2255">
        <v>44852.291666666701</v>
      </c>
      <c r="B323" s="2276">
        <f t="shared" si="12"/>
        <v>6.2226117440841368E-2</v>
      </c>
      <c r="C323" s="2258">
        <v>24240</v>
      </c>
      <c r="D323" s="2276">
        <f t="shared" si="13"/>
        <v>-0.11820989979657952</v>
      </c>
      <c r="E323" s="2258">
        <v>23408</v>
      </c>
      <c r="F323" s="2276">
        <f t="shared" si="14"/>
        <v>-0.22058823529411764</v>
      </c>
      <c r="G323" s="2258">
        <v>159</v>
      </c>
      <c r="H323" s="2259"/>
      <c r="I323" s="2259"/>
      <c r="J323" s="2259"/>
      <c r="K323" s="2259"/>
      <c r="S323" s="2277"/>
      <c r="T323" s="2218"/>
      <c r="U323" s="2280"/>
      <c r="V323" s="2281"/>
      <c r="W323" s="2261"/>
      <c r="X323" s="2277"/>
    </row>
    <row r="324" spans="1:24">
      <c r="A324" s="2255">
        <v>44853.291666666701</v>
      </c>
      <c r="B324" s="2276">
        <f t="shared" si="12"/>
        <v>6.5731814198071864E-2</v>
      </c>
      <c r="C324" s="2258">
        <v>24320</v>
      </c>
      <c r="D324" s="2276">
        <f t="shared" si="13"/>
        <v>-0.11587433134935583</v>
      </c>
      <c r="E324" s="2258">
        <v>23470</v>
      </c>
      <c r="F324" s="2276">
        <f t="shared" si="14"/>
        <v>-0.22058823529411764</v>
      </c>
      <c r="G324" s="2258">
        <v>159</v>
      </c>
      <c r="H324" s="2259"/>
      <c r="I324" s="2259"/>
      <c r="J324" s="2259"/>
      <c r="K324" s="2259"/>
      <c r="S324" s="2277"/>
      <c r="T324" s="2218"/>
      <c r="U324" s="2280"/>
      <c r="V324" s="2281"/>
      <c r="W324" s="2261"/>
      <c r="X324" s="2277"/>
    </row>
    <row r="325" spans="1:24">
      <c r="A325" s="2255">
        <v>44854.291666666701</v>
      </c>
      <c r="B325" s="2276">
        <f t="shared" si="12"/>
        <v>6.7484662576687116E-2</v>
      </c>
      <c r="C325" s="2258">
        <v>24360</v>
      </c>
      <c r="D325" s="2276">
        <f t="shared" si="13"/>
        <v>-0.12163791154976268</v>
      </c>
      <c r="E325" s="2258">
        <v>23317</v>
      </c>
      <c r="F325" s="2276">
        <f t="shared" si="14"/>
        <v>-0.22058823529411764</v>
      </c>
      <c r="G325" s="2258">
        <v>159</v>
      </c>
      <c r="H325" s="2259"/>
      <c r="I325" s="2259"/>
      <c r="J325" s="2259"/>
      <c r="K325" s="2259"/>
      <c r="S325" s="2277"/>
      <c r="T325" s="2218"/>
      <c r="U325" s="2280"/>
      <c r="V325" s="2281"/>
      <c r="W325" s="2261"/>
      <c r="X325" s="2277"/>
    </row>
    <row r="326" spans="1:24">
      <c r="A326" s="2255">
        <v>44855.291666666701</v>
      </c>
      <c r="B326" s="2276">
        <f t="shared" si="12"/>
        <v>7.6248904469763359E-2</v>
      </c>
      <c r="C326" s="2258">
        <v>24560</v>
      </c>
      <c r="D326" s="2276">
        <f t="shared" si="13"/>
        <v>-0.11082648986664657</v>
      </c>
      <c r="E326" s="2258">
        <v>23604</v>
      </c>
      <c r="F326" s="2276">
        <f t="shared" si="14"/>
        <v>-0.22058823529411764</v>
      </c>
      <c r="G326" s="2258">
        <v>159</v>
      </c>
      <c r="H326" s="2259"/>
      <c r="I326" s="2259"/>
      <c r="J326" s="2259"/>
      <c r="K326" s="2259"/>
      <c r="S326" s="2277"/>
      <c r="T326" s="2218"/>
      <c r="U326" s="2280"/>
      <c r="V326" s="2281"/>
      <c r="W326" s="2261"/>
      <c r="X326" s="2277"/>
    </row>
    <row r="327" spans="1:24">
      <c r="A327" s="2255">
        <v>44858.291666666701</v>
      </c>
      <c r="B327" s="2276">
        <f t="shared" si="12"/>
        <v>7.6906222611744082E-2</v>
      </c>
      <c r="C327" s="2258">
        <v>24575</v>
      </c>
      <c r="D327" s="2276">
        <f t="shared" si="13"/>
        <v>-0.10664506893693965</v>
      </c>
      <c r="E327" s="2258">
        <v>23715</v>
      </c>
      <c r="F327" s="2276">
        <f t="shared" si="14"/>
        <v>-0.2107843137254902</v>
      </c>
      <c r="G327" s="2258">
        <v>161</v>
      </c>
      <c r="H327" s="2259"/>
      <c r="I327" s="2259"/>
      <c r="J327" s="2259"/>
      <c r="K327" s="2259"/>
      <c r="S327" s="2277"/>
      <c r="T327" s="2218"/>
      <c r="U327" s="2280"/>
      <c r="V327" s="2281"/>
      <c r="W327" s="2261"/>
      <c r="X327" s="2277"/>
    </row>
    <row r="328" spans="1:24">
      <c r="A328" s="2255">
        <v>44859.291666666701</v>
      </c>
      <c r="B328" s="2276">
        <f t="shared" si="12"/>
        <v>7.7037686240140221E-2</v>
      </c>
      <c r="C328" s="2258">
        <v>24578</v>
      </c>
      <c r="D328" s="2276">
        <f t="shared" si="13"/>
        <v>-0.10163489791305658</v>
      </c>
      <c r="E328" s="2258">
        <v>23848</v>
      </c>
      <c r="F328" s="2276">
        <f t="shared" si="14"/>
        <v>-0.2107843137254902</v>
      </c>
      <c r="G328" s="2258">
        <v>161</v>
      </c>
      <c r="H328" s="2259"/>
      <c r="I328" s="2259"/>
      <c r="J328" s="2259"/>
      <c r="K328" s="2259"/>
      <c r="S328" s="2277"/>
      <c r="T328" s="2218"/>
      <c r="U328" s="2280"/>
      <c r="V328" s="2281"/>
      <c r="W328" s="2261"/>
      <c r="X328" s="2277"/>
    </row>
    <row r="329" spans="1:24">
      <c r="A329" s="2255">
        <v>44860.291666666701</v>
      </c>
      <c r="B329" s="2276">
        <f t="shared" si="12"/>
        <v>7.6774758983347943E-2</v>
      </c>
      <c r="C329" s="2258">
        <v>24572</v>
      </c>
      <c r="D329" s="2276">
        <f t="shared" si="13"/>
        <v>-8.6453703006102611E-2</v>
      </c>
      <c r="E329" s="2258">
        <v>24251</v>
      </c>
      <c r="F329" s="2276">
        <f t="shared" si="14"/>
        <v>-0.19607843137254902</v>
      </c>
      <c r="G329" s="2258">
        <v>164</v>
      </c>
      <c r="H329" s="2259"/>
      <c r="I329" s="2259"/>
      <c r="J329" s="2259"/>
      <c r="K329" s="2259"/>
      <c r="S329" s="2277"/>
      <c r="T329" s="2218"/>
      <c r="U329" s="2280"/>
      <c r="V329" s="2281"/>
      <c r="W329" s="2261"/>
      <c r="X329" s="2277"/>
    </row>
    <row r="330" spans="1:24">
      <c r="A330" s="2255">
        <v>44861.291666666701</v>
      </c>
      <c r="B330" s="2276">
        <f t="shared" ref="B330:B393" si="15">(C330-C$10)/C$10</f>
        <v>7.655565293602104E-2</v>
      </c>
      <c r="C330" s="2258">
        <v>24567</v>
      </c>
      <c r="D330" s="2276">
        <f t="shared" ref="D330:D393" si="16">(E330-E$10)/E$10</f>
        <v>-8.524824832366458E-2</v>
      </c>
      <c r="E330" s="2258">
        <v>24283</v>
      </c>
      <c r="F330" s="2276">
        <f t="shared" ref="F330:F393" si="17">(G330-G$10)/G$10</f>
        <v>-0.19607843137254902</v>
      </c>
      <c r="G330" s="2258">
        <v>164</v>
      </c>
      <c r="H330" s="2259"/>
      <c r="I330" s="2259"/>
      <c r="J330" s="2259"/>
      <c r="K330" s="2259"/>
      <c r="S330" s="2277"/>
      <c r="T330" s="2218"/>
      <c r="U330" s="2280"/>
      <c r="V330" s="2281"/>
      <c r="W330" s="2261"/>
      <c r="X330" s="2277"/>
    </row>
    <row r="331" spans="1:24">
      <c r="A331" s="2255">
        <v>44862.291666666701</v>
      </c>
      <c r="B331" s="2276">
        <f t="shared" si="15"/>
        <v>7.655565293602104E-2</v>
      </c>
      <c r="C331" s="2258">
        <v>24567</v>
      </c>
      <c r="D331" s="2276">
        <f t="shared" si="16"/>
        <v>-9.8244556618699616E-2</v>
      </c>
      <c r="E331" s="2258">
        <v>23938</v>
      </c>
      <c r="F331" s="2276">
        <f t="shared" si="17"/>
        <v>-0.20098039215686275</v>
      </c>
      <c r="G331" s="2258">
        <v>163</v>
      </c>
      <c r="H331" s="2259"/>
      <c r="I331" s="2259"/>
      <c r="J331" s="2259"/>
      <c r="K331" s="2259"/>
      <c r="S331" s="2277"/>
      <c r="T331" s="2218"/>
      <c r="U331" s="2280"/>
      <c r="V331" s="2281"/>
      <c r="W331" s="2261"/>
      <c r="X331" s="2277"/>
    </row>
    <row r="332" spans="1:24">
      <c r="A332" s="2255">
        <v>44865.291666666701</v>
      </c>
      <c r="B332" s="2276">
        <f t="shared" si="15"/>
        <v>7.664329535495179E-2</v>
      </c>
      <c r="C332" s="2258">
        <v>24569</v>
      </c>
      <c r="D332" s="2276">
        <f t="shared" si="16"/>
        <v>-9.5117908536125964E-2</v>
      </c>
      <c r="E332" s="2258">
        <v>24021</v>
      </c>
      <c r="F332" s="2276">
        <f t="shared" si="17"/>
        <v>-0.20098039215686275</v>
      </c>
      <c r="G332" s="2258">
        <v>163</v>
      </c>
      <c r="H332" s="2262">
        <v>5.5E-2</v>
      </c>
      <c r="I332" s="2262">
        <v>4.4999999999999998E-2</v>
      </c>
      <c r="J332" s="2262">
        <v>9.9000000000000005E-2</v>
      </c>
      <c r="K332" s="2262">
        <v>4.2999999999999997E-2</v>
      </c>
      <c r="S332" s="2277"/>
      <c r="T332" s="2218"/>
      <c r="U332" s="2280"/>
      <c r="V332" s="2281"/>
      <c r="W332" s="2261"/>
      <c r="X332" s="2277"/>
    </row>
    <row r="333" spans="1:24">
      <c r="A333" s="2255">
        <v>44866.291666666701</v>
      </c>
      <c r="B333" s="2276">
        <f t="shared" si="15"/>
        <v>7.6730937773882554E-2</v>
      </c>
      <c r="C333" s="2258">
        <v>24571</v>
      </c>
      <c r="D333" s="2276">
        <f t="shared" si="16"/>
        <v>-9.8395238454004372E-2</v>
      </c>
      <c r="E333" s="2258">
        <v>23934</v>
      </c>
      <c r="F333" s="2276">
        <f t="shared" si="17"/>
        <v>-0.20588235294117646</v>
      </c>
      <c r="G333" s="2258">
        <v>162</v>
      </c>
      <c r="H333" s="2259"/>
      <c r="I333" s="2259"/>
      <c r="J333" s="2259"/>
      <c r="K333" s="2259"/>
      <c r="S333" s="2277"/>
      <c r="T333" s="2218"/>
      <c r="U333" s="2280"/>
      <c r="V333" s="2281"/>
      <c r="W333" s="2261"/>
      <c r="X333" s="2277"/>
    </row>
    <row r="334" spans="1:24">
      <c r="A334" s="2255">
        <v>44867.291666666701</v>
      </c>
      <c r="B334" s="2276">
        <f t="shared" si="15"/>
        <v>7.6336546888694123E-2</v>
      </c>
      <c r="C334" s="2258">
        <v>24562</v>
      </c>
      <c r="D334" s="2276">
        <f t="shared" si="16"/>
        <v>-9.8395238454004372E-2</v>
      </c>
      <c r="E334" s="2258">
        <v>23934</v>
      </c>
      <c r="F334" s="2276">
        <f t="shared" si="17"/>
        <v>-0.20098039215686275</v>
      </c>
      <c r="G334" s="2258">
        <v>163</v>
      </c>
      <c r="H334" s="2259"/>
      <c r="I334" s="2259"/>
      <c r="J334" s="2259"/>
      <c r="K334" s="2259"/>
      <c r="S334" s="2277"/>
      <c r="T334" s="2218"/>
      <c r="U334" s="2280"/>
      <c r="V334" s="2281"/>
      <c r="W334" s="2261"/>
      <c r="X334" s="2277"/>
    </row>
    <row r="335" spans="1:24">
      <c r="A335" s="2255">
        <v>44868.291666666701</v>
      </c>
      <c r="B335" s="2276">
        <f t="shared" si="15"/>
        <v>7.6292725679228748E-2</v>
      </c>
      <c r="C335" s="2258">
        <v>24561</v>
      </c>
      <c r="D335" s="2276">
        <f t="shared" si="16"/>
        <v>-0.10717245536050629</v>
      </c>
      <c r="E335" s="2258">
        <v>23701</v>
      </c>
      <c r="F335" s="2276">
        <f t="shared" si="17"/>
        <v>-0.20098039215686275</v>
      </c>
      <c r="G335" s="2258">
        <v>163</v>
      </c>
      <c r="H335" s="2259"/>
      <c r="I335" s="2259"/>
      <c r="J335" s="2259"/>
      <c r="K335" s="2259"/>
      <c r="S335" s="2277"/>
      <c r="T335" s="2218"/>
      <c r="U335" s="2280"/>
      <c r="V335" s="2281"/>
      <c r="W335" s="2261"/>
      <c r="X335" s="2277"/>
    </row>
    <row r="336" spans="1:24">
      <c r="A336" s="2255">
        <v>44869.291666666701</v>
      </c>
      <c r="B336" s="2276">
        <f t="shared" si="15"/>
        <v>7.655565293602104E-2</v>
      </c>
      <c r="C336" s="2258">
        <v>24567</v>
      </c>
      <c r="D336" s="2276">
        <f t="shared" si="16"/>
        <v>-0.10954569426655617</v>
      </c>
      <c r="E336" s="2258">
        <v>23638</v>
      </c>
      <c r="F336" s="2276">
        <f t="shared" si="17"/>
        <v>-0.20098039215686275</v>
      </c>
      <c r="G336" s="2258">
        <v>163</v>
      </c>
      <c r="H336" s="2259"/>
      <c r="I336" s="2259"/>
      <c r="J336" s="2259"/>
      <c r="K336" s="2259"/>
      <c r="S336" s="2277"/>
      <c r="T336" s="2218"/>
      <c r="U336" s="2280"/>
      <c r="V336" s="2281"/>
      <c r="W336" s="2261"/>
      <c r="X336" s="2277"/>
    </row>
    <row r="337" spans="1:24">
      <c r="A337" s="2255">
        <v>44872.291666666701</v>
      </c>
      <c r="B337" s="2276">
        <f t="shared" si="15"/>
        <v>7.8177037686240139E-2</v>
      </c>
      <c r="C337" s="2258">
        <v>24604</v>
      </c>
      <c r="D337" s="2276">
        <f t="shared" si="16"/>
        <v>-9.3008362841859413E-2</v>
      </c>
      <c r="E337" s="2258">
        <v>24077</v>
      </c>
      <c r="F337" s="2276">
        <f t="shared" si="17"/>
        <v>-0.19607843137254902</v>
      </c>
      <c r="G337" s="2258">
        <v>164</v>
      </c>
      <c r="H337" s="2259"/>
      <c r="I337" s="2259"/>
      <c r="J337" s="2259"/>
      <c r="K337" s="2259"/>
      <c r="S337" s="2277"/>
      <c r="T337" s="2218"/>
      <c r="U337" s="2280"/>
      <c r="V337" s="2281"/>
      <c r="W337" s="2261"/>
      <c r="X337" s="2277"/>
    </row>
    <row r="338" spans="1:24">
      <c r="A338" s="2255">
        <v>44873.291666666701</v>
      </c>
      <c r="B338" s="2276">
        <f t="shared" si="15"/>
        <v>8.2033304119193684E-2</v>
      </c>
      <c r="C338" s="2258">
        <v>24692</v>
      </c>
      <c r="D338" s="2276">
        <f t="shared" si="16"/>
        <v>-8.7998191817976343E-2</v>
      </c>
      <c r="E338" s="2258">
        <v>24210</v>
      </c>
      <c r="F338" s="2276">
        <f t="shared" si="17"/>
        <v>-0.19607843137254902</v>
      </c>
      <c r="G338" s="2258">
        <v>164</v>
      </c>
      <c r="H338" s="2259"/>
      <c r="I338" s="2259"/>
      <c r="J338" s="2259"/>
      <c r="K338" s="2259"/>
      <c r="S338" s="2277"/>
      <c r="T338" s="2218"/>
      <c r="U338" s="2280"/>
      <c r="V338" s="2281"/>
      <c r="W338" s="2261"/>
      <c r="X338" s="2277"/>
    </row>
    <row r="339" spans="1:24">
      <c r="A339" s="2255">
        <v>44874.291666666701</v>
      </c>
      <c r="B339" s="2276">
        <f t="shared" si="15"/>
        <v>8.2033304119193684E-2</v>
      </c>
      <c r="C339" s="2258">
        <v>24692</v>
      </c>
      <c r="D339" s="2276">
        <f t="shared" si="16"/>
        <v>-8.1066827393957652E-2</v>
      </c>
      <c r="E339" s="2258">
        <v>24394</v>
      </c>
      <c r="F339" s="2276">
        <f t="shared" si="17"/>
        <v>-0.18627450980392157</v>
      </c>
      <c r="G339" s="2258">
        <v>166</v>
      </c>
      <c r="H339" s="2259"/>
      <c r="I339" s="2259"/>
      <c r="J339" s="2259"/>
      <c r="K339" s="2259"/>
      <c r="S339" s="2277"/>
      <c r="T339" s="2218"/>
      <c r="U339" s="2280"/>
      <c r="V339" s="2281"/>
      <c r="W339" s="2261"/>
      <c r="X339" s="2277"/>
    </row>
    <row r="340" spans="1:24">
      <c r="A340" s="2255">
        <v>44875.291666666701</v>
      </c>
      <c r="B340" s="2276">
        <f t="shared" si="15"/>
        <v>8.1945661700262934E-2</v>
      </c>
      <c r="C340" s="2258">
        <v>24690</v>
      </c>
      <c r="D340" s="2276">
        <f t="shared" si="16"/>
        <v>-8.6453703006102611E-2</v>
      </c>
      <c r="E340" s="2258">
        <v>24251</v>
      </c>
      <c r="F340" s="2276">
        <f t="shared" si="17"/>
        <v>-0.19117647058823528</v>
      </c>
      <c r="G340" s="2258">
        <v>165</v>
      </c>
      <c r="H340" s="2259"/>
      <c r="I340" s="2259"/>
      <c r="J340" s="2259"/>
      <c r="K340" s="2259"/>
      <c r="S340" s="2277"/>
      <c r="T340" s="2218"/>
      <c r="U340" s="2280"/>
      <c r="V340" s="2281"/>
      <c r="W340" s="2261"/>
      <c r="X340" s="2277"/>
    </row>
    <row r="341" spans="1:24">
      <c r="A341" s="2255">
        <v>44876.291666666701</v>
      </c>
      <c r="B341" s="2276">
        <f t="shared" si="15"/>
        <v>7.9316389132340057E-2</v>
      </c>
      <c r="C341" s="2258">
        <v>24630</v>
      </c>
      <c r="D341" s="2276">
        <f t="shared" si="16"/>
        <v>-6.8560235063663072E-2</v>
      </c>
      <c r="E341" s="2258">
        <v>24726</v>
      </c>
      <c r="F341" s="2276">
        <f t="shared" si="17"/>
        <v>-0.16666666666666666</v>
      </c>
      <c r="G341" s="2258">
        <v>170</v>
      </c>
      <c r="H341" s="2259"/>
      <c r="I341" s="2259"/>
      <c r="J341" s="2259"/>
      <c r="K341" s="2259"/>
      <c r="S341" s="2277"/>
      <c r="T341" s="2218"/>
      <c r="U341" s="2280"/>
      <c r="V341" s="2281"/>
      <c r="W341" s="2261"/>
      <c r="X341" s="2277"/>
    </row>
    <row r="342" spans="1:24">
      <c r="A342" s="2255">
        <v>44879.291666666701</v>
      </c>
      <c r="B342" s="2276">
        <f t="shared" si="15"/>
        <v>7.6906222611744082E-2</v>
      </c>
      <c r="C342" s="2258">
        <v>24575</v>
      </c>
      <c r="D342" s="2276">
        <f t="shared" si="16"/>
        <v>-6.3173359451518113E-2</v>
      </c>
      <c r="E342" s="2258">
        <v>24869</v>
      </c>
      <c r="F342" s="2276">
        <f t="shared" si="17"/>
        <v>-0.15686274509803921</v>
      </c>
      <c r="G342" s="2258">
        <v>172</v>
      </c>
      <c r="H342" s="2259"/>
      <c r="I342" s="2259"/>
      <c r="J342" s="2259"/>
      <c r="K342" s="2259"/>
      <c r="S342" s="2277"/>
      <c r="T342" s="2218"/>
      <c r="U342" s="2280"/>
      <c r="V342" s="2281"/>
      <c r="W342" s="2261"/>
      <c r="X342" s="2277"/>
    </row>
    <row r="343" spans="1:24">
      <c r="A343" s="2255">
        <v>44880.291666666701</v>
      </c>
      <c r="B343" s="2276">
        <f t="shared" si="15"/>
        <v>7.7125328659070985E-2</v>
      </c>
      <c r="C343" s="2258">
        <v>24580</v>
      </c>
      <c r="D343" s="2276">
        <f t="shared" si="16"/>
        <v>-6.0122052286596853E-2</v>
      </c>
      <c r="E343" s="2258">
        <v>24950</v>
      </c>
      <c r="F343" s="2276">
        <f t="shared" si="17"/>
        <v>-0.15686274509803921</v>
      </c>
      <c r="G343" s="2258">
        <v>172</v>
      </c>
      <c r="H343" s="2259"/>
      <c r="I343" s="2259"/>
      <c r="J343" s="2259"/>
      <c r="K343" s="2259"/>
      <c r="S343" s="2277"/>
      <c r="T343" s="2218"/>
      <c r="U343" s="2280"/>
      <c r="V343" s="2281"/>
      <c r="W343" s="2261"/>
      <c r="X343" s="2277"/>
    </row>
    <row r="344" spans="1:24">
      <c r="A344" s="2255">
        <v>44881.291666666701</v>
      </c>
      <c r="B344" s="2276">
        <f t="shared" si="15"/>
        <v>7.7125328659070985E-2</v>
      </c>
      <c r="C344" s="2258">
        <v>24580</v>
      </c>
      <c r="D344" s="2276">
        <f t="shared" si="16"/>
        <v>-5.6241995027499436E-2</v>
      </c>
      <c r="E344" s="2258">
        <v>25053</v>
      </c>
      <c r="F344" s="2276">
        <f t="shared" si="17"/>
        <v>-0.15686274509803921</v>
      </c>
      <c r="G344" s="2258">
        <v>172</v>
      </c>
      <c r="H344" s="2259"/>
      <c r="I344" s="2259"/>
      <c r="J344" s="2259"/>
      <c r="K344" s="2259"/>
      <c r="S344" s="2277"/>
      <c r="T344" s="2218"/>
      <c r="U344" s="2280"/>
      <c r="V344" s="2281"/>
      <c r="W344" s="2261"/>
      <c r="X344" s="2277"/>
    </row>
    <row r="345" spans="1:24">
      <c r="A345" s="2255">
        <v>44882.291666666701</v>
      </c>
      <c r="B345" s="2276">
        <f t="shared" si="15"/>
        <v>7.7125328659070985E-2</v>
      </c>
      <c r="C345" s="2258">
        <v>24580</v>
      </c>
      <c r="D345" s="2276">
        <f t="shared" si="16"/>
        <v>-5.4622165297973327E-2</v>
      </c>
      <c r="E345" s="2258">
        <v>25096</v>
      </c>
      <c r="F345" s="2276">
        <f t="shared" si="17"/>
        <v>-0.15196078431372548</v>
      </c>
      <c r="G345" s="2258">
        <v>173</v>
      </c>
      <c r="H345" s="2259"/>
      <c r="I345" s="2259"/>
      <c r="J345" s="2259"/>
      <c r="K345" s="2259"/>
      <c r="S345" s="2277"/>
      <c r="T345" s="2218"/>
      <c r="U345" s="2280"/>
      <c r="V345" s="2281"/>
      <c r="W345" s="2261"/>
      <c r="X345" s="2277"/>
    </row>
    <row r="346" spans="1:24">
      <c r="A346" s="2255">
        <v>44883.291666666701</v>
      </c>
      <c r="B346" s="2276">
        <f t="shared" si="15"/>
        <v>7.7037686240140221E-2</v>
      </c>
      <c r="C346" s="2258">
        <v>24578</v>
      </c>
      <c r="D346" s="2276">
        <f t="shared" si="16"/>
        <v>-5.5036540345061405E-2</v>
      </c>
      <c r="E346" s="2258">
        <v>25085</v>
      </c>
      <c r="F346" s="2276">
        <f t="shared" si="17"/>
        <v>-0.15686274509803921</v>
      </c>
      <c r="G346" s="2258">
        <v>172</v>
      </c>
      <c r="H346" s="2259"/>
      <c r="I346" s="2259"/>
      <c r="J346" s="2259"/>
      <c r="K346" s="2259"/>
      <c r="S346" s="2277"/>
      <c r="T346" s="2218"/>
      <c r="U346" s="2280"/>
      <c r="V346" s="2281"/>
      <c r="W346" s="2261"/>
      <c r="X346" s="2277"/>
    </row>
    <row r="347" spans="1:24">
      <c r="A347" s="2255">
        <v>44886.291666666701</v>
      </c>
      <c r="B347" s="2276">
        <f t="shared" si="15"/>
        <v>7.6993865030674846E-2</v>
      </c>
      <c r="C347" s="2258">
        <v>24577</v>
      </c>
      <c r="D347" s="2276">
        <f t="shared" si="16"/>
        <v>-6.7505462216529796E-2</v>
      </c>
      <c r="E347" s="2258">
        <v>24754</v>
      </c>
      <c r="F347" s="2276">
        <f t="shared" si="17"/>
        <v>-0.16666666666666666</v>
      </c>
      <c r="G347" s="2258">
        <v>170</v>
      </c>
      <c r="H347" s="2259"/>
      <c r="I347" s="2259"/>
      <c r="J347" s="2259"/>
      <c r="K347" s="2259"/>
      <c r="S347" s="2277"/>
      <c r="T347" s="2218"/>
      <c r="U347" s="2280"/>
      <c r="V347" s="2281"/>
      <c r="W347" s="2261"/>
      <c r="X347" s="2277"/>
    </row>
    <row r="348" spans="1:24">
      <c r="A348" s="2255">
        <v>44887.291666666701</v>
      </c>
      <c r="B348" s="2276">
        <f t="shared" si="15"/>
        <v>7.9184925503943904E-2</v>
      </c>
      <c r="C348" s="2258">
        <v>24627</v>
      </c>
      <c r="D348" s="2276">
        <f t="shared" si="16"/>
        <v>-6.611165523996082E-2</v>
      </c>
      <c r="E348" s="2258">
        <v>24791</v>
      </c>
      <c r="F348" s="2276">
        <f t="shared" si="17"/>
        <v>-0.16666666666666666</v>
      </c>
      <c r="G348" s="2258">
        <v>170</v>
      </c>
      <c r="H348" s="2259"/>
      <c r="I348" s="2259"/>
      <c r="J348" s="2259"/>
      <c r="K348" s="2259"/>
      <c r="S348" s="2277"/>
      <c r="T348" s="2218"/>
      <c r="U348" s="2280"/>
      <c r="V348" s="2281"/>
      <c r="W348" s="2261"/>
      <c r="X348" s="2277"/>
    </row>
    <row r="349" spans="1:24">
      <c r="A349" s="2255">
        <v>44888.291666666701</v>
      </c>
      <c r="B349" s="2276">
        <f t="shared" si="15"/>
        <v>7.909728308501314E-2</v>
      </c>
      <c r="C349" s="2258">
        <v>24625</v>
      </c>
      <c r="D349" s="2276">
        <f t="shared" si="16"/>
        <v>-6.0762450086642057E-2</v>
      </c>
      <c r="E349" s="2258">
        <v>24933</v>
      </c>
      <c r="F349" s="2276">
        <f t="shared" si="17"/>
        <v>-0.16176470588235295</v>
      </c>
      <c r="G349" s="2258">
        <v>171</v>
      </c>
      <c r="H349" s="2259"/>
      <c r="I349" s="2259"/>
      <c r="J349" s="2259"/>
      <c r="K349" s="2259"/>
      <c r="S349" s="2277"/>
      <c r="T349" s="2218"/>
      <c r="U349" s="2280"/>
      <c r="V349" s="2281"/>
      <c r="W349" s="2261"/>
      <c r="X349" s="2277"/>
    </row>
    <row r="350" spans="1:24">
      <c r="A350" s="2255">
        <v>44889.291666666701</v>
      </c>
      <c r="B350" s="2276">
        <f t="shared" si="15"/>
        <v>7.9053461875547765E-2</v>
      </c>
      <c r="C350" s="2258">
        <v>24624</v>
      </c>
      <c r="D350" s="2276">
        <f t="shared" si="16"/>
        <v>-5.0629096662397351E-2</v>
      </c>
      <c r="E350" s="2258">
        <v>25202</v>
      </c>
      <c r="F350" s="2276">
        <f t="shared" si="17"/>
        <v>-0.15196078431372548</v>
      </c>
      <c r="G350" s="2258">
        <v>173</v>
      </c>
      <c r="H350" s="2259"/>
      <c r="I350" s="2259"/>
      <c r="J350" s="2259"/>
      <c r="K350" s="2259"/>
      <c r="S350" s="2277"/>
      <c r="T350" s="2218"/>
      <c r="U350" s="2280"/>
      <c r="V350" s="2281"/>
      <c r="W350" s="2261"/>
      <c r="X350" s="2277"/>
    </row>
    <row r="351" spans="1:24">
      <c r="A351" s="2255">
        <v>44890.291666666701</v>
      </c>
      <c r="B351" s="2276">
        <f t="shared" si="15"/>
        <v>7.6687116564417179E-2</v>
      </c>
      <c r="C351" s="2258">
        <v>24570</v>
      </c>
      <c r="D351" s="2276">
        <f t="shared" si="16"/>
        <v>-5.2286596850749642E-2</v>
      </c>
      <c r="E351" s="2258">
        <v>25158</v>
      </c>
      <c r="F351" s="2276">
        <f t="shared" si="17"/>
        <v>-0.15196078431372548</v>
      </c>
      <c r="G351" s="2258">
        <v>173</v>
      </c>
      <c r="H351" s="2259"/>
      <c r="I351" s="2259"/>
      <c r="J351" s="2259"/>
      <c r="K351" s="2259"/>
      <c r="S351" s="2277"/>
      <c r="T351" s="2218"/>
      <c r="U351" s="2280"/>
      <c r="V351" s="2281"/>
      <c r="W351" s="2261"/>
      <c r="X351" s="2277"/>
    </row>
    <row r="352" spans="1:24">
      <c r="A352" s="2255">
        <v>44893.291666666701</v>
      </c>
      <c r="B352" s="2276">
        <f t="shared" si="15"/>
        <v>7.7125328659070985E-2</v>
      </c>
      <c r="C352" s="2258">
        <v>24580</v>
      </c>
      <c r="D352" s="2276">
        <f t="shared" si="16"/>
        <v>-5.9783018157161152E-2</v>
      </c>
      <c r="E352" s="2258">
        <v>24959</v>
      </c>
      <c r="F352" s="2276">
        <f t="shared" si="17"/>
        <v>-0.15196078431372548</v>
      </c>
      <c r="G352" s="2258">
        <v>173</v>
      </c>
      <c r="H352" s="2259"/>
      <c r="I352" s="2259"/>
      <c r="J352" s="2259"/>
      <c r="K352" s="2259"/>
      <c r="S352" s="2277"/>
      <c r="T352" s="2218"/>
      <c r="U352" s="2280"/>
      <c r="V352" s="2281"/>
      <c r="W352" s="2261"/>
      <c r="X352" s="2277"/>
    </row>
    <row r="353" spans="1:24">
      <c r="A353" s="2255">
        <v>44896.291666666701</v>
      </c>
      <c r="B353" s="2276">
        <f t="shared" si="15"/>
        <v>6.6170026292725684E-2</v>
      </c>
      <c r="C353" s="2258">
        <v>24330</v>
      </c>
      <c r="D353" s="2276">
        <f t="shared" si="16"/>
        <v>-6.1628870639644388E-2</v>
      </c>
      <c r="E353" s="2258">
        <v>24910</v>
      </c>
      <c r="F353" s="2276">
        <f t="shared" si="17"/>
        <v>-0.14705882352941177</v>
      </c>
      <c r="G353" s="2258">
        <v>174</v>
      </c>
      <c r="H353" s="2259"/>
      <c r="I353" s="2259"/>
      <c r="J353" s="2259"/>
      <c r="K353" s="2259"/>
      <c r="S353" s="2277"/>
      <c r="T353" s="2218"/>
      <c r="U353" s="2280"/>
      <c r="V353" s="2281"/>
      <c r="W353" s="2261"/>
      <c r="X353" s="2277"/>
    </row>
    <row r="354" spans="1:24">
      <c r="A354" s="2255">
        <v>44897.291666666701</v>
      </c>
      <c r="B354" s="2276">
        <f t="shared" si="15"/>
        <v>4.8641542506573182E-2</v>
      </c>
      <c r="C354" s="2258">
        <v>23930</v>
      </c>
      <c r="D354" s="2276">
        <f t="shared" si="16"/>
        <v>-6.9728019287274914E-2</v>
      </c>
      <c r="E354" s="2258">
        <v>24695</v>
      </c>
      <c r="F354" s="2276">
        <f t="shared" si="17"/>
        <v>-0.14705882352941177</v>
      </c>
      <c r="G354" s="2258">
        <v>174</v>
      </c>
      <c r="H354" s="2259"/>
      <c r="I354" s="2259"/>
      <c r="J354" s="2259"/>
      <c r="K354" s="2259"/>
      <c r="S354" s="2277"/>
      <c r="T354" s="2218"/>
      <c r="U354" s="2280"/>
      <c r="V354" s="2281"/>
      <c r="W354" s="2261"/>
      <c r="X354" s="2277"/>
    </row>
    <row r="355" spans="1:24">
      <c r="A355" s="2255">
        <v>44900.291666666701</v>
      </c>
      <c r="B355" s="2276">
        <f t="shared" si="15"/>
        <v>4.119193689745837E-2</v>
      </c>
      <c r="C355" s="2258">
        <v>23760</v>
      </c>
      <c r="D355" s="2276">
        <f t="shared" si="16"/>
        <v>-7.4286144805243731E-2</v>
      </c>
      <c r="E355" s="2258">
        <v>24574</v>
      </c>
      <c r="F355" s="2276">
        <f t="shared" si="17"/>
        <v>-0.15686274509803921</v>
      </c>
      <c r="G355" s="2258">
        <v>172</v>
      </c>
      <c r="H355" s="2259"/>
      <c r="I355" s="2259"/>
      <c r="J355" s="2259"/>
      <c r="K355" s="2259"/>
      <c r="S355" s="2277"/>
      <c r="T355" s="2218"/>
      <c r="U355" s="2280"/>
      <c r="V355" s="2281"/>
      <c r="W355" s="2261"/>
      <c r="X355" s="2277"/>
    </row>
    <row r="356" spans="1:24">
      <c r="A356" s="2255">
        <v>44901.291666666701</v>
      </c>
      <c r="B356" s="2276">
        <f t="shared" si="15"/>
        <v>4.6012269938650305E-2</v>
      </c>
      <c r="C356" s="2258">
        <v>23870</v>
      </c>
      <c r="D356" s="2276">
        <f t="shared" si="16"/>
        <v>-7.5604610864160329E-2</v>
      </c>
      <c r="E356" s="2258">
        <v>24539</v>
      </c>
      <c r="F356" s="2276">
        <f t="shared" si="17"/>
        <v>-0.16666666666666666</v>
      </c>
      <c r="G356" s="2258">
        <v>170</v>
      </c>
      <c r="H356" s="2259"/>
      <c r="I356" s="2259"/>
      <c r="J356" s="2259"/>
      <c r="K356" s="2259"/>
      <c r="S356" s="2277"/>
      <c r="T356" s="2218"/>
      <c r="U356" s="2280"/>
      <c r="V356" s="2281"/>
      <c r="W356" s="2261"/>
      <c r="X356" s="2277"/>
    </row>
    <row r="357" spans="1:24">
      <c r="A357" s="2255">
        <v>44902.291666666701</v>
      </c>
      <c r="B357" s="2276">
        <f t="shared" si="15"/>
        <v>3.9000876424189306E-2</v>
      </c>
      <c r="C357" s="2258">
        <v>23710</v>
      </c>
      <c r="D357" s="2276">
        <f t="shared" si="16"/>
        <v>-8.434415731183606E-2</v>
      </c>
      <c r="E357" s="2258">
        <v>24307</v>
      </c>
      <c r="F357" s="2276">
        <f t="shared" si="17"/>
        <v>-0.17647058823529413</v>
      </c>
      <c r="G357" s="2258">
        <v>168</v>
      </c>
      <c r="H357" s="2259"/>
      <c r="I357" s="2259"/>
      <c r="J357" s="2259"/>
      <c r="K357" s="2259"/>
      <c r="S357" s="2277"/>
      <c r="T357" s="2218"/>
      <c r="U357" s="2280"/>
      <c r="V357" s="2281"/>
      <c r="W357" s="2261"/>
      <c r="X357" s="2277"/>
    </row>
    <row r="358" spans="1:24">
      <c r="A358" s="2255">
        <v>44903.291666666701</v>
      </c>
      <c r="B358" s="2276">
        <f t="shared" si="15"/>
        <v>3.2865907099035932E-2</v>
      </c>
      <c r="C358" s="2258">
        <v>23570</v>
      </c>
      <c r="D358" s="2276">
        <f t="shared" si="16"/>
        <v>-8.3816770888269415E-2</v>
      </c>
      <c r="E358" s="2258">
        <v>24321</v>
      </c>
      <c r="F358" s="2276">
        <f t="shared" si="17"/>
        <v>-0.17647058823529413</v>
      </c>
      <c r="G358" s="2258">
        <v>168</v>
      </c>
      <c r="H358" s="2259"/>
      <c r="I358" s="2259"/>
      <c r="J358" s="2259"/>
      <c r="K358" s="2259"/>
      <c r="S358" s="2277"/>
      <c r="T358" s="2218"/>
      <c r="U358" s="2280"/>
      <c r="V358" s="2281"/>
      <c r="W358" s="2261"/>
      <c r="X358" s="2277"/>
    </row>
    <row r="359" spans="1:24">
      <c r="A359" s="2255">
        <v>44904.291666666701</v>
      </c>
      <c r="B359" s="2276">
        <f t="shared" si="15"/>
        <v>2.497808939526731E-2</v>
      </c>
      <c r="C359" s="2258">
        <v>23390</v>
      </c>
      <c r="D359" s="2276">
        <f t="shared" si="16"/>
        <v>-8.6529043923754989E-2</v>
      </c>
      <c r="E359" s="2258">
        <v>24249</v>
      </c>
      <c r="F359" s="2276">
        <f t="shared" si="17"/>
        <v>-0.17647058823529413</v>
      </c>
      <c r="G359" s="2258">
        <v>168</v>
      </c>
      <c r="H359" s="2259"/>
      <c r="I359" s="2259"/>
      <c r="J359" s="2259"/>
      <c r="K359" s="2259"/>
      <c r="S359" s="2277"/>
      <c r="T359" s="2218"/>
      <c r="U359" s="2280"/>
      <c r="V359" s="2281"/>
      <c r="W359" s="2261"/>
      <c r="X359" s="2277"/>
    </row>
    <row r="360" spans="1:24">
      <c r="A360" s="2255">
        <v>44907.291666666701</v>
      </c>
      <c r="B360" s="2276">
        <f t="shared" si="15"/>
        <v>3.1113058720420684E-2</v>
      </c>
      <c r="C360" s="2258">
        <v>23530</v>
      </c>
      <c r="D360" s="2276">
        <f t="shared" si="16"/>
        <v>-8.4494839147140816E-2</v>
      </c>
      <c r="E360" s="2258">
        <v>24303</v>
      </c>
      <c r="F360" s="2276">
        <f t="shared" si="17"/>
        <v>-0.17647058823529413</v>
      </c>
      <c r="G360" s="2258">
        <v>168</v>
      </c>
      <c r="H360" s="2259"/>
      <c r="I360" s="2259"/>
      <c r="J360" s="2259"/>
      <c r="K360" s="2259"/>
      <c r="S360" s="2277"/>
      <c r="T360" s="2218"/>
      <c r="U360" s="2280"/>
      <c r="V360" s="2281"/>
      <c r="W360" s="2261"/>
      <c r="X360" s="2277"/>
    </row>
    <row r="361" spans="1:24">
      <c r="A361" s="2255">
        <v>44908.291666666701</v>
      </c>
      <c r="B361" s="2276">
        <f t="shared" si="15"/>
        <v>2.7169149868536371E-2</v>
      </c>
      <c r="C361" s="2258">
        <v>23440</v>
      </c>
      <c r="D361" s="2276">
        <f t="shared" si="16"/>
        <v>-8.6190009794319289E-2</v>
      </c>
      <c r="E361" s="2258">
        <v>24258</v>
      </c>
      <c r="F361" s="2276">
        <f t="shared" si="17"/>
        <v>-0.18627450980392157</v>
      </c>
      <c r="G361" s="2258">
        <v>166</v>
      </c>
      <c r="H361" s="2259"/>
      <c r="I361" s="2259"/>
      <c r="J361" s="2259"/>
      <c r="K361" s="2259"/>
      <c r="S361" s="2277"/>
      <c r="T361" s="2218"/>
      <c r="U361" s="2280"/>
      <c r="V361" s="2281"/>
      <c r="W361" s="2261"/>
      <c r="X361" s="2277"/>
    </row>
    <row r="362" spans="1:24">
      <c r="A362" s="2255">
        <v>44909.291666666701</v>
      </c>
      <c r="B362" s="2276">
        <f t="shared" si="15"/>
        <v>2.2787028921998246E-2</v>
      </c>
      <c r="C362" s="2258">
        <v>23340</v>
      </c>
      <c r="D362" s="2276">
        <f t="shared" si="16"/>
        <v>-8.2988020794093273E-2</v>
      </c>
      <c r="E362" s="2258">
        <v>24343</v>
      </c>
      <c r="F362" s="2276">
        <f t="shared" si="17"/>
        <v>-0.17647058823529413</v>
      </c>
      <c r="G362" s="2258">
        <v>168</v>
      </c>
      <c r="H362" s="2259"/>
      <c r="I362" s="2259"/>
      <c r="J362" s="2259"/>
      <c r="K362" s="2259"/>
      <c r="S362" s="2277"/>
      <c r="T362" s="2218"/>
      <c r="U362" s="2280"/>
      <c r="V362" s="2281"/>
      <c r="W362" s="2261"/>
      <c r="X362" s="2277"/>
    </row>
    <row r="363" spans="1:24">
      <c r="A363" s="2255">
        <v>44910.291666666701</v>
      </c>
      <c r="B363" s="2276">
        <f t="shared" si="15"/>
        <v>2.1910604732690624E-2</v>
      </c>
      <c r="C363" s="2258">
        <v>23320</v>
      </c>
      <c r="D363" s="2276">
        <f t="shared" si="16"/>
        <v>-8.1782566111655242E-2</v>
      </c>
      <c r="E363" s="2258">
        <v>24375</v>
      </c>
      <c r="F363" s="2276">
        <f t="shared" si="17"/>
        <v>-0.17647058823529413</v>
      </c>
      <c r="G363" s="2258">
        <v>168</v>
      </c>
      <c r="H363" s="2259"/>
      <c r="I363" s="2259"/>
      <c r="J363" s="2259"/>
      <c r="K363" s="2259"/>
      <c r="S363" s="2277"/>
      <c r="T363" s="2218"/>
      <c r="U363" s="2280"/>
      <c r="V363" s="2281"/>
      <c r="W363" s="2261"/>
      <c r="X363" s="2277"/>
    </row>
    <row r="364" spans="1:24">
      <c r="A364" s="2255">
        <v>44911.291666666701</v>
      </c>
      <c r="B364" s="2276">
        <f t="shared" si="15"/>
        <v>2.5854513584574933E-2</v>
      </c>
      <c r="C364" s="2258">
        <v>23410</v>
      </c>
      <c r="D364" s="2276">
        <f t="shared" si="16"/>
        <v>-7.933398628795299E-2</v>
      </c>
      <c r="E364" s="2258">
        <v>24440</v>
      </c>
      <c r="F364" s="2276">
        <f t="shared" si="17"/>
        <v>-0.18137254901960784</v>
      </c>
      <c r="G364" s="2258">
        <v>167</v>
      </c>
      <c r="H364" s="2259"/>
      <c r="I364" s="2259"/>
      <c r="J364" s="2259"/>
      <c r="K364" s="2259"/>
      <c r="S364" s="2277"/>
      <c r="T364" s="2218"/>
      <c r="U364" s="2280"/>
      <c r="V364" s="2281"/>
      <c r="W364" s="2261"/>
      <c r="X364" s="2277"/>
    </row>
    <row r="365" spans="1:24">
      <c r="A365" s="2255">
        <v>44914.291666666701</v>
      </c>
      <c r="B365" s="2276">
        <f t="shared" si="15"/>
        <v>3.0236634531113058E-2</v>
      </c>
      <c r="C365" s="2258">
        <v>23510</v>
      </c>
      <c r="D365" s="2276">
        <f t="shared" si="16"/>
        <v>-7.4549838017027054E-2</v>
      </c>
      <c r="E365" s="2258">
        <v>24567</v>
      </c>
      <c r="F365" s="2276">
        <f t="shared" si="17"/>
        <v>-0.17156862745098039</v>
      </c>
      <c r="G365" s="2258">
        <v>169</v>
      </c>
      <c r="H365" s="2259"/>
      <c r="I365" s="2259"/>
      <c r="J365" s="2259"/>
      <c r="K365" s="2259"/>
      <c r="S365" s="2277"/>
      <c r="T365" s="2218"/>
      <c r="U365" s="2280"/>
      <c r="V365" s="2281"/>
      <c r="W365" s="2261"/>
      <c r="X365" s="2277"/>
    </row>
    <row r="366" spans="1:24">
      <c r="A366" s="2255">
        <v>44915.291666666701</v>
      </c>
      <c r="B366" s="2276">
        <f t="shared" si="15"/>
        <v>3.2865907099035932E-2</v>
      </c>
      <c r="C366" s="2258">
        <v>23570</v>
      </c>
      <c r="D366" s="2276">
        <f t="shared" si="16"/>
        <v>-7.6659383711293605E-2</v>
      </c>
      <c r="E366" s="2258">
        <v>24511</v>
      </c>
      <c r="F366" s="2276">
        <f t="shared" si="17"/>
        <v>-0.14705882352941177</v>
      </c>
      <c r="G366" s="2258">
        <v>174</v>
      </c>
      <c r="H366" s="2259"/>
      <c r="I366" s="2259"/>
      <c r="J366" s="2259"/>
      <c r="K366" s="2259"/>
      <c r="S366" s="2277"/>
      <c r="T366" s="2218"/>
      <c r="U366" s="2280"/>
      <c r="V366" s="2281"/>
      <c r="W366" s="2261"/>
      <c r="X366" s="2277"/>
    </row>
    <row r="367" spans="1:24">
      <c r="A367" s="2255">
        <v>44916.291666666701</v>
      </c>
      <c r="B367" s="2276">
        <f t="shared" si="15"/>
        <v>3.1989482909728306E-2</v>
      </c>
      <c r="C367" s="2258">
        <v>23550</v>
      </c>
      <c r="D367" s="2276">
        <f t="shared" si="16"/>
        <v>-7.6659383711293605E-2</v>
      </c>
      <c r="E367" s="2258">
        <v>24511</v>
      </c>
      <c r="F367" s="2276">
        <f t="shared" si="17"/>
        <v>-0.14705882352941177</v>
      </c>
      <c r="G367" s="2258">
        <v>174</v>
      </c>
      <c r="H367" s="2259"/>
      <c r="I367" s="2259"/>
      <c r="J367" s="2259"/>
      <c r="K367" s="2259"/>
      <c r="S367" s="2277"/>
      <c r="T367" s="2218"/>
      <c r="U367" s="2280"/>
      <c r="V367" s="2281"/>
      <c r="W367" s="2261"/>
      <c r="X367" s="2277"/>
    </row>
    <row r="368" spans="1:24">
      <c r="A368" s="2255">
        <v>44917.291666666701</v>
      </c>
      <c r="B368" s="2276">
        <f t="shared" si="15"/>
        <v>3.0236634531113058E-2</v>
      </c>
      <c r="C368" s="2258">
        <v>23510</v>
      </c>
      <c r="D368" s="2276">
        <f t="shared" si="16"/>
        <v>-7.5943644993596016E-2</v>
      </c>
      <c r="E368" s="2258">
        <v>24530</v>
      </c>
      <c r="F368" s="2276">
        <f t="shared" si="17"/>
        <v>-0.14705882352941177</v>
      </c>
      <c r="G368" s="2258">
        <v>174</v>
      </c>
      <c r="H368" s="2259"/>
      <c r="I368" s="2259"/>
      <c r="J368" s="2259"/>
      <c r="K368" s="2259"/>
      <c r="S368" s="2277"/>
      <c r="T368" s="2218"/>
      <c r="U368" s="2280"/>
      <c r="V368" s="2281"/>
      <c r="W368" s="2261"/>
      <c r="X368" s="2277"/>
    </row>
    <row r="369" spans="1:24">
      <c r="A369" s="2255">
        <v>44918.291666666701</v>
      </c>
      <c r="B369" s="2276">
        <f t="shared" si="15"/>
        <v>2.5416301489921123E-2</v>
      </c>
      <c r="C369" s="2258">
        <v>23400</v>
      </c>
      <c r="D369" s="2276">
        <f t="shared" si="16"/>
        <v>-8.1707225194002864E-2</v>
      </c>
      <c r="E369" s="2258">
        <v>24377</v>
      </c>
      <c r="F369" s="2276">
        <f t="shared" si="17"/>
        <v>-0.15686274509803921</v>
      </c>
      <c r="G369" s="2258">
        <v>172</v>
      </c>
      <c r="H369" s="2259"/>
      <c r="I369" s="2259"/>
      <c r="J369" s="2259"/>
      <c r="K369" s="2259"/>
      <c r="S369" s="2277"/>
      <c r="T369" s="2218"/>
      <c r="U369" s="2280"/>
      <c r="V369" s="2281"/>
      <c r="W369" s="2261"/>
      <c r="X369" s="2277"/>
    </row>
    <row r="370" spans="1:24">
      <c r="A370" s="2255">
        <v>44921.291666666701</v>
      </c>
      <c r="B370" s="2276">
        <f t="shared" si="15"/>
        <v>2.7607361963190184E-2</v>
      </c>
      <c r="C370" s="2258">
        <v>23450</v>
      </c>
      <c r="D370" s="2276">
        <f t="shared" si="16"/>
        <v>-7.8731258946733967E-2</v>
      </c>
      <c r="E370" s="2258">
        <v>24456</v>
      </c>
      <c r="F370" s="2276">
        <f t="shared" si="17"/>
        <v>-0.15196078431372548</v>
      </c>
      <c r="G370" s="2258">
        <v>173</v>
      </c>
      <c r="H370" s="2259"/>
      <c r="I370" s="2259"/>
      <c r="J370" s="2259"/>
      <c r="K370" s="2259"/>
      <c r="S370" s="2277"/>
      <c r="T370" s="2218"/>
      <c r="U370" s="2280"/>
      <c r="V370" s="2281"/>
      <c r="W370" s="2261"/>
      <c r="X370" s="2277"/>
    </row>
    <row r="371" spans="1:24">
      <c r="A371" s="2255">
        <v>44922.291666666701</v>
      </c>
      <c r="B371" s="2276">
        <f t="shared" si="15"/>
        <v>2.5416301489921123E-2</v>
      </c>
      <c r="C371" s="2258">
        <v>23400</v>
      </c>
      <c r="D371" s="2276">
        <f t="shared" si="16"/>
        <v>-7.8731258946733967E-2</v>
      </c>
      <c r="E371" s="2258">
        <v>24456</v>
      </c>
      <c r="F371" s="2276">
        <f t="shared" si="17"/>
        <v>-0.15686274509803921</v>
      </c>
      <c r="G371" s="2258">
        <v>172</v>
      </c>
      <c r="H371" s="2259"/>
      <c r="I371" s="2259"/>
      <c r="J371" s="2259"/>
      <c r="K371" s="2259"/>
      <c r="S371" s="2277"/>
      <c r="T371" s="2218"/>
      <c r="U371" s="2280"/>
      <c r="V371" s="2281"/>
      <c r="W371" s="2261"/>
      <c r="X371" s="2277"/>
    </row>
    <row r="372" spans="1:24">
      <c r="A372" s="2255">
        <v>44923.291666666701</v>
      </c>
      <c r="B372" s="2276">
        <f t="shared" si="15"/>
        <v>2.5416301489921123E-2</v>
      </c>
      <c r="C372" s="2258">
        <v>23400</v>
      </c>
      <c r="D372" s="2276">
        <f t="shared" si="16"/>
        <v>-7.8957281699691101E-2</v>
      </c>
      <c r="E372" s="2258">
        <v>24450</v>
      </c>
      <c r="F372" s="2276">
        <f t="shared" si="17"/>
        <v>-0.16176470588235295</v>
      </c>
      <c r="G372" s="2258">
        <v>171</v>
      </c>
      <c r="H372" s="2259"/>
      <c r="I372" s="2259"/>
      <c r="J372" s="2259"/>
      <c r="K372" s="2259"/>
      <c r="S372" s="2277"/>
      <c r="T372" s="2218"/>
      <c r="U372" s="2280"/>
      <c r="V372" s="2281"/>
      <c r="W372" s="2261"/>
      <c r="X372" s="2277"/>
    </row>
    <row r="373" spans="1:24">
      <c r="A373" s="2255">
        <v>44924.291666666701</v>
      </c>
      <c r="B373" s="2276">
        <f t="shared" si="15"/>
        <v>2.6730937773882558E-2</v>
      </c>
      <c r="C373" s="2258">
        <v>23430</v>
      </c>
      <c r="D373" s="2276">
        <f t="shared" si="16"/>
        <v>-7.8053190687862581E-2</v>
      </c>
      <c r="E373" s="2258">
        <v>24474</v>
      </c>
      <c r="F373" s="2276">
        <f t="shared" si="17"/>
        <v>-0.16176470588235295</v>
      </c>
      <c r="G373" s="2258">
        <v>171</v>
      </c>
      <c r="H373" s="2259"/>
      <c r="I373" s="2259"/>
      <c r="J373" s="2259"/>
      <c r="K373" s="2259"/>
      <c r="S373" s="2277"/>
      <c r="T373" s="2218"/>
      <c r="U373" s="2280"/>
      <c r="V373" s="2281"/>
      <c r="W373" s="2261"/>
      <c r="X373" s="2277"/>
    </row>
    <row r="374" spans="1:24">
      <c r="A374" s="2255">
        <v>44925.291666666701</v>
      </c>
      <c r="B374" s="2276">
        <f t="shared" si="15"/>
        <v>2.4539877300613498E-2</v>
      </c>
      <c r="C374" s="2258">
        <v>23380</v>
      </c>
      <c r="D374" s="2276">
        <f t="shared" si="16"/>
        <v>-7.8166202064341148E-2</v>
      </c>
      <c r="E374" s="2258">
        <v>24471</v>
      </c>
      <c r="F374" s="2276">
        <f t="shared" si="17"/>
        <v>-0.15686274509803921</v>
      </c>
      <c r="G374" s="2258">
        <v>172</v>
      </c>
      <c r="H374" s="2262">
        <v>5.5E-2</v>
      </c>
      <c r="I374" s="2262">
        <v>5.3999999999999999E-2</v>
      </c>
      <c r="J374" s="2262">
        <v>0.107</v>
      </c>
      <c r="K374" s="2262">
        <v>5.2999999999999999E-2</v>
      </c>
      <c r="S374" s="2277"/>
      <c r="T374" s="2218"/>
      <c r="U374" s="2280"/>
      <c r="V374" s="2281"/>
      <c r="W374" s="2261"/>
      <c r="X374" s="2277"/>
    </row>
    <row r="375" spans="1:24">
      <c r="A375" s="2255">
        <v>44928.291666666701</v>
      </c>
      <c r="B375" s="2276">
        <f t="shared" si="15"/>
        <v>2.4539877300613498E-2</v>
      </c>
      <c r="C375" s="2258">
        <v>23380</v>
      </c>
      <c r="D375" s="2276">
        <f t="shared" si="16"/>
        <v>-7.8166202064341148E-2</v>
      </c>
      <c r="E375" s="2258">
        <v>24471</v>
      </c>
      <c r="F375" s="2276">
        <f t="shared" si="17"/>
        <v>-0.15686274509803921</v>
      </c>
      <c r="G375" s="2258">
        <v>172</v>
      </c>
      <c r="H375" s="2259"/>
      <c r="I375" s="2259"/>
      <c r="J375" s="2259"/>
      <c r="K375" s="2259"/>
      <c r="S375" s="2277"/>
      <c r="T375" s="2218"/>
      <c r="U375" s="2280"/>
      <c r="V375" s="2281"/>
      <c r="W375" s="2261"/>
      <c r="X375" s="2277"/>
    </row>
    <row r="376" spans="1:24">
      <c r="A376" s="2255">
        <v>44929.291666666701</v>
      </c>
      <c r="B376" s="2276">
        <f t="shared" si="15"/>
        <v>2.2787028921998246E-2</v>
      </c>
      <c r="C376" s="2258">
        <v>23340</v>
      </c>
      <c r="D376" s="2276">
        <f t="shared" si="16"/>
        <v>-8.8374896406238232E-2</v>
      </c>
      <c r="E376" s="2258">
        <v>24200</v>
      </c>
      <c r="F376" s="2276">
        <f t="shared" si="17"/>
        <v>-0.14215686274509803</v>
      </c>
      <c r="G376" s="2258">
        <v>175</v>
      </c>
      <c r="H376" s="2259"/>
      <c r="I376" s="2259"/>
      <c r="J376" s="2259"/>
      <c r="K376" s="2259"/>
      <c r="S376" s="2277"/>
      <c r="T376" s="2218"/>
      <c r="U376" s="2280"/>
      <c r="V376" s="2281"/>
      <c r="W376" s="2261"/>
      <c r="X376" s="2277"/>
    </row>
    <row r="377" spans="1:24">
      <c r="A377" s="2255">
        <v>44930.291666666701</v>
      </c>
      <c r="B377" s="2276">
        <f t="shared" si="15"/>
        <v>2.1910604732690624E-2</v>
      </c>
      <c r="C377" s="2258">
        <v>23320</v>
      </c>
      <c r="D377" s="2276">
        <f t="shared" si="16"/>
        <v>-8.901529420628343E-2</v>
      </c>
      <c r="E377" s="2258">
        <v>24183</v>
      </c>
      <c r="F377" s="2276">
        <f t="shared" si="17"/>
        <v>-0.14705882352941177</v>
      </c>
      <c r="G377" s="2258">
        <v>174</v>
      </c>
      <c r="H377" s="2259"/>
      <c r="I377" s="2259"/>
      <c r="J377" s="2259"/>
      <c r="K377" s="2259"/>
      <c r="S377" s="2277"/>
      <c r="T377" s="2218"/>
      <c r="U377" s="2280"/>
      <c r="V377" s="2281"/>
      <c r="W377" s="2261"/>
      <c r="X377" s="2277"/>
    </row>
    <row r="378" spans="1:24">
      <c r="A378" s="2255">
        <v>44931.291666666701</v>
      </c>
      <c r="B378" s="2276">
        <f t="shared" si="15"/>
        <v>2.1472392638036811E-2</v>
      </c>
      <c r="C378" s="2258">
        <v>23310</v>
      </c>
      <c r="D378" s="2276">
        <f t="shared" si="16"/>
        <v>-8.4381827770662249E-2</v>
      </c>
      <c r="E378" s="2258">
        <v>24306</v>
      </c>
      <c r="F378" s="2276">
        <f t="shared" si="17"/>
        <v>-0.15686274509803921</v>
      </c>
      <c r="G378" s="2258">
        <v>172</v>
      </c>
      <c r="H378" s="2259"/>
      <c r="I378" s="2259"/>
      <c r="J378" s="2259"/>
      <c r="K378" s="2259"/>
      <c r="S378" s="2277"/>
      <c r="T378" s="2218"/>
      <c r="U378" s="2280"/>
      <c r="V378" s="2281"/>
      <c r="W378" s="2261"/>
      <c r="X378" s="2277"/>
    </row>
    <row r="379" spans="1:24">
      <c r="A379" s="2255">
        <v>44932.291666666701</v>
      </c>
      <c r="B379" s="2276">
        <f t="shared" si="15"/>
        <v>2.0157756354075372E-2</v>
      </c>
      <c r="C379" s="2258">
        <v>23280</v>
      </c>
      <c r="D379" s="2276">
        <f t="shared" si="16"/>
        <v>-9.4138476606645066E-2</v>
      </c>
      <c r="E379" s="2258">
        <v>24047</v>
      </c>
      <c r="F379" s="2276">
        <f t="shared" si="17"/>
        <v>-0.16666666666666666</v>
      </c>
      <c r="G379" s="2258">
        <v>170</v>
      </c>
      <c r="H379" s="2259"/>
      <c r="I379" s="2259"/>
      <c r="J379" s="2259"/>
      <c r="K379" s="2259"/>
      <c r="S379" s="2277"/>
      <c r="T379" s="2218"/>
      <c r="U379" s="2280"/>
      <c r="V379" s="2281"/>
      <c r="W379" s="2261"/>
      <c r="X379" s="2277"/>
    </row>
    <row r="380" spans="1:24">
      <c r="A380" s="2255">
        <v>44935.291666666701</v>
      </c>
      <c r="B380" s="2276">
        <f t="shared" si="15"/>
        <v>1.9719544259421559E-2</v>
      </c>
      <c r="C380" s="2258">
        <v>23270</v>
      </c>
      <c r="D380" s="2276">
        <f t="shared" si="16"/>
        <v>-8.0690122805695777E-2</v>
      </c>
      <c r="E380" s="2258">
        <v>24404</v>
      </c>
      <c r="F380" s="2276">
        <f t="shared" si="17"/>
        <v>-0.15196078431372548</v>
      </c>
      <c r="G380" s="2258">
        <v>173</v>
      </c>
      <c r="H380" s="2259"/>
      <c r="I380" s="2259"/>
      <c r="J380" s="2259"/>
      <c r="K380" s="2259"/>
      <c r="S380" s="2277"/>
      <c r="T380" s="2218"/>
      <c r="U380" s="2280"/>
      <c r="V380" s="2281"/>
      <c r="W380" s="2261"/>
      <c r="X380" s="2277"/>
    </row>
    <row r="381" spans="1:24">
      <c r="A381" s="2255">
        <v>44936.291666666701</v>
      </c>
      <c r="B381" s="2276">
        <f t="shared" si="15"/>
        <v>1.9719544259421559E-2</v>
      </c>
      <c r="C381" s="2258">
        <v>23270</v>
      </c>
      <c r="D381" s="2276">
        <f t="shared" si="16"/>
        <v>-7.7186770134860236E-2</v>
      </c>
      <c r="E381" s="2258">
        <v>24497</v>
      </c>
      <c r="F381" s="2276">
        <f t="shared" si="17"/>
        <v>-0.15686274509803921</v>
      </c>
      <c r="G381" s="2258">
        <v>172</v>
      </c>
      <c r="H381" s="2259"/>
      <c r="I381" s="2259"/>
      <c r="J381" s="2259"/>
      <c r="K381" s="2259"/>
      <c r="S381" s="2277"/>
      <c r="T381" s="2218"/>
      <c r="U381" s="2280"/>
      <c r="V381" s="2281"/>
      <c r="W381" s="2261"/>
      <c r="X381" s="2277"/>
    </row>
    <row r="382" spans="1:24">
      <c r="A382" s="2255">
        <v>44937.291666666701</v>
      </c>
      <c r="B382" s="2276">
        <f t="shared" si="15"/>
        <v>1.9281332164767746E-2</v>
      </c>
      <c r="C382" s="2258">
        <v>23260</v>
      </c>
      <c r="D382" s="2276">
        <f t="shared" si="16"/>
        <v>-7.5642281322986518E-2</v>
      </c>
      <c r="E382" s="2258">
        <v>24538</v>
      </c>
      <c r="F382" s="2276">
        <f t="shared" si="17"/>
        <v>-0.15686274509803921</v>
      </c>
      <c r="G382" s="2258">
        <v>172</v>
      </c>
      <c r="H382" s="2259"/>
      <c r="I382" s="2259"/>
      <c r="J382" s="2259"/>
      <c r="K382" s="2259"/>
      <c r="S382" s="2277"/>
      <c r="T382" s="2218"/>
      <c r="U382" s="2280"/>
      <c r="V382" s="2281"/>
      <c r="W382" s="2261"/>
      <c r="X382" s="2277"/>
    </row>
    <row r="383" spans="1:24">
      <c r="A383" s="2255">
        <v>44938.291666666701</v>
      </c>
      <c r="B383" s="2276">
        <f t="shared" si="15"/>
        <v>1.9281332164767746E-2</v>
      </c>
      <c r="C383" s="2258">
        <v>23260</v>
      </c>
      <c r="D383" s="2276">
        <f t="shared" si="16"/>
        <v>-7.3834099299329464E-2</v>
      </c>
      <c r="E383" s="2258">
        <v>24586</v>
      </c>
      <c r="F383" s="2276">
        <f t="shared" si="17"/>
        <v>-0.15686274509803921</v>
      </c>
      <c r="G383" s="2258">
        <v>172</v>
      </c>
      <c r="H383" s="2259"/>
      <c r="I383" s="2259"/>
      <c r="J383" s="2259"/>
      <c r="K383" s="2259"/>
      <c r="S383" s="2277"/>
      <c r="T383" s="2218"/>
      <c r="U383" s="2280"/>
      <c r="V383" s="2281"/>
      <c r="W383" s="2261"/>
      <c r="X383" s="2277"/>
    </row>
    <row r="384" spans="1:24">
      <c r="A384" s="2255">
        <v>44939.291666666701</v>
      </c>
      <c r="B384" s="2276">
        <f t="shared" si="15"/>
        <v>1.9281332164767746E-2</v>
      </c>
      <c r="C384" s="2258">
        <v>23260</v>
      </c>
      <c r="D384" s="2276">
        <f t="shared" si="16"/>
        <v>-6.5734950651698931E-2</v>
      </c>
      <c r="E384" s="2258">
        <v>24801</v>
      </c>
      <c r="F384" s="2276">
        <f t="shared" si="17"/>
        <v>-0.13725490196078433</v>
      </c>
      <c r="G384" s="2258">
        <v>176</v>
      </c>
      <c r="H384" s="2259"/>
      <c r="I384" s="2259"/>
      <c r="J384" s="2259"/>
      <c r="K384" s="2259"/>
      <c r="S384" s="2277"/>
      <c r="T384" s="2218"/>
      <c r="U384" s="2280"/>
      <c r="V384" s="2281"/>
      <c r="W384" s="2261"/>
      <c r="X384" s="2277"/>
    </row>
    <row r="385" spans="1:24">
      <c r="A385" s="2255">
        <v>44942.291666666701</v>
      </c>
      <c r="B385" s="2276">
        <f t="shared" si="15"/>
        <v>1.9281332164767746E-2</v>
      </c>
      <c r="C385" s="2258">
        <v>23260</v>
      </c>
      <c r="D385" s="2276">
        <f t="shared" si="16"/>
        <v>-7.0293076169667748E-2</v>
      </c>
      <c r="E385" s="2258">
        <v>24680</v>
      </c>
      <c r="F385" s="2276">
        <f t="shared" si="17"/>
        <v>-0.13235294117647059</v>
      </c>
      <c r="G385" s="2258">
        <v>177</v>
      </c>
      <c r="H385" s="2259"/>
      <c r="I385" s="2259"/>
      <c r="J385" s="2259"/>
      <c r="K385" s="2259"/>
      <c r="S385" s="2277"/>
      <c r="T385" s="2218"/>
      <c r="U385" s="2280"/>
      <c r="V385" s="2281"/>
      <c r="W385" s="2261"/>
      <c r="X385" s="2277"/>
    </row>
    <row r="386" spans="1:24">
      <c r="A386" s="2255">
        <v>44943.291666666701</v>
      </c>
      <c r="B386" s="2276">
        <f t="shared" si="15"/>
        <v>1.8843120070113933E-2</v>
      </c>
      <c r="C386" s="2258">
        <v>23250</v>
      </c>
      <c r="D386" s="2276">
        <f t="shared" si="16"/>
        <v>-7.0632110299103448E-2</v>
      </c>
      <c r="E386" s="2258">
        <v>24671</v>
      </c>
      <c r="F386" s="2276">
        <f t="shared" si="17"/>
        <v>-0.13235294117647059</v>
      </c>
      <c r="G386" s="2258">
        <v>177</v>
      </c>
      <c r="H386" s="2259"/>
      <c r="I386" s="2259"/>
      <c r="J386" s="2259"/>
      <c r="K386" s="2259"/>
      <c r="S386" s="2277"/>
      <c r="T386" s="2218"/>
      <c r="U386" s="2280"/>
      <c r="V386" s="2281"/>
      <c r="W386" s="2261"/>
      <c r="X386" s="2277"/>
    </row>
    <row r="387" spans="1:24">
      <c r="A387" s="2255">
        <v>44944.291666666701</v>
      </c>
      <c r="B387" s="2276">
        <f t="shared" si="15"/>
        <v>1.8843120070113933E-2</v>
      </c>
      <c r="C387" s="2258">
        <v>23250</v>
      </c>
      <c r="D387" s="2276">
        <f t="shared" si="16"/>
        <v>-7.3382053793415197E-2</v>
      </c>
      <c r="E387" s="2258">
        <v>24598</v>
      </c>
      <c r="F387" s="2276">
        <f t="shared" si="17"/>
        <v>-0.14705882352941177</v>
      </c>
      <c r="G387" s="2258">
        <v>174</v>
      </c>
      <c r="H387" s="2259"/>
      <c r="I387" s="2259"/>
      <c r="J387" s="2259"/>
      <c r="K387" s="2259"/>
      <c r="S387" s="2277"/>
      <c r="T387" s="2218"/>
      <c r="U387" s="2280"/>
      <c r="V387" s="2281"/>
      <c r="W387" s="2261"/>
      <c r="X387" s="2277"/>
    </row>
    <row r="388" spans="1:24">
      <c r="A388" s="2255">
        <v>44945.291666666701</v>
      </c>
      <c r="B388" s="2276">
        <f t="shared" si="15"/>
        <v>1.8843120070113933E-2</v>
      </c>
      <c r="C388" s="2258">
        <v>23250</v>
      </c>
      <c r="D388" s="2276">
        <f t="shared" si="16"/>
        <v>-6.8673246440141639E-2</v>
      </c>
      <c r="E388" s="2258">
        <v>24723</v>
      </c>
      <c r="F388" s="2276">
        <f t="shared" si="17"/>
        <v>-0.12745098039215685</v>
      </c>
      <c r="G388" s="2258">
        <v>178</v>
      </c>
      <c r="H388" s="2259"/>
      <c r="I388" s="2259"/>
      <c r="J388" s="2259"/>
      <c r="K388" s="2259"/>
      <c r="S388" s="2277"/>
      <c r="T388" s="2218"/>
      <c r="U388" s="2280"/>
      <c r="V388" s="2281"/>
      <c r="W388" s="2261"/>
      <c r="X388" s="2277"/>
    </row>
    <row r="389" spans="1:24">
      <c r="A389" s="2255">
        <v>44946.291666666701</v>
      </c>
      <c r="B389" s="2276">
        <f t="shared" si="15"/>
        <v>1.8843120070113933E-2</v>
      </c>
      <c r="C389" s="2258">
        <v>23250</v>
      </c>
      <c r="D389" s="2276">
        <f t="shared" si="16"/>
        <v>-6.8673246440141639E-2</v>
      </c>
      <c r="E389" s="2258">
        <v>24723</v>
      </c>
      <c r="F389" s="2276">
        <f t="shared" si="17"/>
        <v>-0.12745098039215685</v>
      </c>
      <c r="G389" s="2258">
        <v>178</v>
      </c>
      <c r="H389" s="2259"/>
      <c r="I389" s="2259"/>
      <c r="J389" s="2259"/>
      <c r="K389" s="2259"/>
      <c r="S389" s="2277"/>
      <c r="T389" s="2218"/>
      <c r="U389" s="2280"/>
      <c r="V389" s="2281"/>
      <c r="W389" s="2261"/>
      <c r="X389" s="2277"/>
    </row>
    <row r="390" spans="1:24">
      <c r="A390" s="2255">
        <v>44953.291666666701</v>
      </c>
      <c r="B390" s="2276">
        <f t="shared" si="15"/>
        <v>1.9281332164767746E-2</v>
      </c>
      <c r="C390" s="2258">
        <v>23260</v>
      </c>
      <c r="D390" s="2276">
        <f t="shared" si="16"/>
        <v>-6.362540495743238E-2</v>
      </c>
      <c r="E390" s="2258">
        <v>24857</v>
      </c>
      <c r="F390" s="2276">
        <f t="shared" si="17"/>
        <v>-0.14215686274509803</v>
      </c>
      <c r="G390" s="2258">
        <v>175</v>
      </c>
      <c r="H390" s="2259"/>
      <c r="I390" s="2259"/>
      <c r="J390" s="2259"/>
      <c r="K390" s="2259"/>
      <c r="S390" s="2277"/>
      <c r="T390" s="2218"/>
      <c r="U390" s="2280"/>
      <c r="V390" s="2281"/>
      <c r="W390" s="2261"/>
      <c r="X390" s="2277"/>
    </row>
    <row r="391" spans="1:24">
      <c r="A391" s="2255">
        <v>44956.291666666701</v>
      </c>
      <c r="B391" s="2276">
        <f t="shared" si="15"/>
        <v>1.8843120070113933E-2</v>
      </c>
      <c r="C391" s="2258">
        <v>23250</v>
      </c>
      <c r="D391" s="2276">
        <f t="shared" si="16"/>
        <v>-6.5245234686958489E-2</v>
      </c>
      <c r="E391" s="2258">
        <v>24814</v>
      </c>
      <c r="F391" s="2276">
        <f t="shared" si="17"/>
        <v>-0.13725490196078433</v>
      </c>
      <c r="G391" s="2258">
        <v>176</v>
      </c>
      <c r="H391" s="2259"/>
      <c r="I391" s="2259"/>
      <c r="J391" s="2259"/>
      <c r="K391" s="2259"/>
      <c r="S391" s="2277"/>
      <c r="T391" s="2218"/>
      <c r="U391" s="2280"/>
      <c r="V391" s="2281"/>
      <c r="W391" s="2261"/>
      <c r="X391" s="2277"/>
    </row>
    <row r="392" spans="1:24">
      <c r="A392" s="2255">
        <v>44957.291666666701</v>
      </c>
      <c r="B392" s="2276">
        <f t="shared" si="15"/>
        <v>1.8843120070113933E-2</v>
      </c>
      <c r="C392" s="2258">
        <v>23250</v>
      </c>
      <c r="D392" s="2276">
        <f t="shared" si="16"/>
        <v>-6.5923302945829876E-2</v>
      </c>
      <c r="E392" s="2258">
        <v>24796</v>
      </c>
      <c r="F392" s="2276">
        <f t="shared" si="17"/>
        <v>-0.14705882352941177</v>
      </c>
      <c r="G392" s="2258">
        <v>174</v>
      </c>
      <c r="H392" s="2262">
        <v>5.5E-2</v>
      </c>
      <c r="I392" s="2262">
        <v>5.7000000000000002E-2</v>
      </c>
      <c r="J392" s="2262">
        <v>0.112</v>
      </c>
      <c r="K392" s="2262">
        <v>5.5E-2</v>
      </c>
      <c r="S392" s="2277"/>
      <c r="T392" s="2218"/>
      <c r="U392" s="2280"/>
      <c r="V392" s="2281"/>
      <c r="W392" s="2261"/>
      <c r="X392" s="2277"/>
    </row>
    <row r="393" spans="1:24">
      <c r="A393" s="2255">
        <v>44959.291666666701</v>
      </c>
      <c r="B393" s="2276">
        <f t="shared" si="15"/>
        <v>1.8843120070113933E-2</v>
      </c>
      <c r="C393" s="2258">
        <v>23250</v>
      </c>
      <c r="D393" s="2276">
        <f t="shared" si="16"/>
        <v>-5.1269494462442555E-2</v>
      </c>
      <c r="E393" s="2258">
        <v>25185</v>
      </c>
      <c r="F393" s="2276">
        <f t="shared" si="17"/>
        <v>-0.13235294117647059</v>
      </c>
      <c r="G393" s="2258">
        <v>177</v>
      </c>
      <c r="H393" s="2259"/>
      <c r="I393" s="2259"/>
      <c r="J393" s="2259"/>
      <c r="K393" s="2259"/>
      <c r="S393" s="2277"/>
      <c r="T393" s="2218"/>
      <c r="U393" s="2280"/>
      <c r="V393" s="2281"/>
      <c r="W393" s="2261"/>
      <c r="X393" s="2277"/>
    </row>
    <row r="394" spans="1:24">
      <c r="A394" s="2255">
        <v>44960.291666666701</v>
      </c>
      <c r="B394" s="2276">
        <f t="shared" ref="B394:B457" si="18">(C394-C$10)/C$10</f>
        <v>1.8843120070113933E-2</v>
      </c>
      <c r="C394" s="2258">
        <v>23250</v>
      </c>
      <c r="D394" s="2276">
        <f t="shared" ref="D394:D457" si="19">(E394-E$10)/E$10</f>
        <v>-6.2306938898515782E-2</v>
      </c>
      <c r="E394" s="2258">
        <v>24892</v>
      </c>
      <c r="F394" s="2276">
        <f t="shared" ref="F394:F457" si="20">(G394-G$10)/G$10</f>
        <v>-0.13235294117647059</v>
      </c>
      <c r="G394" s="2258">
        <v>177</v>
      </c>
      <c r="H394" s="2259"/>
      <c r="I394" s="2259"/>
      <c r="J394" s="2259"/>
      <c r="K394" s="2259"/>
      <c r="S394" s="2277"/>
      <c r="T394" s="2218"/>
      <c r="U394" s="2280"/>
      <c r="V394" s="2281"/>
      <c r="W394" s="2261"/>
      <c r="X394" s="2277"/>
    </row>
    <row r="395" spans="1:24">
      <c r="A395" s="2255">
        <v>44963.291666666701</v>
      </c>
      <c r="B395" s="2276">
        <f t="shared" si="18"/>
        <v>1.9719544259421559E-2</v>
      </c>
      <c r="C395" s="2258">
        <v>23270</v>
      </c>
      <c r="D395" s="2276">
        <f t="shared" si="19"/>
        <v>-7.0707451216755826E-2</v>
      </c>
      <c r="E395" s="2258">
        <v>24669</v>
      </c>
      <c r="F395" s="2276">
        <f t="shared" si="20"/>
        <v>-0.15686274509803921</v>
      </c>
      <c r="G395" s="2258">
        <v>172</v>
      </c>
      <c r="H395" s="2259"/>
      <c r="I395" s="2259"/>
      <c r="J395" s="2259"/>
      <c r="K395" s="2259"/>
      <c r="S395" s="2277"/>
      <c r="T395" s="2218"/>
      <c r="U395" s="2280"/>
      <c r="V395" s="2281"/>
      <c r="W395" s="2261"/>
      <c r="X395" s="2277"/>
    </row>
    <row r="396" spans="1:24">
      <c r="A396" s="2255">
        <v>44964.291666666701</v>
      </c>
      <c r="B396" s="2276">
        <f t="shared" si="18"/>
        <v>2.6292725679228746E-2</v>
      </c>
      <c r="C396" s="2258">
        <v>23420</v>
      </c>
      <c r="D396" s="2276">
        <f t="shared" si="19"/>
        <v>-7.0933473969712946E-2</v>
      </c>
      <c r="E396" s="2258">
        <v>24663</v>
      </c>
      <c r="F396" s="2276">
        <f t="shared" si="20"/>
        <v>-0.14705882352941177</v>
      </c>
      <c r="G396" s="2258">
        <v>174</v>
      </c>
      <c r="H396" s="2259"/>
      <c r="I396" s="2259"/>
      <c r="J396" s="2259"/>
      <c r="K396" s="2259"/>
      <c r="S396" s="2277"/>
      <c r="T396" s="2218"/>
      <c r="U396" s="2280"/>
      <c r="V396" s="2281"/>
      <c r="W396" s="2261"/>
      <c r="X396" s="2277"/>
    </row>
    <row r="397" spans="1:24">
      <c r="A397" s="2255">
        <v>44965.291666666701</v>
      </c>
      <c r="B397" s="2276">
        <f t="shared" si="18"/>
        <v>2.5416301489921123E-2</v>
      </c>
      <c r="C397" s="2258">
        <v>23400</v>
      </c>
      <c r="D397" s="2276">
        <f t="shared" si="19"/>
        <v>-7.0971144428539135E-2</v>
      </c>
      <c r="E397" s="2258">
        <v>24662</v>
      </c>
      <c r="F397" s="2276">
        <f t="shared" si="20"/>
        <v>-0.14215686274509803</v>
      </c>
      <c r="G397" s="2258">
        <v>175</v>
      </c>
      <c r="H397" s="2259"/>
      <c r="I397" s="2259"/>
      <c r="J397" s="2259"/>
      <c r="K397" s="2259"/>
      <c r="S397" s="2277"/>
      <c r="T397" s="2218"/>
      <c r="U397" s="2280"/>
      <c r="V397" s="2281"/>
      <c r="W397" s="2261"/>
      <c r="X397" s="2277"/>
    </row>
    <row r="398" spans="1:24">
      <c r="A398" s="2255">
        <v>44966.291666666701</v>
      </c>
      <c r="B398" s="2276">
        <f t="shared" si="18"/>
        <v>2.3663453111305872E-2</v>
      </c>
      <c r="C398" s="2258">
        <v>23360</v>
      </c>
      <c r="D398" s="2276">
        <f t="shared" si="19"/>
        <v>-7.1385519475627213E-2</v>
      </c>
      <c r="E398" s="2258">
        <v>24651</v>
      </c>
      <c r="F398" s="2276">
        <f t="shared" si="20"/>
        <v>-0.14705882352941177</v>
      </c>
      <c r="G398" s="2258">
        <v>174</v>
      </c>
      <c r="H398" s="2259"/>
      <c r="I398" s="2259"/>
      <c r="J398" s="2259"/>
      <c r="K398" s="2259"/>
      <c r="S398" s="2277"/>
      <c r="T398" s="2218"/>
      <c r="U398" s="2280"/>
      <c r="V398" s="2281"/>
      <c r="W398" s="2261"/>
      <c r="X398" s="2277"/>
    </row>
    <row r="399" spans="1:24">
      <c r="A399" s="2255">
        <v>44967.291666666701</v>
      </c>
      <c r="B399" s="2276">
        <f t="shared" si="18"/>
        <v>2.4320771253286591E-2</v>
      </c>
      <c r="C399" s="2258">
        <v>23375</v>
      </c>
      <c r="D399" s="2276">
        <f t="shared" si="19"/>
        <v>-7.2063587734498613E-2</v>
      </c>
      <c r="E399" s="2258">
        <v>24633</v>
      </c>
      <c r="F399" s="2276">
        <f t="shared" si="20"/>
        <v>-0.14705882352941177</v>
      </c>
      <c r="G399" s="2258">
        <v>174</v>
      </c>
      <c r="H399" s="2259"/>
      <c r="I399" s="2259"/>
      <c r="J399" s="2259"/>
      <c r="K399" s="2259"/>
      <c r="S399" s="2277"/>
      <c r="T399" s="2218"/>
      <c r="U399" s="2280"/>
      <c r="V399" s="2281"/>
      <c r="W399" s="2261"/>
      <c r="X399" s="2277"/>
    </row>
    <row r="400" spans="1:24">
      <c r="A400" s="2255">
        <v>44970.291666666701</v>
      </c>
      <c r="B400" s="2276">
        <f t="shared" si="18"/>
        <v>2.5416301489921123E-2</v>
      </c>
      <c r="C400" s="2258">
        <v>23400</v>
      </c>
      <c r="D400" s="2276">
        <f t="shared" si="19"/>
        <v>-7.5077224440593684E-2</v>
      </c>
      <c r="E400" s="2258">
        <v>24553</v>
      </c>
      <c r="F400" s="2276">
        <f t="shared" si="20"/>
        <v>-0.15196078431372548</v>
      </c>
      <c r="G400" s="2258">
        <v>173</v>
      </c>
      <c r="H400" s="2259"/>
      <c r="I400" s="2259"/>
      <c r="J400" s="2259"/>
      <c r="K400" s="2259"/>
      <c r="S400" s="2277"/>
      <c r="T400" s="2218"/>
      <c r="U400" s="2280"/>
      <c r="V400" s="2281"/>
      <c r="W400" s="2261"/>
      <c r="X400" s="2277"/>
    </row>
    <row r="401" spans="1:24">
      <c r="A401" s="2255">
        <v>44971.291666666701</v>
      </c>
      <c r="B401" s="2276">
        <f t="shared" si="18"/>
        <v>2.5416301489921123E-2</v>
      </c>
      <c r="C401" s="2258">
        <v>23400</v>
      </c>
      <c r="D401" s="2276">
        <f t="shared" si="19"/>
        <v>-7.0669780757929637E-2</v>
      </c>
      <c r="E401" s="2258">
        <v>24670</v>
      </c>
      <c r="F401" s="2276">
        <f t="shared" si="20"/>
        <v>-0.15196078431372548</v>
      </c>
      <c r="G401" s="2258">
        <v>173</v>
      </c>
      <c r="H401" s="2259"/>
      <c r="I401" s="2259"/>
      <c r="J401" s="2259"/>
      <c r="K401" s="2259"/>
      <c r="S401" s="2277"/>
      <c r="T401" s="2218"/>
      <c r="U401" s="2280"/>
      <c r="V401" s="2281"/>
      <c r="W401" s="2261"/>
      <c r="X401" s="2277"/>
    </row>
    <row r="402" spans="1:24">
      <c r="A402" s="2255">
        <v>44972.291666666701</v>
      </c>
      <c r="B402" s="2276">
        <f t="shared" si="18"/>
        <v>2.6292725679228746E-2</v>
      </c>
      <c r="C402" s="2258">
        <v>23420</v>
      </c>
      <c r="D402" s="2276">
        <f t="shared" si="19"/>
        <v>-7.0745121675582015E-2</v>
      </c>
      <c r="E402" s="2258">
        <v>24668</v>
      </c>
      <c r="F402" s="2276">
        <f t="shared" si="20"/>
        <v>-0.15686274509803921</v>
      </c>
      <c r="G402" s="2258">
        <v>172</v>
      </c>
      <c r="H402" s="2259"/>
      <c r="I402" s="2259"/>
      <c r="J402" s="2259"/>
      <c r="K402" s="2259"/>
      <c r="S402" s="2277"/>
      <c r="T402" s="2218"/>
      <c r="U402" s="2280"/>
      <c r="V402" s="2281"/>
      <c r="W402" s="2261"/>
      <c r="X402" s="2277"/>
    </row>
    <row r="403" spans="1:24">
      <c r="A403" s="2255">
        <v>44973.291666666701</v>
      </c>
      <c r="B403" s="2276">
        <f t="shared" si="18"/>
        <v>2.848378615249781E-2</v>
      </c>
      <c r="C403" s="2258">
        <v>23470</v>
      </c>
      <c r="D403" s="2276">
        <f t="shared" si="19"/>
        <v>-7.0519098922624882E-2</v>
      </c>
      <c r="E403" s="2258">
        <v>24674</v>
      </c>
      <c r="F403" s="2276">
        <f t="shared" si="20"/>
        <v>-0.15686274509803921</v>
      </c>
      <c r="G403" s="2258">
        <v>172</v>
      </c>
      <c r="H403" s="2259"/>
      <c r="I403" s="2259"/>
      <c r="J403" s="2259"/>
      <c r="K403" s="2259"/>
      <c r="S403" s="2277"/>
      <c r="T403" s="2218"/>
      <c r="U403" s="2280"/>
      <c r="V403" s="2281"/>
      <c r="W403" s="2261"/>
      <c r="X403" s="2277"/>
    </row>
    <row r="404" spans="1:24">
      <c r="A404" s="2255">
        <v>44974.291666666701</v>
      </c>
      <c r="B404" s="2276">
        <f t="shared" si="18"/>
        <v>3.4618755477651184E-2</v>
      </c>
      <c r="C404" s="2258">
        <v>23610</v>
      </c>
      <c r="D404" s="2276">
        <f t="shared" si="19"/>
        <v>-7.0707451216755826E-2</v>
      </c>
      <c r="E404" s="2258">
        <v>24669</v>
      </c>
      <c r="F404" s="2276">
        <f t="shared" si="20"/>
        <v>-0.16176470588235295</v>
      </c>
      <c r="G404" s="2258">
        <v>171</v>
      </c>
      <c r="H404" s="2259"/>
      <c r="I404" s="2259"/>
      <c r="J404" s="2259"/>
      <c r="K404" s="2259"/>
      <c r="S404" s="2277"/>
      <c r="T404" s="2218"/>
      <c r="U404" s="2280"/>
      <c r="V404" s="2281"/>
      <c r="W404" s="2261"/>
      <c r="X404" s="2277"/>
    </row>
    <row r="405" spans="1:24">
      <c r="A405" s="2255">
        <v>44977.291666666701</v>
      </c>
      <c r="B405" s="2276">
        <f t="shared" si="18"/>
        <v>3.1113058720420684E-2</v>
      </c>
      <c r="C405" s="2258">
        <v>23530</v>
      </c>
      <c r="D405" s="2276">
        <f t="shared" si="19"/>
        <v>-6.8409553228358316E-2</v>
      </c>
      <c r="E405" s="2258">
        <v>24730</v>
      </c>
      <c r="F405" s="2276">
        <f t="shared" si="20"/>
        <v>-0.15686274509803921</v>
      </c>
      <c r="G405" s="2258">
        <v>172</v>
      </c>
      <c r="H405" s="2259"/>
      <c r="I405" s="2259"/>
      <c r="J405" s="2259"/>
      <c r="K405" s="2259"/>
      <c r="S405" s="2277"/>
      <c r="T405" s="2218"/>
      <c r="U405" s="2280"/>
      <c r="V405" s="2281"/>
      <c r="W405" s="2261"/>
      <c r="X405" s="2277"/>
    </row>
    <row r="406" spans="1:24">
      <c r="A406" s="2255">
        <v>44978.291666666701</v>
      </c>
      <c r="B406" s="2276">
        <f t="shared" si="18"/>
        <v>3.0236634531113058E-2</v>
      </c>
      <c r="C406" s="2258">
        <v>23510</v>
      </c>
      <c r="D406" s="2276">
        <f t="shared" si="19"/>
        <v>-7.1875235440367669E-2</v>
      </c>
      <c r="E406" s="2258">
        <v>24638</v>
      </c>
      <c r="F406" s="2276">
        <f t="shared" si="20"/>
        <v>-0.16176470588235295</v>
      </c>
      <c r="G406" s="2258">
        <v>171</v>
      </c>
      <c r="H406" s="2259"/>
      <c r="I406" s="2259"/>
      <c r="J406" s="2259"/>
      <c r="K406" s="2259"/>
      <c r="S406" s="2277"/>
      <c r="T406" s="2218"/>
      <c r="U406" s="2280"/>
      <c r="V406" s="2281"/>
      <c r="W406" s="2261"/>
      <c r="X406" s="2277"/>
    </row>
    <row r="407" spans="1:24">
      <c r="A407" s="2255">
        <v>44979.291666666701</v>
      </c>
      <c r="B407" s="2276">
        <f t="shared" si="18"/>
        <v>3.3304119193689745E-2</v>
      </c>
      <c r="C407" s="2258">
        <v>23580</v>
      </c>
      <c r="D407" s="2276">
        <f t="shared" si="19"/>
        <v>-7.0782792134408204E-2</v>
      </c>
      <c r="E407" s="2258">
        <v>24667</v>
      </c>
      <c r="F407" s="2276">
        <f t="shared" si="20"/>
        <v>-0.16176470588235295</v>
      </c>
      <c r="G407" s="2258">
        <v>171</v>
      </c>
      <c r="H407" s="2259"/>
      <c r="I407" s="2259"/>
      <c r="J407" s="2259"/>
      <c r="K407" s="2259"/>
      <c r="S407" s="2277"/>
      <c r="T407" s="2218"/>
      <c r="U407" s="2280"/>
      <c r="V407" s="2281"/>
      <c r="W407" s="2261"/>
      <c r="X407" s="2277"/>
    </row>
    <row r="408" spans="1:24">
      <c r="A408" s="2255">
        <v>44980.291666666701</v>
      </c>
      <c r="B408" s="2276">
        <f t="shared" si="18"/>
        <v>3.5056967572304996E-2</v>
      </c>
      <c r="C408" s="2258">
        <v>23620</v>
      </c>
      <c r="D408" s="2276">
        <f t="shared" si="19"/>
        <v>-7.2703985534543811E-2</v>
      </c>
      <c r="E408" s="2258">
        <v>24616</v>
      </c>
      <c r="F408" s="2276">
        <f t="shared" si="20"/>
        <v>-0.16176470588235295</v>
      </c>
      <c r="G408" s="2258">
        <v>171</v>
      </c>
      <c r="H408" s="2259"/>
      <c r="I408" s="2259"/>
      <c r="J408" s="2259"/>
      <c r="K408" s="2259"/>
      <c r="S408" s="2277"/>
      <c r="T408" s="2218"/>
      <c r="U408" s="2280"/>
      <c r="V408" s="2281"/>
      <c r="W408" s="2261"/>
      <c r="X408" s="2277"/>
    </row>
    <row r="409" spans="1:24">
      <c r="A409" s="2255">
        <v>44981.291666666701</v>
      </c>
      <c r="B409" s="2276">
        <f t="shared" si="18"/>
        <v>3.4180543382997371E-2</v>
      </c>
      <c r="C409" s="2258">
        <v>23600</v>
      </c>
      <c r="D409" s="2276">
        <f t="shared" si="19"/>
        <v>-7.4775860769984173E-2</v>
      </c>
      <c r="E409" s="2258">
        <v>24561</v>
      </c>
      <c r="F409" s="2276">
        <f t="shared" si="20"/>
        <v>-0.16176470588235295</v>
      </c>
      <c r="G409" s="2258">
        <v>171</v>
      </c>
      <c r="H409" s="2259"/>
      <c r="I409" s="2259"/>
      <c r="J409" s="2259"/>
      <c r="K409" s="2259"/>
      <c r="S409" s="2277"/>
      <c r="T409" s="2218"/>
      <c r="U409" s="2280"/>
      <c r="V409" s="2281"/>
      <c r="W409" s="2261"/>
      <c r="X409" s="2277"/>
    </row>
    <row r="410" spans="1:24">
      <c r="A410" s="2255">
        <v>44984.291666666701</v>
      </c>
      <c r="B410" s="2276">
        <f t="shared" si="18"/>
        <v>3.5056967572304996E-2</v>
      </c>
      <c r="C410" s="2258">
        <v>23620</v>
      </c>
      <c r="D410" s="2276">
        <f t="shared" si="19"/>
        <v>-7.7563474723122125E-2</v>
      </c>
      <c r="E410" s="2258">
        <v>24487</v>
      </c>
      <c r="F410" s="2276">
        <f t="shared" si="20"/>
        <v>-0.17156862745098039</v>
      </c>
      <c r="G410" s="2258">
        <v>169</v>
      </c>
      <c r="H410" s="2259"/>
      <c r="I410" s="2259"/>
      <c r="J410" s="2259"/>
      <c r="K410" s="2259"/>
      <c r="S410" s="2277"/>
      <c r="T410" s="2218"/>
      <c r="U410" s="2280"/>
      <c r="V410" s="2281"/>
      <c r="W410" s="2261"/>
      <c r="X410" s="2277"/>
    </row>
    <row r="411" spans="1:24">
      <c r="A411" s="2255">
        <v>44985.291666666701</v>
      </c>
      <c r="B411" s="2276">
        <f t="shared" si="18"/>
        <v>3.5495179666958809E-2</v>
      </c>
      <c r="C411" s="2258">
        <v>23630</v>
      </c>
      <c r="D411" s="2276">
        <f t="shared" si="19"/>
        <v>-7.3118360581631889E-2</v>
      </c>
      <c r="E411" s="2258">
        <v>24605</v>
      </c>
      <c r="F411" s="2276">
        <f t="shared" si="20"/>
        <v>-0.17156862745098039</v>
      </c>
      <c r="G411" s="2258">
        <v>169</v>
      </c>
      <c r="H411" s="2262">
        <v>5.5E-2</v>
      </c>
      <c r="I411" s="2262">
        <v>5.8000000000000003E-2</v>
      </c>
      <c r="J411" s="2262">
        <v>0.113</v>
      </c>
      <c r="K411" s="2262">
        <v>5.5E-2</v>
      </c>
      <c r="S411" s="2277"/>
      <c r="T411" s="2218"/>
      <c r="U411" s="2280"/>
      <c r="V411" s="2281"/>
      <c r="W411" s="2261"/>
      <c r="X411" s="2277"/>
    </row>
    <row r="412" spans="1:24">
      <c r="A412" s="2255">
        <v>44986.291666666701</v>
      </c>
      <c r="B412" s="2276">
        <f t="shared" si="18"/>
        <v>3.1989482909728306E-2</v>
      </c>
      <c r="C412" s="2258">
        <v>23550</v>
      </c>
      <c r="D412" s="2276">
        <f t="shared" si="19"/>
        <v>-7.9070293076169668E-2</v>
      </c>
      <c r="E412" s="2258">
        <v>24447</v>
      </c>
      <c r="F412" s="2276">
        <f t="shared" si="20"/>
        <v>-0.17156862745098039</v>
      </c>
      <c r="G412" s="2258">
        <v>169</v>
      </c>
      <c r="H412" s="2259"/>
      <c r="I412" s="2259"/>
      <c r="J412" s="2259"/>
      <c r="K412" s="2259"/>
      <c r="S412" s="2277"/>
      <c r="T412" s="2218"/>
      <c r="U412" s="2280"/>
      <c r="V412" s="2281"/>
      <c r="W412" s="2261"/>
      <c r="X412" s="2277"/>
    </row>
    <row r="413" spans="1:24">
      <c r="A413" s="2255">
        <v>44987.291666666701</v>
      </c>
      <c r="B413" s="2276">
        <f t="shared" si="18"/>
        <v>3.0017528483786152E-2</v>
      </c>
      <c r="C413" s="2258">
        <v>23505</v>
      </c>
      <c r="D413" s="2276">
        <f t="shared" si="19"/>
        <v>-7.4361485722896109E-2</v>
      </c>
      <c r="E413" s="2258">
        <v>24572</v>
      </c>
      <c r="F413" s="2276">
        <f t="shared" si="20"/>
        <v>-0.17647058823529413</v>
      </c>
      <c r="G413" s="2258">
        <v>168</v>
      </c>
      <c r="H413" s="2259"/>
      <c r="I413" s="2259"/>
      <c r="J413" s="2259"/>
      <c r="K413" s="2259"/>
      <c r="S413" s="2277"/>
      <c r="T413" s="2218"/>
      <c r="U413" s="2280"/>
      <c r="V413" s="2281"/>
      <c r="W413" s="2261"/>
      <c r="X413" s="2277"/>
    </row>
    <row r="414" spans="1:24">
      <c r="A414" s="2255">
        <v>44988.291666666701</v>
      </c>
      <c r="B414" s="2276">
        <f t="shared" si="18"/>
        <v>3.0674846625766871E-2</v>
      </c>
      <c r="C414" s="2258">
        <v>23520</v>
      </c>
      <c r="D414" s="2276">
        <f t="shared" si="19"/>
        <v>-7.6395690499510283E-2</v>
      </c>
      <c r="E414" s="2258">
        <v>24518</v>
      </c>
      <c r="F414" s="2276">
        <f t="shared" si="20"/>
        <v>-0.17156862745098039</v>
      </c>
      <c r="G414" s="2258">
        <v>169</v>
      </c>
      <c r="H414" s="2259"/>
      <c r="I414" s="2259"/>
      <c r="J414" s="2259"/>
      <c r="K414" s="2259"/>
      <c r="S414" s="2277"/>
      <c r="T414" s="2218"/>
      <c r="U414" s="2280"/>
      <c r="V414" s="2281"/>
      <c r="W414" s="2261"/>
      <c r="X414" s="2277"/>
    </row>
    <row r="415" spans="1:24">
      <c r="A415" s="2255">
        <v>44991.291666666701</v>
      </c>
      <c r="B415" s="2276">
        <f t="shared" si="18"/>
        <v>2.9798422436459245E-2</v>
      </c>
      <c r="C415" s="2258">
        <v>23500</v>
      </c>
      <c r="D415" s="2276">
        <f t="shared" si="19"/>
        <v>-7.3947110675808031E-2</v>
      </c>
      <c r="E415" s="2258">
        <v>24583</v>
      </c>
      <c r="F415" s="2276">
        <f t="shared" si="20"/>
        <v>-0.17156862745098039</v>
      </c>
      <c r="G415" s="2258">
        <v>169</v>
      </c>
      <c r="H415" s="2259"/>
      <c r="I415" s="2259"/>
      <c r="J415" s="2259"/>
      <c r="K415" s="2259"/>
      <c r="S415" s="2277"/>
      <c r="T415" s="2218"/>
      <c r="U415" s="2280"/>
      <c r="V415" s="2281"/>
      <c r="W415" s="2261"/>
      <c r="X415" s="2277"/>
    </row>
    <row r="416" spans="1:24">
      <c r="A416" s="2255">
        <v>44992.291666666701</v>
      </c>
      <c r="B416" s="2276">
        <f t="shared" si="18"/>
        <v>2.8045574057843997E-2</v>
      </c>
      <c r="C416" s="2258">
        <v>23460</v>
      </c>
      <c r="D416" s="2276">
        <f t="shared" si="19"/>
        <v>-7.3532735628719953E-2</v>
      </c>
      <c r="E416" s="2258">
        <v>24594</v>
      </c>
      <c r="F416" s="2276">
        <f t="shared" si="20"/>
        <v>-0.17156862745098039</v>
      </c>
      <c r="G416" s="2258">
        <v>169</v>
      </c>
      <c r="H416" s="2259"/>
      <c r="I416" s="2259"/>
      <c r="J416" s="2259"/>
      <c r="K416" s="2259"/>
      <c r="S416" s="2277"/>
      <c r="T416" s="2218"/>
      <c r="U416" s="2280"/>
      <c r="V416" s="2281"/>
      <c r="W416" s="2261"/>
      <c r="X416" s="2277"/>
    </row>
    <row r="417" spans="1:24">
      <c r="A417" s="2255">
        <v>44993.291666666701</v>
      </c>
      <c r="B417" s="2276">
        <f t="shared" si="18"/>
        <v>3.0236634531113058E-2</v>
      </c>
      <c r="C417" s="2258">
        <v>23510</v>
      </c>
      <c r="D417" s="2276">
        <f t="shared" si="19"/>
        <v>-8.2912679876440895E-2</v>
      </c>
      <c r="E417" s="2258">
        <v>24345</v>
      </c>
      <c r="F417" s="2276">
        <f t="shared" si="20"/>
        <v>-0.18137254901960784</v>
      </c>
      <c r="G417" s="2258">
        <v>167</v>
      </c>
      <c r="H417" s="2259"/>
      <c r="I417" s="2259"/>
      <c r="J417" s="2259"/>
      <c r="K417" s="2259"/>
      <c r="S417" s="2277"/>
      <c r="T417" s="2218"/>
      <c r="U417" s="2280"/>
      <c r="V417" s="2281"/>
      <c r="W417" s="2261"/>
      <c r="X417" s="2277"/>
    </row>
    <row r="418" spans="1:24">
      <c r="A418" s="2255">
        <v>44994.291666666701</v>
      </c>
      <c r="B418" s="2276">
        <f t="shared" si="18"/>
        <v>3.0017528483786152E-2</v>
      </c>
      <c r="C418" s="2258">
        <v>23505</v>
      </c>
      <c r="D418" s="2276">
        <f t="shared" si="19"/>
        <v>-8.2799668499962328E-2</v>
      </c>
      <c r="E418" s="2258">
        <v>24348</v>
      </c>
      <c r="F418" s="2276">
        <f t="shared" si="20"/>
        <v>-0.17647058823529413</v>
      </c>
      <c r="G418" s="2258">
        <v>168</v>
      </c>
      <c r="H418" s="2259"/>
      <c r="I418" s="2259"/>
      <c r="J418" s="2259"/>
      <c r="K418" s="2259"/>
      <c r="S418" s="2277"/>
      <c r="T418" s="2218"/>
      <c r="U418" s="2280"/>
      <c r="V418" s="2281"/>
      <c r="W418" s="2261"/>
      <c r="X418" s="2277"/>
    </row>
    <row r="419" spans="1:24">
      <c r="A419" s="2255">
        <v>44995.291666666701</v>
      </c>
      <c r="B419" s="2276">
        <f t="shared" si="18"/>
        <v>2.848378615249781E-2</v>
      </c>
      <c r="C419" s="2258">
        <v>23470</v>
      </c>
      <c r="D419" s="2276">
        <f t="shared" si="19"/>
        <v>-8.0765463723348155E-2</v>
      </c>
      <c r="E419" s="2258">
        <v>24402</v>
      </c>
      <c r="F419" s="2276">
        <f t="shared" si="20"/>
        <v>-0.17647058823529413</v>
      </c>
      <c r="G419" s="2258">
        <v>168</v>
      </c>
      <c r="H419" s="2259"/>
      <c r="I419" s="2259"/>
      <c r="J419" s="2259"/>
      <c r="K419" s="2259"/>
      <c r="S419" s="2277"/>
      <c r="T419" s="2218"/>
      <c r="U419" s="2280"/>
      <c r="V419" s="2281"/>
      <c r="W419" s="2261"/>
      <c r="X419" s="2277"/>
    </row>
    <row r="420" spans="1:24">
      <c r="A420" s="2255">
        <v>44998.291666666701</v>
      </c>
      <c r="B420" s="2276">
        <f t="shared" si="18"/>
        <v>2.4101665205959685E-2</v>
      </c>
      <c r="C420" s="2258">
        <v>23370</v>
      </c>
      <c r="D420" s="2276">
        <f t="shared" si="19"/>
        <v>-7.7111429217207872E-2</v>
      </c>
      <c r="E420" s="2258">
        <v>24499</v>
      </c>
      <c r="F420" s="2276">
        <f t="shared" si="20"/>
        <v>-0.16666666666666666</v>
      </c>
      <c r="G420" s="2258">
        <v>170</v>
      </c>
      <c r="H420" s="2259"/>
      <c r="I420" s="2259"/>
      <c r="J420" s="2259"/>
      <c r="K420" s="2259"/>
      <c r="S420" s="2277"/>
      <c r="T420" s="2218"/>
      <c r="U420" s="2280"/>
      <c r="V420" s="2281"/>
      <c r="W420" s="2261"/>
      <c r="X420" s="2277"/>
    </row>
    <row r="421" spans="1:24">
      <c r="A421" s="2255">
        <v>44999.291666666701</v>
      </c>
      <c r="B421" s="2276">
        <f t="shared" si="18"/>
        <v>2.4101665205959685E-2</v>
      </c>
      <c r="C421" s="2258">
        <v>23370</v>
      </c>
      <c r="D421" s="2276">
        <f t="shared" si="19"/>
        <v>-7.4361485722896109E-2</v>
      </c>
      <c r="E421" s="2258">
        <v>24572</v>
      </c>
      <c r="F421" s="2276">
        <f t="shared" si="20"/>
        <v>-0.16176470588235295</v>
      </c>
      <c r="G421" s="2258">
        <v>171</v>
      </c>
      <c r="H421" s="2259"/>
      <c r="I421" s="2259"/>
      <c r="J421" s="2259"/>
      <c r="K421" s="2259"/>
      <c r="S421" s="2277"/>
      <c r="T421" s="2218"/>
      <c r="U421" s="2280"/>
      <c r="V421" s="2281"/>
      <c r="W421" s="2261"/>
      <c r="X421" s="2277"/>
    </row>
    <row r="422" spans="1:24">
      <c r="A422" s="2255">
        <v>45000.291666666701</v>
      </c>
      <c r="B422" s="2276">
        <f t="shared" si="18"/>
        <v>2.4539877300613498E-2</v>
      </c>
      <c r="C422" s="2258">
        <v>23380</v>
      </c>
      <c r="D422" s="2276">
        <f t="shared" si="19"/>
        <v>-7.1272508099148646E-2</v>
      </c>
      <c r="E422" s="2258">
        <v>24654</v>
      </c>
      <c r="F422" s="2276">
        <f t="shared" si="20"/>
        <v>-0.16666666666666666</v>
      </c>
      <c r="G422" s="2258">
        <v>170</v>
      </c>
      <c r="H422" s="2259"/>
      <c r="I422" s="2259"/>
      <c r="J422" s="2259"/>
      <c r="K422" s="2259"/>
      <c r="S422" s="2277"/>
      <c r="T422" s="2218"/>
      <c r="U422" s="2280"/>
      <c r="V422" s="2281"/>
      <c r="W422" s="2261"/>
      <c r="X422" s="2277"/>
    </row>
    <row r="423" spans="1:24">
      <c r="A423" s="2255">
        <v>45001.291666666701</v>
      </c>
      <c r="B423" s="2276">
        <f t="shared" si="18"/>
        <v>2.4539877300613498E-2</v>
      </c>
      <c r="C423" s="2258">
        <v>23380</v>
      </c>
      <c r="D423" s="2276">
        <f t="shared" si="19"/>
        <v>-8.3138702629398029E-2</v>
      </c>
      <c r="E423" s="2258">
        <v>24339</v>
      </c>
      <c r="F423" s="2276">
        <f t="shared" si="20"/>
        <v>-0.15686274509803921</v>
      </c>
      <c r="G423" s="2258">
        <v>172</v>
      </c>
      <c r="H423" s="2259"/>
      <c r="I423" s="2259"/>
      <c r="J423" s="2259"/>
      <c r="K423" s="2259"/>
      <c r="S423" s="2277"/>
      <c r="T423" s="2218"/>
      <c r="U423" s="2280"/>
      <c r="V423" s="2281"/>
      <c r="W423" s="2261"/>
      <c r="X423" s="2277"/>
    </row>
    <row r="424" spans="1:24">
      <c r="A424" s="2255">
        <v>45002.291666666701</v>
      </c>
      <c r="B424" s="2276">
        <f t="shared" si="18"/>
        <v>2.4539877300613498E-2</v>
      </c>
      <c r="C424" s="2258">
        <v>23380</v>
      </c>
      <c r="D424" s="2276">
        <f t="shared" si="19"/>
        <v>-8.1518872899871919E-2</v>
      </c>
      <c r="E424" s="2258">
        <v>24382</v>
      </c>
      <c r="F424" s="2276">
        <f t="shared" si="20"/>
        <v>-0.16176470588235295</v>
      </c>
      <c r="G424" s="2258">
        <v>171</v>
      </c>
      <c r="H424" s="2259"/>
      <c r="I424" s="2259"/>
      <c r="J424" s="2259"/>
      <c r="K424" s="2259"/>
      <c r="S424" s="2277"/>
      <c r="T424" s="2218"/>
      <c r="U424" s="2280"/>
      <c r="V424" s="2281"/>
      <c r="W424" s="2261"/>
      <c r="X424" s="2277"/>
    </row>
    <row r="425" spans="1:24">
      <c r="A425" s="2255">
        <v>45005.291666666701</v>
      </c>
      <c r="B425" s="2276">
        <f t="shared" si="18"/>
        <v>2.4539877300613498E-2</v>
      </c>
      <c r="C425" s="2258">
        <v>23380</v>
      </c>
      <c r="D425" s="2276">
        <f t="shared" si="19"/>
        <v>-7.7337451970164992E-2</v>
      </c>
      <c r="E425" s="2258">
        <v>24493</v>
      </c>
      <c r="F425" s="2276">
        <f t="shared" si="20"/>
        <v>-0.14705882352941177</v>
      </c>
      <c r="G425" s="2258">
        <v>174</v>
      </c>
      <c r="H425" s="2259"/>
      <c r="I425" s="2259"/>
      <c r="J425" s="2259"/>
      <c r="K425" s="2259"/>
      <c r="S425" s="2277"/>
      <c r="T425" s="2218"/>
      <c r="U425" s="2280"/>
      <c r="V425" s="2281"/>
      <c r="W425" s="2261"/>
      <c r="X425" s="2277"/>
    </row>
    <row r="426" spans="1:24">
      <c r="A426" s="2255">
        <v>45006.291666666701</v>
      </c>
      <c r="B426" s="2276">
        <f t="shared" si="18"/>
        <v>2.4539877300613498E-2</v>
      </c>
      <c r="C426" s="2258">
        <v>23380</v>
      </c>
      <c r="D426" s="2276">
        <f t="shared" si="19"/>
        <v>-7.4060122052286598E-2</v>
      </c>
      <c r="E426" s="2258">
        <v>24580</v>
      </c>
      <c r="F426" s="2276">
        <f t="shared" si="20"/>
        <v>-0.14705882352941177</v>
      </c>
      <c r="G426" s="2258">
        <v>174</v>
      </c>
      <c r="H426" s="2259"/>
      <c r="I426" s="2259"/>
      <c r="J426" s="2259"/>
      <c r="K426" s="2259"/>
      <c r="S426" s="2277"/>
      <c r="T426" s="2218"/>
      <c r="U426" s="2280"/>
      <c r="V426" s="2281"/>
      <c r="W426" s="2261"/>
      <c r="X426" s="2277"/>
    </row>
    <row r="427" spans="1:24">
      <c r="A427" s="2255">
        <v>45007.291666666701</v>
      </c>
      <c r="B427" s="2276">
        <f t="shared" si="18"/>
        <v>2.1910604732690624E-2</v>
      </c>
      <c r="C427" s="2258">
        <v>23320</v>
      </c>
      <c r="D427" s="2276">
        <f t="shared" si="19"/>
        <v>-7.0858133052060568E-2</v>
      </c>
      <c r="E427" s="2258">
        <v>24665</v>
      </c>
      <c r="F427" s="2276">
        <f t="shared" si="20"/>
        <v>-0.15686274509803921</v>
      </c>
      <c r="G427" s="2258">
        <v>172</v>
      </c>
      <c r="H427" s="2259"/>
      <c r="I427" s="2259"/>
      <c r="J427" s="2259"/>
      <c r="K427" s="2259"/>
      <c r="S427" s="2277"/>
      <c r="T427" s="2218"/>
      <c r="U427" s="2280"/>
      <c r="V427" s="2281"/>
      <c r="W427" s="2261"/>
      <c r="X427" s="2277"/>
    </row>
    <row r="428" spans="1:24">
      <c r="A428" s="2255">
        <v>45008.291666666701</v>
      </c>
      <c r="B428" s="2276">
        <f t="shared" si="18"/>
        <v>2.1034180543382998E-2</v>
      </c>
      <c r="C428" s="2258">
        <v>23300</v>
      </c>
      <c r="D428" s="2276">
        <f t="shared" si="19"/>
        <v>-5.7899495215851728E-2</v>
      </c>
      <c r="E428" s="2258">
        <v>25009</v>
      </c>
      <c r="F428" s="2276">
        <f t="shared" si="20"/>
        <v>-0.14705882352941177</v>
      </c>
      <c r="G428" s="2258">
        <v>174</v>
      </c>
      <c r="H428" s="2259"/>
      <c r="I428" s="2259"/>
      <c r="J428" s="2259"/>
      <c r="K428" s="2259"/>
      <c r="S428" s="2277"/>
      <c r="T428" s="2218"/>
      <c r="U428" s="2280"/>
      <c r="V428" s="2281"/>
      <c r="W428" s="2261"/>
      <c r="X428" s="2277"/>
    </row>
    <row r="429" spans="1:24">
      <c r="A429" s="2255">
        <v>45009.291666666701</v>
      </c>
      <c r="B429" s="2276">
        <f t="shared" si="18"/>
        <v>2.1472392638036811E-2</v>
      </c>
      <c r="C429" s="2258">
        <v>23310</v>
      </c>
      <c r="D429" s="2276">
        <f t="shared" si="19"/>
        <v>-7.0067053416710615E-2</v>
      </c>
      <c r="E429" s="2258">
        <v>24686</v>
      </c>
      <c r="F429" s="2276">
        <f t="shared" si="20"/>
        <v>-0.14215686274509803</v>
      </c>
      <c r="G429" s="2258">
        <v>175</v>
      </c>
      <c r="H429" s="2259"/>
      <c r="I429" s="2259"/>
      <c r="J429" s="2259"/>
      <c r="K429" s="2259"/>
      <c r="S429" s="2277"/>
      <c r="T429" s="2218"/>
      <c r="U429" s="2280"/>
      <c r="V429" s="2281"/>
      <c r="W429" s="2261"/>
      <c r="X429" s="2277"/>
    </row>
    <row r="430" spans="1:24">
      <c r="A430" s="2255">
        <v>45012.291666666701</v>
      </c>
      <c r="B430" s="2276">
        <f t="shared" si="18"/>
        <v>2.1472392638036811E-2</v>
      </c>
      <c r="C430" s="2258">
        <v>23310</v>
      </c>
      <c r="D430" s="2276">
        <f t="shared" si="19"/>
        <v>-7.112182626384389E-2</v>
      </c>
      <c r="E430" s="2258">
        <v>24658</v>
      </c>
      <c r="F430" s="2276">
        <f t="shared" si="20"/>
        <v>-0.14705882352941177</v>
      </c>
      <c r="G430" s="2258">
        <v>174</v>
      </c>
      <c r="H430" s="2259"/>
      <c r="I430" s="2259"/>
      <c r="J430" s="2259"/>
      <c r="K430" s="2259"/>
      <c r="S430" s="2277"/>
      <c r="T430" s="2218"/>
      <c r="U430" s="2280"/>
      <c r="V430" s="2281"/>
      <c r="W430" s="2261"/>
      <c r="X430" s="2277"/>
    </row>
    <row r="431" spans="1:24">
      <c r="A431" s="2255">
        <v>45013.291666666701</v>
      </c>
      <c r="B431" s="2276">
        <f t="shared" si="18"/>
        <v>2.0595968448729185E-2</v>
      </c>
      <c r="C431" s="2258">
        <v>23290</v>
      </c>
      <c r="D431" s="2276">
        <f t="shared" si="19"/>
        <v>-6.7693814510660741E-2</v>
      </c>
      <c r="E431" s="2258">
        <v>24749</v>
      </c>
      <c r="F431" s="2276">
        <f t="shared" si="20"/>
        <v>-0.14705882352941177</v>
      </c>
      <c r="G431" s="2258">
        <v>174</v>
      </c>
      <c r="H431" s="2259"/>
      <c r="I431" s="2259"/>
      <c r="J431" s="2259"/>
      <c r="K431" s="2259"/>
      <c r="S431" s="2277"/>
      <c r="T431" s="2218"/>
      <c r="U431" s="2280"/>
      <c r="V431" s="2281"/>
      <c r="W431" s="2261"/>
      <c r="X431" s="2277"/>
    </row>
    <row r="432" spans="1:24">
      <c r="A432" s="2255">
        <v>45014.291666666701</v>
      </c>
      <c r="B432" s="2276">
        <f t="shared" si="18"/>
        <v>2.0157756354075372E-2</v>
      </c>
      <c r="C432" s="2258">
        <v>23280</v>
      </c>
      <c r="D432" s="2276">
        <f t="shared" si="19"/>
        <v>-6.6789723498832221E-2</v>
      </c>
      <c r="E432" s="2258">
        <v>24773</v>
      </c>
      <c r="F432" s="2276">
        <f t="shared" si="20"/>
        <v>-0.15196078431372548</v>
      </c>
      <c r="G432" s="2258">
        <v>173</v>
      </c>
      <c r="H432" s="2259"/>
      <c r="I432" s="2259"/>
      <c r="J432" s="2259"/>
      <c r="K432" s="2259"/>
      <c r="S432" s="2277"/>
      <c r="T432" s="2218"/>
      <c r="U432" s="2280"/>
      <c r="V432" s="2281"/>
      <c r="W432" s="2261"/>
      <c r="X432" s="2277"/>
    </row>
    <row r="433" spans="1:24">
      <c r="A433" s="2255">
        <v>45015.291666666701</v>
      </c>
      <c r="B433" s="2276">
        <f t="shared" si="18"/>
        <v>1.9719544259421559E-2</v>
      </c>
      <c r="C433" s="2258">
        <v>23270</v>
      </c>
      <c r="D433" s="2276">
        <f t="shared" si="19"/>
        <v>-6.4002109545694269E-2</v>
      </c>
      <c r="E433" s="2258">
        <v>24847</v>
      </c>
      <c r="F433" s="2276">
        <f t="shared" si="20"/>
        <v>-0.15686274509803921</v>
      </c>
      <c r="G433" s="2258">
        <v>172</v>
      </c>
      <c r="H433" s="2259"/>
      <c r="I433" s="2259"/>
      <c r="J433" s="2259"/>
      <c r="K433" s="2259"/>
      <c r="S433" s="2277"/>
      <c r="T433" s="2218"/>
      <c r="U433" s="2280"/>
      <c r="V433" s="2281"/>
      <c r="W433" s="2261"/>
      <c r="X433" s="2277"/>
    </row>
    <row r="434" spans="1:24">
      <c r="A434" s="2255">
        <v>45016.291666666701</v>
      </c>
      <c r="B434" s="2276">
        <f t="shared" si="18"/>
        <v>1.9281332164767746E-2</v>
      </c>
      <c r="C434" s="2258">
        <v>23260</v>
      </c>
      <c r="D434" s="2276">
        <f t="shared" si="19"/>
        <v>-6.3361711745649058E-2</v>
      </c>
      <c r="E434" s="2258">
        <v>24864</v>
      </c>
      <c r="F434" s="2276">
        <f t="shared" si="20"/>
        <v>-0.16666666666666666</v>
      </c>
      <c r="G434" s="2258">
        <v>170</v>
      </c>
      <c r="H434" s="2262">
        <v>5.5E-2</v>
      </c>
      <c r="I434" s="2262">
        <v>5.7000000000000002E-2</v>
      </c>
      <c r="J434" s="2262">
        <v>0.113</v>
      </c>
      <c r="K434" s="2262">
        <v>5.5E-2</v>
      </c>
      <c r="S434" s="2277"/>
      <c r="T434" s="2218"/>
      <c r="U434" s="2280"/>
      <c r="V434" s="2281"/>
      <c r="W434" s="2261"/>
      <c r="X434" s="2277"/>
    </row>
    <row r="435" spans="1:24">
      <c r="A435" s="2255">
        <v>45019.291666666701</v>
      </c>
      <c r="B435" s="2276">
        <f t="shared" si="18"/>
        <v>2.0157756354075372E-2</v>
      </c>
      <c r="C435" s="2258">
        <v>23280</v>
      </c>
      <c r="D435" s="2276">
        <f t="shared" si="19"/>
        <v>-6.5998643863482254E-2</v>
      </c>
      <c r="E435" s="2258">
        <v>24794</v>
      </c>
      <c r="F435" s="2276">
        <f t="shared" si="20"/>
        <v>-0.16176470588235295</v>
      </c>
      <c r="G435" s="2258">
        <v>171</v>
      </c>
      <c r="H435" s="2259"/>
      <c r="I435" s="2259"/>
      <c r="J435" s="2259"/>
      <c r="K435" s="2259"/>
      <c r="S435" s="2277"/>
      <c r="T435" s="2218"/>
      <c r="U435" s="2280"/>
      <c r="V435" s="2281"/>
      <c r="W435" s="2261"/>
      <c r="X435" s="2277"/>
    </row>
    <row r="436" spans="1:24">
      <c r="A436" s="2255">
        <v>45020.291666666701</v>
      </c>
      <c r="B436" s="2276">
        <f t="shared" si="18"/>
        <v>1.9500438212094653E-2</v>
      </c>
      <c r="C436" s="2258">
        <v>23265</v>
      </c>
      <c r="D436" s="2276">
        <f t="shared" si="19"/>
        <v>-6.031040458072779E-2</v>
      </c>
      <c r="E436" s="2258">
        <v>24945</v>
      </c>
      <c r="F436" s="2276">
        <f t="shared" si="20"/>
        <v>-0.16176470588235295</v>
      </c>
      <c r="G436" s="2258">
        <v>171</v>
      </c>
      <c r="H436" s="2259"/>
      <c r="I436" s="2259"/>
      <c r="J436" s="2259"/>
      <c r="K436" s="2259"/>
      <c r="S436" s="2277"/>
      <c r="T436" s="2218"/>
      <c r="U436" s="2280"/>
      <c r="V436" s="2281"/>
      <c r="W436" s="2261"/>
      <c r="X436" s="2277"/>
    </row>
    <row r="437" spans="1:24">
      <c r="A437" s="2255">
        <v>45021.291666666701</v>
      </c>
      <c r="B437" s="2276">
        <f t="shared" si="18"/>
        <v>1.8843120070113933E-2</v>
      </c>
      <c r="C437" s="2258">
        <v>23250</v>
      </c>
      <c r="D437" s="2276">
        <f t="shared" si="19"/>
        <v>-5.7146086039327956E-2</v>
      </c>
      <c r="E437" s="2258">
        <v>25029</v>
      </c>
      <c r="F437" s="2276">
        <f t="shared" si="20"/>
        <v>-0.15196078431372548</v>
      </c>
      <c r="G437" s="2258">
        <v>173</v>
      </c>
      <c r="H437" s="2259"/>
      <c r="I437" s="2259"/>
      <c r="J437" s="2259"/>
      <c r="K437" s="2259"/>
      <c r="S437" s="2277"/>
      <c r="T437" s="2218"/>
      <c r="U437" s="2280"/>
      <c r="V437" s="2281"/>
      <c r="W437" s="2261"/>
      <c r="X437" s="2277"/>
    </row>
    <row r="438" spans="1:24">
      <c r="A438" s="2255">
        <v>45022.291666666701</v>
      </c>
      <c r="B438" s="2276">
        <f t="shared" si="18"/>
        <v>1.8843120070113933E-2</v>
      </c>
      <c r="C438" s="2258">
        <v>23250</v>
      </c>
      <c r="D438" s="2276">
        <f t="shared" si="19"/>
        <v>-6.1704211557296766E-2</v>
      </c>
      <c r="E438" s="2258">
        <v>24908</v>
      </c>
      <c r="F438" s="2276">
        <f t="shared" si="20"/>
        <v>-0.15196078431372548</v>
      </c>
      <c r="G438" s="2258">
        <v>173</v>
      </c>
      <c r="H438" s="2259"/>
      <c r="I438" s="2259"/>
      <c r="J438" s="2259"/>
      <c r="K438" s="2259"/>
      <c r="S438" s="2277"/>
      <c r="T438" s="2218"/>
      <c r="U438" s="2280"/>
      <c r="V438" s="2281"/>
      <c r="W438" s="2261"/>
      <c r="X438" s="2277"/>
    </row>
    <row r="439" spans="1:24">
      <c r="A439" s="2255">
        <v>45023.291666666701</v>
      </c>
      <c r="B439" s="2276">
        <f t="shared" si="18"/>
        <v>1.8843120070113933E-2</v>
      </c>
      <c r="C439" s="2258">
        <v>23250</v>
      </c>
      <c r="D439" s="2276">
        <f t="shared" si="19"/>
        <v>-6.0574097792511113E-2</v>
      </c>
      <c r="E439" s="2258">
        <v>24938</v>
      </c>
      <c r="F439" s="2276">
        <f t="shared" si="20"/>
        <v>-0.15196078431372548</v>
      </c>
      <c r="G439" s="2258">
        <v>173</v>
      </c>
      <c r="H439" s="2259"/>
      <c r="I439" s="2259"/>
      <c r="J439" s="2259"/>
      <c r="K439" s="2259"/>
      <c r="S439" s="2277"/>
      <c r="T439" s="2218"/>
      <c r="U439" s="2280"/>
      <c r="V439" s="2281"/>
      <c r="W439" s="2261"/>
      <c r="X439" s="2277"/>
    </row>
    <row r="440" spans="1:24">
      <c r="A440" s="2255">
        <v>45026.291666666701</v>
      </c>
      <c r="B440" s="2276">
        <f t="shared" si="18"/>
        <v>1.8843120070113933E-2</v>
      </c>
      <c r="C440" s="2258">
        <v>23250</v>
      </c>
      <c r="D440" s="2276">
        <f t="shared" si="19"/>
        <v>-6.1515859263165829E-2</v>
      </c>
      <c r="E440" s="2258">
        <v>24913</v>
      </c>
      <c r="F440" s="2276">
        <f t="shared" si="20"/>
        <v>-0.15686274509803921</v>
      </c>
      <c r="G440" s="2258">
        <v>172</v>
      </c>
      <c r="H440" s="2259"/>
      <c r="I440" s="2259"/>
      <c r="J440" s="2259"/>
      <c r="K440" s="2259"/>
      <c r="S440" s="2277"/>
      <c r="T440" s="2218"/>
      <c r="U440" s="2280"/>
      <c r="V440" s="2281"/>
      <c r="W440" s="2261"/>
      <c r="X440" s="2277"/>
    </row>
    <row r="441" spans="1:24">
      <c r="A441" s="2255">
        <v>45027.291666666701</v>
      </c>
      <c r="B441" s="2276">
        <f t="shared" si="18"/>
        <v>1.9281332164767746E-2</v>
      </c>
      <c r="C441" s="2258">
        <v>23260</v>
      </c>
      <c r="D441" s="2276">
        <f t="shared" si="19"/>
        <v>-6.3587734498606191E-2</v>
      </c>
      <c r="E441" s="2258">
        <v>24858</v>
      </c>
      <c r="F441" s="2276">
        <f t="shared" si="20"/>
        <v>-0.16176470588235295</v>
      </c>
      <c r="G441" s="2258">
        <v>171</v>
      </c>
      <c r="H441" s="2259"/>
      <c r="I441" s="2259"/>
      <c r="J441" s="2259"/>
      <c r="K441" s="2259"/>
      <c r="S441" s="2277"/>
      <c r="T441" s="2218"/>
      <c r="U441" s="2280"/>
      <c r="V441" s="2281"/>
      <c r="W441" s="2261"/>
      <c r="X441" s="2277"/>
    </row>
    <row r="442" spans="1:24">
      <c r="A442" s="2255">
        <v>45028.291666666701</v>
      </c>
      <c r="B442" s="2276">
        <f t="shared" si="18"/>
        <v>1.9281332164767746E-2</v>
      </c>
      <c r="C442" s="2258">
        <v>23260</v>
      </c>
      <c r="D442" s="2276">
        <f t="shared" si="19"/>
        <v>-5.9707677239508775E-2</v>
      </c>
      <c r="E442" s="2258">
        <v>24961</v>
      </c>
      <c r="F442" s="2276">
        <f t="shared" si="20"/>
        <v>-0.16666666666666666</v>
      </c>
      <c r="G442" s="2258">
        <v>170</v>
      </c>
      <c r="H442" s="2259"/>
      <c r="I442" s="2259"/>
      <c r="J442" s="2259"/>
      <c r="K442" s="2259"/>
      <c r="S442" s="2277"/>
      <c r="T442" s="2218"/>
      <c r="U442" s="2280"/>
      <c r="V442" s="2281"/>
      <c r="W442" s="2261"/>
      <c r="X442" s="2277"/>
    </row>
    <row r="443" spans="1:24">
      <c r="A443" s="2255">
        <v>45029.291666666701</v>
      </c>
      <c r="B443" s="2276">
        <f t="shared" si="18"/>
        <v>1.8404907975460124E-2</v>
      </c>
      <c r="C443" s="2258">
        <v>23240</v>
      </c>
      <c r="D443" s="2276">
        <f t="shared" si="19"/>
        <v>-5.4622165297973327E-2</v>
      </c>
      <c r="E443" s="2258">
        <v>25096</v>
      </c>
      <c r="F443" s="2276">
        <f t="shared" si="20"/>
        <v>-0.16176470588235295</v>
      </c>
      <c r="G443" s="2258">
        <v>171</v>
      </c>
      <c r="H443" s="2259"/>
      <c r="I443" s="2259"/>
      <c r="J443" s="2259"/>
      <c r="K443" s="2259"/>
      <c r="S443" s="2277"/>
      <c r="T443" s="2218"/>
      <c r="U443" s="2280"/>
      <c r="V443" s="2281"/>
      <c r="W443" s="2261"/>
      <c r="X443" s="2277"/>
    </row>
    <row r="444" spans="1:24">
      <c r="A444" s="2255">
        <v>45030.291666666701</v>
      </c>
      <c r="B444" s="2276">
        <f t="shared" si="18"/>
        <v>1.8843120070113933E-2</v>
      </c>
      <c r="C444" s="2258">
        <v>23250</v>
      </c>
      <c r="D444" s="2276">
        <f t="shared" si="19"/>
        <v>-4.7427107662171328E-2</v>
      </c>
      <c r="E444" s="2258">
        <v>25287</v>
      </c>
      <c r="F444" s="2276">
        <f t="shared" si="20"/>
        <v>-0.15686274509803921</v>
      </c>
      <c r="G444" s="2258">
        <v>172</v>
      </c>
      <c r="H444" s="2259"/>
      <c r="I444" s="2259"/>
      <c r="J444" s="2259"/>
      <c r="K444" s="2259"/>
      <c r="S444" s="2277"/>
      <c r="T444" s="2218"/>
      <c r="U444" s="2280"/>
      <c r="V444" s="2281"/>
      <c r="W444" s="2261"/>
      <c r="X444" s="2277"/>
    </row>
    <row r="445" spans="1:24">
      <c r="A445" s="2255">
        <v>45033.291666666701</v>
      </c>
      <c r="B445" s="2276">
        <f t="shared" si="18"/>
        <v>2.0595968448729185E-2</v>
      </c>
      <c r="C445" s="2258">
        <v>23290</v>
      </c>
      <c r="D445" s="2276">
        <f t="shared" si="19"/>
        <v>-5.4207790250885256E-2</v>
      </c>
      <c r="E445" s="2258">
        <v>25107</v>
      </c>
      <c r="F445" s="2276">
        <f t="shared" si="20"/>
        <v>-0.16666666666666666</v>
      </c>
      <c r="G445" s="2258">
        <v>170</v>
      </c>
      <c r="H445" s="2259"/>
      <c r="I445" s="2259"/>
      <c r="J445" s="2259"/>
      <c r="K445" s="2259"/>
      <c r="S445" s="2277"/>
      <c r="T445" s="2218"/>
      <c r="U445" s="2280"/>
      <c r="V445" s="2281"/>
      <c r="W445" s="2261"/>
      <c r="X445" s="2277"/>
    </row>
    <row r="446" spans="1:24">
      <c r="A446" s="2255">
        <v>45034.291666666701</v>
      </c>
      <c r="B446" s="2276">
        <f t="shared" si="18"/>
        <v>2.2348816827344433E-2</v>
      </c>
      <c r="C446" s="2258">
        <v>23330</v>
      </c>
      <c r="D446" s="2276">
        <f t="shared" si="19"/>
        <v>-5.7183756498154145E-2</v>
      </c>
      <c r="E446" s="2258">
        <v>25028</v>
      </c>
      <c r="F446" s="2276">
        <f t="shared" si="20"/>
        <v>-0.17156862745098039</v>
      </c>
      <c r="G446" s="2258">
        <v>169</v>
      </c>
      <c r="H446" s="2259"/>
      <c r="I446" s="2259"/>
      <c r="J446" s="2259"/>
      <c r="K446" s="2259"/>
      <c r="S446" s="2277"/>
      <c r="T446" s="2218"/>
      <c r="U446" s="2280"/>
      <c r="V446" s="2281"/>
      <c r="W446" s="2261"/>
      <c r="X446" s="2277"/>
    </row>
    <row r="447" spans="1:24">
      <c r="A447" s="2255">
        <v>45035.291666666701</v>
      </c>
      <c r="B447" s="2276">
        <f t="shared" si="18"/>
        <v>1.9938650306748466E-2</v>
      </c>
      <c r="C447" s="2258">
        <v>23275</v>
      </c>
      <c r="D447" s="2276">
        <f t="shared" si="19"/>
        <v>-5.4772847133278083E-2</v>
      </c>
      <c r="E447" s="2258">
        <v>25092</v>
      </c>
      <c r="F447" s="2276">
        <f t="shared" si="20"/>
        <v>-0.16666666666666666</v>
      </c>
      <c r="G447" s="2258">
        <v>170</v>
      </c>
      <c r="H447" s="2259"/>
      <c r="I447" s="2259"/>
      <c r="J447" s="2259"/>
      <c r="K447" s="2259"/>
      <c r="S447" s="2277"/>
      <c r="T447" s="2218"/>
      <c r="U447" s="2280"/>
      <c r="V447" s="2281"/>
      <c r="W447" s="2261"/>
      <c r="X447" s="2277"/>
    </row>
    <row r="448" spans="1:24">
      <c r="A448" s="2255">
        <v>45036.291666666701</v>
      </c>
      <c r="B448" s="2276">
        <f t="shared" si="18"/>
        <v>2.0595968448729185E-2</v>
      </c>
      <c r="C448" s="2258">
        <v>23290</v>
      </c>
      <c r="D448" s="2276">
        <f t="shared" si="19"/>
        <v>-5.5601597227454232E-2</v>
      </c>
      <c r="E448" s="2258">
        <v>25070</v>
      </c>
      <c r="F448" s="2276">
        <f t="shared" si="20"/>
        <v>-0.17156862745098039</v>
      </c>
      <c r="G448" s="2258">
        <v>169</v>
      </c>
      <c r="H448" s="2259"/>
      <c r="I448" s="2259"/>
      <c r="J448" s="2259"/>
      <c r="K448" s="2259"/>
      <c r="S448" s="2277"/>
      <c r="T448" s="2218"/>
      <c r="U448" s="2280"/>
      <c r="V448" s="2281"/>
      <c r="W448" s="2261"/>
      <c r="X448" s="2277"/>
    </row>
    <row r="449" spans="1:24">
      <c r="A449" s="2255">
        <v>45037.291666666701</v>
      </c>
      <c r="B449" s="2276">
        <f t="shared" si="18"/>
        <v>2.0595968448729185E-2</v>
      </c>
      <c r="C449" s="2258">
        <v>23290</v>
      </c>
      <c r="D449" s="2276">
        <f t="shared" si="19"/>
        <v>-5.4584494839147138E-2</v>
      </c>
      <c r="E449" s="2258">
        <v>25097</v>
      </c>
      <c r="F449" s="2276">
        <f t="shared" si="20"/>
        <v>-0.16666666666666666</v>
      </c>
      <c r="G449" s="2258">
        <v>170</v>
      </c>
      <c r="H449" s="2259"/>
      <c r="I449" s="2259"/>
      <c r="J449" s="2259"/>
      <c r="K449" s="2259"/>
      <c r="S449" s="2277"/>
      <c r="T449" s="2218"/>
      <c r="U449" s="2280"/>
      <c r="V449" s="2281"/>
      <c r="W449" s="2261"/>
      <c r="X449" s="2277"/>
    </row>
    <row r="450" spans="1:24">
      <c r="A450" s="2255">
        <v>45040.291666666701</v>
      </c>
      <c r="B450" s="2276">
        <f t="shared" si="18"/>
        <v>2.0157756354075372E-2</v>
      </c>
      <c r="C450" s="2258">
        <v>23280</v>
      </c>
      <c r="D450" s="2276">
        <f t="shared" si="19"/>
        <v>-5.4283131168537634E-2</v>
      </c>
      <c r="E450" s="2258">
        <v>25105</v>
      </c>
      <c r="F450" s="2276">
        <f t="shared" si="20"/>
        <v>-0.16666666666666666</v>
      </c>
      <c r="G450" s="2258">
        <v>170</v>
      </c>
      <c r="H450" s="2259"/>
      <c r="I450" s="2259"/>
      <c r="J450" s="2259"/>
      <c r="K450" s="2259"/>
      <c r="S450" s="2277"/>
      <c r="T450" s="2218"/>
      <c r="U450" s="2280"/>
      <c r="V450" s="2281"/>
      <c r="W450" s="2261"/>
      <c r="X450" s="2277"/>
    </row>
    <row r="451" spans="1:24">
      <c r="A451" s="2255">
        <v>45041.291666666701</v>
      </c>
      <c r="B451" s="2276">
        <f t="shared" si="18"/>
        <v>2.0157756354075372E-2</v>
      </c>
      <c r="C451" s="2258">
        <v>23280</v>
      </c>
      <c r="D451" s="2276">
        <f t="shared" si="19"/>
        <v>-4.7238755368040383E-2</v>
      </c>
      <c r="E451" s="2258">
        <v>25292</v>
      </c>
      <c r="F451" s="2276">
        <f t="shared" si="20"/>
        <v>-0.16666666666666666</v>
      </c>
      <c r="G451" s="2258">
        <v>170</v>
      </c>
      <c r="H451" s="2259"/>
      <c r="I451" s="2259"/>
      <c r="J451" s="2259"/>
      <c r="K451" s="2259"/>
      <c r="S451" s="2277"/>
      <c r="T451" s="2218"/>
      <c r="U451" s="2280"/>
      <c r="V451" s="2281"/>
      <c r="W451" s="2261"/>
      <c r="X451" s="2277"/>
    </row>
    <row r="452" spans="1:24">
      <c r="A452" s="2255">
        <v>45042.291666666701</v>
      </c>
      <c r="B452" s="2276">
        <f t="shared" si="18"/>
        <v>2.0157756354075372E-2</v>
      </c>
      <c r="C452" s="2258">
        <v>23280</v>
      </c>
      <c r="D452" s="2276">
        <f t="shared" si="19"/>
        <v>-5.43961425450162E-2</v>
      </c>
      <c r="E452" s="2258">
        <v>25102</v>
      </c>
      <c r="F452" s="2276">
        <f t="shared" si="20"/>
        <v>-0.16666666666666666</v>
      </c>
      <c r="G452" s="2258">
        <v>170</v>
      </c>
      <c r="H452" s="2259"/>
      <c r="I452" s="2259"/>
      <c r="J452" s="2259"/>
      <c r="K452" s="2259"/>
      <c r="S452" s="2277"/>
      <c r="T452" s="2218"/>
      <c r="U452" s="2280"/>
      <c r="V452" s="2281"/>
      <c r="W452" s="2261"/>
      <c r="X452" s="2277"/>
    </row>
    <row r="453" spans="1:24">
      <c r="A453" s="2255">
        <v>45043.291666666701</v>
      </c>
      <c r="B453" s="2276">
        <f t="shared" si="18"/>
        <v>1.9281332164767746E-2</v>
      </c>
      <c r="C453" s="2258">
        <v>23260</v>
      </c>
      <c r="D453" s="2276">
        <f t="shared" si="19"/>
        <v>-4.8557221426956981E-2</v>
      </c>
      <c r="E453" s="2258">
        <v>25257</v>
      </c>
      <c r="F453" s="2276">
        <f t="shared" si="20"/>
        <v>-0.16666666666666666</v>
      </c>
      <c r="G453" s="2258">
        <v>170</v>
      </c>
      <c r="H453" s="2259"/>
      <c r="I453" s="2259"/>
      <c r="J453" s="2259"/>
      <c r="K453" s="2259"/>
      <c r="S453" s="2277"/>
      <c r="T453" s="2218"/>
      <c r="U453" s="2280"/>
      <c r="V453" s="2281"/>
      <c r="W453" s="2261"/>
      <c r="X453" s="2277"/>
    </row>
    <row r="454" spans="1:24">
      <c r="A454" s="2255">
        <v>45044.291666666701</v>
      </c>
      <c r="B454" s="2276">
        <f t="shared" si="18"/>
        <v>1.9281332164767746E-2</v>
      </c>
      <c r="C454" s="2258">
        <v>23260</v>
      </c>
      <c r="D454" s="2276">
        <f t="shared" si="19"/>
        <v>-5.2248926391923453E-2</v>
      </c>
      <c r="E454" s="2258">
        <v>25159</v>
      </c>
      <c r="F454" s="2276">
        <f t="shared" si="20"/>
        <v>-0.17647058823529413</v>
      </c>
      <c r="G454" s="2258">
        <v>168</v>
      </c>
      <c r="H454" s="2262">
        <v>4.4999999999999998E-2</v>
      </c>
      <c r="I454" s="2262">
        <v>5.7000000000000002E-2</v>
      </c>
      <c r="J454" s="2262">
        <v>0.112</v>
      </c>
      <c r="K454" s="2262">
        <v>5.2999999999999999E-2</v>
      </c>
      <c r="S454" s="2277"/>
      <c r="T454" s="2218"/>
      <c r="U454" s="2280"/>
      <c r="V454" s="2281"/>
      <c r="W454" s="2261"/>
      <c r="X454" s="2277"/>
    </row>
    <row r="455" spans="1:24">
      <c r="A455" s="2255">
        <v>45047.291666666701</v>
      </c>
      <c r="B455" s="2276">
        <f t="shared" si="18"/>
        <v>1.9281332164767746E-2</v>
      </c>
      <c r="C455" s="2258">
        <v>23260</v>
      </c>
      <c r="D455" s="2276">
        <f t="shared" si="19"/>
        <v>-5.2248926391923453E-2</v>
      </c>
      <c r="E455" s="2258">
        <v>25159</v>
      </c>
      <c r="F455" s="2276">
        <f t="shared" si="20"/>
        <v>-0.17647058823529413</v>
      </c>
      <c r="G455" s="2258">
        <v>168</v>
      </c>
      <c r="H455" s="2259"/>
      <c r="I455" s="2259"/>
      <c r="J455" s="2259"/>
      <c r="K455" s="2259"/>
      <c r="S455" s="2277"/>
      <c r="T455" s="2218"/>
      <c r="U455" s="2280"/>
      <c r="V455" s="2281"/>
      <c r="W455" s="2261"/>
      <c r="X455" s="2277"/>
    </row>
    <row r="456" spans="1:24">
      <c r="A456" s="2255">
        <v>45048.291666666701</v>
      </c>
      <c r="B456" s="2276">
        <f t="shared" si="18"/>
        <v>1.9281332164767746E-2</v>
      </c>
      <c r="C456" s="2258">
        <v>23260</v>
      </c>
      <c r="D456" s="2276">
        <f t="shared" si="19"/>
        <v>-5.2248926391923453E-2</v>
      </c>
      <c r="E456" s="2258">
        <v>25159</v>
      </c>
      <c r="F456" s="2276">
        <f t="shared" si="20"/>
        <v>-0.17647058823529413</v>
      </c>
      <c r="G456" s="2258">
        <v>168</v>
      </c>
      <c r="H456" s="2259"/>
      <c r="I456" s="2259"/>
      <c r="J456" s="2259"/>
      <c r="K456" s="2259"/>
      <c r="S456" s="2277"/>
      <c r="T456" s="2218"/>
      <c r="U456" s="2280"/>
      <c r="V456" s="2281"/>
      <c r="W456" s="2261"/>
      <c r="X456" s="2277"/>
    </row>
    <row r="457" spans="1:24">
      <c r="A457" s="2255">
        <v>45049.291666666701</v>
      </c>
      <c r="B457" s="2276">
        <f t="shared" si="18"/>
        <v>1.9281332164767746E-2</v>
      </c>
      <c r="C457" s="2258">
        <v>23260</v>
      </c>
      <c r="D457" s="2276">
        <f t="shared" si="19"/>
        <v>-5.2248926391923453E-2</v>
      </c>
      <c r="E457" s="2258">
        <v>25159</v>
      </c>
      <c r="F457" s="2276">
        <f t="shared" si="20"/>
        <v>-0.17647058823529413</v>
      </c>
      <c r="G457" s="2258">
        <v>168</v>
      </c>
      <c r="H457" s="2259"/>
      <c r="I457" s="2259"/>
      <c r="J457" s="2259"/>
      <c r="K457" s="2259"/>
      <c r="S457" s="2277"/>
      <c r="T457" s="2218"/>
      <c r="U457" s="2280"/>
      <c r="V457" s="2281"/>
      <c r="W457" s="2261"/>
      <c r="X457" s="2277"/>
    </row>
    <row r="458" spans="1:24">
      <c r="A458" s="2255">
        <v>45050.291666666701</v>
      </c>
      <c r="B458" s="2276">
        <f t="shared" ref="B458:B521" si="21">(C458-C$10)/C$10</f>
        <v>1.8843120070113933E-2</v>
      </c>
      <c r="C458" s="2258">
        <v>23250</v>
      </c>
      <c r="D458" s="2276">
        <f t="shared" ref="D458:D521" si="22">(E458-E$10)/E$10</f>
        <v>-4.9725005650568824E-2</v>
      </c>
      <c r="E458" s="2258">
        <v>25226</v>
      </c>
      <c r="F458" s="2276">
        <f t="shared" ref="F458:F521" si="23">(G458-G$10)/G$10</f>
        <v>-0.17156862745098039</v>
      </c>
      <c r="G458" s="2258">
        <v>169</v>
      </c>
      <c r="H458" s="2259"/>
      <c r="I458" s="2259"/>
      <c r="J458" s="2259"/>
      <c r="K458" s="2259"/>
      <c r="S458" s="2277"/>
      <c r="T458" s="2218"/>
      <c r="U458" s="2280"/>
      <c r="V458" s="2281"/>
      <c r="W458" s="2261"/>
      <c r="X458" s="2277"/>
    </row>
    <row r="459" spans="1:24">
      <c r="A459" s="2255">
        <v>45051.291666666701</v>
      </c>
      <c r="B459" s="2276">
        <f t="shared" si="21"/>
        <v>1.8843120070113933E-2</v>
      </c>
      <c r="C459" s="2258">
        <v>23250</v>
      </c>
      <c r="D459" s="2276">
        <f t="shared" si="22"/>
        <v>-5.1382505838921115E-2</v>
      </c>
      <c r="E459" s="2258">
        <v>25182</v>
      </c>
      <c r="F459" s="2276">
        <f t="shared" si="23"/>
        <v>-0.16666666666666666</v>
      </c>
      <c r="G459" s="2258">
        <v>170</v>
      </c>
      <c r="H459" s="2259"/>
      <c r="I459" s="2259"/>
      <c r="J459" s="2259"/>
      <c r="K459" s="2259"/>
      <c r="S459" s="2277"/>
      <c r="T459" s="2218"/>
      <c r="U459" s="2280"/>
      <c r="V459" s="2281"/>
      <c r="W459" s="2261"/>
      <c r="X459" s="2277"/>
    </row>
    <row r="460" spans="1:24">
      <c r="A460" s="2255">
        <v>45054.291666666701</v>
      </c>
      <c r="B460" s="2276">
        <f t="shared" si="21"/>
        <v>1.9281332164767746E-2</v>
      </c>
      <c r="C460" s="2258">
        <v>23260</v>
      </c>
      <c r="D460" s="2276">
        <f t="shared" si="22"/>
        <v>-5.1043471709485422E-2</v>
      </c>
      <c r="E460" s="2258">
        <v>25191</v>
      </c>
      <c r="F460" s="2276">
        <f t="shared" si="23"/>
        <v>-0.17647058823529413</v>
      </c>
      <c r="G460" s="2258">
        <v>168</v>
      </c>
      <c r="H460" s="2259"/>
      <c r="I460" s="2259"/>
      <c r="J460" s="2259"/>
      <c r="K460" s="2259"/>
      <c r="S460" s="2277"/>
      <c r="T460" s="2218"/>
      <c r="U460" s="2280"/>
      <c r="V460" s="2281"/>
      <c r="W460" s="2261"/>
      <c r="X460" s="2277"/>
    </row>
    <row r="461" spans="1:24">
      <c r="A461" s="2255">
        <v>45055.291666666701</v>
      </c>
      <c r="B461" s="2276">
        <f t="shared" si="21"/>
        <v>1.9281332164767746E-2</v>
      </c>
      <c r="C461" s="2258">
        <v>23260</v>
      </c>
      <c r="D461" s="2276">
        <f t="shared" si="22"/>
        <v>-5.3906426580275744E-2</v>
      </c>
      <c r="E461" s="2258">
        <v>25115</v>
      </c>
      <c r="F461" s="2276">
        <f t="shared" si="23"/>
        <v>-0.17647058823529413</v>
      </c>
      <c r="G461" s="2258">
        <v>168</v>
      </c>
      <c r="H461" s="2259"/>
      <c r="I461" s="2259"/>
      <c r="J461" s="2259"/>
      <c r="K461" s="2259"/>
      <c r="S461" s="2277"/>
      <c r="T461" s="2218"/>
      <c r="U461" s="2280"/>
      <c r="V461" s="2281"/>
      <c r="W461" s="2261"/>
      <c r="X461" s="2277"/>
    </row>
    <row r="462" spans="1:24">
      <c r="A462" s="2255">
        <v>45056.291666666701</v>
      </c>
      <c r="B462" s="2276">
        <f t="shared" si="21"/>
        <v>1.9719544259421559E-2</v>
      </c>
      <c r="C462" s="2258">
        <v>23270</v>
      </c>
      <c r="D462" s="2276">
        <f t="shared" si="22"/>
        <v>-5.5036540345061405E-2</v>
      </c>
      <c r="E462" s="2258">
        <v>25085</v>
      </c>
      <c r="F462" s="2276">
        <f t="shared" si="23"/>
        <v>-0.17647058823529413</v>
      </c>
      <c r="G462" s="2258">
        <v>168</v>
      </c>
      <c r="H462" s="2259"/>
      <c r="I462" s="2259"/>
      <c r="J462" s="2259"/>
      <c r="K462" s="2259"/>
      <c r="S462" s="2277"/>
      <c r="T462" s="2218"/>
      <c r="U462" s="2280"/>
      <c r="V462" s="2281"/>
      <c r="W462" s="2261"/>
      <c r="X462" s="2277"/>
    </row>
    <row r="463" spans="1:24">
      <c r="A463" s="2255">
        <v>45057.291666666701</v>
      </c>
      <c r="B463" s="2276">
        <f t="shared" si="21"/>
        <v>1.9719544259421559E-2</v>
      </c>
      <c r="C463" s="2258">
        <v>23270</v>
      </c>
      <c r="D463" s="2276">
        <f t="shared" si="22"/>
        <v>-5.8389211180592177E-2</v>
      </c>
      <c r="E463" s="2258">
        <v>24996</v>
      </c>
      <c r="F463" s="2276">
        <f t="shared" si="23"/>
        <v>-0.17156862745098039</v>
      </c>
      <c r="G463" s="2258">
        <v>169</v>
      </c>
      <c r="H463" s="2259"/>
      <c r="I463" s="2259"/>
      <c r="J463" s="2259"/>
      <c r="K463" s="2259"/>
      <c r="S463" s="2277"/>
      <c r="T463" s="2218"/>
      <c r="U463" s="2280"/>
      <c r="V463" s="2281"/>
      <c r="W463" s="2261"/>
      <c r="X463" s="2277"/>
    </row>
    <row r="464" spans="1:24">
      <c r="A464" s="2255">
        <v>45058.291666666701</v>
      </c>
      <c r="B464" s="2276">
        <f t="shared" si="21"/>
        <v>1.9719544259421559E-2</v>
      </c>
      <c r="C464" s="2258">
        <v>23270</v>
      </c>
      <c r="D464" s="2276">
        <f t="shared" si="22"/>
        <v>-5.9707677239508775E-2</v>
      </c>
      <c r="E464" s="2258">
        <v>24961</v>
      </c>
      <c r="F464" s="2276">
        <f t="shared" si="23"/>
        <v>-0.17156862745098039</v>
      </c>
      <c r="G464" s="2258">
        <v>169</v>
      </c>
      <c r="H464" s="2259"/>
      <c r="I464" s="2259"/>
      <c r="J464" s="2259"/>
      <c r="K464" s="2259"/>
      <c r="S464" s="2277"/>
      <c r="T464" s="2218"/>
      <c r="U464" s="2280"/>
      <c r="V464" s="2281"/>
      <c r="W464" s="2261"/>
      <c r="X464" s="2277"/>
    </row>
    <row r="465" spans="1:24">
      <c r="A465" s="2255">
        <v>45061.291666666701</v>
      </c>
      <c r="B465" s="2276">
        <f t="shared" si="21"/>
        <v>1.8843120070113933E-2</v>
      </c>
      <c r="C465" s="2258">
        <v>23250</v>
      </c>
      <c r="D465" s="2276">
        <f t="shared" si="22"/>
        <v>-6.4378814133956158E-2</v>
      </c>
      <c r="E465" s="2258">
        <v>24837</v>
      </c>
      <c r="F465" s="2276">
        <f t="shared" si="23"/>
        <v>-0.18137254901960784</v>
      </c>
      <c r="G465" s="2258">
        <v>167</v>
      </c>
      <c r="H465" s="2259"/>
      <c r="I465" s="2259"/>
      <c r="J465" s="2259"/>
      <c r="K465" s="2259"/>
      <c r="S465" s="2277"/>
      <c r="T465" s="2218"/>
      <c r="U465" s="2280"/>
      <c r="V465" s="2281"/>
      <c r="W465" s="2261"/>
      <c r="X465" s="2277"/>
    </row>
    <row r="466" spans="1:24">
      <c r="A466" s="2255">
        <v>45062.291666666701</v>
      </c>
      <c r="B466" s="2276">
        <f t="shared" si="21"/>
        <v>1.8843120070113933E-2</v>
      </c>
      <c r="C466" s="2258">
        <v>23250</v>
      </c>
      <c r="D466" s="2276">
        <f t="shared" si="22"/>
        <v>-6.3851427710389513E-2</v>
      </c>
      <c r="E466" s="2258">
        <v>24851</v>
      </c>
      <c r="F466" s="2276">
        <f t="shared" si="23"/>
        <v>-0.18137254901960784</v>
      </c>
      <c r="G466" s="2258">
        <v>167</v>
      </c>
      <c r="H466" s="2259"/>
      <c r="I466" s="2259"/>
      <c r="J466" s="2259"/>
      <c r="K466" s="2259"/>
      <c r="S466" s="2277"/>
      <c r="T466" s="2218"/>
      <c r="U466" s="2280"/>
      <c r="V466" s="2281"/>
      <c r="W466" s="2261"/>
      <c r="X466" s="2277"/>
    </row>
    <row r="467" spans="1:24">
      <c r="A467" s="2255">
        <v>45063.291666666701</v>
      </c>
      <c r="B467" s="2276">
        <f t="shared" si="21"/>
        <v>1.906222611744084E-2</v>
      </c>
      <c r="C467" s="2258">
        <v>23255</v>
      </c>
      <c r="D467" s="2276">
        <f t="shared" si="22"/>
        <v>-6.45294959692609E-2</v>
      </c>
      <c r="E467" s="2258">
        <v>24833</v>
      </c>
      <c r="F467" s="2276">
        <f t="shared" si="23"/>
        <v>-0.18137254901960784</v>
      </c>
      <c r="G467" s="2258">
        <v>167</v>
      </c>
      <c r="H467" s="2259"/>
      <c r="I467" s="2259"/>
      <c r="J467" s="2259"/>
      <c r="K467" s="2259"/>
      <c r="S467" s="2277"/>
      <c r="T467" s="2218"/>
      <c r="U467" s="2280"/>
      <c r="V467" s="2281"/>
      <c r="W467" s="2261"/>
      <c r="X467" s="2277"/>
    </row>
    <row r="468" spans="1:24">
      <c r="A468" s="2255">
        <v>45064.291666666701</v>
      </c>
      <c r="B468" s="2276">
        <f t="shared" si="21"/>
        <v>1.8843120070113933E-2</v>
      </c>
      <c r="C468" s="2258">
        <v>23250</v>
      </c>
      <c r="D468" s="2276">
        <f t="shared" si="22"/>
        <v>-6.9275973781360661E-2</v>
      </c>
      <c r="E468" s="2258">
        <v>24707</v>
      </c>
      <c r="F468" s="2276">
        <f t="shared" si="23"/>
        <v>-0.19117647058823528</v>
      </c>
      <c r="G468" s="2258">
        <v>165</v>
      </c>
      <c r="H468" s="2259"/>
      <c r="I468" s="2259"/>
      <c r="J468" s="2259"/>
      <c r="K468" s="2259"/>
      <c r="S468" s="2277"/>
      <c r="T468" s="2218"/>
      <c r="U468" s="2280"/>
      <c r="V468" s="2281"/>
      <c r="W468" s="2261"/>
      <c r="X468" s="2277"/>
    </row>
    <row r="469" spans="1:24">
      <c r="A469" s="2255">
        <v>45065.291666666701</v>
      </c>
      <c r="B469" s="2276">
        <f t="shared" si="21"/>
        <v>2.0595968448729185E-2</v>
      </c>
      <c r="C469" s="2258">
        <v>23290</v>
      </c>
      <c r="D469" s="2276">
        <f t="shared" si="22"/>
        <v>-7.1724553605062913E-2</v>
      </c>
      <c r="E469" s="2258">
        <v>24642</v>
      </c>
      <c r="F469" s="2276">
        <f t="shared" si="23"/>
        <v>-0.19607843137254902</v>
      </c>
      <c r="G469" s="2258">
        <v>164</v>
      </c>
      <c r="H469" s="2259"/>
      <c r="I469" s="2259"/>
      <c r="J469" s="2259"/>
      <c r="K469" s="2259"/>
      <c r="S469" s="2277"/>
      <c r="T469" s="2218"/>
      <c r="U469" s="2280"/>
      <c r="V469" s="2281"/>
      <c r="W469" s="2261"/>
      <c r="X469" s="2277"/>
    </row>
    <row r="470" spans="1:24">
      <c r="A470" s="2255">
        <v>45068.291666666701</v>
      </c>
      <c r="B470" s="2276">
        <f t="shared" si="21"/>
        <v>1.862401402278703E-2</v>
      </c>
      <c r="C470" s="2258">
        <v>23245</v>
      </c>
      <c r="D470" s="2276">
        <f t="shared" si="22"/>
        <v>-7.0406087546146315E-2</v>
      </c>
      <c r="E470" s="2258">
        <v>24677</v>
      </c>
      <c r="F470" s="2276">
        <f t="shared" si="23"/>
        <v>-0.19117647058823528</v>
      </c>
      <c r="G470" s="2258">
        <v>165</v>
      </c>
      <c r="H470" s="2259"/>
      <c r="I470" s="2259"/>
      <c r="J470" s="2259"/>
      <c r="K470" s="2259"/>
      <c r="S470" s="2277"/>
      <c r="T470" s="2218"/>
      <c r="U470" s="2280"/>
      <c r="V470" s="2281"/>
      <c r="W470" s="2261"/>
      <c r="X470" s="2277"/>
    </row>
    <row r="471" spans="1:24">
      <c r="A471" s="2255">
        <v>45069.291666666701</v>
      </c>
      <c r="B471" s="2276">
        <f t="shared" si="21"/>
        <v>1.9281332164767746E-2</v>
      </c>
      <c r="C471" s="2258">
        <v>23260</v>
      </c>
      <c r="D471" s="2276">
        <f t="shared" si="22"/>
        <v>-7.0594439840277259E-2</v>
      </c>
      <c r="E471" s="2258">
        <v>24672</v>
      </c>
      <c r="F471" s="2276">
        <f t="shared" si="23"/>
        <v>-0.19607843137254902</v>
      </c>
      <c r="G471" s="2258">
        <v>164</v>
      </c>
      <c r="H471" s="2259"/>
      <c r="I471" s="2259"/>
      <c r="J471" s="2259"/>
      <c r="K471" s="2259"/>
      <c r="S471" s="2277"/>
      <c r="T471" s="2218"/>
      <c r="U471" s="2280"/>
      <c r="V471" s="2281"/>
      <c r="W471" s="2261"/>
      <c r="X471" s="2277"/>
    </row>
    <row r="472" spans="1:24">
      <c r="A472" s="2255">
        <v>45070.291666666701</v>
      </c>
      <c r="B472" s="2276">
        <f t="shared" si="21"/>
        <v>2.0595968448729185E-2</v>
      </c>
      <c r="C472" s="2258">
        <v>23290</v>
      </c>
      <c r="D472" s="2276">
        <f t="shared" si="22"/>
        <v>-7.0782792134408204E-2</v>
      </c>
      <c r="E472" s="2258">
        <v>24667</v>
      </c>
      <c r="F472" s="2276">
        <f t="shared" si="23"/>
        <v>-0.19607843137254902</v>
      </c>
      <c r="G472" s="2258">
        <v>164</v>
      </c>
      <c r="H472" s="2259"/>
      <c r="I472" s="2259"/>
      <c r="J472" s="2259"/>
      <c r="K472" s="2259"/>
      <c r="S472" s="2277"/>
      <c r="T472" s="2218"/>
      <c r="U472" s="2280"/>
      <c r="V472" s="2281"/>
      <c r="W472" s="2261"/>
      <c r="X472" s="2277"/>
    </row>
    <row r="473" spans="1:24">
      <c r="A473" s="2255">
        <v>45071.291666666701</v>
      </c>
      <c r="B473" s="2276">
        <f t="shared" si="21"/>
        <v>1.9719544259421559E-2</v>
      </c>
      <c r="C473" s="2258">
        <v>23270</v>
      </c>
      <c r="D473" s="2276">
        <f t="shared" si="22"/>
        <v>-7.4851201687636551E-2</v>
      </c>
      <c r="E473" s="2258">
        <v>24559</v>
      </c>
      <c r="F473" s="2276">
        <f t="shared" si="23"/>
        <v>-0.20098039215686275</v>
      </c>
      <c r="G473" s="2258">
        <v>163</v>
      </c>
      <c r="H473" s="2259"/>
      <c r="I473" s="2259"/>
      <c r="J473" s="2259"/>
      <c r="K473" s="2259"/>
      <c r="S473" s="2277"/>
      <c r="T473" s="2218"/>
      <c r="U473" s="2280"/>
      <c r="V473" s="2281"/>
      <c r="W473" s="2261"/>
      <c r="X473" s="2277"/>
    </row>
    <row r="474" spans="1:24">
      <c r="A474" s="2255">
        <v>45072.291666666701</v>
      </c>
      <c r="B474" s="2276">
        <f t="shared" si="21"/>
        <v>2.0595968448729185E-2</v>
      </c>
      <c r="C474" s="2258">
        <v>23290</v>
      </c>
      <c r="D474" s="2276">
        <f t="shared" si="22"/>
        <v>-7.5529269946507951E-2</v>
      </c>
      <c r="E474" s="2258">
        <v>24541</v>
      </c>
      <c r="F474" s="2276">
        <f t="shared" si="23"/>
        <v>-0.20098039215686275</v>
      </c>
      <c r="G474" s="2258">
        <v>163</v>
      </c>
      <c r="H474" s="2259"/>
      <c r="I474" s="2259"/>
      <c r="J474" s="2259"/>
      <c r="K474" s="2259"/>
      <c r="S474" s="2277"/>
      <c r="T474" s="2218"/>
      <c r="U474" s="2280"/>
      <c r="V474" s="2281"/>
      <c r="W474" s="2261"/>
      <c r="X474" s="2277"/>
    </row>
    <row r="475" spans="1:24">
      <c r="A475" s="2255">
        <v>45075.291666666701</v>
      </c>
      <c r="B475" s="2276">
        <f t="shared" si="21"/>
        <v>2.0157756354075372E-2</v>
      </c>
      <c r="C475" s="2258">
        <v>23280</v>
      </c>
      <c r="D475" s="2276">
        <f t="shared" si="22"/>
        <v>-7.6094326828900771E-2</v>
      </c>
      <c r="E475" s="2258">
        <v>24526</v>
      </c>
      <c r="F475" s="2276">
        <f t="shared" si="23"/>
        <v>-0.20588235294117646</v>
      </c>
      <c r="G475" s="2258">
        <v>162</v>
      </c>
      <c r="H475" s="2259"/>
      <c r="I475" s="2259"/>
      <c r="J475" s="2259"/>
      <c r="K475" s="2259"/>
      <c r="S475" s="2277"/>
      <c r="T475" s="2218"/>
      <c r="U475" s="2280"/>
      <c r="V475" s="2281"/>
      <c r="W475" s="2261"/>
      <c r="X475" s="2277"/>
    </row>
    <row r="476" spans="1:24">
      <c r="A476" s="2255">
        <v>45076.291666666701</v>
      </c>
      <c r="B476" s="2276">
        <f t="shared" si="21"/>
        <v>2.0376862401402279E-2</v>
      </c>
      <c r="C476" s="2258">
        <v>23285</v>
      </c>
      <c r="D476" s="2276">
        <f t="shared" si="22"/>
        <v>-7.8354554358472092E-2</v>
      </c>
      <c r="E476" s="2258">
        <v>24466</v>
      </c>
      <c r="F476" s="2276">
        <f t="shared" si="23"/>
        <v>-0.20588235294117646</v>
      </c>
      <c r="G476" s="2258">
        <v>162</v>
      </c>
      <c r="H476" s="2259"/>
      <c r="I476" s="2259"/>
      <c r="J476" s="2259"/>
      <c r="K476" s="2259"/>
      <c r="S476" s="2277"/>
      <c r="T476" s="2218"/>
      <c r="U476" s="2280"/>
      <c r="V476" s="2281"/>
      <c r="W476" s="2261"/>
      <c r="X476" s="2277"/>
    </row>
    <row r="477" spans="1:24">
      <c r="A477" s="2255">
        <v>45077.291666666701</v>
      </c>
      <c r="B477" s="2276">
        <f t="shared" si="21"/>
        <v>2.0815074496056091E-2</v>
      </c>
      <c r="C477" s="2258">
        <v>23295</v>
      </c>
      <c r="D477" s="2276">
        <f t="shared" si="22"/>
        <v>-7.9371656746779179E-2</v>
      </c>
      <c r="E477" s="2258">
        <v>24439</v>
      </c>
      <c r="F477" s="2276">
        <f t="shared" si="23"/>
        <v>-0.20098039215686275</v>
      </c>
      <c r="G477" s="2258">
        <v>163</v>
      </c>
      <c r="H477" s="2262">
        <v>4.4999999999999998E-2</v>
      </c>
      <c r="I477" s="2262">
        <v>5.6000000000000001E-2</v>
      </c>
      <c r="J477" s="2262">
        <v>0.112</v>
      </c>
      <c r="K477" s="2262">
        <v>5.0999999999999997E-2</v>
      </c>
      <c r="S477" s="2277"/>
      <c r="T477" s="2218"/>
      <c r="U477" s="2280"/>
      <c r="V477" s="2281"/>
      <c r="W477" s="2261"/>
      <c r="X477" s="2277"/>
    </row>
    <row r="478" spans="1:24">
      <c r="A478" s="2255">
        <v>45078.291666666701</v>
      </c>
      <c r="B478" s="2276">
        <f t="shared" si="21"/>
        <v>2.0157756354075372E-2</v>
      </c>
      <c r="C478" s="2258">
        <v>23280</v>
      </c>
      <c r="D478" s="2276">
        <f t="shared" si="22"/>
        <v>-8.0840804641000533E-2</v>
      </c>
      <c r="E478" s="2258">
        <v>24400</v>
      </c>
      <c r="F478" s="2276">
        <f t="shared" si="23"/>
        <v>-0.20098039215686275</v>
      </c>
      <c r="G478" s="2258">
        <v>163</v>
      </c>
      <c r="H478" s="2259"/>
      <c r="I478" s="2259"/>
      <c r="J478" s="2259"/>
      <c r="K478" s="2259"/>
      <c r="S478" s="2277"/>
      <c r="T478" s="2218"/>
      <c r="U478" s="2280"/>
      <c r="V478" s="2281"/>
      <c r="W478" s="2261"/>
      <c r="X478" s="2277"/>
    </row>
    <row r="479" spans="1:24">
      <c r="A479" s="2255">
        <v>45079.291666666701</v>
      </c>
      <c r="B479" s="2276">
        <f t="shared" si="21"/>
        <v>2.0157756354075372E-2</v>
      </c>
      <c r="C479" s="2258">
        <v>23280</v>
      </c>
      <c r="D479" s="2276">
        <f t="shared" si="22"/>
        <v>-7.2816996911022377E-2</v>
      </c>
      <c r="E479" s="2258">
        <v>24613</v>
      </c>
      <c r="F479" s="2276">
        <f t="shared" si="23"/>
        <v>-0.19607843137254902</v>
      </c>
      <c r="G479" s="2258">
        <v>164</v>
      </c>
      <c r="H479" s="2259"/>
      <c r="I479" s="2259"/>
      <c r="J479" s="2259"/>
      <c r="K479" s="2259"/>
      <c r="S479" s="2277"/>
      <c r="T479" s="2218"/>
      <c r="U479" s="2280"/>
      <c r="V479" s="2281"/>
      <c r="W479" s="2261"/>
      <c r="X479" s="2277"/>
    </row>
    <row r="480" spans="1:24">
      <c r="A480" s="2255">
        <v>45082.291666666701</v>
      </c>
      <c r="B480" s="2276">
        <f t="shared" si="21"/>
        <v>2.1034180543382998E-2</v>
      </c>
      <c r="C480" s="2258">
        <v>23300</v>
      </c>
      <c r="D480" s="2276">
        <f t="shared" si="22"/>
        <v>-7.7036088299555494E-2</v>
      </c>
      <c r="E480" s="2258">
        <v>24501</v>
      </c>
      <c r="F480" s="2276">
        <f t="shared" si="23"/>
        <v>-0.20098039215686275</v>
      </c>
      <c r="G480" s="2258">
        <v>163</v>
      </c>
      <c r="H480" s="2259"/>
      <c r="I480" s="2259"/>
      <c r="J480" s="2259"/>
      <c r="K480" s="2259"/>
      <c r="S480" s="2277"/>
      <c r="T480" s="2218"/>
      <c r="U480" s="2280"/>
      <c r="V480" s="2281"/>
      <c r="W480" s="2261"/>
      <c r="X480" s="2277"/>
    </row>
    <row r="481" spans="1:24">
      <c r="A481" s="2255">
        <v>45083.291666666701</v>
      </c>
      <c r="B481" s="2276">
        <f t="shared" si="21"/>
        <v>2.0595968448729185E-2</v>
      </c>
      <c r="C481" s="2258">
        <v>23290</v>
      </c>
      <c r="D481" s="2276">
        <f t="shared" si="22"/>
        <v>-7.6621713252467416E-2</v>
      </c>
      <c r="E481" s="2258">
        <v>24512</v>
      </c>
      <c r="F481" s="2276">
        <f t="shared" si="23"/>
        <v>-0.20098039215686275</v>
      </c>
      <c r="G481" s="2258">
        <v>163</v>
      </c>
      <c r="H481" s="2259"/>
      <c r="I481" s="2259"/>
      <c r="J481" s="2259"/>
      <c r="K481" s="2259"/>
      <c r="S481" s="2277"/>
      <c r="T481" s="2218"/>
      <c r="U481" s="2280"/>
      <c r="V481" s="2281"/>
      <c r="W481" s="2261"/>
      <c r="X481" s="2277"/>
    </row>
    <row r="482" spans="1:24">
      <c r="A482" s="2255">
        <v>45084.291666666701</v>
      </c>
      <c r="B482" s="2276">
        <f t="shared" si="21"/>
        <v>2.0595968448729185E-2</v>
      </c>
      <c r="C482" s="2258">
        <v>23290</v>
      </c>
      <c r="D482" s="2276">
        <f t="shared" si="22"/>
        <v>-7.7525804264295936E-2</v>
      </c>
      <c r="E482" s="2258">
        <v>24488</v>
      </c>
      <c r="F482" s="2276">
        <f t="shared" si="23"/>
        <v>-0.20098039215686275</v>
      </c>
      <c r="G482" s="2258">
        <v>163</v>
      </c>
      <c r="H482" s="2259"/>
      <c r="I482" s="2259"/>
      <c r="J482" s="2259"/>
      <c r="K482" s="2259"/>
      <c r="S482" s="2277"/>
      <c r="T482" s="2218"/>
      <c r="U482" s="2280"/>
      <c r="V482" s="2281"/>
      <c r="W482" s="2261"/>
      <c r="X482" s="2277"/>
    </row>
    <row r="483" spans="1:24">
      <c r="A483" s="2255">
        <v>45085.291666666701</v>
      </c>
      <c r="B483" s="2276">
        <f t="shared" si="21"/>
        <v>2.0595968448729185E-2</v>
      </c>
      <c r="C483" s="2258">
        <v>23290</v>
      </c>
      <c r="D483" s="2276">
        <f t="shared" si="22"/>
        <v>-7.6998417840729305E-2</v>
      </c>
      <c r="E483" s="2258">
        <v>24502</v>
      </c>
      <c r="F483" s="2276">
        <f t="shared" si="23"/>
        <v>-0.20098039215686275</v>
      </c>
      <c r="G483" s="2258">
        <v>163</v>
      </c>
      <c r="H483" s="2259"/>
      <c r="I483" s="2259"/>
      <c r="J483" s="2259"/>
      <c r="K483" s="2259"/>
      <c r="S483" s="2277"/>
      <c r="T483" s="2218"/>
      <c r="U483" s="2280"/>
      <c r="V483" s="2281"/>
      <c r="W483" s="2261"/>
      <c r="X483" s="2277"/>
    </row>
    <row r="484" spans="1:24">
      <c r="A484" s="2255">
        <v>45086.291666666701</v>
      </c>
      <c r="B484" s="2276">
        <f t="shared" si="21"/>
        <v>2.0157756354075372E-2</v>
      </c>
      <c r="C484" s="2258">
        <v>23280</v>
      </c>
      <c r="D484" s="2276">
        <f t="shared" si="22"/>
        <v>-7.1686883146236724E-2</v>
      </c>
      <c r="E484" s="2258">
        <v>24643</v>
      </c>
      <c r="F484" s="2276">
        <f t="shared" si="23"/>
        <v>-0.20098039215686275</v>
      </c>
      <c r="G484" s="2258">
        <v>163</v>
      </c>
      <c r="H484" s="2259"/>
      <c r="I484" s="2259"/>
      <c r="J484" s="2259"/>
      <c r="K484" s="2259"/>
      <c r="S484" s="2277"/>
      <c r="T484" s="2218"/>
      <c r="U484" s="2280"/>
      <c r="V484" s="2281"/>
      <c r="W484" s="2261"/>
      <c r="X484" s="2277"/>
    </row>
    <row r="485" spans="1:24">
      <c r="A485" s="2255">
        <v>45089.291666666701</v>
      </c>
      <c r="B485" s="2276">
        <f t="shared" si="21"/>
        <v>1.9719544259421559E-2</v>
      </c>
      <c r="C485" s="2258">
        <v>23270</v>
      </c>
      <c r="D485" s="2276">
        <f t="shared" si="22"/>
        <v>-7.5114894899419873E-2</v>
      </c>
      <c r="E485" s="2258">
        <v>24552</v>
      </c>
      <c r="F485" s="2276">
        <f t="shared" si="23"/>
        <v>-0.20098039215686275</v>
      </c>
      <c r="G485" s="2258">
        <v>163</v>
      </c>
      <c r="H485" s="2259"/>
      <c r="I485" s="2259"/>
      <c r="J485" s="2259"/>
      <c r="K485" s="2259"/>
      <c r="S485" s="2277"/>
      <c r="T485" s="2218"/>
      <c r="U485" s="2280"/>
      <c r="V485" s="2281"/>
      <c r="W485" s="2261"/>
      <c r="X485" s="2277"/>
    </row>
    <row r="486" spans="1:24">
      <c r="A486" s="2255">
        <v>45090.291666666701</v>
      </c>
      <c r="B486" s="2276">
        <f t="shared" si="21"/>
        <v>2.0595968448729185E-2</v>
      </c>
      <c r="C486" s="2258">
        <v>23290</v>
      </c>
      <c r="D486" s="2276">
        <f t="shared" si="22"/>
        <v>-7.183756498154148E-2</v>
      </c>
      <c r="E486" s="2258">
        <v>24639</v>
      </c>
      <c r="F486" s="2276">
        <f t="shared" si="23"/>
        <v>-0.20098039215686275</v>
      </c>
      <c r="G486" s="2258">
        <v>163</v>
      </c>
      <c r="H486" s="2259"/>
      <c r="I486" s="2259"/>
      <c r="J486" s="2259"/>
      <c r="K486" s="2259"/>
      <c r="S486" s="2277"/>
      <c r="T486" s="2218"/>
      <c r="U486" s="2280"/>
      <c r="V486" s="2281"/>
      <c r="W486" s="2261"/>
      <c r="X486" s="2277"/>
    </row>
    <row r="487" spans="1:24">
      <c r="A487" s="2255">
        <v>45091.291666666701</v>
      </c>
      <c r="B487" s="2276">
        <f t="shared" si="21"/>
        <v>2.1034180543382998E-2</v>
      </c>
      <c r="C487" s="2258">
        <v>23300</v>
      </c>
      <c r="D487" s="2276">
        <f t="shared" si="22"/>
        <v>-6.9426655616665417E-2</v>
      </c>
      <c r="E487" s="2258">
        <v>24703</v>
      </c>
      <c r="F487" s="2276">
        <f t="shared" si="23"/>
        <v>-0.20098039215686275</v>
      </c>
      <c r="G487" s="2258">
        <v>163</v>
      </c>
      <c r="H487" s="2259"/>
      <c r="I487" s="2259"/>
      <c r="J487" s="2259"/>
      <c r="K487" s="2259"/>
      <c r="S487" s="2277"/>
      <c r="T487" s="2218"/>
      <c r="U487" s="2280"/>
      <c r="V487" s="2281"/>
      <c r="W487" s="2261"/>
      <c r="X487" s="2277"/>
    </row>
    <row r="488" spans="1:24">
      <c r="A488" s="2255">
        <v>45092.291666666701</v>
      </c>
      <c r="B488" s="2276">
        <f t="shared" si="21"/>
        <v>2.2348816827344433E-2</v>
      </c>
      <c r="C488" s="2258">
        <v>23330</v>
      </c>
      <c r="D488" s="2276">
        <f t="shared" si="22"/>
        <v>-6.6714382581179843E-2</v>
      </c>
      <c r="E488" s="2258">
        <v>24775</v>
      </c>
      <c r="F488" s="2276">
        <f t="shared" si="23"/>
        <v>-0.2107843137254902</v>
      </c>
      <c r="G488" s="2258">
        <v>161</v>
      </c>
      <c r="H488" s="2259"/>
      <c r="I488" s="2259"/>
      <c r="J488" s="2259"/>
      <c r="K488" s="2259"/>
      <c r="S488" s="2277"/>
      <c r="T488" s="2218"/>
      <c r="U488" s="2280"/>
      <c r="V488" s="2281"/>
      <c r="W488" s="2261"/>
      <c r="X488" s="2277"/>
    </row>
    <row r="489" spans="1:24">
      <c r="A489" s="2255">
        <v>45093.291666666701</v>
      </c>
      <c r="B489" s="2276">
        <f t="shared" si="21"/>
        <v>2.2348816827344433E-2</v>
      </c>
      <c r="C489" s="2258">
        <v>23330</v>
      </c>
      <c r="D489" s="2276">
        <f t="shared" si="22"/>
        <v>-5.3567392450840051E-2</v>
      </c>
      <c r="E489" s="2258">
        <v>25124</v>
      </c>
      <c r="F489" s="2276">
        <f t="shared" si="23"/>
        <v>-0.20588235294117646</v>
      </c>
      <c r="G489" s="2258">
        <v>162</v>
      </c>
      <c r="H489" s="2259"/>
      <c r="I489" s="2259"/>
      <c r="J489" s="2259"/>
      <c r="K489" s="2259"/>
      <c r="S489" s="2277"/>
      <c r="T489" s="2218"/>
      <c r="U489" s="2280"/>
      <c r="V489" s="2281"/>
      <c r="W489" s="2261"/>
      <c r="X489" s="2277"/>
    </row>
    <row r="490" spans="1:24">
      <c r="A490" s="2255">
        <v>45096.291666666701</v>
      </c>
      <c r="B490" s="2276">
        <f t="shared" si="21"/>
        <v>2.1910604732690624E-2</v>
      </c>
      <c r="C490" s="2258">
        <v>23320</v>
      </c>
      <c r="D490" s="2276">
        <f t="shared" si="22"/>
        <v>-5.6204324568673247E-2</v>
      </c>
      <c r="E490" s="2258">
        <v>25054</v>
      </c>
      <c r="F490" s="2276">
        <f t="shared" si="23"/>
        <v>-0.2107843137254902</v>
      </c>
      <c r="G490" s="2258">
        <v>161</v>
      </c>
      <c r="H490" s="2259"/>
      <c r="I490" s="2259"/>
      <c r="J490" s="2259"/>
      <c r="K490" s="2259"/>
      <c r="S490" s="2277"/>
      <c r="T490" s="2218"/>
      <c r="U490" s="2280"/>
      <c r="V490" s="2281"/>
      <c r="W490" s="2261"/>
      <c r="X490" s="2277"/>
    </row>
    <row r="491" spans="1:24">
      <c r="A491" s="2255">
        <v>45097.291666666701</v>
      </c>
      <c r="B491" s="2276">
        <f t="shared" si="21"/>
        <v>2.1910604732690624E-2</v>
      </c>
      <c r="C491" s="2258">
        <v>23320</v>
      </c>
      <c r="D491" s="2276">
        <f t="shared" si="22"/>
        <v>-5.5865290439237547E-2</v>
      </c>
      <c r="E491" s="2258">
        <v>25063</v>
      </c>
      <c r="F491" s="2276">
        <f t="shared" si="23"/>
        <v>-0.2107843137254902</v>
      </c>
      <c r="G491" s="2258">
        <v>161</v>
      </c>
      <c r="H491" s="2259"/>
      <c r="I491" s="2259"/>
      <c r="J491" s="2259"/>
      <c r="K491" s="2259"/>
      <c r="S491" s="2277"/>
      <c r="T491" s="2218"/>
      <c r="U491" s="2280"/>
      <c r="V491" s="2281"/>
      <c r="W491" s="2261"/>
      <c r="X491" s="2277"/>
    </row>
    <row r="492" spans="1:24">
      <c r="A492" s="2255">
        <v>45098.291666666701</v>
      </c>
      <c r="B492" s="2276">
        <f t="shared" si="21"/>
        <v>2.1472392638036811E-2</v>
      </c>
      <c r="C492" s="2258">
        <v>23310</v>
      </c>
      <c r="D492" s="2276">
        <f t="shared" si="22"/>
        <v>-5.7409779251111279E-2</v>
      </c>
      <c r="E492" s="2258">
        <v>25022</v>
      </c>
      <c r="F492" s="2276">
        <f t="shared" si="23"/>
        <v>-0.2107843137254902</v>
      </c>
      <c r="G492" s="2258">
        <v>161</v>
      </c>
      <c r="H492" s="2259"/>
      <c r="I492" s="2259"/>
      <c r="J492" s="2259"/>
      <c r="K492" s="2259"/>
      <c r="S492" s="2277"/>
      <c r="T492" s="2218"/>
      <c r="U492" s="2280"/>
      <c r="V492" s="2281"/>
      <c r="W492" s="2261"/>
      <c r="X492" s="2277"/>
    </row>
    <row r="493" spans="1:24">
      <c r="A493" s="2255">
        <v>45099.291666666701</v>
      </c>
      <c r="B493" s="2276">
        <f t="shared" si="21"/>
        <v>2.1472392638036811E-2</v>
      </c>
      <c r="C493" s="2258">
        <v>23310</v>
      </c>
      <c r="D493" s="2276">
        <f t="shared" si="22"/>
        <v>-5.2135915015444886E-2</v>
      </c>
      <c r="E493" s="2258">
        <v>25162</v>
      </c>
      <c r="F493" s="2276">
        <f t="shared" si="23"/>
        <v>-0.2107843137254902</v>
      </c>
      <c r="G493" s="2258">
        <v>161</v>
      </c>
      <c r="H493" s="2259"/>
      <c r="I493" s="2259"/>
      <c r="J493" s="2259"/>
      <c r="K493" s="2259"/>
      <c r="S493" s="2277"/>
      <c r="T493" s="2218"/>
      <c r="U493" s="2280"/>
      <c r="V493" s="2281"/>
      <c r="W493" s="2261"/>
      <c r="X493" s="2277"/>
    </row>
    <row r="494" spans="1:24">
      <c r="A494" s="2255">
        <v>45100.291666666701</v>
      </c>
      <c r="B494" s="2276">
        <f t="shared" si="21"/>
        <v>2.1910604732690624E-2</v>
      </c>
      <c r="C494" s="2258">
        <v>23320</v>
      </c>
      <c r="D494" s="2276">
        <f t="shared" si="22"/>
        <v>-6.19302343102539E-2</v>
      </c>
      <c r="E494" s="2258">
        <v>24902</v>
      </c>
      <c r="F494" s="2276">
        <f t="shared" si="23"/>
        <v>-0.21568627450980393</v>
      </c>
      <c r="G494" s="2258">
        <v>160</v>
      </c>
      <c r="H494" s="2259"/>
      <c r="I494" s="2259"/>
      <c r="J494" s="2259"/>
      <c r="K494" s="2259"/>
      <c r="S494" s="2277"/>
      <c r="T494" s="2218"/>
      <c r="U494" s="2280"/>
      <c r="V494" s="2281"/>
      <c r="W494" s="2261"/>
      <c r="X494" s="2277"/>
    </row>
    <row r="495" spans="1:24">
      <c r="A495" s="2255">
        <v>45103.291666666701</v>
      </c>
      <c r="B495" s="2276">
        <f t="shared" si="21"/>
        <v>2.2348816827344433E-2</v>
      </c>
      <c r="C495" s="2258">
        <v>23330</v>
      </c>
      <c r="D495" s="2276">
        <f t="shared" si="22"/>
        <v>-5.8238529345287428E-2</v>
      </c>
      <c r="E495" s="2258">
        <v>25000</v>
      </c>
      <c r="F495" s="2276">
        <f t="shared" si="23"/>
        <v>-0.22058823529411764</v>
      </c>
      <c r="G495" s="2258">
        <v>159</v>
      </c>
      <c r="H495" s="2259"/>
      <c r="I495" s="2259"/>
      <c r="J495" s="2259"/>
      <c r="K495" s="2259"/>
      <c r="S495" s="2277"/>
      <c r="T495" s="2218"/>
      <c r="U495" s="2280"/>
      <c r="V495" s="2281"/>
      <c r="W495" s="2261"/>
      <c r="X495" s="2277"/>
    </row>
    <row r="496" spans="1:24">
      <c r="A496" s="2255">
        <v>45104.291666666701</v>
      </c>
      <c r="B496" s="2276">
        <f t="shared" si="21"/>
        <v>2.2787028921998246E-2</v>
      </c>
      <c r="C496" s="2258">
        <v>23340</v>
      </c>
      <c r="D496" s="2276">
        <f t="shared" si="22"/>
        <v>-5.8087847509982672E-2</v>
      </c>
      <c r="E496" s="2258">
        <v>25004</v>
      </c>
      <c r="F496" s="2276">
        <f t="shared" si="23"/>
        <v>-0.22058823529411764</v>
      </c>
      <c r="G496" s="2258">
        <v>159</v>
      </c>
      <c r="H496" s="2259"/>
      <c r="I496" s="2259"/>
      <c r="J496" s="2259"/>
      <c r="K496" s="2259"/>
      <c r="S496" s="2277"/>
      <c r="T496" s="2218"/>
      <c r="U496" s="2280"/>
      <c r="V496" s="2281"/>
      <c r="W496" s="2261"/>
      <c r="X496" s="2277"/>
    </row>
    <row r="497" spans="1:24">
      <c r="A497" s="2255">
        <v>45105.291666666701</v>
      </c>
      <c r="B497" s="2276">
        <f t="shared" si="21"/>
        <v>2.3225241016652059E-2</v>
      </c>
      <c r="C497" s="2258">
        <v>23350</v>
      </c>
      <c r="D497" s="2276">
        <f t="shared" si="22"/>
        <v>-5.281398327431628E-2</v>
      </c>
      <c r="E497" s="2258">
        <v>25144</v>
      </c>
      <c r="F497" s="2276">
        <f t="shared" si="23"/>
        <v>-0.22058823529411764</v>
      </c>
      <c r="G497" s="2258">
        <v>159</v>
      </c>
      <c r="H497" s="2259"/>
      <c r="I497" s="2259"/>
      <c r="J497" s="2259"/>
      <c r="K497" s="2259"/>
      <c r="S497" s="2277"/>
      <c r="T497" s="2218"/>
      <c r="U497" s="2280"/>
      <c r="V497" s="2281"/>
      <c r="W497" s="2261"/>
      <c r="X497" s="2277"/>
    </row>
    <row r="498" spans="1:24">
      <c r="A498" s="2255">
        <v>45106.291666666701</v>
      </c>
      <c r="B498" s="2276">
        <f t="shared" si="21"/>
        <v>2.3663453111305872E-2</v>
      </c>
      <c r="C498" s="2258">
        <v>23360</v>
      </c>
      <c r="D498" s="2276">
        <f t="shared" si="22"/>
        <v>-5.737210879228509E-2</v>
      </c>
      <c r="E498" s="2258">
        <v>25023</v>
      </c>
      <c r="F498" s="2276">
        <f t="shared" si="23"/>
        <v>-0.22549019607843138</v>
      </c>
      <c r="G498" s="2258">
        <v>158</v>
      </c>
      <c r="H498" s="2259"/>
      <c r="I498" s="2259"/>
      <c r="J498" s="2259"/>
      <c r="K498" s="2259"/>
      <c r="S498" s="2277"/>
      <c r="T498" s="2218"/>
      <c r="U498" s="2280"/>
      <c r="V498" s="2281"/>
      <c r="W498" s="2261"/>
      <c r="X498" s="2277"/>
    </row>
    <row r="499" spans="1:24">
      <c r="A499" s="2255">
        <v>45107.291666666701</v>
      </c>
      <c r="B499" s="2276">
        <f t="shared" si="21"/>
        <v>2.4539877300613498E-2</v>
      </c>
      <c r="C499" s="2258">
        <v>23380</v>
      </c>
      <c r="D499" s="2276">
        <f t="shared" si="22"/>
        <v>-6.0988472839599184E-2</v>
      </c>
      <c r="E499" s="2258">
        <v>24927</v>
      </c>
      <c r="F499" s="2276">
        <f t="shared" si="23"/>
        <v>-0.22549019607843138</v>
      </c>
      <c r="G499" s="2258">
        <v>158</v>
      </c>
      <c r="H499" s="2262">
        <v>0.04</v>
      </c>
      <c r="I499" s="2262">
        <v>5.6000000000000001E-2</v>
      </c>
      <c r="J499" s="2262">
        <v>0.111</v>
      </c>
      <c r="K499" s="2262">
        <v>4.4999999999999998E-2</v>
      </c>
      <c r="S499" s="2277"/>
      <c r="T499" s="2218"/>
      <c r="U499" s="2280"/>
      <c r="V499" s="2281"/>
      <c r="W499" s="2261"/>
      <c r="X499" s="2277"/>
    </row>
    <row r="500" spans="1:24">
      <c r="A500" s="2255">
        <v>45110.291666666701</v>
      </c>
      <c r="B500" s="2276">
        <f t="shared" si="21"/>
        <v>2.7607361963190184E-2</v>
      </c>
      <c r="C500" s="2258">
        <v>23450</v>
      </c>
      <c r="D500" s="2276">
        <f t="shared" si="22"/>
        <v>-5.4735176674451894E-2</v>
      </c>
      <c r="E500" s="2258">
        <v>25093</v>
      </c>
      <c r="F500" s="2276">
        <f t="shared" si="23"/>
        <v>-0.22549019607843138</v>
      </c>
      <c r="G500" s="2258">
        <v>158</v>
      </c>
      <c r="H500" s="2259"/>
      <c r="I500" s="2259"/>
      <c r="J500" s="2259"/>
      <c r="K500" s="2259"/>
      <c r="S500" s="2277"/>
      <c r="T500" s="2218"/>
      <c r="U500" s="2280"/>
      <c r="V500" s="2281"/>
      <c r="W500" s="2261"/>
      <c r="X500" s="2277"/>
    </row>
    <row r="501" spans="1:24">
      <c r="A501" s="2255">
        <v>45111.291666666701</v>
      </c>
      <c r="B501" s="2276">
        <f t="shared" si="21"/>
        <v>2.9360210341805432E-2</v>
      </c>
      <c r="C501" s="2258">
        <v>23490</v>
      </c>
      <c r="D501" s="2276">
        <f t="shared" si="22"/>
        <v>-5.2173585474271075E-2</v>
      </c>
      <c r="E501" s="2258">
        <v>25161</v>
      </c>
      <c r="F501" s="2276">
        <f t="shared" si="23"/>
        <v>-0.22058823529411764</v>
      </c>
      <c r="G501" s="2258">
        <v>159</v>
      </c>
      <c r="H501" s="2259"/>
      <c r="I501" s="2259"/>
      <c r="J501" s="2259"/>
      <c r="K501" s="2259"/>
      <c r="S501" s="2277"/>
      <c r="T501" s="2218"/>
      <c r="U501" s="2280"/>
      <c r="V501" s="2281"/>
      <c r="W501" s="2261"/>
      <c r="X501" s="2277"/>
    </row>
    <row r="502" spans="1:24">
      <c r="A502" s="2255">
        <v>45112.291666666701</v>
      </c>
      <c r="B502" s="2276">
        <f t="shared" si="21"/>
        <v>3.1989482909728306E-2</v>
      </c>
      <c r="C502" s="2258">
        <v>23550</v>
      </c>
      <c r="D502" s="2276">
        <f t="shared" si="22"/>
        <v>-5.1231824003616366E-2</v>
      </c>
      <c r="E502" s="2258">
        <v>25186</v>
      </c>
      <c r="F502" s="2276">
        <f t="shared" si="23"/>
        <v>-0.22058823529411764</v>
      </c>
      <c r="G502" s="2258">
        <v>159</v>
      </c>
      <c r="H502" s="2259"/>
      <c r="I502" s="2259"/>
      <c r="J502" s="2259"/>
      <c r="K502" s="2259"/>
      <c r="S502" s="2277"/>
      <c r="T502" s="2218"/>
      <c r="U502" s="2280"/>
      <c r="V502" s="2281"/>
      <c r="W502" s="2261"/>
      <c r="X502" s="2277"/>
    </row>
    <row r="503" spans="1:24">
      <c r="A503" s="2255">
        <v>45113.291666666701</v>
      </c>
      <c r="B503" s="2276">
        <f t="shared" si="21"/>
        <v>3.1113058720420684E-2</v>
      </c>
      <c r="C503" s="2258">
        <v>23530</v>
      </c>
      <c r="D503" s="2276">
        <f t="shared" si="22"/>
        <v>-5.6053642733368492E-2</v>
      </c>
      <c r="E503" s="2258">
        <v>25058</v>
      </c>
      <c r="F503" s="2276">
        <f t="shared" si="23"/>
        <v>-0.21568627450980393</v>
      </c>
      <c r="G503" s="2258">
        <v>160</v>
      </c>
      <c r="H503" s="2259"/>
      <c r="I503" s="2259"/>
      <c r="J503" s="2259"/>
      <c r="K503" s="2259"/>
      <c r="S503" s="2277"/>
      <c r="T503" s="2218"/>
      <c r="U503" s="2280"/>
      <c r="V503" s="2281"/>
      <c r="W503" s="2261"/>
      <c r="X503" s="2277"/>
    </row>
    <row r="504" spans="1:24">
      <c r="A504" s="2255">
        <v>45114.291666666701</v>
      </c>
      <c r="B504" s="2276">
        <f t="shared" si="21"/>
        <v>2.7169149868536371E-2</v>
      </c>
      <c r="C504" s="2258">
        <v>23440</v>
      </c>
      <c r="D504" s="2276">
        <f t="shared" si="22"/>
        <v>-5.6091313192194681E-2</v>
      </c>
      <c r="E504" s="2258">
        <v>25057</v>
      </c>
      <c r="F504" s="2276">
        <f t="shared" si="23"/>
        <v>-0.21568627450980393</v>
      </c>
      <c r="G504" s="2258">
        <v>160</v>
      </c>
      <c r="H504" s="2259"/>
      <c r="I504" s="2259"/>
      <c r="J504" s="2259"/>
      <c r="K504" s="2259"/>
      <c r="S504" s="2277"/>
      <c r="T504" s="2218"/>
      <c r="U504" s="2280"/>
      <c r="V504" s="2281"/>
      <c r="W504" s="2261"/>
      <c r="X504" s="2277"/>
    </row>
    <row r="505" spans="1:24">
      <c r="A505" s="2255">
        <v>45117.291666666701</v>
      </c>
      <c r="B505" s="2276">
        <f t="shared" si="21"/>
        <v>2.7607361963190184E-2</v>
      </c>
      <c r="C505" s="2258">
        <v>23450</v>
      </c>
      <c r="D505" s="2276">
        <f t="shared" si="22"/>
        <v>-4.9611994274090257E-2</v>
      </c>
      <c r="E505" s="2258">
        <v>25229</v>
      </c>
      <c r="F505" s="2276">
        <f t="shared" si="23"/>
        <v>-0.2107843137254902</v>
      </c>
      <c r="G505" s="2258">
        <v>161</v>
      </c>
      <c r="H505" s="2259"/>
      <c r="I505" s="2259"/>
      <c r="J505" s="2259"/>
      <c r="K505" s="2259"/>
      <c r="S505" s="2277"/>
      <c r="T505" s="2218"/>
      <c r="U505" s="2280"/>
      <c r="V505" s="2281"/>
      <c r="W505" s="2261"/>
      <c r="X505" s="2277"/>
    </row>
    <row r="506" spans="1:24">
      <c r="A506" s="2255">
        <v>45118.291666666701</v>
      </c>
      <c r="B506" s="2276">
        <f t="shared" si="21"/>
        <v>2.9360210341805432E-2</v>
      </c>
      <c r="C506" s="2258">
        <v>23490</v>
      </c>
      <c r="D506" s="2276">
        <f t="shared" si="22"/>
        <v>-4.3208016273638211E-2</v>
      </c>
      <c r="E506" s="2258">
        <v>25399</v>
      </c>
      <c r="F506" s="2276">
        <f t="shared" si="23"/>
        <v>-0.20098039215686275</v>
      </c>
      <c r="G506" s="2258">
        <v>163</v>
      </c>
      <c r="H506" s="2259"/>
      <c r="I506" s="2259"/>
      <c r="J506" s="2259"/>
      <c r="K506" s="2259"/>
      <c r="S506" s="2277"/>
      <c r="T506" s="2218"/>
      <c r="U506" s="2280"/>
      <c r="V506" s="2281"/>
      <c r="W506" s="2261"/>
      <c r="X506" s="2277"/>
    </row>
    <row r="507" spans="1:24">
      <c r="A507" s="2255">
        <v>45119.291666666701</v>
      </c>
      <c r="B507" s="2276">
        <f t="shared" si="21"/>
        <v>2.8921998247151623E-2</v>
      </c>
      <c r="C507" s="2258">
        <v>23480</v>
      </c>
      <c r="D507" s="2276">
        <f t="shared" si="22"/>
        <v>-4.2040232050026369E-2</v>
      </c>
      <c r="E507" s="2258">
        <v>25430</v>
      </c>
      <c r="F507" s="2276">
        <f t="shared" si="23"/>
        <v>-0.19117647058823528</v>
      </c>
      <c r="G507" s="2258">
        <v>165</v>
      </c>
      <c r="H507" s="2259"/>
      <c r="I507" s="2259"/>
      <c r="J507" s="2259"/>
      <c r="K507" s="2259"/>
      <c r="S507" s="2277"/>
      <c r="T507" s="2218"/>
      <c r="U507" s="2280"/>
      <c r="V507" s="2281"/>
      <c r="W507" s="2261"/>
      <c r="X507" s="2277"/>
    </row>
    <row r="508" spans="1:24">
      <c r="A508" s="2255">
        <v>45120.291666666701</v>
      </c>
      <c r="B508" s="2276">
        <f t="shared" si="21"/>
        <v>2.7388255915863278E-2</v>
      </c>
      <c r="C508" s="2258">
        <v>23445</v>
      </c>
      <c r="D508" s="2276">
        <f t="shared" si="22"/>
        <v>-3.1831537708129284E-2</v>
      </c>
      <c r="E508" s="2258">
        <v>25701</v>
      </c>
      <c r="F508" s="2276">
        <f t="shared" si="23"/>
        <v>-0.18627450980392157</v>
      </c>
      <c r="G508" s="2258">
        <v>166</v>
      </c>
      <c r="H508" s="2259"/>
      <c r="I508" s="2259"/>
      <c r="J508" s="2259"/>
      <c r="K508" s="2259"/>
      <c r="S508" s="2277"/>
      <c r="T508" s="2218"/>
      <c r="U508" s="2280"/>
      <c r="V508" s="2281"/>
      <c r="W508" s="2261"/>
      <c r="X508" s="2277"/>
    </row>
    <row r="509" spans="1:24">
      <c r="A509" s="2255">
        <v>45121.291666666701</v>
      </c>
      <c r="B509" s="2276">
        <f t="shared" si="21"/>
        <v>2.7169149868536371E-2</v>
      </c>
      <c r="C509" s="2258">
        <v>23440</v>
      </c>
      <c r="D509" s="2276">
        <f t="shared" si="22"/>
        <v>-2.7800798613727116E-2</v>
      </c>
      <c r="E509" s="2258">
        <v>25808</v>
      </c>
      <c r="F509" s="2276">
        <f t="shared" si="23"/>
        <v>-0.18627450980392157</v>
      </c>
      <c r="G509" s="2258">
        <v>166</v>
      </c>
      <c r="H509" s="2259"/>
      <c r="I509" s="2259"/>
      <c r="J509" s="2259"/>
      <c r="K509" s="2259"/>
      <c r="S509" s="2277"/>
      <c r="T509" s="2218"/>
      <c r="U509" s="2280"/>
      <c r="V509" s="2281"/>
      <c r="W509" s="2261"/>
      <c r="X509" s="2277"/>
    </row>
    <row r="510" spans="1:24">
      <c r="A510" s="2255">
        <v>45124.291666666701</v>
      </c>
      <c r="B510" s="2276">
        <f t="shared" si="21"/>
        <v>2.6730937773882558E-2</v>
      </c>
      <c r="C510" s="2258">
        <v>23430</v>
      </c>
      <c r="D510" s="2276">
        <f t="shared" si="22"/>
        <v>-2.5013184660589168E-2</v>
      </c>
      <c r="E510" s="2258">
        <v>25882</v>
      </c>
      <c r="F510" s="2276">
        <f t="shared" si="23"/>
        <v>-0.19117647058823528</v>
      </c>
      <c r="G510" s="2258">
        <v>165</v>
      </c>
      <c r="H510" s="2259"/>
      <c r="I510" s="2259"/>
      <c r="J510" s="2259"/>
      <c r="K510" s="2259"/>
      <c r="S510" s="2277"/>
      <c r="T510" s="2218"/>
      <c r="U510" s="2280"/>
      <c r="V510" s="2281"/>
      <c r="W510" s="2261"/>
      <c r="X510" s="2277"/>
    </row>
    <row r="511" spans="1:24">
      <c r="A511" s="2255">
        <v>45125.291666666701</v>
      </c>
      <c r="B511" s="2276">
        <f t="shared" si="21"/>
        <v>2.7169149868536371E-2</v>
      </c>
      <c r="C511" s="2258">
        <v>23440</v>
      </c>
      <c r="D511" s="2276">
        <f t="shared" si="22"/>
        <v>-2.2263241166277405E-2</v>
      </c>
      <c r="E511" s="2258">
        <v>25955</v>
      </c>
      <c r="F511" s="2276">
        <f t="shared" si="23"/>
        <v>-0.18627450980392157</v>
      </c>
      <c r="G511" s="2258">
        <v>166</v>
      </c>
      <c r="H511" s="2259"/>
      <c r="I511" s="2259"/>
      <c r="J511" s="2259"/>
      <c r="K511" s="2259"/>
      <c r="S511" s="2277"/>
      <c r="T511" s="2218"/>
      <c r="U511" s="2280"/>
      <c r="V511" s="2281"/>
      <c r="W511" s="2261"/>
      <c r="X511" s="2277"/>
    </row>
    <row r="512" spans="1:24">
      <c r="A512" s="2255">
        <v>45126.291666666701</v>
      </c>
      <c r="B512" s="2276">
        <f t="shared" si="21"/>
        <v>2.6950043821209465E-2</v>
      </c>
      <c r="C512" s="2258">
        <v>23435</v>
      </c>
      <c r="D512" s="2276">
        <f t="shared" si="22"/>
        <v>-2.6256309801853388E-2</v>
      </c>
      <c r="E512" s="2258">
        <v>25849</v>
      </c>
      <c r="F512" s="2276">
        <f t="shared" si="23"/>
        <v>-0.19607843137254902</v>
      </c>
      <c r="G512" s="2258">
        <v>164</v>
      </c>
      <c r="H512" s="2259"/>
      <c r="I512" s="2259"/>
      <c r="J512" s="2259"/>
      <c r="K512" s="2259"/>
      <c r="S512" s="2277"/>
      <c r="T512" s="2218"/>
      <c r="U512" s="2280"/>
      <c r="V512" s="2281"/>
      <c r="W512" s="2261"/>
      <c r="X512" s="2277"/>
    </row>
    <row r="513" spans="1:24">
      <c r="A513" s="2255">
        <v>45127.291666666701</v>
      </c>
      <c r="B513" s="2276">
        <f t="shared" si="21"/>
        <v>2.7169149868536371E-2</v>
      </c>
      <c r="C513" s="2258">
        <v>23440</v>
      </c>
      <c r="D513" s="2276">
        <f t="shared" si="22"/>
        <v>-2.6595343931289084E-2</v>
      </c>
      <c r="E513" s="2258">
        <v>25840</v>
      </c>
      <c r="F513" s="2276">
        <f t="shared" si="23"/>
        <v>-0.19117647058823528</v>
      </c>
      <c r="G513" s="2258">
        <v>165</v>
      </c>
      <c r="H513" s="2259"/>
      <c r="I513" s="2259"/>
      <c r="J513" s="2259"/>
      <c r="K513" s="2259"/>
      <c r="S513" s="2277"/>
      <c r="T513" s="2218"/>
      <c r="U513" s="2280"/>
      <c r="V513" s="2281"/>
      <c r="W513" s="2261"/>
      <c r="X513" s="2277"/>
    </row>
    <row r="514" spans="1:24">
      <c r="A514" s="2255">
        <v>45128.291666666701</v>
      </c>
      <c r="B514" s="2276">
        <f t="shared" si="21"/>
        <v>2.8045574057843997E-2</v>
      </c>
      <c r="C514" s="2258">
        <v>23460</v>
      </c>
      <c r="D514" s="2276">
        <f t="shared" si="22"/>
        <v>-3.322534468469826E-2</v>
      </c>
      <c r="E514" s="2258">
        <v>25664</v>
      </c>
      <c r="F514" s="2276">
        <f t="shared" si="23"/>
        <v>-0.19607843137254902</v>
      </c>
      <c r="G514" s="2258">
        <v>164</v>
      </c>
      <c r="H514" s="2259"/>
      <c r="I514" s="2259"/>
      <c r="J514" s="2259"/>
      <c r="K514" s="2259"/>
      <c r="S514" s="2277"/>
      <c r="T514" s="2218"/>
      <c r="U514" s="2280"/>
      <c r="V514" s="2281"/>
      <c r="W514" s="2261"/>
      <c r="X514" s="2277"/>
    </row>
    <row r="515" spans="1:24">
      <c r="A515" s="2255">
        <v>45131.291666666701</v>
      </c>
      <c r="B515" s="2276">
        <f t="shared" si="21"/>
        <v>2.7826468010517091E-2</v>
      </c>
      <c r="C515" s="2258">
        <v>23455</v>
      </c>
      <c r="D515" s="2276">
        <f t="shared" si="22"/>
        <v>-3.4054094778874409E-2</v>
      </c>
      <c r="E515" s="2258">
        <v>25642</v>
      </c>
      <c r="F515" s="2276">
        <f t="shared" si="23"/>
        <v>-0.20588235294117646</v>
      </c>
      <c r="G515" s="2258">
        <v>162</v>
      </c>
      <c r="H515" s="2259"/>
      <c r="I515" s="2259"/>
      <c r="J515" s="2259"/>
      <c r="K515" s="2259"/>
      <c r="S515" s="2277"/>
      <c r="T515" s="2218"/>
      <c r="U515" s="2280"/>
      <c r="V515" s="2281"/>
      <c r="W515" s="2261"/>
      <c r="X515" s="2277"/>
    </row>
    <row r="516" spans="1:24">
      <c r="A516" s="2255">
        <v>45132.291666666701</v>
      </c>
      <c r="B516" s="2276">
        <f t="shared" si="21"/>
        <v>2.8045574057843997E-2</v>
      </c>
      <c r="C516" s="2258">
        <v>23460</v>
      </c>
      <c r="D516" s="2276">
        <f t="shared" si="22"/>
        <v>-3.9742334061628873E-2</v>
      </c>
      <c r="E516" s="2258">
        <v>25491</v>
      </c>
      <c r="F516" s="2276">
        <f t="shared" si="23"/>
        <v>-0.20588235294117646</v>
      </c>
      <c r="G516" s="2258">
        <v>162</v>
      </c>
      <c r="H516" s="2259"/>
      <c r="I516" s="2259"/>
      <c r="J516" s="2259"/>
      <c r="K516" s="2259"/>
      <c r="S516" s="2277"/>
      <c r="T516" s="2218"/>
      <c r="U516" s="2280"/>
      <c r="V516" s="2281"/>
      <c r="W516" s="2261"/>
      <c r="X516" s="2277"/>
    </row>
    <row r="517" spans="1:24">
      <c r="A517" s="2255">
        <v>45133.291666666701</v>
      </c>
      <c r="B517" s="2276">
        <f t="shared" si="21"/>
        <v>2.8264680105170904E-2</v>
      </c>
      <c r="C517" s="2258">
        <v>23465</v>
      </c>
      <c r="D517" s="2276">
        <f t="shared" si="22"/>
        <v>-4.1286822873502597E-2</v>
      </c>
      <c r="E517" s="2258">
        <v>25450</v>
      </c>
      <c r="F517" s="2276">
        <f t="shared" si="23"/>
        <v>-0.20098039215686275</v>
      </c>
      <c r="G517" s="2258">
        <v>163</v>
      </c>
      <c r="H517" s="2259"/>
      <c r="I517" s="2259"/>
      <c r="J517" s="2259"/>
      <c r="K517" s="2259"/>
      <c r="S517" s="2277"/>
      <c r="T517" s="2218"/>
      <c r="U517" s="2280"/>
      <c r="V517" s="2281"/>
      <c r="W517" s="2261"/>
      <c r="X517" s="2277"/>
    </row>
    <row r="518" spans="1:24">
      <c r="A518" s="2255">
        <v>45134.291666666701</v>
      </c>
      <c r="B518" s="2276">
        <f t="shared" si="21"/>
        <v>2.848378615249781E-2</v>
      </c>
      <c r="C518" s="2258">
        <v>23470</v>
      </c>
      <c r="D518" s="2276">
        <f t="shared" si="22"/>
        <v>-3.7180742861448055E-2</v>
      </c>
      <c r="E518" s="2258">
        <v>25559</v>
      </c>
      <c r="F518" s="2276">
        <f t="shared" si="23"/>
        <v>-0.19607843137254902</v>
      </c>
      <c r="G518" s="2258">
        <v>164</v>
      </c>
      <c r="H518" s="2259"/>
      <c r="I518" s="2259"/>
      <c r="J518" s="2259"/>
      <c r="K518" s="2259"/>
      <c r="S518" s="2277"/>
      <c r="T518" s="2218"/>
      <c r="U518" s="2280"/>
      <c r="V518" s="2281"/>
      <c r="W518" s="2261"/>
      <c r="X518" s="2277"/>
    </row>
    <row r="519" spans="1:24">
      <c r="A519" s="2255">
        <v>45135.291666666701</v>
      </c>
      <c r="B519" s="2276">
        <f t="shared" si="21"/>
        <v>2.9360210341805432E-2</v>
      </c>
      <c r="C519" s="2258">
        <v>23490</v>
      </c>
      <c r="D519" s="2276">
        <f t="shared" si="22"/>
        <v>-4.6786709862126123E-2</v>
      </c>
      <c r="E519" s="2258">
        <v>25304</v>
      </c>
      <c r="F519" s="2276">
        <f t="shared" si="23"/>
        <v>-0.19117647058823528</v>
      </c>
      <c r="G519" s="2258">
        <v>165</v>
      </c>
      <c r="H519" s="2259"/>
      <c r="I519" s="2259"/>
      <c r="J519" s="2259"/>
      <c r="K519" s="2259"/>
      <c r="S519" s="2277"/>
      <c r="T519" s="2218"/>
      <c r="U519" s="2280"/>
      <c r="V519" s="2281"/>
      <c r="W519" s="2261"/>
      <c r="X519" s="2277"/>
    </row>
    <row r="520" spans="1:24">
      <c r="A520" s="2255">
        <v>45138.291666666701</v>
      </c>
      <c r="B520" s="2276">
        <f t="shared" si="21"/>
        <v>2.9141104294478526E-2</v>
      </c>
      <c r="C520" s="2258">
        <v>23485</v>
      </c>
      <c r="D520" s="2276">
        <f t="shared" si="22"/>
        <v>-4.2190913885331124E-2</v>
      </c>
      <c r="E520" s="2258">
        <v>25426</v>
      </c>
      <c r="F520" s="2276">
        <f t="shared" si="23"/>
        <v>-0.20098039215686275</v>
      </c>
      <c r="G520" s="2258">
        <v>163</v>
      </c>
      <c r="H520" s="2259"/>
      <c r="I520" s="2259"/>
      <c r="J520" s="2259"/>
      <c r="K520" s="2259"/>
      <c r="S520" s="2277"/>
      <c r="T520" s="2218"/>
      <c r="U520" s="2280"/>
      <c r="V520" s="2281"/>
      <c r="W520" s="2261"/>
      <c r="X520" s="2277"/>
    </row>
    <row r="521" spans="1:24">
      <c r="A521" s="2255">
        <v>45139.291666666701</v>
      </c>
      <c r="B521" s="2276">
        <f t="shared" si="21"/>
        <v>2.9360210341805432E-2</v>
      </c>
      <c r="C521" s="2258">
        <v>23490</v>
      </c>
      <c r="D521" s="2276">
        <f t="shared" si="22"/>
        <v>-4.6334664356211856E-2</v>
      </c>
      <c r="E521" s="2258">
        <v>25316</v>
      </c>
      <c r="F521" s="2276">
        <f t="shared" si="23"/>
        <v>-0.2107843137254902</v>
      </c>
      <c r="G521" s="2258">
        <v>161</v>
      </c>
      <c r="H521" s="2259"/>
      <c r="I521" s="2259"/>
      <c r="J521" s="2259"/>
      <c r="K521" s="2259"/>
      <c r="S521" s="2277"/>
      <c r="T521" s="2218"/>
      <c r="U521" s="2280"/>
      <c r="V521" s="2281"/>
      <c r="W521" s="2261"/>
      <c r="X521" s="2277"/>
    </row>
    <row r="522" spans="1:24">
      <c r="A522" s="2255">
        <v>45140.291666666701</v>
      </c>
      <c r="B522" s="2276">
        <f t="shared" ref="B522:B527" si="24">(C522-C$10)/C$10</f>
        <v>3.0893952673093777E-2</v>
      </c>
      <c r="C522" s="2258">
        <v>23525</v>
      </c>
      <c r="D522" s="2276">
        <f t="shared" ref="D522:D527" si="25">(E522-E$10)/E$10</f>
        <v>-4.3283357191290589E-2</v>
      </c>
      <c r="E522" s="2258">
        <v>25397</v>
      </c>
      <c r="F522" s="2276">
        <f t="shared" ref="F522:F527" si="26">(G522-G$10)/G$10</f>
        <v>-0.2107843137254902</v>
      </c>
      <c r="G522" s="2258">
        <v>161</v>
      </c>
      <c r="H522" s="2259"/>
      <c r="I522" s="2259"/>
      <c r="J522" s="2259"/>
      <c r="K522" s="2259"/>
      <c r="S522" s="2277"/>
      <c r="T522" s="2218"/>
      <c r="U522" s="2280"/>
      <c r="V522" s="2281"/>
      <c r="W522" s="2261"/>
      <c r="X522" s="2277"/>
    </row>
    <row r="523" spans="1:24">
      <c r="A523" s="2255">
        <v>45141.291666666701</v>
      </c>
      <c r="B523" s="2276">
        <f t="shared" si="24"/>
        <v>3.1989482909728306E-2</v>
      </c>
      <c r="C523" s="2258">
        <v>23550</v>
      </c>
      <c r="D523" s="2276">
        <f t="shared" si="25"/>
        <v>-4.8293528215173659E-2</v>
      </c>
      <c r="E523" s="2258">
        <v>25264</v>
      </c>
      <c r="F523" s="2276">
        <f t="shared" si="26"/>
        <v>-0.2107843137254902</v>
      </c>
      <c r="G523" s="2258">
        <v>161</v>
      </c>
      <c r="H523" s="2259"/>
      <c r="I523" s="2259"/>
      <c r="J523" s="2259"/>
      <c r="K523" s="2259"/>
      <c r="S523" s="2277"/>
      <c r="T523" s="2218"/>
      <c r="U523" s="2280"/>
      <c r="V523" s="2281"/>
      <c r="W523" s="2261"/>
      <c r="X523" s="2277"/>
    </row>
    <row r="524" spans="1:24">
      <c r="A524" s="2255">
        <v>45142.291666666701</v>
      </c>
      <c r="B524" s="2276">
        <f t="shared" si="24"/>
        <v>3.0674846625766871E-2</v>
      </c>
      <c r="C524" s="2258">
        <v>23520</v>
      </c>
      <c r="D524" s="2276">
        <f t="shared" si="25"/>
        <v>-4.7050403073909439E-2</v>
      </c>
      <c r="E524" s="2258">
        <v>25297</v>
      </c>
      <c r="F524" s="2276">
        <f t="shared" si="26"/>
        <v>-0.2107843137254902</v>
      </c>
      <c r="G524" s="2258">
        <v>161</v>
      </c>
      <c r="H524" s="2259"/>
      <c r="I524" s="2259"/>
      <c r="J524" s="2259"/>
      <c r="K524" s="2259"/>
      <c r="S524" s="2277"/>
      <c r="T524" s="2218"/>
      <c r="U524" s="2280"/>
      <c r="V524" s="2281"/>
      <c r="W524" s="2261"/>
      <c r="X524" s="2277"/>
    </row>
    <row r="525" spans="1:24">
      <c r="A525" s="2255">
        <v>45145.291666666701</v>
      </c>
      <c r="B525" s="2276">
        <f t="shared" si="24"/>
        <v>3.0674846625766871E-2</v>
      </c>
      <c r="C525" s="2258">
        <v>23520</v>
      </c>
      <c r="D525" s="2276">
        <f t="shared" si="25"/>
        <v>-4.4790175544338132E-2</v>
      </c>
      <c r="E525" s="2258">
        <v>25357</v>
      </c>
      <c r="F525" s="2276">
        <f t="shared" si="26"/>
        <v>-0.20588235294117646</v>
      </c>
      <c r="G525" s="2258">
        <v>162</v>
      </c>
      <c r="H525" s="2259"/>
      <c r="I525" s="2259"/>
      <c r="J525" s="2259"/>
      <c r="K525" s="2259"/>
      <c r="S525" s="2277"/>
      <c r="T525" s="2218"/>
      <c r="U525" s="2280"/>
      <c r="V525" s="2281"/>
      <c r="W525" s="2261"/>
      <c r="X525" s="2277"/>
    </row>
    <row r="526" spans="1:24">
      <c r="A526" s="2255">
        <v>45146.291666666701</v>
      </c>
      <c r="B526" s="2276">
        <f t="shared" si="24"/>
        <v>3.0893952673093777E-2</v>
      </c>
      <c r="C526" s="2258">
        <v>23525</v>
      </c>
      <c r="D526" s="2276">
        <f t="shared" si="25"/>
        <v>-4.4149777744292927E-2</v>
      </c>
      <c r="E526" s="2258">
        <v>25374</v>
      </c>
      <c r="F526" s="2276">
        <f t="shared" si="26"/>
        <v>-0.2107843137254902</v>
      </c>
      <c r="G526" s="2258">
        <v>161</v>
      </c>
      <c r="H526" s="2259"/>
      <c r="I526" s="2259"/>
      <c r="J526" s="2259"/>
      <c r="K526" s="2259"/>
      <c r="S526" s="2277"/>
      <c r="T526" s="2218"/>
      <c r="U526" s="2280"/>
      <c r="V526" s="2281"/>
      <c r="W526" s="2261"/>
      <c r="X526" s="2277"/>
    </row>
    <row r="527" spans="1:24">
      <c r="A527" s="2255">
        <v>45147.291666666701</v>
      </c>
      <c r="B527" s="2276">
        <f t="shared" si="24"/>
        <v>3.1551270815074493E-2</v>
      </c>
      <c r="C527" s="2258">
        <v>23540</v>
      </c>
      <c r="D527" s="2276">
        <f t="shared" si="25"/>
        <v>-4.5204550591426203E-2</v>
      </c>
      <c r="E527" s="2258">
        <v>25346</v>
      </c>
      <c r="F527" s="2276">
        <f t="shared" si="26"/>
        <v>-0.2107843137254902</v>
      </c>
      <c r="G527" s="2258">
        <v>161</v>
      </c>
      <c r="H527" s="2259"/>
      <c r="I527" s="2259"/>
      <c r="J527" s="2259"/>
      <c r="K527" s="2259"/>
      <c r="S527" s="2277"/>
      <c r="T527" s="2218"/>
      <c r="U527" s="2280"/>
      <c r="V527" s="2281"/>
      <c r="W527" s="2261"/>
      <c r="X527" s="2277"/>
    </row>
    <row r="528" spans="1:24">
      <c r="A528" s="2255">
        <v>44407.291666666701</v>
      </c>
      <c r="B528" s="2255"/>
      <c r="C528" s="2258">
        <v>22820</v>
      </c>
      <c r="D528" s="2258"/>
      <c r="E528" s="2258">
        <v>26580</v>
      </c>
      <c r="F528" s="2258"/>
      <c r="G528" s="2258">
        <v>204</v>
      </c>
      <c r="H528" s="2259"/>
      <c r="I528" s="2259"/>
      <c r="J528" s="2259"/>
      <c r="K528" s="2259"/>
      <c r="S528" s="2282">
        <v>520</v>
      </c>
      <c r="T528" s="2283" t="s">
        <v>1275</v>
      </c>
      <c r="U528" s="2284"/>
      <c r="V528" s="2282"/>
      <c r="W528" s="2282">
        <v>18.9892</v>
      </c>
      <c r="X528" s="2282">
        <v>22520</v>
      </c>
    </row>
    <row r="529" spans="1:24">
      <c r="A529" s="2255">
        <v>44406.291666666701</v>
      </c>
      <c r="B529" s="2255"/>
      <c r="C529" s="2258">
        <v>22840</v>
      </c>
      <c r="D529" s="2258"/>
      <c r="E529" s="2258">
        <v>26514</v>
      </c>
      <c r="F529" s="2258"/>
      <c r="G529" s="2258">
        <v>204</v>
      </c>
      <c r="H529" s="2259"/>
      <c r="I529" s="2259"/>
      <c r="J529" s="2259"/>
      <c r="K529" s="2259"/>
      <c r="S529" s="2285">
        <v>521</v>
      </c>
      <c r="T529" s="2286" t="s">
        <v>1276</v>
      </c>
      <c r="U529" s="2287" t="s">
        <v>1251</v>
      </c>
      <c r="V529" s="2285">
        <v>44631</v>
      </c>
      <c r="W529" s="2285">
        <v>19.156199999999998</v>
      </c>
      <c r="X529" s="2285">
        <v>22520</v>
      </c>
    </row>
    <row r="530" spans="1:24">
      <c r="A530" s="2255">
        <v>44405.291666666701</v>
      </c>
      <c r="B530" s="2255"/>
      <c r="C530" s="2258">
        <v>22865</v>
      </c>
      <c r="D530" s="2258"/>
      <c r="E530" s="2258">
        <v>26457</v>
      </c>
      <c r="F530" s="2258"/>
      <c r="G530" s="2258">
        <v>204</v>
      </c>
      <c r="H530" s="2259"/>
      <c r="I530" s="2259"/>
      <c r="J530" s="2259"/>
      <c r="K530" s="2259"/>
      <c r="S530" s="2285">
        <v>522</v>
      </c>
      <c r="T530" s="2286" t="s">
        <v>1277</v>
      </c>
      <c r="U530" s="2287" t="s">
        <v>1252</v>
      </c>
      <c r="V530" s="2285">
        <v>44630</v>
      </c>
      <c r="W530" s="2285"/>
      <c r="X530" s="2285">
        <v>22520</v>
      </c>
    </row>
    <row r="531" spans="1:24">
      <c r="A531" s="2255">
        <v>44404.291666666701</v>
      </c>
      <c r="B531" s="2255"/>
      <c r="C531" s="2258">
        <v>22880</v>
      </c>
      <c r="D531" s="2258"/>
      <c r="E531" s="2258">
        <v>26477</v>
      </c>
      <c r="F531" s="2258"/>
      <c r="G531" s="2258">
        <v>204</v>
      </c>
      <c r="H531" s="2259"/>
      <c r="I531" s="2259"/>
      <c r="J531" s="2259"/>
      <c r="K531" s="2259"/>
      <c r="S531" s="2285">
        <v>523</v>
      </c>
      <c r="T531" s="2286" t="s">
        <v>1278</v>
      </c>
      <c r="U531" s="2287" t="s">
        <v>1253</v>
      </c>
      <c r="V531" s="2285">
        <v>44629</v>
      </c>
      <c r="W531" s="2285">
        <v>19.4483</v>
      </c>
      <c r="X531" s="2285">
        <v>22515</v>
      </c>
    </row>
    <row r="532" spans="1:24">
      <c r="A532" s="2255">
        <v>44403.291666666701</v>
      </c>
      <c r="B532" s="2255"/>
      <c r="C532" s="2258">
        <v>22880</v>
      </c>
      <c r="D532" s="2258"/>
      <c r="E532" s="2258">
        <v>26387</v>
      </c>
      <c r="F532" s="2258"/>
      <c r="G532" s="2258">
        <v>203</v>
      </c>
      <c r="H532" s="2259"/>
      <c r="I532" s="2259"/>
      <c r="J532" s="2259"/>
      <c r="K532" s="2259"/>
      <c r="S532" s="2285">
        <v>524</v>
      </c>
      <c r="T532" s="2286" t="s">
        <v>1279</v>
      </c>
      <c r="U532" s="2287" t="s">
        <v>1249</v>
      </c>
      <c r="V532" s="2285">
        <v>44628</v>
      </c>
      <c r="W532" s="2285">
        <v>19.740400000000001</v>
      </c>
      <c r="X532" s="2285">
        <v>22515</v>
      </c>
    </row>
    <row r="533" spans="1:24">
      <c r="A533" s="2255">
        <v>44400.291666666701</v>
      </c>
      <c r="B533" s="2255"/>
      <c r="C533" s="2258">
        <v>22880</v>
      </c>
      <c r="D533" s="2258"/>
      <c r="E533" s="2258">
        <v>26403</v>
      </c>
      <c r="F533" s="2258"/>
      <c r="G533" s="2258">
        <v>204</v>
      </c>
      <c r="H533" s="2259"/>
      <c r="I533" s="2259"/>
      <c r="J533" s="2259"/>
      <c r="K533" s="2259"/>
      <c r="S533" s="2285">
        <v>525</v>
      </c>
      <c r="T533" s="2286" t="s">
        <v>1280</v>
      </c>
      <c r="U533" s="2287" t="s">
        <v>1250</v>
      </c>
      <c r="V533" s="2285">
        <v>44627</v>
      </c>
      <c r="W533" s="2285">
        <v>19.9283</v>
      </c>
      <c r="X533" s="2285">
        <v>22530</v>
      </c>
    </row>
    <row r="534" spans="1:24">
      <c r="A534" s="2255">
        <v>44399.291666666701</v>
      </c>
      <c r="B534" s="2255"/>
      <c r="C534" s="2258">
        <v>22890</v>
      </c>
      <c r="D534" s="2258"/>
      <c r="E534" s="2258">
        <v>26450</v>
      </c>
      <c r="F534" s="2258"/>
      <c r="G534" s="2258">
        <v>204</v>
      </c>
      <c r="H534" s="2259"/>
      <c r="I534" s="2259"/>
      <c r="J534" s="2259"/>
      <c r="K534" s="2259"/>
      <c r="S534" s="2285">
        <v>526</v>
      </c>
      <c r="T534" s="2286" t="s">
        <v>1281</v>
      </c>
      <c r="U534" s="2287"/>
      <c r="V534" s="2285"/>
      <c r="W534" s="2285">
        <v>19.7822</v>
      </c>
      <c r="X534" s="2285">
        <v>22530</v>
      </c>
    </row>
    <row r="535" spans="1:24">
      <c r="A535" s="2255">
        <v>44398.291666666701</v>
      </c>
      <c r="B535" s="2255"/>
      <c r="C535" s="2258">
        <v>22900</v>
      </c>
      <c r="D535" s="2258"/>
      <c r="E535" s="2258">
        <v>26444</v>
      </c>
      <c r="F535" s="2258"/>
      <c r="G535" s="2258">
        <v>204</v>
      </c>
      <c r="H535" s="2259"/>
      <c r="I535" s="2259"/>
      <c r="J535" s="2259"/>
      <c r="K535" s="2259"/>
      <c r="S535" s="2285">
        <v>527</v>
      </c>
      <c r="T535" s="2286" t="s">
        <v>1282</v>
      </c>
      <c r="U535" s="2287" t="s">
        <v>1251</v>
      </c>
      <c r="V535" s="2285">
        <v>44624</v>
      </c>
      <c r="W535" s="2285">
        <v>19.573499999999999</v>
      </c>
      <c r="X535" s="2285">
        <v>22530</v>
      </c>
    </row>
    <row r="536" spans="1:24">
      <c r="A536" s="2255">
        <v>44397.291666666701</v>
      </c>
      <c r="B536" s="2255"/>
      <c r="C536" s="2258">
        <v>22900</v>
      </c>
      <c r="D536" s="2258"/>
      <c r="E536" s="2258">
        <v>26432</v>
      </c>
      <c r="F536" s="2258"/>
      <c r="G536" s="2258">
        <v>205</v>
      </c>
      <c r="H536" s="2259"/>
      <c r="I536" s="2259"/>
      <c r="J536" s="2259"/>
      <c r="K536" s="2259"/>
      <c r="S536" s="2285">
        <v>528</v>
      </c>
      <c r="T536" s="2286" t="s">
        <v>1283</v>
      </c>
      <c r="U536" s="2287" t="s">
        <v>1252</v>
      </c>
      <c r="V536" s="2285">
        <v>44623</v>
      </c>
      <c r="W536" s="2285"/>
      <c r="X536" s="2285">
        <v>22540</v>
      </c>
    </row>
    <row r="537" spans="1:24">
      <c r="A537" s="2255">
        <v>44396.291666666701</v>
      </c>
      <c r="B537" s="2255"/>
      <c r="C537" s="2258">
        <v>22890</v>
      </c>
      <c r="D537" s="2258"/>
      <c r="E537" s="2258">
        <v>26477</v>
      </c>
      <c r="F537" s="2258"/>
      <c r="G537" s="2258">
        <v>204</v>
      </c>
      <c r="H537" s="2259"/>
      <c r="I537" s="2259"/>
      <c r="J537" s="2259"/>
      <c r="K537" s="2259"/>
      <c r="S537" s="2285">
        <v>529</v>
      </c>
      <c r="T537" s="2286" t="s">
        <v>1284</v>
      </c>
      <c r="U537" s="2287" t="s">
        <v>1253</v>
      </c>
      <c r="V537" s="2285">
        <v>44622</v>
      </c>
      <c r="W537" s="2285">
        <v>19.510899999999999</v>
      </c>
      <c r="X537" s="2285">
        <v>22550</v>
      </c>
    </row>
    <row r="538" spans="1:24">
      <c r="A538" s="2255">
        <v>44393.291666666701</v>
      </c>
      <c r="B538" s="2255"/>
      <c r="C538" s="2258">
        <v>22880</v>
      </c>
      <c r="D538" s="2258"/>
      <c r="E538" s="2258">
        <v>26488</v>
      </c>
      <c r="F538" s="2258"/>
      <c r="G538" s="2258">
        <v>204</v>
      </c>
      <c r="H538" s="2259"/>
      <c r="I538" s="2259"/>
      <c r="J538" s="2259"/>
      <c r="K538" s="2259"/>
      <c r="S538" s="2285">
        <v>530</v>
      </c>
      <c r="T538" s="2286" t="s">
        <v>1285</v>
      </c>
      <c r="U538" s="2287" t="s">
        <v>1249</v>
      </c>
      <c r="V538" s="2285">
        <v>44621</v>
      </c>
      <c r="W538" s="2285">
        <v>19.489999999999998</v>
      </c>
      <c r="X538" s="2285">
        <v>22600</v>
      </c>
    </row>
    <row r="539" spans="1:24">
      <c r="A539" s="2255">
        <v>44392.291666666701</v>
      </c>
      <c r="B539" s="2255"/>
      <c r="C539" s="2258">
        <v>22890</v>
      </c>
      <c r="D539" s="2258"/>
      <c r="E539" s="2258">
        <v>26569</v>
      </c>
      <c r="F539" s="2258"/>
      <c r="G539" s="2258">
        <v>204</v>
      </c>
      <c r="H539" s="2262">
        <v>4.4999999999999998E-2</v>
      </c>
      <c r="I539" s="2262">
        <v>0.06</v>
      </c>
      <c r="J539" s="2259"/>
      <c r="K539" s="2262">
        <v>3.1E-2</v>
      </c>
      <c r="S539" s="2285">
        <v>531</v>
      </c>
      <c r="T539" s="2286" t="s">
        <v>1286</v>
      </c>
      <c r="U539" s="2287" t="s">
        <v>1250</v>
      </c>
      <c r="V539" s="2285">
        <v>44620</v>
      </c>
      <c r="W539" s="2285">
        <v>19.427399999999999</v>
      </c>
      <c r="X539" s="2285">
        <v>22620</v>
      </c>
    </row>
    <row r="540" spans="1:24">
      <c r="A540" s="2255">
        <v>44391.291666666701</v>
      </c>
      <c r="B540" s="2255"/>
      <c r="C540" s="2258">
        <v>22880</v>
      </c>
      <c r="D540" s="2258"/>
      <c r="E540" s="2258">
        <v>26407</v>
      </c>
      <c r="F540" s="2258"/>
      <c r="G540" s="2258">
        <v>202</v>
      </c>
      <c r="H540" s="2259"/>
      <c r="I540" s="2259"/>
      <c r="J540" s="2259"/>
      <c r="K540" s="2259"/>
      <c r="S540" s="2285">
        <v>532</v>
      </c>
      <c r="T540" s="2286" t="s">
        <v>1287</v>
      </c>
      <c r="U540" s="2287"/>
      <c r="V540" s="2285"/>
      <c r="W540" s="2285">
        <v>19.489999999999998</v>
      </c>
      <c r="X540" s="2285">
        <v>22620</v>
      </c>
    </row>
    <row r="541" spans="1:24">
      <c r="A541" s="2255">
        <v>44390.291666666701</v>
      </c>
      <c r="B541" s="2255"/>
      <c r="C541" s="2258">
        <v>22890</v>
      </c>
      <c r="D541" s="2258"/>
      <c r="E541" s="2258">
        <v>26494</v>
      </c>
      <c r="F541" s="2258"/>
      <c r="G541" s="2258">
        <v>202</v>
      </c>
      <c r="H541" s="2259"/>
      <c r="I541" s="2259"/>
      <c r="J541" s="2259"/>
      <c r="K541" s="2259"/>
      <c r="S541" s="2285">
        <v>533</v>
      </c>
      <c r="T541" s="2286" t="s">
        <v>1288</v>
      </c>
      <c r="U541" s="2287" t="s">
        <v>1251</v>
      </c>
      <c r="V541" s="2285">
        <v>44617</v>
      </c>
      <c r="W541" s="2285">
        <v>19.469200000000001</v>
      </c>
      <c r="X541" s="2285">
        <v>22620</v>
      </c>
    </row>
    <row r="542" spans="1:24">
      <c r="A542" s="2255">
        <v>44389.291666666701</v>
      </c>
      <c r="B542" s="2255"/>
      <c r="C542" s="2258">
        <v>22890</v>
      </c>
      <c r="D542" s="2258"/>
      <c r="E542" s="2258">
        <v>26470</v>
      </c>
      <c r="F542" s="2258"/>
      <c r="G542" s="2258">
        <v>203</v>
      </c>
      <c r="H542" s="2259"/>
      <c r="I542" s="2259"/>
      <c r="J542" s="2259"/>
      <c r="K542" s="2259"/>
      <c r="S542" s="2285">
        <v>534</v>
      </c>
      <c r="T542" s="2286" t="s">
        <v>1289</v>
      </c>
      <c r="U542" s="2287" t="s">
        <v>1252</v>
      </c>
      <c r="V542" s="2285">
        <v>44616</v>
      </c>
      <c r="W542" s="2285"/>
      <c r="X542" s="2285">
        <v>22625</v>
      </c>
    </row>
    <row r="543" spans="1:24">
      <c r="A543" s="2255">
        <v>44386.291666666701</v>
      </c>
      <c r="B543" s="2255"/>
      <c r="C543" s="2258">
        <v>22870</v>
      </c>
      <c r="D543" s="2258"/>
      <c r="E543" s="2258">
        <v>26398</v>
      </c>
      <c r="F543" s="2258"/>
      <c r="G543" s="2258">
        <v>203</v>
      </c>
      <c r="H543" s="2259"/>
      <c r="I543" s="2259"/>
      <c r="J543" s="2259"/>
      <c r="K543" s="2259"/>
      <c r="S543" s="2285">
        <v>535</v>
      </c>
      <c r="T543" s="2286" t="s">
        <v>1290</v>
      </c>
      <c r="U543" s="2287" t="s">
        <v>1253</v>
      </c>
      <c r="V543" s="2285">
        <v>44615</v>
      </c>
      <c r="W543" s="2285">
        <v>19.2605</v>
      </c>
      <c r="X543" s="2285">
        <v>22625</v>
      </c>
    </row>
    <row r="544" spans="1:24">
      <c r="A544" s="2255">
        <v>44385.291666666701</v>
      </c>
      <c r="B544" s="2255"/>
      <c r="C544" s="2258">
        <v>22890</v>
      </c>
      <c r="D544" s="2258"/>
      <c r="E544" s="2258">
        <v>26311</v>
      </c>
      <c r="F544" s="2258"/>
      <c r="G544" s="2258">
        <v>202</v>
      </c>
      <c r="H544" s="2259"/>
      <c r="I544" s="2259"/>
      <c r="J544" s="2259"/>
      <c r="K544" s="2259"/>
      <c r="S544" s="2285">
        <v>536</v>
      </c>
      <c r="T544" s="2286" t="s">
        <v>1291</v>
      </c>
      <c r="U544" s="2287" t="s">
        <v>1249</v>
      </c>
      <c r="V544" s="2285">
        <v>44614</v>
      </c>
      <c r="W544" s="2285">
        <v>19.197900000000001</v>
      </c>
      <c r="X544" s="2285">
        <v>22625</v>
      </c>
    </row>
    <row r="545" spans="1:24">
      <c r="A545" s="2255">
        <v>44384.291666666701</v>
      </c>
      <c r="B545" s="2255"/>
      <c r="C545" s="2258">
        <v>22870</v>
      </c>
      <c r="D545" s="2258"/>
      <c r="E545" s="2258">
        <v>26369</v>
      </c>
      <c r="F545" s="2258"/>
      <c r="G545" s="2258">
        <v>202</v>
      </c>
      <c r="H545" s="2259"/>
      <c r="I545" s="2259"/>
      <c r="J545" s="2259"/>
      <c r="K545" s="2259"/>
      <c r="S545" s="2285">
        <v>537</v>
      </c>
      <c r="T545" s="2286" t="s">
        <v>1292</v>
      </c>
      <c r="U545" s="2287" t="s">
        <v>1250</v>
      </c>
      <c r="V545" s="2285">
        <v>44613</v>
      </c>
      <c r="W545" s="2285">
        <v>19.406600000000001</v>
      </c>
      <c r="X545" s="2285">
        <v>22625</v>
      </c>
    </row>
    <row r="546" spans="1:24">
      <c r="A546" s="2255">
        <v>44383.291666666701</v>
      </c>
      <c r="B546" s="2255"/>
      <c r="C546" s="2258">
        <v>22870</v>
      </c>
      <c r="D546" s="2258"/>
      <c r="E546" s="2258">
        <v>26456</v>
      </c>
      <c r="F546" s="2258"/>
      <c r="G546" s="2258">
        <v>201</v>
      </c>
      <c r="H546" s="2259"/>
      <c r="I546" s="2259"/>
      <c r="J546" s="2259"/>
      <c r="K546" s="2259"/>
      <c r="S546" s="2285">
        <v>538</v>
      </c>
      <c r="T546" s="2286" t="s">
        <v>1293</v>
      </c>
      <c r="U546" s="2287"/>
      <c r="V546" s="2285"/>
      <c r="W546" s="2285">
        <v>19.3857</v>
      </c>
      <c r="X546" s="2285">
        <v>22625</v>
      </c>
    </row>
    <row r="547" spans="1:24">
      <c r="A547" s="2255">
        <v>44382.291666666701</v>
      </c>
      <c r="B547" s="2255"/>
      <c r="C547" s="2258">
        <v>22870</v>
      </c>
      <c r="D547" s="2258"/>
      <c r="E547" s="2258">
        <v>26454</v>
      </c>
      <c r="F547" s="2258"/>
      <c r="G547" s="2258">
        <v>201</v>
      </c>
      <c r="H547" s="2259"/>
      <c r="I547" s="2259"/>
      <c r="J547" s="2259"/>
      <c r="K547" s="2259"/>
      <c r="S547" s="2285">
        <v>539</v>
      </c>
      <c r="T547" s="2286" t="s">
        <v>1294</v>
      </c>
      <c r="U547" s="2287" t="s">
        <v>1251</v>
      </c>
      <c r="V547" s="2285">
        <v>44610</v>
      </c>
      <c r="W547" s="2285">
        <v>19.510899999999999</v>
      </c>
      <c r="X547" s="2285">
        <v>22625</v>
      </c>
    </row>
    <row r="548" spans="1:24">
      <c r="A548" s="2255">
        <v>44379.291666666701</v>
      </c>
      <c r="B548" s="2255"/>
      <c r="C548" s="2258">
        <v>22870</v>
      </c>
      <c r="D548" s="2258"/>
      <c r="E548" s="2258">
        <v>26413</v>
      </c>
      <c r="F548" s="2258"/>
      <c r="G548" s="2258">
        <v>200</v>
      </c>
      <c r="H548" s="2259"/>
      <c r="I548" s="2259"/>
      <c r="J548" s="2259"/>
      <c r="K548" s="2259"/>
      <c r="S548" s="2285">
        <v>540</v>
      </c>
      <c r="T548" s="2286" t="s">
        <v>1295</v>
      </c>
      <c r="U548" s="2287" t="s">
        <v>1252</v>
      </c>
      <c r="V548" s="2285">
        <v>44609</v>
      </c>
      <c r="W548" s="2285"/>
      <c r="X548" s="2285">
        <v>22625</v>
      </c>
    </row>
    <row r="549" spans="1:24">
      <c r="A549" s="2255">
        <v>44378.291666666701</v>
      </c>
      <c r="B549" s="2255"/>
      <c r="C549" s="2258">
        <v>22880</v>
      </c>
      <c r="D549" s="2258"/>
      <c r="E549" s="2258">
        <v>26438</v>
      </c>
      <c r="F549" s="2258"/>
      <c r="G549" s="2258">
        <v>201</v>
      </c>
      <c r="H549" s="2259"/>
      <c r="I549" s="2259"/>
      <c r="J549" s="2259"/>
      <c r="K549" s="2259"/>
      <c r="S549" s="2285">
        <v>541</v>
      </c>
      <c r="T549" s="2286" t="s">
        <v>1296</v>
      </c>
      <c r="U549" s="2287" t="s">
        <v>1253</v>
      </c>
      <c r="V549" s="2285">
        <v>44608</v>
      </c>
      <c r="W549" s="2285">
        <v>19.239599999999999</v>
      </c>
      <c r="X549" s="2285">
        <v>22630</v>
      </c>
    </row>
    <row r="550" spans="1:24">
      <c r="A550" s="2255">
        <v>44377.291666666701</v>
      </c>
      <c r="B550" s="2255"/>
      <c r="C550" s="2258">
        <v>22890</v>
      </c>
      <c r="D550" s="2258"/>
      <c r="E550" s="2258">
        <v>26566</v>
      </c>
      <c r="F550" s="2258"/>
      <c r="G550" s="2258">
        <v>202</v>
      </c>
      <c r="H550" s="2259"/>
      <c r="I550" s="2259"/>
      <c r="J550" s="2259"/>
      <c r="K550" s="2259"/>
      <c r="S550" s="2285">
        <v>542</v>
      </c>
      <c r="T550" s="2286" t="s">
        <v>1297</v>
      </c>
      <c r="U550" s="2287" t="s">
        <v>1249</v>
      </c>
      <c r="V550" s="2285">
        <v>44607</v>
      </c>
      <c r="W550" s="2285">
        <v>19.364799999999999</v>
      </c>
      <c r="X550" s="2285">
        <v>22630</v>
      </c>
    </row>
    <row r="551" spans="1:24">
      <c r="A551" s="2255">
        <v>44376.291666666701</v>
      </c>
      <c r="B551" s="2255"/>
      <c r="C551" s="2258">
        <v>22890</v>
      </c>
      <c r="D551" s="2258"/>
      <c r="E551" s="2258">
        <v>26604</v>
      </c>
      <c r="F551" s="2258"/>
      <c r="G551" s="2258">
        <v>202</v>
      </c>
      <c r="H551" s="2259"/>
      <c r="I551" s="2259"/>
      <c r="J551" s="2259"/>
      <c r="K551" s="2259"/>
      <c r="S551" s="2285">
        <v>543</v>
      </c>
      <c r="T551" s="2286" t="s">
        <v>1298</v>
      </c>
      <c r="U551" s="2287" t="s">
        <v>1250</v>
      </c>
      <c r="V551" s="2285">
        <v>44606</v>
      </c>
      <c r="W551" s="2285">
        <v>19.0518</v>
      </c>
      <c r="X551" s="2285">
        <v>22630</v>
      </c>
    </row>
    <row r="552" spans="1:24">
      <c r="A552" s="2255">
        <v>44375.291666666701</v>
      </c>
      <c r="B552" s="2255"/>
      <c r="C552" s="2258">
        <v>22890</v>
      </c>
      <c r="D552" s="2258"/>
      <c r="E552" s="2258">
        <v>26615</v>
      </c>
      <c r="F552" s="2258"/>
      <c r="G552" s="2258">
        <v>202</v>
      </c>
      <c r="H552" s="2259"/>
      <c r="I552" s="2259"/>
      <c r="J552" s="2259"/>
      <c r="K552" s="2259"/>
      <c r="S552" s="2285">
        <v>544</v>
      </c>
      <c r="T552" s="2286" t="s">
        <v>1299</v>
      </c>
      <c r="U552" s="2287"/>
      <c r="V552" s="2285"/>
      <c r="W552" s="2285">
        <v>19.010100000000001</v>
      </c>
      <c r="X552" s="2285">
        <v>22630</v>
      </c>
    </row>
    <row r="553" spans="1:24">
      <c r="A553" s="2255">
        <v>44372.291666666701</v>
      </c>
      <c r="B553" s="2255"/>
      <c r="C553" s="2258">
        <v>22880</v>
      </c>
      <c r="D553" s="2258"/>
      <c r="E553" s="2258">
        <v>26637</v>
      </c>
      <c r="F553" s="2258"/>
      <c r="G553" s="2258">
        <v>202</v>
      </c>
      <c r="H553" s="2259"/>
      <c r="I553" s="2259"/>
      <c r="J553" s="2259"/>
      <c r="K553" s="2259"/>
      <c r="S553" s="2285">
        <v>545</v>
      </c>
      <c r="T553" s="2286" t="s">
        <v>1300</v>
      </c>
      <c r="U553" s="2287" t="s">
        <v>1251</v>
      </c>
      <c r="V553" s="2285">
        <v>44603</v>
      </c>
      <c r="W553" s="2285">
        <v>18.9892</v>
      </c>
      <c r="X553" s="2285">
        <v>22630</v>
      </c>
    </row>
    <row r="554" spans="1:24">
      <c r="A554" s="2255">
        <v>44371.291666666701</v>
      </c>
      <c r="B554" s="2255"/>
      <c r="C554" s="2258">
        <v>22870</v>
      </c>
      <c r="D554" s="2258"/>
      <c r="E554" s="2258">
        <v>26610</v>
      </c>
      <c r="F554" s="2258"/>
      <c r="G554" s="2258">
        <v>201</v>
      </c>
      <c r="H554" s="2259"/>
      <c r="I554" s="2259"/>
      <c r="J554" s="2259"/>
      <c r="K554" s="2259"/>
      <c r="S554" s="2285">
        <v>546</v>
      </c>
      <c r="T554" s="2286" t="s">
        <v>1301</v>
      </c>
      <c r="U554" s="2287" t="s">
        <v>1252</v>
      </c>
      <c r="V554" s="2285">
        <v>44602</v>
      </c>
      <c r="W554" s="2285"/>
      <c r="X554" s="2285">
        <v>22620</v>
      </c>
    </row>
    <row r="555" spans="1:24">
      <c r="A555" s="2255">
        <v>44370.291666666701</v>
      </c>
      <c r="B555" s="2255"/>
      <c r="C555" s="2258">
        <v>22890</v>
      </c>
      <c r="D555" s="2258"/>
      <c r="E555" s="2258">
        <v>26651</v>
      </c>
      <c r="F555" s="2258"/>
      <c r="G555" s="2258">
        <v>201</v>
      </c>
      <c r="H555" s="2259"/>
      <c r="I555" s="2259"/>
      <c r="J555" s="2259"/>
      <c r="K555" s="2259"/>
      <c r="S555" s="2285">
        <v>547</v>
      </c>
      <c r="T555" s="2286" t="s">
        <v>1302</v>
      </c>
      <c r="U555" s="2287" t="s">
        <v>1253</v>
      </c>
      <c r="V555" s="2285">
        <v>44601</v>
      </c>
      <c r="W555" s="2285">
        <v>19.1144</v>
      </c>
      <c r="X555" s="2285">
        <v>22630</v>
      </c>
    </row>
    <row r="556" spans="1:24">
      <c r="A556" s="2255">
        <v>44369.291666666701</v>
      </c>
      <c r="B556" s="2255"/>
      <c r="C556" s="2258">
        <v>22890</v>
      </c>
      <c r="D556" s="2258"/>
      <c r="E556" s="2258">
        <v>26569</v>
      </c>
      <c r="F556" s="2258"/>
      <c r="G556" s="2258">
        <v>202</v>
      </c>
      <c r="H556" s="2259"/>
      <c r="I556" s="2259"/>
      <c r="J556" s="2259"/>
      <c r="K556" s="2259"/>
      <c r="S556" s="2285">
        <v>548</v>
      </c>
      <c r="T556" s="2286" t="s">
        <v>1303</v>
      </c>
      <c r="U556" s="2287" t="s">
        <v>1249</v>
      </c>
      <c r="V556" s="2285">
        <v>44600</v>
      </c>
      <c r="W556" s="2285">
        <v>19.197900000000001</v>
      </c>
      <c r="X556" s="2285">
        <v>22630</v>
      </c>
    </row>
    <row r="557" spans="1:24">
      <c r="A557" s="2255">
        <v>44368.291666666701</v>
      </c>
      <c r="B557" s="2255"/>
      <c r="C557" s="2258">
        <v>22890</v>
      </c>
      <c r="D557" s="2258"/>
      <c r="E557" s="2258">
        <v>26499</v>
      </c>
      <c r="F557" s="2258"/>
      <c r="G557" s="2258">
        <v>203</v>
      </c>
      <c r="H557" s="2259"/>
      <c r="I557" s="2259"/>
      <c r="J557" s="2259"/>
      <c r="K557" s="2259"/>
      <c r="S557" s="2285">
        <v>549</v>
      </c>
      <c r="T557" s="2286" t="s">
        <v>1304</v>
      </c>
      <c r="U557" s="2287" t="s">
        <v>1250</v>
      </c>
      <c r="V557" s="2285">
        <v>44599</v>
      </c>
      <c r="W557" s="2285">
        <v>18.926600000000001</v>
      </c>
      <c r="X557" s="2285">
        <v>22630</v>
      </c>
    </row>
    <row r="558" spans="1:24">
      <c r="A558" s="2255">
        <v>44365.291666666701</v>
      </c>
      <c r="B558" s="2255"/>
      <c r="C558" s="2258">
        <v>22880</v>
      </c>
      <c r="D558" s="2258"/>
      <c r="E558" s="2258">
        <v>26603</v>
      </c>
      <c r="F558" s="2258"/>
      <c r="G558" s="2258">
        <v>203</v>
      </c>
      <c r="H558" s="2259"/>
      <c r="I558" s="2259"/>
      <c r="J558" s="2259"/>
      <c r="K558" s="2259"/>
      <c r="S558" s="2285">
        <v>550</v>
      </c>
      <c r="T558" s="2286" t="s">
        <v>1305</v>
      </c>
      <c r="U558" s="2287"/>
      <c r="V558" s="2285"/>
      <c r="W558" s="2285">
        <v>18.905799999999999</v>
      </c>
      <c r="X558" s="2285">
        <v>22630</v>
      </c>
    </row>
    <row r="559" spans="1:24">
      <c r="A559" s="2255">
        <v>44364.291666666701</v>
      </c>
      <c r="B559" s="2255"/>
      <c r="C559" s="2258">
        <v>22830</v>
      </c>
      <c r="D559" s="2258"/>
      <c r="E559" s="2258">
        <v>26686</v>
      </c>
      <c r="F559" s="2258"/>
      <c r="G559" s="2258">
        <v>201</v>
      </c>
      <c r="H559" s="2259"/>
      <c r="I559" s="2259"/>
      <c r="J559" s="2259"/>
      <c r="K559" s="2259"/>
      <c r="S559" s="2285">
        <v>551</v>
      </c>
      <c r="T559" s="2286" t="s">
        <v>1306</v>
      </c>
      <c r="U559" s="2287" t="s">
        <v>1251</v>
      </c>
      <c r="V559" s="2285">
        <v>44589</v>
      </c>
      <c r="W559" s="2285">
        <v>18.676200000000001</v>
      </c>
      <c r="X559" s="2285">
        <v>22630</v>
      </c>
    </row>
    <row r="560" spans="1:24">
      <c r="A560" s="2255">
        <v>44363.291666666701</v>
      </c>
      <c r="B560" s="2255"/>
      <c r="C560" s="2258">
        <v>22820</v>
      </c>
      <c r="D560" s="2258"/>
      <c r="E560" s="2258">
        <v>26975</v>
      </c>
      <c r="F560" s="2258"/>
      <c r="G560" s="2258">
        <v>202</v>
      </c>
      <c r="H560" s="2259"/>
      <c r="I560" s="2259"/>
      <c r="J560" s="2259"/>
      <c r="K560" s="2259"/>
      <c r="S560" s="2285">
        <v>552</v>
      </c>
      <c r="T560" s="2286" t="s">
        <v>1307</v>
      </c>
      <c r="U560" s="2287" t="s">
        <v>1252</v>
      </c>
      <c r="V560" s="2285">
        <v>44588</v>
      </c>
      <c r="W560" s="2285"/>
      <c r="X560" s="2285">
        <v>22630</v>
      </c>
    </row>
    <row r="561" spans="1:24">
      <c r="A561" s="2255">
        <v>44362.291666666701</v>
      </c>
      <c r="B561" s="2255"/>
      <c r="C561" s="2258">
        <v>22820</v>
      </c>
      <c r="D561" s="2258"/>
      <c r="E561" s="2258">
        <v>27024</v>
      </c>
      <c r="F561" s="2258"/>
      <c r="G561" s="2258">
        <v>202</v>
      </c>
      <c r="H561" s="2259"/>
      <c r="I561" s="2259"/>
      <c r="J561" s="2259"/>
      <c r="K561" s="2259"/>
      <c r="S561" s="2285">
        <v>553</v>
      </c>
      <c r="T561" s="2286" t="s">
        <v>1308</v>
      </c>
      <c r="U561" s="2287" t="s">
        <v>1253</v>
      </c>
      <c r="V561" s="2285">
        <v>44587</v>
      </c>
      <c r="W561" s="2285">
        <v>18.676200000000001</v>
      </c>
      <c r="X561" s="2285">
        <v>22630</v>
      </c>
    </row>
    <row r="562" spans="1:24">
      <c r="A562" s="2255">
        <v>44361.291666666701</v>
      </c>
      <c r="B562" s="2255"/>
      <c r="C562" s="2258">
        <v>22820</v>
      </c>
      <c r="D562" s="2258"/>
      <c r="E562" s="2258">
        <v>26928</v>
      </c>
      <c r="F562" s="2258"/>
      <c r="G562" s="2258">
        <v>203</v>
      </c>
      <c r="H562" s="2259"/>
      <c r="I562" s="2259"/>
      <c r="J562" s="2259"/>
      <c r="K562" s="2259"/>
      <c r="S562" s="2285">
        <v>554</v>
      </c>
      <c r="T562" s="2286" t="s">
        <v>1309</v>
      </c>
      <c r="U562" s="2287" t="s">
        <v>1249</v>
      </c>
      <c r="V562" s="2285">
        <v>44586</v>
      </c>
      <c r="W562" s="2285">
        <v>17.925000000000001</v>
      </c>
      <c r="X562" s="2285">
        <v>22630</v>
      </c>
    </row>
    <row r="563" spans="1:24">
      <c r="A563" s="2255">
        <v>44358.291666666701</v>
      </c>
      <c r="B563" s="2255"/>
      <c r="C563" s="2258">
        <v>22820</v>
      </c>
      <c r="D563" s="2258"/>
      <c r="E563" s="2258">
        <v>27102</v>
      </c>
      <c r="F563" s="2258"/>
      <c r="G563" s="2258">
        <v>203</v>
      </c>
      <c r="H563" s="2259"/>
      <c r="I563" s="2259"/>
      <c r="J563" s="2259"/>
      <c r="K563" s="2259"/>
      <c r="S563" s="2285">
        <v>555</v>
      </c>
      <c r="T563" s="2286" t="s">
        <v>1310</v>
      </c>
      <c r="U563" s="2287" t="s">
        <v>1250</v>
      </c>
      <c r="V563" s="2285">
        <v>44585</v>
      </c>
      <c r="W563" s="2285">
        <v>17.945900000000002</v>
      </c>
      <c r="X563" s="2285">
        <v>22630</v>
      </c>
    </row>
    <row r="564" spans="1:24">
      <c r="A564" s="2255">
        <v>44357.291666666701</v>
      </c>
      <c r="B564" s="2255"/>
      <c r="C564" s="2258">
        <v>22810</v>
      </c>
      <c r="D564" s="2258"/>
      <c r="E564" s="2258">
        <v>27072</v>
      </c>
      <c r="F564" s="2258"/>
      <c r="G564" s="2258">
        <v>203</v>
      </c>
      <c r="H564" s="2262">
        <v>4.4999999999999998E-2</v>
      </c>
      <c r="I564" s="2262">
        <v>0.06</v>
      </c>
      <c r="J564" s="2259"/>
      <c r="K564" s="2262">
        <v>3.1E-2</v>
      </c>
      <c r="S564" s="2285">
        <v>556</v>
      </c>
      <c r="T564" s="2286" t="s">
        <v>1311</v>
      </c>
      <c r="U564" s="2287"/>
      <c r="V564" s="2285"/>
      <c r="W564" s="2285">
        <v>18.0502</v>
      </c>
      <c r="X564" s="2285">
        <v>22640</v>
      </c>
    </row>
    <row r="565" spans="1:24">
      <c r="A565" s="2255">
        <v>44356.291666666701</v>
      </c>
      <c r="B565" s="2255"/>
      <c r="C565" s="2258">
        <v>22830</v>
      </c>
      <c r="D565" s="2258"/>
      <c r="E565" s="2258">
        <v>27102</v>
      </c>
      <c r="F565" s="2258"/>
      <c r="G565" s="2258">
        <v>204</v>
      </c>
      <c r="H565" s="2259"/>
      <c r="I565" s="2259"/>
      <c r="J565" s="2259"/>
      <c r="K565" s="2259"/>
      <c r="S565" s="2285">
        <v>557</v>
      </c>
      <c r="T565" s="2286" t="s">
        <v>1312</v>
      </c>
      <c r="U565" s="2287" t="s">
        <v>1251</v>
      </c>
      <c r="V565" s="2285">
        <v>44582</v>
      </c>
      <c r="W565" s="2285">
        <v>17.799800000000001</v>
      </c>
      <c r="X565" s="2285">
        <v>22630</v>
      </c>
    </row>
    <row r="566" spans="1:24">
      <c r="A566" s="2255">
        <v>44355.291666666701</v>
      </c>
      <c r="B566" s="2255"/>
      <c r="C566" s="2258">
        <v>22830</v>
      </c>
      <c r="D566" s="2258"/>
      <c r="E566" s="2258">
        <v>27131</v>
      </c>
      <c r="F566" s="2258"/>
      <c r="G566" s="2258">
        <v>204</v>
      </c>
      <c r="H566" s="2259"/>
      <c r="I566" s="2259"/>
      <c r="J566" s="2259"/>
      <c r="K566" s="2259"/>
      <c r="S566" s="2285">
        <v>558</v>
      </c>
      <c r="T566" s="2286" t="s">
        <v>1313</v>
      </c>
      <c r="U566" s="2287" t="s">
        <v>1252</v>
      </c>
      <c r="V566" s="2285">
        <v>44581</v>
      </c>
      <c r="W566" s="2285"/>
      <c r="X566" s="2285">
        <v>22630</v>
      </c>
    </row>
    <row r="567" spans="1:24">
      <c r="A567" s="2255">
        <v>44354.291666666701</v>
      </c>
      <c r="B567" s="2255"/>
      <c r="C567" s="2258">
        <v>22840</v>
      </c>
      <c r="D567" s="2258"/>
      <c r="E567" s="2258">
        <v>27087</v>
      </c>
      <c r="F567" s="2258"/>
      <c r="G567" s="2258">
        <v>204</v>
      </c>
      <c r="H567" s="2259"/>
      <c r="I567" s="2259"/>
      <c r="J567" s="2259"/>
      <c r="K567" s="2259"/>
      <c r="S567" s="2285">
        <v>559</v>
      </c>
      <c r="T567" s="2286" t="s">
        <v>1314</v>
      </c>
      <c r="U567" s="2287" t="s">
        <v>1253</v>
      </c>
      <c r="V567" s="2285">
        <v>44580</v>
      </c>
      <c r="W567" s="2285">
        <v>18.404900000000001</v>
      </c>
      <c r="X567" s="2285">
        <v>22630</v>
      </c>
    </row>
    <row r="568" spans="1:24">
      <c r="A568" s="2255">
        <v>44351.291666666701</v>
      </c>
      <c r="B568" s="2255"/>
      <c r="C568" s="2258">
        <v>22920</v>
      </c>
      <c r="D568" s="2258"/>
      <c r="E568" s="2258">
        <v>27079</v>
      </c>
      <c r="F568" s="2258"/>
      <c r="G568" s="2258">
        <v>203</v>
      </c>
      <c r="H568" s="2259"/>
      <c r="I568" s="2259"/>
      <c r="J568" s="2259"/>
      <c r="K568" s="2259"/>
      <c r="S568" s="2285">
        <v>560</v>
      </c>
      <c r="T568" s="2286" t="s">
        <v>1315</v>
      </c>
      <c r="U568" s="2287" t="s">
        <v>1249</v>
      </c>
      <c r="V568" s="2285">
        <v>44579</v>
      </c>
      <c r="W568" s="2285">
        <v>18.530100000000001</v>
      </c>
      <c r="X568" s="2285">
        <v>22630</v>
      </c>
    </row>
    <row r="569" spans="1:24">
      <c r="A569" s="2255">
        <v>44350.291666666701</v>
      </c>
      <c r="B569" s="2255"/>
      <c r="C569" s="2258">
        <v>22910</v>
      </c>
      <c r="D569" s="2258"/>
      <c r="E569" s="2258">
        <v>27224</v>
      </c>
      <c r="F569" s="2258"/>
      <c r="G569" s="2258">
        <v>204</v>
      </c>
      <c r="H569" s="2259"/>
      <c r="I569" s="2259"/>
      <c r="J569" s="2259"/>
      <c r="K569" s="2259"/>
      <c r="S569" s="2285">
        <v>561</v>
      </c>
      <c r="T569" s="2286" t="s">
        <v>1316</v>
      </c>
      <c r="U569" s="2287" t="s">
        <v>1250</v>
      </c>
      <c r="V569" s="2285">
        <v>44578</v>
      </c>
      <c r="W569" s="2285">
        <v>18.425799999999999</v>
      </c>
      <c r="X569" s="2285">
        <v>22640</v>
      </c>
    </row>
    <row r="570" spans="1:24">
      <c r="A570" s="2255">
        <v>44349.291666666701</v>
      </c>
      <c r="B570" s="2255"/>
      <c r="C570" s="2258">
        <v>22915</v>
      </c>
      <c r="D570" s="2258"/>
      <c r="E570" s="2258">
        <v>27314</v>
      </c>
      <c r="F570" s="2258"/>
      <c r="G570" s="2258">
        <v>204</v>
      </c>
      <c r="H570" s="2259"/>
      <c r="I570" s="2259"/>
      <c r="J570" s="2259"/>
      <c r="K570" s="2259"/>
      <c r="S570" s="2285">
        <v>562</v>
      </c>
      <c r="T570" s="2286" t="s">
        <v>1317</v>
      </c>
      <c r="U570" s="2287"/>
      <c r="V570" s="2285"/>
      <c r="W570" s="2285">
        <v>18.3841</v>
      </c>
      <c r="X570" s="2285">
        <v>22645</v>
      </c>
    </row>
    <row r="571" spans="1:24">
      <c r="A571" s="2255">
        <v>44348.291666666701</v>
      </c>
      <c r="B571" s="2255"/>
      <c r="C571" s="2258">
        <v>22915</v>
      </c>
      <c r="D571" s="2258"/>
      <c r="E571" s="2258">
        <v>27321</v>
      </c>
      <c r="F571" s="2258"/>
      <c r="G571" s="2258">
        <v>204</v>
      </c>
      <c r="H571" s="2259"/>
      <c r="I571" s="2259"/>
      <c r="J571" s="2259"/>
      <c r="K571" s="2259"/>
      <c r="S571" s="2285">
        <v>563</v>
      </c>
      <c r="T571" s="2286" t="s">
        <v>1318</v>
      </c>
      <c r="U571" s="2287" t="s">
        <v>1251</v>
      </c>
      <c r="V571" s="2285">
        <v>44575</v>
      </c>
      <c r="W571" s="2285">
        <v>18.571899999999999</v>
      </c>
      <c r="X571" s="2285">
        <v>22640</v>
      </c>
    </row>
    <row r="572" spans="1:24">
      <c r="A572" s="2255">
        <v>44347.291666666701</v>
      </c>
      <c r="B572" s="2255"/>
      <c r="C572" s="2258">
        <v>22915</v>
      </c>
      <c r="D572" s="2258"/>
      <c r="E572" s="2258">
        <v>27234</v>
      </c>
      <c r="F572" s="2258"/>
      <c r="G572" s="2258">
        <v>203</v>
      </c>
      <c r="H572" s="2259"/>
      <c r="I572" s="2259"/>
      <c r="J572" s="2259"/>
      <c r="K572" s="2259"/>
      <c r="S572" s="2285">
        <v>564</v>
      </c>
      <c r="T572" s="2286" t="s">
        <v>1319</v>
      </c>
      <c r="U572" s="2287" t="s">
        <v>1252</v>
      </c>
      <c r="V572" s="2285">
        <v>44574</v>
      </c>
      <c r="W572" s="2285"/>
      <c r="X572" s="2285">
        <v>22630</v>
      </c>
    </row>
    <row r="573" spans="1:24">
      <c r="A573" s="2255">
        <v>44344.291666666701</v>
      </c>
      <c r="B573" s="2255"/>
      <c r="C573" s="2258">
        <v>22910</v>
      </c>
      <c r="D573" s="2258"/>
      <c r="E573" s="2258">
        <v>27238</v>
      </c>
      <c r="F573" s="2258"/>
      <c r="G573" s="2258">
        <v>204</v>
      </c>
      <c r="H573" s="2259"/>
      <c r="I573" s="2259"/>
      <c r="J573" s="2259"/>
      <c r="K573" s="2259"/>
      <c r="S573" s="2285">
        <v>565</v>
      </c>
      <c r="T573" s="2286" t="s">
        <v>1320</v>
      </c>
      <c r="U573" s="2287" t="s">
        <v>1253</v>
      </c>
      <c r="V573" s="2285">
        <v>44573</v>
      </c>
      <c r="W573" s="2285">
        <v>19.0518</v>
      </c>
      <c r="X573" s="2285">
        <v>22630</v>
      </c>
    </row>
    <row r="574" spans="1:24">
      <c r="A574" s="2255">
        <v>44343.291666666701</v>
      </c>
      <c r="B574" s="2255"/>
      <c r="C574" s="2258">
        <v>22910</v>
      </c>
      <c r="D574" s="2258"/>
      <c r="E574" s="2258">
        <v>27251</v>
      </c>
      <c r="F574" s="2258"/>
      <c r="G574" s="2258">
        <v>205</v>
      </c>
      <c r="H574" s="2259"/>
      <c r="I574" s="2259"/>
      <c r="J574" s="2259"/>
      <c r="K574" s="2259"/>
      <c r="S574" s="2285">
        <v>566</v>
      </c>
      <c r="T574" s="2286" t="s">
        <v>1321</v>
      </c>
      <c r="U574" s="2287" t="s">
        <v>1249</v>
      </c>
      <c r="V574" s="2285">
        <v>44572</v>
      </c>
      <c r="W574" s="2285">
        <v>19.218800000000002</v>
      </c>
      <c r="X574" s="2285">
        <v>22640</v>
      </c>
    </row>
    <row r="575" spans="1:24">
      <c r="A575" s="2255">
        <v>44342.291666666701</v>
      </c>
      <c r="B575" s="2255"/>
      <c r="C575" s="2258">
        <v>22930</v>
      </c>
      <c r="D575" s="2258"/>
      <c r="E575" s="2258">
        <v>27379</v>
      </c>
      <c r="F575" s="2258"/>
      <c r="G575" s="2258">
        <v>206</v>
      </c>
      <c r="H575" s="2259"/>
      <c r="I575" s="2259"/>
      <c r="J575" s="2259"/>
      <c r="K575" s="2259"/>
      <c r="S575" s="2285">
        <v>567</v>
      </c>
      <c r="T575" s="2286" t="s">
        <v>1322</v>
      </c>
      <c r="U575" s="2287" t="s">
        <v>1250</v>
      </c>
      <c r="V575" s="2285">
        <v>44571</v>
      </c>
      <c r="W575" s="2285">
        <v>18.697099999999999</v>
      </c>
      <c r="X575" s="2285">
        <v>22640</v>
      </c>
    </row>
    <row r="576" spans="1:24">
      <c r="A576" s="2255">
        <v>44341.291666666701</v>
      </c>
      <c r="B576" s="2255"/>
      <c r="C576" s="2258">
        <v>22930</v>
      </c>
      <c r="D576" s="2258"/>
      <c r="E576" s="2258">
        <v>27323</v>
      </c>
      <c r="F576" s="2258"/>
      <c r="G576" s="2258">
        <v>206</v>
      </c>
      <c r="H576" s="2259"/>
      <c r="I576" s="2259"/>
      <c r="J576" s="2259"/>
      <c r="K576" s="2259"/>
      <c r="S576" s="2285">
        <v>568</v>
      </c>
      <c r="T576" s="2286" t="s">
        <v>1323</v>
      </c>
      <c r="U576" s="2287"/>
      <c r="V576" s="2285"/>
      <c r="W576" s="2285">
        <v>18.676200000000001</v>
      </c>
      <c r="X576" s="2285">
        <v>22640</v>
      </c>
    </row>
    <row r="577" spans="1:24">
      <c r="A577" s="2255">
        <v>44340.291666666701</v>
      </c>
      <c r="B577" s="2255"/>
      <c r="C577" s="2258">
        <v>22930</v>
      </c>
      <c r="D577" s="2258"/>
      <c r="E577" s="2258">
        <v>27270</v>
      </c>
      <c r="F577" s="2258"/>
      <c r="G577" s="2258">
        <v>206</v>
      </c>
      <c r="H577" s="2259"/>
      <c r="I577" s="2259"/>
      <c r="J577" s="2259"/>
      <c r="K577" s="2259"/>
      <c r="S577" s="2285">
        <v>569</v>
      </c>
      <c r="T577" s="2286" t="s">
        <v>1324</v>
      </c>
      <c r="U577" s="2287" t="s">
        <v>1251</v>
      </c>
      <c r="V577" s="2285">
        <v>44568</v>
      </c>
      <c r="W577" s="2285">
        <v>19.197900000000001</v>
      </c>
      <c r="X577" s="2285">
        <v>22640</v>
      </c>
    </row>
    <row r="578" spans="1:24">
      <c r="A578" s="2255">
        <v>44337.291666666701</v>
      </c>
      <c r="B578" s="2255"/>
      <c r="C578" s="2258">
        <v>22920</v>
      </c>
      <c r="D578" s="2258"/>
      <c r="E578" s="2258">
        <v>27325</v>
      </c>
      <c r="F578" s="2258"/>
      <c r="G578" s="2258">
        <v>206</v>
      </c>
      <c r="H578" s="2259"/>
      <c r="I578" s="2259"/>
      <c r="J578" s="2259"/>
      <c r="K578" s="2259"/>
      <c r="S578" s="2285">
        <v>570</v>
      </c>
      <c r="T578" s="2286" t="s">
        <v>1325</v>
      </c>
      <c r="U578" s="2287" t="s">
        <v>1252</v>
      </c>
      <c r="V578" s="2285">
        <v>44567</v>
      </c>
      <c r="W578" s="2285"/>
      <c r="X578" s="2285">
        <v>22640</v>
      </c>
    </row>
    <row r="579" spans="1:24">
      <c r="A579" s="2255">
        <v>44336.291666666701</v>
      </c>
      <c r="B579" s="2255"/>
      <c r="C579" s="2258">
        <v>22920</v>
      </c>
      <c r="D579" s="2258"/>
      <c r="E579" s="2258">
        <v>27280</v>
      </c>
      <c r="F579" s="2258"/>
      <c r="G579" s="2258">
        <v>205</v>
      </c>
      <c r="H579" s="2259"/>
      <c r="I579" s="2259"/>
      <c r="J579" s="2259"/>
      <c r="K579" s="2259"/>
      <c r="S579" s="2285">
        <v>571</v>
      </c>
      <c r="T579" s="2286" t="s">
        <v>1326</v>
      </c>
      <c r="U579" s="2287" t="s">
        <v>1253</v>
      </c>
      <c r="V579" s="2285">
        <v>44566</v>
      </c>
      <c r="W579" s="2285">
        <v>19.489999999999998</v>
      </c>
      <c r="X579" s="2285">
        <v>22630</v>
      </c>
    </row>
    <row r="580" spans="1:24">
      <c r="A580" s="2255">
        <v>44335.291666666701</v>
      </c>
      <c r="B580" s="2255"/>
      <c r="C580" s="2258">
        <v>22920</v>
      </c>
      <c r="D580" s="2258"/>
      <c r="E580" s="2258">
        <v>27323</v>
      </c>
      <c r="F580" s="2258"/>
      <c r="G580" s="2258">
        <v>205</v>
      </c>
      <c r="H580" s="2259"/>
      <c r="I580" s="2259"/>
      <c r="J580" s="2259"/>
      <c r="K580" s="2259"/>
      <c r="S580" s="2285">
        <v>572</v>
      </c>
      <c r="T580" s="2286" t="s">
        <v>1327</v>
      </c>
      <c r="U580" s="2287" t="s">
        <v>1249</v>
      </c>
      <c r="V580" s="2285">
        <v>44565</v>
      </c>
      <c r="W580" s="2285">
        <v>19.510899999999999</v>
      </c>
      <c r="X580" s="2285">
        <v>22635</v>
      </c>
    </row>
    <row r="581" spans="1:24">
      <c r="A581" s="2255">
        <v>44334.291666666701</v>
      </c>
      <c r="B581" s="2255"/>
      <c r="C581" s="2258">
        <v>22920</v>
      </c>
      <c r="D581" s="2258"/>
      <c r="E581" s="2258">
        <v>27307</v>
      </c>
      <c r="F581" s="2258"/>
      <c r="G581" s="2258">
        <v>205</v>
      </c>
      <c r="H581" s="2259"/>
      <c r="I581" s="2259"/>
      <c r="J581" s="2259"/>
      <c r="K581" s="2259"/>
      <c r="S581" s="2285">
        <v>573</v>
      </c>
      <c r="T581" s="2286" t="s">
        <v>1328</v>
      </c>
      <c r="U581" s="2287"/>
      <c r="V581" s="2285"/>
      <c r="W581" s="2285">
        <v>19.5318</v>
      </c>
      <c r="X581" s="2285">
        <v>22650</v>
      </c>
    </row>
    <row r="582" spans="1:24">
      <c r="A582" s="2255">
        <v>44333.291666666701</v>
      </c>
      <c r="B582" s="2255"/>
      <c r="C582" s="2258">
        <v>22910</v>
      </c>
      <c r="D582" s="2258"/>
      <c r="E582" s="2258">
        <v>27116</v>
      </c>
      <c r="F582" s="2258"/>
      <c r="G582" s="2258">
        <v>205</v>
      </c>
      <c r="H582" s="2259"/>
      <c r="I582" s="2259"/>
      <c r="J582" s="2259"/>
      <c r="K582" s="2259"/>
      <c r="S582" s="2285">
        <v>574</v>
      </c>
      <c r="T582" s="2286" t="s">
        <v>1329</v>
      </c>
      <c r="U582" s="2287" t="s">
        <v>1251</v>
      </c>
      <c r="V582" s="2285">
        <v>44561</v>
      </c>
      <c r="W582" s="2285">
        <v>19.510899999999999</v>
      </c>
      <c r="X582" s="2285">
        <v>22650</v>
      </c>
    </row>
    <row r="583" spans="1:24">
      <c r="A583" s="2255">
        <v>44330.291666666701</v>
      </c>
      <c r="B583" s="2255"/>
      <c r="C583" s="2258">
        <v>22920</v>
      </c>
      <c r="D583" s="2258"/>
      <c r="E583" s="2258">
        <v>27061</v>
      </c>
      <c r="F583" s="2258"/>
      <c r="G583" s="2258">
        <v>204</v>
      </c>
      <c r="H583" s="2259"/>
      <c r="I583" s="2259"/>
      <c r="J583" s="2259"/>
      <c r="K583" s="2259"/>
      <c r="S583" s="2285">
        <v>575</v>
      </c>
      <c r="T583" s="2286" t="s">
        <v>1330</v>
      </c>
      <c r="U583" s="2287" t="s">
        <v>1252</v>
      </c>
      <c r="V583" s="2285">
        <v>44560</v>
      </c>
      <c r="W583" s="2285"/>
      <c r="X583" s="2285">
        <v>22650</v>
      </c>
    </row>
    <row r="584" spans="1:24">
      <c r="A584" s="2255">
        <v>44329.291666666701</v>
      </c>
      <c r="B584" s="2255"/>
      <c r="C584" s="2258">
        <v>22910</v>
      </c>
      <c r="D584" s="2258"/>
      <c r="E584" s="2258">
        <v>27039</v>
      </c>
      <c r="F584" s="2258"/>
      <c r="G584" s="2258">
        <v>204</v>
      </c>
      <c r="H584" s="2259"/>
      <c r="I584" s="2259"/>
      <c r="J584" s="2259"/>
      <c r="K584" s="2259"/>
      <c r="S584" s="2285">
        <v>576</v>
      </c>
      <c r="T584" s="2286" t="s">
        <v>1331</v>
      </c>
      <c r="U584" s="2287" t="s">
        <v>1253</v>
      </c>
      <c r="V584" s="2285">
        <v>44559</v>
      </c>
      <c r="W584" s="2285">
        <v>19.406600000000001</v>
      </c>
      <c r="X584" s="2285">
        <v>22640</v>
      </c>
    </row>
    <row r="585" spans="1:24">
      <c r="A585" s="2255">
        <v>44328.291666666701</v>
      </c>
      <c r="B585" s="2255"/>
      <c r="C585" s="2258">
        <v>22930</v>
      </c>
      <c r="D585" s="2258"/>
      <c r="E585" s="2258">
        <v>27135</v>
      </c>
      <c r="F585" s="2258"/>
      <c r="G585" s="2258">
        <v>206</v>
      </c>
      <c r="H585" s="2259"/>
      <c r="I585" s="2259"/>
      <c r="J585" s="2259"/>
      <c r="K585" s="2259"/>
      <c r="S585" s="2285">
        <v>577</v>
      </c>
      <c r="T585" s="2286" t="s">
        <v>1332</v>
      </c>
      <c r="U585" s="2287" t="s">
        <v>1249</v>
      </c>
      <c r="V585" s="2285">
        <v>44558</v>
      </c>
      <c r="W585" s="2285">
        <v>21.065300000000001</v>
      </c>
      <c r="X585" s="2285">
        <v>22650</v>
      </c>
    </row>
    <row r="586" spans="1:24">
      <c r="A586" s="2255">
        <v>44327.291666666701</v>
      </c>
      <c r="B586" s="2255"/>
      <c r="C586" s="2258">
        <v>22930</v>
      </c>
      <c r="D586" s="2258"/>
      <c r="E586" s="2258">
        <v>27135</v>
      </c>
      <c r="F586" s="2258"/>
      <c r="G586" s="2258">
        <v>205</v>
      </c>
      <c r="H586" s="2259"/>
      <c r="I586" s="2259"/>
      <c r="J586" s="2259"/>
      <c r="K586" s="2259"/>
      <c r="U586" s="2267" t="s">
        <v>1250</v>
      </c>
      <c r="V586" s="2268">
        <v>44557</v>
      </c>
      <c r="W586" s="2267">
        <v>21.065300000000001</v>
      </c>
    </row>
    <row r="587" spans="1:24">
      <c r="A587" s="2255">
        <v>44326.291666666701</v>
      </c>
      <c r="B587" s="2255"/>
      <c r="C587" s="2258">
        <v>22940</v>
      </c>
      <c r="D587" s="2258"/>
      <c r="E587" s="2258">
        <v>27202</v>
      </c>
      <c r="F587" s="2258"/>
      <c r="G587" s="2258">
        <v>206</v>
      </c>
      <c r="H587" s="2259"/>
      <c r="I587" s="2259"/>
      <c r="J587" s="2259"/>
      <c r="K587" s="2259"/>
      <c r="V587" s="2267"/>
      <c r="W587" s="2267">
        <v>21.267800000000001</v>
      </c>
    </row>
    <row r="588" spans="1:24">
      <c r="A588" s="2255">
        <v>44323.291666666701</v>
      </c>
      <c r="B588" s="2255"/>
      <c r="C588" s="2258">
        <v>22950</v>
      </c>
      <c r="D588" s="2258"/>
      <c r="E588" s="2258">
        <v>26988</v>
      </c>
      <c r="F588" s="2258"/>
      <c r="G588" s="2258">
        <v>205</v>
      </c>
      <c r="H588" s="2262">
        <v>4.4999999999999998E-2</v>
      </c>
      <c r="I588" s="2262">
        <v>0.06</v>
      </c>
      <c r="J588" s="2259"/>
      <c r="K588" s="2262">
        <v>3.1E-2</v>
      </c>
      <c r="U588" s="2267" t="s">
        <v>1251</v>
      </c>
      <c r="V588" s="2268">
        <v>44554</v>
      </c>
      <c r="W588" s="2267">
        <v>21.267800000000001</v>
      </c>
    </row>
    <row r="589" spans="1:24">
      <c r="A589" s="2255">
        <v>44322.291666666701</v>
      </c>
      <c r="B589" s="2255"/>
      <c r="C589" s="2258">
        <v>22940</v>
      </c>
      <c r="D589" s="2258"/>
      <c r="E589" s="2258">
        <v>26834</v>
      </c>
      <c r="F589" s="2258"/>
      <c r="G589" s="2258">
        <v>205</v>
      </c>
      <c r="H589" s="2259"/>
      <c r="I589" s="2259"/>
      <c r="J589" s="2259"/>
      <c r="K589" s="2259"/>
      <c r="U589" s="2267" t="s">
        <v>1252</v>
      </c>
      <c r="V589" s="2268">
        <v>44553</v>
      </c>
    </row>
    <row r="590" spans="1:24">
      <c r="A590" s="2255">
        <v>44321.291666666701</v>
      </c>
      <c r="B590" s="2255"/>
      <c r="C590" s="2258">
        <v>22940</v>
      </c>
      <c r="D590" s="2258"/>
      <c r="E590" s="2258">
        <v>26885</v>
      </c>
      <c r="F590" s="2258"/>
      <c r="G590" s="2258">
        <v>205</v>
      </c>
      <c r="H590" s="2259"/>
      <c r="I590" s="2259"/>
      <c r="J590" s="2259"/>
      <c r="K590" s="2259"/>
      <c r="U590" s="2267" t="s">
        <v>1253</v>
      </c>
      <c r="V590" s="2268">
        <v>44552</v>
      </c>
      <c r="W590" s="2267">
        <v>21.110299999999999</v>
      </c>
    </row>
    <row r="591" spans="1:24">
      <c r="A591" s="2255">
        <v>44320.291666666701</v>
      </c>
      <c r="B591" s="2255"/>
      <c r="C591" s="2258">
        <v>22940</v>
      </c>
      <c r="D591" s="2258"/>
      <c r="E591" s="2258">
        <v>26959</v>
      </c>
      <c r="F591" s="2258"/>
      <c r="G591" s="2258">
        <v>205</v>
      </c>
      <c r="H591" s="2259"/>
      <c r="I591" s="2259"/>
      <c r="J591" s="2259"/>
      <c r="K591" s="2259"/>
      <c r="U591" s="2267" t="s">
        <v>1249</v>
      </c>
      <c r="V591" s="2268">
        <v>44551</v>
      </c>
      <c r="W591" s="2267">
        <v>20.975200000000001</v>
      </c>
    </row>
    <row r="592" spans="1:24">
      <c r="A592" s="2255">
        <v>44315.291666666701</v>
      </c>
      <c r="B592" s="2255"/>
      <c r="C592" s="2258">
        <v>22930</v>
      </c>
      <c r="D592" s="2258"/>
      <c r="E592" s="2258">
        <v>27121</v>
      </c>
      <c r="F592" s="2258"/>
      <c r="G592" s="2258">
        <v>206</v>
      </c>
      <c r="H592" s="2259"/>
      <c r="I592" s="2259"/>
      <c r="J592" s="2259"/>
      <c r="K592" s="2259"/>
      <c r="U592" s="2267" t="s">
        <v>1250</v>
      </c>
      <c r="V592" s="2268">
        <v>44550</v>
      </c>
      <c r="W592" s="2267">
        <v>21.380299999999998</v>
      </c>
    </row>
    <row r="593" spans="1:23">
      <c r="A593" s="2255">
        <v>44314.291666666701</v>
      </c>
      <c r="B593" s="2255"/>
      <c r="C593" s="2258">
        <v>22930</v>
      </c>
      <c r="D593" s="2258"/>
      <c r="E593" s="2258">
        <v>27001</v>
      </c>
      <c r="F593" s="2258"/>
      <c r="G593" s="2258">
        <v>205</v>
      </c>
      <c r="H593" s="2259"/>
      <c r="I593" s="2259"/>
      <c r="J593" s="2259"/>
      <c r="K593" s="2259"/>
      <c r="V593" s="2267"/>
      <c r="W593" s="2267">
        <v>21.4253</v>
      </c>
    </row>
    <row r="594" spans="1:23">
      <c r="A594" s="2255">
        <v>44313.291666666701</v>
      </c>
      <c r="B594" s="2255"/>
      <c r="C594" s="2258">
        <v>22930</v>
      </c>
      <c r="D594" s="2258"/>
      <c r="E594" s="2258">
        <v>26996</v>
      </c>
      <c r="F594" s="2258"/>
      <c r="G594" s="2258">
        <v>207</v>
      </c>
      <c r="H594" s="2259"/>
      <c r="I594" s="2259"/>
      <c r="J594" s="2259"/>
      <c r="K594" s="2259"/>
      <c r="U594" s="2267" t="s">
        <v>1251</v>
      </c>
      <c r="V594" s="2268">
        <v>44547</v>
      </c>
      <c r="W594" s="2267">
        <v>21.560400000000001</v>
      </c>
    </row>
    <row r="595" spans="1:23">
      <c r="A595" s="2255">
        <v>44312.291666666701</v>
      </c>
      <c r="B595" s="2255"/>
      <c r="C595" s="2258">
        <v>22940</v>
      </c>
      <c r="D595" s="2258"/>
      <c r="E595" s="2258">
        <v>27070</v>
      </c>
      <c r="F595" s="2258"/>
      <c r="G595" s="2258">
        <v>208</v>
      </c>
      <c r="H595" s="2259"/>
      <c r="I595" s="2259"/>
      <c r="J595" s="2259"/>
      <c r="K595" s="2259"/>
      <c r="U595" s="2267" t="s">
        <v>1252</v>
      </c>
      <c r="V595" s="2268">
        <v>44546</v>
      </c>
    </row>
    <row r="596" spans="1:23">
      <c r="A596" s="2255">
        <v>44309.291666666701</v>
      </c>
      <c r="B596" s="2255"/>
      <c r="C596" s="2258">
        <v>22945</v>
      </c>
      <c r="D596" s="2258"/>
      <c r="E596" s="2258">
        <v>26873</v>
      </c>
      <c r="F596" s="2258"/>
      <c r="G596" s="2258">
        <v>207</v>
      </c>
      <c r="H596" s="2259"/>
      <c r="I596" s="2259"/>
      <c r="J596" s="2259"/>
      <c r="K596" s="2259"/>
      <c r="U596" s="2267" t="s">
        <v>1253</v>
      </c>
      <c r="V596" s="2268">
        <v>44545</v>
      </c>
      <c r="W596" s="2267">
        <v>21.695399999999999</v>
      </c>
    </row>
    <row r="597" spans="1:23">
      <c r="A597" s="2255">
        <v>44308.291666666701</v>
      </c>
      <c r="B597" s="2255"/>
      <c r="C597" s="2258">
        <v>22955</v>
      </c>
      <c r="D597" s="2258"/>
      <c r="E597" s="2258">
        <v>26934</v>
      </c>
      <c r="F597" s="2258"/>
      <c r="G597" s="2258">
        <v>207</v>
      </c>
      <c r="H597" s="2259"/>
      <c r="I597" s="2259"/>
      <c r="J597" s="2259"/>
      <c r="K597" s="2259"/>
      <c r="U597" s="2267" t="s">
        <v>1249</v>
      </c>
      <c r="V597" s="2268">
        <v>44544</v>
      </c>
      <c r="W597" s="2267">
        <v>21.492899999999999</v>
      </c>
    </row>
    <row r="598" spans="1:23">
      <c r="A598" s="2255">
        <v>44306.291666666701</v>
      </c>
      <c r="B598" s="2255"/>
      <c r="C598" s="2258">
        <v>22960</v>
      </c>
      <c r="D598" s="2258"/>
      <c r="E598" s="2258">
        <v>26946</v>
      </c>
      <c r="F598" s="2258"/>
      <c r="G598" s="2258">
        <v>207</v>
      </c>
      <c r="H598" s="2259"/>
      <c r="I598" s="2259"/>
      <c r="J598" s="2259"/>
      <c r="K598" s="2259"/>
      <c r="U598" s="2267" t="s">
        <v>1250</v>
      </c>
      <c r="V598" s="2268">
        <v>44543</v>
      </c>
      <c r="W598" s="2267">
        <v>21.582899999999999</v>
      </c>
    </row>
    <row r="599" spans="1:23">
      <c r="A599" s="2255">
        <v>44305.291666666701</v>
      </c>
      <c r="B599" s="2255"/>
      <c r="C599" s="2258">
        <v>22955</v>
      </c>
      <c r="D599" s="2258"/>
      <c r="E599" s="2258">
        <v>26804</v>
      </c>
      <c r="F599" s="2258"/>
      <c r="G599" s="2258">
        <v>206</v>
      </c>
      <c r="H599" s="2259"/>
      <c r="I599" s="2259"/>
      <c r="J599" s="2259"/>
      <c r="K599" s="2259"/>
      <c r="V599" s="2267"/>
      <c r="W599" s="2267">
        <v>21.5379</v>
      </c>
    </row>
    <row r="600" spans="1:23">
      <c r="A600" s="2255">
        <v>44302.291666666701</v>
      </c>
      <c r="B600" s="2255"/>
      <c r="C600" s="2258">
        <v>22950</v>
      </c>
      <c r="D600" s="2258"/>
      <c r="E600" s="2258">
        <v>26776</v>
      </c>
      <c r="F600" s="2258"/>
      <c r="G600" s="2258">
        <v>206</v>
      </c>
      <c r="H600" s="2259"/>
      <c r="I600" s="2259"/>
      <c r="J600" s="2259"/>
      <c r="K600" s="2259"/>
      <c r="U600" s="2267" t="s">
        <v>1251</v>
      </c>
      <c r="V600" s="2268">
        <v>44540</v>
      </c>
      <c r="W600" s="2267">
        <v>21.605399999999999</v>
      </c>
    </row>
    <row r="601" spans="1:23">
      <c r="A601" s="2255">
        <v>44301.291666666701</v>
      </c>
      <c r="B601" s="2255"/>
      <c r="C601" s="2258">
        <v>22950</v>
      </c>
      <c r="D601" s="2258"/>
      <c r="E601" s="2258">
        <v>26818</v>
      </c>
      <c r="F601" s="2258"/>
      <c r="G601" s="2258">
        <v>206</v>
      </c>
      <c r="H601" s="2262">
        <v>4.4999999999999998E-2</v>
      </c>
      <c r="I601" s="2262">
        <v>0.06</v>
      </c>
      <c r="J601" s="2259"/>
      <c r="K601" s="2262">
        <v>3.1E-2</v>
      </c>
      <c r="U601" s="2267" t="s">
        <v>1252</v>
      </c>
      <c r="V601" s="2268">
        <v>44539</v>
      </c>
    </row>
    <row r="602" spans="1:23">
      <c r="A602" s="2255">
        <v>44300.291666666701</v>
      </c>
      <c r="B602" s="2255"/>
      <c r="C602" s="2258">
        <v>22950</v>
      </c>
      <c r="D602" s="2258"/>
      <c r="E602" s="2258">
        <v>26756</v>
      </c>
      <c r="F602" s="2258"/>
      <c r="G602" s="2258">
        <v>206</v>
      </c>
      <c r="H602" s="2259"/>
      <c r="I602" s="2259"/>
      <c r="J602" s="2259"/>
      <c r="K602" s="2259"/>
      <c r="U602" s="2267" t="s">
        <v>1253</v>
      </c>
      <c r="V602" s="2268">
        <v>44538</v>
      </c>
      <c r="W602" s="2267">
        <v>21.560400000000001</v>
      </c>
    </row>
    <row r="603" spans="1:23">
      <c r="A603" s="2255">
        <v>44299.291666666701</v>
      </c>
      <c r="B603" s="2255"/>
      <c r="C603" s="2258">
        <v>22950</v>
      </c>
      <c r="D603" s="2258"/>
      <c r="E603" s="2258">
        <v>26633</v>
      </c>
      <c r="F603" s="2258"/>
      <c r="G603" s="2258">
        <v>204</v>
      </c>
      <c r="H603" s="2259"/>
      <c r="I603" s="2259"/>
      <c r="J603" s="2259"/>
      <c r="K603" s="2259"/>
      <c r="U603" s="2267" t="s">
        <v>1249</v>
      </c>
      <c r="V603" s="2268">
        <v>44537</v>
      </c>
      <c r="W603" s="2267">
        <v>21.830400000000001</v>
      </c>
    </row>
    <row r="604" spans="1:23">
      <c r="A604" s="2255">
        <v>44298.291666666701</v>
      </c>
      <c r="B604" s="2255"/>
      <c r="C604" s="2258">
        <v>22950</v>
      </c>
      <c r="D604" s="2258"/>
      <c r="E604" s="2258">
        <v>26588</v>
      </c>
      <c r="F604" s="2258"/>
      <c r="G604" s="2258">
        <v>204</v>
      </c>
      <c r="H604" s="2259"/>
      <c r="I604" s="2259"/>
      <c r="J604" s="2259"/>
      <c r="K604" s="2259"/>
      <c r="U604" s="2267" t="s">
        <v>1250</v>
      </c>
      <c r="V604" s="2268">
        <v>44536</v>
      </c>
      <c r="W604" s="2267">
        <v>21.5154</v>
      </c>
    </row>
    <row r="605" spans="1:23">
      <c r="A605" s="2255">
        <v>44295.291666666701</v>
      </c>
      <c r="B605" s="2255"/>
      <c r="C605" s="2258">
        <v>22950</v>
      </c>
      <c r="D605" s="2258"/>
      <c r="E605" s="2258">
        <v>26601</v>
      </c>
      <c r="F605" s="2258"/>
      <c r="G605" s="2258">
        <v>205</v>
      </c>
      <c r="H605" s="2259"/>
      <c r="I605" s="2259"/>
      <c r="J605" s="2259"/>
      <c r="K605" s="2259"/>
      <c r="V605" s="2267"/>
      <c r="W605" s="2267">
        <v>21.605399999999999</v>
      </c>
    </row>
    <row r="606" spans="1:23">
      <c r="A606" s="2255">
        <v>44294.291666666701</v>
      </c>
      <c r="B606" s="2255"/>
      <c r="C606" s="2258">
        <v>22970</v>
      </c>
      <c r="D606" s="2258"/>
      <c r="E606" s="2258">
        <v>26568</v>
      </c>
      <c r="F606" s="2258"/>
      <c r="G606" s="2258">
        <v>204</v>
      </c>
      <c r="H606" s="2259"/>
      <c r="I606" s="2259"/>
      <c r="J606" s="2259"/>
      <c r="K606" s="2259"/>
      <c r="U606" s="2267" t="s">
        <v>1251</v>
      </c>
      <c r="V606" s="2268">
        <v>44533</v>
      </c>
      <c r="W606" s="2267">
        <v>21.267800000000001</v>
      </c>
    </row>
    <row r="607" spans="1:23">
      <c r="A607" s="2255">
        <v>44293.291666666701</v>
      </c>
      <c r="B607" s="2255"/>
      <c r="C607" s="2258">
        <v>22970</v>
      </c>
      <c r="D607" s="2258"/>
      <c r="E607" s="2258">
        <v>26577</v>
      </c>
      <c r="F607" s="2258"/>
      <c r="G607" s="2258">
        <v>204</v>
      </c>
      <c r="H607" s="2259"/>
      <c r="I607" s="2259"/>
      <c r="J607" s="2259"/>
      <c r="K607" s="2259"/>
      <c r="U607" s="2267" t="s">
        <v>1252</v>
      </c>
      <c r="V607" s="2268">
        <v>44532</v>
      </c>
    </row>
    <row r="608" spans="1:23">
      <c r="A608" s="2255">
        <v>44292.291666666701</v>
      </c>
      <c r="B608" s="2255"/>
      <c r="C608" s="2258">
        <v>22970</v>
      </c>
      <c r="D608" s="2258"/>
      <c r="E608" s="2258">
        <v>26450</v>
      </c>
      <c r="F608" s="2258"/>
      <c r="G608" s="2258">
        <v>203</v>
      </c>
      <c r="H608" s="2259"/>
      <c r="I608" s="2259"/>
      <c r="J608" s="2259"/>
      <c r="K608" s="2259"/>
      <c r="U608" s="2267" t="s">
        <v>1253</v>
      </c>
      <c r="V608" s="2268">
        <v>44531</v>
      </c>
      <c r="W608" s="2267">
        <v>21.492899999999999</v>
      </c>
    </row>
    <row r="609" spans="1:23">
      <c r="A609" s="2255">
        <v>44291.291666666701</v>
      </c>
      <c r="B609" s="2255"/>
      <c r="C609" s="2258">
        <v>22950</v>
      </c>
      <c r="D609" s="2258"/>
      <c r="E609" s="2258">
        <v>26319</v>
      </c>
      <c r="F609" s="2258"/>
      <c r="G609" s="2258">
        <v>202</v>
      </c>
      <c r="H609" s="2259"/>
      <c r="I609" s="2259"/>
      <c r="J609" s="2259"/>
      <c r="K609" s="2259"/>
      <c r="U609" s="2267" t="s">
        <v>1249</v>
      </c>
      <c r="V609" s="2268">
        <v>44530</v>
      </c>
      <c r="W609" s="2267">
        <v>21.875499999999999</v>
      </c>
    </row>
    <row r="610" spans="1:23">
      <c r="A610" s="2255">
        <v>44288.291666666701</v>
      </c>
      <c r="B610" s="2255"/>
      <c r="C610" s="2258">
        <v>22950</v>
      </c>
      <c r="D610" s="2258"/>
      <c r="E610" s="2258">
        <v>26348</v>
      </c>
      <c r="F610" s="2258"/>
      <c r="G610" s="2258">
        <v>202</v>
      </c>
      <c r="H610" s="2259"/>
      <c r="I610" s="2259"/>
      <c r="J610" s="2259"/>
      <c r="K610" s="2259"/>
      <c r="U610" s="2267" t="s">
        <v>1250</v>
      </c>
      <c r="V610" s="2268">
        <v>44529</v>
      </c>
      <c r="W610" s="2267">
        <v>22.1005</v>
      </c>
    </row>
    <row r="611" spans="1:23">
      <c r="A611" s="2255">
        <v>44287.291666666701</v>
      </c>
      <c r="B611" s="2255"/>
      <c r="C611" s="2258">
        <v>22960</v>
      </c>
      <c r="D611" s="2258"/>
      <c r="E611" s="2258">
        <v>26234</v>
      </c>
      <c r="F611" s="2258"/>
      <c r="G611" s="2258">
        <v>202</v>
      </c>
      <c r="H611" s="2259"/>
      <c r="I611" s="2259"/>
      <c r="J611" s="2259"/>
      <c r="K611" s="2259"/>
      <c r="V611" s="2267"/>
      <c r="W611" s="2267">
        <v>21.852900000000002</v>
      </c>
    </row>
    <row r="612" spans="1:23">
      <c r="A612" s="2255">
        <v>44286.291666666701</v>
      </c>
      <c r="B612" s="2255"/>
      <c r="C612" s="2258">
        <v>22960</v>
      </c>
      <c r="D612" s="2258"/>
      <c r="E612" s="2258">
        <v>26239</v>
      </c>
      <c r="F612" s="2258"/>
      <c r="G612" s="2258">
        <v>202</v>
      </c>
      <c r="H612" s="2259"/>
      <c r="I612" s="2259"/>
      <c r="J612" s="2259"/>
      <c r="K612" s="2259"/>
      <c r="U612" s="2267" t="s">
        <v>1251</v>
      </c>
      <c r="V612" s="2268">
        <v>44526</v>
      </c>
      <c r="W612" s="2267">
        <v>22.077999999999999</v>
      </c>
    </row>
    <row r="613" spans="1:23">
      <c r="A613" s="2255">
        <v>44285.291666666701</v>
      </c>
      <c r="B613" s="2255"/>
      <c r="C613" s="2258">
        <v>22950</v>
      </c>
      <c r="D613" s="2258"/>
      <c r="E613" s="2258">
        <v>26328</v>
      </c>
      <c r="F613" s="2258"/>
      <c r="G613" s="2258">
        <v>204</v>
      </c>
      <c r="H613" s="2259"/>
      <c r="I613" s="2259"/>
      <c r="J613" s="2259"/>
      <c r="K613" s="2259"/>
      <c r="U613" s="2267" t="s">
        <v>1252</v>
      </c>
      <c r="V613" s="2268">
        <v>44525</v>
      </c>
    </row>
    <row r="614" spans="1:23">
      <c r="A614" s="2255">
        <v>44284.291666666701</v>
      </c>
      <c r="B614" s="2255"/>
      <c r="C614" s="2258">
        <v>22950</v>
      </c>
      <c r="D614" s="2258"/>
      <c r="E614" s="2258">
        <v>26351</v>
      </c>
      <c r="F614" s="2258"/>
      <c r="G614" s="2258">
        <v>204</v>
      </c>
      <c r="H614" s="2259"/>
      <c r="I614" s="2259"/>
      <c r="J614" s="2259"/>
      <c r="K614" s="2259"/>
      <c r="U614" s="2267" t="s">
        <v>1253</v>
      </c>
      <c r="V614" s="2268">
        <v>44524</v>
      </c>
      <c r="W614" s="2267">
        <v>22.257999999999999</v>
      </c>
    </row>
    <row r="615" spans="1:23">
      <c r="A615" s="2255">
        <v>44281.291666666701</v>
      </c>
      <c r="B615" s="2255"/>
      <c r="C615" s="2258">
        <v>22965</v>
      </c>
      <c r="D615" s="2258"/>
      <c r="E615" s="2258">
        <v>26370</v>
      </c>
      <c r="F615" s="2258"/>
      <c r="G615" s="2258">
        <v>205</v>
      </c>
      <c r="H615" s="2259"/>
      <c r="I615" s="2259"/>
      <c r="J615" s="2259"/>
      <c r="K615" s="2259"/>
      <c r="U615" s="2267" t="s">
        <v>1249</v>
      </c>
      <c r="V615" s="2268">
        <v>44523</v>
      </c>
      <c r="W615" s="2267">
        <v>22.505600000000001</v>
      </c>
    </row>
    <row r="616" spans="1:23">
      <c r="A616" s="2255">
        <v>44280.291666666701</v>
      </c>
      <c r="B616" s="2255"/>
      <c r="C616" s="2258">
        <v>22980</v>
      </c>
      <c r="D616" s="2258"/>
      <c r="E616" s="2258">
        <v>26452</v>
      </c>
      <c r="F616" s="2258"/>
      <c r="G616" s="2258">
        <v>205</v>
      </c>
      <c r="H616" s="2259"/>
      <c r="I616" s="2259"/>
      <c r="J616" s="2259"/>
      <c r="K616" s="2259"/>
      <c r="U616" s="2267" t="s">
        <v>1250</v>
      </c>
      <c r="V616" s="2268">
        <v>44522</v>
      </c>
      <c r="W616" s="2267">
        <v>22.033000000000001</v>
      </c>
    </row>
    <row r="617" spans="1:23">
      <c r="A617" s="2255">
        <v>44279.291666666701</v>
      </c>
      <c r="B617" s="2255"/>
      <c r="C617" s="2258">
        <v>22960</v>
      </c>
      <c r="D617" s="2258"/>
      <c r="E617" s="2258">
        <v>26492</v>
      </c>
      <c r="F617" s="2258"/>
      <c r="G617" s="2258">
        <v>206</v>
      </c>
      <c r="H617" s="2259"/>
      <c r="I617" s="2259"/>
      <c r="J617" s="2259"/>
      <c r="K617" s="2259"/>
      <c r="V617" s="2267"/>
      <c r="W617" s="2267">
        <v>21.740400000000001</v>
      </c>
    </row>
    <row r="618" spans="1:23">
      <c r="A618" s="2255">
        <v>44278.291666666701</v>
      </c>
      <c r="B618" s="2255"/>
      <c r="C618" s="2258">
        <v>22960</v>
      </c>
      <c r="D618" s="2258"/>
      <c r="E618" s="2258">
        <v>26705</v>
      </c>
      <c r="F618" s="2258"/>
      <c r="G618" s="2258">
        <v>206</v>
      </c>
      <c r="H618" s="2259"/>
      <c r="I618" s="2259"/>
      <c r="J618" s="2259"/>
      <c r="K618" s="2259"/>
      <c r="U618" s="2267" t="s">
        <v>1251</v>
      </c>
      <c r="V618" s="2268">
        <v>44519</v>
      </c>
      <c r="W618" s="2267">
        <v>21.380299999999998</v>
      </c>
    </row>
    <row r="619" spans="1:23">
      <c r="A619" s="2255">
        <v>44277.291666666701</v>
      </c>
      <c r="B619" s="2255"/>
      <c r="C619" s="2258">
        <v>22960</v>
      </c>
      <c r="D619" s="2258"/>
      <c r="E619" s="2258">
        <v>26611</v>
      </c>
      <c r="F619" s="2258"/>
      <c r="G619" s="2258">
        <v>206</v>
      </c>
      <c r="H619" s="2259"/>
      <c r="I619" s="2259"/>
      <c r="J619" s="2259"/>
      <c r="K619" s="2259"/>
      <c r="U619" s="2267" t="s">
        <v>1252</v>
      </c>
      <c r="V619" s="2268">
        <v>44518</v>
      </c>
    </row>
    <row r="620" spans="1:23">
      <c r="A620" s="2255">
        <v>44274.291666666701</v>
      </c>
      <c r="B620" s="2255"/>
      <c r="C620" s="2258">
        <v>22950</v>
      </c>
      <c r="D620" s="2258"/>
      <c r="E620" s="2258">
        <v>26637</v>
      </c>
      <c r="F620" s="2258"/>
      <c r="G620" s="2258">
        <v>205</v>
      </c>
      <c r="H620" s="2259"/>
      <c r="I620" s="2259"/>
      <c r="J620" s="2259"/>
      <c r="K620" s="2259"/>
      <c r="U620" s="2267" t="s">
        <v>1253</v>
      </c>
      <c r="V620" s="2268">
        <v>44517</v>
      </c>
      <c r="W620" s="2267">
        <v>21.447800000000001</v>
      </c>
    </row>
    <row r="621" spans="1:23">
      <c r="A621" s="2255">
        <v>44273.291666666701</v>
      </c>
      <c r="B621" s="2255"/>
      <c r="C621" s="2258">
        <v>22950</v>
      </c>
      <c r="D621" s="2258"/>
      <c r="E621" s="2258">
        <v>26809</v>
      </c>
      <c r="F621" s="2258"/>
      <c r="G621" s="2258">
        <v>205</v>
      </c>
      <c r="H621" s="2259"/>
      <c r="I621" s="2259"/>
      <c r="J621" s="2259"/>
      <c r="K621" s="2259"/>
      <c r="U621" s="2267" t="s">
        <v>1249</v>
      </c>
      <c r="V621" s="2268">
        <v>44516</v>
      </c>
      <c r="W621" s="2267">
        <v>21.7179</v>
      </c>
    </row>
    <row r="622" spans="1:23">
      <c r="A622" s="2255">
        <v>44272.291666666701</v>
      </c>
      <c r="B622" s="2255"/>
      <c r="C622" s="2258">
        <v>22950</v>
      </c>
      <c r="D622" s="2258"/>
      <c r="E622" s="2258">
        <v>26630</v>
      </c>
      <c r="F622" s="2258"/>
      <c r="G622" s="2258">
        <v>205</v>
      </c>
      <c r="H622" s="2259"/>
      <c r="I622" s="2259"/>
      <c r="J622" s="2259"/>
      <c r="K622" s="2259"/>
      <c r="U622" s="2267" t="s">
        <v>1250</v>
      </c>
      <c r="V622" s="2268">
        <v>44515</v>
      </c>
      <c r="W622" s="2267">
        <v>22.123000000000001</v>
      </c>
    </row>
    <row r="623" spans="1:23">
      <c r="A623" s="2255">
        <v>44271.291666666701</v>
      </c>
      <c r="B623" s="2255"/>
      <c r="C623" s="2258">
        <v>22955</v>
      </c>
      <c r="D623" s="2258"/>
      <c r="E623" s="2258">
        <v>26703</v>
      </c>
      <c r="F623" s="2258"/>
      <c r="G623" s="2258">
        <v>205</v>
      </c>
      <c r="H623" s="2259"/>
      <c r="I623" s="2259"/>
      <c r="J623" s="2259"/>
      <c r="K623" s="2259"/>
      <c r="V623" s="2267"/>
      <c r="W623" s="2267">
        <v>22.123000000000001</v>
      </c>
    </row>
    <row r="624" spans="1:23">
      <c r="A624" s="2255">
        <v>44270.291666666701</v>
      </c>
      <c r="B624" s="2255"/>
      <c r="C624" s="2258">
        <v>22960</v>
      </c>
      <c r="D624" s="2258"/>
      <c r="E624" s="2258">
        <v>26740</v>
      </c>
      <c r="F624" s="2258"/>
      <c r="G624" s="2258">
        <v>205</v>
      </c>
      <c r="H624" s="2259"/>
      <c r="I624" s="2259"/>
      <c r="J624" s="2259"/>
      <c r="K624" s="2259"/>
      <c r="U624" s="2267" t="s">
        <v>1251</v>
      </c>
      <c r="V624" s="2268">
        <v>44512</v>
      </c>
      <c r="W624" s="2267">
        <v>21.898</v>
      </c>
    </row>
    <row r="625" spans="1:23">
      <c r="A625" s="2255">
        <v>44267.291666666701</v>
      </c>
      <c r="B625" s="2255"/>
      <c r="C625" s="2258">
        <v>22930</v>
      </c>
      <c r="D625" s="2258"/>
      <c r="E625" s="2258">
        <v>26786</v>
      </c>
      <c r="F625" s="2258"/>
      <c r="G625" s="2258">
        <v>206</v>
      </c>
      <c r="H625" s="2259"/>
      <c r="I625" s="2259"/>
      <c r="J625" s="2259"/>
      <c r="K625" s="2259"/>
      <c r="U625" s="2267" t="s">
        <v>1252</v>
      </c>
      <c r="V625" s="2268">
        <v>44511</v>
      </c>
    </row>
    <row r="626" spans="1:23">
      <c r="A626" s="2255">
        <v>44266.291666666701</v>
      </c>
      <c r="B626" s="2255"/>
      <c r="C626" s="2258">
        <v>22930</v>
      </c>
      <c r="D626" s="2258"/>
      <c r="E626" s="2258">
        <v>26639</v>
      </c>
      <c r="F626" s="2258"/>
      <c r="G626" s="2258">
        <v>206</v>
      </c>
      <c r="H626" s="2259"/>
      <c r="I626" s="2259"/>
      <c r="J626" s="2259"/>
      <c r="K626" s="2259"/>
      <c r="U626" s="2267" t="s">
        <v>1253</v>
      </c>
      <c r="V626" s="2268">
        <v>44510</v>
      </c>
      <c r="W626" s="2267">
        <v>22.055499999999999</v>
      </c>
    </row>
    <row r="627" spans="1:23">
      <c r="A627" s="2255">
        <v>44265.291666666701</v>
      </c>
      <c r="B627" s="2255"/>
      <c r="C627" s="2258">
        <v>22930</v>
      </c>
      <c r="D627" s="2258"/>
      <c r="E627" s="2258">
        <v>26545</v>
      </c>
      <c r="F627" s="2258"/>
      <c r="G627" s="2258">
        <v>205</v>
      </c>
      <c r="H627" s="2262">
        <v>4.4999999999999998E-2</v>
      </c>
      <c r="I627" s="2262">
        <v>0.06</v>
      </c>
      <c r="J627" s="2259"/>
      <c r="K627" s="2262">
        <v>3.1E-2</v>
      </c>
      <c r="U627" s="2267" t="s">
        <v>1249</v>
      </c>
      <c r="V627" s="2268">
        <v>44509</v>
      </c>
      <c r="W627" s="2267">
        <v>21.605399999999999</v>
      </c>
    </row>
    <row r="628" spans="1:23">
      <c r="A628" s="2255">
        <v>44264.291666666701</v>
      </c>
      <c r="B628" s="2255"/>
      <c r="C628" s="2258">
        <v>22930</v>
      </c>
      <c r="D628" s="2258"/>
      <c r="E628" s="2258">
        <v>26475</v>
      </c>
      <c r="F628" s="2258"/>
      <c r="G628" s="2258">
        <v>205</v>
      </c>
      <c r="H628" s="2259"/>
      <c r="I628" s="2259"/>
      <c r="J628" s="2259"/>
      <c r="K628" s="2259"/>
      <c r="U628" s="2267" t="s">
        <v>1250</v>
      </c>
      <c r="V628" s="2268">
        <v>44508</v>
      </c>
      <c r="W628" s="2267">
        <v>21.830400000000001</v>
      </c>
    </row>
    <row r="629" spans="1:23">
      <c r="A629" s="2255">
        <v>44263.291666666701</v>
      </c>
      <c r="B629" s="2255"/>
      <c r="C629" s="2258">
        <v>22930</v>
      </c>
      <c r="D629" s="2258"/>
      <c r="E629" s="2258">
        <v>26556</v>
      </c>
      <c r="F629" s="2258"/>
      <c r="G629" s="2258">
        <v>206</v>
      </c>
      <c r="H629" s="2259"/>
      <c r="I629" s="2259"/>
      <c r="J629" s="2259"/>
      <c r="K629" s="2259"/>
      <c r="V629" s="2267"/>
      <c r="W629" s="2267">
        <v>21.695399999999999</v>
      </c>
    </row>
    <row r="630" spans="1:23">
      <c r="A630" s="2255">
        <v>44260.291666666701</v>
      </c>
      <c r="B630" s="2255"/>
      <c r="C630" s="2258">
        <v>22915</v>
      </c>
      <c r="D630" s="2258"/>
      <c r="E630" s="2258">
        <v>26708</v>
      </c>
      <c r="F630" s="2258"/>
      <c r="G630" s="2258">
        <v>207</v>
      </c>
      <c r="H630" s="2259"/>
      <c r="I630" s="2259"/>
      <c r="J630" s="2259"/>
      <c r="K630" s="2259"/>
      <c r="U630" s="2267" t="s">
        <v>1251</v>
      </c>
      <c r="V630" s="2268">
        <v>44505</v>
      </c>
      <c r="W630" s="2267">
        <v>21.920500000000001</v>
      </c>
    </row>
    <row r="631" spans="1:23">
      <c r="A631" s="2255">
        <v>44259.291666666701</v>
      </c>
      <c r="B631" s="2255"/>
      <c r="C631" s="2258">
        <v>22900</v>
      </c>
      <c r="D631" s="2258"/>
      <c r="E631" s="2258">
        <v>26921</v>
      </c>
      <c r="F631" s="2258"/>
      <c r="G631" s="2258">
        <v>209</v>
      </c>
      <c r="H631" s="2259"/>
      <c r="I631" s="2259"/>
      <c r="J631" s="2259"/>
      <c r="K631" s="2259"/>
      <c r="U631" s="2267" t="s">
        <v>1252</v>
      </c>
      <c r="V631" s="2268">
        <v>44504</v>
      </c>
    </row>
    <row r="632" spans="1:23">
      <c r="A632" s="2255">
        <v>44258.291666666701</v>
      </c>
      <c r="B632" s="2255"/>
      <c r="C632" s="2258">
        <v>22910</v>
      </c>
      <c r="D632" s="2258"/>
      <c r="E632" s="2258">
        <v>26997</v>
      </c>
      <c r="F632" s="2258"/>
      <c r="G632" s="2258">
        <v>209</v>
      </c>
      <c r="H632" s="2259"/>
      <c r="I632" s="2259"/>
      <c r="J632" s="2259"/>
      <c r="K632" s="2259"/>
      <c r="U632" s="2267" t="s">
        <v>1253</v>
      </c>
      <c r="V632" s="2268">
        <v>44503</v>
      </c>
      <c r="W632" s="2267">
        <v>21.965499999999999</v>
      </c>
    </row>
    <row r="633" spans="1:23">
      <c r="A633" s="2255">
        <v>44257.291666666701</v>
      </c>
      <c r="B633" s="2255"/>
      <c r="C633" s="2258">
        <v>22910</v>
      </c>
      <c r="D633" s="2258"/>
      <c r="E633" s="2258">
        <v>26890</v>
      </c>
      <c r="F633" s="2258"/>
      <c r="G633" s="2258">
        <v>209</v>
      </c>
      <c r="H633" s="2259"/>
      <c r="I633" s="2259"/>
      <c r="J633" s="2259"/>
      <c r="K633" s="2259"/>
      <c r="U633" s="2267" t="s">
        <v>1249</v>
      </c>
      <c r="V633" s="2268">
        <v>44502</v>
      </c>
      <c r="W633" s="2267">
        <v>21.605399999999999</v>
      </c>
    </row>
    <row r="634" spans="1:23">
      <c r="A634" s="2255">
        <v>44256.291666666701</v>
      </c>
      <c r="B634" s="2255"/>
      <c r="C634" s="2258">
        <v>22900</v>
      </c>
      <c r="D634" s="2258"/>
      <c r="E634" s="2258">
        <v>26983</v>
      </c>
      <c r="F634" s="2258"/>
      <c r="G634" s="2258">
        <v>210</v>
      </c>
      <c r="H634" s="2259"/>
      <c r="I634" s="2259"/>
      <c r="J634" s="2259"/>
      <c r="K634" s="2259"/>
      <c r="U634" s="2267" t="s">
        <v>1250</v>
      </c>
      <c r="V634" s="2268">
        <v>44501</v>
      </c>
      <c r="W634" s="2267">
        <v>21.6279</v>
      </c>
    </row>
    <row r="635" spans="1:23">
      <c r="A635" s="2255">
        <v>44253.291666666701</v>
      </c>
      <c r="B635" s="2255"/>
      <c r="C635" s="2258">
        <v>22890</v>
      </c>
      <c r="D635" s="2258"/>
      <c r="E635" s="2258">
        <v>27121</v>
      </c>
      <c r="F635" s="2258"/>
      <c r="G635" s="2258">
        <v>210</v>
      </c>
      <c r="H635" s="2259"/>
      <c r="I635" s="2259"/>
      <c r="J635" s="2259"/>
      <c r="K635" s="2259"/>
      <c r="V635" s="2267"/>
      <c r="W635" s="2267">
        <v>21.6279</v>
      </c>
    </row>
    <row r="636" spans="1:23">
      <c r="A636" s="2255">
        <v>44252.291666666701</v>
      </c>
      <c r="B636" s="2255"/>
      <c r="C636" s="2258">
        <v>22900</v>
      </c>
      <c r="D636" s="2258"/>
      <c r="E636" s="2258">
        <v>27149</v>
      </c>
      <c r="F636" s="2258"/>
      <c r="G636" s="2258">
        <v>211</v>
      </c>
      <c r="H636" s="2259"/>
      <c r="I636" s="2259"/>
      <c r="J636" s="2259"/>
      <c r="K636" s="2259"/>
      <c r="U636" s="2267" t="s">
        <v>1251</v>
      </c>
      <c r="V636" s="2268">
        <v>44498</v>
      </c>
      <c r="W636" s="2267">
        <v>21.560400000000001</v>
      </c>
    </row>
    <row r="637" spans="1:23">
      <c r="A637" s="2255">
        <v>44251.291666666701</v>
      </c>
      <c r="B637" s="2255"/>
      <c r="C637" s="2258">
        <v>22910</v>
      </c>
      <c r="D637" s="2258"/>
      <c r="E637" s="2258">
        <v>27149</v>
      </c>
      <c r="F637" s="2258"/>
      <c r="G637" s="2258">
        <v>212</v>
      </c>
      <c r="H637" s="2259"/>
      <c r="I637" s="2259"/>
      <c r="J637" s="2259"/>
      <c r="K637" s="2259"/>
      <c r="U637" s="2267" t="s">
        <v>1252</v>
      </c>
      <c r="V637" s="2268">
        <v>44497</v>
      </c>
    </row>
    <row r="638" spans="1:23">
      <c r="A638" s="2255">
        <v>44250.291666666701</v>
      </c>
      <c r="B638" s="2255"/>
      <c r="C638" s="2258">
        <v>22910</v>
      </c>
      <c r="D638" s="2258"/>
      <c r="E638" s="2258">
        <v>27163</v>
      </c>
      <c r="F638" s="2258"/>
      <c r="G638" s="2258">
        <v>213</v>
      </c>
      <c r="H638" s="2259"/>
      <c r="I638" s="2259"/>
      <c r="J638" s="2259"/>
      <c r="K638" s="2259"/>
      <c r="U638" s="2267" t="s">
        <v>1253</v>
      </c>
      <c r="V638" s="2268">
        <v>44496</v>
      </c>
      <c r="W638" s="2267">
        <v>21.8079</v>
      </c>
    </row>
    <row r="639" spans="1:23">
      <c r="A639" s="2255">
        <v>44249.291666666701</v>
      </c>
      <c r="B639" s="2255"/>
      <c r="C639" s="2258">
        <v>22900</v>
      </c>
      <c r="D639" s="2258"/>
      <c r="E639" s="2258">
        <v>27070</v>
      </c>
      <c r="F639" s="2258"/>
      <c r="G639" s="2258">
        <v>212</v>
      </c>
      <c r="H639" s="2259"/>
      <c r="I639" s="2259"/>
      <c r="J639" s="2259"/>
      <c r="K639" s="2259"/>
      <c r="U639" s="2267" t="s">
        <v>1249</v>
      </c>
      <c r="V639" s="2268">
        <v>44495</v>
      </c>
      <c r="W639" s="2267">
        <v>22.055499999999999</v>
      </c>
    </row>
    <row r="640" spans="1:23">
      <c r="A640" s="2255">
        <v>44246.291666666701</v>
      </c>
      <c r="B640" s="2255"/>
      <c r="C640" s="2258">
        <v>22895</v>
      </c>
      <c r="D640" s="2258"/>
      <c r="E640" s="2258">
        <v>26993</v>
      </c>
      <c r="F640" s="2258"/>
      <c r="G640" s="2258">
        <v>211</v>
      </c>
      <c r="H640" s="2259"/>
      <c r="I640" s="2259"/>
      <c r="J640" s="2259"/>
      <c r="K640" s="2259"/>
      <c r="U640" s="2267" t="s">
        <v>1250</v>
      </c>
      <c r="V640" s="2268">
        <v>44494</v>
      </c>
      <c r="W640" s="2267">
        <v>22.1005</v>
      </c>
    </row>
    <row r="641" spans="1:23">
      <c r="A641" s="2255">
        <v>44245.291666666701</v>
      </c>
      <c r="B641" s="2255"/>
      <c r="C641" s="2258">
        <v>22880</v>
      </c>
      <c r="D641" s="2258"/>
      <c r="E641" s="2258">
        <v>26864</v>
      </c>
      <c r="F641" s="2258"/>
      <c r="G641" s="2258">
        <v>211</v>
      </c>
      <c r="H641" s="2259"/>
      <c r="I641" s="2259"/>
      <c r="J641" s="2259"/>
      <c r="K641" s="2259"/>
      <c r="V641" s="2267"/>
      <c r="W641" s="2267">
        <v>21.8079</v>
      </c>
    </row>
    <row r="642" spans="1:23">
      <c r="A642" s="2255">
        <v>44244.291666666701</v>
      </c>
      <c r="B642" s="2255"/>
      <c r="C642" s="2258">
        <v>22880</v>
      </c>
      <c r="D642" s="2258"/>
      <c r="E642" s="2258">
        <v>26933</v>
      </c>
      <c r="F642" s="2258"/>
      <c r="G642" s="2258">
        <v>211</v>
      </c>
      <c r="H642" s="2259"/>
      <c r="I642" s="2259"/>
      <c r="J642" s="2259"/>
      <c r="K642" s="2259"/>
      <c r="U642" s="2267" t="s">
        <v>1251</v>
      </c>
      <c r="V642" s="2268">
        <v>44491</v>
      </c>
      <c r="W642" s="2267">
        <v>21.357800000000001</v>
      </c>
    </row>
    <row r="643" spans="1:23">
      <c r="A643" s="2255">
        <v>44236.291666666701</v>
      </c>
      <c r="B643" s="2255"/>
      <c r="C643" s="2258">
        <v>22880</v>
      </c>
      <c r="D643" s="2258"/>
      <c r="E643" s="2258">
        <v>26895</v>
      </c>
      <c r="F643" s="2258"/>
      <c r="G643" s="2258">
        <v>212</v>
      </c>
      <c r="H643" s="2262">
        <v>4.4999999999999998E-2</v>
      </c>
      <c r="I643" s="2262">
        <v>4.4999999999999998E-2</v>
      </c>
      <c r="J643" s="2259"/>
      <c r="K643" s="2262">
        <v>3.1E-2</v>
      </c>
      <c r="U643" s="2267" t="s">
        <v>1252</v>
      </c>
      <c r="V643" s="2268">
        <v>44490</v>
      </c>
    </row>
    <row r="644" spans="1:23">
      <c r="A644" s="2255">
        <v>44235.291666666701</v>
      </c>
      <c r="B644" s="2255"/>
      <c r="C644" s="2258">
        <v>22850</v>
      </c>
      <c r="D644" s="2258"/>
      <c r="E644" s="2258">
        <v>26802</v>
      </c>
      <c r="F644" s="2258"/>
      <c r="G644" s="2258">
        <v>211</v>
      </c>
      <c r="H644" s="2259"/>
      <c r="I644" s="2259"/>
      <c r="J644" s="2259"/>
      <c r="K644" s="2259"/>
      <c r="U644" s="2267" t="s">
        <v>1253</v>
      </c>
      <c r="V644" s="2268">
        <v>44489</v>
      </c>
      <c r="W644" s="2267">
        <v>21.650400000000001</v>
      </c>
    </row>
    <row r="645" spans="1:23">
      <c r="A645" s="2255">
        <v>44232.291666666701</v>
      </c>
      <c r="B645" s="2255"/>
      <c r="C645" s="2258">
        <v>22880</v>
      </c>
      <c r="D645" s="2258"/>
      <c r="E645" s="2258">
        <v>26661</v>
      </c>
      <c r="F645" s="2258"/>
      <c r="G645" s="2258">
        <v>211</v>
      </c>
      <c r="H645" s="2262">
        <v>4.4999999999999998E-2</v>
      </c>
      <c r="I645" s="2262">
        <v>4.4999999999999998E-2</v>
      </c>
      <c r="J645" s="2259"/>
      <c r="K645" s="2262">
        <v>3.1E-2</v>
      </c>
      <c r="U645" s="2267" t="s">
        <v>1249</v>
      </c>
      <c r="V645" s="2268">
        <v>44488</v>
      </c>
      <c r="W645" s="2267">
        <v>21.762899999999998</v>
      </c>
    </row>
    <row r="646" spans="1:23">
      <c r="A646" s="2255">
        <v>44231.291666666701</v>
      </c>
      <c r="B646" s="2255"/>
      <c r="C646" s="2258">
        <v>22900</v>
      </c>
      <c r="D646" s="2258"/>
      <c r="E646" s="2258">
        <v>26870</v>
      </c>
      <c r="F646" s="2258"/>
      <c r="G646" s="2258">
        <v>213</v>
      </c>
      <c r="H646" s="2259"/>
      <c r="I646" s="2259"/>
      <c r="J646" s="2259"/>
      <c r="K646" s="2259"/>
      <c r="U646" s="2267" t="s">
        <v>1250</v>
      </c>
      <c r="V646" s="2268">
        <v>44487</v>
      </c>
      <c r="W646" s="2267">
        <v>21.965499999999999</v>
      </c>
    </row>
    <row r="647" spans="1:23">
      <c r="A647" s="2255">
        <v>44230.291666666701</v>
      </c>
      <c r="B647" s="2255"/>
      <c r="C647" s="2258">
        <v>22910</v>
      </c>
      <c r="D647" s="2258"/>
      <c r="E647" s="2258">
        <v>26892</v>
      </c>
      <c r="F647" s="2258"/>
      <c r="G647" s="2258">
        <v>213</v>
      </c>
      <c r="H647" s="2259"/>
      <c r="I647" s="2259"/>
      <c r="J647" s="2259"/>
      <c r="K647" s="2259"/>
      <c r="V647" s="2267"/>
      <c r="W647" s="2267">
        <v>22.1905</v>
      </c>
    </row>
    <row r="648" spans="1:23">
      <c r="A648" s="2255">
        <v>44229.291666666701</v>
      </c>
      <c r="B648" s="2255"/>
      <c r="C648" s="2258">
        <v>22900</v>
      </c>
      <c r="D648" s="2258"/>
      <c r="E648" s="2258">
        <v>26974</v>
      </c>
      <c r="F648" s="2258"/>
      <c r="G648" s="2258">
        <v>213</v>
      </c>
      <c r="H648" s="2259"/>
      <c r="I648" s="2259"/>
      <c r="J648" s="2259"/>
      <c r="K648" s="2259"/>
      <c r="U648" s="2267" t="s">
        <v>1251</v>
      </c>
      <c r="V648" s="2268">
        <v>44484</v>
      </c>
      <c r="W648" s="2267">
        <v>22.2806</v>
      </c>
    </row>
    <row r="649" spans="1:23">
      <c r="A649" s="2255">
        <v>44228.291666666701</v>
      </c>
      <c r="B649" s="2255"/>
      <c r="C649" s="2258">
        <v>22920</v>
      </c>
      <c r="D649" s="2258"/>
      <c r="E649" s="2258">
        <v>27098</v>
      </c>
      <c r="F649" s="2258"/>
      <c r="G649" s="2258">
        <v>214</v>
      </c>
      <c r="H649" s="2259"/>
      <c r="I649" s="2259"/>
      <c r="J649" s="2259"/>
      <c r="K649" s="2259"/>
      <c r="U649" s="2267" t="s">
        <v>1252</v>
      </c>
      <c r="V649" s="2268">
        <v>44483</v>
      </c>
    </row>
    <row r="650" spans="1:23">
      <c r="A650" s="2255">
        <v>44225.291666666701</v>
      </c>
      <c r="B650" s="2255"/>
      <c r="C650" s="2258">
        <v>22930</v>
      </c>
      <c r="D650" s="2258"/>
      <c r="E650" s="2258">
        <v>27061</v>
      </c>
      <c r="F650" s="2258"/>
      <c r="G650" s="2258">
        <v>214</v>
      </c>
      <c r="H650" s="2259"/>
      <c r="I650" s="2259"/>
      <c r="J650" s="2259"/>
      <c r="K650" s="2259"/>
      <c r="U650" s="2267" t="s">
        <v>1253</v>
      </c>
      <c r="V650" s="2268">
        <v>44482</v>
      </c>
      <c r="W650" s="2267">
        <v>22.257999999999999</v>
      </c>
    </row>
    <row r="651" spans="1:23">
      <c r="A651" s="2255">
        <v>44224.291666666701</v>
      </c>
      <c r="B651" s="2255"/>
      <c r="C651" s="2258">
        <v>22940</v>
      </c>
      <c r="D651" s="2258"/>
      <c r="E651" s="2258">
        <v>27041</v>
      </c>
      <c r="F651" s="2258"/>
      <c r="G651" s="2258">
        <v>214</v>
      </c>
      <c r="H651" s="2262">
        <v>4.4999999999999998E-2</v>
      </c>
      <c r="I651" s="2262">
        <v>4.4999999999999998E-2</v>
      </c>
      <c r="J651" s="2259"/>
      <c r="K651" s="2262">
        <v>3.2000000000000001E-2</v>
      </c>
      <c r="U651" s="2267" t="s">
        <v>1249</v>
      </c>
      <c r="V651" s="2268">
        <v>44481</v>
      </c>
      <c r="W651" s="2267">
        <v>22.235499999999998</v>
      </c>
    </row>
    <row r="652" spans="1:23">
      <c r="A652" s="2255">
        <v>44223.291666666701</v>
      </c>
      <c r="B652" s="2255"/>
      <c r="C652" s="2258">
        <v>22950</v>
      </c>
      <c r="D652" s="2258"/>
      <c r="E652" s="2258">
        <v>27214</v>
      </c>
      <c r="F652" s="2258"/>
      <c r="G652" s="2258">
        <v>216</v>
      </c>
      <c r="H652" s="2259"/>
      <c r="I652" s="2259"/>
      <c r="J652" s="2259"/>
      <c r="K652" s="2259"/>
      <c r="U652" s="2267" t="s">
        <v>1250</v>
      </c>
      <c r="V652" s="2268">
        <v>44480</v>
      </c>
      <c r="W652" s="2267">
        <v>22.3706</v>
      </c>
    </row>
    <row r="653" spans="1:23">
      <c r="A653" s="2255">
        <v>44222.291666666701</v>
      </c>
      <c r="B653" s="2255"/>
      <c r="C653" s="2258">
        <v>22950</v>
      </c>
      <c r="D653" s="2258"/>
      <c r="E653" s="2258">
        <v>27147</v>
      </c>
      <c r="F653" s="2258"/>
      <c r="G653" s="2258">
        <v>216</v>
      </c>
      <c r="H653" s="2259"/>
      <c r="I653" s="2259"/>
      <c r="J653" s="2259"/>
      <c r="K653" s="2259"/>
      <c r="V653" s="2267"/>
      <c r="W653" s="2267">
        <v>22.2806</v>
      </c>
    </row>
    <row r="654" spans="1:23">
      <c r="A654" s="2255">
        <v>44221.291666666701</v>
      </c>
      <c r="B654" s="2255"/>
      <c r="C654" s="2258">
        <v>22955</v>
      </c>
      <c r="D654" s="2258"/>
      <c r="E654" s="2258">
        <v>27219</v>
      </c>
      <c r="F654" s="2258"/>
      <c r="G654" s="2258">
        <v>216</v>
      </c>
      <c r="H654" s="2259"/>
      <c r="I654" s="2259"/>
      <c r="J654" s="2259"/>
      <c r="K654" s="2259"/>
      <c r="U654" s="2267" t="s">
        <v>1251</v>
      </c>
      <c r="V654" s="2268">
        <v>44477</v>
      </c>
      <c r="W654" s="2267">
        <v>22.325600000000001</v>
      </c>
    </row>
    <row r="655" spans="1:23">
      <c r="A655" s="2255">
        <v>44218.291666666701</v>
      </c>
      <c r="B655" s="2255"/>
      <c r="C655" s="2258">
        <v>22955</v>
      </c>
      <c r="D655" s="2258"/>
      <c r="E655" s="2258">
        <v>27238</v>
      </c>
      <c r="F655" s="2258"/>
      <c r="G655" s="2258">
        <v>216</v>
      </c>
      <c r="H655" s="2259"/>
      <c r="I655" s="2259"/>
      <c r="J655" s="2259"/>
      <c r="K655" s="2259"/>
      <c r="U655" s="2267" t="s">
        <v>1252</v>
      </c>
      <c r="V655" s="2268">
        <v>44476</v>
      </c>
    </row>
    <row r="656" spans="1:23">
      <c r="A656" s="2255">
        <v>44217.291666666701</v>
      </c>
      <c r="B656" s="2255"/>
      <c r="C656" s="2258">
        <v>22955</v>
      </c>
      <c r="D656" s="2258"/>
      <c r="E656" s="2258">
        <v>27091</v>
      </c>
      <c r="F656" s="2258"/>
      <c r="G656" s="2258">
        <v>216</v>
      </c>
      <c r="H656" s="2262">
        <v>4.4999999999999998E-2</v>
      </c>
      <c r="I656" s="2262">
        <v>4.4999999999999998E-2</v>
      </c>
      <c r="J656" s="2259"/>
      <c r="K656" s="2262">
        <v>3.2000000000000001E-2</v>
      </c>
      <c r="U656" s="2267" t="s">
        <v>1253</v>
      </c>
      <c r="V656" s="2268">
        <v>44475</v>
      </c>
      <c r="W656" s="2267">
        <v>22.257999999999999</v>
      </c>
    </row>
    <row r="657" spans="1:23">
      <c r="A657" s="2255">
        <v>44216.291666666701</v>
      </c>
      <c r="B657" s="2255"/>
      <c r="C657" s="2258">
        <v>22955</v>
      </c>
      <c r="D657" s="2258"/>
      <c r="E657" s="2258">
        <v>27161</v>
      </c>
      <c r="F657" s="2258"/>
      <c r="G657" s="2258">
        <v>216</v>
      </c>
      <c r="H657" s="2259"/>
      <c r="I657" s="2259"/>
      <c r="J657" s="2259"/>
      <c r="K657" s="2259"/>
      <c r="U657" s="2267" t="s">
        <v>1249</v>
      </c>
      <c r="V657" s="2268">
        <v>44474</v>
      </c>
      <c r="W657" s="2267">
        <v>21.222799999999999</v>
      </c>
    </row>
    <row r="658" spans="1:23">
      <c r="A658" s="2255">
        <v>44215.291666666701</v>
      </c>
      <c r="B658" s="2255"/>
      <c r="C658" s="2258">
        <v>22950</v>
      </c>
      <c r="D658" s="2258"/>
      <c r="E658" s="2258">
        <v>27058</v>
      </c>
      <c r="F658" s="2258"/>
      <c r="G658" s="2258">
        <v>215</v>
      </c>
      <c r="H658" s="2259"/>
      <c r="I658" s="2259"/>
      <c r="J658" s="2259"/>
      <c r="K658" s="2259"/>
      <c r="U658" s="2267" t="s">
        <v>1250</v>
      </c>
      <c r="V658" s="2268">
        <v>44473</v>
      </c>
      <c r="W658" s="2267">
        <v>21.2453</v>
      </c>
    </row>
    <row r="659" spans="1:23">
      <c r="A659" s="2255">
        <v>44214.291666666701</v>
      </c>
      <c r="B659" s="2255"/>
      <c r="C659" s="2258">
        <v>22950</v>
      </c>
      <c r="D659" s="2258"/>
      <c r="E659" s="2258">
        <v>27153</v>
      </c>
      <c r="F659" s="2258"/>
      <c r="G659" s="2258">
        <v>215</v>
      </c>
      <c r="H659" s="2259"/>
      <c r="I659" s="2259"/>
      <c r="J659" s="2259"/>
      <c r="K659" s="2259"/>
      <c r="V659" s="2267"/>
      <c r="W659" s="2267">
        <v>21.2453</v>
      </c>
    </row>
    <row r="660" spans="1:23">
      <c r="A660" s="2255">
        <v>44211.291666666701</v>
      </c>
      <c r="B660" s="2255"/>
      <c r="C660" s="2258">
        <v>22950</v>
      </c>
      <c r="D660" s="2258"/>
      <c r="E660" s="2258">
        <v>27333</v>
      </c>
      <c r="F660" s="2258"/>
      <c r="G660" s="2258">
        <v>215</v>
      </c>
      <c r="H660" s="2259"/>
      <c r="I660" s="2259"/>
      <c r="J660" s="2259"/>
      <c r="K660" s="2259"/>
      <c r="U660" s="2267" t="s">
        <v>1251</v>
      </c>
      <c r="V660" s="2268">
        <v>44470</v>
      </c>
      <c r="W660" s="2267">
        <v>21.290299999999998</v>
      </c>
    </row>
    <row r="661" spans="1:23">
      <c r="A661" s="2255">
        <v>44210.291666666701</v>
      </c>
      <c r="B661" s="2255"/>
      <c r="C661" s="2258">
        <v>22950</v>
      </c>
      <c r="D661" s="2258"/>
      <c r="E661" s="2258">
        <v>27351</v>
      </c>
      <c r="F661" s="2258"/>
      <c r="G661" s="2258">
        <v>215</v>
      </c>
      <c r="H661" s="2262">
        <v>4.4999999999999998E-2</v>
      </c>
      <c r="I661" s="2262">
        <v>4.4999999999999998E-2</v>
      </c>
      <c r="J661" s="2259"/>
      <c r="K661" s="2262">
        <v>3.2000000000000001E-2</v>
      </c>
      <c r="U661" s="2267" t="s">
        <v>1252</v>
      </c>
      <c r="V661" s="2268">
        <v>44469</v>
      </c>
    </row>
    <row r="662" spans="1:23">
      <c r="A662" s="2255">
        <v>44209.291666666701</v>
      </c>
      <c r="B662" s="2255"/>
      <c r="C662" s="2258">
        <v>22950</v>
      </c>
      <c r="D662" s="2258"/>
      <c r="E662" s="2258">
        <v>27450</v>
      </c>
      <c r="F662" s="2258"/>
      <c r="G662" s="2258">
        <v>215</v>
      </c>
      <c r="H662" s="2259"/>
      <c r="I662" s="2259"/>
      <c r="J662" s="2259"/>
      <c r="K662" s="2259"/>
      <c r="U662" s="2267" t="s">
        <v>1253</v>
      </c>
      <c r="V662" s="2268">
        <v>44468</v>
      </c>
      <c r="W662" s="2267">
        <v>20.907699999999998</v>
      </c>
    </row>
    <row r="663" spans="1:23">
      <c r="A663" s="2255">
        <v>44208.291666666701</v>
      </c>
      <c r="B663" s="2255"/>
      <c r="C663" s="2258">
        <v>22950</v>
      </c>
      <c r="D663" s="2258"/>
      <c r="E663" s="2258">
        <v>27335</v>
      </c>
      <c r="F663" s="2258"/>
      <c r="G663" s="2258">
        <v>214</v>
      </c>
      <c r="H663" s="2259"/>
      <c r="I663" s="2259"/>
      <c r="J663" s="2259"/>
      <c r="K663" s="2259"/>
      <c r="U663" s="2267" t="s">
        <v>1249</v>
      </c>
      <c r="V663" s="2268">
        <v>44467</v>
      </c>
      <c r="W663" s="2267">
        <v>20.930199999999999</v>
      </c>
    </row>
    <row r="664" spans="1:23">
      <c r="A664" s="2255">
        <v>44207.291666666701</v>
      </c>
      <c r="B664" s="2255"/>
      <c r="C664" s="2258">
        <v>22950</v>
      </c>
      <c r="D664" s="2258"/>
      <c r="E664" s="2258">
        <v>27409</v>
      </c>
      <c r="F664" s="2258"/>
      <c r="G664" s="2258">
        <v>214</v>
      </c>
      <c r="H664" s="2259"/>
      <c r="I664" s="2259"/>
      <c r="J664" s="2259"/>
      <c r="K664" s="2259"/>
      <c r="U664" s="2267" t="s">
        <v>1250</v>
      </c>
      <c r="V664" s="2268">
        <v>44466</v>
      </c>
      <c r="W664" s="2267">
        <v>22.014800000000001</v>
      </c>
    </row>
    <row r="665" spans="1:23">
      <c r="A665" s="2255">
        <v>44204.291666666701</v>
      </c>
      <c r="B665" s="2255"/>
      <c r="C665" s="2258">
        <v>22940</v>
      </c>
      <c r="D665" s="2258"/>
      <c r="E665" s="2258">
        <v>27521</v>
      </c>
      <c r="F665" s="2258"/>
      <c r="G665" s="2258">
        <v>214</v>
      </c>
      <c r="H665" s="2262">
        <v>4.4999999999999998E-2</v>
      </c>
      <c r="I665" s="2262">
        <v>4.4999999999999998E-2</v>
      </c>
      <c r="J665" s="2259"/>
      <c r="K665" s="2262">
        <v>3.2000000000000001E-2</v>
      </c>
      <c r="V665" s="2267"/>
      <c r="W665" s="2267">
        <v>21.967600000000001</v>
      </c>
    </row>
    <row r="666" spans="1:23">
      <c r="A666" s="2255">
        <v>44203.291666666701</v>
      </c>
      <c r="B666" s="2255"/>
      <c r="C666" s="2258">
        <v>22960</v>
      </c>
      <c r="D666" s="2258"/>
      <c r="E666" s="2258">
        <v>27662</v>
      </c>
      <c r="F666" s="2258"/>
      <c r="G666" s="2258">
        <v>216</v>
      </c>
      <c r="H666" s="2259"/>
      <c r="I666" s="2259"/>
      <c r="J666" s="2259"/>
      <c r="K666" s="2259"/>
      <c r="U666" s="2267" t="s">
        <v>1251</v>
      </c>
      <c r="V666" s="2268">
        <v>44463</v>
      </c>
      <c r="W666" s="2267">
        <v>21.754999999999999</v>
      </c>
    </row>
    <row r="667" spans="1:23">
      <c r="A667" s="2255">
        <v>44202.291666666701</v>
      </c>
      <c r="B667" s="2255"/>
      <c r="C667" s="2258">
        <v>22980</v>
      </c>
      <c r="D667" s="2258"/>
      <c r="E667" s="2258">
        <v>27667</v>
      </c>
      <c r="F667" s="2258"/>
      <c r="G667" s="2258">
        <v>217</v>
      </c>
      <c r="H667" s="2259"/>
      <c r="I667" s="2259"/>
      <c r="J667" s="2259"/>
      <c r="K667" s="2259"/>
      <c r="U667" s="2267" t="s">
        <v>1252</v>
      </c>
      <c r="V667" s="2268">
        <v>44462</v>
      </c>
    </row>
    <row r="668" spans="1:23">
      <c r="A668" s="2255">
        <v>44201.291666666701</v>
      </c>
      <c r="B668" s="2255"/>
      <c r="C668" s="2258">
        <v>22980</v>
      </c>
      <c r="D668" s="2258"/>
      <c r="E668" s="2258">
        <v>27607</v>
      </c>
      <c r="F668" s="2258"/>
      <c r="G668" s="2258">
        <v>216</v>
      </c>
      <c r="H668" s="2259"/>
      <c r="I668" s="2259"/>
      <c r="J668" s="2259"/>
      <c r="K668" s="2259"/>
      <c r="U668" s="2267" t="s">
        <v>1253</v>
      </c>
      <c r="V668" s="2268">
        <v>44461</v>
      </c>
      <c r="W668" s="2267">
        <v>21.896699999999999</v>
      </c>
    </row>
    <row r="669" spans="1:23">
      <c r="A669" s="2255">
        <v>44200.291666666701</v>
      </c>
      <c r="B669" s="2255"/>
      <c r="C669" s="2258">
        <v>22980</v>
      </c>
      <c r="D669" s="2258"/>
      <c r="E669" s="2258">
        <v>27546</v>
      </c>
      <c r="F669" s="2258"/>
      <c r="G669" s="2258">
        <v>217</v>
      </c>
      <c r="H669" s="2259"/>
      <c r="I669" s="2259"/>
      <c r="J669" s="2259"/>
      <c r="K669" s="2259"/>
      <c r="U669" s="2267" t="s">
        <v>1249</v>
      </c>
      <c r="V669" s="2268">
        <v>44460</v>
      </c>
      <c r="W669" s="2267">
        <v>21.991199999999999</v>
      </c>
    </row>
    <row r="670" spans="1:23">
      <c r="A670" s="2255">
        <v>44196.291666666701</v>
      </c>
      <c r="B670" s="2255"/>
      <c r="C670" s="2258">
        <v>22980</v>
      </c>
      <c r="D670" s="2258"/>
      <c r="E670" s="2258">
        <v>27681</v>
      </c>
      <c r="F670" s="2258"/>
      <c r="G670" s="2258">
        <v>216</v>
      </c>
      <c r="H670" s="2262">
        <v>4.4999999999999998E-2</v>
      </c>
      <c r="I670" s="2262">
        <v>4.4999999999999998E-2</v>
      </c>
      <c r="J670" s="2259"/>
      <c r="K670" s="2262">
        <v>3.2000000000000001E-2</v>
      </c>
      <c r="U670" s="2267" t="s">
        <v>1250</v>
      </c>
      <c r="V670" s="2268">
        <v>44459</v>
      </c>
      <c r="W670" s="2267">
        <v>22.014800000000001</v>
      </c>
    </row>
    <row r="671" spans="1:23">
      <c r="A671" s="2255">
        <v>44195.291666666701</v>
      </c>
      <c r="B671" s="2255"/>
      <c r="C671" s="2258">
        <v>22980</v>
      </c>
      <c r="D671" s="2258"/>
      <c r="E671" s="2258">
        <v>27649</v>
      </c>
      <c r="F671" s="2258"/>
      <c r="G671" s="2258">
        <v>216</v>
      </c>
      <c r="H671" s="2259"/>
      <c r="I671" s="2259"/>
      <c r="J671" s="2259"/>
      <c r="K671" s="2259"/>
      <c r="V671" s="2267"/>
      <c r="W671" s="2267">
        <v>22.085699999999999</v>
      </c>
    </row>
    <row r="672" spans="1:23">
      <c r="A672" s="2255">
        <v>44194.291666666701</v>
      </c>
      <c r="B672" s="2255"/>
      <c r="C672" s="2258">
        <v>23010</v>
      </c>
      <c r="D672" s="2258"/>
      <c r="E672" s="2258">
        <v>27596</v>
      </c>
      <c r="F672" s="2258"/>
      <c r="G672" s="2258">
        <v>216</v>
      </c>
      <c r="H672" s="2259"/>
      <c r="I672" s="2259"/>
      <c r="J672" s="2259"/>
      <c r="K672" s="2259"/>
      <c r="U672" s="2267" t="s">
        <v>1251</v>
      </c>
      <c r="V672" s="2268">
        <v>44456</v>
      </c>
      <c r="W672" s="2267">
        <v>22.298300000000001</v>
      </c>
    </row>
    <row r="673" spans="1:23">
      <c r="A673" s="2255">
        <v>44193.291666666701</v>
      </c>
      <c r="B673" s="2255"/>
      <c r="C673" s="2258">
        <v>23010</v>
      </c>
      <c r="D673" s="2258"/>
      <c r="E673" s="2258">
        <v>27569</v>
      </c>
      <c r="F673" s="2258"/>
      <c r="G673" s="2258">
        <v>216</v>
      </c>
      <c r="H673" s="2259"/>
      <c r="I673" s="2259"/>
      <c r="J673" s="2259"/>
      <c r="K673" s="2259"/>
      <c r="U673" s="2267" t="s">
        <v>1252</v>
      </c>
      <c r="V673" s="2268">
        <v>44455</v>
      </c>
    </row>
    <row r="674" spans="1:23">
      <c r="A674" s="2255">
        <v>44190.291666666701</v>
      </c>
      <c r="B674" s="2255"/>
      <c r="C674" s="2258">
        <v>23010</v>
      </c>
      <c r="D674" s="2258"/>
      <c r="E674" s="2258">
        <v>27442</v>
      </c>
      <c r="F674" s="2258"/>
      <c r="G674" s="2258">
        <v>216</v>
      </c>
      <c r="H674" s="2262">
        <v>4.4999999999999998E-2</v>
      </c>
      <c r="I674" s="2262">
        <v>4.4999999999999998E-2</v>
      </c>
      <c r="J674" s="2259"/>
      <c r="K674" s="2262">
        <v>3.2000000000000001E-2</v>
      </c>
      <c r="U674" s="2267" t="s">
        <v>1253</v>
      </c>
      <c r="V674" s="2268">
        <v>44454</v>
      </c>
      <c r="W674" s="2267">
        <v>22.605399999999999</v>
      </c>
    </row>
    <row r="675" spans="1:23">
      <c r="A675" s="2255">
        <v>44189.291666666701</v>
      </c>
      <c r="B675" s="2255"/>
      <c r="C675" s="2258">
        <v>23010</v>
      </c>
      <c r="D675" s="2258"/>
      <c r="E675" s="2258">
        <v>27508</v>
      </c>
      <c r="F675" s="2258"/>
      <c r="G675" s="2258">
        <v>216</v>
      </c>
      <c r="H675" s="2259"/>
      <c r="I675" s="2259"/>
      <c r="J675" s="2259"/>
      <c r="K675" s="2259"/>
      <c r="U675" s="2267" t="s">
        <v>1249</v>
      </c>
      <c r="V675" s="2268">
        <v>44453</v>
      </c>
      <c r="W675" s="2267">
        <v>22.3691</v>
      </c>
    </row>
    <row r="676" spans="1:23">
      <c r="A676" s="2255">
        <v>44188.291666666701</v>
      </c>
      <c r="B676" s="2255"/>
      <c r="C676" s="2258">
        <v>23010</v>
      </c>
      <c r="D676" s="2258"/>
      <c r="E676" s="2258">
        <v>27433</v>
      </c>
      <c r="F676" s="2258"/>
      <c r="G676" s="2258">
        <v>216</v>
      </c>
      <c r="H676" s="2259"/>
      <c r="I676" s="2259"/>
      <c r="J676" s="2259"/>
      <c r="K676" s="2259"/>
      <c r="U676" s="2267" t="s">
        <v>1250</v>
      </c>
      <c r="V676" s="2268">
        <v>44452</v>
      </c>
      <c r="W676" s="2267">
        <v>22.227399999999999</v>
      </c>
    </row>
    <row r="677" spans="1:23">
      <c r="A677" s="2255">
        <v>44187.291666666701</v>
      </c>
      <c r="B677" s="2255"/>
      <c r="C677" s="2258">
        <v>23010</v>
      </c>
      <c r="D677" s="2258"/>
      <c r="E677" s="2258">
        <v>27571</v>
      </c>
      <c r="F677" s="2258"/>
      <c r="G677" s="2258">
        <v>216</v>
      </c>
      <c r="H677" s="2259"/>
      <c r="I677" s="2259"/>
      <c r="J677" s="2259"/>
      <c r="K677" s="2259"/>
      <c r="V677" s="2267"/>
      <c r="W677" s="2267">
        <v>22.156600000000001</v>
      </c>
    </row>
    <row r="678" spans="1:23">
      <c r="A678" s="2255">
        <v>44186.291666666701</v>
      </c>
      <c r="B678" s="2255"/>
      <c r="C678" s="2258">
        <v>23010</v>
      </c>
      <c r="D678" s="2258"/>
      <c r="E678" s="2258">
        <v>27459</v>
      </c>
      <c r="F678" s="2258"/>
      <c r="G678" s="2258">
        <v>216</v>
      </c>
      <c r="H678" s="2259"/>
      <c r="I678" s="2259"/>
      <c r="J678" s="2259"/>
      <c r="K678" s="2259"/>
      <c r="U678" s="2267" t="s">
        <v>1251</v>
      </c>
      <c r="V678" s="2268">
        <v>44449</v>
      </c>
      <c r="W678" s="2267">
        <v>21.967600000000001</v>
      </c>
    </row>
    <row r="679" spans="1:23">
      <c r="A679" s="2255">
        <v>44183.291666666701</v>
      </c>
      <c r="B679" s="2255"/>
      <c r="C679" s="2258">
        <v>23010</v>
      </c>
      <c r="D679" s="2258"/>
      <c r="E679" s="2258">
        <v>27636</v>
      </c>
      <c r="F679" s="2258"/>
      <c r="G679" s="2258">
        <v>217</v>
      </c>
      <c r="H679" s="2259"/>
      <c r="I679" s="2259"/>
      <c r="J679" s="2259"/>
      <c r="K679" s="2259"/>
      <c r="U679" s="2267" t="s">
        <v>1252</v>
      </c>
      <c r="V679" s="2268">
        <v>44448</v>
      </c>
    </row>
    <row r="680" spans="1:23">
      <c r="A680" s="2255">
        <v>44182.291666666701</v>
      </c>
      <c r="B680" s="2255"/>
      <c r="C680" s="2258">
        <v>23010</v>
      </c>
      <c r="D680" s="2258"/>
      <c r="E680" s="2258">
        <v>27496</v>
      </c>
      <c r="F680" s="2258"/>
      <c r="G680" s="2258">
        <v>216</v>
      </c>
      <c r="H680" s="2259"/>
      <c r="I680" s="2259"/>
      <c r="J680" s="2259"/>
      <c r="K680" s="2259"/>
      <c r="U680" s="2267" t="s">
        <v>1253</v>
      </c>
      <c r="V680" s="2268">
        <v>44447</v>
      </c>
      <c r="W680" s="2267">
        <v>22.085699999999999</v>
      </c>
    </row>
    <row r="681" spans="1:23">
      <c r="A681" s="2255">
        <v>44181.291666666701</v>
      </c>
      <c r="B681" s="2255"/>
      <c r="C681" s="2258">
        <v>23010</v>
      </c>
      <c r="D681" s="2258"/>
      <c r="E681" s="2258">
        <v>27388</v>
      </c>
      <c r="F681" s="2258"/>
      <c r="G681" s="2258">
        <v>216</v>
      </c>
      <c r="H681" s="2259"/>
      <c r="I681" s="2259"/>
      <c r="J681" s="2259"/>
      <c r="K681" s="2259"/>
      <c r="U681" s="2267" t="s">
        <v>1249</v>
      </c>
      <c r="V681" s="2268">
        <v>44446</v>
      </c>
      <c r="W681" s="2267">
        <v>22.014800000000001</v>
      </c>
    </row>
    <row r="682" spans="1:23">
      <c r="A682" s="2255">
        <v>44180.291666666701</v>
      </c>
      <c r="B682" s="2255"/>
      <c r="C682" s="2258">
        <v>23010</v>
      </c>
      <c r="D682" s="2258"/>
      <c r="E682" s="2258">
        <v>27397</v>
      </c>
      <c r="F682" s="2258"/>
      <c r="G682" s="2258">
        <v>215</v>
      </c>
      <c r="H682" s="2262">
        <v>4.4999999999999998E-2</v>
      </c>
      <c r="I682" s="2262">
        <v>4.4999999999999998E-2</v>
      </c>
      <c r="J682" s="2259"/>
      <c r="K682" s="2262">
        <v>3.3000000000000002E-2</v>
      </c>
      <c r="U682" s="2267" t="s">
        <v>1250</v>
      </c>
      <c r="V682" s="2268">
        <v>44445</v>
      </c>
      <c r="W682" s="2267">
        <v>21.991199999999999</v>
      </c>
    </row>
    <row r="683" spans="1:23">
      <c r="A683" s="2255">
        <v>44179.291666666701</v>
      </c>
      <c r="B683" s="2255"/>
      <c r="C683" s="2258">
        <v>23010</v>
      </c>
      <c r="D683" s="2258"/>
      <c r="E683" s="2258">
        <v>27327</v>
      </c>
      <c r="F683" s="2258"/>
      <c r="G683" s="2258">
        <v>215</v>
      </c>
      <c r="H683" s="2259"/>
      <c r="I683" s="2259"/>
      <c r="J683" s="2259"/>
      <c r="K683" s="2259"/>
      <c r="V683" s="2267"/>
      <c r="W683" s="2267">
        <v>22.085699999999999</v>
      </c>
    </row>
    <row r="684" spans="1:23">
      <c r="A684" s="2255">
        <v>44176.291666666701</v>
      </c>
      <c r="B684" s="2255"/>
      <c r="C684" s="2258">
        <v>23010</v>
      </c>
      <c r="D684" s="2258"/>
      <c r="E684" s="2258">
        <v>27377</v>
      </c>
      <c r="F684" s="2258"/>
      <c r="G684" s="2258">
        <v>215</v>
      </c>
      <c r="H684" s="2259"/>
      <c r="I684" s="2259"/>
      <c r="J684" s="2259"/>
      <c r="K684" s="2259"/>
      <c r="U684" s="2267" t="s">
        <v>1253</v>
      </c>
      <c r="V684" s="2268">
        <v>44440</v>
      </c>
      <c r="W684" s="2267">
        <v>22.416399999999999</v>
      </c>
    </row>
    <row r="685" spans="1:23">
      <c r="A685" s="2255">
        <v>44175.291666666701</v>
      </c>
      <c r="B685" s="2255"/>
      <c r="C685" s="2258">
        <v>23010</v>
      </c>
      <c r="D685" s="2258"/>
      <c r="E685" s="2258">
        <v>27239</v>
      </c>
      <c r="F685" s="2258"/>
      <c r="G685" s="2258">
        <v>214</v>
      </c>
      <c r="H685" s="2259"/>
      <c r="I685" s="2259"/>
      <c r="J685" s="2259"/>
      <c r="K685" s="2259"/>
      <c r="U685" s="2267" t="s">
        <v>1249</v>
      </c>
      <c r="V685" s="2268">
        <v>44439</v>
      </c>
    </row>
    <row r="686" spans="1:23">
      <c r="A686" s="2255">
        <v>44174.291666666701</v>
      </c>
      <c r="B686" s="2255"/>
      <c r="C686" s="2258">
        <v>23010</v>
      </c>
      <c r="D686" s="2258"/>
      <c r="E686" s="2258">
        <v>27305</v>
      </c>
      <c r="F686" s="2258"/>
      <c r="G686" s="2258">
        <v>215</v>
      </c>
      <c r="H686" s="2259"/>
      <c r="I686" s="2259"/>
      <c r="J686" s="2259"/>
      <c r="K686" s="2259"/>
      <c r="U686" s="2267" t="s">
        <v>1250</v>
      </c>
      <c r="V686" s="2268">
        <v>44438</v>
      </c>
      <c r="W686" s="2267">
        <v>21.825900000000001</v>
      </c>
    </row>
    <row r="687" spans="1:23">
      <c r="A687" s="2255">
        <v>44173.291666666701</v>
      </c>
      <c r="B687" s="2255"/>
      <c r="C687" s="2258">
        <v>23010</v>
      </c>
      <c r="D687" s="2258"/>
      <c r="E687" s="2258">
        <v>27300</v>
      </c>
      <c r="F687" s="2258"/>
      <c r="G687" s="2258">
        <v>215</v>
      </c>
      <c r="H687" s="2259"/>
      <c r="I687" s="2259"/>
      <c r="J687" s="2259"/>
      <c r="K687" s="2259"/>
      <c r="V687" s="2267"/>
      <c r="W687" s="2267">
        <v>21.825900000000001</v>
      </c>
    </row>
    <row r="688" spans="1:23">
      <c r="A688" s="2255">
        <v>44172.291666666701</v>
      </c>
      <c r="B688" s="2255"/>
      <c r="C688" s="2258">
        <v>23010</v>
      </c>
      <c r="D688" s="2258"/>
      <c r="E688" s="2258">
        <v>27341</v>
      </c>
      <c r="F688" s="2258"/>
      <c r="G688" s="2258">
        <v>215</v>
      </c>
      <c r="H688" s="2259"/>
      <c r="I688" s="2259"/>
      <c r="J688" s="2259"/>
      <c r="K688" s="2259"/>
      <c r="U688" s="2267" t="s">
        <v>1251</v>
      </c>
      <c r="V688" s="2268">
        <v>44435</v>
      </c>
      <c r="W688" s="2267">
        <v>21.778600000000001</v>
      </c>
    </row>
    <row r="689" spans="1:23">
      <c r="A689" s="2255">
        <v>44169.291666666701</v>
      </c>
      <c r="B689" s="2255"/>
      <c r="C689" s="2258">
        <v>23010</v>
      </c>
      <c r="D689" s="2258"/>
      <c r="E689" s="2258">
        <v>27372</v>
      </c>
      <c r="F689" s="2258"/>
      <c r="G689" s="2258">
        <v>215</v>
      </c>
      <c r="H689" s="2262">
        <v>4.4999999999999998E-2</v>
      </c>
      <c r="I689" s="2262">
        <v>4.4999999999999998E-2</v>
      </c>
      <c r="J689" s="2259"/>
      <c r="K689" s="2262">
        <v>3.3000000000000002E-2</v>
      </c>
      <c r="U689" s="2267" t="s">
        <v>1252</v>
      </c>
      <c r="V689" s="2268">
        <v>44434</v>
      </c>
    </row>
    <row r="690" spans="1:23">
      <c r="A690" s="2255">
        <v>44168.291666666701</v>
      </c>
      <c r="B690" s="2255"/>
      <c r="C690" s="2258">
        <v>23020</v>
      </c>
      <c r="D690" s="2258"/>
      <c r="E690" s="2258">
        <v>27308</v>
      </c>
      <c r="F690" s="2258"/>
      <c r="G690" s="2258">
        <v>214</v>
      </c>
      <c r="H690" s="2259"/>
      <c r="I690" s="2259"/>
      <c r="J690" s="2259"/>
      <c r="K690" s="2259"/>
      <c r="U690" s="2267" t="s">
        <v>1253</v>
      </c>
      <c r="V690" s="2268">
        <v>44433</v>
      </c>
      <c r="W690" s="2267">
        <v>21.731400000000001</v>
      </c>
    </row>
    <row r="691" spans="1:23">
      <c r="A691" s="2255">
        <v>44167.291666666701</v>
      </c>
      <c r="B691" s="2255"/>
      <c r="C691" s="2258">
        <v>23020</v>
      </c>
      <c r="D691" s="2258"/>
      <c r="E691" s="2258">
        <v>27215</v>
      </c>
      <c r="F691" s="2258"/>
      <c r="G691" s="2258">
        <v>214</v>
      </c>
      <c r="H691" s="2259"/>
      <c r="I691" s="2259"/>
      <c r="J691" s="2259"/>
      <c r="K691" s="2259"/>
      <c r="U691" s="2267" t="s">
        <v>1249</v>
      </c>
      <c r="V691" s="2268">
        <v>44432</v>
      </c>
      <c r="W691" s="2267">
        <v>21.589600000000001</v>
      </c>
    </row>
    <row r="692" spans="1:23">
      <c r="A692" s="2255">
        <v>44166.291666666701</v>
      </c>
      <c r="B692" s="2255"/>
      <c r="C692" s="2258">
        <v>23020</v>
      </c>
      <c r="D692" s="2258"/>
      <c r="E692" s="2258">
        <v>26935</v>
      </c>
      <c r="F692" s="2258"/>
      <c r="G692" s="2258">
        <v>214</v>
      </c>
      <c r="H692" s="2259"/>
      <c r="I692" s="2259"/>
      <c r="J692" s="2259"/>
      <c r="K692" s="2259"/>
      <c r="U692" s="2267" t="s">
        <v>1250</v>
      </c>
      <c r="V692" s="2268">
        <v>44431</v>
      </c>
      <c r="W692" s="2267">
        <v>21.707799999999999</v>
      </c>
    </row>
    <row r="693" spans="1:23">
      <c r="A693" s="2255">
        <v>44165.291666666701</v>
      </c>
      <c r="B693" s="2255"/>
      <c r="C693" s="2258">
        <v>23020</v>
      </c>
      <c r="D693" s="2258"/>
      <c r="E693" s="2258">
        <v>26987</v>
      </c>
      <c r="F693" s="2258"/>
      <c r="G693" s="2258">
        <v>215</v>
      </c>
      <c r="H693" s="2259"/>
      <c r="I693" s="2259"/>
      <c r="J693" s="2259"/>
      <c r="K693" s="2259"/>
      <c r="V693" s="2267"/>
      <c r="W693" s="2267">
        <v>21.707799999999999</v>
      </c>
    </row>
    <row r="694" spans="1:23">
      <c r="A694" s="2255">
        <v>44162.291666666701</v>
      </c>
      <c r="B694" s="2255"/>
      <c r="C694" s="2258">
        <v>23050</v>
      </c>
      <c r="D694" s="2258"/>
      <c r="E694" s="2258">
        <v>26898</v>
      </c>
      <c r="F694" s="2258"/>
      <c r="G694" s="2258">
        <v>215</v>
      </c>
      <c r="H694" s="2262">
        <v>4.4999999999999998E-2</v>
      </c>
      <c r="I694" s="2262">
        <v>4.4999999999999998E-2</v>
      </c>
      <c r="J694" s="2259"/>
      <c r="K694" s="2262">
        <v>3.3000000000000002E-2</v>
      </c>
      <c r="U694" s="2267" t="s">
        <v>1251</v>
      </c>
      <c r="V694" s="2268">
        <v>44428</v>
      </c>
      <c r="W694" s="2267">
        <v>21.495200000000001</v>
      </c>
    </row>
    <row r="695" spans="1:23">
      <c r="A695" s="2255">
        <v>44161.291666666701</v>
      </c>
      <c r="B695" s="2255"/>
      <c r="C695" s="2258">
        <v>23050</v>
      </c>
      <c r="D695" s="2258"/>
      <c r="E695" s="2258">
        <v>26955</v>
      </c>
      <c r="F695" s="2258"/>
      <c r="G695" s="2258">
        <v>215</v>
      </c>
      <c r="H695" s="2259"/>
      <c r="I695" s="2259"/>
      <c r="J695" s="2259"/>
      <c r="K695" s="2259"/>
      <c r="U695" s="2267" t="s">
        <v>1252</v>
      </c>
      <c r="V695" s="2268">
        <v>44427</v>
      </c>
    </row>
    <row r="696" spans="1:23">
      <c r="A696" s="2255">
        <v>44160.291666666701</v>
      </c>
      <c r="B696" s="2255"/>
      <c r="C696" s="2258">
        <v>23040</v>
      </c>
      <c r="D696" s="2258"/>
      <c r="E696" s="2258">
        <v>26853</v>
      </c>
      <c r="F696" s="2258"/>
      <c r="G696" s="2258">
        <v>214</v>
      </c>
      <c r="H696" s="2259"/>
      <c r="I696" s="2259"/>
      <c r="J696" s="2259"/>
      <c r="K696" s="2259"/>
      <c r="U696" s="2267" t="s">
        <v>1253</v>
      </c>
      <c r="V696" s="2268">
        <v>44426</v>
      </c>
      <c r="W696" s="2267">
        <v>21.920300000000001</v>
      </c>
    </row>
    <row r="697" spans="1:23">
      <c r="A697" s="2255">
        <v>44159.291666666701</v>
      </c>
      <c r="B697" s="2255"/>
      <c r="C697" s="2258">
        <v>23040</v>
      </c>
      <c r="D697" s="2258"/>
      <c r="E697" s="2258">
        <v>26726</v>
      </c>
      <c r="F697" s="2258"/>
      <c r="G697" s="2258">
        <v>214</v>
      </c>
      <c r="H697" s="2259"/>
      <c r="I697" s="2259"/>
      <c r="J697" s="2259"/>
      <c r="K697" s="2259"/>
      <c r="U697" s="2267" t="s">
        <v>1249</v>
      </c>
      <c r="V697" s="2268">
        <v>44425</v>
      </c>
      <c r="W697" s="2267">
        <v>22.321899999999999</v>
      </c>
    </row>
    <row r="698" spans="1:23">
      <c r="A698" s="2255">
        <v>44158.291666666701</v>
      </c>
      <c r="B698" s="2255"/>
      <c r="C698" s="2258">
        <v>23030</v>
      </c>
      <c r="D698" s="2258"/>
      <c r="E698" s="2258">
        <v>26794</v>
      </c>
      <c r="F698" s="2258"/>
      <c r="G698" s="2258">
        <v>216</v>
      </c>
      <c r="H698" s="2259"/>
      <c r="I698" s="2259"/>
      <c r="J698" s="2259"/>
      <c r="K698" s="2259"/>
      <c r="U698" s="2267" t="s">
        <v>1250</v>
      </c>
      <c r="V698" s="2268">
        <v>44424</v>
      </c>
      <c r="W698" s="2267">
        <v>22.203800000000001</v>
      </c>
    </row>
    <row r="699" spans="1:23">
      <c r="A699" s="2255">
        <v>44155.291666666701</v>
      </c>
      <c r="B699" s="2255"/>
      <c r="C699" s="2258">
        <v>23055</v>
      </c>
      <c r="D699" s="2258"/>
      <c r="E699" s="2258">
        <v>26818</v>
      </c>
      <c r="F699" s="2258"/>
      <c r="G699" s="2258">
        <v>216</v>
      </c>
      <c r="H699" s="2262">
        <v>4.4999999999999998E-2</v>
      </c>
      <c r="I699" s="2262">
        <v>4.4999999999999998E-2</v>
      </c>
      <c r="J699" s="2259"/>
      <c r="K699" s="2262">
        <v>3.3000000000000002E-2</v>
      </c>
      <c r="V699" s="2267"/>
      <c r="W699" s="2267">
        <v>22.156600000000001</v>
      </c>
    </row>
    <row r="700" spans="1:23">
      <c r="A700" s="2255">
        <v>44154.291666666701</v>
      </c>
      <c r="B700" s="2255"/>
      <c r="C700" s="2258">
        <v>23060</v>
      </c>
      <c r="D700" s="2258"/>
      <c r="E700" s="2258">
        <v>26738</v>
      </c>
      <c r="F700" s="2258"/>
      <c r="G700" s="2258">
        <v>216</v>
      </c>
      <c r="H700" s="2259"/>
      <c r="I700" s="2259"/>
      <c r="J700" s="2259"/>
      <c r="K700" s="2259"/>
      <c r="U700" s="2267" t="s">
        <v>1251</v>
      </c>
      <c r="V700" s="2268">
        <v>44421</v>
      </c>
      <c r="W700" s="2267">
        <v>22.345500000000001</v>
      </c>
    </row>
    <row r="701" spans="1:23">
      <c r="A701" s="2255">
        <v>44153.291666666701</v>
      </c>
      <c r="B701" s="2255"/>
      <c r="C701" s="2258">
        <v>23060</v>
      </c>
      <c r="D701" s="2258"/>
      <c r="E701" s="2258">
        <v>26788</v>
      </c>
      <c r="F701" s="2258"/>
      <c r="G701" s="2258">
        <v>215</v>
      </c>
      <c r="H701" s="2259"/>
      <c r="I701" s="2259"/>
      <c r="J701" s="2259"/>
      <c r="K701" s="2259"/>
      <c r="U701" s="2267" t="s">
        <v>1252</v>
      </c>
      <c r="V701" s="2268">
        <v>44420</v>
      </c>
    </row>
    <row r="702" spans="1:23">
      <c r="A702" s="2255">
        <v>44152.291666666701</v>
      </c>
      <c r="B702" s="2255"/>
      <c r="C702" s="2258">
        <v>23050</v>
      </c>
      <c r="D702" s="2258"/>
      <c r="E702" s="2258">
        <v>26796</v>
      </c>
      <c r="F702" s="2258"/>
      <c r="G702" s="2258">
        <v>214</v>
      </c>
      <c r="H702" s="2259"/>
      <c r="I702" s="2259"/>
      <c r="J702" s="2259"/>
      <c r="K702" s="2259"/>
      <c r="U702" s="2267" t="s">
        <v>1253</v>
      </c>
      <c r="V702" s="2268">
        <v>44419</v>
      </c>
      <c r="W702" s="2267">
        <v>22.44</v>
      </c>
    </row>
    <row r="703" spans="1:23">
      <c r="A703" s="2255">
        <v>44151.291666666701</v>
      </c>
      <c r="B703" s="2255"/>
      <c r="C703" s="2258">
        <v>23055</v>
      </c>
      <c r="D703" s="2258"/>
      <c r="E703" s="2258">
        <v>26751</v>
      </c>
      <c r="F703" s="2258"/>
      <c r="G703" s="2258">
        <v>214</v>
      </c>
      <c r="H703" s="2259"/>
      <c r="I703" s="2259"/>
      <c r="J703" s="2259"/>
      <c r="K703" s="2259"/>
      <c r="U703" s="2267" t="s">
        <v>1249</v>
      </c>
      <c r="V703" s="2268">
        <v>44418</v>
      </c>
      <c r="W703" s="2267">
        <v>22.156600000000001</v>
      </c>
    </row>
    <row r="704" spans="1:23">
      <c r="A704" s="2255">
        <v>44148.291666666701</v>
      </c>
      <c r="B704" s="2255"/>
      <c r="C704" s="2258">
        <v>23060</v>
      </c>
      <c r="D704" s="2258"/>
      <c r="E704" s="2258">
        <v>26675</v>
      </c>
      <c r="F704" s="2258"/>
      <c r="G704" s="2258">
        <v>213</v>
      </c>
      <c r="H704" s="2259"/>
      <c r="I704" s="2259"/>
      <c r="J704" s="2259"/>
      <c r="K704" s="2259"/>
      <c r="U704" s="2267" t="s">
        <v>1250</v>
      </c>
      <c r="V704" s="2268">
        <v>44417</v>
      </c>
      <c r="W704" s="2267">
        <v>22.6998</v>
      </c>
    </row>
    <row r="705" spans="1:23">
      <c r="A705" s="2255">
        <v>44147.291666666701</v>
      </c>
      <c r="B705" s="2255"/>
      <c r="C705" s="2258">
        <v>23060</v>
      </c>
      <c r="D705" s="2258"/>
      <c r="E705" s="2258">
        <v>26614</v>
      </c>
      <c r="F705" s="2258"/>
      <c r="G705" s="2258">
        <v>213</v>
      </c>
      <c r="H705" s="2259"/>
      <c r="I705" s="2259"/>
      <c r="J705" s="2259"/>
      <c r="K705" s="2259"/>
      <c r="V705" s="2267"/>
      <c r="W705" s="2267">
        <v>23.101400000000002</v>
      </c>
    </row>
    <row r="706" spans="1:23">
      <c r="A706" s="2255">
        <v>44146.291666666701</v>
      </c>
      <c r="B706" s="2255"/>
      <c r="C706" s="2258">
        <v>23060</v>
      </c>
      <c r="D706" s="2258"/>
      <c r="E706" s="2258">
        <v>26713</v>
      </c>
      <c r="F706" s="2258"/>
      <c r="G706" s="2258">
        <v>213</v>
      </c>
      <c r="H706" s="2259"/>
      <c r="I706" s="2259"/>
      <c r="J706" s="2259"/>
      <c r="K706" s="2259"/>
      <c r="U706" s="2267" t="s">
        <v>1251</v>
      </c>
      <c r="V706" s="2268">
        <v>44414</v>
      </c>
      <c r="W706" s="2267">
        <v>23.0305</v>
      </c>
    </row>
    <row r="707" spans="1:23">
      <c r="A707" s="2255">
        <v>44145.291666666701</v>
      </c>
      <c r="B707" s="2255"/>
      <c r="C707" s="2258">
        <v>23060</v>
      </c>
      <c r="D707" s="2258"/>
      <c r="E707" s="2258">
        <v>26691</v>
      </c>
      <c r="F707" s="2258"/>
      <c r="G707" s="2258">
        <v>213</v>
      </c>
      <c r="H707" s="2259"/>
      <c r="I707" s="2259"/>
      <c r="J707" s="2259"/>
      <c r="K707" s="2259"/>
      <c r="U707" s="2267" t="s">
        <v>1252</v>
      </c>
      <c r="V707" s="2268">
        <v>44413</v>
      </c>
    </row>
    <row r="708" spans="1:23">
      <c r="A708" s="2255">
        <v>44144.291666666701</v>
      </c>
      <c r="B708" s="2255"/>
      <c r="C708" s="2258">
        <v>23060</v>
      </c>
      <c r="D708" s="2258"/>
      <c r="E708" s="2258">
        <v>26863</v>
      </c>
      <c r="F708" s="2258"/>
      <c r="G708" s="2258">
        <v>216</v>
      </c>
      <c r="H708" s="2262">
        <v>4.4999999999999998E-2</v>
      </c>
      <c r="I708" s="2262">
        <v>4.4999999999999998E-2</v>
      </c>
      <c r="J708" s="2259"/>
      <c r="K708" s="2262">
        <v>3.4000000000000002E-2</v>
      </c>
      <c r="U708" s="2267" t="s">
        <v>1253</v>
      </c>
      <c r="V708" s="2268">
        <v>44412</v>
      </c>
      <c r="W708" s="2267">
        <v>22.817900000000002</v>
      </c>
    </row>
    <row r="709" spans="1:23">
      <c r="A709" s="2255">
        <v>44141.291666666701</v>
      </c>
      <c r="B709" s="2255"/>
      <c r="C709" s="2258">
        <v>23060</v>
      </c>
      <c r="D709" s="2258"/>
      <c r="E709" s="2258">
        <v>26720</v>
      </c>
      <c r="F709" s="2258"/>
      <c r="G709" s="2258">
        <v>216</v>
      </c>
      <c r="H709" s="2259"/>
      <c r="I709" s="2259"/>
      <c r="J709" s="2259"/>
      <c r="K709" s="2259"/>
      <c r="U709" s="2267" t="s">
        <v>1249</v>
      </c>
      <c r="V709" s="2268">
        <v>44411</v>
      </c>
      <c r="W709" s="2267">
        <v>22.817900000000002</v>
      </c>
    </row>
    <row r="710" spans="1:23">
      <c r="A710" s="2255">
        <v>44140.291666666701</v>
      </c>
      <c r="B710" s="2255"/>
      <c r="C710" s="2258">
        <v>23060</v>
      </c>
      <c r="D710" s="2258"/>
      <c r="E710" s="2258">
        <v>26512</v>
      </c>
      <c r="F710" s="2258"/>
      <c r="G710" s="2258">
        <v>215</v>
      </c>
      <c r="H710" s="2259"/>
      <c r="I710" s="2259"/>
      <c r="J710" s="2259"/>
      <c r="K710" s="2259"/>
      <c r="U710" s="2267" t="s">
        <v>1250</v>
      </c>
      <c r="V710" s="2268">
        <v>44410</v>
      </c>
      <c r="W710" s="2267">
        <v>22.581700000000001</v>
      </c>
    </row>
    <row r="711" spans="1:23">
      <c r="A711" s="2255">
        <v>44139.291666666701</v>
      </c>
      <c r="B711" s="2255"/>
      <c r="C711" s="2258">
        <v>23060</v>
      </c>
      <c r="D711" s="2258"/>
      <c r="E711" s="2258">
        <v>26442</v>
      </c>
      <c r="F711" s="2258"/>
      <c r="G711" s="2258">
        <v>214</v>
      </c>
      <c r="H711" s="2259"/>
      <c r="I711" s="2259"/>
      <c r="J711" s="2259"/>
      <c r="K711" s="2259"/>
      <c r="V711" s="2267"/>
      <c r="W711" s="2267">
        <v>22.629000000000001</v>
      </c>
    </row>
    <row r="712" spans="1:23">
      <c r="A712" s="2255">
        <v>44138.291666666701</v>
      </c>
      <c r="B712" s="2255"/>
      <c r="C712" s="2258">
        <v>23060</v>
      </c>
      <c r="D712" s="2258"/>
      <c r="E712" s="2258">
        <v>26321</v>
      </c>
      <c r="F712" s="2258"/>
      <c r="G712" s="2258">
        <v>214</v>
      </c>
      <c r="H712" s="2259"/>
      <c r="I712" s="2259"/>
      <c r="J712" s="2259"/>
      <c r="K712" s="2259"/>
      <c r="U712" s="2267" t="s">
        <v>1251</v>
      </c>
      <c r="V712" s="2268">
        <v>44407</v>
      </c>
      <c r="W712" s="2267">
        <v>22.581700000000001</v>
      </c>
    </row>
    <row r="713" spans="1:23">
      <c r="A713" s="2255">
        <v>44137.291666666701</v>
      </c>
      <c r="B713" s="2255"/>
      <c r="C713" s="2258">
        <v>23060</v>
      </c>
      <c r="D713" s="2258"/>
      <c r="E713" s="2258">
        <v>26294</v>
      </c>
      <c r="F713" s="2258"/>
      <c r="G713" s="2258">
        <v>214</v>
      </c>
      <c r="H713" s="2259"/>
      <c r="I713" s="2259"/>
      <c r="J713" s="2259"/>
      <c r="K713" s="2259"/>
      <c r="U713" s="2267" t="s">
        <v>1252</v>
      </c>
      <c r="V713" s="2268">
        <v>44406</v>
      </c>
    </row>
    <row r="714" spans="1:23">
      <c r="A714" s="2255">
        <v>44134.291666666701</v>
      </c>
      <c r="B714" s="2255"/>
      <c r="C714" s="2258">
        <v>23060</v>
      </c>
      <c r="D714" s="2258"/>
      <c r="E714" s="2258">
        <v>26377</v>
      </c>
      <c r="F714" s="2258"/>
      <c r="G714" s="2258">
        <v>215</v>
      </c>
      <c r="H714" s="2262">
        <v>4.4999999999999998E-2</v>
      </c>
      <c r="I714" s="2262">
        <v>4.4999999999999998E-2</v>
      </c>
      <c r="J714" s="2259"/>
      <c r="K714" s="2262">
        <v>3.3000000000000002E-2</v>
      </c>
      <c r="U714" s="2267" t="s">
        <v>1253</v>
      </c>
      <c r="V714" s="2268">
        <v>44405</v>
      </c>
      <c r="W714" s="2267">
        <v>22.203800000000001</v>
      </c>
    </row>
    <row r="715" spans="1:23">
      <c r="A715" s="2255">
        <v>44133.291666666701</v>
      </c>
      <c r="B715" s="2255"/>
      <c r="C715" s="2258">
        <v>23060</v>
      </c>
      <c r="D715" s="2258"/>
      <c r="E715" s="2258">
        <v>26555</v>
      </c>
      <c r="F715" s="2258"/>
      <c r="G715" s="2258">
        <v>215</v>
      </c>
      <c r="H715" s="2259"/>
      <c r="I715" s="2259"/>
      <c r="J715" s="2259"/>
      <c r="K715" s="2259"/>
      <c r="U715" s="2267" t="s">
        <v>1249</v>
      </c>
      <c r="V715" s="2268">
        <v>44404</v>
      </c>
      <c r="W715" s="2267">
        <v>22.062100000000001</v>
      </c>
    </row>
    <row r="716" spans="1:23">
      <c r="A716" s="2255">
        <v>44132.291666666701</v>
      </c>
      <c r="B716" s="2255"/>
      <c r="C716" s="2258">
        <v>23060</v>
      </c>
      <c r="D716" s="2258"/>
      <c r="E716" s="2258">
        <v>26616</v>
      </c>
      <c r="F716" s="2258"/>
      <c r="G716" s="2258">
        <v>214</v>
      </c>
      <c r="H716" s="2259"/>
      <c r="I716" s="2259"/>
      <c r="J716" s="2259"/>
      <c r="K716" s="2259"/>
      <c r="U716" s="2267" t="s">
        <v>1250</v>
      </c>
      <c r="V716" s="2268">
        <v>44403</v>
      </c>
      <c r="W716" s="2267">
        <v>21.731400000000001</v>
      </c>
    </row>
    <row r="717" spans="1:23">
      <c r="A717" s="2255">
        <v>44131.291666666701</v>
      </c>
      <c r="B717" s="2255"/>
      <c r="C717" s="2258">
        <v>23060</v>
      </c>
      <c r="D717" s="2258"/>
      <c r="E717" s="2258">
        <v>26693</v>
      </c>
      <c r="F717" s="2258"/>
      <c r="G717" s="2258">
        <v>214</v>
      </c>
      <c r="H717" s="2259"/>
      <c r="I717" s="2259"/>
      <c r="J717" s="2259"/>
      <c r="K717" s="2259"/>
      <c r="V717" s="2267"/>
      <c r="W717" s="2267">
        <v>22.014800000000001</v>
      </c>
    </row>
    <row r="718" spans="1:23">
      <c r="A718" s="2255">
        <v>44130.291666666701</v>
      </c>
      <c r="B718" s="2255"/>
      <c r="C718" s="2258">
        <v>23060</v>
      </c>
      <c r="D718" s="2258"/>
      <c r="E718" s="2258">
        <v>26754</v>
      </c>
      <c r="F718" s="2258"/>
      <c r="G718" s="2258">
        <v>214</v>
      </c>
      <c r="H718" s="2259"/>
      <c r="I718" s="2259"/>
      <c r="J718" s="2259"/>
      <c r="K718" s="2259"/>
      <c r="U718" s="2267" t="s">
        <v>1251</v>
      </c>
      <c r="V718" s="2268">
        <v>44400</v>
      </c>
      <c r="W718" s="2267">
        <v>22.132899999999999</v>
      </c>
    </row>
    <row r="719" spans="1:23">
      <c r="A719" s="2255">
        <v>44127.291666666701</v>
      </c>
      <c r="B719" s="2255"/>
      <c r="C719" s="2258">
        <v>23060</v>
      </c>
      <c r="D719" s="2258"/>
      <c r="E719" s="2258">
        <v>26659</v>
      </c>
      <c r="F719" s="2258"/>
      <c r="G719" s="2258">
        <v>216</v>
      </c>
      <c r="H719" s="2259"/>
      <c r="I719" s="2259"/>
      <c r="J719" s="2259"/>
      <c r="K719" s="2259"/>
      <c r="U719" s="2267" t="s">
        <v>1252</v>
      </c>
      <c r="V719" s="2268">
        <v>44399</v>
      </c>
    </row>
    <row r="720" spans="1:23">
      <c r="A720" s="2255">
        <v>44126.291666666701</v>
      </c>
      <c r="B720" s="2255"/>
      <c r="C720" s="2258">
        <v>23060</v>
      </c>
      <c r="D720" s="2258"/>
      <c r="E720" s="2258">
        <v>26758</v>
      </c>
      <c r="F720" s="2258"/>
      <c r="G720" s="2258">
        <v>216</v>
      </c>
      <c r="H720" s="2259"/>
      <c r="I720" s="2259"/>
      <c r="J720" s="2259"/>
      <c r="K720" s="2259"/>
      <c r="U720" s="2267" t="s">
        <v>1253</v>
      </c>
      <c r="V720" s="2268">
        <v>44398</v>
      </c>
      <c r="W720" s="2267">
        <v>21.377099999999999</v>
      </c>
    </row>
    <row r="721" spans="1:23">
      <c r="A721" s="2255">
        <v>44125.291666666701</v>
      </c>
      <c r="B721" s="2255"/>
      <c r="C721" s="2258">
        <v>23060</v>
      </c>
      <c r="D721" s="2258"/>
      <c r="E721" s="2258">
        <v>26731</v>
      </c>
      <c r="F721" s="2258"/>
      <c r="G721" s="2258">
        <v>214</v>
      </c>
      <c r="H721" s="2262">
        <v>4.4999999999999998E-2</v>
      </c>
      <c r="I721" s="2262">
        <v>4.4999999999999998E-2</v>
      </c>
      <c r="J721" s="2259"/>
      <c r="K721" s="2262">
        <v>3.5000000000000003E-2</v>
      </c>
      <c r="U721" s="2267" t="s">
        <v>1249</v>
      </c>
      <c r="V721" s="2268">
        <v>44397</v>
      </c>
      <c r="W721" s="2267">
        <v>21.1172</v>
      </c>
    </row>
    <row r="722" spans="1:23">
      <c r="A722" s="2255">
        <v>44124.291666666701</v>
      </c>
      <c r="B722" s="2255"/>
      <c r="C722" s="2258">
        <v>23060</v>
      </c>
      <c r="D722" s="2258"/>
      <c r="E722" s="2258">
        <v>26607</v>
      </c>
      <c r="F722" s="2258"/>
      <c r="G722" s="2258">
        <v>214</v>
      </c>
      <c r="H722" s="2259"/>
      <c r="I722" s="2259"/>
      <c r="J722" s="2259"/>
      <c r="K722" s="2259"/>
      <c r="U722" s="2267" t="s">
        <v>1250</v>
      </c>
      <c r="V722" s="2268">
        <v>44396</v>
      </c>
      <c r="W722" s="2267">
        <v>20.4558</v>
      </c>
    </row>
    <row r="723" spans="1:23">
      <c r="A723" s="2255">
        <v>44123.291666666701</v>
      </c>
      <c r="B723" s="2255"/>
      <c r="C723" s="2258">
        <v>23060</v>
      </c>
      <c r="D723" s="2258"/>
      <c r="E723" s="2258">
        <v>26443</v>
      </c>
      <c r="F723" s="2258"/>
      <c r="G723" s="2258">
        <v>214</v>
      </c>
      <c r="H723" s="2259"/>
      <c r="I723" s="2259"/>
      <c r="J723" s="2259"/>
      <c r="K723" s="2259"/>
      <c r="V723" s="2267"/>
      <c r="W723" s="2267">
        <v>20.5031</v>
      </c>
    </row>
    <row r="724" spans="1:23">
      <c r="A724" s="2255">
        <v>44120.291666666701</v>
      </c>
      <c r="B724" s="2255"/>
      <c r="C724" s="2258">
        <v>23060</v>
      </c>
      <c r="D724" s="2258"/>
      <c r="E724" s="2258">
        <v>26460</v>
      </c>
      <c r="F724" s="2258"/>
      <c r="G724" s="2258">
        <v>213</v>
      </c>
      <c r="H724" s="2259"/>
      <c r="I724" s="2259"/>
      <c r="J724" s="2259"/>
      <c r="K724" s="2259"/>
      <c r="U724" s="2267" t="s">
        <v>1251</v>
      </c>
      <c r="V724" s="2268">
        <v>44393</v>
      </c>
      <c r="W724" s="2267">
        <v>20.007000000000001</v>
      </c>
    </row>
    <row r="725" spans="1:23">
      <c r="A725" s="2255">
        <v>44119.291666666701</v>
      </c>
      <c r="B725" s="2255"/>
      <c r="C725" s="2258">
        <v>23060</v>
      </c>
      <c r="D725" s="2258"/>
      <c r="E725" s="2258">
        <v>26555</v>
      </c>
      <c r="F725" s="2258"/>
      <c r="G725" s="2258">
        <v>213</v>
      </c>
      <c r="H725" s="2262">
        <v>4.4999999999999998E-2</v>
      </c>
      <c r="I725" s="2262">
        <v>4.4999999999999998E-2</v>
      </c>
      <c r="J725" s="2259"/>
      <c r="K725" s="2262">
        <v>3.5000000000000003E-2</v>
      </c>
      <c r="U725" s="2267" t="s">
        <v>1252</v>
      </c>
      <c r="V725" s="2268">
        <v>44392</v>
      </c>
    </row>
    <row r="726" spans="1:23">
      <c r="A726" s="2255">
        <v>44118.291666666701</v>
      </c>
      <c r="B726" s="2255"/>
      <c r="C726" s="2258">
        <v>23060</v>
      </c>
      <c r="D726" s="2258"/>
      <c r="E726" s="2258">
        <v>26546</v>
      </c>
      <c r="F726" s="2258"/>
      <c r="G726" s="2258">
        <v>212</v>
      </c>
      <c r="H726" s="2259"/>
      <c r="I726" s="2259"/>
      <c r="J726" s="2259"/>
      <c r="K726" s="2259"/>
      <c r="U726" s="2267" t="s">
        <v>1253</v>
      </c>
      <c r="V726" s="2268">
        <v>44391</v>
      </c>
      <c r="W726" s="2267">
        <v>20.5031</v>
      </c>
    </row>
    <row r="727" spans="1:23">
      <c r="A727" s="2255">
        <v>44117.291666666701</v>
      </c>
      <c r="B727" s="2255"/>
      <c r="C727" s="2258">
        <v>23070</v>
      </c>
      <c r="D727" s="2258"/>
      <c r="E727" s="2258">
        <v>26648</v>
      </c>
      <c r="F727" s="2258"/>
      <c r="G727" s="2258">
        <v>213</v>
      </c>
      <c r="H727" s="2259"/>
      <c r="I727" s="2259"/>
      <c r="J727" s="2259"/>
      <c r="K727" s="2259"/>
      <c r="U727" s="2267" t="s">
        <v>1249</v>
      </c>
      <c r="V727" s="2268">
        <v>44390</v>
      </c>
      <c r="W727" s="2267">
        <v>20.1724</v>
      </c>
    </row>
    <row r="728" spans="1:23">
      <c r="A728" s="2255">
        <v>44116.291666666701</v>
      </c>
      <c r="B728" s="2255"/>
      <c r="C728" s="2258">
        <v>23070</v>
      </c>
      <c r="D728" s="2258"/>
      <c r="E728" s="2258">
        <v>26693</v>
      </c>
      <c r="F728" s="2258"/>
      <c r="G728" s="2258">
        <v>212</v>
      </c>
      <c r="H728" s="2259"/>
      <c r="I728" s="2259"/>
      <c r="J728" s="2259"/>
      <c r="K728" s="2259"/>
      <c r="U728" s="2267" t="s">
        <v>1250</v>
      </c>
      <c r="V728" s="2268">
        <v>44389</v>
      </c>
      <c r="W728" s="2267">
        <v>20.1251</v>
      </c>
    </row>
    <row r="729" spans="1:23">
      <c r="A729" s="2255">
        <v>44113.291666666701</v>
      </c>
      <c r="B729" s="2255"/>
      <c r="C729" s="2258">
        <v>23070</v>
      </c>
      <c r="D729" s="2258"/>
      <c r="E729" s="2258">
        <v>26578</v>
      </c>
      <c r="F729" s="2258"/>
      <c r="G729" s="2258">
        <v>212</v>
      </c>
      <c r="H729" s="2259"/>
      <c r="I729" s="2259"/>
      <c r="J729" s="2259"/>
      <c r="K729" s="2259"/>
      <c r="V729" s="2267"/>
      <c r="W729" s="2267">
        <v>20.5503</v>
      </c>
    </row>
    <row r="730" spans="1:23">
      <c r="A730" s="2255">
        <v>44112.291666666701</v>
      </c>
      <c r="B730" s="2255"/>
      <c r="C730" s="2258">
        <v>23070</v>
      </c>
      <c r="D730" s="2258"/>
      <c r="E730" s="2258">
        <v>26605</v>
      </c>
      <c r="F730" s="2258"/>
      <c r="G730" s="2258">
        <v>211</v>
      </c>
      <c r="H730" s="2262">
        <v>4.4999999999999998E-2</v>
      </c>
      <c r="I730" s="2262">
        <v>4.4999999999999998E-2</v>
      </c>
      <c r="J730" s="2259"/>
      <c r="K730" s="2262">
        <v>3.6499999999999998E-2</v>
      </c>
      <c r="U730" s="2267" t="s">
        <v>1251</v>
      </c>
      <c r="V730" s="2268">
        <v>44386</v>
      </c>
      <c r="W730" s="2267">
        <v>20.337700000000002</v>
      </c>
    </row>
    <row r="731" spans="1:23">
      <c r="A731" s="2255">
        <v>44111.291666666701</v>
      </c>
      <c r="B731" s="2255"/>
      <c r="C731" s="2258">
        <v>23080</v>
      </c>
      <c r="D731" s="2258"/>
      <c r="E731" s="2258">
        <v>26580</v>
      </c>
      <c r="F731" s="2258"/>
      <c r="G731" s="2258">
        <v>212</v>
      </c>
      <c r="H731" s="2259"/>
      <c r="I731" s="2259"/>
      <c r="J731" s="2259"/>
      <c r="K731" s="2259"/>
      <c r="U731" s="2267" t="s">
        <v>1252</v>
      </c>
      <c r="V731" s="2268">
        <v>44385</v>
      </c>
    </row>
    <row r="732" spans="1:23">
      <c r="A732" s="2255">
        <v>44110.291666666701</v>
      </c>
      <c r="B732" s="2255"/>
      <c r="C732" s="2258">
        <v>23080</v>
      </c>
      <c r="D732" s="2258"/>
      <c r="E732" s="2258">
        <v>26655</v>
      </c>
      <c r="F732" s="2258"/>
      <c r="G732" s="2258">
        <v>212</v>
      </c>
      <c r="H732" s="2259"/>
      <c r="I732" s="2259"/>
      <c r="J732" s="2259"/>
      <c r="K732" s="2259"/>
      <c r="U732" s="2267" t="s">
        <v>1253</v>
      </c>
      <c r="V732" s="2268">
        <v>44384</v>
      </c>
      <c r="W732" s="2267">
        <v>21.188099999999999</v>
      </c>
    </row>
    <row r="733" spans="1:23">
      <c r="A733" s="2255">
        <v>44109.291666666701</v>
      </c>
      <c r="B733" s="2255"/>
      <c r="C733" s="2258">
        <v>23080</v>
      </c>
      <c r="D733" s="2258"/>
      <c r="E733" s="2258">
        <v>26528</v>
      </c>
      <c r="F733" s="2258"/>
      <c r="G733" s="2258">
        <v>212</v>
      </c>
      <c r="H733" s="2259"/>
      <c r="I733" s="2259"/>
      <c r="J733" s="2259"/>
      <c r="K733" s="2259"/>
      <c r="U733" s="2267" t="s">
        <v>1249</v>
      </c>
      <c r="V733" s="2268">
        <v>44383</v>
      </c>
      <c r="W733" s="2267">
        <v>21.2117</v>
      </c>
    </row>
    <row r="734" spans="1:23">
      <c r="A734" s="2255">
        <v>44106.291666666701</v>
      </c>
      <c r="B734" s="2255"/>
      <c r="C734" s="2258">
        <v>23070</v>
      </c>
      <c r="D734" s="2258"/>
      <c r="E734" s="2258">
        <v>26524</v>
      </c>
      <c r="F734" s="2258"/>
      <c r="G734" s="2258">
        <v>212</v>
      </c>
      <c r="H734" s="2259"/>
      <c r="I734" s="2259"/>
      <c r="J734" s="2259"/>
      <c r="K734" s="2259"/>
      <c r="U734" s="2267" t="s">
        <v>1250</v>
      </c>
      <c r="V734" s="2268">
        <v>44382</v>
      </c>
      <c r="W734" s="2267">
        <v>21.377099999999999</v>
      </c>
    </row>
    <row r="735" spans="1:23">
      <c r="A735" s="2255">
        <v>44105.291666666701</v>
      </c>
      <c r="B735" s="2255"/>
      <c r="C735" s="2258">
        <v>23070</v>
      </c>
      <c r="D735" s="2258"/>
      <c r="E735" s="2258">
        <v>26544</v>
      </c>
      <c r="F735" s="2258"/>
      <c r="G735" s="2258">
        <v>212</v>
      </c>
      <c r="H735" s="2259"/>
      <c r="I735" s="2259"/>
      <c r="J735" s="2259"/>
      <c r="K735" s="2259"/>
      <c r="V735" s="2267"/>
      <c r="W735" s="2267">
        <v>20.5503</v>
      </c>
    </row>
    <row r="736" spans="1:23">
      <c r="A736" s="2255">
        <v>44104.291666666701</v>
      </c>
      <c r="B736" s="2255"/>
      <c r="C736" s="2258">
        <v>23170</v>
      </c>
      <c r="D736" s="2258"/>
      <c r="E736" s="2258">
        <v>26847</v>
      </c>
      <c r="F736" s="2258"/>
      <c r="G736" s="2258">
        <v>212</v>
      </c>
      <c r="H736" s="2259"/>
      <c r="I736" s="2259"/>
      <c r="J736" s="2259"/>
      <c r="K736" s="2259"/>
      <c r="U736" s="2267" t="s">
        <v>1251</v>
      </c>
      <c r="V736" s="2268">
        <v>44379</v>
      </c>
      <c r="W736" s="2267">
        <v>21.896699999999999</v>
      </c>
    </row>
    <row r="737" spans="1:23">
      <c r="A737" s="2255">
        <v>44103.291666666701</v>
      </c>
      <c r="B737" s="2255"/>
      <c r="C737" s="2258">
        <v>23070</v>
      </c>
      <c r="D737" s="2258"/>
      <c r="E737" s="2258">
        <v>26390</v>
      </c>
      <c r="F737" s="2258"/>
      <c r="G737" s="2258">
        <v>213</v>
      </c>
      <c r="H737" s="2259"/>
      <c r="I737" s="2259"/>
      <c r="J737" s="2259"/>
      <c r="K737" s="2259"/>
      <c r="U737" s="2267" t="s">
        <v>1252</v>
      </c>
      <c r="V737" s="2268">
        <v>44378</v>
      </c>
    </row>
    <row r="738" spans="1:23">
      <c r="A738" s="2255">
        <v>44102.291666666701</v>
      </c>
      <c r="B738" s="2255"/>
      <c r="C738" s="2258">
        <v>23070</v>
      </c>
      <c r="D738" s="2258"/>
      <c r="E738" s="2258">
        <v>26257</v>
      </c>
      <c r="F738" s="2258"/>
      <c r="G738" s="2258">
        <v>213</v>
      </c>
      <c r="H738" s="2259"/>
      <c r="I738" s="2259"/>
      <c r="J738" s="2259"/>
      <c r="K738" s="2259"/>
      <c r="U738" s="2267" t="s">
        <v>1253</v>
      </c>
      <c r="V738" s="2268">
        <v>44377</v>
      </c>
      <c r="W738" s="2267">
        <v>21.707799999999999</v>
      </c>
    </row>
    <row r="739" spans="1:23">
      <c r="A739" s="2255">
        <v>44099.291666666701</v>
      </c>
      <c r="B739" s="2255"/>
      <c r="C739" s="2258">
        <v>23070</v>
      </c>
      <c r="D739" s="2258"/>
      <c r="E739" s="2258">
        <v>26352</v>
      </c>
      <c r="F739" s="2258"/>
      <c r="G739" s="2258">
        <v>213</v>
      </c>
      <c r="H739" s="2259"/>
      <c r="I739" s="2259"/>
      <c r="J739" s="2259"/>
      <c r="K739" s="2259"/>
      <c r="U739" s="2267" t="s">
        <v>1249</v>
      </c>
      <c r="V739" s="2268">
        <v>44376</v>
      </c>
      <c r="W739" s="2267">
        <v>20.999099999999999</v>
      </c>
    </row>
    <row r="740" spans="1:23">
      <c r="A740" s="2255">
        <v>44098.291666666701</v>
      </c>
      <c r="B740" s="2255"/>
      <c r="C740" s="2258">
        <v>23070</v>
      </c>
      <c r="D740" s="2258"/>
      <c r="E740" s="2258">
        <v>26383</v>
      </c>
      <c r="F740" s="2258"/>
      <c r="G740" s="2258">
        <v>213</v>
      </c>
      <c r="H740" s="2262">
        <v>4.4999999999999998E-2</v>
      </c>
      <c r="I740" s="2262">
        <v>4.4999999999999998E-2</v>
      </c>
      <c r="J740" s="2259"/>
      <c r="K740" s="2262">
        <v>3.6999999999999998E-2</v>
      </c>
      <c r="U740" s="2267" t="s">
        <v>1250</v>
      </c>
      <c r="V740" s="2268">
        <v>44375</v>
      </c>
      <c r="W740" s="2267">
        <v>20.7865</v>
      </c>
    </row>
    <row r="741" spans="1:23">
      <c r="A741" s="2255">
        <v>44097.291666666701</v>
      </c>
      <c r="B741" s="2255"/>
      <c r="C741" s="2258">
        <v>23060</v>
      </c>
      <c r="D741" s="2258"/>
      <c r="E741" s="2258">
        <v>26627</v>
      </c>
      <c r="F741" s="2258"/>
      <c r="G741" s="2258">
        <v>214</v>
      </c>
      <c r="H741" s="2259"/>
      <c r="I741" s="2259"/>
      <c r="J741" s="2259"/>
      <c r="K741" s="2259"/>
      <c r="V741" s="2267"/>
      <c r="W741" s="2267">
        <v>21.5946</v>
      </c>
    </row>
    <row r="742" spans="1:23">
      <c r="A742" s="2255">
        <v>44096.291666666701</v>
      </c>
      <c r="B742" s="2255"/>
      <c r="C742" s="2258">
        <v>23060</v>
      </c>
      <c r="D742" s="2258"/>
      <c r="E742" s="2258">
        <v>26627</v>
      </c>
      <c r="F742" s="2258"/>
      <c r="G742" s="2258">
        <v>214</v>
      </c>
      <c r="H742" s="2259"/>
      <c r="I742" s="2259"/>
      <c r="J742" s="2259"/>
      <c r="K742" s="2259"/>
      <c r="U742" s="2267" t="s">
        <v>1251</v>
      </c>
      <c r="V742" s="2268">
        <v>44372</v>
      </c>
      <c r="W742" s="2267">
        <v>20.887799999999999</v>
      </c>
    </row>
    <row r="743" spans="1:23">
      <c r="A743" s="2255">
        <v>44095.291666666701</v>
      </c>
      <c r="B743" s="2255"/>
      <c r="C743" s="2258">
        <v>23060</v>
      </c>
      <c r="D743" s="2258"/>
      <c r="E743" s="2258">
        <v>26792</v>
      </c>
      <c r="F743" s="2258"/>
      <c r="G743" s="2258">
        <v>215</v>
      </c>
      <c r="H743" s="2259"/>
      <c r="I743" s="2259"/>
      <c r="J743" s="2259"/>
      <c r="K743" s="2259"/>
      <c r="U743" s="2267" t="s">
        <v>1252</v>
      </c>
      <c r="V743" s="2268">
        <v>44371</v>
      </c>
    </row>
    <row r="744" spans="1:23">
      <c r="A744" s="2255">
        <v>44092.291666666701</v>
      </c>
      <c r="B744" s="2255"/>
      <c r="C744" s="2258">
        <v>23060</v>
      </c>
      <c r="D744" s="2258"/>
      <c r="E744" s="2258">
        <v>26790</v>
      </c>
      <c r="F744" s="2258"/>
      <c r="G744" s="2258">
        <v>216</v>
      </c>
      <c r="H744" s="2259"/>
      <c r="I744" s="2259"/>
      <c r="J744" s="2259"/>
      <c r="K744" s="2259"/>
      <c r="U744" s="2267" t="s">
        <v>1253</v>
      </c>
      <c r="V744" s="2268">
        <v>44370</v>
      </c>
      <c r="W744" s="2267">
        <v>20.765899999999998</v>
      </c>
    </row>
    <row r="745" spans="1:23">
      <c r="A745" s="2255">
        <v>44091.291666666701</v>
      </c>
      <c r="B745" s="2255"/>
      <c r="C745" s="2258">
        <v>23060</v>
      </c>
      <c r="D745" s="2258"/>
      <c r="E745" s="2258">
        <v>26605</v>
      </c>
      <c r="F745" s="2258"/>
      <c r="G745" s="2258">
        <v>215</v>
      </c>
      <c r="H745" s="2259"/>
      <c r="I745" s="2259"/>
      <c r="J745" s="2259"/>
      <c r="K745" s="2259"/>
      <c r="U745" s="2267" t="s">
        <v>1249</v>
      </c>
      <c r="V745" s="2268">
        <v>44369</v>
      </c>
      <c r="W745" s="2267">
        <v>20.644100000000002</v>
      </c>
    </row>
    <row r="746" spans="1:23">
      <c r="A746" s="2255">
        <v>44090.291666666701</v>
      </c>
      <c r="B746" s="2255"/>
      <c r="C746" s="2258">
        <v>23060</v>
      </c>
      <c r="D746" s="2258"/>
      <c r="E746" s="2258">
        <v>26738</v>
      </c>
      <c r="F746" s="2258"/>
      <c r="G746" s="2258">
        <v>214</v>
      </c>
      <c r="H746" s="2262">
        <v>4.4999999999999998E-2</v>
      </c>
      <c r="I746" s="2262">
        <v>4.4999999999999998E-2</v>
      </c>
      <c r="J746" s="2259"/>
      <c r="K746" s="2262">
        <v>3.6999999999999998E-2</v>
      </c>
      <c r="U746" s="2267" t="s">
        <v>1250</v>
      </c>
      <c r="V746" s="2268">
        <v>44368</v>
      </c>
      <c r="W746" s="2267">
        <v>20.692799999999998</v>
      </c>
    </row>
    <row r="747" spans="1:23">
      <c r="A747" s="2255">
        <v>44089.291666666701</v>
      </c>
      <c r="B747" s="2255"/>
      <c r="C747" s="2258">
        <v>23060</v>
      </c>
      <c r="D747" s="2258"/>
      <c r="E747" s="2258">
        <v>26813</v>
      </c>
      <c r="F747" s="2258"/>
      <c r="G747" s="2258">
        <v>213</v>
      </c>
      <c r="H747" s="2259"/>
      <c r="I747" s="2259"/>
      <c r="J747" s="2259"/>
      <c r="K747" s="2259"/>
      <c r="V747" s="2267"/>
      <c r="W747" s="2267">
        <v>20.814699999999998</v>
      </c>
    </row>
    <row r="748" spans="1:23">
      <c r="A748" s="2255">
        <v>44088.291666666701</v>
      </c>
      <c r="B748" s="2255"/>
      <c r="C748" s="2258">
        <v>23060</v>
      </c>
      <c r="D748" s="2258"/>
      <c r="E748" s="2258">
        <v>26733</v>
      </c>
      <c r="F748" s="2258"/>
      <c r="G748" s="2258">
        <v>214</v>
      </c>
      <c r="H748" s="2259"/>
      <c r="I748" s="2259"/>
      <c r="J748" s="2259"/>
      <c r="K748" s="2259"/>
      <c r="U748" s="2267" t="s">
        <v>1251</v>
      </c>
      <c r="V748" s="2268">
        <v>44365</v>
      </c>
      <c r="W748" s="2267">
        <v>20.863399999999999</v>
      </c>
    </row>
    <row r="749" spans="1:23">
      <c r="A749" s="2255">
        <v>44085.291666666701</v>
      </c>
      <c r="B749" s="2255"/>
      <c r="C749" s="2258">
        <v>23060</v>
      </c>
      <c r="D749" s="2258"/>
      <c r="E749" s="2258">
        <v>26684</v>
      </c>
      <c r="F749" s="2258"/>
      <c r="G749" s="2258">
        <v>211</v>
      </c>
      <c r="H749" s="2259"/>
      <c r="I749" s="2259"/>
      <c r="J749" s="2259"/>
      <c r="K749" s="2259"/>
      <c r="U749" s="2267" t="s">
        <v>1252</v>
      </c>
      <c r="V749" s="2268">
        <v>44364</v>
      </c>
    </row>
    <row r="750" spans="1:23">
      <c r="A750" s="2255">
        <v>44084.291666666701</v>
      </c>
      <c r="B750" s="2255"/>
      <c r="C750" s="2258">
        <v>23060</v>
      </c>
      <c r="D750" s="2258"/>
      <c r="E750" s="2258">
        <v>26684</v>
      </c>
      <c r="F750" s="2258"/>
      <c r="G750" s="2258">
        <v>211</v>
      </c>
      <c r="H750" s="2259"/>
      <c r="I750" s="2259"/>
      <c r="J750" s="2259"/>
      <c r="K750" s="2259"/>
      <c r="U750" s="2267" t="s">
        <v>1253</v>
      </c>
      <c r="V750" s="2268">
        <v>44363</v>
      </c>
      <c r="W750" s="2267">
        <v>20.424700000000001</v>
      </c>
    </row>
    <row r="751" spans="1:23">
      <c r="A751" s="2255">
        <v>44083.291666666701</v>
      </c>
      <c r="B751" s="2255"/>
      <c r="C751" s="2258">
        <v>23060</v>
      </c>
      <c r="D751" s="2258"/>
      <c r="E751" s="2258">
        <v>26600</v>
      </c>
      <c r="F751" s="2258"/>
      <c r="G751" s="2258">
        <v>211</v>
      </c>
      <c r="H751" s="2262">
        <v>4.4999999999999998E-2</v>
      </c>
      <c r="I751" s="2262">
        <v>4.4999999999999998E-2</v>
      </c>
      <c r="J751" s="2259"/>
      <c r="K751" s="2262">
        <v>3.6999999999999998E-2</v>
      </c>
      <c r="U751" s="2267" t="s">
        <v>1249</v>
      </c>
      <c r="V751" s="2268">
        <v>44362</v>
      </c>
      <c r="W751" s="2267">
        <v>20.132200000000001</v>
      </c>
    </row>
    <row r="752" spans="1:23">
      <c r="A752" s="2255">
        <v>44082.291666666701</v>
      </c>
      <c r="B752" s="2255"/>
      <c r="C752" s="2258">
        <v>23060</v>
      </c>
      <c r="D752" s="2258"/>
      <c r="E752" s="2258">
        <v>26670</v>
      </c>
      <c r="F752" s="2258"/>
      <c r="G752" s="2258">
        <v>211</v>
      </c>
      <c r="H752" s="2259"/>
      <c r="I752" s="2259"/>
      <c r="J752" s="2259"/>
      <c r="K752" s="2259"/>
      <c r="U752" s="2267" t="s">
        <v>1250</v>
      </c>
      <c r="V752" s="2268">
        <v>44361</v>
      </c>
      <c r="W752" s="2267">
        <v>20.254100000000001</v>
      </c>
    </row>
    <row r="753" spans="1:23">
      <c r="A753" s="2255">
        <v>44081.291666666701</v>
      </c>
      <c r="B753" s="2255"/>
      <c r="C753" s="2258">
        <v>23060</v>
      </c>
      <c r="D753" s="2258"/>
      <c r="E753" s="2258">
        <v>26740</v>
      </c>
      <c r="F753" s="2258"/>
      <c r="G753" s="2258">
        <v>211</v>
      </c>
      <c r="H753" s="2259"/>
      <c r="I753" s="2259"/>
      <c r="J753" s="2259"/>
      <c r="K753" s="2259"/>
      <c r="V753" s="2267"/>
      <c r="W753" s="2267">
        <v>20.278500000000001</v>
      </c>
    </row>
    <row r="754" spans="1:23">
      <c r="A754" s="2255">
        <v>44078.291666666701</v>
      </c>
      <c r="B754" s="2255"/>
      <c r="C754" s="2258">
        <v>23060</v>
      </c>
      <c r="D754" s="2258"/>
      <c r="E754" s="2258">
        <v>26779</v>
      </c>
      <c r="F754" s="2258"/>
      <c r="G754" s="2258">
        <v>211</v>
      </c>
      <c r="H754" s="2259"/>
      <c r="I754" s="2259"/>
      <c r="J754" s="2259"/>
      <c r="K754" s="2259"/>
      <c r="U754" s="2267" t="s">
        <v>1251</v>
      </c>
      <c r="V754" s="2268">
        <v>44358</v>
      </c>
      <c r="W754" s="2267">
        <v>20.424700000000001</v>
      </c>
    </row>
    <row r="755" spans="1:23">
      <c r="A755" s="2255">
        <v>44077.291666666701</v>
      </c>
      <c r="B755" s="2255"/>
      <c r="C755" s="2258">
        <v>23060</v>
      </c>
      <c r="D755" s="2258"/>
      <c r="E755" s="2258">
        <v>26736</v>
      </c>
      <c r="F755" s="2258"/>
      <c r="G755" s="2258">
        <v>211</v>
      </c>
      <c r="H755" s="2259"/>
      <c r="I755" s="2259"/>
      <c r="J755" s="2259"/>
      <c r="K755" s="2259"/>
      <c r="U755" s="2267" t="s">
        <v>1252</v>
      </c>
      <c r="V755" s="2268">
        <v>44357</v>
      </c>
    </row>
    <row r="756" spans="1:23">
      <c r="A756" s="2255">
        <v>44075.291666666701</v>
      </c>
      <c r="B756" s="2255"/>
      <c r="C756" s="2258">
        <v>23060</v>
      </c>
      <c r="D756" s="2258"/>
      <c r="E756" s="2258">
        <v>26973</v>
      </c>
      <c r="F756" s="2258"/>
      <c r="G756" s="2258">
        <v>212</v>
      </c>
      <c r="H756" s="2259"/>
      <c r="I756" s="2259"/>
      <c r="J756" s="2259"/>
      <c r="K756" s="2259"/>
      <c r="U756" s="2267" t="s">
        <v>1253</v>
      </c>
      <c r="V756" s="2268">
        <v>44356</v>
      </c>
      <c r="W756" s="2267">
        <v>20.351600000000001</v>
      </c>
    </row>
    <row r="757" spans="1:23">
      <c r="A757" s="2255">
        <v>44074.291666666701</v>
      </c>
      <c r="B757" s="2255"/>
      <c r="C757" s="2258">
        <v>23060</v>
      </c>
      <c r="D757" s="2258"/>
      <c r="E757" s="2258">
        <v>26892</v>
      </c>
      <c r="F757" s="2258"/>
      <c r="G757" s="2258">
        <v>212</v>
      </c>
      <c r="H757" s="2259"/>
      <c r="I757" s="2259"/>
      <c r="J757" s="2259"/>
      <c r="K757" s="2259"/>
      <c r="U757" s="2267" t="s">
        <v>1249</v>
      </c>
      <c r="V757" s="2268">
        <v>44355</v>
      </c>
      <c r="W757" s="2267">
        <v>19.961600000000001</v>
      </c>
    </row>
    <row r="758" spans="1:23">
      <c r="A758" s="2255">
        <v>44071.291666666701</v>
      </c>
      <c r="B758" s="2255"/>
      <c r="C758" s="2258">
        <v>23060</v>
      </c>
      <c r="D758" s="2258"/>
      <c r="E758" s="2258">
        <v>26695</v>
      </c>
      <c r="F758" s="2258"/>
      <c r="G758" s="2258">
        <v>210</v>
      </c>
      <c r="H758" s="2259"/>
      <c r="I758" s="2259"/>
      <c r="J758" s="2259"/>
      <c r="K758" s="2259"/>
      <c r="U758" s="2267" t="s">
        <v>1250</v>
      </c>
      <c r="V758" s="2268">
        <v>44354</v>
      </c>
      <c r="W758" s="2267">
        <v>19.9129</v>
      </c>
    </row>
    <row r="759" spans="1:23">
      <c r="A759" s="2255">
        <v>44070.291666666701</v>
      </c>
      <c r="B759" s="2255"/>
      <c r="C759" s="2258">
        <v>23060</v>
      </c>
      <c r="D759" s="2258"/>
      <c r="E759" s="2258">
        <v>26747</v>
      </c>
      <c r="F759" s="2258"/>
      <c r="G759" s="2258">
        <v>212</v>
      </c>
      <c r="H759" s="2259"/>
      <c r="I759" s="2259"/>
      <c r="J759" s="2259"/>
      <c r="K759" s="2259"/>
      <c r="V759" s="2267"/>
      <c r="W759" s="2267">
        <v>19.6935</v>
      </c>
    </row>
    <row r="760" spans="1:23">
      <c r="A760" s="2255">
        <v>44069.291666666701</v>
      </c>
      <c r="B760" s="2255"/>
      <c r="C760" s="2258">
        <v>23060</v>
      </c>
      <c r="D760" s="2258"/>
      <c r="E760" s="2258">
        <v>26724</v>
      </c>
      <c r="F760" s="2258"/>
      <c r="G760" s="2258">
        <v>210</v>
      </c>
      <c r="H760" s="2259"/>
      <c r="I760" s="2259"/>
      <c r="J760" s="2259"/>
      <c r="K760" s="2259"/>
      <c r="U760" s="2267" t="s">
        <v>1251</v>
      </c>
      <c r="V760" s="2268">
        <v>44351</v>
      </c>
      <c r="W760" s="2267">
        <v>20.156600000000001</v>
      </c>
    </row>
    <row r="761" spans="1:23">
      <c r="A761" s="2255">
        <v>44068.291666666701</v>
      </c>
      <c r="B761" s="2255"/>
      <c r="C761" s="2258">
        <v>23060</v>
      </c>
      <c r="D761" s="2258"/>
      <c r="E761" s="2258">
        <v>26648</v>
      </c>
      <c r="F761" s="2258"/>
      <c r="G761" s="2258">
        <v>211</v>
      </c>
      <c r="H761" s="2259"/>
      <c r="I761" s="2259"/>
      <c r="J761" s="2259"/>
      <c r="K761" s="2259"/>
      <c r="U761" s="2267" t="s">
        <v>1252</v>
      </c>
      <c r="V761" s="2268">
        <v>44350</v>
      </c>
    </row>
    <row r="762" spans="1:23">
      <c r="A762" s="2255">
        <v>44067.291666666701</v>
      </c>
      <c r="B762" s="2255"/>
      <c r="C762" s="2258">
        <v>23060</v>
      </c>
      <c r="D762" s="2258"/>
      <c r="E762" s="2258">
        <v>26822</v>
      </c>
      <c r="F762" s="2258"/>
      <c r="G762" s="2258">
        <v>212</v>
      </c>
      <c r="H762" s="2259"/>
      <c r="I762" s="2259"/>
      <c r="J762" s="2259"/>
      <c r="K762" s="2259"/>
      <c r="U762" s="2267" t="s">
        <v>1253</v>
      </c>
      <c r="V762" s="2268">
        <v>44349</v>
      </c>
      <c r="W762" s="2267">
        <v>20.644100000000002</v>
      </c>
    </row>
    <row r="763" spans="1:23">
      <c r="A763" s="2255">
        <v>44064.291666666701</v>
      </c>
      <c r="B763" s="2255"/>
      <c r="C763" s="2258">
        <v>23060</v>
      </c>
      <c r="D763" s="2258"/>
      <c r="E763" s="2258">
        <v>26754</v>
      </c>
      <c r="F763" s="2258"/>
      <c r="G763" s="2258">
        <v>211</v>
      </c>
      <c r="H763" s="2259"/>
      <c r="I763" s="2259"/>
      <c r="J763" s="2259"/>
      <c r="K763" s="2259"/>
      <c r="U763" s="2267" t="s">
        <v>1249</v>
      </c>
      <c r="V763" s="2268">
        <v>44348</v>
      </c>
      <c r="W763" s="2267">
        <v>20.765899999999998</v>
      </c>
    </row>
    <row r="764" spans="1:23">
      <c r="A764" s="2255">
        <v>44063.291666666701</v>
      </c>
      <c r="B764" s="2255"/>
      <c r="C764" s="2258">
        <v>23060</v>
      </c>
      <c r="D764" s="2258"/>
      <c r="E764" s="2258">
        <v>26754</v>
      </c>
      <c r="F764" s="2258"/>
      <c r="G764" s="2258">
        <v>211</v>
      </c>
      <c r="H764" s="2262">
        <v>4.4999999999999998E-2</v>
      </c>
      <c r="I764" s="2262">
        <v>4.4999999999999998E-2</v>
      </c>
      <c r="J764" s="2259"/>
      <c r="K764" s="2262">
        <v>3.6999999999999998E-2</v>
      </c>
      <c r="U764" s="2267" t="s">
        <v>1250</v>
      </c>
      <c r="V764" s="2268">
        <v>44347</v>
      </c>
      <c r="W764" s="2267">
        <v>20.838999999999999</v>
      </c>
    </row>
    <row r="765" spans="1:23">
      <c r="A765" s="2255">
        <v>44062.291666666701</v>
      </c>
      <c r="B765" s="2255"/>
      <c r="C765" s="2258">
        <v>23060</v>
      </c>
      <c r="D765" s="2258"/>
      <c r="E765" s="2258">
        <v>26989</v>
      </c>
      <c r="F765" s="2258"/>
      <c r="G765" s="2258">
        <v>213</v>
      </c>
      <c r="H765" s="2259"/>
      <c r="I765" s="2259"/>
      <c r="J765" s="2259"/>
      <c r="K765" s="2259"/>
      <c r="V765" s="2267"/>
      <c r="W765" s="2267">
        <v>21.228999999999999</v>
      </c>
    </row>
    <row r="766" spans="1:23">
      <c r="A766" s="2255">
        <v>44061.291666666701</v>
      </c>
      <c r="B766" s="2255"/>
      <c r="C766" s="2258">
        <v>23060</v>
      </c>
      <c r="D766" s="2258"/>
      <c r="E766" s="2258">
        <v>26763</v>
      </c>
      <c r="F766" s="2258"/>
      <c r="G766" s="2258">
        <v>210</v>
      </c>
      <c r="H766" s="2259"/>
      <c r="I766" s="2259"/>
      <c r="J766" s="2259"/>
      <c r="K766" s="2259"/>
      <c r="U766" s="2267" t="s">
        <v>1251</v>
      </c>
      <c r="V766" s="2268">
        <v>44344</v>
      </c>
      <c r="W766" s="2267">
        <v>20.748999999999999</v>
      </c>
    </row>
    <row r="767" spans="1:23">
      <c r="A767" s="2255">
        <v>44060.291666666701</v>
      </c>
      <c r="B767" s="2255"/>
      <c r="C767" s="2258">
        <v>23060</v>
      </c>
      <c r="D767" s="2258"/>
      <c r="E767" s="2258">
        <v>26763</v>
      </c>
      <c r="F767" s="2258"/>
      <c r="G767" s="2258">
        <v>210</v>
      </c>
      <c r="H767" s="2259"/>
      <c r="I767" s="2259"/>
      <c r="J767" s="2259"/>
      <c r="K767" s="2259"/>
      <c r="U767" s="2267" t="s">
        <v>1252</v>
      </c>
      <c r="V767" s="2268">
        <v>44343</v>
      </c>
    </row>
    <row r="768" spans="1:23">
      <c r="A768" s="2255">
        <v>44057.291666666701</v>
      </c>
      <c r="B768" s="2255"/>
      <c r="C768" s="2258">
        <v>23060</v>
      </c>
      <c r="D768" s="2258"/>
      <c r="E768" s="2258">
        <v>26688</v>
      </c>
      <c r="F768" s="2258"/>
      <c r="G768" s="2258">
        <v>209</v>
      </c>
      <c r="H768" s="2259"/>
      <c r="I768" s="2259"/>
      <c r="J768" s="2259"/>
      <c r="K768" s="2259"/>
      <c r="U768" s="2267" t="s">
        <v>1253</v>
      </c>
      <c r="V768" s="2268">
        <v>44342</v>
      </c>
      <c r="W768" s="2267">
        <v>20.091999999999999</v>
      </c>
    </row>
    <row r="769" spans="1:23">
      <c r="A769" s="2255">
        <v>44056.291666666701</v>
      </c>
      <c r="B769" s="2255"/>
      <c r="C769" s="2258">
        <v>23060</v>
      </c>
      <c r="D769" s="2258"/>
      <c r="E769" s="2258">
        <v>26675</v>
      </c>
      <c r="F769" s="2258"/>
      <c r="G769" s="2258">
        <v>210</v>
      </c>
      <c r="H769" s="2259"/>
      <c r="I769" s="2259"/>
      <c r="J769" s="2259"/>
      <c r="K769" s="2259"/>
      <c r="U769" s="2267" t="s">
        <v>1249</v>
      </c>
      <c r="V769" s="2268">
        <v>44341</v>
      </c>
      <c r="W769" s="2267">
        <v>19.88</v>
      </c>
    </row>
    <row r="770" spans="1:23">
      <c r="A770" s="2255">
        <v>44055.291666666701</v>
      </c>
      <c r="B770" s="2255"/>
      <c r="C770" s="2258">
        <v>23060</v>
      </c>
      <c r="D770" s="2258"/>
      <c r="E770" s="2258">
        <v>26499</v>
      </c>
      <c r="F770" s="2258"/>
      <c r="G770" s="2258">
        <v>210</v>
      </c>
      <c r="H770" s="2259"/>
      <c r="I770" s="2262">
        <v>4.4999999999999998E-2</v>
      </c>
      <c r="J770" s="2259"/>
      <c r="K770" s="2262">
        <v>3.6999999999999998E-2</v>
      </c>
      <c r="U770" s="2267" t="s">
        <v>1250</v>
      </c>
      <c r="V770" s="2268">
        <v>44340</v>
      </c>
      <c r="W770" s="2267">
        <v>20.197900000000001</v>
      </c>
    </row>
    <row r="771" spans="1:23">
      <c r="A771" s="2255">
        <v>44054.291666666701</v>
      </c>
      <c r="B771" s="2255"/>
      <c r="C771" s="2258">
        <v>23060</v>
      </c>
      <c r="D771" s="2258"/>
      <c r="E771" s="2258">
        <v>26483</v>
      </c>
      <c r="F771" s="2258"/>
      <c r="G771" s="2258">
        <v>211</v>
      </c>
      <c r="H771" s="2259"/>
      <c r="I771" s="2259"/>
      <c r="J771" s="2259"/>
      <c r="K771" s="2259"/>
      <c r="V771" s="2267"/>
      <c r="W771" s="2267">
        <v>19.88</v>
      </c>
    </row>
    <row r="772" spans="1:23">
      <c r="A772" s="2255">
        <v>44053.291666666701</v>
      </c>
      <c r="B772" s="2255"/>
      <c r="C772" s="2258">
        <v>23060</v>
      </c>
      <c r="D772" s="2258"/>
      <c r="E772" s="2258">
        <v>26643</v>
      </c>
      <c r="F772" s="2258"/>
      <c r="G772" s="2258">
        <v>212</v>
      </c>
      <c r="H772" s="2259"/>
      <c r="I772" s="2259"/>
      <c r="J772" s="2259"/>
      <c r="K772" s="2259"/>
      <c r="U772" s="2267" t="s">
        <v>1251</v>
      </c>
      <c r="V772" s="2268">
        <v>44337</v>
      </c>
      <c r="W772" s="2267">
        <v>19.816400000000002</v>
      </c>
    </row>
    <row r="773" spans="1:23">
      <c r="A773" s="2255">
        <v>44050.291666666701</v>
      </c>
      <c r="B773" s="2255"/>
      <c r="C773" s="2258">
        <v>23060</v>
      </c>
      <c r="D773" s="2258"/>
      <c r="E773" s="2258">
        <v>26833</v>
      </c>
      <c r="F773" s="2258"/>
      <c r="G773" s="2258">
        <v>212</v>
      </c>
      <c r="H773" s="2259"/>
      <c r="I773" s="2259"/>
      <c r="J773" s="2259"/>
      <c r="K773" s="2259"/>
      <c r="U773" s="2267" t="s">
        <v>1252</v>
      </c>
      <c r="V773" s="2268">
        <v>44336</v>
      </c>
    </row>
    <row r="774" spans="1:23">
      <c r="A774" s="2255">
        <v>44049.291666666701</v>
      </c>
      <c r="B774" s="2255"/>
      <c r="C774" s="2258">
        <v>23060</v>
      </c>
      <c r="D774" s="2258"/>
      <c r="E774" s="2258">
        <v>26844</v>
      </c>
      <c r="F774" s="2258"/>
      <c r="G774" s="2258">
        <v>212</v>
      </c>
      <c r="H774" s="2262">
        <v>0.09</v>
      </c>
      <c r="I774" s="2262">
        <v>4.4999999999999998E-2</v>
      </c>
      <c r="J774" s="2262">
        <v>0.11</v>
      </c>
      <c r="K774" s="2262">
        <v>3.6999999999999998E-2</v>
      </c>
      <c r="U774" s="2267" t="s">
        <v>1253</v>
      </c>
      <c r="V774" s="2268">
        <v>44335</v>
      </c>
      <c r="W774" s="2267">
        <v>19.88</v>
      </c>
    </row>
    <row r="775" spans="1:23">
      <c r="A775" s="2255">
        <v>44048.291666666701</v>
      </c>
      <c r="B775" s="2255"/>
      <c r="C775" s="2258">
        <v>23060</v>
      </c>
      <c r="D775" s="2258"/>
      <c r="E775" s="2258">
        <v>26682</v>
      </c>
      <c r="F775" s="2258"/>
      <c r="G775" s="2258">
        <v>212</v>
      </c>
      <c r="H775" s="2259"/>
      <c r="I775" s="2259"/>
      <c r="J775" s="2259"/>
      <c r="K775" s="2259"/>
      <c r="U775" s="2267" t="s">
        <v>1249</v>
      </c>
      <c r="V775" s="2268">
        <v>44334</v>
      </c>
      <c r="W775" s="2267">
        <v>20.240300000000001</v>
      </c>
    </row>
    <row r="776" spans="1:23">
      <c r="A776" s="2255">
        <v>44047.291666666701</v>
      </c>
      <c r="B776" s="2255"/>
      <c r="C776" s="2258">
        <v>23060</v>
      </c>
      <c r="D776" s="2258"/>
      <c r="E776" s="2258">
        <v>26553</v>
      </c>
      <c r="F776" s="2258"/>
      <c r="G776" s="2258">
        <v>211</v>
      </c>
      <c r="H776" s="2259"/>
      <c r="I776" s="2259"/>
      <c r="J776" s="2259"/>
      <c r="K776" s="2259"/>
      <c r="U776" s="2267" t="s">
        <v>1250</v>
      </c>
      <c r="V776" s="2268">
        <v>44333</v>
      </c>
      <c r="W776" s="2267">
        <v>19.244199999999999</v>
      </c>
    </row>
    <row r="777" spans="1:23">
      <c r="A777" s="2255">
        <v>44046.291666666701</v>
      </c>
      <c r="B777" s="2255"/>
      <c r="C777" s="2258">
        <v>23060</v>
      </c>
      <c r="D777" s="2258"/>
      <c r="E777" s="2258">
        <v>26550</v>
      </c>
      <c r="F777" s="2258"/>
      <c r="G777" s="2258">
        <v>211</v>
      </c>
      <c r="H777" s="2259"/>
      <c r="I777" s="2259"/>
      <c r="J777" s="2259"/>
      <c r="K777" s="2259"/>
      <c r="V777" s="2267"/>
      <c r="W777" s="2267">
        <v>18.438800000000001</v>
      </c>
    </row>
    <row r="778" spans="1:23">
      <c r="A778" s="2255">
        <v>44043.291666666701</v>
      </c>
      <c r="B778" s="2255"/>
      <c r="C778" s="2258">
        <v>23060</v>
      </c>
      <c r="D778" s="2258"/>
      <c r="E778" s="2258">
        <v>26810</v>
      </c>
      <c r="F778" s="2258"/>
      <c r="G778" s="2258">
        <v>214</v>
      </c>
      <c r="H778" s="2259"/>
      <c r="I778" s="2259"/>
      <c r="J778" s="2259"/>
      <c r="K778" s="2259"/>
      <c r="U778" s="2267" t="s">
        <v>1251</v>
      </c>
      <c r="V778" s="2268">
        <v>44330</v>
      </c>
      <c r="W778" s="2267">
        <v>18.1633</v>
      </c>
    </row>
    <row r="779" spans="1:23">
      <c r="A779" s="2255">
        <v>44042.291666666701</v>
      </c>
      <c r="B779" s="2255"/>
      <c r="C779" s="2258">
        <v>23060</v>
      </c>
      <c r="D779" s="2258"/>
      <c r="E779" s="2258">
        <v>26609</v>
      </c>
      <c r="F779" s="2258"/>
      <c r="G779" s="2258">
        <v>213</v>
      </c>
      <c r="H779" s="2259"/>
      <c r="I779" s="2259"/>
      <c r="J779" s="2259"/>
      <c r="K779" s="2259"/>
      <c r="U779" s="2267" t="s">
        <v>1252</v>
      </c>
      <c r="V779" s="2268">
        <v>44329</v>
      </c>
    </row>
    <row r="780" spans="1:23">
      <c r="A780" s="2255">
        <v>44041.291666666701</v>
      </c>
      <c r="B780" s="2255"/>
      <c r="C780" s="2258">
        <v>23060</v>
      </c>
      <c r="D780" s="2258"/>
      <c r="E780" s="2258">
        <v>26478</v>
      </c>
      <c r="F780" s="2258"/>
      <c r="G780" s="2258">
        <v>213</v>
      </c>
      <c r="H780" s="2262">
        <v>0.09</v>
      </c>
      <c r="I780" s="2262">
        <v>4.4999999999999998E-2</v>
      </c>
      <c r="J780" s="2262">
        <v>0.11</v>
      </c>
      <c r="K780" s="2262">
        <v>3.6999999999999998E-2</v>
      </c>
      <c r="U780" s="2267" t="s">
        <v>1253</v>
      </c>
      <c r="V780" s="2268">
        <v>44328</v>
      </c>
      <c r="W780" s="2267">
        <v>17.9726</v>
      </c>
    </row>
    <row r="781" spans="1:23">
      <c r="A781" s="2255">
        <v>44040.291666666701</v>
      </c>
      <c r="B781" s="2255"/>
      <c r="C781" s="2258">
        <v>23060</v>
      </c>
      <c r="D781" s="2258"/>
      <c r="E781" s="2258">
        <v>26591</v>
      </c>
      <c r="F781" s="2258"/>
      <c r="G781" s="2258">
        <v>213</v>
      </c>
      <c r="H781" s="2259"/>
      <c r="I781" s="2259"/>
      <c r="J781" s="2259"/>
      <c r="K781" s="2259"/>
      <c r="U781" s="2267" t="s">
        <v>1249</v>
      </c>
      <c r="V781" s="2268">
        <v>44327</v>
      </c>
      <c r="W781" s="2267">
        <v>17.803000000000001</v>
      </c>
    </row>
    <row r="782" spans="1:23">
      <c r="A782" s="2255">
        <v>44039.291666666701</v>
      </c>
      <c r="B782" s="2255"/>
      <c r="C782" s="2258">
        <v>23060</v>
      </c>
      <c r="D782" s="2258"/>
      <c r="E782" s="2258">
        <v>26410</v>
      </c>
      <c r="F782" s="2258"/>
      <c r="G782" s="2258">
        <v>212</v>
      </c>
      <c r="H782" s="2262">
        <v>0.09</v>
      </c>
      <c r="I782" s="2262">
        <v>4.4999999999999998E-2</v>
      </c>
      <c r="J782" s="2262">
        <v>0.11</v>
      </c>
      <c r="K782" s="2262">
        <v>3.6999999999999998E-2</v>
      </c>
      <c r="U782" s="2267" t="s">
        <v>1250</v>
      </c>
      <c r="V782" s="2268">
        <v>44326</v>
      </c>
      <c r="W782" s="2267">
        <v>18.099699999999999</v>
      </c>
    </row>
    <row r="783" spans="1:23">
      <c r="A783" s="2255">
        <v>44036.291666666701</v>
      </c>
      <c r="B783" s="2255"/>
      <c r="C783" s="2258">
        <v>23060</v>
      </c>
      <c r="D783" s="2258"/>
      <c r="E783" s="2258">
        <v>26239</v>
      </c>
      <c r="F783" s="2258"/>
      <c r="G783" s="2258">
        <v>210</v>
      </c>
      <c r="H783" s="2259"/>
      <c r="I783" s="2259"/>
      <c r="J783" s="2259"/>
      <c r="K783" s="2259"/>
      <c r="V783" s="2267"/>
      <c r="W783" s="2267">
        <v>18.057300000000001</v>
      </c>
    </row>
    <row r="784" spans="1:23">
      <c r="A784" s="2255">
        <v>44035.291666666701</v>
      </c>
      <c r="B784" s="2255"/>
      <c r="C784" s="2258">
        <v>23060</v>
      </c>
      <c r="D784" s="2258"/>
      <c r="E784" s="2258">
        <v>26128</v>
      </c>
      <c r="F784" s="2258"/>
      <c r="G784" s="2258">
        <v>209</v>
      </c>
      <c r="H784" s="2259"/>
      <c r="I784" s="2259"/>
      <c r="J784" s="2259"/>
      <c r="K784" s="2259"/>
      <c r="U784" s="2267" t="s">
        <v>1251</v>
      </c>
      <c r="V784" s="2268">
        <v>44323</v>
      </c>
      <c r="W784" s="2267">
        <v>18.1845</v>
      </c>
    </row>
    <row r="785" spans="1:23">
      <c r="A785" s="2255">
        <v>44034.291666666701</v>
      </c>
      <c r="B785" s="2255"/>
      <c r="C785" s="2258">
        <v>23070</v>
      </c>
      <c r="D785" s="2258"/>
      <c r="E785" s="2258">
        <v>25891</v>
      </c>
      <c r="F785" s="2258"/>
      <c r="G785" s="2258">
        <v>212</v>
      </c>
      <c r="H785" s="2259"/>
      <c r="I785" s="2259"/>
      <c r="J785" s="2259"/>
      <c r="K785" s="2259"/>
      <c r="U785" s="2267" t="s">
        <v>1252</v>
      </c>
      <c r="V785" s="2268">
        <v>44322</v>
      </c>
    </row>
    <row r="786" spans="1:23">
      <c r="A786" s="2255">
        <v>44033.291666666701</v>
      </c>
      <c r="B786" s="2255"/>
      <c r="C786" s="2258">
        <v>23070</v>
      </c>
      <c r="D786" s="2258"/>
      <c r="E786" s="2258">
        <v>25891</v>
      </c>
      <c r="F786" s="2258"/>
      <c r="G786" s="2258">
        <v>212</v>
      </c>
      <c r="H786" s="2259"/>
      <c r="I786" s="2259"/>
      <c r="J786" s="2259"/>
      <c r="K786" s="2259"/>
      <c r="U786" s="2267" t="s">
        <v>1253</v>
      </c>
      <c r="V786" s="2268">
        <v>44321</v>
      </c>
      <c r="W786" s="2267">
        <v>17.591100000000001</v>
      </c>
    </row>
    <row r="787" spans="1:23">
      <c r="A787" s="2255">
        <v>44032.291666666701</v>
      </c>
      <c r="B787" s="2255"/>
      <c r="C787" s="2258">
        <v>23090</v>
      </c>
      <c r="D787" s="2258"/>
      <c r="E787" s="2258">
        <v>25868</v>
      </c>
      <c r="F787" s="2258"/>
      <c r="G787" s="2258">
        <v>212</v>
      </c>
      <c r="H787" s="2262">
        <v>0.09</v>
      </c>
      <c r="I787" s="2262">
        <v>4.4999999999999998E-2</v>
      </c>
      <c r="J787" s="2262">
        <v>0.11</v>
      </c>
      <c r="K787" s="2262">
        <v>3.6999999999999998E-2</v>
      </c>
      <c r="U787" s="2267" t="s">
        <v>1249</v>
      </c>
      <c r="V787" s="2268">
        <v>44320</v>
      </c>
      <c r="W787" s="2267">
        <v>17.5275</v>
      </c>
    </row>
    <row r="788" spans="1:23">
      <c r="A788" s="2255">
        <v>44029.291666666701</v>
      </c>
      <c r="B788" s="2255"/>
      <c r="C788" s="2258">
        <v>23080</v>
      </c>
      <c r="D788" s="2258"/>
      <c r="E788" s="2258">
        <v>25748</v>
      </c>
      <c r="F788" s="2258"/>
      <c r="G788" s="2258">
        <v>212</v>
      </c>
      <c r="H788" s="2259"/>
      <c r="I788" s="2259"/>
      <c r="J788" s="2259"/>
      <c r="K788" s="2259"/>
      <c r="V788" s="2267"/>
      <c r="W788" s="2267">
        <v>17.569900000000001</v>
      </c>
    </row>
    <row r="789" spans="1:23">
      <c r="A789" s="2255">
        <v>44028.291666666701</v>
      </c>
      <c r="B789" s="2255"/>
      <c r="C789" s="2258">
        <v>23070</v>
      </c>
      <c r="D789" s="2258"/>
      <c r="E789" s="2258">
        <v>25802</v>
      </c>
      <c r="F789" s="2258"/>
      <c r="G789" s="2258">
        <v>210</v>
      </c>
      <c r="H789" s="2259"/>
      <c r="I789" s="2259"/>
      <c r="J789" s="2259"/>
      <c r="K789" s="2259"/>
      <c r="U789" s="2267" t="s">
        <v>1252</v>
      </c>
      <c r="V789" s="2268">
        <v>44315</v>
      </c>
      <c r="W789" s="2267">
        <v>17.569900000000001</v>
      </c>
    </row>
    <row r="790" spans="1:23">
      <c r="A790" s="2255">
        <v>44027.291666666701</v>
      </c>
      <c r="B790" s="2255"/>
      <c r="C790" s="2258">
        <v>23060</v>
      </c>
      <c r="D790" s="2258"/>
      <c r="E790" s="2258">
        <v>25787</v>
      </c>
      <c r="F790" s="2258"/>
      <c r="G790" s="2258">
        <v>209</v>
      </c>
      <c r="H790" s="2259"/>
      <c r="I790" s="2259"/>
      <c r="J790" s="2259"/>
      <c r="K790" s="2259"/>
      <c r="U790" s="2267" t="s">
        <v>1253</v>
      </c>
      <c r="V790" s="2268">
        <v>44314</v>
      </c>
    </row>
    <row r="791" spans="1:23">
      <c r="A791" s="2255">
        <v>44026.291666666701</v>
      </c>
      <c r="B791" s="2255"/>
      <c r="C791" s="2258">
        <v>23060</v>
      </c>
      <c r="D791" s="2258"/>
      <c r="E791" s="2258">
        <v>25629</v>
      </c>
      <c r="F791" s="2258"/>
      <c r="G791" s="2258">
        <v>209</v>
      </c>
      <c r="H791" s="2259"/>
      <c r="I791" s="2259"/>
      <c r="J791" s="2259"/>
      <c r="K791" s="2259"/>
      <c r="U791" s="2267" t="s">
        <v>1249</v>
      </c>
      <c r="V791" s="2268">
        <v>44313</v>
      </c>
      <c r="W791" s="2267">
        <v>17.146000000000001</v>
      </c>
    </row>
    <row r="792" spans="1:23">
      <c r="A792" s="2255">
        <v>44025.291666666701</v>
      </c>
      <c r="B792" s="2255"/>
      <c r="C792" s="2258">
        <v>23060</v>
      </c>
      <c r="D792" s="2258"/>
      <c r="E792" s="2258">
        <v>25554</v>
      </c>
      <c r="F792" s="2258"/>
      <c r="G792" s="2258">
        <v>210</v>
      </c>
      <c r="H792" s="2262">
        <v>0.09</v>
      </c>
      <c r="I792" s="2262">
        <v>4.4999999999999998E-2</v>
      </c>
      <c r="J792" s="2262">
        <v>0.11</v>
      </c>
      <c r="K792" s="2262">
        <v>3.9399999999999998E-2</v>
      </c>
      <c r="U792" s="2267" t="s">
        <v>1250</v>
      </c>
      <c r="V792" s="2268">
        <v>44312</v>
      </c>
      <c r="W792" s="2267">
        <v>17.1248</v>
      </c>
    </row>
    <row r="793" spans="1:23">
      <c r="A793" s="2255">
        <v>44022.291666666701</v>
      </c>
      <c r="B793" s="2255"/>
      <c r="C793" s="2258">
        <v>23070</v>
      </c>
      <c r="D793" s="2258"/>
      <c r="E793" s="2258">
        <v>25497</v>
      </c>
      <c r="F793" s="2258"/>
      <c r="G793" s="2258">
        <v>209</v>
      </c>
      <c r="H793" s="2259"/>
      <c r="I793" s="2259"/>
      <c r="J793" s="2259"/>
      <c r="K793" s="2259"/>
      <c r="V793" s="2267"/>
      <c r="W793" s="2267">
        <v>17.1036</v>
      </c>
    </row>
    <row r="794" spans="1:23">
      <c r="A794" s="2255">
        <v>44021.291666666701</v>
      </c>
      <c r="B794" s="2255"/>
      <c r="C794" s="2258">
        <v>23080</v>
      </c>
      <c r="D794" s="2258"/>
      <c r="E794" s="2258">
        <v>25630</v>
      </c>
      <c r="F794" s="2258"/>
      <c r="G794" s="2258">
        <v>209</v>
      </c>
      <c r="H794" s="2259"/>
      <c r="I794" s="2259"/>
      <c r="J794" s="2259"/>
      <c r="K794" s="2259"/>
      <c r="U794" s="2267" t="s">
        <v>1251</v>
      </c>
      <c r="V794" s="2268">
        <v>44309</v>
      </c>
      <c r="W794" s="2267">
        <v>17.167200000000001</v>
      </c>
    </row>
    <row r="795" spans="1:23">
      <c r="A795" s="2255">
        <v>44020.291666666701</v>
      </c>
      <c r="B795" s="2255"/>
      <c r="C795" s="2258">
        <v>23070</v>
      </c>
      <c r="D795" s="2258"/>
      <c r="E795" s="2258">
        <v>25472</v>
      </c>
      <c r="F795" s="2258"/>
      <c r="G795" s="2258">
        <v>208</v>
      </c>
      <c r="H795" s="2259"/>
      <c r="I795" s="2259"/>
      <c r="J795" s="2259"/>
      <c r="K795" s="2259"/>
      <c r="U795" s="2267" t="s">
        <v>1252</v>
      </c>
      <c r="V795" s="2268">
        <v>44308</v>
      </c>
    </row>
    <row r="796" spans="1:23">
      <c r="A796" s="2255">
        <v>44019.291666666701</v>
      </c>
      <c r="B796" s="2255"/>
      <c r="C796" s="2258">
        <v>23070</v>
      </c>
      <c r="D796" s="2258"/>
      <c r="E796" s="2258">
        <v>25599</v>
      </c>
      <c r="F796" s="2258"/>
      <c r="G796" s="2258">
        <v>209</v>
      </c>
      <c r="H796" s="2262">
        <v>0.09</v>
      </c>
      <c r="I796" s="2262">
        <v>4.4999999999999998E-2</v>
      </c>
      <c r="J796" s="2262">
        <v>0.11</v>
      </c>
      <c r="K796" s="2262">
        <v>0.04</v>
      </c>
      <c r="U796" s="2267" t="s">
        <v>1249</v>
      </c>
      <c r="V796" s="2268">
        <v>44306</v>
      </c>
      <c r="W796" s="2267">
        <v>17.591100000000001</v>
      </c>
    </row>
    <row r="797" spans="1:23">
      <c r="A797" s="2255">
        <v>44018.291666666701</v>
      </c>
      <c r="B797" s="2255"/>
      <c r="C797" s="2258">
        <v>23080</v>
      </c>
      <c r="D797" s="2258"/>
      <c r="E797" s="2258">
        <v>25463</v>
      </c>
      <c r="F797" s="2258"/>
      <c r="G797" s="2258">
        <v>208</v>
      </c>
      <c r="H797" s="2259"/>
      <c r="I797" s="2259"/>
      <c r="J797" s="2259"/>
      <c r="K797" s="2259"/>
      <c r="U797" s="2267" t="s">
        <v>1250</v>
      </c>
      <c r="V797" s="2268">
        <v>44305</v>
      </c>
      <c r="W797" s="2267">
        <v>16.955200000000001</v>
      </c>
    </row>
    <row r="798" spans="1:23">
      <c r="A798" s="2255">
        <v>44015.291666666701</v>
      </c>
      <c r="B798" s="2255"/>
      <c r="C798" s="2258">
        <v>23080</v>
      </c>
      <c r="D798" s="2258"/>
      <c r="E798" s="2258">
        <v>25413</v>
      </c>
      <c r="F798" s="2258"/>
      <c r="G798" s="2258">
        <v>209</v>
      </c>
      <c r="H798" s="2259"/>
      <c r="I798" s="2259"/>
      <c r="J798" s="2259"/>
      <c r="K798" s="2259"/>
      <c r="V798" s="2267"/>
      <c r="W798" s="2267">
        <v>17.569900000000001</v>
      </c>
    </row>
    <row r="799" spans="1:23">
      <c r="A799" s="2255">
        <v>44014.291666666701</v>
      </c>
      <c r="B799" s="2255"/>
      <c r="C799" s="2258">
        <v>23080</v>
      </c>
      <c r="D799" s="2258"/>
      <c r="E799" s="2258">
        <v>25438</v>
      </c>
      <c r="F799" s="2258"/>
      <c r="G799" s="2258">
        <v>209</v>
      </c>
      <c r="H799" s="2259"/>
      <c r="I799" s="2259"/>
      <c r="J799" s="2259"/>
      <c r="K799" s="2259"/>
      <c r="U799" s="2267" t="s">
        <v>1251</v>
      </c>
      <c r="V799" s="2268">
        <v>44302</v>
      </c>
      <c r="W799" s="2267">
        <v>17.273099999999999</v>
      </c>
    </row>
    <row r="800" spans="1:23">
      <c r="A800" s="2255">
        <v>44013.291666666701</v>
      </c>
      <c r="B800" s="2255"/>
      <c r="C800" s="2258">
        <v>23090</v>
      </c>
      <c r="D800" s="2258"/>
      <c r="E800" s="2258">
        <v>25411</v>
      </c>
      <c r="F800" s="2258"/>
      <c r="G800" s="2258">
        <v>208</v>
      </c>
      <c r="H800" s="2259"/>
      <c r="I800" s="2259"/>
      <c r="J800" s="2259"/>
      <c r="K800" s="2259"/>
      <c r="U800" s="2267" t="s">
        <v>1252</v>
      </c>
      <c r="V800" s="2268">
        <v>44301</v>
      </c>
    </row>
    <row r="801" spans="1:23">
      <c r="A801" s="2255">
        <v>44012.291666666701</v>
      </c>
      <c r="B801" s="2255"/>
      <c r="C801" s="2258">
        <v>23080</v>
      </c>
      <c r="D801" s="2258"/>
      <c r="E801" s="2258">
        <v>25413</v>
      </c>
      <c r="F801" s="2258"/>
      <c r="G801" s="2258">
        <v>208</v>
      </c>
      <c r="H801" s="2259"/>
      <c r="I801" s="2259"/>
      <c r="J801" s="2259"/>
      <c r="K801" s="2259"/>
      <c r="U801" s="2267" t="s">
        <v>1253</v>
      </c>
      <c r="V801" s="2268">
        <v>44300</v>
      </c>
      <c r="W801" s="2267">
        <v>16.8917</v>
      </c>
    </row>
    <row r="802" spans="1:23">
      <c r="A802" s="2255">
        <v>44011.291666666701</v>
      </c>
      <c r="B802" s="2255"/>
      <c r="C802" s="2258">
        <v>23090</v>
      </c>
      <c r="D802" s="2258"/>
      <c r="E802" s="2258">
        <v>25399</v>
      </c>
      <c r="F802" s="2258"/>
      <c r="G802" s="2258">
        <v>209</v>
      </c>
      <c r="H802" s="2259"/>
      <c r="I802" s="2259"/>
      <c r="J802" s="2259"/>
      <c r="K802" s="2259"/>
      <c r="U802" s="2267" t="s">
        <v>1249</v>
      </c>
      <c r="V802" s="2268">
        <v>44299</v>
      </c>
      <c r="W802" s="2267">
        <v>16.955200000000001</v>
      </c>
    </row>
    <row r="803" spans="1:23">
      <c r="A803" s="2255">
        <v>44008.291666666701</v>
      </c>
      <c r="B803" s="2255"/>
      <c r="C803" s="2258">
        <v>23090</v>
      </c>
      <c r="D803" s="2258"/>
      <c r="E803" s="2258">
        <v>25388</v>
      </c>
      <c r="F803" s="2258"/>
      <c r="G803" s="2258">
        <v>209</v>
      </c>
      <c r="H803" s="2259"/>
      <c r="I803" s="2259"/>
      <c r="J803" s="2259"/>
      <c r="K803" s="2259"/>
      <c r="U803" s="2267" t="s">
        <v>1250</v>
      </c>
      <c r="V803" s="2268">
        <v>44298</v>
      </c>
      <c r="W803" s="2267">
        <v>17.167200000000001</v>
      </c>
    </row>
    <row r="804" spans="1:23">
      <c r="A804" s="2255">
        <v>44007.291666666701</v>
      </c>
      <c r="B804" s="2255"/>
      <c r="C804" s="2258">
        <v>23090</v>
      </c>
      <c r="D804" s="2258"/>
      <c r="E804" s="2258">
        <v>25449</v>
      </c>
      <c r="F804" s="2258"/>
      <c r="G804" s="2258">
        <v>210</v>
      </c>
      <c r="H804" s="2259"/>
      <c r="I804" s="2259"/>
      <c r="J804" s="2259"/>
      <c r="K804" s="2259"/>
      <c r="V804" s="2267"/>
      <c r="W804" s="2267">
        <v>17.1036</v>
      </c>
    </row>
    <row r="805" spans="1:23">
      <c r="A805" s="2255">
        <v>44006.291666666701</v>
      </c>
      <c r="B805" s="2255"/>
      <c r="C805" s="2258">
        <v>23090</v>
      </c>
      <c r="D805" s="2258"/>
      <c r="E805" s="2258">
        <v>25601</v>
      </c>
      <c r="F805" s="2258"/>
      <c r="G805" s="2258">
        <v>213</v>
      </c>
      <c r="H805" s="2262">
        <v>0.09</v>
      </c>
      <c r="I805" s="2262">
        <v>4.4999999999999998E-2</v>
      </c>
      <c r="J805" s="2262">
        <v>0.11</v>
      </c>
      <c r="K805" s="2262">
        <v>0.04</v>
      </c>
      <c r="U805" s="2267" t="s">
        <v>1251</v>
      </c>
      <c r="V805" s="2268">
        <v>44295</v>
      </c>
      <c r="W805" s="2267">
        <v>17.400300000000001</v>
      </c>
    </row>
    <row r="806" spans="1:23">
      <c r="A806" s="2255">
        <v>44005.291666666701</v>
      </c>
      <c r="B806" s="2255"/>
      <c r="C806" s="2258">
        <v>23090</v>
      </c>
      <c r="D806" s="2258"/>
      <c r="E806" s="2258">
        <v>25492</v>
      </c>
      <c r="F806" s="2258"/>
      <c r="G806" s="2258">
        <v>212</v>
      </c>
      <c r="H806" s="2259"/>
      <c r="I806" s="2259"/>
      <c r="J806" s="2259"/>
      <c r="K806" s="2259"/>
      <c r="U806" s="2267" t="s">
        <v>1252</v>
      </c>
      <c r="V806" s="2268">
        <v>44294</v>
      </c>
    </row>
    <row r="807" spans="1:23">
      <c r="A807" s="2255">
        <v>44004.291666666701</v>
      </c>
      <c r="B807" s="2255"/>
      <c r="C807" s="2258">
        <v>23100</v>
      </c>
      <c r="D807" s="2258"/>
      <c r="E807" s="2258">
        <v>25304</v>
      </c>
      <c r="F807" s="2258"/>
      <c r="G807" s="2258">
        <v>213</v>
      </c>
      <c r="H807" s="2259"/>
      <c r="I807" s="2259"/>
      <c r="J807" s="2259"/>
      <c r="K807" s="2259"/>
      <c r="U807" s="2267" t="s">
        <v>1253</v>
      </c>
      <c r="V807" s="2268">
        <v>44293</v>
      </c>
      <c r="W807" s="2267">
        <v>17.400300000000001</v>
      </c>
    </row>
    <row r="808" spans="1:23">
      <c r="A808" s="2255">
        <v>44001.291666666701</v>
      </c>
      <c r="B808" s="2255"/>
      <c r="C808" s="2258">
        <v>23080</v>
      </c>
      <c r="D808" s="2258"/>
      <c r="E808" s="2258">
        <v>25327</v>
      </c>
      <c r="F808" s="2258"/>
      <c r="G808" s="2258">
        <v>212</v>
      </c>
      <c r="H808" s="2262">
        <v>0.09</v>
      </c>
      <c r="I808" s="2262">
        <v>4.4999999999999998E-2</v>
      </c>
      <c r="J808" s="2262">
        <v>0.11</v>
      </c>
      <c r="K808" s="2262">
        <v>0.04</v>
      </c>
      <c r="U808" s="2267" t="s">
        <v>1249</v>
      </c>
      <c r="V808" s="2268">
        <v>44292</v>
      </c>
      <c r="W808" s="2267">
        <v>16.8705</v>
      </c>
    </row>
    <row r="809" spans="1:23">
      <c r="A809" s="2255">
        <v>44000.291666666701</v>
      </c>
      <c r="B809" s="2255"/>
      <c r="C809" s="2258">
        <v>23080</v>
      </c>
      <c r="D809" s="2258"/>
      <c r="E809" s="2258">
        <v>25422</v>
      </c>
      <c r="F809" s="2258"/>
      <c r="G809" s="2258">
        <v>212</v>
      </c>
      <c r="H809" s="2259"/>
      <c r="I809" s="2259"/>
      <c r="J809" s="2259"/>
      <c r="K809" s="2259"/>
      <c r="U809" s="2267" t="s">
        <v>1250</v>
      </c>
      <c r="V809" s="2268">
        <v>44291</v>
      </c>
      <c r="W809" s="2267">
        <v>16.8705</v>
      </c>
    </row>
    <row r="810" spans="1:23">
      <c r="A810" s="2255">
        <v>43999.291666666701</v>
      </c>
      <c r="B810" s="2255"/>
      <c r="C810" s="2258">
        <v>23090</v>
      </c>
      <c r="D810" s="2258"/>
      <c r="E810" s="2258">
        <v>25483</v>
      </c>
      <c r="F810" s="2258"/>
      <c r="G810" s="2258">
        <v>212</v>
      </c>
      <c r="H810" s="2259"/>
      <c r="I810" s="2259"/>
      <c r="J810" s="2259"/>
      <c r="K810" s="2259"/>
      <c r="V810" s="2267"/>
      <c r="W810" s="2267">
        <v>16.828099999999999</v>
      </c>
    </row>
    <row r="811" spans="1:23">
      <c r="A811" s="2255">
        <v>43998.291666666701</v>
      </c>
      <c r="B811" s="2255"/>
      <c r="C811" s="2258">
        <v>23100</v>
      </c>
      <c r="D811" s="2258"/>
      <c r="E811" s="2258">
        <v>25646</v>
      </c>
      <c r="F811" s="2258"/>
      <c r="G811" s="2258">
        <v>212</v>
      </c>
      <c r="H811" s="2259"/>
      <c r="I811" s="2259"/>
      <c r="J811" s="2259"/>
      <c r="K811" s="2259"/>
      <c r="U811" s="2267" t="s">
        <v>1251</v>
      </c>
      <c r="V811" s="2268">
        <v>44288</v>
      </c>
      <c r="W811" s="2267">
        <v>16.8705</v>
      </c>
    </row>
    <row r="812" spans="1:23">
      <c r="A812" s="2255">
        <v>43997.291666666701</v>
      </c>
      <c r="B812" s="2255"/>
      <c r="C812" s="2258">
        <v>23100</v>
      </c>
      <c r="D812" s="2258"/>
      <c r="E812" s="2258">
        <v>25447</v>
      </c>
      <c r="F812" s="2258"/>
      <c r="G812" s="2258">
        <v>209</v>
      </c>
      <c r="H812" s="2259"/>
      <c r="I812" s="2259"/>
      <c r="J812" s="2259"/>
      <c r="K812" s="2259"/>
      <c r="U812" s="2267" t="s">
        <v>1252</v>
      </c>
      <c r="V812" s="2268">
        <v>44287</v>
      </c>
    </row>
    <row r="813" spans="1:23">
      <c r="A813" s="2255">
        <v>43994.291666666701</v>
      </c>
      <c r="B813" s="2255"/>
      <c r="C813" s="2258">
        <v>23110</v>
      </c>
      <c r="D813" s="2258"/>
      <c r="E813" s="2258">
        <v>25557</v>
      </c>
      <c r="F813" s="2258"/>
      <c r="G813" s="2258">
        <v>211</v>
      </c>
      <c r="H813" s="2259"/>
      <c r="I813" s="2259"/>
      <c r="J813" s="2259"/>
      <c r="K813" s="2259"/>
      <c r="U813" s="2267" t="s">
        <v>1253</v>
      </c>
      <c r="V813" s="2268">
        <v>44286</v>
      </c>
      <c r="W813" s="2267">
        <v>16.912800000000001</v>
      </c>
    </row>
    <row r="814" spans="1:23">
      <c r="A814" s="2255">
        <v>43993.291666666701</v>
      </c>
      <c r="B814" s="2255"/>
      <c r="C814" s="2258">
        <v>23080</v>
      </c>
      <c r="D814" s="2258"/>
      <c r="E814" s="2258">
        <v>25732</v>
      </c>
      <c r="F814" s="2258"/>
      <c r="G814" s="2258">
        <v>210</v>
      </c>
      <c r="H814" s="2259"/>
      <c r="I814" s="2259"/>
      <c r="J814" s="2259"/>
      <c r="K814" s="2259"/>
      <c r="U814" s="2267" t="s">
        <v>1249</v>
      </c>
      <c r="V814" s="2268">
        <v>44285</v>
      </c>
      <c r="W814" s="2267">
        <v>16.8917</v>
      </c>
    </row>
    <row r="815" spans="1:23">
      <c r="A815" s="2255">
        <v>43992.291666666701</v>
      </c>
      <c r="B815" s="2255"/>
      <c r="C815" s="2258">
        <v>23070</v>
      </c>
      <c r="D815" s="2258"/>
      <c r="E815" s="2258">
        <v>25637</v>
      </c>
      <c r="F815" s="2258"/>
      <c r="G815" s="2258">
        <v>208</v>
      </c>
      <c r="H815" s="2262">
        <v>0.09</v>
      </c>
      <c r="I815" s="2262">
        <v>4.4999999999999998E-2</v>
      </c>
      <c r="J815" s="2262">
        <v>0.11</v>
      </c>
      <c r="K815" s="2262">
        <v>0.04</v>
      </c>
      <c r="U815" s="2267" t="s">
        <v>1250</v>
      </c>
      <c r="V815" s="2268">
        <v>44284</v>
      </c>
      <c r="W815" s="2267">
        <v>16.4678</v>
      </c>
    </row>
    <row r="816" spans="1:23">
      <c r="A816" s="2255">
        <v>43991.291666666701</v>
      </c>
      <c r="B816" s="2255"/>
      <c r="C816" s="2258">
        <v>23110</v>
      </c>
      <c r="D816" s="2258"/>
      <c r="E816" s="2258">
        <v>25584</v>
      </c>
      <c r="F816" s="2258"/>
      <c r="G816" s="2258">
        <v>208</v>
      </c>
      <c r="H816" s="2259"/>
      <c r="I816" s="2259"/>
      <c r="J816" s="2259"/>
      <c r="K816" s="2259"/>
      <c r="V816" s="2267"/>
      <c r="W816" s="2267">
        <v>17.058700000000002</v>
      </c>
    </row>
    <row r="817" spans="1:23">
      <c r="A817" s="2255">
        <v>43990.291666666701</v>
      </c>
      <c r="B817" s="2255"/>
      <c r="C817" s="2258">
        <v>23140</v>
      </c>
      <c r="D817" s="2258"/>
      <c r="E817" s="2258">
        <v>25600</v>
      </c>
      <c r="F817" s="2258"/>
      <c r="G817" s="2258">
        <v>205</v>
      </c>
      <c r="H817" s="2259"/>
      <c r="I817" s="2259"/>
      <c r="J817" s="2259"/>
      <c r="K817" s="2259"/>
      <c r="U817" s="2267" t="s">
        <v>1251</v>
      </c>
      <c r="V817" s="2268">
        <v>44281</v>
      </c>
      <c r="W817" s="2267">
        <v>17.1693</v>
      </c>
    </row>
    <row r="818" spans="1:23">
      <c r="A818" s="2255">
        <v>43987.291666666701</v>
      </c>
      <c r="B818" s="2255"/>
      <c r="C818" s="2258">
        <v>23140</v>
      </c>
      <c r="D818" s="2258"/>
      <c r="E818" s="2258">
        <v>25706</v>
      </c>
      <c r="F818" s="2258"/>
      <c r="G818" s="2258">
        <v>206</v>
      </c>
      <c r="H818" s="2262">
        <v>0.09</v>
      </c>
      <c r="I818" s="2262">
        <v>4.4999999999999998E-2</v>
      </c>
      <c r="J818" s="2262">
        <v>0.11</v>
      </c>
      <c r="K818" s="2262">
        <v>4.0750000000000001E-2</v>
      </c>
      <c r="U818" s="2267" t="s">
        <v>1252</v>
      </c>
      <c r="V818" s="2268">
        <v>44280</v>
      </c>
    </row>
    <row r="819" spans="1:23">
      <c r="A819" s="2255">
        <v>43986.291666666701</v>
      </c>
      <c r="B819" s="2255"/>
      <c r="C819" s="2258">
        <v>23140</v>
      </c>
      <c r="D819" s="2258"/>
      <c r="E819" s="2258">
        <v>25436</v>
      </c>
      <c r="F819" s="2258"/>
      <c r="G819" s="2258">
        <v>207</v>
      </c>
      <c r="H819" s="2259"/>
      <c r="I819" s="2259"/>
      <c r="J819" s="2259"/>
      <c r="K819" s="2259"/>
      <c r="U819" s="2267" t="s">
        <v>1253</v>
      </c>
      <c r="V819" s="2268">
        <v>44279</v>
      </c>
      <c r="W819" s="2267">
        <v>16.837399999999999</v>
      </c>
    </row>
    <row r="820" spans="1:23">
      <c r="A820" s="2255">
        <v>43985.291666666701</v>
      </c>
      <c r="B820" s="2255"/>
      <c r="C820" s="2258">
        <v>23130</v>
      </c>
      <c r="D820" s="2258"/>
      <c r="E820" s="2258">
        <v>25373</v>
      </c>
      <c r="F820" s="2258"/>
      <c r="G820" s="2258">
        <v>207</v>
      </c>
      <c r="H820" s="2259"/>
      <c r="I820" s="2259"/>
      <c r="J820" s="2259"/>
      <c r="K820" s="2259"/>
      <c r="U820" s="2267" t="s">
        <v>1249</v>
      </c>
      <c r="V820" s="2268">
        <v>44278</v>
      </c>
      <c r="W820" s="2267">
        <v>16.948</v>
      </c>
    </row>
    <row r="821" spans="1:23">
      <c r="A821" s="2255">
        <v>43984.291666666701</v>
      </c>
      <c r="B821" s="2255"/>
      <c r="C821" s="2258">
        <v>23140</v>
      </c>
      <c r="D821" s="2258"/>
      <c r="E821" s="2258">
        <v>25227</v>
      </c>
      <c r="F821" s="2258"/>
      <c r="G821" s="2258">
        <v>209</v>
      </c>
      <c r="H821" s="2259"/>
      <c r="I821" s="2259"/>
      <c r="J821" s="2259"/>
      <c r="K821" s="2259"/>
      <c r="U821" s="2267" t="s">
        <v>1250</v>
      </c>
      <c r="V821" s="2268">
        <v>44277</v>
      </c>
      <c r="W821" s="2267">
        <v>17.0365</v>
      </c>
    </row>
    <row r="822" spans="1:23">
      <c r="A822" s="2255">
        <v>43983.291666666701</v>
      </c>
      <c r="B822" s="2255"/>
      <c r="C822" s="2258">
        <v>23160</v>
      </c>
      <c r="D822" s="2258"/>
      <c r="E822" s="2258">
        <v>25222</v>
      </c>
      <c r="F822" s="2258"/>
      <c r="G822" s="2258">
        <v>209</v>
      </c>
      <c r="H822" s="2259"/>
      <c r="I822" s="2259"/>
      <c r="J822" s="2259"/>
      <c r="K822" s="2259"/>
      <c r="V822" s="2267"/>
      <c r="W822" s="2267">
        <v>17.434799999999999</v>
      </c>
    </row>
    <row r="823" spans="1:23">
      <c r="A823" s="2255">
        <v>43980.291666666701</v>
      </c>
      <c r="B823" s="2255"/>
      <c r="C823" s="2258">
        <v>23180</v>
      </c>
      <c r="D823" s="2258"/>
      <c r="E823" s="2258">
        <v>25153</v>
      </c>
      <c r="F823" s="2258"/>
      <c r="G823" s="2258">
        <v>210</v>
      </c>
      <c r="H823" s="2259"/>
      <c r="I823" s="2259"/>
      <c r="J823" s="2259"/>
      <c r="K823" s="2259"/>
      <c r="U823" s="2267" t="s">
        <v>1251</v>
      </c>
      <c r="V823" s="2268">
        <v>44274</v>
      </c>
      <c r="W823" s="2267">
        <v>17.412700000000001</v>
      </c>
    </row>
    <row r="824" spans="1:23">
      <c r="A824" s="2255">
        <v>43979.291666666701</v>
      </c>
      <c r="B824" s="2255"/>
      <c r="C824" s="2258">
        <v>23200</v>
      </c>
      <c r="D824" s="2258"/>
      <c r="E824" s="2258">
        <v>25040</v>
      </c>
      <c r="F824" s="2258"/>
      <c r="G824" s="2258">
        <v>209</v>
      </c>
      <c r="H824" s="2259"/>
      <c r="I824" s="2259"/>
      <c r="J824" s="2259"/>
      <c r="K824" s="2259"/>
      <c r="U824" s="2267" t="s">
        <v>1252</v>
      </c>
      <c r="V824" s="2268">
        <v>44273</v>
      </c>
    </row>
    <row r="825" spans="1:23">
      <c r="A825" s="2255">
        <v>43978.291666666701</v>
      </c>
      <c r="B825" s="2255"/>
      <c r="C825" s="2258">
        <v>23200</v>
      </c>
      <c r="D825" s="2258"/>
      <c r="E825" s="2258">
        <v>24802</v>
      </c>
      <c r="F825" s="2258"/>
      <c r="G825" s="2258">
        <v>209</v>
      </c>
      <c r="H825" s="2262">
        <v>0.09</v>
      </c>
      <c r="I825" s="2262">
        <v>4.4999999999999998E-2</v>
      </c>
      <c r="J825" s="2262">
        <v>0.11</v>
      </c>
      <c r="K825" s="2262">
        <v>0.04</v>
      </c>
      <c r="U825" s="2267" t="s">
        <v>1253</v>
      </c>
      <c r="V825" s="2268">
        <v>44272</v>
      </c>
      <c r="W825" s="2267">
        <v>17.655999999999999</v>
      </c>
    </row>
    <row r="826" spans="1:23">
      <c r="A826" s="2255">
        <v>43977.291666666701</v>
      </c>
      <c r="B826" s="2255"/>
      <c r="C826" s="2258">
        <v>23180</v>
      </c>
      <c r="D826" s="2258"/>
      <c r="E826" s="2258">
        <v>24771</v>
      </c>
      <c r="F826" s="2258"/>
      <c r="G826" s="2258">
        <v>209</v>
      </c>
      <c r="H826" s="2259"/>
      <c r="I826" s="2259"/>
      <c r="J826" s="2259"/>
      <c r="K826" s="2259"/>
      <c r="U826" s="2267" t="s">
        <v>1249</v>
      </c>
      <c r="V826" s="2268">
        <v>44271</v>
      </c>
      <c r="W826" s="2267">
        <v>17.921600000000002</v>
      </c>
    </row>
    <row r="827" spans="1:23">
      <c r="A827" s="2255">
        <v>43976.291666666701</v>
      </c>
      <c r="B827" s="2255"/>
      <c r="C827" s="2258">
        <v>23180</v>
      </c>
      <c r="D827" s="2258"/>
      <c r="E827" s="2258">
        <v>24733</v>
      </c>
      <c r="F827" s="2258"/>
      <c r="G827" s="2258">
        <v>209</v>
      </c>
      <c r="H827" s="2259"/>
      <c r="I827" s="2259"/>
      <c r="J827" s="2259"/>
      <c r="K827" s="2259"/>
      <c r="U827" s="2267" t="s">
        <v>1250</v>
      </c>
      <c r="V827" s="2268">
        <v>44270</v>
      </c>
      <c r="W827" s="2267">
        <v>17.877300000000002</v>
      </c>
    </row>
    <row r="828" spans="1:23">
      <c r="A828" s="2255">
        <v>43973.291666666701</v>
      </c>
      <c r="B828" s="2255"/>
      <c r="C828" s="2258">
        <v>23150</v>
      </c>
      <c r="D828" s="2258"/>
      <c r="E828" s="2258">
        <v>24887</v>
      </c>
      <c r="F828" s="2258"/>
      <c r="G828" s="2258">
        <v>211</v>
      </c>
      <c r="H828" s="2259"/>
      <c r="I828" s="2259"/>
      <c r="J828" s="2259"/>
      <c r="K828" s="2259"/>
      <c r="V828" s="2267"/>
      <c r="W828" s="2267">
        <v>17.921600000000002</v>
      </c>
    </row>
    <row r="829" spans="1:23">
      <c r="A829" s="2255">
        <v>43972.291666666701</v>
      </c>
      <c r="B829" s="2255"/>
      <c r="C829" s="2258">
        <v>23150</v>
      </c>
      <c r="D829" s="2258"/>
      <c r="E829" s="2258">
        <v>24887</v>
      </c>
      <c r="F829" s="2258"/>
      <c r="G829" s="2258">
        <v>211</v>
      </c>
      <c r="H829" s="2259"/>
      <c r="I829" s="2259"/>
      <c r="J829" s="2259"/>
      <c r="K829" s="2259"/>
      <c r="U829" s="2267" t="s">
        <v>1251</v>
      </c>
      <c r="V829" s="2268">
        <v>44267</v>
      </c>
      <c r="W829" s="2267">
        <v>16.925899999999999</v>
      </c>
    </row>
    <row r="830" spans="1:23">
      <c r="A830" s="2255">
        <v>43971.291666666701</v>
      </c>
      <c r="B830" s="2255"/>
      <c r="C830" s="2258">
        <v>23160</v>
      </c>
      <c r="D830" s="2258"/>
      <c r="E830" s="2258">
        <v>24820</v>
      </c>
      <c r="F830" s="2258"/>
      <c r="G830" s="2258">
        <v>212</v>
      </c>
      <c r="H830" s="2259"/>
      <c r="I830" s="2259"/>
      <c r="J830" s="2259"/>
      <c r="K830" s="2259"/>
      <c r="U830" s="2267" t="s">
        <v>1252</v>
      </c>
      <c r="V830" s="2268">
        <v>44266</v>
      </c>
    </row>
    <row r="831" spans="1:23">
      <c r="A831" s="2255">
        <v>43970.291666666701</v>
      </c>
      <c r="B831" s="2255"/>
      <c r="C831" s="2258">
        <v>23160</v>
      </c>
      <c r="D831" s="2258"/>
      <c r="E831" s="2258">
        <v>24820</v>
      </c>
      <c r="F831" s="2258"/>
      <c r="G831" s="2258">
        <v>212</v>
      </c>
      <c r="H831" s="2259"/>
      <c r="I831" s="2259"/>
      <c r="J831" s="2259"/>
      <c r="K831" s="2259"/>
      <c r="U831" s="2267" t="s">
        <v>1253</v>
      </c>
      <c r="V831" s="2268">
        <v>44265</v>
      </c>
      <c r="W831" s="2267">
        <v>16.925899999999999</v>
      </c>
    </row>
    <row r="832" spans="1:23">
      <c r="A832" s="2255">
        <v>43969.291666666701</v>
      </c>
      <c r="B832" s="2255"/>
      <c r="C832" s="2258">
        <v>23240</v>
      </c>
      <c r="D832" s="2258"/>
      <c r="E832" s="2258">
        <v>24614</v>
      </c>
      <c r="F832" s="2258"/>
      <c r="G832" s="2258">
        <v>213</v>
      </c>
      <c r="H832" s="2259"/>
      <c r="I832" s="2259"/>
      <c r="J832" s="2259"/>
      <c r="K832" s="2259"/>
      <c r="U832" s="2267" t="s">
        <v>1249</v>
      </c>
      <c r="V832" s="2268">
        <v>44264</v>
      </c>
      <c r="W832" s="2267">
        <v>16.970199999999998</v>
      </c>
    </row>
    <row r="833" spans="1:23">
      <c r="A833" s="2255">
        <v>43966.291666666701</v>
      </c>
      <c r="B833" s="2255"/>
      <c r="C833" s="2258">
        <v>23250</v>
      </c>
      <c r="D833" s="2258"/>
      <c r="E833" s="2258">
        <v>24613</v>
      </c>
      <c r="F833" s="2258"/>
      <c r="G833" s="2258">
        <v>210</v>
      </c>
      <c r="H833" s="2262">
        <v>0.09</v>
      </c>
      <c r="I833" s="2262">
        <v>4.4999999999999998E-2</v>
      </c>
      <c r="J833" s="2262">
        <v>0.11</v>
      </c>
      <c r="K833" s="2262">
        <v>0.04</v>
      </c>
      <c r="U833" s="2267" t="s">
        <v>1250</v>
      </c>
      <c r="V833" s="2268">
        <v>44263</v>
      </c>
      <c r="W833" s="2267">
        <v>16.881699999999999</v>
      </c>
    </row>
    <row r="834" spans="1:23">
      <c r="A834" s="2255">
        <v>43965.291666666701</v>
      </c>
      <c r="B834" s="2255"/>
      <c r="C834" s="2258">
        <v>23230</v>
      </c>
      <c r="D834" s="2258"/>
      <c r="E834" s="2258">
        <v>24631</v>
      </c>
      <c r="F834" s="2258"/>
      <c r="G834" s="2258">
        <v>211</v>
      </c>
      <c r="H834" s="2259"/>
      <c r="I834" s="2259"/>
      <c r="J834" s="2259"/>
      <c r="K834" s="2259"/>
      <c r="V834" s="2267"/>
      <c r="W834" s="2267">
        <v>16.594000000000001</v>
      </c>
    </row>
    <row r="835" spans="1:23">
      <c r="A835" s="2255">
        <v>43964.291666666701</v>
      </c>
      <c r="B835" s="2255"/>
      <c r="C835" s="2258">
        <v>23220</v>
      </c>
      <c r="D835" s="2258"/>
      <c r="E835" s="2258">
        <v>24614</v>
      </c>
      <c r="F835" s="2258"/>
      <c r="G835" s="2258">
        <v>210</v>
      </c>
      <c r="H835" s="2259"/>
      <c r="I835" s="2259"/>
      <c r="J835" s="2259"/>
      <c r="K835" s="2259"/>
      <c r="U835" s="2267" t="s">
        <v>1251</v>
      </c>
      <c r="V835" s="2268">
        <v>44260</v>
      </c>
      <c r="W835" s="2267">
        <v>16.771000000000001</v>
      </c>
    </row>
    <row r="836" spans="1:23">
      <c r="A836" s="2255">
        <v>43963.291666666701</v>
      </c>
      <c r="B836" s="2255"/>
      <c r="C836" s="2258">
        <v>23220</v>
      </c>
      <c r="D836" s="2258"/>
      <c r="E836" s="2258">
        <v>24538</v>
      </c>
      <c r="F836" s="2258"/>
      <c r="G836" s="2258">
        <v>210</v>
      </c>
      <c r="H836" s="2259"/>
      <c r="I836" s="2259"/>
      <c r="J836" s="2259"/>
      <c r="K836" s="2259"/>
      <c r="U836" s="2267" t="s">
        <v>1252</v>
      </c>
      <c r="V836" s="2268">
        <v>44259</v>
      </c>
    </row>
    <row r="837" spans="1:23">
      <c r="A837" s="2255">
        <v>43962.291666666701</v>
      </c>
      <c r="B837" s="2255"/>
      <c r="C837" s="2258">
        <v>23240</v>
      </c>
      <c r="D837" s="2258"/>
      <c r="E837" s="2258">
        <v>24673</v>
      </c>
      <c r="F837" s="2258"/>
      <c r="G837" s="2258">
        <v>212</v>
      </c>
      <c r="H837" s="2259"/>
      <c r="I837" s="2259"/>
      <c r="J837" s="2259"/>
      <c r="K837" s="2259"/>
      <c r="U837" s="2267" t="s">
        <v>1253</v>
      </c>
      <c r="V837" s="2268">
        <v>44258</v>
      </c>
      <c r="W837" s="2267">
        <v>16.793199999999999</v>
      </c>
    </row>
    <row r="838" spans="1:23">
      <c r="A838" s="2255">
        <v>43957.291666666701</v>
      </c>
      <c r="B838" s="2255"/>
      <c r="C838" s="2259"/>
      <c r="D838" s="2259"/>
      <c r="E838" s="2259"/>
      <c r="F838" s="2259"/>
      <c r="G838" s="2259"/>
      <c r="H838" s="2262">
        <v>0.09</v>
      </c>
      <c r="I838" s="2262">
        <v>4.6333333300000001E-2</v>
      </c>
      <c r="J838" s="2262">
        <v>0.11</v>
      </c>
      <c r="K838" s="2262">
        <v>4.2999999999999997E-2</v>
      </c>
      <c r="U838" s="2267" t="s">
        <v>1249</v>
      </c>
      <c r="V838" s="2268">
        <v>44257</v>
      </c>
      <c r="W838" s="2267">
        <v>16.793199999999999</v>
      </c>
    </row>
    <row r="839" spans="1:23">
      <c r="A839" s="2255">
        <v>43944.291666666701</v>
      </c>
      <c r="B839" s="2255"/>
      <c r="C839" s="2259"/>
      <c r="D839" s="2259"/>
      <c r="E839" s="2259"/>
      <c r="F839" s="2259"/>
      <c r="G839" s="2259"/>
      <c r="H839" s="2262">
        <v>0.09</v>
      </c>
      <c r="I839" s="2262">
        <v>4.7E-2</v>
      </c>
      <c r="J839" s="2262">
        <v>0.11</v>
      </c>
      <c r="K839" s="2262">
        <v>4.2999999999999997E-2</v>
      </c>
      <c r="U839" s="2267" t="s">
        <v>1250</v>
      </c>
      <c r="V839" s="2268">
        <v>44256</v>
      </c>
      <c r="W839" s="2267">
        <v>17.191400000000002</v>
      </c>
    </row>
    <row r="840" spans="1:23">
      <c r="A840" s="2255">
        <v>43941.291666666701</v>
      </c>
      <c r="B840" s="2255"/>
      <c r="C840" s="2259"/>
      <c r="D840" s="2259"/>
      <c r="E840" s="2259"/>
      <c r="F840" s="2259"/>
      <c r="G840" s="2259"/>
      <c r="H840" s="2262">
        <v>0.09</v>
      </c>
      <c r="I840" s="2262">
        <v>4.7E-2</v>
      </c>
      <c r="J840" s="2262">
        <v>0.11</v>
      </c>
      <c r="K840" s="2262">
        <v>4.2999999999999997E-2</v>
      </c>
      <c r="V840" s="2267"/>
      <c r="W840" s="2267">
        <v>17.235700000000001</v>
      </c>
    </row>
    <row r="841" spans="1:23">
      <c r="A841" s="2255">
        <v>43924.291666666701</v>
      </c>
      <c r="B841" s="2255"/>
      <c r="C841" s="2259"/>
      <c r="D841" s="2259"/>
      <c r="E841" s="2259"/>
      <c r="F841" s="2259"/>
      <c r="G841" s="2259"/>
      <c r="H841" s="2262">
        <v>0.09</v>
      </c>
      <c r="I841" s="2262">
        <v>4.7E-2</v>
      </c>
      <c r="J841" s="2262">
        <v>0.11</v>
      </c>
      <c r="K841" s="2262">
        <v>4.2999999999999997E-2</v>
      </c>
      <c r="U841" s="2267" t="s">
        <v>1251</v>
      </c>
      <c r="V841" s="2268">
        <v>44253</v>
      </c>
      <c r="W841" s="2267">
        <v>17.235700000000001</v>
      </c>
    </row>
    <row r="842" spans="1:23">
      <c r="A842" s="2255">
        <v>43921.291666666701</v>
      </c>
      <c r="B842" s="2255"/>
      <c r="C842" s="2259"/>
      <c r="D842" s="2259"/>
      <c r="E842" s="2259"/>
      <c r="F842" s="2259"/>
      <c r="G842" s="2259"/>
      <c r="H842" s="2262">
        <v>0.09</v>
      </c>
      <c r="I842" s="2262">
        <v>4.7E-2</v>
      </c>
      <c r="J842" s="2262">
        <v>0.11</v>
      </c>
      <c r="K842" s="2262">
        <v>4.2999999999999997E-2</v>
      </c>
      <c r="U842" s="2267" t="s">
        <v>1252</v>
      </c>
      <c r="V842" s="2268">
        <v>44252</v>
      </c>
    </row>
    <row r="843" spans="1:23">
      <c r="A843" s="2255">
        <v>43916.291666666701</v>
      </c>
      <c r="B843" s="2255"/>
      <c r="C843" s="2259"/>
      <c r="D843" s="2259"/>
      <c r="E843" s="2259"/>
      <c r="F843" s="2259"/>
      <c r="G843" s="2259"/>
      <c r="H843" s="2262">
        <v>0.09</v>
      </c>
      <c r="I843" s="2262">
        <v>4.7E-2</v>
      </c>
      <c r="J843" s="2262">
        <v>0.11</v>
      </c>
      <c r="K843" s="2262">
        <v>4.2999999999999997E-2</v>
      </c>
      <c r="U843" s="2267" t="s">
        <v>1253</v>
      </c>
      <c r="V843" s="2268">
        <v>44251</v>
      </c>
      <c r="W843" s="2267">
        <v>16.859500000000001</v>
      </c>
    </row>
    <row r="844" spans="1:23">
      <c r="A844" s="2255">
        <v>43908.291666666701</v>
      </c>
      <c r="B844" s="2255"/>
      <c r="C844" s="2259"/>
      <c r="D844" s="2259"/>
      <c r="E844" s="2259"/>
      <c r="F844" s="2259"/>
      <c r="G844" s="2259"/>
      <c r="H844" s="2262">
        <v>0.09</v>
      </c>
      <c r="I844" s="2262">
        <v>4.7E-2</v>
      </c>
      <c r="J844" s="2262">
        <v>0.11</v>
      </c>
      <c r="K844" s="2262">
        <v>4.2999999999999997E-2</v>
      </c>
      <c r="U844" s="2267" t="s">
        <v>1249</v>
      </c>
      <c r="V844" s="2268">
        <v>44250</v>
      </c>
      <c r="W844" s="2267">
        <v>16.859500000000001</v>
      </c>
    </row>
    <row r="845" spans="1:23">
      <c r="A845" s="2255">
        <v>43901.291666666701</v>
      </c>
      <c r="B845" s="2255"/>
      <c r="C845" s="2259"/>
      <c r="D845" s="2259"/>
      <c r="E845" s="2259"/>
      <c r="F845" s="2259"/>
      <c r="G845" s="2259"/>
      <c r="H845" s="2262">
        <v>0.09</v>
      </c>
      <c r="I845" s="2262">
        <v>4.7E-2</v>
      </c>
      <c r="J845" s="2262">
        <v>0.11</v>
      </c>
      <c r="K845" s="2262">
        <v>4.2999999999999997E-2</v>
      </c>
      <c r="U845" s="2267" t="s">
        <v>1250</v>
      </c>
      <c r="V845" s="2268">
        <v>44249</v>
      </c>
      <c r="W845" s="2267">
        <v>16.682500000000001</v>
      </c>
    </row>
    <row r="846" spans="1:23">
      <c r="A846" s="2255">
        <v>43895.291666666701</v>
      </c>
      <c r="B846" s="2255"/>
      <c r="C846" s="2259"/>
      <c r="D846" s="2259"/>
      <c r="E846" s="2259"/>
      <c r="F846" s="2259"/>
      <c r="G846" s="2259"/>
      <c r="H846" s="2262">
        <v>0.09</v>
      </c>
      <c r="I846" s="2262">
        <v>4.7E-2</v>
      </c>
      <c r="J846" s="2262">
        <v>0.11</v>
      </c>
      <c r="K846" s="2262">
        <v>4.2999999999999997E-2</v>
      </c>
      <c r="V846" s="2267"/>
      <c r="W846" s="2267">
        <v>16.704699999999999</v>
      </c>
    </row>
    <row r="847" spans="1:23">
      <c r="A847" s="2255">
        <v>43886.291666666701</v>
      </c>
      <c r="B847" s="2255"/>
      <c r="C847" s="2259"/>
      <c r="D847" s="2259"/>
      <c r="E847" s="2259"/>
      <c r="F847" s="2259"/>
      <c r="G847" s="2259"/>
      <c r="H847" s="2262">
        <v>0.09</v>
      </c>
      <c r="I847" s="2262">
        <v>4.7E-2</v>
      </c>
      <c r="J847" s="2262">
        <v>0.11</v>
      </c>
      <c r="K847" s="2262">
        <v>4.2999999999999997E-2</v>
      </c>
      <c r="U847" s="2267" t="s">
        <v>1251</v>
      </c>
      <c r="V847" s="2268">
        <v>44246</v>
      </c>
      <c r="W847" s="2267">
        <v>16.9923</v>
      </c>
    </row>
    <row r="848" spans="1:23">
      <c r="A848" s="2255">
        <v>43880.291666666701</v>
      </c>
      <c r="B848" s="2255"/>
      <c r="C848" s="2259"/>
      <c r="D848" s="2259"/>
      <c r="E848" s="2259"/>
      <c r="F848" s="2259"/>
      <c r="G848" s="2259"/>
      <c r="H848" s="2262">
        <v>0.09</v>
      </c>
      <c r="I848" s="2262">
        <v>4.7E-2</v>
      </c>
      <c r="J848" s="2262">
        <v>0.11</v>
      </c>
      <c r="K848" s="2262">
        <v>4.2999999999999997E-2</v>
      </c>
      <c r="U848" s="2267" t="s">
        <v>1252</v>
      </c>
      <c r="V848" s="2268">
        <v>44245</v>
      </c>
    </row>
    <row r="849" spans="1:23">
      <c r="A849" s="2255">
        <v>43875.291666666701</v>
      </c>
      <c r="B849" s="2255"/>
      <c r="C849" s="2259"/>
      <c r="D849" s="2259"/>
      <c r="E849" s="2259"/>
      <c r="F849" s="2259"/>
      <c r="G849" s="2259"/>
      <c r="H849" s="2262">
        <v>0.09</v>
      </c>
      <c r="I849" s="2262">
        <v>4.7E-2</v>
      </c>
      <c r="J849" s="2262">
        <v>0.11</v>
      </c>
      <c r="K849" s="2262">
        <v>4.2999999999999997E-2</v>
      </c>
      <c r="U849" s="2267" t="s">
        <v>1253</v>
      </c>
      <c r="V849" s="2268">
        <v>44244</v>
      </c>
      <c r="W849" s="2267">
        <v>16.948</v>
      </c>
    </row>
    <row r="850" spans="1:23">
      <c r="A850" s="2255">
        <v>43866.291666666701</v>
      </c>
      <c r="B850" s="2255"/>
      <c r="C850" s="2259"/>
      <c r="D850" s="2259"/>
      <c r="E850" s="2259"/>
      <c r="F850" s="2259"/>
      <c r="G850" s="2259"/>
      <c r="H850" s="2262">
        <v>0.09</v>
      </c>
      <c r="I850" s="2262">
        <v>4.7E-2</v>
      </c>
      <c r="J850" s="2262">
        <v>0.11</v>
      </c>
      <c r="K850" s="2262">
        <v>4.2999999999999997E-2</v>
      </c>
      <c r="V850" s="2267"/>
      <c r="W850" s="2267">
        <v>17.302</v>
      </c>
    </row>
    <row r="851" spans="1:23">
      <c r="A851" s="2255">
        <v>43851.291666666701</v>
      </c>
      <c r="B851" s="2255"/>
      <c r="C851" s="2259"/>
      <c r="D851" s="2259"/>
      <c r="E851" s="2259"/>
      <c r="F851" s="2259"/>
      <c r="G851" s="2259"/>
      <c r="H851" s="2262">
        <v>0.09</v>
      </c>
      <c r="I851" s="2262">
        <v>4.7E-2</v>
      </c>
      <c r="J851" s="2262">
        <v>0.11</v>
      </c>
      <c r="K851" s="2262">
        <v>4.2999999999999997E-2</v>
      </c>
      <c r="U851" s="2267" t="s">
        <v>1249</v>
      </c>
      <c r="V851" s="2268">
        <v>44236</v>
      </c>
      <c r="W851" s="2267">
        <v>17.235700000000001</v>
      </c>
    </row>
    <row r="852" spans="1:23">
      <c r="A852" s="2255">
        <v>43847.291666666701</v>
      </c>
      <c r="B852" s="2255"/>
      <c r="C852" s="2259"/>
      <c r="D852" s="2259"/>
      <c r="E852" s="2259"/>
      <c r="F852" s="2259"/>
      <c r="G852" s="2259"/>
      <c r="H852" s="2262">
        <v>0.09</v>
      </c>
      <c r="I852" s="2262">
        <v>4.7E-2</v>
      </c>
      <c r="J852" s="2262">
        <v>0.11</v>
      </c>
      <c r="K852" s="2262">
        <v>4.2999999999999997E-2</v>
      </c>
      <c r="U852" s="2267" t="s">
        <v>1250</v>
      </c>
      <c r="V852" s="2268">
        <v>44235</v>
      </c>
    </row>
    <row r="853" spans="1:23">
      <c r="A853" s="2255">
        <v>43837.291666666701</v>
      </c>
      <c r="B853" s="2255"/>
      <c r="C853" s="2259"/>
      <c r="D853" s="2259"/>
      <c r="E853" s="2259"/>
      <c r="F853" s="2259"/>
      <c r="G853" s="2259"/>
      <c r="H853" s="2262">
        <v>0.09</v>
      </c>
      <c r="I853" s="2262">
        <v>4.7E-2</v>
      </c>
      <c r="J853" s="2262">
        <v>0.11</v>
      </c>
      <c r="K853" s="2262">
        <v>4.2999999999999997E-2</v>
      </c>
      <c r="V853" s="2267"/>
      <c r="W853" s="2267">
        <v>16.505500000000001</v>
      </c>
    </row>
    <row r="854" spans="1:23">
      <c r="A854" s="2255">
        <v>43830.291666666701</v>
      </c>
      <c r="B854" s="2255"/>
      <c r="C854" s="2259"/>
      <c r="D854" s="2259"/>
      <c r="E854" s="2259"/>
      <c r="F854" s="2259"/>
      <c r="G854" s="2259"/>
      <c r="H854" s="2262">
        <v>0.09</v>
      </c>
      <c r="I854" s="2262">
        <v>4.7E-2</v>
      </c>
      <c r="J854" s="2262">
        <v>0.11</v>
      </c>
      <c r="K854" s="2262">
        <v>4.2999999999999997E-2</v>
      </c>
      <c r="U854" s="2267" t="s">
        <v>1251</v>
      </c>
      <c r="V854" s="2268">
        <v>44232</v>
      </c>
      <c r="W854" s="2267">
        <v>15.775399999999999</v>
      </c>
    </row>
    <row r="855" spans="1:23">
      <c r="A855" s="2255">
        <v>43825.291666666701</v>
      </c>
      <c r="B855" s="2255"/>
      <c r="C855" s="2259"/>
      <c r="D855" s="2259"/>
      <c r="E855" s="2259"/>
      <c r="F855" s="2259"/>
      <c r="G855" s="2259"/>
      <c r="H855" s="2262">
        <v>0.09</v>
      </c>
      <c r="I855" s="2262">
        <v>4.7E-2</v>
      </c>
      <c r="J855" s="2262">
        <v>0.11</v>
      </c>
      <c r="K855" s="2262">
        <v>4.2999999999999997E-2</v>
      </c>
      <c r="U855" s="2267" t="s">
        <v>1252</v>
      </c>
      <c r="V855" s="2268">
        <v>44231</v>
      </c>
    </row>
    <row r="856" spans="1:23">
      <c r="A856" s="2255">
        <v>43818.291666666701</v>
      </c>
      <c r="B856" s="2255"/>
      <c r="C856" s="2259"/>
      <c r="D856" s="2259"/>
      <c r="E856" s="2259"/>
      <c r="F856" s="2259"/>
      <c r="G856" s="2259"/>
      <c r="H856" s="2262">
        <v>0.09</v>
      </c>
      <c r="I856" s="2262">
        <v>4.7E-2</v>
      </c>
      <c r="J856" s="2262">
        <v>0.11</v>
      </c>
      <c r="K856" s="2262">
        <v>4.2999999999999997E-2</v>
      </c>
      <c r="U856" s="2267" t="s">
        <v>1253</v>
      </c>
      <c r="V856" s="2268">
        <v>44230</v>
      </c>
      <c r="W856" s="2267">
        <v>16.1294</v>
      </c>
    </row>
    <row r="857" spans="1:23">
      <c r="A857" s="2255">
        <v>43812.291666666701</v>
      </c>
      <c r="B857" s="2255"/>
      <c r="C857" s="2259"/>
      <c r="D857" s="2259"/>
      <c r="E857" s="2259"/>
      <c r="F857" s="2259"/>
      <c r="G857" s="2259"/>
      <c r="H857" s="2262">
        <v>0.09</v>
      </c>
      <c r="I857" s="2262">
        <v>4.7E-2</v>
      </c>
      <c r="J857" s="2262">
        <v>0.11</v>
      </c>
      <c r="K857" s="2262">
        <v>4.2999999999999997E-2</v>
      </c>
      <c r="U857" s="2267" t="s">
        <v>1249</v>
      </c>
      <c r="V857" s="2268">
        <v>44229</v>
      </c>
      <c r="W857" s="2267">
        <v>16.040900000000001</v>
      </c>
    </row>
    <row r="858" spans="1:23">
      <c r="A858" s="2255">
        <v>43803.291666666701</v>
      </c>
      <c r="B858" s="2255"/>
      <c r="C858" s="2259"/>
      <c r="D858" s="2259"/>
      <c r="E858" s="2259"/>
      <c r="F858" s="2259"/>
      <c r="G858" s="2259"/>
      <c r="H858" s="2262">
        <v>0.09</v>
      </c>
      <c r="I858" s="2262">
        <v>4.7E-2</v>
      </c>
      <c r="J858" s="2262">
        <v>0.11</v>
      </c>
      <c r="K858" s="2262">
        <v>4.3999999999999997E-2</v>
      </c>
      <c r="U858" s="2267" t="s">
        <v>1250</v>
      </c>
      <c r="V858" s="2268">
        <v>44228</v>
      </c>
      <c r="W858" s="2267">
        <v>15.4878</v>
      </c>
    </row>
    <row r="859" spans="1:23">
      <c r="A859" s="2255">
        <v>43797.291666666701</v>
      </c>
      <c r="B859" s="2255"/>
      <c r="C859" s="2259"/>
      <c r="D859" s="2259"/>
      <c r="E859" s="2259"/>
      <c r="F859" s="2259"/>
      <c r="G859" s="2259"/>
      <c r="H859" s="2262">
        <v>0.09</v>
      </c>
      <c r="I859" s="2262">
        <v>4.7E-2</v>
      </c>
      <c r="J859" s="2262">
        <v>0.11</v>
      </c>
      <c r="K859" s="2262">
        <v>4.2999999999999997E-2</v>
      </c>
      <c r="V859" s="2267"/>
      <c r="W859" s="2267">
        <v>14.6027</v>
      </c>
    </row>
    <row r="860" spans="1:23">
      <c r="A860" s="2255">
        <v>43790.291666666701</v>
      </c>
      <c r="B860" s="2255"/>
      <c r="C860" s="2259"/>
      <c r="D860" s="2259"/>
      <c r="E860" s="2259"/>
      <c r="F860" s="2259"/>
      <c r="G860" s="2259"/>
      <c r="H860" s="2262">
        <v>0.09</v>
      </c>
      <c r="I860" s="2262">
        <v>4.7E-2</v>
      </c>
      <c r="J860" s="2262">
        <v>0.11</v>
      </c>
      <c r="K860" s="2262">
        <v>4.4999999999999998E-2</v>
      </c>
      <c r="U860" s="2267" t="s">
        <v>1251</v>
      </c>
      <c r="V860" s="2268">
        <v>44225</v>
      </c>
      <c r="W860" s="2267">
        <v>14.0496</v>
      </c>
    </row>
    <row r="861" spans="1:23">
      <c r="A861" s="2255">
        <v>43784.291666666701</v>
      </c>
      <c r="B861" s="2255"/>
      <c r="C861" s="2259"/>
      <c r="D861" s="2259"/>
      <c r="E861" s="2259"/>
      <c r="F861" s="2259"/>
      <c r="G861" s="2259"/>
      <c r="H861" s="2262">
        <v>0.09</v>
      </c>
      <c r="I861" s="2262">
        <v>4.7E-2</v>
      </c>
      <c r="J861" s="2262">
        <v>0.11</v>
      </c>
      <c r="K861" s="2262">
        <v>4.4999999999999998E-2</v>
      </c>
      <c r="U861" s="2267" t="s">
        <v>1252</v>
      </c>
      <c r="V861" s="2268">
        <v>44224</v>
      </c>
    </row>
    <row r="862" spans="1:23">
      <c r="A862" s="2255">
        <v>43775.291666666701</v>
      </c>
      <c r="B862" s="2255"/>
      <c r="C862" s="2259"/>
      <c r="D862" s="2259"/>
      <c r="E862" s="2259"/>
      <c r="F862" s="2259"/>
      <c r="G862" s="2259"/>
      <c r="H862" s="2262">
        <v>0.09</v>
      </c>
      <c r="I862" s="2262">
        <v>4.7E-2</v>
      </c>
      <c r="J862" s="2262">
        <v>0.11</v>
      </c>
      <c r="K862" s="2262">
        <v>4.4999999999999998E-2</v>
      </c>
      <c r="U862" s="2267" t="s">
        <v>1253</v>
      </c>
      <c r="V862" s="2268">
        <v>44223</v>
      </c>
      <c r="W862" s="2267">
        <v>13.8726</v>
      </c>
    </row>
    <row r="863" spans="1:23">
      <c r="A863" s="2255">
        <v>43768.291666666701</v>
      </c>
      <c r="B863" s="2255"/>
      <c r="C863" s="2259"/>
      <c r="D863" s="2259"/>
      <c r="E863" s="2259"/>
      <c r="F863" s="2259"/>
      <c r="G863" s="2259"/>
      <c r="H863" s="2262">
        <v>0.09</v>
      </c>
      <c r="I863" s="2262">
        <v>4.7E-2</v>
      </c>
      <c r="J863" s="2262">
        <v>0.11</v>
      </c>
      <c r="K863" s="2262">
        <v>4.4999999999999998E-2</v>
      </c>
      <c r="U863" s="2267" t="s">
        <v>1249</v>
      </c>
      <c r="V863" s="2268">
        <v>44222</v>
      </c>
      <c r="W863" s="2267">
        <v>12.9655</v>
      </c>
    </row>
    <row r="864" spans="1:23">
      <c r="A864" s="2255">
        <v>43761.291666666701</v>
      </c>
      <c r="B864" s="2255"/>
      <c r="C864" s="2259"/>
      <c r="D864" s="2259"/>
      <c r="E864" s="2259"/>
      <c r="F864" s="2259"/>
      <c r="G864" s="2259"/>
      <c r="H864" s="2262">
        <v>0.09</v>
      </c>
      <c r="I864" s="2262">
        <v>4.7E-2</v>
      </c>
      <c r="J864" s="2262">
        <v>0.11</v>
      </c>
      <c r="K864" s="2262">
        <v>4.4999999999999998E-2</v>
      </c>
      <c r="U864" s="2267" t="s">
        <v>1250</v>
      </c>
      <c r="V864" s="2268">
        <v>44221</v>
      </c>
      <c r="W864" s="2267">
        <v>13.939</v>
      </c>
    </row>
    <row r="865" spans="1:23">
      <c r="A865" s="2255">
        <v>43754.291666666701</v>
      </c>
      <c r="B865" s="2255"/>
      <c r="C865" s="2259"/>
      <c r="D865" s="2259"/>
      <c r="E865" s="2259"/>
      <c r="F865" s="2259"/>
      <c r="G865" s="2259"/>
      <c r="H865" s="2262">
        <v>0.09</v>
      </c>
      <c r="I865" s="2262">
        <v>4.7E-2</v>
      </c>
      <c r="J865" s="2262">
        <v>0.11</v>
      </c>
      <c r="K865" s="2262">
        <v>4.4999999999999998E-2</v>
      </c>
      <c r="V865" s="2267"/>
      <c r="W865" s="2267">
        <v>14.6027</v>
      </c>
    </row>
    <row r="866" spans="1:23">
      <c r="A866" s="2255">
        <v>43748.291666666701</v>
      </c>
      <c r="B866" s="2255"/>
      <c r="C866" s="2259"/>
      <c r="D866" s="2259"/>
      <c r="E866" s="2259"/>
      <c r="F866" s="2259"/>
      <c r="G866" s="2259"/>
      <c r="H866" s="2262">
        <v>0.09</v>
      </c>
      <c r="I866" s="2262">
        <v>4.7E-2</v>
      </c>
      <c r="J866" s="2262">
        <v>0.11</v>
      </c>
      <c r="K866" s="2262">
        <v>4.4999999999999998E-2</v>
      </c>
      <c r="U866" s="2267" t="s">
        <v>1251</v>
      </c>
      <c r="V866" s="2268">
        <v>44218</v>
      </c>
      <c r="W866" s="2267">
        <v>14.824</v>
      </c>
    </row>
    <row r="867" spans="1:23">
      <c r="A867" s="2255">
        <v>43740.291666666701</v>
      </c>
      <c r="B867" s="2255"/>
      <c r="C867" s="2259"/>
      <c r="D867" s="2259"/>
      <c r="E867" s="2259"/>
      <c r="F867" s="2259"/>
      <c r="G867" s="2259"/>
      <c r="H867" s="2262">
        <v>0.09</v>
      </c>
      <c r="I867" s="2262">
        <v>4.7E-2</v>
      </c>
      <c r="J867" s="2262">
        <v>0.11</v>
      </c>
      <c r="K867" s="2262">
        <v>4.4999999999999998E-2</v>
      </c>
      <c r="U867" s="2267" t="s">
        <v>1252</v>
      </c>
      <c r="V867" s="2268">
        <v>44217</v>
      </c>
    </row>
    <row r="868" spans="1:23">
      <c r="A868" s="2255">
        <v>43734.291666666701</v>
      </c>
      <c r="B868" s="2255"/>
      <c r="C868" s="2259"/>
      <c r="D868" s="2259"/>
      <c r="E868" s="2259"/>
      <c r="F868" s="2259"/>
      <c r="G868" s="2259"/>
      <c r="H868" s="2262">
        <v>0.09</v>
      </c>
      <c r="I868" s="2262">
        <v>4.7E-2</v>
      </c>
      <c r="J868" s="2262">
        <v>0.11</v>
      </c>
      <c r="K868" s="2262">
        <v>4.4999999999999998E-2</v>
      </c>
      <c r="U868" s="2267" t="s">
        <v>1253</v>
      </c>
      <c r="V868" s="2268">
        <v>44216</v>
      </c>
      <c r="W868" s="2267">
        <v>14.8019</v>
      </c>
    </row>
    <row r="869" spans="1:23">
      <c r="A869" s="2255">
        <v>43727.291666666701</v>
      </c>
      <c r="B869" s="2255"/>
      <c r="C869" s="2259"/>
      <c r="D869" s="2259"/>
      <c r="E869" s="2259"/>
      <c r="F869" s="2259"/>
      <c r="G869" s="2259"/>
      <c r="H869" s="2262">
        <v>0.09</v>
      </c>
      <c r="I869" s="2262">
        <v>4.7E-2</v>
      </c>
      <c r="J869" s="2262">
        <v>0.11</v>
      </c>
      <c r="K869" s="2262">
        <v>4.4999999999999998E-2</v>
      </c>
      <c r="U869" s="2267" t="s">
        <v>1249</v>
      </c>
      <c r="V869" s="2268">
        <v>44215</v>
      </c>
      <c r="W869" s="2267">
        <v>14.514200000000001</v>
      </c>
    </row>
    <row r="870" spans="1:23">
      <c r="A870" s="2255">
        <v>43719.291666666701</v>
      </c>
      <c r="B870" s="2255"/>
      <c r="C870" s="2259"/>
      <c r="D870" s="2259"/>
      <c r="E870" s="2259"/>
      <c r="F870" s="2259"/>
      <c r="G870" s="2259"/>
      <c r="H870" s="2262">
        <v>0.09</v>
      </c>
      <c r="I870" s="2262">
        <v>4.7E-2</v>
      </c>
      <c r="J870" s="2262">
        <v>0.11</v>
      </c>
      <c r="K870" s="2262">
        <v>4.4999999999999998E-2</v>
      </c>
      <c r="U870" s="2267" t="s">
        <v>1250</v>
      </c>
      <c r="V870" s="2268">
        <v>44214</v>
      </c>
      <c r="W870" s="2267">
        <v>14.0054</v>
      </c>
    </row>
    <row r="871" spans="1:23">
      <c r="A871" s="2255">
        <v>43714.291666666701</v>
      </c>
      <c r="B871" s="2255"/>
      <c r="C871" s="2259"/>
      <c r="D871" s="2259"/>
      <c r="E871" s="2259"/>
      <c r="F871" s="2259"/>
      <c r="G871" s="2259"/>
      <c r="H871" s="2262">
        <v>0.09</v>
      </c>
      <c r="I871" s="2262">
        <v>4.7E-2</v>
      </c>
      <c r="J871" s="2262">
        <v>0.11</v>
      </c>
      <c r="K871" s="2262">
        <v>4.4999999999999998E-2</v>
      </c>
      <c r="V871" s="2267"/>
      <c r="W871" s="2267">
        <v>13.717700000000001</v>
      </c>
    </row>
    <row r="872" spans="1:23">
      <c r="A872" s="2255">
        <v>43705.291666666701</v>
      </c>
      <c r="B872" s="2255"/>
      <c r="C872" s="2259"/>
      <c r="D872" s="2259"/>
      <c r="E872" s="2259"/>
      <c r="F872" s="2259"/>
      <c r="G872" s="2259"/>
      <c r="H872" s="2262">
        <v>0.09</v>
      </c>
      <c r="I872" s="2262">
        <v>4.7E-2</v>
      </c>
      <c r="J872" s="2262">
        <v>0.11</v>
      </c>
      <c r="K872" s="2262">
        <v>4.4999999999999998E-2</v>
      </c>
      <c r="U872" s="2267" t="s">
        <v>1251</v>
      </c>
      <c r="V872" s="2268">
        <v>44211</v>
      </c>
      <c r="W872" s="2267">
        <v>14.6691</v>
      </c>
    </row>
    <row r="873" spans="1:23">
      <c r="A873" s="2255">
        <v>43697.291666666701</v>
      </c>
      <c r="B873" s="2255"/>
      <c r="C873" s="2259"/>
      <c r="D873" s="2259"/>
      <c r="E873" s="2259"/>
      <c r="F873" s="2259"/>
      <c r="G873" s="2259"/>
      <c r="H873" s="2262">
        <v>0.09</v>
      </c>
      <c r="I873" s="2262">
        <v>4.7E-2</v>
      </c>
      <c r="J873" s="2262">
        <v>0.11</v>
      </c>
      <c r="K873" s="2262">
        <v>4.4999999999999998E-2</v>
      </c>
      <c r="U873" s="2267" t="s">
        <v>1252</v>
      </c>
      <c r="V873" s="2268">
        <v>44210</v>
      </c>
    </row>
    <row r="874" spans="1:23">
      <c r="A874" s="2255">
        <v>43691.291666666701</v>
      </c>
      <c r="B874" s="2255"/>
      <c r="C874" s="2259"/>
      <c r="D874" s="2259"/>
      <c r="E874" s="2259"/>
      <c r="F874" s="2259"/>
      <c r="G874" s="2259"/>
      <c r="H874" s="2262">
        <v>0.09</v>
      </c>
      <c r="I874" s="2262">
        <v>4.7E-2</v>
      </c>
      <c r="J874" s="2262">
        <v>0.11</v>
      </c>
      <c r="K874" s="2262">
        <v>4.4999999999999998E-2</v>
      </c>
      <c r="U874" s="2267" t="s">
        <v>1253</v>
      </c>
      <c r="V874" s="2268">
        <v>44209</v>
      </c>
      <c r="W874" s="2267">
        <v>14.7355</v>
      </c>
    </row>
    <row r="875" spans="1:23">
      <c r="A875" s="2255">
        <v>43684.291666666701</v>
      </c>
      <c r="B875" s="2255"/>
      <c r="C875" s="2259"/>
      <c r="D875" s="2259"/>
      <c r="E875" s="2259"/>
      <c r="F875" s="2259"/>
      <c r="G875" s="2259"/>
      <c r="H875" s="2262">
        <v>0.09</v>
      </c>
      <c r="I875" s="2262">
        <v>4.7E-2</v>
      </c>
      <c r="J875" s="2262">
        <v>0.11</v>
      </c>
      <c r="K875" s="2262">
        <v>4.4999999999999998E-2</v>
      </c>
      <c r="U875" s="2267" t="s">
        <v>1249</v>
      </c>
      <c r="V875" s="2268">
        <v>44208</v>
      </c>
      <c r="W875" s="2267">
        <v>14.6912</v>
      </c>
    </row>
    <row r="876" spans="1:23">
      <c r="A876" s="2255">
        <v>43679.291666666701</v>
      </c>
      <c r="B876" s="2255"/>
      <c r="C876" s="2259"/>
      <c r="D876" s="2259"/>
      <c r="E876" s="2259"/>
      <c r="F876" s="2259"/>
      <c r="G876" s="2259"/>
      <c r="H876" s="2262">
        <v>0.09</v>
      </c>
      <c r="I876" s="2262">
        <v>4.7E-2</v>
      </c>
      <c r="J876" s="2262">
        <v>0.11</v>
      </c>
      <c r="K876" s="2262">
        <v>4.4999999999999998E-2</v>
      </c>
      <c r="U876" s="2267" t="s">
        <v>1250</v>
      </c>
      <c r="V876" s="2268">
        <v>44207</v>
      </c>
      <c r="W876" s="2267">
        <v>14.7134</v>
      </c>
    </row>
    <row r="877" spans="1:23">
      <c r="A877" s="2255">
        <v>43670.291666666701</v>
      </c>
      <c r="B877" s="2255"/>
      <c r="C877" s="2259"/>
      <c r="D877" s="2259"/>
      <c r="E877" s="2259"/>
      <c r="F877" s="2259"/>
      <c r="G877" s="2259"/>
      <c r="H877" s="2262">
        <v>0.09</v>
      </c>
      <c r="I877" s="2262">
        <v>4.7E-2</v>
      </c>
      <c r="J877" s="2262">
        <v>0.11</v>
      </c>
      <c r="K877" s="2262">
        <v>4.4999999999999998E-2</v>
      </c>
      <c r="V877" s="2267"/>
      <c r="W877" s="2267">
        <v>14.5585</v>
      </c>
    </row>
    <row r="878" spans="1:23">
      <c r="A878" s="2255">
        <v>43668.291666666701</v>
      </c>
      <c r="B878" s="2255"/>
      <c r="C878" s="2259"/>
      <c r="D878" s="2259"/>
      <c r="E878" s="2259"/>
      <c r="F878" s="2259"/>
      <c r="G878" s="2259"/>
      <c r="H878" s="2262">
        <v>0.09</v>
      </c>
      <c r="I878" s="2262">
        <v>4.7E-2</v>
      </c>
      <c r="J878" s="2262">
        <v>0.11</v>
      </c>
      <c r="K878" s="2262">
        <v>4.4999999999999998E-2</v>
      </c>
      <c r="U878" s="2267" t="s">
        <v>1251</v>
      </c>
      <c r="V878" s="2268">
        <v>44204</v>
      </c>
      <c r="W878" s="2267">
        <v>14.315099999999999</v>
      </c>
    </row>
    <row r="879" spans="1:23">
      <c r="A879" s="2255">
        <v>43656.291666666701</v>
      </c>
      <c r="B879" s="2255"/>
      <c r="C879" s="2259"/>
      <c r="D879" s="2259"/>
      <c r="E879" s="2259"/>
      <c r="F879" s="2259"/>
      <c r="G879" s="2259"/>
      <c r="H879" s="2262">
        <v>0.09</v>
      </c>
      <c r="I879" s="2262">
        <v>4.7E-2</v>
      </c>
      <c r="J879" s="2262">
        <v>0.11</v>
      </c>
      <c r="K879" s="2262">
        <v>4.4999999999999998E-2</v>
      </c>
      <c r="U879" s="2267" t="s">
        <v>1252</v>
      </c>
      <c r="V879" s="2268">
        <v>44203</v>
      </c>
    </row>
    <row r="880" spans="1:23">
      <c r="A880" s="2255">
        <v>43654.291666666701</v>
      </c>
      <c r="B880" s="2255"/>
      <c r="C880" s="2259"/>
      <c r="D880" s="2259"/>
      <c r="E880" s="2259"/>
      <c r="F880" s="2259"/>
      <c r="G880" s="2259"/>
      <c r="H880" s="2262">
        <v>0.09</v>
      </c>
      <c r="I880" s="2262">
        <v>4.7E-2</v>
      </c>
      <c r="J880" s="2262">
        <v>0.11</v>
      </c>
      <c r="K880" s="2262">
        <v>4.4999999999999998E-2</v>
      </c>
      <c r="U880" s="2267" t="s">
        <v>1253</v>
      </c>
      <c r="V880" s="2268">
        <v>44202</v>
      </c>
      <c r="W880" s="2267">
        <v>14.0054</v>
      </c>
    </row>
    <row r="881" spans="1:23">
      <c r="A881" s="2255">
        <v>43644.291666666701</v>
      </c>
      <c r="B881" s="2255"/>
      <c r="C881" s="2259"/>
      <c r="D881" s="2259"/>
      <c r="E881" s="2259"/>
      <c r="F881" s="2259"/>
      <c r="G881" s="2259"/>
      <c r="H881" s="2262">
        <v>0.09</v>
      </c>
      <c r="I881" s="2262">
        <v>4.7E-2</v>
      </c>
      <c r="J881" s="2262">
        <v>0.11</v>
      </c>
      <c r="K881" s="2262">
        <v>4.4999999999999998E-2</v>
      </c>
      <c r="U881" s="2267" t="s">
        <v>1249</v>
      </c>
      <c r="V881" s="2268">
        <v>44201</v>
      </c>
      <c r="W881" s="2267">
        <v>13.8284</v>
      </c>
    </row>
    <row r="882" spans="1:23">
      <c r="A882" s="2255">
        <v>43640.291666666701</v>
      </c>
      <c r="B882" s="2255"/>
      <c r="C882" s="2259"/>
      <c r="D882" s="2259"/>
      <c r="E882" s="2259"/>
      <c r="F882" s="2259"/>
      <c r="G882" s="2259"/>
      <c r="H882" s="2262">
        <v>0.09</v>
      </c>
      <c r="I882" s="2262">
        <v>4.7E-2</v>
      </c>
      <c r="J882" s="2262">
        <v>0.11</v>
      </c>
      <c r="K882" s="2262">
        <v>4.4999999999999998E-2</v>
      </c>
      <c r="U882" s="2267" t="s">
        <v>1250</v>
      </c>
      <c r="V882" s="2268">
        <v>44200</v>
      </c>
      <c r="W882" s="2267">
        <v>13.8062</v>
      </c>
    </row>
    <row r="883" spans="1:23">
      <c r="A883" s="2255">
        <v>43629.291666666701</v>
      </c>
      <c r="B883" s="2255"/>
      <c r="C883" s="2259"/>
      <c r="D883" s="2259"/>
      <c r="E883" s="2259"/>
      <c r="F883" s="2259"/>
      <c r="G883" s="2259"/>
      <c r="H883" s="2262">
        <v>0.09</v>
      </c>
      <c r="I883" s="2262">
        <v>4.7E-2</v>
      </c>
      <c r="J883" s="2262">
        <v>0.11</v>
      </c>
      <c r="K883" s="2262">
        <v>4.4999999999999998E-2</v>
      </c>
      <c r="V883" s="2267"/>
      <c r="W883" s="2267">
        <v>13.8726</v>
      </c>
    </row>
    <row r="884" spans="1:23">
      <c r="A884" s="2255">
        <v>43622.291666666701</v>
      </c>
      <c r="B884" s="2255"/>
      <c r="C884" s="2259"/>
      <c r="D884" s="2259"/>
      <c r="E884" s="2259"/>
      <c r="F884" s="2259"/>
      <c r="G884" s="2259"/>
      <c r="H884" s="2262">
        <v>0.09</v>
      </c>
      <c r="I884" s="2262">
        <v>4.7E-2</v>
      </c>
      <c r="J884" s="2262">
        <v>0.11</v>
      </c>
      <c r="K884" s="2262">
        <v>4.4999999999999998E-2</v>
      </c>
      <c r="U884" s="2267" t="s">
        <v>1252</v>
      </c>
      <c r="V884" s="2268">
        <v>44196</v>
      </c>
      <c r="W884" s="2267">
        <v>13.3195</v>
      </c>
    </row>
    <row r="885" spans="1:23">
      <c r="A885" s="2255">
        <v>43614.291666666701</v>
      </c>
      <c r="B885" s="2255"/>
      <c r="C885" s="2259"/>
      <c r="D885" s="2259"/>
      <c r="E885" s="2259"/>
      <c r="F885" s="2259"/>
      <c r="G885" s="2259"/>
      <c r="H885" s="2262">
        <v>0.09</v>
      </c>
      <c r="I885" s="2262">
        <v>4.7E-2</v>
      </c>
      <c r="J885" s="2262">
        <v>0.11</v>
      </c>
      <c r="K885" s="2262">
        <v>4.4999999999999998E-2</v>
      </c>
      <c r="U885" s="2267" t="s">
        <v>1253</v>
      </c>
      <c r="V885" s="2268">
        <v>44195</v>
      </c>
    </row>
    <row r="886" spans="1:23">
      <c r="A886" s="2255">
        <v>43574.291666666701</v>
      </c>
      <c r="B886" s="2255"/>
      <c r="C886" s="2259"/>
      <c r="D886" s="2259"/>
      <c r="E886" s="2259"/>
      <c r="F886" s="2259"/>
      <c r="G886" s="2259"/>
      <c r="H886" s="2262">
        <v>0.09</v>
      </c>
      <c r="I886" s="2262">
        <v>4.7E-2</v>
      </c>
      <c r="J886" s="2262">
        <v>0.11</v>
      </c>
      <c r="K886" s="2262">
        <v>4.4999999999999998E-2</v>
      </c>
      <c r="U886" s="2267" t="s">
        <v>1249</v>
      </c>
      <c r="V886" s="2268">
        <v>44194</v>
      </c>
      <c r="W886" s="2267">
        <v>13.0761</v>
      </c>
    </row>
    <row r="887" spans="1:23">
      <c r="A887" s="2255">
        <v>43564.291666666701</v>
      </c>
      <c r="B887" s="2255"/>
      <c r="C887" s="2259"/>
      <c r="D887" s="2259"/>
      <c r="E887" s="2259"/>
      <c r="F887" s="2259"/>
      <c r="G887" s="2259"/>
      <c r="H887" s="2262">
        <v>0.09</v>
      </c>
      <c r="I887" s="2262">
        <v>4.7E-2</v>
      </c>
      <c r="J887" s="2262">
        <v>0.11</v>
      </c>
      <c r="K887" s="2262">
        <v>4.4999999999999998E-2</v>
      </c>
      <c r="U887" s="2267" t="s">
        <v>1250</v>
      </c>
      <c r="V887" s="2268">
        <v>44193</v>
      </c>
      <c r="W887" s="2267">
        <v>13.7155</v>
      </c>
    </row>
    <row r="888" spans="1:23">
      <c r="A888" s="2255">
        <v>43558.291666666701</v>
      </c>
      <c r="B888" s="2255"/>
      <c r="C888" s="2259"/>
      <c r="D888" s="2259"/>
      <c r="E888" s="2259"/>
      <c r="F888" s="2259"/>
      <c r="G888" s="2259"/>
      <c r="H888" s="2262">
        <v>0.09</v>
      </c>
      <c r="I888" s="2262">
        <v>4.7E-2</v>
      </c>
      <c r="J888" s="2262">
        <v>0.11</v>
      </c>
      <c r="K888" s="2262">
        <v>4.4999999999999998E-2</v>
      </c>
      <c r="V888" s="2267"/>
      <c r="W888" s="2267">
        <v>13.833500000000001</v>
      </c>
    </row>
    <row r="889" spans="1:23">
      <c r="A889" s="2255">
        <v>43551.291666666701</v>
      </c>
      <c r="B889" s="2255"/>
      <c r="C889" s="2259"/>
      <c r="D889" s="2259"/>
      <c r="E889" s="2259"/>
      <c r="F889" s="2259"/>
      <c r="G889" s="2259"/>
      <c r="H889" s="2262">
        <v>0.09</v>
      </c>
      <c r="I889" s="2262">
        <v>4.7E-2</v>
      </c>
      <c r="J889" s="2262">
        <v>0.11</v>
      </c>
      <c r="K889" s="2262">
        <v>4.4999999999999998E-2</v>
      </c>
      <c r="U889" s="2267" t="s">
        <v>1251</v>
      </c>
      <c r="V889" s="2268">
        <v>44190</v>
      </c>
      <c r="W889" s="2267">
        <v>13.6683</v>
      </c>
    </row>
    <row r="890" spans="1:23">
      <c r="A890" s="2255">
        <v>43545.291666666701</v>
      </c>
      <c r="B890" s="2255"/>
      <c r="C890" s="2259"/>
      <c r="D890" s="2259"/>
      <c r="E890" s="2259"/>
      <c r="F890" s="2259"/>
      <c r="G890" s="2259"/>
      <c r="H890" s="2262">
        <v>0.09</v>
      </c>
      <c r="I890" s="2262">
        <v>4.7E-2</v>
      </c>
      <c r="J890" s="2262">
        <v>0.11</v>
      </c>
      <c r="K890" s="2262">
        <v>4.4999999999999998E-2</v>
      </c>
      <c r="U890" s="2267" t="s">
        <v>1252</v>
      </c>
      <c r="V890" s="2268">
        <v>44189</v>
      </c>
    </row>
    <row r="891" spans="1:23">
      <c r="A891" s="2255">
        <v>43538.291666666701</v>
      </c>
      <c r="B891" s="2255"/>
      <c r="C891" s="2259"/>
      <c r="D891" s="2259"/>
      <c r="E891" s="2259"/>
      <c r="F891" s="2259"/>
      <c r="G891" s="2259"/>
      <c r="H891" s="2262">
        <v>0.09</v>
      </c>
      <c r="I891" s="2262">
        <v>4.7E-2</v>
      </c>
      <c r="J891" s="2262">
        <v>0.11</v>
      </c>
      <c r="K891" s="2262">
        <v>4.4999999999999998E-2</v>
      </c>
      <c r="U891" s="2267" t="s">
        <v>1253</v>
      </c>
      <c r="V891" s="2268">
        <v>44188</v>
      </c>
      <c r="W891" s="2267">
        <v>13.5975</v>
      </c>
    </row>
    <row r="892" spans="1:23">
      <c r="A892" s="2255">
        <v>43535.291666666701</v>
      </c>
      <c r="B892" s="2255"/>
      <c r="C892" s="2259"/>
      <c r="D892" s="2259"/>
      <c r="E892" s="2259"/>
      <c r="F892" s="2259"/>
      <c r="G892" s="2259"/>
      <c r="H892" s="2262">
        <v>0.09</v>
      </c>
      <c r="I892" s="2262">
        <v>4.7E-2</v>
      </c>
      <c r="J892" s="2262">
        <v>0.11</v>
      </c>
      <c r="K892" s="2262">
        <v>4.4999999999999998E-2</v>
      </c>
      <c r="U892" s="2267" t="s">
        <v>1249</v>
      </c>
      <c r="V892" s="2268">
        <v>44187</v>
      </c>
      <c r="W892" s="2267">
        <v>13.4558</v>
      </c>
    </row>
    <row r="893" spans="1:23">
      <c r="A893" s="2255">
        <v>43523.291666666701</v>
      </c>
      <c r="B893" s="2255"/>
      <c r="C893" s="2259"/>
      <c r="D893" s="2259"/>
      <c r="E893" s="2259"/>
      <c r="F893" s="2259"/>
      <c r="G893" s="2259"/>
      <c r="H893" s="2262">
        <v>0.09</v>
      </c>
      <c r="I893" s="2262">
        <v>4.7E-2</v>
      </c>
      <c r="J893" s="2262">
        <v>0.11</v>
      </c>
      <c r="K893" s="2262">
        <v>4.4999999999999998E-2</v>
      </c>
      <c r="U893" s="2267" t="s">
        <v>1250</v>
      </c>
      <c r="V893" s="2268">
        <v>44186</v>
      </c>
      <c r="W893" s="2267">
        <v>13.5738</v>
      </c>
    </row>
    <row r="894" spans="1:23">
      <c r="A894" s="2255">
        <v>43509.291666666701</v>
      </c>
      <c r="B894" s="2255"/>
      <c r="C894" s="2259"/>
      <c r="D894" s="2259"/>
      <c r="E894" s="2259"/>
      <c r="F894" s="2259"/>
      <c r="G894" s="2259"/>
      <c r="H894" s="2262">
        <v>0.09</v>
      </c>
      <c r="I894" s="2262">
        <v>4.7E-2</v>
      </c>
      <c r="J894" s="2262">
        <v>0.11</v>
      </c>
      <c r="K894" s="2262">
        <v>4.4999999999999998E-2</v>
      </c>
      <c r="V894" s="2267"/>
      <c r="W894" s="2267">
        <v>13.7155</v>
      </c>
    </row>
    <row r="895" spans="1:23">
      <c r="A895" s="2255">
        <v>43496.291666666701</v>
      </c>
      <c r="B895" s="2255"/>
      <c r="C895" s="2259"/>
      <c r="D895" s="2259"/>
      <c r="E895" s="2259"/>
      <c r="F895" s="2259"/>
      <c r="G895" s="2259"/>
      <c r="H895" s="2262">
        <v>0.09</v>
      </c>
      <c r="I895" s="2262">
        <v>4.7E-2</v>
      </c>
      <c r="J895" s="2262">
        <v>0.11</v>
      </c>
      <c r="K895" s="2262">
        <v>4.4999999999999998E-2</v>
      </c>
      <c r="U895" s="2267" t="s">
        <v>1251</v>
      </c>
      <c r="V895" s="2268">
        <v>44183</v>
      </c>
      <c r="W895" s="2267">
        <v>13.5738</v>
      </c>
    </row>
    <row r="896" spans="1:23">
      <c r="A896" s="2255">
        <v>43490.291666666701</v>
      </c>
      <c r="B896" s="2255"/>
      <c r="C896" s="2259"/>
      <c r="D896" s="2259"/>
      <c r="E896" s="2259"/>
      <c r="F896" s="2259"/>
      <c r="G896" s="2259"/>
      <c r="H896" s="2262">
        <v>0.09</v>
      </c>
      <c r="I896" s="2262">
        <v>4.7E-2</v>
      </c>
      <c r="J896" s="2262">
        <v>0.11</v>
      </c>
      <c r="K896" s="2262">
        <v>4.4999999999999998E-2</v>
      </c>
      <c r="U896" s="2267" t="s">
        <v>1252</v>
      </c>
      <c r="V896" s="2268">
        <v>44182</v>
      </c>
    </row>
    <row r="897" spans="1:23">
      <c r="A897" s="2255">
        <v>43488.291666666701</v>
      </c>
      <c r="B897" s="2255"/>
      <c r="C897" s="2259"/>
      <c r="D897" s="2259"/>
      <c r="E897" s="2259"/>
      <c r="F897" s="2259"/>
      <c r="G897" s="2259"/>
      <c r="H897" s="2262">
        <v>0.09</v>
      </c>
      <c r="I897" s="2262">
        <v>4.7E-2</v>
      </c>
      <c r="J897" s="2262">
        <v>0.11</v>
      </c>
      <c r="K897" s="2262">
        <v>4.4999999999999998E-2</v>
      </c>
      <c r="U897" s="2267" t="s">
        <v>1253</v>
      </c>
      <c r="V897" s="2268">
        <v>44181</v>
      </c>
      <c r="W897" s="2267">
        <v>13.4322</v>
      </c>
    </row>
    <row r="898" spans="1:23">
      <c r="A898" s="2255">
        <v>43482.291666666701</v>
      </c>
      <c r="B898" s="2255"/>
      <c r="C898" s="2259"/>
      <c r="D898" s="2259"/>
      <c r="E898" s="2259"/>
      <c r="F898" s="2259"/>
      <c r="G898" s="2259"/>
      <c r="H898" s="2262">
        <v>0.09</v>
      </c>
      <c r="I898" s="2262">
        <v>4.7E-2</v>
      </c>
      <c r="J898" s="2262">
        <v>0.11</v>
      </c>
      <c r="K898" s="2262">
        <v>4.4600000000000001E-2</v>
      </c>
      <c r="U898" s="2267" t="s">
        <v>1249</v>
      </c>
      <c r="V898" s="2268">
        <v>44180</v>
      </c>
      <c r="W898" s="2267">
        <v>13.3378</v>
      </c>
    </row>
    <row r="899" spans="1:23">
      <c r="A899" s="2255">
        <v>43474.291666666701</v>
      </c>
      <c r="B899" s="2255"/>
      <c r="C899" s="2259"/>
      <c r="D899" s="2259"/>
      <c r="E899" s="2259"/>
      <c r="F899" s="2259"/>
      <c r="G899" s="2259"/>
      <c r="H899" s="2262">
        <v>0.09</v>
      </c>
      <c r="I899" s="2262">
        <v>4.7E-2</v>
      </c>
      <c r="J899" s="2262">
        <v>0.11</v>
      </c>
      <c r="K899" s="2262">
        <v>4.4999999999999998E-2</v>
      </c>
      <c r="U899" s="2267" t="s">
        <v>1250</v>
      </c>
      <c r="V899" s="2268">
        <v>44179</v>
      </c>
      <c r="W899" s="2267">
        <v>13.4794</v>
      </c>
    </row>
    <row r="900" spans="1:23">
      <c r="A900" s="2255">
        <v>43462.291666666701</v>
      </c>
      <c r="B900" s="2255"/>
      <c r="C900" s="2259"/>
      <c r="D900" s="2259"/>
      <c r="E900" s="2259"/>
      <c r="F900" s="2259"/>
      <c r="G900" s="2259"/>
      <c r="H900" s="2262">
        <v>0.09</v>
      </c>
      <c r="I900" s="2262">
        <v>4.7E-2</v>
      </c>
      <c r="J900" s="2262">
        <v>0.11</v>
      </c>
      <c r="K900" s="2262">
        <v>4.4999999999999998E-2</v>
      </c>
      <c r="V900" s="2267"/>
      <c r="W900" s="2267">
        <v>13.385</v>
      </c>
    </row>
    <row r="901" spans="1:23">
      <c r="A901" s="2255">
        <v>43454.291666666701</v>
      </c>
      <c r="B901" s="2255"/>
      <c r="C901" s="2259"/>
      <c r="D901" s="2259"/>
      <c r="E901" s="2259"/>
      <c r="F901" s="2259"/>
      <c r="G901" s="2259"/>
      <c r="H901" s="2262">
        <v>0.09</v>
      </c>
      <c r="I901" s="2262">
        <v>4.7E-2</v>
      </c>
      <c r="J901" s="2262">
        <v>0.11</v>
      </c>
      <c r="K901" s="2262">
        <v>4.4999999999999998E-2</v>
      </c>
      <c r="U901" s="2267" t="s">
        <v>1251</v>
      </c>
      <c r="V901" s="2268">
        <v>44176</v>
      </c>
      <c r="W901" s="2267">
        <v>13.503</v>
      </c>
    </row>
    <row r="902" spans="1:23">
      <c r="A902" s="2255">
        <v>43446.291666666701</v>
      </c>
      <c r="B902" s="2255"/>
      <c r="C902" s="2259"/>
      <c r="D902" s="2259"/>
      <c r="E902" s="2259"/>
      <c r="F902" s="2259"/>
      <c r="G902" s="2259"/>
      <c r="H902" s="2262">
        <v>0.09</v>
      </c>
      <c r="I902" s="2262">
        <v>4.7E-2</v>
      </c>
      <c r="J902" s="2262">
        <v>0.11</v>
      </c>
      <c r="K902" s="2262">
        <v>4.2999999999999997E-2</v>
      </c>
      <c r="U902" s="2267" t="s">
        <v>1252</v>
      </c>
      <c r="V902" s="2268">
        <v>44175</v>
      </c>
    </row>
    <row r="903" spans="1:23">
      <c r="A903" s="2255">
        <v>43438.291666666701</v>
      </c>
      <c r="B903" s="2255"/>
      <c r="C903" s="2259"/>
      <c r="D903" s="2259"/>
      <c r="E903" s="2259"/>
      <c r="F903" s="2259"/>
      <c r="G903" s="2259"/>
      <c r="H903" s="2262">
        <v>0.09</v>
      </c>
      <c r="I903" s="2262">
        <v>4.7E-2</v>
      </c>
      <c r="J903" s="2262">
        <v>0.11</v>
      </c>
      <c r="K903" s="2262">
        <v>4.2999999999999997E-2</v>
      </c>
      <c r="U903" s="2267" t="s">
        <v>1253</v>
      </c>
      <c r="V903" s="2268">
        <v>44174</v>
      </c>
      <c r="W903" s="2267">
        <v>13.4558</v>
      </c>
    </row>
    <row r="904" spans="1:23">
      <c r="A904" s="2255">
        <v>43426.291666666701</v>
      </c>
      <c r="B904" s="2255"/>
      <c r="C904" s="2259"/>
      <c r="D904" s="2259"/>
      <c r="E904" s="2259"/>
      <c r="F904" s="2259"/>
      <c r="G904" s="2259"/>
      <c r="H904" s="2262">
        <v>0.09</v>
      </c>
      <c r="I904" s="2262">
        <v>4.7E-2</v>
      </c>
      <c r="J904" s="2262">
        <v>0.11</v>
      </c>
      <c r="K904" s="2262">
        <v>4.2999999999999997E-2</v>
      </c>
      <c r="U904" s="2267" t="s">
        <v>1249</v>
      </c>
      <c r="V904" s="2268">
        <v>44173</v>
      </c>
      <c r="W904" s="2267">
        <v>13.3378</v>
      </c>
    </row>
    <row r="905" spans="1:23">
      <c r="A905" s="2255">
        <v>43424.291666666701</v>
      </c>
      <c r="B905" s="2255"/>
      <c r="C905" s="2259"/>
      <c r="D905" s="2259"/>
      <c r="E905" s="2259"/>
      <c r="F905" s="2259"/>
      <c r="G905" s="2259"/>
      <c r="H905" s="2262">
        <v>0.09</v>
      </c>
      <c r="I905" s="2262">
        <v>4.7E-2</v>
      </c>
      <c r="J905" s="2262">
        <v>0.11</v>
      </c>
      <c r="K905" s="2262">
        <v>4.2999999999999997E-2</v>
      </c>
      <c r="U905" s="2267" t="s">
        <v>1250</v>
      </c>
      <c r="V905" s="2268">
        <v>44172</v>
      </c>
      <c r="W905" s="2267">
        <v>13.5738</v>
      </c>
    </row>
    <row r="906" spans="1:23">
      <c r="A906" s="2255">
        <v>43405.291666666701</v>
      </c>
      <c r="B906" s="2255"/>
      <c r="C906" s="2259"/>
      <c r="D906" s="2259"/>
      <c r="E906" s="2259"/>
      <c r="F906" s="2259"/>
      <c r="G906" s="2259"/>
      <c r="H906" s="2262">
        <v>0.09</v>
      </c>
      <c r="I906" s="2262">
        <v>4.7E-2</v>
      </c>
      <c r="J906" s="2262">
        <v>0.11</v>
      </c>
      <c r="K906" s="2262">
        <v>4.2999999999999997E-2</v>
      </c>
      <c r="V906" s="2267"/>
      <c r="W906" s="2267">
        <v>13.266999999999999</v>
      </c>
    </row>
    <row r="907" spans="1:23">
      <c r="A907" s="2255">
        <v>43397.291666666701</v>
      </c>
      <c r="B907" s="2255"/>
      <c r="C907" s="2259"/>
      <c r="D907" s="2259"/>
      <c r="E907" s="2259"/>
      <c r="F907" s="2259"/>
      <c r="G907" s="2259"/>
      <c r="H907" s="2262">
        <v>0.09</v>
      </c>
      <c r="I907" s="2262">
        <v>4.7E-2</v>
      </c>
      <c r="J907" s="2262">
        <v>0.11</v>
      </c>
      <c r="K907" s="2262">
        <v>4.2999999999999997E-2</v>
      </c>
      <c r="U907" s="2267" t="s">
        <v>1251</v>
      </c>
      <c r="V907" s="2268">
        <v>44169</v>
      </c>
      <c r="W907" s="2267">
        <v>13.148899999999999</v>
      </c>
    </row>
    <row r="908" spans="1:23">
      <c r="A908" s="2255">
        <v>43385.291666666701</v>
      </c>
      <c r="B908" s="2255"/>
      <c r="C908" s="2259"/>
      <c r="D908" s="2259"/>
      <c r="E908" s="2259"/>
      <c r="F908" s="2259"/>
      <c r="G908" s="2259"/>
      <c r="H908" s="2262">
        <v>0.09</v>
      </c>
      <c r="I908" s="2262">
        <v>4.7E-2</v>
      </c>
      <c r="J908" s="2262">
        <v>0.11</v>
      </c>
      <c r="K908" s="2262">
        <v>4.2999999999999997E-2</v>
      </c>
      <c r="U908" s="2267" t="s">
        <v>1252</v>
      </c>
      <c r="V908" s="2268">
        <v>44168</v>
      </c>
    </row>
    <row r="909" spans="1:23">
      <c r="A909" s="2255">
        <v>43376.291666666701</v>
      </c>
      <c r="B909" s="2255"/>
      <c r="C909" s="2259"/>
      <c r="D909" s="2259"/>
      <c r="E909" s="2259"/>
      <c r="F909" s="2259"/>
      <c r="G909" s="2259"/>
      <c r="H909" s="2262">
        <v>0.09</v>
      </c>
      <c r="I909" s="2262">
        <v>4.7E-2</v>
      </c>
      <c r="J909" s="2262">
        <v>0.11</v>
      </c>
      <c r="K909" s="2262">
        <v>4.2999999999999997E-2</v>
      </c>
      <c r="U909" s="2267" t="s">
        <v>1253</v>
      </c>
      <c r="V909" s="2268">
        <v>44167</v>
      </c>
      <c r="W909" s="2267">
        <v>13.148899999999999</v>
      </c>
    </row>
    <row r="910" spans="1:23">
      <c r="A910" s="2255">
        <v>43369.291666666701</v>
      </c>
      <c r="B910" s="2255"/>
      <c r="C910" s="2259"/>
      <c r="D910" s="2259"/>
      <c r="E910" s="2259"/>
      <c r="F910" s="2259"/>
      <c r="G910" s="2259"/>
      <c r="H910" s="2262">
        <v>0.09</v>
      </c>
      <c r="I910" s="2262">
        <v>4.7E-2</v>
      </c>
      <c r="J910" s="2262">
        <v>0.11</v>
      </c>
      <c r="K910" s="2262">
        <v>4.2999999999999997E-2</v>
      </c>
      <c r="U910" s="2267" t="s">
        <v>1249</v>
      </c>
      <c r="V910" s="2268">
        <v>44166</v>
      </c>
      <c r="W910" s="2267">
        <v>13.125299999999999</v>
      </c>
    </row>
    <row r="911" spans="1:23">
      <c r="A911" s="2255">
        <v>43361.291666666701</v>
      </c>
      <c r="B911" s="2255"/>
      <c r="C911" s="2259"/>
      <c r="D911" s="2259"/>
      <c r="E911" s="2259"/>
      <c r="F911" s="2259"/>
      <c r="G911" s="2259"/>
      <c r="H911" s="2262">
        <v>0.09</v>
      </c>
      <c r="I911" s="2262">
        <v>4.7E-2</v>
      </c>
      <c r="J911" s="2262">
        <v>0.11</v>
      </c>
      <c r="K911" s="2262">
        <v>4.2999999999999997E-2</v>
      </c>
      <c r="U911" s="2267" t="s">
        <v>1250</v>
      </c>
      <c r="V911" s="2268">
        <v>44165</v>
      </c>
      <c r="W911" s="2267">
        <v>13.125299999999999</v>
      </c>
    </row>
    <row r="912" spans="1:23">
      <c r="A912" s="2255">
        <v>43350.291666666701</v>
      </c>
      <c r="B912" s="2255"/>
      <c r="C912" s="2259"/>
      <c r="D912" s="2259"/>
      <c r="E912" s="2259"/>
      <c r="F912" s="2259"/>
      <c r="G912" s="2259"/>
      <c r="H912" s="2262">
        <v>0.09</v>
      </c>
      <c r="I912" s="2262">
        <v>4.7E-2</v>
      </c>
      <c r="J912" s="2262">
        <v>0.11</v>
      </c>
      <c r="K912" s="2262">
        <v>4.2999999999999997E-2</v>
      </c>
      <c r="V912" s="2267"/>
      <c r="W912" s="2267">
        <v>13.030900000000001</v>
      </c>
    </row>
    <row r="913" spans="1:23">
      <c r="A913" s="2255">
        <v>43341.291666666701</v>
      </c>
      <c r="B913" s="2255"/>
      <c r="C913" s="2259"/>
      <c r="D913" s="2259"/>
      <c r="E913" s="2259"/>
      <c r="F913" s="2259"/>
      <c r="G913" s="2259"/>
      <c r="H913" s="2262">
        <v>0.09</v>
      </c>
      <c r="I913" s="2262">
        <v>4.7E-2</v>
      </c>
      <c r="J913" s="2262">
        <v>0.11</v>
      </c>
      <c r="K913" s="2262">
        <v>4.2999999999999997E-2</v>
      </c>
      <c r="U913" s="2267">
        <v>13.078099999999999</v>
      </c>
      <c r="V913" s="2267"/>
      <c r="W913" s="2267">
        <v>13.078099999999999</v>
      </c>
    </row>
    <row r="914" spans="1:23">
      <c r="A914" s="2255">
        <v>43335.291666666701</v>
      </c>
      <c r="B914" s="2255"/>
      <c r="C914" s="2259"/>
      <c r="D914" s="2259"/>
      <c r="E914" s="2259"/>
      <c r="F914" s="2259"/>
      <c r="G914" s="2259"/>
      <c r="H914" s="2262">
        <v>0.09</v>
      </c>
      <c r="I914" s="2262">
        <v>4.7E-2</v>
      </c>
      <c r="J914" s="2262">
        <v>0.11</v>
      </c>
      <c r="K914" s="2262">
        <v>4.2999999999999997E-2</v>
      </c>
      <c r="V914" s="2267"/>
    </row>
    <row r="915" spans="1:23">
      <c r="A915" s="2255">
        <v>43326.291666666701</v>
      </c>
      <c r="B915" s="2255"/>
      <c r="C915" s="2259"/>
      <c r="D915" s="2259"/>
      <c r="E915" s="2259"/>
      <c r="F915" s="2259"/>
      <c r="G915" s="2259"/>
      <c r="H915" s="2262">
        <v>0.09</v>
      </c>
      <c r="I915" s="2262">
        <v>4.7E-2</v>
      </c>
      <c r="J915" s="2262">
        <v>0.11</v>
      </c>
      <c r="K915" s="2262">
        <v>4.2999999999999997E-2</v>
      </c>
      <c r="V915" s="2267"/>
    </row>
    <row r="916" spans="1:23">
      <c r="A916" s="2255">
        <v>43314.291666666701</v>
      </c>
      <c r="B916" s="2255"/>
      <c r="C916" s="2259"/>
      <c r="D916" s="2259"/>
      <c r="E916" s="2259"/>
      <c r="F916" s="2259"/>
      <c r="G916" s="2259"/>
      <c r="H916" s="2262">
        <v>0.09</v>
      </c>
      <c r="I916" s="2262">
        <v>4.7E-2</v>
      </c>
      <c r="J916" s="2262">
        <v>0.11</v>
      </c>
      <c r="K916" s="2262">
        <v>4.2999999999999997E-2</v>
      </c>
      <c r="V916" s="2267"/>
    </row>
    <row r="917" spans="1:23">
      <c r="A917" s="2255">
        <v>43308.291666666701</v>
      </c>
      <c r="B917" s="2255"/>
      <c r="C917" s="2259"/>
      <c r="D917" s="2259"/>
      <c r="E917" s="2259"/>
      <c r="F917" s="2259"/>
      <c r="G917" s="2259"/>
      <c r="H917" s="2262">
        <v>0.09</v>
      </c>
      <c r="I917" s="2262">
        <v>4.7E-2</v>
      </c>
      <c r="J917" s="2262">
        <v>0.11</v>
      </c>
      <c r="K917" s="2262">
        <v>4.2999999999999997E-2</v>
      </c>
      <c r="V917" s="2267"/>
    </row>
    <row r="918" spans="1:23">
      <c r="A918" s="2255">
        <v>43300.291666666701</v>
      </c>
      <c r="B918" s="2255"/>
      <c r="C918" s="2259"/>
      <c r="D918" s="2259"/>
      <c r="E918" s="2259"/>
      <c r="F918" s="2259"/>
      <c r="G918" s="2259"/>
      <c r="H918" s="2262">
        <v>0.09</v>
      </c>
      <c r="I918" s="2262">
        <v>4.7E-2</v>
      </c>
      <c r="J918" s="2262">
        <v>0.11</v>
      </c>
      <c r="K918" s="2262">
        <v>4.2999999999999997E-2</v>
      </c>
      <c r="V918" s="2267"/>
    </row>
    <row r="919" spans="1:23">
      <c r="A919" s="2255">
        <v>43297.291666666701</v>
      </c>
      <c r="B919" s="2255"/>
      <c r="C919" s="2259"/>
      <c r="D919" s="2259"/>
      <c r="E919" s="2259"/>
      <c r="F919" s="2259"/>
      <c r="G919" s="2259"/>
      <c r="H919" s="2262">
        <v>0.09</v>
      </c>
      <c r="I919" s="2262">
        <v>4.7E-2</v>
      </c>
      <c r="J919" s="2262">
        <v>0.11</v>
      </c>
      <c r="K919" s="2262">
        <v>4.2999999999999997E-2</v>
      </c>
      <c r="V919" s="2267"/>
    </row>
    <row r="920" spans="1:23">
      <c r="A920" s="2255">
        <v>43290.291666666701</v>
      </c>
      <c r="B920" s="2255"/>
      <c r="C920" s="2259"/>
      <c r="D920" s="2259"/>
      <c r="E920" s="2259"/>
      <c r="F920" s="2259"/>
      <c r="G920" s="2259"/>
      <c r="H920" s="2262">
        <v>0.09</v>
      </c>
      <c r="I920" s="2262">
        <v>4.7E-2</v>
      </c>
      <c r="J920" s="2262">
        <v>0.11</v>
      </c>
      <c r="K920" s="2262">
        <v>4.2999999999999997E-2</v>
      </c>
      <c r="V920" s="2267"/>
    </row>
    <row r="921" spans="1:23">
      <c r="A921" s="2255">
        <v>43283.291666666701</v>
      </c>
      <c r="B921" s="2255"/>
      <c r="C921" s="2259"/>
      <c r="D921" s="2259"/>
      <c r="E921" s="2259"/>
      <c r="F921" s="2259"/>
      <c r="G921" s="2259"/>
      <c r="H921" s="2262">
        <v>0.09</v>
      </c>
      <c r="I921" s="2262">
        <v>4.7E-2</v>
      </c>
      <c r="J921" s="2262">
        <v>0.11</v>
      </c>
      <c r="K921" s="2262">
        <v>4.2999999999999997E-2</v>
      </c>
      <c r="V921" s="2267"/>
    </row>
    <row r="922" spans="1:23">
      <c r="A922" s="2255">
        <v>43276.291666666701</v>
      </c>
      <c r="B922" s="2255"/>
      <c r="C922" s="2259"/>
      <c r="D922" s="2259"/>
      <c r="E922" s="2259"/>
      <c r="F922" s="2259"/>
      <c r="G922" s="2259"/>
      <c r="H922" s="2262">
        <v>0.09</v>
      </c>
      <c r="I922" s="2262">
        <v>4.7E-2</v>
      </c>
      <c r="J922" s="2262">
        <v>0.11</v>
      </c>
      <c r="K922" s="2262">
        <v>4.2999999999999997E-2</v>
      </c>
      <c r="V922" s="2267"/>
    </row>
    <row r="923" spans="1:23">
      <c r="A923" s="2255">
        <v>43266.291666666701</v>
      </c>
      <c r="B923" s="2255"/>
      <c r="C923" s="2259"/>
      <c r="D923" s="2259"/>
      <c r="E923" s="2259"/>
      <c r="F923" s="2259"/>
      <c r="G923" s="2259"/>
      <c r="H923" s="2262">
        <v>0.09</v>
      </c>
      <c r="I923" s="2262">
        <v>4.7E-2</v>
      </c>
      <c r="J923" s="2262">
        <v>0.11</v>
      </c>
      <c r="K923" s="2262">
        <v>4.2999999999999997E-2</v>
      </c>
      <c r="V923" s="2267"/>
    </row>
    <row r="924" spans="1:23">
      <c r="A924" s="2255">
        <v>43258.291666666701</v>
      </c>
      <c r="B924" s="2255"/>
      <c r="C924" s="2259"/>
      <c r="D924" s="2259"/>
      <c r="E924" s="2259"/>
      <c r="F924" s="2259"/>
      <c r="G924" s="2259"/>
      <c r="H924" s="2262">
        <v>0.09</v>
      </c>
      <c r="I924" s="2262">
        <v>4.7E-2</v>
      </c>
      <c r="J924" s="2262">
        <v>0.11</v>
      </c>
      <c r="K924" s="2262">
        <v>4.2999999999999997E-2</v>
      </c>
      <c r="V924" s="2267"/>
    </row>
    <row r="925" spans="1:23">
      <c r="A925" s="2255">
        <v>43245.291666666701</v>
      </c>
      <c r="B925" s="2255"/>
      <c r="C925" s="2259"/>
      <c r="D925" s="2259"/>
      <c r="E925" s="2259"/>
      <c r="F925" s="2259"/>
      <c r="G925" s="2259"/>
      <c r="H925" s="2262">
        <v>0.09</v>
      </c>
      <c r="I925" s="2262">
        <v>4.7E-2</v>
      </c>
      <c r="J925" s="2262">
        <v>0.11</v>
      </c>
      <c r="K925" s="2262">
        <v>4.2999999999999997E-2</v>
      </c>
      <c r="V925" s="2267"/>
    </row>
    <row r="926" spans="1:23">
      <c r="A926" s="2255">
        <v>43238.291666666701</v>
      </c>
      <c r="B926" s="2255"/>
      <c r="C926" s="2259"/>
      <c r="D926" s="2259"/>
      <c r="E926" s="2259"/>
      <c r="F926" s="2259"/>
      <c r="G926" s="2259"/>
      <c r="H926" s="2262">
        <v>0.09</v>
      </c>
      <c r="I926" s="2262">
        <v>4.7E-2</v>
      </c>
      <c r="J926" s="2262">
        <v>0.11</v>
      </c>
      <c r="K926" s="2262">
        <v>4.2999999999999997E-2</v>
      </c>
      <c r="V926" s="2267"/>
    </row>
    <row r="927" spans="1:23">
      <c r="A927" s="2255">
        <v>43196.291666666701</v>
      </c>
      <c r="B927" s="2255"/>
      <c r="C927" s="2259"/>
      <c r="D927" s="2259"/>
      <c r="E927" s="2259"/>
      <c r="F927" s="2259"/>
      <c r="G927" s="2259"/>
      <c r="H927" s="2262">
        <v>8.5000000000000006E-2</v>
      </c>
      <c r="I927" s="2262">
        <v>4.2000000000000003E-2</v>
      </c>
      <c r="J927" s="2262">
        <v>0.10299999999999999</v>
      </c>
      <c r="K927" s="2262">
        <v>4.2999999999999997E-2</v>
      </c>
      <c r="V927" s="2267"/>
    </row>
    <row r="928" spans="1:23">
      <c r="A928" s="2255">
        <v>43189.291666666701</v>
      </c>
      <c r="B928" s="2255"/>
      <c r="C928" s="2259"/>
      <c r="D928" s="2259"/>
      <c r="E928" s="2259"/>
      <c r="F928" s="2259"/>
      <c r="G928" s="2259"/>
      <c r="H928" s="2262">
        <v>8.5000000000000006E-2</v>
      </c>
      <c r="I928" s="2262">
        <v>4.2000000000000003E-2</v>
      </c>
      <c r="J928" s="2262">
        <v>0.10299999999999999</v>
      </c>
      <c r="K928" s="2262">
        <v>4.2999999999999997E-2</v>
      </c>
      <c r="V928" s="2267"/>
    </row>
    <row r="929" spans="1:22">
      <c r="A929" s="2255">
        <v>43182.291666666701</v>
      </c>
      <c r="B929" s="2255"/>
      <c r="C929" s="2259"/>
      <c r="D929" s="2259"/>
      <c r="E929" s="2259"/>
      <c r="F929" s="2259"/>
      <c r="G929" s="2259"/>
      <c r="H929" s="2262">
        <v>8.5000000000000006E-2</v>
      </c>
      <c r="I929" s="2262">
        <v>4.2000000000000003E-2</v>
      </c>
      <c r="J929" s="2262">
        <v>0.10299999999999999</v>
      </c>
      <c r="K929" s="2262">
        <v>4.2999999999999997E-2</v>
      </c>
      <c r="V929" s="2267"/>
    </row>
    <row r="930" spans="1:22">
      <c r="A930" s="2255">
        <v>43175.291666666701</v>
      </c>
      <c r="B930" s="2255"/>
      <c r="C930" s="2259"/>
      <c r="D930" s="2259"/>
      <c r="E930" s="2259"/>
      <c r="F930" s="2259"/>
      <c r="G930" s="2259"/>
      <c r="H930" s="2262">
        <v>8.5000000000000006E-2</v>
      </c>
      <c r="I930" s="2262">
        <v>4.2000000000000003E-2</v>
      </c>
      <c r="J930" s="2262">
        <v>0.10299999999999999</v>
      </c>
      <c r="K930" s="2262">
        <v>4.2999999999999997E-2</v>
      </c>
      <c r="V930" s="2267"/>
    </row>
    <row r="931" spans="1:22">
      <c r="A931" s="2255">
        <v>43168.291666666701</v>
      </c>
      <c r="B931" s="2255"/>
      <c r="C931" s="2259"/>
      <c r="D931" s="2259"/>
      <c r="E931" s="2259"/>
      <c r="F931" s="2259"/>
      <c r="G931" s="2259"/>
      <c r="H931" s="2262">
        <v>8.5000000000000006E-2</v>
      </c>
      <c r="I931" s="2262">
        <v>4.2000000000000003E-2</v>
      </c>
      <c r="J931" s="2262">
        <v>0.10299999999999999</v>
      </c>
      <c r="K931" s="2262">
        <v>4.2999999999999997E-2</v>
      </c>
      <c r="V931" s="2267"/>
    </row>
    <row r="932" spans="1:22">
      <c r="A932" s="2255">
        <v>43161.291666666701</v>
      </c>
      <c r="B932" s="2255"/>
      <c r="C932" s="2259"/>
      <c r="D932" s="2259"/>
      <c r="E932" s="2259"/>
      <c r="F932" s="2259"/>
      <c r="G932" s="2259"/>
      <c r="H932" s="2262">
        <v>8.5000000000000006E-2</v>
      </c>
      <c r="I932" s="2262">
        <v>4.2000000000000003E-2</v>
      </c>
      <c r="J932" s="2262">
        <v>0.10299999999999999</v>
      </c>
      <c r="K932" s="2262">
        <v>4.2999999999999997E-2</v>
      </c>
      <c r="V932" s="2267"/>
    </row>
    <row r="933" spans="1:22">
      <c r="A933" s="2255">
        <v>43140.291666666701</v>
      </c>
      <c r="B933" s="2255"/>
      <c r="C933" s="2259"/>
      <c r="D933" s="2259"/>
      <c r="E933" s="2259"/>
      <c r="F933" s="2259"/>
      <c r="G933" s="2259"/>
      <c r="H933" s="2262">
        <v>8.5000000000000006E-2</v>
      </c>
      <c r="I933" s="2262">
        <v>4.2000000000000003E-2</v>
      </c>
      <c r="J933" s="2262">
        <v>0.10299999999999999</v>
      </c>
      <c r="K933" s="2262">
        <v>4.2999999999999997E-2</v>
      </c>
      <c r="V933" s="2267"/>
    </row>
    <row r="934" spans="1:22">
      <c r="A934" s="2255">
        <v>43133.291666666701</v>
      </c>
      <c r="B934" s="2255"/>
      <c r="C934" s="2259"/>
      <c r="D934" s="2259"/>
      <c r="E934" s="2259"/>
      <c r="F934" s="2259"/>
      <c r="G934" s="2259"/>
      <c r="H934" s="2262">
        <v>8.5000000000000006E-2</v>
      </c>
      <c r="I934" s="2262">
        <v>4.2000000000000003E-2</v>
      </c>
      <c r="J934" s="2262">
        <v>0.10299999999999999</v>
      </c>
      <c r="K934" s="2262">
        <v>4.2999999999999997E-2</v>
      </c>
      <c r="V934" s="2267"/>
    </row>
    <row r="935" spans="1:22">
      <c r="A935" s="2255">
        <v>43126.291666666701</v>
      </c>
      <c r="B935" s="2255"/>
      <c r="C935" s="2259"/>
      <c r="D935" s="2259"/>
      <c r="E935" s="2259"/>
      <c r="F935" s="2259"/>
      <c r="G935" s="2259"/>
      <c r="H935" s="2262">
        <v>8.5000000000000006E-2</v>
      </c>
      <c r="I935" s="2262">
        <v>4.2000000000000003E-2</v>
      </c>
      <c r="J935" s="2262">
        <v>0.10299999999999999</v>
      </c>
      <c r="K935" s="2262">
        <v>4.2999999999999997E-2</v>
      </c>
      <c r="V935" s="2267"/>
    </row>
    <row r="936" spans="1:22">
      <c r="A936" s="2255">
        <v>43118.291666666701</v>
      </c>
      <c r="B936" s="2255"/>
      <c r="C936" s="2259"/>
      <c r="D936" s="2259"/>
      <c r="E936" s="2259"/>
      <c r="F936" s="2259"/>
      <c r="G936" s="2259"/>
      <c r="H936" s="2262">
        <v>8.5000000000000006E-2</v>
      </c>
      <c r="I936" s="2262">
        <v>4.2000000000000003E-2</v>
      </c>
      <c r="J936" s="2262">
        <v>0.10299999999999999</v>
      </c>
      <c r="K936" s="2262">
        <v>4.2999999999999997E-2</v>
      </c>
      <c r="V936" s="2267"/>
    </row>
    <row r="937" spans="1:22">
      <c r="A937" s="2255">
        <v>43112.291666666701</v>
      </c>
      <c r="B937" s="2255"/>
      <c r="C937" s="2259"/>
      <c r="D937" s="2259"/>
      <c r="E937" s="2259"/>
      <c r="F937" s="2259"/>
      <c r="G937" s="2259"/>
      <c r="H937" s="2262">
        <v>8.5000000000000006E-2</v>
      </c>
      <c r="I937" s="2262">
        <v>4.2000000000000003E-2</v>
      </c>
      <c r="J937" s="2262">
        <v>0.10299999999999999</v>
      </c>
      <c r="K937" s="2262">
        <v>4.2999999999999997E-2</v>
      </c>
      <c r="V937" s="2267"/>
    </row>
    <row r="938" spans="1:22">
      <c r="A938" s="2269"/>
      <c r="B938" s="2269"/>
      <c r="C938" s="2269"/>
      <c r="D938" s="2269"/>
      <c r="E938" s="2269"/>
      <c r="F938" s="2269"/>
      <c r="G938" s="2269"/>
      <c r="H938" s="2269"/>
      <c r="I938" s="2269"/>
      <c r="J938" s="2269"/>
      <c r="K938" s="2269"/>
    </row>
    <row r="939" spans="1:22" ht="15">
      <c r="A939" s="2288" t="s">
        <v>1273</v>
      </c>
      <c r="B939" s="2288"/>
    </row>
    <row r="940" spans="1:22" ht="15">
      <c r="A940" s="2288" t="s">
        <v>396</v>
      </c>
      <c r="B940" s="2288"/>
    </row>
    <row r="941" spans="1:22">
      <c r="A941" s="2289" t="s">
        <v>397</v>
      </c>
      <c r="B941" s="2289"/>
    </row>
    <row r="942" spans="1:22">
      <c r="A942" s="2289" t="s">
        <v>398</v>
      </c>
      <c r="B942" s="2289"/>
    </row>
    <row r="943" spans="1:22">
      <c r="A943" s="2263" t="s">
        <v>399</v>
      </c>
      <c r="B943" s="2263"/>
    </row>
    <row r="944" spans="1:22">
      <c r="A944" s="2257"/>
      <c r="B944" s="2257"/>
    </row>
    <row r="945" spans="1:22" ht="15">
      <c r="A945" s="2288" t="s">
        <v>400</v>
      </c>
      <c r="B945" s="2288"/>
    </row>
    <row r="946" spans="1:22" ht="15">
      <c r="A946" s="2288" t="s">
        <v>401</v>
      </c>
      <c r="B946" s="2288"/>
    </row>
    <row r="947" spans="1:22">
      <c r="A947" s="2289" t="s">
        <v>402</v>
      </c>
      <c r="B947" s="2289"/>
    </row>
    <row r="948" spans="1:22">
      <c r="A948" s="2263" t="s">
        <v>403</v>
      </c>
      <c r="B948" s="2263"/>
    </row>
    <row r="949" spans="1:22">
      <c r="A949" s="2257"/>
      <c r="B949" s="2257"/>
    </row>
    <row r="950" spans="1:22" ht="15">
      <c r="A950" s="2288" t="s">
        <v>404</v>
      </c>
      <c r="B950" s="2288"/>
    </row>
    <row r="951" spans="1:22">
      <c r="A951" s="2289" t="s">
        <v>405</v>
      </c>
      <c r="B951" s="2289"/>
    </row>
    <row r="952" spans="1:22" ht="15">
      <c r="A952" s="2263" t="s">
        <v>403</v>
      </c>
      <c r="B952" s="2263"/>
      <c r="F952" s="2290" t="s">
        <v>1334</v>
      </c>
      <c r="G952" s="2290" t="s">
        <v>1335</v>
      </c>
      <c r="I952" s="2290" t="s">
        <v>1336</v>
      </c>
      <c r="J952" s="2290" t="s">
        <v>1337</v>
      </c>
      <c r="T952" s="22"/>
      <c r="U952" s="2446" t="s">
        <v>1670</v>
      </c>
      <c r="V952" s="22"/>
    </row>
    <row r="953" spans="1:22" ht="15">
      <c r="A953" s="2257"/>
      <c r="B953" s="2257"/>
      <c r="F953" s="2291">
        <f>_xlfn.STDEV.S(C957:C2204)</f>
        <v>3.5365094486784607</v>
      </c>
      <c r="G953" s="2291">
        <f>_xlfn.STDEV.S(D957:D1453)</f>
        <v>0.97728229619816054</v>
      </c>
      <c r="I953" s="2291">
        <f>AVERAGE(C957:C2204)</f>
        <v>20.496540945512795</v>
      </c>
      <c r="J953" s="2291">
        <f>AVERAGE(D957:D1453)</f>
        <v>4.9423217303822922</v>
      </c>
      <c r="T953" s="22"/>
      <c r="U953" s="22" t="s">
        <v>1671</v>
      </c>
      <c r="V953" s="22" t="s">
        <v>1671</v>
      </c>
    </row>
    <row r="954" spans="1:22">
      <c r="A954" s="2257"/>
      <c r="B954" s="2257"/>
    </row>
    <row r="955" spans="1:22">
      <c r="A955" s="2269"/>
      <c r="B955" s="2269"/>
      <c r="C955" s="2269"/>
      <c r="D955" s="2269"/>
      <c r="E955" s="2269"/>
      <c r="F955" s="3652" t="s">
        <v>12</v>
      </c>
      <c r="G955" s="3652"/>
      <c r="H955" s="3652"/>
      <c r="I955" s="3652"/>
      <c r="J955" s="2269"/>
      <c r="K955" s="3652" t="s">
        <v>1333</v>
      </c>
      <c r="L955" s="3652"/>
      <c r="M955" s="3652"/>
      <c r="N955" s="3652"/>
    </row>
    <row r="956" spans="1:22" ht="15">
      <c r="A956" s="2269"/>
      <c r="B956" s="2446" t="s">
        <v>1672</v>
      </c>
      <c r="C956" s="2446" t="s">
        <v>1673</v>
      </c>
      <c r="D956" s="2446" t="s">
        <v>1674</v>
      </c>
      <c r="E956" s="2290" t="s">
        <v>1336</v>
      </c>
      <c r="F956" s="2292" t="s">
        <v>1338</v>
      </c>
      <c r="G956" s="2292" t="s">
        <v>1339</v>
      </c>
      <c r="H956" s="2292" t="s">
        <v>1340</v>
      </c>
      <c r="I956" s="2292" t="s">
        <v>1341</v>
      </c>
      <c r="J956" s="2290" t="s">
        <v>1337</v>
      </c>
      <c r="K956" s="2292" t="s">
        <v>1338</v>
      </c>
      <c r="L956" s="2292" t="s">
        <v>1339</v>
      </c>
      <c r="M956" s="2292" t="s">
        <v>1340</v>
      </c>
      <c r="N956" s="2292" t="s">
        <v>1341</v>
      </c>
    </row>
    <row r="957" spans="1:22" ht="15">
      <c r="A957" s="2218"/>
      <c r="B957" s="2251">
        <v>44263</v>
      </c>
      <c r="C957">
        <v>16.771000000000001</v>
      </c>
      <c r="D957" s="2522">
        <v>4.8346999999999998</v>
      </c>
      <c r="E957" s="2523">
        <f t="shared" ref="E957" si="27">I$953</f>
        <v>20.496540945512795</v>
      </c>
      <c r="F957" s="2261">
        <f t="shared" ref="F957:F1020" si="28">I$953+F$953</f>
        <v>24.033050394191257</v>
      </c>
      <c r="G957" s="2524">
        <f t="shared" ref="G957" si="29">I$953+F$953+F$953</f>
        <v>27.569559842869719</v>
      </c>
      <c r="H957" s="2524">
        <f t="shared" ref="H957" si="30">I$953-F$953</f>
        <v>16.960031496834333</v>
      </c>
      <c r="I957" s="2524">
        <f t="shared" ref="I957" si="31">I$953-F$953-F$953</f>
        <v>13.423522048155872</v>
      </c>
      <c r="J957" s="2525">
        <f t="shared" ref="J957:J1000" si="32">J$953</f>
        <v>4.9423217303822922</v>
      </c>
      <c r="K957" s="2261">
        <f t="shared" ref="K957:K1000" si="33">J$953+G$953</f>
        <v>5.919604026580453</v>
      </c>
      <c r="L957" s="2524">
        <f t="shared" ref="L957:L1000" si="34">J$953+G$953+G$953</f>
        <v>6.8968863227786139</v>
      </c>
      <c r="M957" s="2524">
        <f t="shared" ref="M957:M1000" si="35">J$953-G$953</f>
        <v>3.9650394341841317</v>
      </c>
      <c r="N957" s="2524">
        <f t="shared" ref="N957:N1000" si="36">J$953-G$953-G$953</f>
        <v>2.9877571379859713</v>
      </c>
    </row>
    <row r="958" spans="1:22" ht="15">
      <c r="A958" s="2218"/>
      <c r="B958" s="2251">
        <v>44264</v>
      </c>
      <c r="C958">
        <v>16.594000000000001</v>
      </c>
      <c r="D958" s="2522">
        <v>4.8122999999999996</v>
      </c>
      <c r="E958" s="2523">
        <f t="shared" ref="E958:E1021" si="37">I$953</f>
        <v>20.496540945512795</v>
      </c>
      <c r="F958" s="2261">
        <f t="shared" si="28"/>
        <v>24.033050394191257</v>
      </c>
      <c r="G958" s="2524">
        <f t="shared" ref="G958:G1021" si="38">I$953+F$953+F$953</f>
        <v>27.569559842869719</v>
      </c>
      <c r="H958" s="2524">
        <f t="shared" ref="H958:H1021" si="39">I$953-F$953</f>
        <v>16.960031496834333</v>
      </c>
      <c r="I958" s="2524">
        <f t="shared" ref="I958:I1021" si="40">I$953-F$953-F$953</f>
        <v>13.423522048155872</v>
      </c>
      <c r="J958" s="2525">
        <f t="shared" si="32"/>
        <v>4.9423217303822922</v>
      </c>
      <c r="K958" s="2261">
        <f t="shared" si="33"/>
        <v>5.919604026580453</v>
      </c>
      <c r="L958" s="2524">
        <f t="shared" si="34"/>
        <v>6.8968863227786139</v>
      </c>
      <c r="M958" s="2524">
        <f t="shared" si="35"/>
        <v>3.9650394341841317</v>
      </c>
      <c r="N958" s="2524">
        <f t="shared" si="36"/>
        <v>2.9877571379859713</v>
      </c>
    </row>
    <row r="959" spans="1:22" ht="15">
      <c r="A959" s="2218"/>
      <c r="B959" s="2251">
        <v>44265</v>
      </c>
      <c r="C959">
        <v>16.881699999999999</v>
      </c>
      <c r="D959" s="2522">
        <v>4.7112999999999996</v>
      </c>
      <c r="E959" s="2523">
        <f t="shared" si="37"/>
        <v>20.496540945512795</v>
      </c>
      <c r="F959" s="2261">
        <f t="shared" si="28"/>
        <v>24.033050394191257</v>
      </c>
      <c r="G959" s="2524">
        <f t="shared" si="38"/>
        <v>27.569559842869719</v>
      </c>
      <c r="H959" s="2524">
        <f t="shared" si="39"/>
        <v>16.960031496834333</v>
      </c>
      <c r="I959" s="2524">
        <f t="shared" si="40"/>
        <v>13.423522048155872</v>
      </c>
      <c r="J959" s="2525">
        <f t="shared" si="32"/>
        <v>4.9423217303822922</v>
      </c>
      <c r="K959" s="2261">
        <f t="shared" si="33"/>
        <v>5.919604026580453</v>
      </c>
      <c r="L959" s="2524">
        <f t="shared" si="34"/>
        <v>6.8968863227786139</v>
      </c>
      <c r="M959" s="2524">
        <f t="shared" si="35"/>
        <v>3.9650394341841317</v>
      </c>
      <c r="N959" s="2524">
        <f t="shared" si="36"/>
        <v>2.9877571379859713</v>
      </c>
    </row>
    <row r="960" spans="1:22" ht="15">
      <c r="A960" s="2218"/>
      <c r="B960" s="2251">
        <v>44266</v>
      </c>
      <c r="C960">
        <v>16.970199999999998</v>
      </c>
      <c r="D960" s="2522">
        <v>4.7281000000000004</v>
      </c>
      <c r="E960" s="2523">
        <f t="shared" si="37"/>
        <v>20.496540945512795</v>
      </c>
      <c r="F960" s="2261">
        <f t="shared" si="28"/>
        <v>24.033050394191257</v>
      </c>
      <c r="G960" s="2524">
        <f t="shared" si="38"/>
        <v>27.569559842869719</v>
      </c>
      <c r="H960" s="2524">
        <f t="shared" si="39"/>
        <v>16.960031496834333</v>
      </c>
      <c r="I960" s="2524">
        <f t="shared" si="40"/>
        <v>13.423522048155872</v>
      </c>
      <c r="J960" s="2525">
        <f t="shared" si="32"/>
        <v>4.9423217303822922</v>
      </c>
      <c r="K960" s="2261">
        <f t="shared" si="33"/>
        <v>5.919604026580453</v>
      </c>
      <c r="L960" s="2524">
        <f t="shared" si="34"/>
        <v>6.8968863227786139</v>
      </c>
      <c r="M960" s="2524">
        <f t="shared" si="35"/>
        <v>3.9650394341841317</v>
      </c>
      <c r="N960" s="2524">
        <f t="shared" si="36"/>
        <v>2.9877571379859713</v>
      </c>
    </row>
    <row r="961" spans="1:14" ht="15">
      <c r="A961" s="2218"/>
      <c r="B961" s="2251">
        <v>44267</v>
      </c>
      <c r="C961">
        <v>16.925899999999999</v>
      </c>
      <c r="D961" s="2522">
        <v>4.7281000000000004</v>
      </c>
      <c r="E961" s="2523">
        <f t="shared" si="37"/>
        <v>20.496540945512795</v>
      </c>
      <c r="F961" s="2261">
        <f t="shared" si="28"/>
        <v>24.033050394191257</v>
      </c>
      <c r="G961" s="2524">
        <f t="shared" si="38"/>
        <v>27.569559842869719</v>
      </c>
      <c r="H961" s="2524">
        <f t="shared" si="39"/>
        <v>16.960031496834333</v>
      </c>
      <c r="I961" s="2524">
        <f t="shared" si="40"/>
        <v>13.423522048155872</v>
      </c>
      <c r="J961" s="2525">
        <f t="shared" si="32"/>
        <v>4.9423217303822922</v>
      </c>
      <c r="K961" s="2261">
        <f t="shared" si="33"/>
        <v>5.919604026580453</v>
      </c>
      <c r="L961" s="2524">
        <f t="shared" si="34"/>
        <v>6.8968863227786139</v>
      </c>
      <c r="M961" s="2524">
        <f t="shared" si="35"/>
        <v>3.9650394341841317</v>
      </c>
      <c r="N961" s="2524">
        <f t="shared" si="36"/>
        <v>2.9877571379859713</v>
      </c>
    </row>
    <row r="962" spans="1:14" ht="15">
      <c r="A962" s="2218"/>
      <c r="B962" s="2251">
        <v>44270</v>
      </c>
      <c r="C962">
        <v>16.925899999999999</v>
      </c>
      <c r="D962" s="2522">
        <v>4.7449000000000003</v>
      </c>
      <c r="E962" s="2523">
        <f t="shared" si="37"/>
        <v>20.496540945512795</v>
      </c>
      <c r="F962" s="2261">
        <f t="shared" si="28"/>
        <v>24.033050394191257</v>
      </c>
      <c r="G962" s="2524">
        <f t="shared" si="38"/>
        <v>27.569559842869719</v>
      </c>
      <c r="H962" s="2524">
        <f t="shared" si="39"/>
        <v>16.960031496834333</v>
      </c>
      <c r="I962" s="2524">
        <f t="shared" si="40"/>
        <v>13.423522048155872</v>
      </c>
      <c r="J962" s="2525">
        <f t="shared" si="32"/>
        <v>4.9423217303822922</v>
      </c>
      <c r="K962" s="2261">
        <f t="shared" si="33"/>
        <v>5.919604026580453</v>
      </c>
      <c r="L962" s="2524">
        <f t="shared" si="34"/>
        <v>6.8968863227786139</v>
      </c>
      <c r="M962" s="2524">
        <f t="shared" si="35"/>
        <v>3.9650394341841317</v>
      </c>
      <c r="N962" s="2524">
        <f t="shared" si="36"/>
        <v>2.9877571379859713</v>
      </c>
    </row>
    <row r="963" spans="1:14" ht="15">
      <c r="A963" s="2218"/>
      <c r="B963" s="2251">
        <v>44271</v>
      </c>
      <c r="C963">
        <v>17.921600000000002</v>
      </c>
      <c r="D963" s="2522">
        <v>4.7449000000000003</v>
      </c>
      <c r="E963" s="2523">
        <f t="shared" si="37"/>
        <v>20.496540945512795</v>
      </c>
      <c r="F963" s="2261">
        <f t="shared" si="28"/>
        <v>24.033050394191257</v>
      </c>
      <c r="G963" s="2524">
        <f t="shared" si="38"/>
        <v>27.569559842869719</v>
      </c>
      <c r="H963" s="2524">
        <f t="shared" si="39"/>
        <v>16.960031496834333</v>
      </c>
      <c r="I963" s="2524">
        <f t="shared" si="40"/>
        <v>13.423522048155872</v>
      </c>
      <c r="J963" s="2525">
        <f t="shared" si="32"/>
        <v>4.9423217303822922</v>
      </c>
      <c r="K963" s="2261">
        <f t="shared" si="33"/>
        <v>5.919604026580453</v>
      </c>
      <c r="L963" s="2524">
        <f t="shared" si="34"/>
        <v>6.8968863227786139</v>
      </c>
      <c r="M963" s="2524">
        <f t="shared" si="35"/>
        <v>3.9650394341841317</v>
      </c>
      <c r="N963" s="2524">
        <f t="shared" si="36"/>
        <v>2.9877571379859713</v>
      </c>
    </row>
    <row r="964" spans="1:14" ht="15">
      <c r="A964" s="2218"/>
      <c r="B964" s="2251">
        <v>44272</v>
      </c>
      <c r="C964">
        <v>17.877300000000002</v>
      </c>
      <c r="D964" s="2522">
        <v>4.7112999999999996</v>
      </c>
      <c r="E964" s="2523">
        <f t="shared" si="37"/>
        <v>20.496540945512795</v>
      </c>
      <c r="F964" s="2261">
        <f t="shared" si="28"/>
        <v>24.033050394191257</v>
      </c>
      <c r="G964" s="2524">
        <f t="shared" si="38"/>
        <v>27.569559842869719</v>
      </c>
      <c r="H964" s="2524">
        <f t="shared" si="39"/>
        <v>16.960031496834333</v>
      </c>
      <c r="I964" s="2524">
        <f t="shared" si="40"/>
        <v>13.423522048155872</v>
      </c>
      <c r="J964" s="2525">
        <f t="shared" si="32"/>
        <v>4.9423217303822922</v>
      </c>
      <c r="K964" s="2261">
        <f t="shared" si="33"/>
        <v>5.919604026580453</v>
      </c>
      <c r="L964" s="2524">
        <f t="shared" si="34"/>
        <v>6.8968863227786139</v>
      </c>
      <c r="M964" s="2524">
        <f t="shared" si="35"/>
        <v>3.9650394341841317</v>
      </c>
      <c r="N964" s="2524">
        <f t="shared" si="36"/>
        <v>2.9877571379859713</v>
      </c>
    </row>
    <row r="965" spans="1:14" ht="15">
      <c r="A965" s="2218"/>
      <c r="B965" s="2251">
        <v>44273</v>
      </c>
      <c r="C965">
        <v>17.921600000000002</v>
      </c>
      <c r="D965" s="2522">
        <v>4.6944999999999997</v>
      </c>
      <c r="E965" s="2523">
        <f t="shared" si="37"/>
        <v>20.496540945512795</v>
      </c>
      <c r="F965" s="2261">
        <f t="shared" si="28"/>
        <v>24.033050394191257</v>
      </c>
      <c r="G965" s="2524">
        <f t="shared" si="38"/>
        <v>27.569559842869719</v>
      </c>
      <c r="H965" s="2524">
        <f t="shared" si="39"/>
        <v>16.960031496834333</v>
      </c>
      <c r="I965" s="2524">
        <f t="shared" si="40"/>
        <v>13.423522048155872</v>
      </c>
      <c r="J965" s="2525">
        <f t="shared" si="32"/>
        <v>4.9423217303822922</v>
      </c>
      <c r="K965" s="2261">
        <f t="shared" si="33"/>
        <v>5.919604026580453</v>
      </c>
      <c r="L965" s="2524">
        <f t="shared" si="34"/>
        <v>6.8968863227786139</v>
      </c>
      <c r="M965" s="2524">
        <f t="shared" si="35"/>
        <v>3.9650394341841317</v>
      </c>
      <c r="N965" s="2524">
        <f t="shared" si="36"/>
        <v>2.9877571379859713</v>
      </c>
    </row>
    <row r="966" spans="1:14" ht="15">
      <c r="A966" s="2218"/>
      <c r="B966" s="2251">
        <v>44274</v>
      </c>
      <c r="C966">
        <v>17.655999999999999</v>
      </c>
      <c r="D966" s="2522">
        <v>4.6272000000000002</v>
      </c>
      <c r="E966" s="2523">
        <f t="shared" si="37"/>
        <v>20.496540945512795</v>
      </c>
      <c r="F966" s="2261">
        <f t="shared" si="28"/>
        <v>24.033050394191257</v>
      </c>
      <c r="G966" s="2524">
        <f t="shared" si="38"/>
        <v>27.569559842869719</v>
      </c>
      <c r="H966" s="2524">
        <f t="shared" si="39"/>
        <v>16.960031496834333</v>
      </c>
      <c r="I966" s="2524">
        <f t="shared" si="40"/>
        <v>13.423522048155872</v>
      </c>
      <c r="J966" s="2525">
        <f t="shared" si="32"/>
        <v>4.9423217303822922</v>
      </c>
      <c r="K966" s="2261">
        <f t="shared" si="33"/>
        <v>5.919604026580453</v>
      </c>
      <c r="L966" s="2524">
        <f t="shared" si="34"/>
        <v>6.8968863227786139</v>
      </c>
      <c r="M966" s="2524">
        <f t="shared" si="35"/>
        <v>3.9650394341841317</v>
      </c>
      <c r="N966" s="2524">
        <f t="shared" si="36"/>
        <v>2.9877571379859713</v>
      </c>
    </row>
    <row r="967" spans="1:14" ht="15">
      <c r="A967" s="2218"/>
      <c r="B967" s="2251">
        <v>44277</v>
      </c>
      <c r="C967">
        <v>17.412700000000001</v>
      </c>
      <c r="D967" s="2522">
        <v>4.6608000000000001</v>
      </c>
      <c r="E967" s="2523">
        <f t="shared" si="37"/>
        <v>20.496540945512795</v>
      </c>
      <c r="F967" s="2261">
        <f t="shared" si="28"/>
        <v>24.033050394191257</v>
      </c>
      <c r="G967" s="2524">
        <f t="shared" si="38"/>
        <v>27.569559842869719</v>
      </c>
      <c r="H967" s="2524">
        <f t="shared" si="39"/>
        <v>16.960031496834333</v>
      </c>
      <c r="I967" s="2524">
        <f t="shared" si="40"/>
        <v>13.423522048155872</v>
      </c>
      <c r="J967" s="2525">
        <f t="shared" si="32"/>
        <v>4.9423217303822922</v>
      </c>
      <c r="K967" s="2261">
        <f t="shared" si="33"/>
        <v>5.919604026580453</v>
      </c>
      <c r="L967" s="2524">
        <f t="shared" si="34"/>
        <v>6.8968863227786139</v>
      </c>
      <c r="M967" s="2524">
        <f t="shared" si="35"/>
        <v>3.9650394341841317</v>
      </c>
      <c r="N967" s="2524">
        <f t="shared" si="36"/>
        <v>2.9877571379859713</v>
      </c>
    </row>
    <row r="968" spans="1:14" ht="15">
      <c r="A968" s="2218"/>
      <c r="B968" s="2251">
        <v>44278</v>
      </c>
      <c r="C968">
        <v>17.434799999999999</v>
      </c>
      <c r="D968" s="2522">
        <v>4.6776</v>
      </c>
      <c r="E968" s="2523">
        <f t="shared" si="37"/>
        <v>20.496540945512795</v>
      </c>
      <c r="F968" s="2261">
        <f t="shared" si="28"/>
        <v>24.033050394191257</v>
      </c>
      <c r="G968" s="2524">
        <f t="shared" si="38"/>
        <v>27.569559842869719</v>
      </c>
      <c r="H968" s="2524">
        <f t="shared" si="39"/>
        <v>16.960031496834333</v>
      </c>
      <c r="I968" s="2524">
        <f t="shared" si="40"/>
        <v>13.423522048155872</v>
      </c>
      <c r="J968" s="2525">
        <f t="shared" si="32"/>
        <v>4.9423217303822922</v>
      </c>
      <c r="K968" s="2261">
        <f t="shared" si="33"/>
        <v>5.919604026580453</v>
      </c>
      <c r="L968" s="2524">
        <f t="shared" si="34"/>
        <v>6.8968863227786139</v>
      </c>
      <c r="M968" s="2524">
        <f t="shared" si="35"/>
        <v>3.9650394341841317</v>
      </c>
      <c r="N968" s="2524">
        <f t="shared" si="36"/>
        <v>2.9877571379859713</v>
      </c>
    </row>
    <row r="969" spans="1:14" ht="15">
      <c r="A969" s="2218"/>
      <c r="B969" s="2251">
        <v>44279</v>
      </c>
      <c r="C969">
        <v>17.0365</v>
      </c>
      <c r="D969" s="2522">
        <v>4.6158999999999999</v>
      </c>
      <c r="E969" s="2523">
        <f t="shared" si="37"/>
        <v>20.496540945512795</v>
      </c>
      <c r="F969" s="2261">
        <f t="shared" si="28"/>
        <v>24.033050394191257</v>
      </c>
      <c r="G969" s="2524">
        <f t="shared" si="38"/>
        <v>27.569559842869719</v>
      </c>
      <c r="H969" s="2524">
        <f t="shared" si="39"/>
        <v>16.960031496834333</v>
      </c>
      <c r="I969" s="2524">
        <f t="shared" si="40"/>
        <v>13.423522048155872</v>
      </c>
      <c r="J969" s="2525">
        <f t="shared" si="32"/>
        <v>4.9423217303822922</v>
      </c>
      <c r="K969" s="2261">
        <f t="shared" si="33"/>
        <v>5.919604026580453</v>
      </c>
      <c r="L969" s="2524">
        <f t="shared" si="34"/>
        <v>6.8968863227786139</v>
      </c>
      <c r="M969" s="2524">
        <f t="shared" si="35"/>
        <v>3.9650394341841317</v>
      </c>
      <c r="N969" s="2524">
        <f t="shared" si="36"/>
        <v>2.9877571379859713</v>
      </c>
    </row>
    <row r="970" spans="1:14" ht="15">
      <c r="A970" s="2218"/>
      <c r="B970" s="2251">
        <v>44280</v>
      </c>
      <c r="C970">
        <v>16.948</v>
      </c>
      <c r="D970" s="2522">
        <v>4.6496000000000004</v>
      </c>
      <c r="E970" s="2523">
        <f t="shared" si="37"/>
        <v>20.496540945512795</v>
      </c>
      <c r="F970" s="2261">
        <f t="shared" si="28"/>
        <v>24.033050394191257</v>
      </c>
      <c r="G970" s="2524">
        <f t="shared" si="38"/>
        <v>27.569559842869719</v>
      </c>
      <c r="H970" s="2524">
        <f t="shared" si="39"/>
        <v>16.960031496834333</v>
      </c>
      <c r="I970" s="2524">
        <f t="shared" si="40"/>
        <v>13.423522048155872</v>
      </c>
      <c r="J970" s="2525">
        <f t="shared" si="32"/>
        <v>4.9423217303822922</v>
      </c>
      <c r="K970" s="2261">
        <f t="shared" si="33"/>
        <v>5.919604026580453</v>
      </c>
      <c r="L970" s="2524">
        <f t="shared" si="34"/>
        <v>6.8968863227786139</v>
      </c>
      <c r="M970" s="2524">
        <f t="shared" si="35"/>
        <v>3.9650394341841317</v>
      </c>
      <c r="N970" s="2524">
        <f t="shared" si="36"/>
        <v>2.9877571379859713</v>
      </c>
    </row>
    <row r="971" spans="1:14" ht="15">
      <c r="A971" s="2218"/>
      <c r="B971" s="2251">
        <v>44281</v>
      </c>
      <c r="C971">
        <v>16.837399999999999</v>
      </c>
      <c r="D971" s="2522">
        <v>4.6215999999999999</v>
      </c>
      <c r="E971" s="2523">
        <f t="shared" si="37"/>
        <v>20.496540945512795</v>
      </c>
      <c r="F971" s="2261">
        <f t="shared" si="28"/>
        <v>24.033050394191257</v>
      </c>
      <c r="G971" s="2524">
        <f t="shared" si="38"/>
        <v>27.569559842869719</v>
      </c>
      <c r="H971" s="2524">
        <f t="shared" si="39"/>
        <v>16.960031496834333</v>
      </c>
      <c r="I971" s="2524">
        <f t="shared" si="40"/>
        <v>13.423522048155872</v>
      </c>
      <c r="J971" s="2525">
        <f t="shared" si="32"/>
        <v>4.9423217303822922</v>
      </c>
      <c r="K971" s="2261">
        <f t="shared" si="33"/>
        <v>5.919604026580453</v>
      </c>
      <c r="L971" s="2524">
        <f t="shared" si="34"/>
        <v>6.8968863227786139</v>
      </c>
      <c r="M971" s="2524">
        <f t="shared" si="35"/>
        <v>3.9650394341841317</v>
      </c>
      <c r="N971" s="2524">
        <f t="shared" si="36"/>
        <v>2.9877571379859713</v>
      </c>
    </row>
    <row r="972" spans="1:14" ht="15">
      <c r="A972" s="2218"/>
      <c r="B972" s="2251">
        <v>44284</v>
      </c>
      <c r="C972">
        <v>17.1693</v>
      </c>
      <c r="D972" s="2522">
        <v>4.5711000000000004</v>
      </c>
      <c r="E972" s="2523">
        <f t="shared" si="37"/>
        <v>20.496540945512795</v>
      </c>
      <c r="F972" s="2261">
        <f t="shared" si="28"/>
        <v>24.033050394191257</v>
      </c>
      <c r="G972" s="2524">
        <f t="shared" si="38"/>
        <v>27.569559842869719</v>
      </c>
      <c r="H972" s="2524">
        <f t="shared" si="39"/>
        <v>16.960031496834333</v>
      </c>
      <c r="I972" s="2524">
        <f t="shared" si="40"/>
        <v>13.423522048155872</v>
      </c>
      <c r="J972" s="2525">
        <f t="shared" si="32"/>
        <v>4.9423217303822922</v>
      </c>
      <c r="K972" s="2261">
        <f t="shared" si="33"/>
        <v>5.919604026580453</v>
      </c>
      <c r="L972" s="2524">
        <f t="shared" si="34"/>
        <v>6.8968863227786139</v>
      </c>
      <c r="M972" s="2524">
        <f t="shared" si="35"/>
        <v>3.9650394341841317</v>
      </c>
      <c r="N972" s="2524">
        <f t="shared" si="36"/>
        <v>2.9877571379859713</v>
      </c>
    </row>
    <row r="973" spans="1:14" ht="15">
      <c r="A973" s="2218"/>
      <c r="B973" s="2251">
        <v>44285</v>
      </c>
      <c r="C973">
        <v>17.058700000000002</v>
      </c>
      <c r="D973" s="2522">
        <v>4.5149999999999997</v>
      </c>
      <c r="E973" s="2523">
        <f t="shared" si="37"/>
        <v>20.496540945512795</v>
      </c>
      <c r="F973" s="2261">
        <f t="shared" si="28"/>
        <v>24.033050394191257</v>
      </c>
      <c r="G973" s="2524">
        <f t="shared" si="38"/>
        <v>27.569559842869719</v>
      </c>
      <c r="H973" s="2524">
        <f t="shared" si="39"/>
        <v>16.960031496834333</v>
      </c>
      <c r="I973" s="2524">
        <f t="shared" si="40"/>
        <v>13.423522048155872</v>
      </c>
      <c r="J973" s="2525">
        <f t="shared" si="32"/>
        <v>4.9423217303822922</v>
      </c>
      <c r="K973" s="2261">
        <f t="shared" si="33"/>
        <v>5.919604026580453</v>
      </c>
      <c r="L973" s="2524">
        <f t="shared" si="34"/>
        <v>6.8968863227786139</v>
      </c>
      <c r="M973" s="2524">
        <f t="shared" si="35"/>
        <v>3.9650394341841317</v>
      </c>
      <c r="N973" s="2524">
        <f t="shared" si="36"/>
        <v>2.9877571379859713</v>
      </c>
    </row>
    <row r="974" spans="1:14" ht="15">
      <c r="A974" s="2218"/>
      <c r="B974" s="2251">
        <v>44286</v>
      </c>
      <c r="C974">
        <v>16.4678</v>
      </c>
      <c r="D974" s="2522">
        <v>4.3747999999999996</v>
      </c>
      <c r="E974" s="2523">
        <f t="shared" si="37"/>
        <v>20.496540945512795</v>
      </c>
      <c r="F974" s="2261">
        <f t="shared" si="28"/>
        <v>24.033050394191257</v>
      </c>
      <c r="G974" s="2524">
        <f t="shared" si="38"/>
        <v>27.569559842869719</v>
      </c>
      <c r="H974" s="2524">
        <f t="shared" si="39"/>
        <v>16.960031496834333</v>
      </c>
      <c r="I974" s="2524">
        <f t="shared" si="40"/>
        <v>13.423522048155872</v>
      </c>
      <c r="J974" s="2525">
        <f t="shared" si="32"/>
        <v>4.9423217303822922</v>
      </c>
      <c r="K974" s="2261">
        <f t="shared" si="33"/>
        <v>5.919604026580453</v>
      </c>
      <c r="L974" s="2524">
        <f t="shared" si="34"/>
        <v>6.8968863227786139</v>
      </c>
      <c r="M974" s="2524">
        <f t="shared" si="35"/>
        <v>3.9650394341841317</v>
      </c>
      <c r="N974" s="2524">
        <f t="shared" si="36"/>
        <v>2.9877571379859713</v>
      </c>
    </row>
    <row r="975" spans="1:14" ht="15">
      <c r="A975" s="2218"/>
      <c r="B975" s="2251">
        <v>44287</v>
      </c>
      <c r="C975">
        <v>16.8917</v>
      </c>
      <c r="D975" s="2522">
        <v>4.3186999999999998</v>
      </c>
      <c r="E975" s="2523">
        <f t="shared" si="37"/>
        <v>20.496540945512795</v>
      </c>
      <c r="F975" s="2261">
        <f t="shared" si="28"/>
        <v>24.033050394191257</v>
      </c>
      <c r="G975" s="2524">
        <f t="shared" si="38"/>
        <v>27.569559842869719</v>
      </c>
      <c r="H975" s="2524">
        <f t="shared" si="39"/>
        <v>16.960031496834333</v>
      </c>
      <c r="I975" s="2524">
        <f t="shared" si="40"/>
        <v>13.423522048155872</v>
      </c>
      <c r="J975" s="2525">
        <f t="shared" si="32"/>
        <v>4.9423217303822922</v>
      </c>
      <c r="K975" s="2261">
        <f t="shared" si="33"/>
        <v>5.919604026580453</v>
      </c>
      <c r="L975" s="2524">
        <f t="shared" si="34"/>
        <v>6.8968863227786139</v>
      </c>
      <c r="M975" s="2524">
        <f t="shared" si="35"/>
        <v>3.9650394341841317</v>
      </c>
      <c r="N975" s="2524">
        <f t="shared" si="36"/>
        <v>2.9877571379859713</v>
      </c>
    </row>
    <row r="976" spans="1:14" ht="15">
      <c r="A976" s="2218"/>
      <c r="B976" s="2251">
        <v>44288</v>
      </c>
      <c r="C976">
        <v>16.912800000000001</v>
      </c>
      <c r="D976" s="2522">
        <v>4.4387999999999996</v>
      </c>
      <c r="E976" s="2523">
        <f t="shared" si="37"/>
        <v>20.496540945512795</v>
      </c>
      <c r="F976" s="2261">
        <f t="shared" si="28"/>
        <v>24.033050394191257</v>
      </c>
      <c r="G976" s="2524">
        <f t="shared" si="38"/>
        <v>27.569559842869719</v>
      </c>
      <c r="H976" s="2524">
        <f t="shared" si="39"/>
        <v>16.960031496834333</v>
      </c>
      <c r="I976" s="2524">
        <f t="shared" si="40"/>
        <v>13.423522048155872</v>
      </c>
      <c r="J976" s="2525">
        <f t="shared" si="32"/>
        <v>4.9423217303822922</v>
      </c>
      <c r="K976" s="2261">
        <f t="shared" si="33"/>
        <v>5.919604026580453</v>
      </c>
      <c r="L976" s="2524">
        <f t="shared" si="34"/>
        <v>6.8968863227786139</v>
      </c>
      <c r="M976" s="2524">
        <f t="shared" si="35"/>
        <v>3.9650394341841317</v>
      </c>
      <c r="N976" s="2524">
        <f t="shared" si="36"/>
        <v>2.9877571379859713</v>
      </c>
    </row>
    <row r="977" spans="1:14" ht="15">
      <c r="A977" s="2218"/>
      <c r="B977" s="2251">
        <v>44291</v>
      </c>
      <c r="C977">
        <v>16.8705</v>
      </c>
      <c r="D977" s="2522">
        <v>4.2458</v>
      </c>
      <c r="E977" s="2523">
        <f t="shared" si="37"/>
        <v>20.496540945512795</v>
      </c>
      <c r="F977" s="2261">
        <f t="shared" si="28"/>
        <v>24.033050394191257</v>
      </c>
      <c r="G977" s="2524">
        <f t="shared" si="38"/>
        <v>27.569559842869719</v>
      </c>
      <c r="H977" s="2524">
        <f t="shared" si="39"/>
        <v>16.960031496834333</v>
      </c>
      <c r="I977" s="2524">
        <f t="shared" si="40"/>
        <v>13.423522048155872</v>
      </c>
      <c r="J977" s="2525">
        <f t="shared" si="32"/>
        <v>4.9423217303822922</v>
      </c>
      <c r="K977" s="2261">
        <f t="shared" si="33"/>
        <v>5.919604026580453</v>
      </c>
      <c r="L977" s="2524">
        <f t="shared" si="34"/>
        <v>6.8968863227786139</v>
      </c>
      <c r="M977" s="2524">
        <f t="shared" si="35"/>
        <v>3.9650394341841317</v>
      </c>
      <c r="N977" s="2524">
        <f t="shared" si="36"/>
        <v>2.9877571379859713</v>
      </c>
    </row>
    <row r="978" spans="1:14" ht="15">
      <c r="A978" s="2218"/>
      <c r="B978" s="2251">
        <v>44292</v>
      </c>
      <c r="C978">
        <v>16.828099999999999</v>
      </c>
      <c r="D978" s="2522">
        <v>4.2733999999999996</v>
      </c>
      <c r="E978" s="2523">
        <f t="shared" si="37"/>
        <v>20.496540945512795</v>
      </c>
      <c r="F978" s="2261">
        <f t="shared" si="28"/>
        <v>24.033050394191257</v>
      </c>
      <c r="G978" s="2524">
        <f t="shared" si="38"/>
        <v>27.569559842869719</v>
      </c>
      <c r="H978" s="2524">
        <f t="shared" si="39"/>
        <v>16.960031496834333</v>
      </c>
      <c r="I978" s="2524">
        <f t="shared" si="40"/>
        <v>13.423522048155872</v>
      </c>
      <c r="J978" s="2525">
        <f t="shared" si="32"/>
        <v>4.9423217303822922</v>
      </c>
      <c r="K978" s="2261">
        <f t="shared" si="33"/>
        <v>5.919604026580453</v>
      </c>
      <c r="L978" s="2524">
        <f t="shared" si="34"/>
        <v>6.8968863227786139</v>
      </c>
      <c r="M978" s="2524">
        <f t="shared" si="35"/>
        <v>3.9650394341841317</v>
      </c>
      <c r="N978" s="2524">
        <f t="shared" si="36"/>
        <v>2.9877571379859713</v>
      </c>
    </row>
    <row r="979" spans="1:14" ht="15">
      <c r="A979" s="2218"/>
      <c r="B979" s="2251">
        <v>44293</v>
      </c>
      <c r="C979">
        <v>16.8705</v>
      </c>
      <c r="D979" s="2522">
        <v>4.3230000000000004</v>
      </c>
      <c r="E979" s="2523">
        <f t="shared" si="37"/>
        <v>20.496540945512795</v>
      </c>
      <c r="F979" s="2261">
        <f t="shared" si="28"/>
        <v>24.033050394191257</v>
      </c>
      <c r="G979" s="2524">
        <f t="shared" si="38"/>
        <v>27.569559842869719</v>
      </c>
      <c r="H979" s="2524">
        <f t="shared" si="39"/>
        <v>16.960031496834333</v>
      </c>
      <c r="I979" s="2524">
        <f t="shared" si="40"/>
        <v>13.423522048155872</v>
      </c>
      <c r="J979" s="2525">
        <f t="shared" si="32"/>
        <v>4.9423217303822922</v>
      </c>
      <c r="K979" s="2261">
        <f t="shared" si="33"/>
        <v>5.919604026580453</v>
      </c>
      <c r="L979" s="2524">
        <f t="shared" si="34"/>
        <v>6.8968863227786139</v>
      </c>
      <c r="M979" s="2524">
        <f t="shared" si="35"/>
        <v>3.9650394341841317</v>
      </c>
      <c r="N979" s="2524">
        <f t="shared" si="36"/>
        <v>2.9877571379859713</v>
      </c>
    </row>
    <row r="980" spans="1:14" ht="15">
      <c r="A980" s="2218"/>
      <c r="B980" s="2251">
        <v>44294</v>
      </c>
      <c r="C980">
        <v>16.8705</v>
      </c>
      <c r="D980" s="2522">
        <v>4.2182000000000004</v>
      </c>
      <c r="E980" s="2523">
        <f t="shared" si="37"/>
        <v>20.496540945512795</v>
      </c>
      <c r="F980" s="2261">
        <f t="shared" si="28"/>
        <v>24.033050394191257</v>
      </c>
      <c r="G980" s="2524">
        <f t="shared" si="38"/>
        <v>27.569559842869719</v>
      </c>
      <c r="H980" s="2524">
        <f t="shared" si="39"/>
        <v>16.960031496834333</v>
      </c>
      <c r="I980" s="2524">
        <f t="shared" si="40"/>
        <v>13.423522048155872</v>
      </c>
      <c r="J980" s="2525">
        <f t="shared" si="32"/>
        <v>4.9423217303822922</v>
      </c>
      <c r="K980" s="2261">
        <f t="shared" si="33"/>
        <v>5.919604026580453</v>
      </c>
      <c r="L980" s="2524">
        <f t="shared" si="34"/>
        <v>6.8968863227786139</v>
      </c>
      <c r="M980" s="2524">
        <f t="shared" si="35"/>
        <v>3.9650394341841317</v>
      </c>
      <c r="N980" s="2524">
        <f t="shared" si="36"/>
        <v>2.9877571379859713</v>
      </c>
    </row>
    <row r="981" spans="1:14" ht="15">
      <c r="A981" s="2218"/>
      <c r="B981" s="2251">
        <v>44295</v>
      </c>
      <c r="C981">
        <v>17.400300000000001</v>
      </c>
      <c r="D981" s="2522">
        <v>4.0804</v>
      </c>
      <c r="E981" s="2523">
        <f t="shared" si="37"/>
        <v>20.496540945512795</v>
      </c>
      <c r="F981" s="2261">
        <f t="shared" si="28"/>
        <v>24.033050394191257</v>
      </c>
      <c r="G981" s="2524">
        <f t="shared" si="38"/>
        <v>27.569559842869719</v>
      </c>
      <c r="H981" s="2524">
        <f t="shared" si="39"/>
        <v>16.960031496834333</v>
      </c>
      <c r="I981" s="2524">
        <f t="shared" si="40"/>
        <v>13.423522048155872</v>
      </c>
      <c r="J981" s="2525">
        <f t="shared" si="32"/>
        <v>4.9423217303822922</v>
      </c>
      <c r="K981" s="2261">
        <f t="shared" si="33"/>
        <v>5.919604026580453</v>
      </c>
      <c r="L981" s="2524">
        <f t="shared" si="34"/>
        <v>6.8968863227786139</v>
      </c>
      <c r="M981" s="2524">
        <f t="shared" si="35"/>
        <v>3.9650394341841317</v>
      </c>
      <c r="N981" s="2524">
        <f t="shared" si="36"/>
        <v>2.9877571379859713</v>
      </c>
    </row>
    <row r="982" spans="1:14" ht="15">
      <c r="A982" s="2218"/>
      <c r="B982" s="2251">
        <v>44298</v>
      </c>
      <c r="C982">
        <v>17.400300000000001</v>
      </c>
      <c r="D982" s="2522">
        <v>4.0804</v>
      </c>
      <c r="E982" s="2523">
        <f t="shared" si="37"/>
        <v>20.496540945512795</v>
      </c>
      <c r="F982" s="2261">
        <f t="shared" si="28"/>
        <v>24.033050394191257</v>
      </c>
      <c r="G982" s="2524">
        <f t="shared" si="38"/>
        <v>27.569559842869719</v>
      </c>
      <c r="H982" s="2524">
        <f t="shared" si="39"/>
        <v>16.960031496834333</v>
      </c>
      <c r="I982" s="2524">
        <f t="shared" si="40"/>
        <v>13.423522048155872</v>
      </c>
      <c r="J982" s="2525">
        <f t="shared" si="32"/>
        <v>4.9423217303822922</v>
      </c>
      <c r="K982" s="2261">
        <f t="shared" si="33"/>
        <v>5.919604026580453</v>
      </c>
      <c r="L982" s="2524">
        <f t="shared" si="34"/>
        <v>6.8968863227786139</v>
      </c>
      <c r="M982" s="2524">
        <f t="shared" si="35"/>
        <v>3.9650394341841317</v>
      </c>
      <c r="N982" s="2524">
        <f t="shared" si="36"/>
        <v>2.9877571379859713</v>
      </c>
    </row>
    <row r="983" spans="1:14" ht="15">
      <c r="A983" s="2218"/>
      <c r="B983" s="2251">
        <v>44299</v>
      </c>
      <c r="C983">
        <v>17.1036</v>
      </c>
      <c r="D983" s="2522">
        <v>3.9148999999999998</v>
      </c>
      <c r="E983" s="2523">
        <f t="shared" si="37"/>
        <v>20.496540945512795</v>
      </c>
      <c r="F983" s="2261">
        <f t="shared" si="28"/>
        <v>24.033050394191257</v>
      </c>
      <c r="G983" s="2524">
        <f t="shared" si="38"/>
        <v>27.569559842869719</v>
      </c>
      <c r="H983" s="2524">
        <f t="shared" si="39"/>
        <v>16.960031496834333</v>
      </c>
      <c r="I983" s="2524">
        <f t="shared" si="40"/>
        <v>13.423522048155872</v>
      </c>
      <c r="J983" s="2525">
        <f t="shared" si="32"/>
        <v>4.9423217303822922</v>
      </c>
      <c r="K983" s="2261">
        <f t="shared" si="33"/>
        <v>5.919604026580453</v>
      </c>
      <c r="L983" s="2524">
        <f t="shared" si="34"/>
        <v>6.8968863227786139</v>
      </c>
      <c r="M983" s="2524">
        <f t="shared" si="35"/>
        <v>3.9650394341841317</v>
      </c>
      <c r="N983" s="2524">
        <f t="shared" si="36"/>
        <v>2.9877571379859713</v>
      </c>
    </row>
    <row r="984" spans="1:14" ht="15">
      <c r="A984" s="2218"/>
      <c r="B984" s="2251">
        <v>44300</v>
      </c>
      <c r="C984">
        <v>17.167200000000001</v>
      </c>
      <c r="D984" s="2522">
        <v>3.9921000000000002</v>
      </c>
      <c r="E984" s="2523">
        <f t="shared" si="37"/>
        <v>20.496540945512795</v>
      </c>
      <c r="F984" s="2261">
        <f t="shared" si="28"/>
        <v>24.033050394191257</v>
      </c>
      <c r="G984" s="2524">
        <f t="shared" si="38"/>
        <v>27.569559842869719</v>
      </c>
      <c r="H984" s="2524">
        <f t="shared" si="39"/>
        <v>16.960031496834333</v>
      </c>
      <c r="I984" s="2524">
        <f t="shared" si="40"/>
        <v>13.423522048155872</v>
      </c>
      <c r="J984" s="2525">
        <f t="shared" si="32"/>
        <v>4.9423217303822922</v>
      </c>
      <c r="K984" s="2261">
        <f t="shared" si="33"/>
        <v>5.919604026580453</v>
      </c>
      <c r="L984" s="2524">
        <f t="shared" si="34"/>
        <v>6.8968863227786139</v>
      </c>
      <c r="M984" s="2524">
        <f t="shared" si="35"/>
        <v>3.9650394341841317</v>
      </c>
      <c r="N984" s="2524">
        <f t="shared" si="36"/>
        <v>2.9877571379859713</v>
      </c>
    </row>
    <row r="985" spans="1:14" ht="15">
      <c r="A985" s="2218"/>
      <c r="B985" s="2251">
        <v>44301</v>
      </c>
      <c r="C985">
        <v>16.955200000000001</v>
      </c>
      <c r="D985" s="2522">
        <v>4.0251999999999999</v>
      </c>
      <c r="E985" s="2523">
        <f t="shared" si="37"/>
        <v>20.496540945512795</v>
      </c>
      <c r="F985" s="2261">
        <f t="shared" si="28"/>
        <v>24.033050394191257</v>
      </c>
      <c r="G985" s="2524">
        <f t="shared" si="38"/>
        <v>27.569559842869719</v>
      </c>
      <c r="H985" s="2524">
        <f t="shared" si="39"/>
        <v>16.960031496834333</v>
      </c>
      <c r="I985" s="2524">
        <f t="shared" si="40"/>
        <v>13.423522048155872</v>
      </c>
      <c r="J985" s="2525">
        <f t="shared" si="32"/>
        <v>4.9423217303822922</v>
      </c>
      <c r="K985" s="2261">
        <f t="shared" si="33"/>
        <v>5.919604026580453</v>
      </c>
      <c r="L985" s="2524">
        <f t="shared" si="34"/>
        <v>6.8968863227786139</v>
      </c>
      <c r="M985" s="2524">
        <f t="shared" si="35"/>
        <v>3.9650394341841317</v>
      </c>
      <c r="N985" s="2524">
        <f t="shared" si="36"/>
        <v>2.9877571379859713</v>
      </c>
    </row>
    <row r="986" spans="1:14" ht="15">
      <c r="A986" s="2218"/>
      <c r="B986" s="2251">
        <v>44302</v>
      </c>
      <c r="C986">
        <v>16.8917</v>
      </c>
      <c r="D986" s="2522">
        <v>4.0804</v>
      </c>
      <c r="E986" s="2523">
        <f t="shared" si="37"/>
        <v>20.496540945512795</v>
      </c>
      <c r="F986" s="2261">
        <f t="shared" si="28"/>
        <v>24.033050394191257</v>
      </c>
      <c r="G986" s="2524">
        <f t="shared" si="38"/>
        <v>27.569559842869719</v>
      </c>
      <c r="H986" s="2524">
        <f t="shared" si="39"/>
        <v>16.960031496834333</v>
      </c>
      <c r="I986" s="2524">
        <f t="shared" si="40"/>
        <v>13.423522048155872</v>
      </c>
      <c r="J986" s="2525">
        <f t="shared" si="32"/>
        <v>4.9423217303822922</v>
      </c>
      <c r="K986" s="2261">
        <f t="shared" si="33"/>
        <v>5.919604026580453</v>
      </c>
      <c r="L986" s="2524">
        <f t="shared" si="34"/>
        <v>6.8968863227786139</v>
      </c>
      <c r="M986" s="2524">
        <f t="shared" si="35"/>
        <v>3.9650394341841317</v>
      </c>
      <c r="N986" s="2524">
        <f t="shared" si="36"/>
        <v>2.9877571379859713</v>
      </c>
    </row>
    <row r="987" spans="1:14" ht="15">
      <c r="A987" s="2218"/>
      <c r="B987" s="2251">
        <v>44305</v>
      </c>
      <c r="C987">
        <v>17.273099999999999</v>
      </c>
      <c r="D987" s="2522">
        <v>4.0693000000000001</v>
      </c>
      <c r="E987" s="2523">
        <f t="shared" si="37"/>
        <v>20.496540945512795</v>
      </c>
      <c r="F987" s="2261">
        <f t="shared" si="28"/>
        <v>24.033050394191257</v>
      </c>
      <c r="G987" s="2524">
        <f t="shared" si="38"/>
        <v>27.569559842869719</v>
      </c>
      <c r="H987" s="2524">
        <f t="shared" si="39"/>
        <v>16.960031496834333</v>
      </c>
      <c r="I987" s="2524">
        <f t="shared" si="40"/>
        <v>13.423522048155872</v>
      </c>
      <c r="J987" s="2525">
        <f t="shared" si="32"/>
        <v>4.9423217303822922</v>
      </c>
      <c r="K987" s="2261">
        <f t="shared" si="33"/>
        <v>5.919604026580453</v>
      </c>
      <c r="L987" s="2524">
        <f t="shared" si="34"/>
        <v>6.8968863227786139</v>
      </c>
      <c r="M987" s="2524">
        <f t="shared" si="35"/>
        <v>3.9650394341841317</v>
      </c>
      <c r="N987" s="2524">
        <f t="shared" si="36"/>
        <v>2.9877571379859713</v>
      </c>
    </row>
    <row r="988" spans="1:14" ht="15">
      <c r="A988" s="2218"/>
      <c r="B988" s="2251">
        <v>44306</v>
      </c>
      <c r="C988">
        <v>17.569900000000001</v>
      </c>
      <c r="D988" s="2522">
        <v>4.13</v>
      </c>
      <c r="E988" s="2523">
        <f t="shared" si="37"/>
        <v>20.496540945512795</v>
      </c>
      <c r="F988" s="2261">
        <f t="shared" si="28"/>
        <v>24.033050394191257</v>
      </c>
      <c r="G988" s="2524">
        <f t="shared" si="38"/>
        <v>27.569559842869719</v>
      </c>
      <c r="H988" s="2524">
        <f t="shared" si="39"/>
        <v>16.960031496834333</v>
      </c>
      <c r="I988" s="2524">
        <f t="shared" si="40"/>
        <v>13.423522048155872</v>
      </c>
      <c r="J988" s="2525">
        <f t="shared" si="32"/>
        <v>4.9423217303822922</v>
      </c>
      <c r="K988" s="2261">
        <f t="shared" si="33"/>
        <v>5.919604026580453</v>
      </c>
      <c r="L988" s="2524">
        <f t="shared" si="34"/>
        <v>6.8968863227786139</v>
      </c>
      <c r="M988" s="2524">
        <f t="shared" si="35"/>
        <v>3.9650394341841317</v>
      </c>
      <c r="N988" s="2524">
        <f t="shared" si="36"/>
        <v>2.9877571379859713</v>
      </c>
    </row>
    <row r="989" spans="1:14" ht="15">
      <c r="A989" s="2218"/>
      <c r="B989" s="2251">
        <v>44308</v>
      </c>
      <c r="C989">
        <v>16.955200000000001</v>
      </c>
      <c r="D989" s="2522">
        <v>4.1631</v>
      </c>
      <c r="E989" s="2523">
        <f t="shared" si="37"/>
        <v>20.496540945512795</v>
      </c>
      <c r="F989" s="2261">
        <f t="shared" si="28"/>
        <v>24.033050394191257</v>
      </c>
      <c r="G989" s="2524">
        <f t="shared" si="38"/>
        <v>27.569559842869719</v>
      </c>
      <c r="H989" s="2524">
        <f t="shared" si="39"/>
        <v>16.960031496834333</v>
      </c>
      <c r="I989" s="2524">
        <f t="shared" si="40"/>
        <v>13.423522048155872</v>
      </c>
      <c r="J989" s="2525">
        <f t="shared" si="32"/>
        <v>4.9423217303822922</v>
      </c>
      <c r="K989" s="2261">
        <f t="shared" si="33"/>
        <v>5.919604026580453</v>
      </c>
      <c r="L989" s="2524">
        <f t="shared" si="34"/>
        <v>6.8968863227786139</v>
      </c>
      <c r="M989" s="2524">
        <f t="shared" si="35"/>
        <v>3.9650394341841317</v>
      </c>
      <c r="N989" s="2524">
        <f t="shared" si="36"/>
        <v>2.9877571379859713</v>
      </c>
    </row>
    <row r="990" spans="1:14" ht="15">
      <c r="A990" s="2218"/>
      <c r="B990" s="2251">
        <v>44309</v>
      </c>
      <c r="C990">
        <v>17.591100000000001</v>
      </c>
      <c r="D990" s="2522">
        <v>4.2899000000000003</v>
      </c>
      <c r="E990" s="2523">
        <f t="shared" si="37"/>
        <v>20.496540945512795</v>
      </c>
      <c r="F990" s="2261">
        <f t="shared" si="28"/>
        <v>24.033050394191257</v>
      </c>
      <c r="G990" s="2524">
        <f t="shared" si="38"/>
        <v>27.569559842869719</v>
      </c>
      <c r="H990" s="2524">
        <f t="shared" si="39"/>
        <v>16.960031496834333</v>
      </c>
      <c r="I990" s="2524">
        <f t="shared" si="40"/>
        <v>13.423522048155872</v>
      </c>
      <c r="J990" s="2525">
        <f t="shared" si="32"/>
        <v>4.9423217303822922</v>
      </c>
      <c r="K990" s="2261">
        <f t="shared" si="33"/>
        <v>5.919604026580453</v>
      </c>
      <c r="L990" s="2524">
        <f t="shared" si="34"/>
        <v>6.8968863227786139</v>
      </c>
      <c r="M990" s="2524">
        <f t="shared" si="35"/>
        <v>3.9650394341841317</v>
      </c>
      <c r="N990" s="2524">
        <f t="shared" si="36"/>
        <v>2.9877571379859713</v>
      </c>
    </row>
    <row r="991" spans="1:14" ht="15">
      <c r="A991" s="2218"/>
      <c r="B991" s="2251">
        <v>44312</v>
      </c>
      <c r="C991">
        <v>17.167200000000001</v>
      </c>
      <c r="D991" s="2522">
        <v>4.0747999999999998</v>
      </c>
      <c r="E991" s="2523">
        <f t="shared" si="37"/>
        <v>20.496540945512795</v>
      </c>
      <c r="F991" s="2261">
        <f t="shared" si="28"/>
        <v>24.033050394191257</v>
      </c>
      <c r="G991" s="2524">
        <f t="shared" si="38"/>
        <v>27.569559842869719</v>
      </c>
      <c r="H991" s="2524">
        <f t="shared" si="39"/>
        <v>16.960031496834333</v>
      </c>
      <c r="I991" s="2524">
        <f t="shared" si="40"/>
        <v>13.423522048155872</v>
      </c>
      <c r="J991" s="2525">
        <f t="shared" si="32"/>
        <v>4.9423217303822922</v>
      </c>
      <c r="K991" s="2261">
        <f t="shared" si="33"/>
        <v>5.919604026580453</v>
      </c>
      <c r="L991" s="2524">
        <f t="shared" si="34"/>
        <v>6.8968863227786139</v>
      </c>
      <c r="M991" s="2524">
        <f t="shared" si="35"/>
        <v>3.9650394341841317</v>
      </c>
      <c r="N991" s="2524">
        <f t="shared" si="36"/>
        <v>2.9877571379859713</v>
      </c>
    </row>
    <row r="992" spans="1:14" ht="15">
      <c r="A992" s="2218"/>
      <c r="B992" s="2251">
        <v>44313</v>
      </c>
      <c r="C992">
        <v>17.1036</v>
      </c>
      <c r="D992" s="2522">
        <v>3.9205000000000001</v>
      </c>
      <c r="E992" s="2523">
        <f t="shared" si="37"/>
        <v>20.496540945512795</v>
      </c>
      <c r="F992" s="2261">
        <f t="shared" si="28"/>
        <v>24.033050394191257</v>
      </c>
      <c r="G992" s="2524">
        <f t="shared" si="38"/>
        <v>27.569559842869719</v>
      </c>
      <c r="H992" s="2524">
        <f t="shared" si="39"/>
        <v>16.960031496834333</v>
      </c>
      <c r="I992" s="2524">
        <f t="shared" si="40"/>
        <v>13.423522048155872</v>
      </c>
      <c r="J992" s="2525">
        <f t="shared" si="32"/>
        <v>4.9423217303822922</v>
      </c>
      <c r="K992" s="2261">
        <f t="shared" si="33"/>
        <v>5.919604026580453</v>
      </c>
      <c r="L992" s="2524">
        <f t="shared" si="34"/>
        <v>6.8968863227786139</v>
      </c>
      <c r="M992" s="2524">
        <f t="shared" si="35"/>
        <v>3.9650394341841317</v>
      </c>
      <c r="N992" s="2524">
        <f t="shared" si="36"/>
        <v>2.9877571379859713</v>
      </c>
    </row>
    <row r="993" spans="1:14" ht="15">
      <c r="A993" s="2218"/>
      <c r="B993" s="2251">
        <v>44314</v>
      </c>
      <c r="C993">
        <v>17.1248</v>
      </c>
      <c r="D993" s="2522">
        <v>4.0362</v>
      </c>
      <c r="E993" s="2523">
        <f t="shared" si="37"/>
        <v>20.496540945512795</v>
      </c>
      <c r="F993" s="2261">
        <f t="shared" si="28"/>
        <v>24.033050394191257</v>
      </c>
      <c r="G993" s="2524">
        <f t="shared" si="38"/>
        <v>27.569559842869719</v>
      </c>
      <c r="H993" s="2524">
        <f t="shared" si="39"/>
        <v>16.960031496834333</v>
      </c>
      <c r="I993" s="2524">
        <f t="shared" si="40"/>
        <v>13.423522048155872</v>
      </c>
      <c r="J993" s="2525">
        <f t="shared" si="32"/>
        <v>4.9423217303822922</v>
      </c>
      <c r="K993" s="2261">
        <f t="shared" si="33"/>
        <v>5.919604026580453</v>
      </c>
      <c r="L993" s="2524">
        <f t="shared" si="34"/>
        <v>6.8968863227786139</v>
      </c>
      <c r="M993" s="2524">
        <f t="shared" si="35"/>
        <v>3.9650394341841317</v>
      </c>
      <c r="N993" s="2524">
        <f t="shared" si="36"/>
        <v>2.9877571379859713</v>
      </c>
    </row>
    <row r="994" spans="1:14" ht="15">
      <c r="A994" s="2218"/>
      <c r="B994" s="2251">
        <v>44315</v>
      </c>
      <c r="C994">
        <v>17.146000000000001</v>
      </c>
      <c r="D994" s="2522">
        <v>4.0693000000000001</v>
      </c>
      <c r="E994" s="2523">
        <f t="shared" si="37"/>
        <v>20.496540945512795</v>
      </c>
      <c r="F994" s="2261">
        <f t="shared" si="28"/>
        <v>24.033050394191257</v>
      </c>
      <c r="G994" s="2524">
        <f t="shared" si="38"/>
        <v>27.569559842869719</v>
      </c>
      <c r="H994" s="2524">
        <f t="shared" si="39"/>
        <v>16.960031496834333</v>
      </c>
      <c r="I994" s="2524">
        <f t="shared" si="40"/>
        <v>13.423522048155872</v>
      </c>
      <c r="J994" s="2525">
        <f t="shared" si="32"/>
        <v>4.9423217303822922</v>
      </c>
      <c r="K994" s="2261">
        <f t="shared" si="33"/>
        <v>5.919604026580453</v>
      </c>
      <c r="L994" s="2524">
        <f t="shared" si="34"/>
        <v>6.8968863227786139</v>
      </c>
      <c r="M994" s="2524">
        <f t="shared" si="35"/>
        <v>3.9650394341841317</v>
      </c>
      <c r="N994" s="2524">
        <f t="shared" si="36"/>
        <v>2.9877571379859713</v>
      </c>
    </row>
    <row r="995" spans="1:14" ht="15">
      <c r="A995" s="2218"/>
      <c r="B995" s="2251">
        <v>44320</v>
      </c>
      <c r="C995">
        <v>17.569900000000001</v>
      </c>
      <c r="D995" s="2522">
        <v>4.1795999999999998</v>
      </c>
      <c r="E995" s="2523">
        <f t="shared" si="37"/>
        <v>20.496540945512795</v>
      </c>
      <c r="F995" s="2261">
        <f t="shared" si="28"/>
        <v>24.033050394191257</v>
      </c>
      <c r="G995" s="2524">
        <f t="shared" si="38"/>
        <v>27.569559842869719</v>
      </c>
      <c r="H995" s="2524">
        <f t="shared" si="39"/>
        <v>16.960031496834333</v>
      </c>
      <c r="I995" s="2524">
        <f t="shared" si="40"/>
        <v>13.423522048155872</v>
      </c>
      <c r="J995" s="2525">
        <f t="shared" si="32"/>
        <v>4.9423217303822922</v>
      </c>
      <c r="K995" s="2261">
        <f t="shared" si="33"/>
        <v>5.919604026580453</v>
      </c>
      <c r="L995" s="2524">
        <f t="shared" si="34"/>
        <v>6.8968863227786139</v>
      </c>
      <c r="M995" s="2524">
        <f t="shared" si="35"/>
        <v>3.9650394341841317</v>
      </c>
      <c r="N995" s="2524">
        <f t="shared" si="36"/>
        <v>2.9877571379859713</v>
      </c>
    </row>
    <row r="996" spans="1:14" ht="15">
      <c r="A996" s="2218"/>
      <c r="B996" s="2251">
        <v>44321</v>
      </c>
      <c r="C996">
        <v>17.569900000000001</v>
      </c>
      <c r="D996" s="2522">
        <v>4.1355000000000004</v>
      </c>
      <c r="E996" s="2523">
        <f t="shared" si="37"/>
        <v>20.496540945512795</v>
      </c>
      <c r="F996" s="2261">
        <f t="shared" si="28"/>
        <v>24.033050394191257</v>
      </c>
      <c r="G996" s="2524">
        <f t="shared" si="38"/>
        <v>27.569559842869719</v>
      </c>
      <c r="H996" s="2524">
        <f t="shared" si="39"/>
        <v>16.960031496834333</v>
      </c>
      <c r="I996" s="2524">
        <f t="shared" si="40"/>
        <v>13.423522048155872</v>
      </c>
      <c r="J996" s="2525">
        <f t="shared" si="32"/>
        <v>4.9423217303822922</v>
      </c>
      <c r="K996" s="2261">
        <f t="shared" si="33"/>
        <v>5.919604026580453</v>
      </c>
      <c r="L996" s="2524">
        <f t="shared" si="34"/>
        <v>6.8968863227786139</v>
      </c>
      <c r="M996" s="2524">
        <f t="shared" si="35"/>
        <v>3.9650394341841317</v>
      </c>
      <c r="N996" s="2524">
        <f t="shared" si="36"/>
        <v>2.9877571379859713</v>
      </c>
    </row>
    <row r="997" spans="1:14" ht="15">
      <c r="A997" s="2218"/>
      <c r="B997" s="2251">
        <v>44322</v>
      </c>
      <c r="C997">
        <v>17.5275</v>
      </c>
      <c r="D997" s="2522">
        <v>4.1685999999999996</v>
      </c>
      <c r="E997" s="2523">
        <f t="shared" si="37"/>
        <v>20.496540945512795</v>
      </c>
      <c r="F997" s="2261">
        <f t="shared" si="28"/>
        <v>24.033050394191257</v>
      </c>
      <c r="G997" s="2524">
        <f t="shared" si="38"/>
        <v>27.569559842869719</v>
      </c>
      <c r="H997" s="2524">
        <f t="shared" si="39"/>
        <v>16.960031496834333</v>
      </c>
      <c r="I997" s="2524">
        <f t="shared" si="40"/>
        <v>13.423522048155872</v>
      </c>
      <c r="J997" s="2525">
        <f t="shared" si="32"/>
        <v>4.9423217303822922</v>
      </c>
      <c r="K997" s="2261">
        <f t="shared" si="33"/>
        <v>5.919604026580453</v>
      </c>
      <c r="L997" s="2524">
        <f t="shared" si="34"/>
        <v>6.8968863227786139</v>
      </c>
      <c r="M997" s="2524">
        <f t="shared" si="35"/>
        <v>3.9650394341841317</v>
      </c>
      <c r="N997" s="2524">
        <f t="shared" si="36"/>
        <v>2.9877571379859713</v>
      </c>
    </row>
    <row r="998" spans="1:14" ht="15">
      <c r="A998" s="2218"/>
      <c r="B998" s="2251">
        <v>44323</v>
      </c>
      <c r="C998">
        <v>17.591100000000001</v>
      </c>
      <c r="D998" s="2522">
        <v>4.1631</v>
      </c>
      <c r="E998" s="2523">
        <f t="shared" si="37"/>
        <v>20.496540945512795</v>
      </c>
      <c r="F998" s="2261">
        <f t="shared" si="28"/>
        <v>24.033050394191257</v>
      </c>
      <c r="G998" s="2524">
        <f t="shared" si="38"/>
        <v>27.569559842869719</v>
      </c>
      <c r="H998" s="2524">
        <f t="shared" si="39"/>
        <v>16.960031496834333</v>
      </c>
      <c r="I998" s="2524">
        <f t="shared" si="40"/>
        <v>13.423522048155872</v>
      </c>
      <c r="J998" s="2525">
        <f t="shared" si="32"/>
        <v>4.9423217303822922</v>
      </c>
      <c r="K998" s="2261">
        <f t="shared" si="33"/>
        <v>5.919604026580453</v>
      </c>
      <c r="L998" s="2524">
        <f t="shared" si="34"/>
        <v>6.8968863227786139</v>
      </c>
      <c r="M998" s="2524">
        <f t="shared" si="35"/>
        <v>3.9650394341841317</v>
      </c>
      <c r="N998" s="2524">
        <f t="shared" si="36"/>
        <v>2.9877571379859713</v>
      </c>
    </row>
    <row r="999" spans="1:14" ht="15">
      <c r="A999" s="2218"/>
      <c r="B999" s="2251">
        <v>44326</v>
      </c>
      <c r="C999">
        <v>18.1845</v>
      </c>
      <c r="D999" s="2522">
        <v>4.0804</v>
      </c>
      <c r="E999" s="2523">
        <f t="shared" si="37"/>
        <v>20.496540945512795</v>
      </c>
      <c r="F999" s="2261">
        <f t="shared" si="28"/>
        <v>24.033050394191257</v>
      </c>
      <c r="G999" s="2524">
        <f t="shared" si="38"/>
        <v>27.569559842869719</v>
      </c>
      <c r="H999" s="2524">
        <f t="shared" si="39"/>
        <v>16.960031496834333</v>
      </c>
      <c r="I999" s="2524">
        <f t="shared" si="40"/>
        <v>13.423522048155872</v>
      </c>
      <c r="J999" s="2525">
        <f t="shared" si="32"/>
        <v>4.9423217303822922</v>
      </c>
      <c r="K999" s="2261">
        <f t="shared" si="33"/>
        <v>5.919604026580453</v>
      </c>
      <c r="L999" s="2524">
        <f t="shared" si="34"/>
        <v>6.8968863227786139</v>
      </c>
      <c r="M999" s="2524">
        <f t="shared" si="35"/>
        <v>3.9650394341841317</v>
      </c>
      <c r="N999" s="2524">
        <f t="shared" si="36"/>
        <v>2.9877571379859713</v>
      </c>
    </row>
    <row r="1000" spans="1:14" ht="15">
      <c r="A1000" s="2218"/>
      <c r="B1000" s="2251">
        <v>44327</v>
      </c>
      <c r="C1000">
        <v>18.057300000000001</v>
      </c>
      <c r="D1000" s="2522">
        <v>4.0858999999999996</v>
      </c>
      <c r="E1000" s="2523">
        <f t="shared" si="37"/>
        <v>20.496540945512795</v>
      </c>
      <c r="F1000" s="2261">
        <f t="shared" si="28"/>
        <v>24.033050394191257</v>
      </c>
      <c r="G1000" s="2524">
        <f t="shared" si="38"/>
        <v>27.569559842869719</v>
      </c>
      <c r="H1000" s="2524">
        <f t="shared" si="39"/>
        <v>16.960031496834333</v>
      </c>
      <c r="I1000" s="2524">
        <f t="shared" si="40"/>
        <v>13.423522048155872</v>
      </c>
      <c r="J1000" s="2525">
        <f t="shared" si="32"/>
        <v>4.9423217303822922</v>
      </c>
      <c r="K1000" s="2261">
        <f t="shared" si="33"/>
        <v>5.919604026580453</v>
      </c>
      <c r="L1000" s="2524">
        <f t="shared" si="34"/>
        <v>6.8968863227786139</v>
      </c>
      <c r="M1000" s="2524">
        <f t="shared" si="35"/>
        <v>3.9650394341841317</v>
      </c>
      <c r="N1000" s="2524">
        <f t="shared" si="36"/>
        <v>2.9877571379859713</v>
      </c>
    </row>
    <row r="1001" spans="1:14" ht="15">
      <c r="A1001" s="2218"/>
      <c r="B1001" s="2251">
        <v>44328</v>
      </c>
      <c r="C1001">
        <v>18.099699999999999</v>
      </c>
      <c r="D1001" s="2522">
        <v>4.0197000000000003</v>
      </c>
      <c r="E1001" s="2523">
        <f t="shared" si="37"/>
        <v>20.496540945512795</v>
      </c>
      <c r="F1001" s="2261">
        <f t="shared" si="28"/>
        <v>24.033050394191257</v>
      </c>
      <c r="G1001" s="2524">
        <f t="shared" si="38"/>
        <v>27.569559842869719</v>
      </c>
      <c r="H1001" s="2524">
        <f t="shared" si="39"/>
        <v>16.960031496834333</v>
      </c>
      <c r="I1001" s="2524">
        <f t="shared" si="40"/>
        <v>13.423522048155872</v>
      </c>
      <c r="J1001" s="2525">
        <f t="shared" ref="J1001:J1064" si="41">J$953</f>
        <v>4.9423217303822922</v>
      </c>
      <c r="K1001" s="2261">
        <f t="shared" ref="K1001:K1064" si="42">J$953+G$953</f>
        <v>5.919604026580453</v>
      </c>
      <c r="L1001" s="2524">
        <f t="shared" ref="L1001:L1064" si="43">J$953+G$953+G$953</f>
        <v>6.8968863227786139</v>
      </c>
      <c r="M1001" s="2524">
        <f t="shared" ref="M1001:M1064" si="44">J$953-G$953</f>
        <v>3.9650394341841317</v>
      </c>
      <c r="N1001" s="2524">
        <f t="shared" ref="N1001:N1064" si="45">J$953-G$953-G$953</f>
        <v>2.9877571379859713</v>
      </c>
    </row>
    <row r="1002" spans="1:14" ht="15">
      <c r="A1002" s="2218"/>
      <c r="B1002" s="2251">
        <v>44329</v>
      </c>
      <c r="C1002">
        <v>17.803000000000001</v>
      </c>
      <c r="D1002" s="2522">
        <v>4.0031999999999996</v>
      </c>
      <c r="E1002" s="2523">
        <f t="shared" si="37"/>
        <v>20.496540945512795</v>
      </c>
      <c r="F1002" s="2261">
        <f t="shared" si="28"/>
        <v>24.033050394191257</v>
      </c>
      <c r="G1002" s="2524">
        <f t="shared" si="38"/>
        <v>27.569559842869719</v>
      </c>
      <c r="H1002" s="2524">
        <f t="shared" si="39"/>
        <v>16.960031496834333</v>
      </c>
      <c r="I1002" s="2524">
        <f t="shared" si="40"/>
        <v>13.423522048155872</v>
      </c>
      <c r="J1002" s="2525">
        <f t="shared" si="41"/>
        <v>4.9423217303822922</v>
      </c>
      <c r="K1002" s="2261">
        <f t="shared" si="42"/>
        <v>5.919604026580453</v>
      </c>
      <c r="L1002" s="2524">
        <f t="shared" si="43"/>
        <v>6.8968863227786139</v>
      </c>
      <c r="M1002" s="2524">
        <f t="shared" si="44"/>
        <v>3.9650394341841317</v>
      </c>
      <c r="N1002" s="2524">
        <f t="shared" si="45"/>
        <v>2.9877571379859713</v>
      </c>
    </row>
    <row r="1003" spans="1:14" ht="15">
      <c r="A1003" s="2218"/>
      <c r="B1003" s="2251">
        <v>44330</v>
      </c>
      <c r="C1003">
        <v>17.9726</v>
      </c>
      <c r="D1003" s="2522">
        <v>4.0418000000000003</v>
      </c>
      <c r="E1003" s="2523">
        <f t="shared" si="37"/>
        <v>20.496540945512795</v>
      </c>
      <c r="F1003" s="2261">
        <f t="shared" si="28"/>
        <v>24.033050394191257</v>
      </c>
      <c r="G1003" s="2524">
        <f t="shared" si="38"/>
        <v>27.569559842869719</v>
      </c>
      <c r="H1003" s="2524">
        <f t="shared" si="39"/>
        <v>16.960031496834333</v>
      </c>
      <c r="I1003" s="2524">
        <f t="shared" si="40"/>
        <v>13.423522048155872</v>
      </c>
      <c r="J1003" s="2525">
        <f t="shared" si="41"/>
        <v>4.9423217303822922</v>
      </c>
      <c r="K1003" s="2261">
        <f t="shared" si="42"/>
        <v>5.919604026580453</v>
      </c>
      <c r="L1003" s="2524">
        <f t="shared" si="43"/>
        <v>6.8968863227786139</v>
      </c>
      <c r="M1003" s="2524">
        <f t="shared" si="44"/>
        <v>3.9650394341841317</v>
      </c>
      <c r="N1003" s="2524">
        <f t="shared" si="45"/>
        <v>2.9877571379859713</v>
      </c>
    </row>
    <row r="1004" spans="1:14" ht="15">
      <c r="A1004" s="2218"/>
      <c r="B1004" s="2251">
        <v>44333</v>
      </c>
      <c r="C1004">
        <v>18.1633</v>
      </c>
      <c r="D1004" s="2522">
        <v>4.0804</v>
      </c>
      <c r="E1004" s="2523">
        <f t="shared" si="37"/>
        <v>20.496540945512795</v>
      </c>
      <c r="F1004" s="2261">
        <f t="shared" si="28"/>
        <v>24.033050394191257</v>
      </c>
      <c r="G1004" s="2524">
        <f t="shared" si="38"/>
        <v>27.569559842869719</v>
      </c>
      <c r="H1004" s="2524">
        <f t="shared" si="39"/>
        <v>16.960031496834333</v>
      </c>
      <c r="I1004" s="2524">
        <f t="shared" si="40"/>
        <v>13.423522048155872</v>
      </c>
      <c r="J1004" s="2525">
        <f t="shared" si="41"/>
        <v>4.9423217303822922</v>
      </c>
      <c r="K1004" s="2261">
        <f t="shared" si="42"/>
        <v>5.919604026580453</v>
      </c>
      <c r="L1004" s="2524">
        <f t="shared" si="43"/>
        <v>6.8968863227786139</v>
      </c>
      <c r="M1004" s="2524">
        <f t="shared" si="44"/>
        <v>3.9650394341841317</v>
      </c>
      <c r="N1004" s="2524">
        <f t="shared" si="45"/>
        <v>2.9877571379859713</v>
      </c>
    </row>
    <row r="1005" spans="1:14" ht="15">
      <c r="A1005" s="2218"/>
      <c r="B1005" s="2251">
        <v>44334</v>
      </c>
      <c r="C1005">
        <v>18.438800000000001</v>
      </c>
      <c r="D1005" s="2522">
        <v>4.0251999999999999</v>
      </c>
      <c r="E1005" s="2523">
        <f t="shared" si="37"/>
        <v>20.496540945512795</v>
      </c>
      <c r="F1005" s="2261">
        <f t="shared" si="28"/>
        <v>24.033050394191257</v>
      </c>
      <c r="G1005" s="2524">
        <f t="shared" si="38"/>
        <v>27.569559842869719</v>
      </c>
      <c r="H1005" s="2524">
        <f t="shared" si="39"/>
        <v>16.960031496834333</v>
      </c>
      <c r="I1005" s="2524">
        <f t="shared" si="40"/>
        <v>13.423522048155872</v>
      </c>
      <c r="J1005" s="2525">
        <f t="shared" si="41"/>
        <v>4.9423217303822922</v>
      </c>
      <c r="K1005" s="2261">
        <f t="shared" si="42"/>
        <v>5.919604026580453</v>
      </c>
      <c r="L1005" s="2524">
        <f t="shared" si="43"/>
        <v>6.8968863227786139</v>
      </c>
      <c r="M1005" s="2524">
        <f t="shared" si="44"/>
        <v>3.9650394341841317</v>
      </c>
      <c r="N1005" s="2524">
        <f t="shared" si="45"/>
        <v>2.9877571379859713</v>
      </c>
    </row>
    <row r="1006" spans="1:14" ht="15">
      <c r="A1006" s="2218"/>
      <c r="B1006" s="2251">
        <v>44335</v>
      </c>
      <c r="C1006">
        <v>19.244199999999999</v>
      </c>
      <c r="D1006" s="2522">
        <v>4.0141999999999998</v>
      </c>
      <c r="E1006" s="2523">
        <f t="shared" si="37"/>
        <v>20.496540945512795</v>
      </c>
      <c r="F1006" s="2261">
        <f t="shared" si="28"/>
        <v>24.033050394191257</v>
      </c>
      <c r="G1006" s="2524">
        <f t="shared" si="38"/>
        <v>27.569559842869719</v>
      </c>
      <c r="H1006" s="2524">
        <f t="shared" si="39"/>
        <v>16.960031496834333</v>
      </c>
      <c r="I1006" s="2524">
        <f t="shared" si="40"/>
        <v>13.423522048155872</v>
      </c>
      <c r="J1006" s="2525">
        <f t="shared" si="41"/>
        <v>4.9423217303822922</v>
      </c>
      <c r="K1006" s="2261">
        <f t="shared" si="42"/>
        <v>5.919604026580453</v>
      </c>
      <c r="L1006" s="2524">
        <f t="shared" si="43"/>
        <v>6.8968863227786139</v>
      </c>
      <c r="M1006" s="2524">
        <f t="shared" si="44"/>
        <v>3.9650394341841317</v>
      </c>
      <c r="N1006" s="2524">
        <f t="shared" si="45"/>
        <v>2.9877571379859713</v>
      </c>
    </row>
    <row r="1007" spans="1:14" ht="15">
      <c r="A1007" s="2218"/>
      <c r="B1007" s="2251">
        <v>44336</v>
      </c>
      <c r="C1007">
        <v>20.240300000000001</v>
      </c>
      <c r="D1007" s="2522">
        <v>3.9039000000000001</v>
      </c>
      <c r="E1007" s="2523">
        <f t="shared" si="37"/>
        <v>20.496540945512795</v>
      </c>
      <c r="F1007" s="2261">
        <f t="shared" si="28"/>
        <v>24.033050394191257</v>
      </c>
      <c r="G1007" s="2524">
        <f t="shared" si="38"/>
        <v>27.569559842869719</v>
      </c>
      <c r="H1007" s="2524">
        <f t="shared" si="39"/>
        <v>16.960031496834333</v>
      </c>
      <c r="I1007" s="2524">
        <f t="shared" si="40"/>
        <v>13.423522048155872</v>
      </c>
      <c r="J1007" s="2525">
        <f t="shared" si="41"/>
        <v>4.9423217303822922</v>
      </c>
      <c r="K1007" s="2261">
        <f t="shared" si="42"/>
        <v>5.919604026580453</v>
      </c>
      <c r="L1007" s="2524">
        <f t="shared" si="43"/>
        <v>6.8968863227786139</v>
      </c>
      <c r="M1007" s="2524">
        <f t="shared" si="44"/>
        <v>3.9650394341841317</v>
      </c>
      <c r="N1007" s="2524">
        <f t="shared" si="45"/>
        <v>2.9877571379859713</v>
      </c>
    </row>
    <row r="1008" spans="1:14" ht="15">
      <c r="A1008" s="2218"/>
      <c r="B1008" s="2251">
        <v>44337</v>
      </c>
      <c r="C1008">
        <v>19.88</v>
      </c>
      <c r="D1008" s="2522">
        <v>3.6337000000000002</v>
      </c>
      <c r="E1008" s="2523">
        <f t="shared" si="37"/>
        <v>20.496540945512795</v>
      </c>
      <c r="F1008" s="2261">
        <f t="shared" si="28"/>
        <v>24.033050394191257</v>
      </c>
      <c r="G1008" s="2524">
        <f t="shared" si="38"/>
        <v>27.569559842869719</v>
      </c>
      <c r="H1008" s="2524">
        <f t="shared" si="39"/>
        <v>16.960031496834333</v>
      </c>
      <c r="I1008" s="2524">
        <f t="shared" si="40"/>
        <v>13.423522048155872</v>
      </c>
      <c r="J1008" s="2525">
        <f t="shared" si="41"/>
        <v>4.9423217303822922</v>
      </c>
      <c r="K1008" s="2261">
        <f t="shared" si="42"/>
        <v>5.919604026580453</v>
      </c>
      <c r="L1008" s="2524">
        <f t="shared" si="43"/>
        <v>6.8968863227786139</v>
      </c>
      <c r="M1008" s="2524">
        <f t="shared" si="44"/>
        <v>3.9650394341841317</v>
      </c>
      <c r="N1008" s="2524">
        <f t="shared" si="45"/>
        <v>2.9877571379859713</v>
      </c>
    </row>
    <row r="1009" spans="1:14" ht="15">
      <c r="A1009" s="2218"/>
      <c r="B1009" s="2251">
        <v>44340</v>
      </c>
      <c r="C1009">
        <v>19.816400000000002</v>
      </c>
      <c r="D1009" s="2522">
        <v>3.8212000000000002</v>
      </c>
      <c r="E1009" s="2523">
        <f t="shared" si="37"/>
        <v>20.496540945512795</v>
      </c>
      <c r="F1009" s="2261">
        <f t="shared" si="28"/>
        <v>24.033050394191257</v>
      </c>
      <c r="G1009" s="2524">
        <f t="shared" si="38"/>
        <v>27.569559842869719</v>
      </c>
      <c r="H1009" s="2524">
        <f t="shared" si="39"/>
        <v>16.960031496834333</v>
      </c>
      <c r="I1009" s="2524">
        <f t="shared" si="40"/>
        <v>13.423522048155872</v>
      </c>
      <c r="J1009" s="2525">
        <f t="shared" si="41"/>
        <v>4.9423217303822922</v>
      </c>
      <c r="K1009" s="2261">
        <f t="shared" si="42"/>
        <v>5.919604026580453</v>
      </c>
      <c r="L1009" s="2524">
        <f t="shared" si="43"/>
        <v>6.8968863227786139</v>
      </c>
      <c r="M1009" s="2524">
        <f t="shared" si="44"/>
        <v>3.9650394341841317</v>
      </c>
      <c r="N1009" s="2524">
        <f t="shared" si="45"/>
        <v>2.9877571379859713</v>
      </c>
    </row>
    <row r="1010" spans="1:14" ht="15">
      <c r="A1010" s="2218"/>
      <c r="B1010" s="2251">
        <v>44341</v>
      </c>
      <c r="C1010">
        <v>19.88</v>
      </c>
      <c r="D1010" s="2522">
        <v>3.9148999999999998</v>
      </c>
      <c r="E1010" s="2523">
        <f t="shared" si="37"/>
        <v>20.496540945512795</v>
      </c>
      <c r="F1010" s="2261">
        <f t="shared" si="28"/>
        <v>24.033050394191257</v>
      </c>
      <c r="G1010" s="2524">
        <f t="shared" si="38"/>
        <v>27.569559842869719</v>
      </c>
      <c r="H1010" s="2524">
        <f t="shared" si="39"/>
        <v>16.960031496834333</v>
      </c>
      <c r="I1010" s="2524">
        <f t="shared" si="40"/>
        <v>13.423522048155872</v>
      </c>
      <c r="J1010" s="2525">
        <f t="shared" si="41"/>
        <v>4.9423217303822922</v>
      </c>
      <c r="K1010" s="2261">
        <f t="shared" si="42"/>
        <v>5.919604026580453</v>
      </c>
      <c r="L1010" s="2524">
        <f t="shared" si="43"/>
        <v>6.8968863227786139</v>
      </c>
      <c r="M1010" s="2524">
        <f t="shared" si="44"/>
        <v>3.9650394341841317</v>
      </c>
      <c r="N1010" s="2524">
        <f t="shared" si="45"/>
        <v>2.9877571379859713</v>
      </c>
    </row>
    <row r="1011" spans="1:14" ht="15">
      <c r="A1011" s="2218"/>
      <c r="B1011" s="2251">
        <v>44342</v>
      </c>
      <c r="C1011">
        <v>20.197900000000001</v>
      </c>
      <c r="D1011" s="2522">
        <v>3.9424999999999999</v>
      </c>
      <c r="E1011" s="2523">
        <f t="shared" si="37"/>
        <v>20.496540945512795</v>
      </c>
      <c r="F1011" s="2261">
        <f t="shared" si="28"/>
        <v>24.033050394191257</v>
      </c>
      <c r="G1011" s="2524">
        <f t="shared" si="38"/>
        <v>27.569559842869719</v>
      </c>
      <c r="H1011" s="2524">
        <f t="shared" si="39"/>
        <v>16.960031496834333</v>
      </c>
      <c r="I1011" s="2524">
        <f t="shared" si="40"/>
        <v>13.423522048155872</v>
      </c>
      <c r="J1011" s="2525">
        <f t="shared" si="41"/>
        <v>4.9423217303822922</v>
      </c>
      <c r="K1011" s="2261">
        <f t="shared" si="42"/>
        <v>5.919604026580453</v>
      </c>
      <c r="L1011" s="2524">
        <f t="shared" si="43"/>
        <v>6.8968863227786139</v>
      </c>
      <c r="M1011" s="2524">
        <f t="shared" si="44"/>
        <v>3.9650394341841317</v>
      </c>
      <c r="N1011" s="2524">
        <f t="shared" si="45"/>
        <v>2.9877571379859713</v>
      </c>
    </row>
    <row r="1012" spans="1:14" ht="15">
      <c r="A1012" s="2218"/>
      <c r="B1012" s="2251">
        <v>44343</v>
      </c>
      <c r="C1012">
        <v>19.88</v>
      </c>
      <c r="D1012" s="2522">
        <v>3.8653</v>
      </c>
      <c r="E1012" s="2523">
        <f t="shared" si="37"/>
        <v>20.496540945512795</v>
      </c>
      <c r="F1012" s="2261">
        <f t="shared" si="28"/>
        <v>24.033050394191257</v>
      </c>
      <c r="G1012" s="2524">
        <f t="shared" si="38"/>
        <v>27.569559842869719</v>
      </c>
      <c r="H1012" s="2524">
        <f t="shared" si="39"/>
        <v>16.960031496834333</v>
      </c>
      <c r="I1012" s="2524">
        <f t="shared" si="40"/>
        <v>13.423522048155872</v>
      </c>
      <c r="J1012" s="2525">
        <f t="shared" si="41"/>
        <v>4.9423217303822922</v>
      </c>
      <c r="K1012" s="2261">
        <f t="shared" si="42"/>
        <v>5.919604026580453</v>
      </c>
      <c r="L1012" s="2524">
        <f t="shared" si="43"/>
        <v>6.8968863227786139</v>
      </c>
      <c r="M1012" s="2524">
        <f t="shared" si="44"/>
        <v>3.9650394341841317</v>
      </c>
      <c r="N1012" s="2524">
        <f t="shared" si="45"/>
        <v>2.9877571379859713</v>
      </c>
    </row>
    <row r="1013" spans="1:14" ht="15">
      <c r="A1013" s="2218"/>
      <c r="B1013" s="2251">
        <v>44344</v>
      </c>
      <c r="C1013">
        <v>20.091999999999999</v>
      </c>
      <c r="D1013" s="2522">
        <v>3.8874</v>
      </c>
      <c r="E1013" s="2523">
        <f t="shared" si="37"/>
        <v>20.496540945512795</v>
      </c>
      <c r="F1013" s="2261">
        <f t="shared" si="28"/>
        <v>24.033050394191257</v>
      </c>
      <c r="G1013" s="2524">
        <f t="shared" si="38"/>
        <v>27.569559842869719</v>
      </c>
      <c r="H1013" s="2524">
        <f t="shared" si="39"/>
        <v>16.960031496834333</v>
      </c>
      <c r="I1013" s="2524">
        <f t="shared" si="40"/>
        <v>13.423522048155872</v>
      </c>
      <c r="J1013" s="2525">
        <f t="shared" si="41"/>
        <v>4.9423217303822922</v>
      </c>
      <c r="K1013" s="2261">
        <f t="shared" si="42"/>
        <v>5.919604026580453</v>
      </c>
      <c r="L1013" s="2524">
        <f t="shared" si="43"/>
        <v>6.8968863227786139</v>
      </c>
      <c r="M1013" s="2524">
        <f t="shared" si="44"/>
        <v>3.9650394341841317</v>
      </c>
      <c r="N1013" s="2524">
        <f t="shared" si="45"/>
        <v>2.9877571379859713</v>
      </c>
    </row>
    <row r="1014" spans="1:14" ht="15">
      <c r="A1014" s="2218"/>
      <c r="B1014" s="2251">
        <v>44347</v>
      </c>
      <c r="C1014">
        <v>20.748999999999999</v>
      </c>
      <c r="D1014" s="2522">
        <v>3.8874</v>
      </c>
      <c r="E1014" s="2523">
        <f t="shared" si="37"/>
        <v>20.496540945512795</v>
      </c>
      <c r="F1014" s="2261">
        <f t="shared" si="28"/>
        <v>24.033050394191257</v>
      </c>
      <c r="G1014" s="2524">
        <f t="shared" si="38"/>
        <v>27.569559842869719</v>
      </c>
      <c r="H1014" s="2524">
        <f t="shared" si="39"/>
        <v>16.960031496834333</v>
      </c>
      <c r="I1014" s="2524">
        <f t="shared" si="40"/>
        <v>13.423522048155872</v>
      </c>
      <c r="J1014" s="2525">
        <f t="shared" si="41"/>
        <v>4.9423217303822922</v>
      </c>
      <c r="K1014" s="2261">
        <f t="shared" si="42"/>
        <v>5.919604026580453</v>
      </c>
      <c r="L1014" s="2524">
        <f t="shared" si="43"/>
        <v>6.8968863227786139</v>
      </c>
      <c r="M1014" s="2524">
        <f t="shared" si="44"/>
        <v>3.9650394341841317</v>
      </c>
      <c r="N1014" s="2524">
        <f t="shared" si="45"/>
        <v>2.9877571379859713</v>
      </c>
    </row>
    <row r="1015" spans="1:14" ht="15">
      <c r="A1015" s="2218"/>
      <c r="B1015" s="2251">
        <v>44348</v>
      </c>
      <c r="C1015">
        <v>21.228999999999999</v>
      </c>
      <c r="D1015" s="2522">
        <v>3.8874</v>
      </c>
      <c r="E1015" s="2523">
        <f t="shared" si="37"/>
        <v>20.496540945512795</v>
      </c>
      <c r="F1015" s="2261">
        <f t="shared" si="28"/>
        <v>24.033050394191257</v>
      </c>
      <c r="G1015" s="2524">
        <f t="shared" si="38"/>
        <v>27.569559842869719</v>
      </c>
      <c r="H1015" s="2524">
        <f t="shared" si="39"/>
        <v>16.960031496834333</v>
      </c>
      <c r="I1015" s="2524">
        <f t="shared" si="40"/>
        <v>13.423522048155872</v>
      </c>
      <c r="J1015" s="2525">
        <f t="shared" si="41"/>
        <v>4.9423217303822922</v>
      </c>
      <c r="K1015" s="2261">
        <f t="shared" si="42"/>
        <v>5.919604026580453</v>
      </c>
      <c r="L1015" s="2524">
        <f t="shared" si="43"/>
        <v>6.8968863227786139</v>
      </c>
      <c r="M1015" s="2524">
        <f t="shared" si="44"/>
        <v>3.9650394341841317</v>
      </c>
      <c r="N1015" s="2524">
        <f t="shared" si="45"/>
        <v>2.9877571379859713</v>
      </c>
    </row>
    <row r="1016" spans="1:14" ht="15">
      <c r="A1016" s="2218"/>
      <c r="B1016" s="2251">
        <v>44349</v>
      </c>
      <c r="C1016">
        <v>20.838999999999999</v>
      </c>
      <c r="D1016" s="2522">
        <v>3.9701</v>
      </c>
      <c r="E1016" s="2523">
        <f t="shared" si="37"/>
        <v>20.496540945512795</v>
      </c>
      <c r="F1016" s="2261">
        <f t="shared" si="28"/>
        <v>24.033050394191257</v>
      </c>
      <c r="G1016" s="2524">
        <f t="shared" si="38"/>
        <v>27.569559842869719</v>
      </c>
      <c r="H1016" s="2524">
        <f t="shared" si="39"/>
        <v>16.960031496834333</v>
      </c>
      <c r="I1016" s="2524">
        <f t="shared" si="40"/>
        <v>13.423522048155872</v>
      </c>
      <c r="J1016" s="2525">
        <f t="shared" si="41"/>
        <v>4.9423217303822922</v>
      </c>
      <c r="K1016" s="2261">
        <f t="shared" si="42"/>
        <v>5.919604026580453</v>
      </c>
      <c r="L1016" s="2524">
        <f t="shared" si="43"/>
        <v>6.8968863227786139</v>
      </c>
      <c r="M1016" s="2524">
        <f t="shared" si="44"/>
        <v>3.9650394341841317</v>
      </c>
      <c r="N1016" s="2524">
        <f t="shared" si="45"/>
        <v>2.9877571379859713</v>
      </c>
    </row>
    <row r="1017" spans="1:14" ht="15">
      <c r="A1017" s="2218"/>
      <c r="B1017" s="2251">
        <v>44350</v>
      </c>
      <c r="C1017">
        <v>20.765899999999998</v>
      </c>
      <c r="D1017" s="2522">
        <v>4.0968999999999998</v>
      </c>
      <c r="E1017" s="2523">
        <f t="shared" si="37"/>
        <v>20.496540945512795</v>
      </c>
      <c r="F1017" s="2261">
        <f t="shared" si="28"/>
        <v>24.033050394191257</v>
      </c>
      <c r="G1017" s="2524">
        <f t="shared" si="38"/>
        <v>27.569559842869719</v>
      </c>
      <c r="H1017" s="2524">
        <f t="shared" si="39"/>
        <v>16.960031496834333</v>
      </c>
      <c r="I1017" s="2524">
        <f t="shared" si="40"/>
        <v>13.423522048155872</v>
      </c>
      <c r="J1017" s="2525">
        <f t="shared" si="41"/>
        <v>4.9423217303822922</v>
      </c>
      <c r="K1017" s="2261">
        <f t="shared" si="42"/>
        <v>5.919604026580453</v>
      </c>
      <c r="L1017" s="2524">
        <f t="shared" si="43"/>
        <v>6.8968863227786139</v>
      </c>
      <c r="M1017" s="2524">
        <f t="shared" si="44"/>
        <v>3.9650394341841317</v>
      </c>
      <c r="N1017" s="2524">
        <f t="shared" si="45"/>
        <v>2.9877571379859713</v>
      </c>
    </row>
    <row r="1018" spans="1:14" ht="15">
      <c r="A1018" s="2218"/>
      <c r="B1018" s="2251">
        <v>44351</v>
      </c>
      <c r="C1018">
        <v>20.644100000000002</v>
      </c>
      <c r="D1018" s="2522">
        <v>4.0968999999999998</v>
      </c>
      <c r="E1018" s="2523">
        <f t="shared" si="37"/>
        <v>20.496540945512795</v>
      </c>
      <c r="F1018" s="2261">
        <f t="shared" si="28"/>
        <v>24.033050394191257</v>
      </c>
      <c r="G1018" s="2524">
        <f t="shared" si="38"/>
        <v>27.569559842869719</v>
      </c>
      <c r="H1018" s="2524">
        <f t="shared" si="39"/>
        <v>16.960031496834333</v>
      </c>
      <c r="I1018" s="2524">
        <f t="shared" si="40"/>
        <v>13.423522048155872</v>
      </c>
      <c r="J1018" s="2525">
        <f t="shared" si="41"/>
        <v>4.9423217303822922</v>
      </c>
      <c r="K1018" s="2261">
        <f t="shared" si="42"/>
        <v>5.919604026580453</v>
      </c>
      <c r="L1018" s="2524">
        <f t="shared" si="43"/>
        <v>6.8968863227786139</v>
      </c>
      <c r="M1018" s="2524">
        <f t="shared" si="44"/>
        <v>3.9650394341841317</v>
      </c>
      <c r="N1018" s="2524">
        <f t="shared" si="45"/>
        <v>2.9877571379859713</v>
      </c>
    </row>
    <row r="1019" spans="1:14" ht="15">
      <c r="A1019" s="2218"/>
      <c r="B1019" s="2251">
        <v>44354</v>
      </c>
      <c r="C1019">
        <v>20.156600000000001</v>
      </c>
      <c r="D1019" s="2522">
        <v>4.1134000000000004</v>
      </c>
      <c r="E1019" s="2523">
        <f t="shared" si="37"/>
        <v>20.496540945512795</v>
      </c>
      <c r="F1019" s="2261">
        <f t="shared" si="28"/>
        <v>24.033050394191257</v>
      </c>
      <c r="G1019" s="2524">
        <f t="shared" si="38"/>
        <v>27.569559842869719</v>
      </c>
      <c r="H1019" s="2524">
        <f t="shared" si="39"/>
        <v>16.960031496834333</v>
      </c>
      <c r="I1019" s="2524">
        <f t="shared" si="40"/>
        <v>13.423522048155872</v>
      </c>
      <c r="J1019" s="2525">
        <f t="shared" si="41"/>
        <v>4.9423217303822922</v>
      </c>
      <c r="K1019" s="2261">
        <f t="shared" si="42"/>
        <v>5.919604026580453</v>
      </c>
      <c r="L1019" s="2524">
        <f t="shared" si="43"/>
        <v>6.8968863227786139</v>
      </c>
      <c r="M1019" s="2524">
        <f t="shared" si="44"/>
        <v>3.9650394341841317</v>
      </c>
      <c r="N1019" s="2524">
        <f t="shared" si="45"/>
        <v>2.9877571379859713</v>
      </c>
    </row>
    <row r="1020" spans="1:14" ht="15">
      <c r="A1020" s="2218"/>
      <c r="B1020" s="2251">
        <v>44355</v>
      </c>
      <c r="C1020">
        <v>19.6935</v>
      </c>
      <c r="D1020" s="2526">
        <v>4.1189999999999998</v>
      </c>
      <c r="E1020" s="2523">
        <f t="shared" si="37"/>
        <v>20.496540945512795</v>
      </c>
      <c r="F1020" s="2261">
        <f t="shared" si="28"/>
        <v>24.033050394191257</v>
      </c>
      <c r="G1020" s="2524">
        <f t="shared" si="38"/>
        <v>27.569559842869719</v>
      </c>
      <c r="H1020" s="2524">
        <f t="shared" si="39"/>
        <v>16.960031496834333</v>
      </c>
      <c r="I1020" s="2524">
        <f t="shared" si="40"/>
        <v>13.423522048155872</v>
      </c>
      <c r="J1020" s="2525">
        <f t="shared" si="41"/>
        <v>4.9423217303822922</v>
      </c>
      <c r="K1020" s="2261">
        <f t="shared" si="42"/>
        <v>5.919604026580453</v>
      </c>
      <c r="L1020" s="2524">
        <f t="shared" si="43"/>
        <v>6.8968863227786139</v>
      </c>
      <c r="M1020" s="2524">
        <f t="shared" si="44"/>
        <v>3.9650394341841317</v>
      </c>
      <c r="N1020" s="2524">
        <f t="shared" si="45"/>
        <v>2.9877571379859713</v>
      </c>
    </row>
    <row r="1021" spans="1:14" ht="15">
      <c r="A1021" s="2218"/>
      <c r="B1021" s="2251">
        <v>44356</v>
      </c>
      <c r="C1021">
        <v>19.9129</v>
      </c>
      <c r="D1021" s="2522">
        <v>4.2678000000000003</v>
      </c>
      <c r="E1021" s="2523">
        <f t="shared" si="37"/>
        <v>20.496540945512795</v>
      </c>
      <c r="F1021" s="2261">
        <f t="shared" ref="F1021:F1084" si="46">I$953+F$953</f>
        <v>24.033050394191257</v>
      </c>
      <c r="G1021" s="2524">
        <f t="shared" si="38"/>
        <v>27.569559842869719</v>
      </c>
      <c r="H1021" s="2524">
        <f t="shared" si="39"/>
        <v>16.960031496834333</v>
      </c>
      <c r="I1021" s="2524">
        <f t="shared" si="40"/>
        <v>13.423522048155872</v>
      </c>
      <c r="J1021" s="2525">
        <f t="shared" si="41"/>
        <v>4.9423217303822922</v>
      </c>
      <c r="K1021" s="2261">
        <f t="shared" si="42"/>
        <v>5.919604026580453</v>
      </c>
      <c r="L1021" s="2524">
        <f t="shared" si="43"/>
        <v>6.8968863227786139</v>
      </c>
      <c r="M1021" s="2524">
        <f t="shared" si="44"/>
        <v>3.9650394341841317</v>
      </c>
      <c r="N1021" s="2524">
        <f t="shared" si="45"/>
        <v>2.9877571379859713</v>
      </c>
    </row>
    <row r="1022" spans="1:14" ht="15">
      <c r="A1022" s="2218"/>
      <c r="B1022" s="2251">
        <v>44357</v>
      </c>
      <c r="C1022">
        <v>19.961600000000001</v>
      </c>
      <c r="D1022" s="2522">
        <v>4.3174999999999999</v>
      </c>
      <c r="E1022" s="2523">
        <f t="shared" ref="E1022:E1085" si="47">I$953</f>
        <v>20.496540945512795</v>
      </c>
      <c r="F1022" s="2261">
        <f t="shared" si="46"/>
        <v>24.033050394191257</v>
      </c>
      <c r="G1022" s="2524">
        <f t="shared" ref="G1022:G1085" si="48">I$953+F$953+F$953</f>
        <v>27.569559842869719</v>
      </c>
      <c r="H1022" s="2524">
        <f t="shared" ref="H1022:H1085" si="49">I$953-F$953</f>
        <v>16.960031496834333</v>
      </c>
      <c r="I1022" s="2524">
        <f t="shared" ref="I1022:I1085" si="50">I$953-F$953-F$953</f>
        <v>13.423522048155872</v>
      </c>
      <c r="J1022" s="2525">
        <f t="shared" si="41"/>
        <v>4.9423217303822922</v>
      </c>
      <c r="K1022" s="2261">
        <f t="shared" si="42"/>
        <v>5.919604026580453</v>
      </c>
      <c r="L1022" s="2524">
        <f t="shared" si="43"/>
        <v>6.8968863227786139</v>
      </c>
      <c r="M1022" s="2524">
        <f t="shared" si="44"/>
        <v>3.9650394341841317</v>
      </c>
      <c r="N1022" s="2524">
        <f t="shared" si="45"/>
        <v>2.9877571379859713</v>
      </c>
    </row>
    <row r="1023" spans="1:14" ht="15">
      <c r="A1023" s="2218"/>
      <c r="B1023" s="2251">
        <v>44358</v>
      </c>
      <c r="C1023">
        <v>20.351600000000001</v>
      </c>
      <c r="D1023" s="2522">
        <v>4.1905999999999999</v>
      </c>
      <c r="E1023" s="2523">
        <f t="shared" si="47"/>
        <v>20.496540945512795</v>
      </c>
      <c r="F1023" s="2261">
        <f t="shared" si="46"/>
        <v>24.033050394191257</v>
      </c>
      <c r="G1023" s="2524">
        <f t="shared" si="48"/>
        <v>27.569559842869719</v>
      </c>
      <c r="H1023" s="2524">
        <f t="shared" si="49"/>
        <v>16.960031496834333</v>
      </c>
      <c r="I1023" s="2524">
        <f t="shared" si="50"/>
        <v>13.423522048155872</v>
      </c>
      <c r="J1023" s="2525">
        <f t="shared" si="41"/>
        <v>4.9423217303822922</v>
      </c>
      <c r="K1023" s="2261">
        <f t="shared" si="42"/>
        <v>5.919604026580453</v>
      </c>
      <c r="L1023" s="2524">
        <f t="shared" si="43"/>
        <v>6.8968863227786139</v>
      </c>
      <c r="M1023" s="2524">
        <f t="shared" si="44"/>
        <v>3.9650394341841317</v>
      </c>
      <c r="N1023" s="2524">
        <f t="shared" si="45"/>
        <v>2.9877571379859713</v>
      </c>
    </row>
    <row r="1024" spans="1:14" ht="15">
      <c r="A1024" s="2218"/>
      <c r="B1024" s="2251">
        <v>44361</v>
      </c>
      <c r="C1024">
        <v>20.424700000000001</v>
      </c>
      <c r="D1024" s="2522">
        <v>4.2182000000000004</v>
      </c>
      <c r="E1024" s="2523">
        <f t="shared" si="47"/>
        <v>20.496540945512795</v>
      </c>
      <c r="F1024" s="2261">
        <f t="shared" si="46"/>
        <v>24.033050394191257</v>
      </c>
      <c r="G1024" s="2524">
        <f t="shared" si="48"/>
        <v>27.569559842869719</v>
      </c>
      <c r="H1024" s="2524">
        <f t="shared" si="49"/>
        <v>16.960031496834333</v>
      </c>
      <c r="I1024" s="2524">
        <f t="shared" si="50"/>
        <v>13.423522048155872</v>
      </c>
      <c r="J1024" s="2525">
        <f t="shared" si="41"/>
        <v>4.9423217303822922</v>
      </c>
      <c r="K1024" s="2261">
        <f t="shared" si="42"/>
        <v>5.919604026580453</v>
      </c>
      <c r="L1024" s="2524">
        <f t="shared" si="43"/>
        <v>6.8968863227786139</v>
      </c>
      <c r="M1024" s="2524">
        <f t="shared" si="44"/>
        <v>3.9650394341841317</v>
      </c>
      <c r="N1024" s="2524">
        <f t="shared" si="45"/>
        <v>2.9877571379859713</v>
      </c>
    </row>
    <row r="1025" spans="1:14" ht="15">
      <c r="A1025" s="2218"/>
      <c r="B1025" s="2251">
        <v>44362</v>
      </c>
      <c r="C1025">
        <v>20.278500000000001</v>
      </c>
      <c r="D1025" s="2522">
        <v>4.2458</v>
      </c>
      <c r="E1025" s="2523">
        <f t="shared" si="47"/>
        <v>20.496540945512795</v>
      </c>
      <c r="F1025" s="2261">
        <f t="shared" si="46"/>
        <v>24.033050394191257</v>
      </c>
      <c r="G1025" s="2524">
        <f t="shared" si="48"/>
        <v>27.569559842869719</v>
      </c>
      <c r="H1025" s="2524">
        <f t="shared" si="49"/>
        <v>16.960031496834333</v>
      </c>
      <c r="I1025" s="2524">
        <f t="shared" si="50"/>
        <v>13.423522048155872</v>
      </c>
      <c r="J1025" s="2525">
        <f t="shared" si="41"/>
        <v>4.9423217303822922</v>
      </c>
      <c r="K1025" s="2261">
        <f t="shared" si="42"/>
        <v>5.919604026580453</v>
      </c>
      <c r="L1025" s="2524">
        <f t="shared" si="43"/>
        <v>6.8968863227786139</v>
      </c>
      <c r="M1025" s="2524">
        <f t="shared" si="44"/>
        <v>3.9650394341841317</v>
      </c>
      <c r="N1025" s="2524">
        <f t="shared" si="45"/>
        <v>2.9877571379859713</v>
      </c>
    </row>
    <row r="1026" spans="1:14" ht="15">
      <c r="A1026" s="2218"/>
      <c r="B1026" s="2251">
        <v>44363</v>
      </c>
      <c r="C1026">
        <v>20.254100000000001</v>
      </c>
      <c r="D1026" s="2522">
        <v>4.3009000000000004</v>
      </c>
      <c r="E1026" s="2523">
        <f t="shared" si="47"/>
        <v>20.496540945512795</v>
      </c>
      <c r="F1026" s="2261">
        <f t="shared" si="46"/>
        <v>24.033050394191257</v>
      </c>
      <c r="G1026" s="2524">
        <f t="shared" si="48"/>
        <v>27.569559842869719</v>
      </c>
      <c r="H1026" s="2524">
        <f t="shared" si="49"/>
        <v>16.960031496834333</v>
      </c>
      <c r="I1026" s="2524">
        <f t="shared" si="50"/>
        <v>13.423522048155872</v>
      </c>
      <c r="J1026" s="2525">
        <f t="shared" si="41"/>
        <v>4.9423217303822922</v>
      </c>
      <c r="K1026" s="2261">
        <f t="shared" si="42"/>
        <v>5.919604026580453</v>
      </c>
      <c r="L1026" s="2524">
        <f t="shared" si="43"/>
        <v>6.8968863227786139</v>
      </c>
      <c r="M1026" s="2524">
        <f t="shared" si="44"/>
        <v>3.9650394341841317</v>
      </c>
      <c r="N1026" s="2524">
        <f t="shared" si="45"/>
        <v>2.9877571379859713</v>
      </c>
    </row>
    <row r="1027" spans="1:14" ht="15">
      <c r="A1027" s="2218"/>
      <c r="B1027" s="2251">
        <v>44364</v>
      </c>
      <c r="C1027">
        <v>20.132200000000001</v>
      </c>
      <c r="D1027" s="2522">
        <v>4.2458</v>
      </c>
      <c r="E1027" s="2523">
        <f t="shared" si="47"/>
        <v>20.496540945512795</v>
      </c>
      <c r="F1027" s="2261">
        <f t="shared" si="46"/>
        <v>24.033050394191257</v>
      </c>
      <c r="G1027" s="2524">
        <f t="shared" si="48"/>
        <v>27.569559842869719</v>
      </c>
      <c r="H1027" s="2524">
        <f t="shared" si="49"/>
        <v>16.960031496834333</v>
      </c>
      <c r="I1027" s="2524">
        <f t="shared" si="50"/>
        <v>13.423522048155872</v>
      </c>
      <c r="J1027" s="2525">
        <f t="shared" si="41"/>
        <v>4.9423217303822922</v>
      </c>
      <c r="K1027" s="2261">
        <f t="shared" si="42"/>
        <v>5.919604026580453</v>
      </c>
      <c r="L1027" s="2524">
        <f t="shared" si="43"/>
        <v>6.8968863227786139</v>
      </c>
      <c r="M1027" s="2524">
        <f t="shared" si="44"/>
        <v>3.9650394341841317</v>
      </c>
      <c r="N1027" s="2524">
        <f t="shared" si="45"/>
        <v>2.9877571379859713</v>
      </c>
    </row>
    <row r="1028" spans="1:14" ht="15">
      <c r="A1028" s="2218"/>
      <c r="B1028" s="2251">
        <v>44365</v>
      </c>
      <c r="C1028">
        <v>20.424700000000001</v>
      </c>
      <c r="D1028" s="2522">
        <v>4.2568000000000001</v>
      </c>
      <c r="E1028" s="2523">
        <f t="shared" si="47"/>
        <v>20.496540945512795</v>
      </c>
      <c r="F1028" s="2261">
        <f t="shared" si="46"/>
        <v>24.033050394191257</v>
      </c>
      <c r="G1028" s="2524">
        <f t="shared" si="48"/>
        <v>27.569559842869719</v>
      </c>
      <c r="H1028" s="2524">
        <f t="shared" si="49"/>
        <v>16.960031496834333</v>
      </c>
      <c r="I1028" s="2524">
        <f t="shared" si="50"/>
        <v>13.423522048155872</v>
      </c>
      <c r="J1028" s="2525">
        <f t="shared" si="41"/>
        <v>4.9423217303822922</v>
      </c>
      <c r="K1028" s="2261">
        <f t="shared" si="42"/>
        <v>5.919604026580453</v>
      </c>
      <c r="L1028" s="2524">
        <f t="shared" si="43"/>
        <v>6.8968863227786139</v>
      </c>
      <c r="M1028" s="2524">
        <f t="shared" si="44"/>
        <v>3.9650394341841317</v>
      </c>
      <c r="N1028" s="2524">
        <f t="shared" si="45"/>
        <v>2.9877571379859713</v>
      </c>
    </row>
    <row r="1029" spans="1:14" ht="15">
      <c r="A1029" s="2218"/>
      <c r="B1029" s="2251">
        <v>44368</v>
      </c>
      <c r="C1029">
        <v>20.863399999999999</v>
      </c>
      <c r="D1029" s="2522">
        <v>4.2072000000000003</v>
      </c>
      <c r="E1029" s="2523">
        <f t="shared" si="47"/>
        <v>20.496540945512795</v>
      </c>
      <c r="F1029" s="2261">
        <f t="shared" si="46"/>
        <v>24.033050394191257</v>
      </c>
      <c r="G1029" s="2524">
        <f t="shared" si="48"/>
        <v>27.569559842869719</v>
      </c>
      <c r="H1029" s="2524">
        <f t="shared" si="49"/>
        <v>16.960031496834333</v>
      </c>
      <c r="I1029" s="2524">
        <f t="shared" si="50"/>
        <v>13.423522048155872</v>
      </c>
      <c r="J1029" s="2525">
        <f t="shared" si="41"/>
        <v>4.9423217303822922</v>
      </c>
      <c r="K1029" s="2261">
        <f t="shared" si="42"/>
        <v>5.919604026580453</v>
      </c>
      <c r="L1029" s="2524">
        <f t="shared" si="43"/>
        <v>6.8968863227786139</v>
      </c>
      <c r="M1029" s="2524">
        <f t="shared" si="44"/>
        <v>3.9650394341841317</v>
      </c>
      <c r="N1029" s="2524">
        <f t="shared" si="45"/>
        <v>2.9877571379859713</v>
      </c>
    </row>
    <row r="1030" spans="1:14" ht="15">
      <c r="A1030" s="2218"/>
      <c r="B1030" s="2251">
        <v>44369</v>
      </c>
      <c r="C1030">
        <v>20.814699999999998</v>
      </c>
      <c r="D1030" s="2522">
        <v>4.2843999999999998</v>
      </c>
      <c r="E1030" s="2523">
        <f t="shared" si="47"/>
        <v>20.496540945512795</v>
      </c>
      <c r="F1030" s="2261">
        <f t="shared" si="46"/>
        <v>24.033050394191257</v>
      </c>
      <c r="G1030" s="2524">
        <f t="shared" si="48"/>
        <v>27.569559842869719</v>
      </c>
      <c r="H1030" s="2524">
        <f t="shared" si="49"/>
        <v>16.960031496834333</v>
      </c>
      <c r="I1030" s="2524">
        <f t="shared" si="50"/>
        <v>13.423522048155872</v>
      </c>
      <c r="J1030" s="2525">
        <f t="shared" si="41"/>
        <v>4.9423217303822922</v>
      </c>
      <c r="K1030" s="2261">
        <f t="shared" si="42"/>
        <v>5.919604026580453</v>
      </c>
      <c r="L1030" s="2524">
        <f t="shared" si="43"/>
        <v>6.8968863227786139</v>
      </c>
      <c r="M1030" s="2524">
        <f t="shared" si="44"/>
        <v>3.9650394341841317</v>
      </c>
      <c r="N1030" s="2524">
        <f t="shared" si="45"/>
        <v>2.9877571379859713</v>
      </c>
    </row>
    <row r="1031" spans="1:14" ht="15">
      <c r="A1031" s="2218"/>
      <c r="B1031" s="2251">
        <v>44370</v>
      </c>
      <c r="C1031">
        <v>20.692799999999998</v>
      </c>
      <c r="D1031" s="2522">
        <v>4.2953999999999999</v>
      </c>
      <c r="E1031" s="2523">
        <f t="shared" si="47"/>
        <v>20.496540945512795</v>
      </c>
      <c r="F1031" s="2261">
        <f t="shared" si="46"/>
        <v>24.033050394191257</v>
      </c>
      <c r="G1031" s="2524">
        <f t="shared" si="48"/>
        <v>27.569559842869719</v>
      </c>
      <c r="H1031" s="2524">
        <f t="shared" si="49"/>
        <v>16.960031496834333</v>
      </c>
      <c r="I1031" s="2524">
        <f t="shared" si="50"/>
        <v>13.423522048155872</v>
      </c>
      <c r="J1031" s="2525">
        <f t="shared" si="41"/>
        <v>4.9423217303822922</v>
      </c>
      <c r="K1031" s="2261">
        <f t="shared" si="42"/>
        <v>5.919604026580453</v>
      </c>
      <c r="L1031" s="2524">
        <f t="shared" si="43"/>
        <v>6.8968863227786139</v>
      </c>
      <c r="M1031" s="2524">
        <f t="shared" si="44"/>
        <v>3.9650394341841317</v>
      </c>
      <c r="N1031" s="2524">
        <f t="shared" si="45"/>
        <v>2.9877571379859713</v>
      </c>
    </row>
    <row r="1032" spans="1:14" ht="15">
      <c r="A1032" s="2218"/>
      <c r="B1032" s="2251">
        <v>44371</v>
      </c>
      <c r="C1032">
        <v>20.644100000000002</v>
      </c>
      <c r="D1032" s="2522">
        <v>4.2237</v>
      </c>
      <c r="E1032" s="2523">
        <f t="shared" si="47"/>
        <v>20.496540945512795</v>
      </c>
      <c r="F1032" s="2261">
        <f t="shared" si="46"/>
        <v>24.033050394191257</v>
      </c>
      <c r="G1032" s="2524">
        <f t="shared" si="48"/>
        <v>27.569559842869719</v>
      </c>
      <c r="H1032" s="2524">
        <f t="shared" si="49"/>
        <v>16.960031496834333</v>
      </c>
      <c r="I1032" s="2524">
        <f t="shared" si="50"/>
        <v>13.423522048155872</v>
      </c>
      <c r="J1032" s="2525">
        <f t="shared" si="41"/>
        <v>4.9423217303822922</v>
      </c>
      <c r="K1032" s="2261">
        <f t="shared" si="42"/>
        <v>5.919604026580453</v>
      </c>
      <c r="L1032" s="2524">
        <f t="shared" si="43"/>
        <v>6.8968863227786139</v>
      </c>
      <c r="M1032" s="2524">
        <f t="shared" si="44"/>
        <v>3.9650394341841317</v>
      </c>
      <c r="N1032" s="2524">
        <f t="shared" si="45"/>
        <v>2.9877571379859713</v>
      </c>
    </row>
    <row r="1033" spans="1:14" ht="15">
      <c r="A1033" s="2218"/>
      <c r="B1033" s="2251">
        <v>44372</v>
      </c>
      <c r="C1033">
        <v>20.765899999999998</v>
      </c>
      <c r="D1033" s="2522">
        <v>4.2237</v>
      </c>
      <c r="E1033" s="2523">
        <f t="shared" si="47"/>
        <v>20.496540945512795</v>
      </c>
      <c r="F1033" s="2261">
        <f t="shared" si="46"/>
        <v>24.033050394191257</v>
      </c>
      <c r="G1033" s="2524">
        <f t="shared" si="48"/>
        <v>27.569559842869719</v>
      </c>
      <c r="H1033" s="2524">
        <f t="shared" si="49"/>
        <v>16.960031496834333</v>
      </c>
      <c r="I1033" s="2524">
        <f t="shared" si="50"/>
        <v>13.423522048155872</v>
      </c>
      <c r="J1033" s="2525">
        <f t="shared" si="41"/>
        <v>4.9423217303822922</v>
      </c>
      <c r="K1033" s="2261">
        <f t="shared" si="42"/>
        <v>5.919604026580453</v>
      </c>
      <c r="L1033" s="2524">
        <f t="shared" si="43"/>
        <v>6.8968863227786139</v>
      </c>
      <c r="M1033" s="2524">
        <f t="shared" si="44"/>
        <v>3.9650394341841317</v>
      </c>
      <c r="N1033" s="2524">
        <f t="shared" si="45"/>
        <v>2.9877571379859713</v>
      </c>
    </row>
    <row r="1034" spans="1:14" ht="15">
      <c r="A1034" s="2218"/>
      <c r="B1034" s="2251">
        <v>44375</v>
      </c>
      <c r="C1034">
        <v>20.887799999999999</v>
      </c>
      <c r="D1034" s="2522">
        <v>4.2568000000000001</v>
      </c>
      <c r="E1034" s="2523">
        <f t="shared" si="47"/>
        <v>20.496540945512795</v>
      </c>
      <c r="F1034" s="2261">
        <f t="shared" si="46"/>
        <v>24.033050394191257</v>
      </c>
      <c r="G1034" s="2524">
        <f t="shared" si="48"/>
        <v>27.569559842869719</v>
      </c>
      <c r="H1034" s="2524">
        <f t="shared" si="49"/>
        <v>16.960031496834333</v>
      </c>
      <c r="I1034" s="2524">
        <f t="shared" si="50"/>
        <v>13.423522048155872</v>
      </c>
      <c r="J1034" s="2525">
        <f t="shared" si="41"/>
        <v>4.9423217303822922</v>
      </c>
      <c r="K1034" s="2261">
        <f t="shared" si="42"/>
        <v>5.919604026580453</v>
      </c>
      <c r="L1034" s="2524">
        <f t="shared" si="43"/>
        <v>6.8968863227786139</v>
      </c>
      <c r="M1034" s="2524">
        <f t="shared" si="44"/>
        <v>3.9650394341841317</v>
      </c>
      <c r="N1034" s="2524">
        <f t="shared" si="45"/>
        <v>2.9877571379859713</v>
      </c>
    </row>
    <row r="1035" spans="1:14" ht="15">
      <c r="A1035" s="2218"/>
      <c r="B1035" s="2251">
        <v>44376</v>
      </c>
      <c r="C1035">
        <v>21.5946</v>
      </c>
      <c r="D1035" s="2522">
        <v>4.2568000000000001</v>
      </c>
      <c r="E1035" s="2523">
        <f t="shared" si="47"/>
        <v>20.496540945512795</v>
      </c>
      <c r="F1035" s="2261">
        <f t="shared" si="46"/>
        <v>24.033050394191257</v>
      </c>
      <c r="G1035" s="2524">
        <f t="shared" si="48"/>
        <v>27.569559842869719</v>
      </c>
      <c r="H1035" s="2524">
        <f t="shared" si="49"/>
        <v>16.960031496834333</v>
      </c>
      <c r="I1035" s="2524">
        <f t="shared" si="50"/>
        <v>13.423522048155872</v>
      </c>
      <c r="J1035" s="2525">
        <f t="shared" si="41"/>
        <v>4.9423217303822922</v>
      </c>
      <c r="K1035" s="2261">
        <f t="shared" si="42"/>
        <v>5.919604026580453</v>
      </c>
      <c r="L1035" s="2524">
        <f t="shared" si="43"/>
        <v>6.8968863227786139</v>
      </c>
      <c r="M1035" s="2524">
        <f t="shared" si="44"/>
        <v>3.9650394341841317</v>
      </c>
      <c r="N1035" s="2524">
        <f t="shared" si="45"/>
        <v>2.9877571379859713</v>
      </c>
    </row>
    <row r="1036" spans="1:14" ht="15">
      <c r="A1036" s="2218"/>
      <c r="B1036" s="2251">
        <v>44377</v>
      </c>
      <c r="C1036">
        <v>20.7865</v>
      </c>
      <c r="D1036" s="2522">
        <v>4.3009000000000004</v>
      </c>
      <c r="E1036" s="2523">
        <f t="shared" si="47"/>
        <v>20.496540945512795</v>
      </c>
      <c r="F1036" s="2261">
        <f t="shared" si="46"/>
        <v>24.033050394191257</v>
      </c>
      <c r="G1036" s="2524">
        <f t="shared" si="48"/>
        <v>27.569559842869719</v>
      </c>
      <c r="H1036" s="2524">
        <f t="shared" si="49"/>
        <v>16.960031496834333</v>
      </c>
      <c r="I1036" s="2524">
        <f t="shared" si="50"/>
        <v>13.423522048155872</v>
      </c>
      <c r="J1036" s="2525">
        <f t="shared" si="41"/>
        <v>4.9423217303822922</v>
      </c>
      <c r="K1036" s="2261">
        <f t="shared" si="42"/>
        <v>5.919604026580453</v>
      </c>
      <c r="L1036" s="2524">
        <f t="shared" si="43"/>
        <v>6.8968863227786139</v>
      </c>
      <c r="M1036" s="2524">
        <f t="shared" si="44"/>
        <v>3.9650394341841317</v>
      </c>
      <c r="N1036" s="2524">
        <f t="shared" si="45"/>
        <v>2.9877571379859713</v>
      </c>
    </row>
    <row r="1037" spans="1:14" ht="15">
      <c r="A1037" s="2218"/>
      <c r="B1037" s="2251">
        <v>44378</v>
      </c>
      <c r="C1037">
        <v>20.999099999999999</v>
      </c>
      <c r="D1037" s="2522">
        <v>4.2126999999999999</v>
      </c>
      <c r="E1037" s="2523">
        <f t="shared" si="47"/>
        <v>20.496540945512795</v>
      </c>
      <c r="F1037" s="2261">
        <f t="shared" si="46"/>
        <v>24.033050394191257</v>
      </c>
      <c r="G1037" s="2524">
        <f t="shared" si="48"/>
        <v>27.569559842869719</v>
      </c>
      <c r="H1037" s="2524">
        <f t="shared" si="49"/>
        <v>16.960031496834333</v>
      </c>
      <c r="I1037" s="2524">
        <f t="shared" si="50"/>
        <v>13.423522048155872</v>
      </c>
      <c r="J1037" s="2525">
        <f t="shared" si="41"/>
        <v>4.9423217303822922</v>
      </c>
      <c r="K1037" s="2261">
        <f t="shared" si="42"/>
        <v>5.919604026580453</v>
      </c>
      <c r="L1037" s="2524">
        <f t="shared" si="43"/>
        <v>6.8968863227786139</v>
      </c>
      <c r="M1037" s="2524">
        <f t="shared" si="44"/>
        <v>3.9650394341841317</v>
      </c>
      <c r="N1037" s="2524">
        <f t="shared" si="45"/>
        <v>2.9877571379859713</v>
      </c>
    </row>
    <row r="1038" spans="1:14" ht="15">
      <c r="A1038" s="2218"/>
      <c r="B1038" s="2251">
        <v>44379</v>
      </c>
      <c r="C1038">
        <v>21.707799999999999</v>
      </c>
      <c r="D1038" s="2522">
        <v>4.2182000000000004</v>
      </c>
      <c r="E1038" s="2523">
        <f t="shared" si="47"/>
        <v>20.496540945512795</v>
      </c>
      <c r="F1038" s="2261">
        <f t="shared" si="46"/>
        <v>24.033050394191257</v>
      </c>
      <c r="G1038" s="2524">
        <f t="shared" si="48"/>
        <v>27.569559842869719</v>
      </c>
      <c r="H1038" s="2524">
        <f t="shared" si="49"/>
        <v>16.960031496834333</v>
      </c>
      <c r="I1038" s="2524">
        <f t="shared" si="50"/>
        <v>13.423522048155872</v>
      </c>
      <c r="J1038" s="2525">
        <f t="shared" si="41"/>
        <v>4.9423217303822922</v>
      </c>
      <c r="K1038" s="2261">
        <f t="shared" si="42"/>
        <v>5.919604026580453</v>
      </c>
      <c r="L1038" s="2524">
        <f t="shared" si="43"/>
        <v>6.8968863227786139</v>
      </c>
      <c r="M1038" s="2524">
        <f t="shared" si="44"/>
        <v>3.9650394341841317</v>
      </c>
      <c r="N1038" s="2524">
        <f t="shared" si="45"/>
        <v>2.9877571379859713</v>
      </c>
    </row>
    <row r="1039" spans="1:14" ht="15">
      <c r="A1039" s="2218"/>
      <c r="B1039" s="2251">
        <v>44382</v>
      </c>
      <c r="C1039">
        <v>21.896699999999999</v>
      </c>
      <c r="D1039" s="2522">
        <v>4.2291999999999996</v>
      </c>
      <c r="E1039" s="2523">
        <f t="shared" si="47"/>
        <v>20.496540945512795</v>
      </c>
      <c r="F1039" s="2261">
        <f t="shared" si="46"/>
        <v>24.033050394191257</v>
      </c>
      <c r="G1039" s="2524">
        <f t="shared" si="48"/>
        <v>27.569559842869719</v>
      </c>
      <c r="H1039" s="2524">
        <f t="shared" si="49"/>
        <v>16.960031496834333</v>
      </c>
      <c r="I1039" s="2524">
        <f t="shared" si="50"/>
        <v>13.423522048155872</v>
      </c>
      <c r="J1039" s="2525">
        <f t="shared" si="41"/>
        <v>4.9423217303822922</v>
      </c>
      <c r="K1039" s="2261">
        <f t="shared" si="42"/>
        <v>5.919604026580453</v>
      </c>
      <c r="L1039" s="2524">
        <f t="shared" si="43"/>
        <v>6.8968863227786139</v>
      </c>
      <c r="M1039" s="2524">
        <f t="shared" si="44"/>
        <v>3.9650394341841317</v>
      </c>
      <c r="N1039" s="2524">
        <f t="shared" si="45"/>
        <v>2.9877571379859713</v>
      </c>
    </row>
    <row r="1040" spans="1:14" ht="15">
      <c r="A1040" s="2218"/>
      <c r="B1040" s="2251">
        <v>44383</v>
      </c>
      <c r="C1040">
        <v>20.5503</v>
      </c>
      <c r="D1040" s="2522">
        <v>4.2016999999999998</v>
      </c>
      <c r="E1040" s="2523">
        <f t="shared" si="47"/>
        <v>20.496540945512795</v>
      </c>
      <c r="F1040" s="2261">
        <f t="shared" si="46"/>
        <v>24.033050394191257</v>
      </c>
      <c r="G1040" s="2524">
        <f t="shared" si="48"/>
        <v>27.569559842869719</v>
      </c>
      <c r="H1040" s="2524">
        <f t="shared" si="49"/>
        <v>16.960031496834333</v>
      </c>
      <c r="I1040" s="2524">
        <f t="shared" si="50"/>
        <v>13.423522048155872</v>
      </c>
      <c r="J1040" s="2525">
        <f t="shared" si="41"/>
        <v>4.9423217303822922</v>
      </c>
      <c r="K1040" s="2261">
        <f t="shared" si="42"/>
        <v>5.919604026580453</v>
      </c>
      <c r="L1040" s="2524">
        <f t="shared" si="43"/>
        <v>6.8968863227786139</v>
      </c>
      <c r="M1040" s="2524">
        <f t="shared" si="44"/>
        <v>3.9650394341841317</v>
      </c>
      <c r="N1040" s="2524">
        <f t="shared" si="45"/>
        <v>2.9877571379859713</v>
      </c>
    </row>
    <row r="1041" spans="1:14" ht="15">
      <c r="A1041" s="2218"/>
      <c r="B1041" s="2251">
        <v>44384</v>
      </c>
      <c r="C1041">
        <v>21.377099999999999</v>
      </c>
      <c r="D1041" s="2522">
        <v>4.0083000000000002</v>
      </c>
      <c r="E1041" s="2523">
        <f t="shared" si="47"/>
        <v>20.496540945512795</v>
      </c>
      <c r="F1041" s="2261">
        <f t="shared" si="46"/>
        <v>24.033050394191257</v>
      </c>
      <c r="G1041" s="2524">
        <f t="shared" si="48"/>
        <v>27.569559842869719</v>
      </c>
      <c r="H1041" s="2524">
        <f t="shared" si="49"/>
        <v>16.960031496834333</v>
      </c>
      <c r="I1041" s="2524">
        <f t="shared" si="50"/>
        <v>13.423522048155872</v>
      </c>
      <c r="J1041" s="2525">
        <f t="shared" si="41"/>
        <v>4.9423217303822922</v>
      </c>
      <c r="K1041" s="2261">
        <f t="shared" si="42"/>
        <v>5.919604026580453</v>
      </c>
      <c r="L1041" s="2524">
        <f t="shared" si="43"/>
        <v>6.8968863227786139</v>
      </c>
      <c r="M1041" s="2524">
        <f t="shared" si="44"/>
        <v>3.9650394341841317</v>
      </c>
      <c r="N1041" s="2524">
        <f t="shared" si="45"/>
        <v>2.9877571379859713</v>
      </c>
    </row>
    <row r="1042" spans="1:14" ht="15">
      <c r="A1042" s="2218"/>
      <c r="B1042" s="2251">
        <v>44385</v>
      </c>
      <c r="C1042">
        <v>21.2117</v>
      </c>
      <c r="D1042" s="2522">
        <v>4.1699000000000002</v>
      </c>
      <c r="E1042" s="2523">
        <f t="shared" si="47"/>
        <v>20.496540945512795</v>
      </c>
      <c r="F1042" s="2261">
        <f t="shared" si="46"/>
        <v>24.033050394191257</v>
      </c>
      <c r="G1042" s="2524">
        <f t="shared" si="48"/>
        <v>27.569559842869719</v>
      </c>
      <c r="H1042" s="2524">
        <f t="shared" si="49"/>
        <v>16.960031496834333</v>
      </c>
      <c r="I1042" s="2524">
        <f t="shared" si="50"/>
        <v>13.423522048155872</v>
      </c>
      <c r="J1042" s="2525">
        <f t="shared" si="41"/>
        <v>4.9423217303822922</v>
      </c>
      <c r="K1042" s="2261">
        <f t="shared" si="42"/>
        <v>5.919604026580453</v>
      </c>
      <c r="L1042" s="2524">
        <f t="shared" si="43"/>
        <v>6.8968863227786139</v>
      </c>
      <c r="M1042" s="2524">
        <f t="shared" si="44"/>
        <v>3.9650394341841317</v>
      </c>
      <c r="N1042" s="2524">
        <f t="shared" si="45"/>
        <v>2.9877571379859713</v>
      </c>
    </row>
    <row r="1043" spans="1:14" ht="15">
      <c r="A1043" s="2218"/>
      <c r="B1043" s="2251">
        <v>44386</v>
      </c>
      <c r="C1043">
        <v>21.188099999999999</v>
      </c>
      <c r="D1043" s="2522">
        <v>4.1699000000000002</v>
      </c>
      <c r="E1043" s="2523">
        <f t="shared" si="47"/>
        <v>20.496540945512795</v>
      </c>
      <c r="F1043" s="2261">
        <f t="shared" si="46"/>
        <v>24.033050394191257</v>
      </c>
      <c r="G1043" s="2524">
        <f t="shared" si="48"/>
        <v>27.569559842869719</v>
      </c>
      <c r="H1043" s="2524">
        <f t="shared" si="49"/>
        <v>16.960031496834333</v>
      </c>
      <c r="I1043" s="2524">
        <f t="shared" si="50"/>
        <v>13.423522048155872</v>
      </c>
      <c r="J1043" s="2525">
        <f t="shared" si="41"/>
        <v>4.9423217303822922</v>
      </c>
      <c r="K1043" s="2261">
        <f t="shared" si="42"/>
        <v>5.919604026580453</v>
      </c>
      <c r="L1043" s="2524">
        <f t="shared" si="43"/>
        <v>6.8968863227786139</v>
      </c>
      <c r="M1043" s="2524">
        <f t="shared" si="44"/>
        <v>3.9650394341841317</v>
      </c>
      <c r="N1043" s="2524">
        <f t="shared" si="45"/>
        <v>2.9877571379859713</v>
      </c>
    </row>
    <row r="1044" spans="1:14" ht="15">
      <c r="A1044" s="2218"/>
      <c r="B1044" s="2251">
        <v>44389</v>
      </c>
      <c r="C1044">
        <v>20.337700000000002</v>
      </c>
      <c r="D1044" s="2522">
        <v>4.2012</v>
      </c>
      <c r="E1044" s="2523">
        <f t="shared" si="47"/>
        <v>20.496540945512795</v>
      </c>
      <c r="F1044" s="2261">
        <f t="shared" si="46"/>
        <v>24.033050394191257</v>
      </c>
      <c r="G1044" s="2524">
        <f t="shared" si="48"/>
        <v>27.569559842869719</v>
      </c>
      <c r="H1044" s="2524">
        <f t="shared" si="49"/>
        <v>16.960031496834333</v>
      </c>
      <c r="I1044" s="2524">
        <f t="shared" si="50"/>
        <v>13.423522048155872</v>
      </c>
      <c r="J1044" s="2525">
        <f t="shared" si="41"/>
        <v>4.9423217303822922</v>
      </c>
      <c r="K1044" s="2261">
        <f t="shared" si="42"/>
        <v>5.919604026580453</v>
      </c>
      <c r="L1044" s="2524">
        <f t="shared" si="43"/>
        <v>6.8968863227786139</v>
      </c>
      <c r="M1044" s="2524">
        <f t="shared" si="44"/>
        <v>3.9650394341841317</v>
      </c>
      <c r="N1044" s="2524">
        <f t="shared" si="45"/>
        <v>2.9877571379859713</v>
      </c>
    </row>
    <row r="1045" spans="1:14" ht="15">
      <c r="A1045" s="2218"/>
      <c r="B1045" s="2251">
        <v>44390</v>
      </c>
      <c r="C1045">
        <v>20.5503</v>
      </c>
      <c r="D1045" s="2522">
        <v>4.1856</v>
      </c>
      <c r="E1045" s="2523">
        <f t="shared" si="47"/>
        <v>20.496540945512795</v>
      </c>
      <c r="F1045" s="2261">
        <f t="shared" si="46"/>
        <v>24.033050394191257</v>
      </c>
      <c r="G1045" s="2524">
        <f t="shared" si="48"/>
        <v>27.569559842869719</v>
      </c>
      <c r="H1045" s="2524">
        <f t="shared" si="49"/>
        <v>16.960031496834333</v>
      </c>
      <c r="I1045" s="2524">
        <f t="shared" si="50"/>
        <v>13.423522048155872</v>
      </c>
      <c r="J1045" s="2525">
        <f t="shared" si="41"/>
        <v>4.9423217303822922</v>
      </c>
      <c r="K1045" s="2261">
        <f t="shared" si="42"/>
        <v>5.919604026580453</v>
      </c>
      <c r="L1045" s="2524">
        <f t="shared" si="43"/>
        <v>6.8968863227786139</v>
      </c>
      <c r="M1045" s="2524">
        <f t="shared" si="44"/>
        <v>3.9650394341841317</v>
      </c>
      <c r="N1045" s="2524">
        <f t="shared" si="45"/>
        <v>2.9877571379859713</v>
      </c>
    </row>
    <row r="1046" spans="1:14" ht="15">
      <c r="A1046" s="2218"/>
      <c r="B1046" s="2251">
        <v>44391</v>
      </c>
      <c r="C1046">
        <v>20.1251</v>
      </c>
      <c r="D1046" s="2522">
        <v>4.1856</v>
      </c>
      <c r="E1046" s="2523">
        <f t="shared" si="47"/>
        <v>20.496540945512795</v>
      </c>
      <c r="F1046" s="2261">
        <f t="shared" si="46"/>
        <v>24.033050394191257</v>
      </c>
      <c r="G1046" s="2524">
        <f t="shared" si="48"/>
        <v>27.569559842869719</v>
      </c>
      <c r="H1046" s="2524">
        <f t="shared" si="49"/>
        <v>16.960031496834333</v>
      </c>
      <c r="I1046" s="2524">
        <f t="shared" si="50"/>
        <v>13.423522048155872</v>
      </c>
      <c r="J1046" s="2525">
        <f t="shared" si="41"/>
        <v>4.9423217303822922</v>
      </c>
      <c r="K1046" s="2261">
        <f t="shared" si="42"/>
        <v>5.919604026580453</v>
      </c>
      <c r="L1046" s="2524">
        <f t="shared" si="43"/>
        <v>6.8968863227786139</v>
      </c>
      <c r="M1046" s="2524">
        <f t="shared" si="44"/>
        <v>3.9650394341841317</v>
      </c>
      <c r="N1046" s="2524">
        <f t="shared" si="45"/>
        <v>2.9877571379859713</v>
      </c>
    </row>
    <row r="1047" spans="1:14" ht="15">
      <c r="A1047" s="2218"/>
      <c r="B1047" s="2251">
        <v>44392</v>
      </c>
      <c r="C1047">
        <v>20.1724</v>
      </c>
      <c r="D1047" s="2522">
        <v>4.1908000000000003</v>
      </c>
      <c r="E1047" s="2523">
        <f t="shared" si="47"/>
        <v>20.496540945512795</v>
      </c>
      <c r="F1047" s="2261">
        <f t="shared" si="46"/>
        <v>24.033050394191257</v>
      </c>
      <c r="G1047" s="2524">
        <f t="shared" si="48"/>
        <v>27.569559842869719</v>
      </c>
      <c r="H1047" s="2524">
        <f t="shared" si="49"/>
        <v>16.960031496834333</v>
      </c>
      <c r="I1047" s="2524">
        <f t="shared" si="50"/>
        <v>13.423522048155872</v>
      </c>
      <c r="J1047" s="2525">
        <f t="shared" si="41"/>
        <v>4.9423217303822922</v>
      </c>
      <c r="K1047" s="2261">
        <f t="shared" si="42"/>
        <v>5.919604026580453</v>
      </c>
      <c r="L1047" s="2524">
        <f t="shared" si="43"/>
        <v>6.8968863227786139</v>
      </c>
      <c r="M1047" s="2524">
        <f t="shared" si="44"/>
        <v>3.9650394341841317</v>
      </c>
      <c r="N1047" s="2524">
        <f t="shared" si="45"/>
        <v>2.9877571379859713</v>
      </c>
    </row>
    <row r="1048" spans="1:14" ht="15">
      <c r="A1048" s="2218"/>
      <c r="B1048" s="2251">
        <v>44393</v>
      </c>
      <c r="C1048">
        <v>20.5031</v>
      </c>
      <c r="D1048" s="2522">
        <v>4.2168000000000001</v>
      </c>
      <c r="E1048" s="2523">
        <f t="shared" si="47"/>
        <v>20.496540945512795</v>
      </c>
      <c r="F1048" s="2261">
        <f t="shared" si="46"/>
        <v>24.033050394191257</v>
      </c>
      <c r="G1048" s="2524">
        <f t="shared" si="48"/>
        <v>27.569559842869719</v>
      </c>
      <c r="H1048" s="2524">
        <f t="shared" si="49"/>
        <v>16.960031496834333</v>
      </c>
      <c r="I1048" s="2524">
        <f t="shared" si="50"/>
        <v>13.423522048155872</v>
      </c>
      <c r="J1048" s="2525">
        <f t="shared" si="41"/>
        <v>4.9423217303822922</v>
      </c>
      <c r="K1048" s="2261">
        <f t="shared" si="42"/>
        <v>5.919604026580453</v>
      </c>
      <c r="L1048" s="2524">
        <f t="shared" si="43"/>
        <v>6.8968863227786139</v>
      </c>
      <c r="M1048" s="2524">
        <f t="shared" si="44"/>
        <v>3.9650394341841317</v>
      </c>
      <c r="N1048" s="2524">
        <f t="shared" si="45"/>
        <v>2.9877571379859713</v>
      </c>
    </row>
    <row r="1049" spans="1:14" ht="15">
      <c r="A1049" s="2218"/>
      <c r="B1049" s="2251">
        <v>44396</v>
      </c>
      <c r="C1049">
        <v>20.007000000000001</v>
      </c>
      <c r="D1049" s="2522">
        <v>4.2064000000000004</v>
      </c>
      <c r="E1049" s="2523">
        <f t="shared" si="47"/>
        <v>20.496540945512795</v>
      </c>
      <c r="F1049" s="2261">
        <f t="shared" si="46"/>
        <v>24.033050394191257</v>
      </c>
      <c r="G1049" s="2524">
        <f t="shared" si="48"/>
        <v>27.569559842869719</v>
      </c>
      <c r="H1049" s="2524">
        <f t="shared" si="49"/>
        <v>16.960031496834333</v>
      </c>
      <c r="I1049" s="2524">
        <f t="shared" si="50"/>
        <v>13.423522048155872</v>
      </c>
      <c r="J1049" s="2525">
        <f t="shared" si="41"/>
        <v>4.9423217303822922</v>
      </c>
      <c r="K1049" s="2261">
        <f t="shared" si="42"/>
        <v>5.919604026580453</v>
      </c>
      <c r="L1049" s="2524">
        <f t="shared" si="43"/>
        <v>6.8968863227786139</v>
      </c>
      <c r="M1049" s="2524">
        <f t="shared" si="44"/>
        <v>3.9650394341841317</v>
      </c>
      <c r="N1049" s="2524">
        <f t="shared" si="45"/>
        <v>2.9877571379859713</v>
      </c>
    </row>
    <row r="1050" spans="1:14" ht="15">
      <c r="A1050" s="2218"/>
      <c r="B1050" s="2251">
        <v>44397</v>
      </c>
      <c r="C1050">
        <v>20.5031</v>
      </c>
      <c r="D1050" s="2522">
        <v>4.1699000000000002</v>
      </c>
      <c r="E1050" s="2523">
        <f t="shared" si="47"/>
        <v>20.496540945512795</v>
      </c>
      <c r="F1050" s="2261">
        <f t="shared" si="46"/>
        <v>24.033050394191257</v>
      </c>
      <c r="G1050" s="2524">
        <f t="shared" si="48"/>
        <v>27.569559842869719</v>
      </c>
      <c r="H1050" s="2524">
        <f t="shared" si="49"/>
        <v>16.960031496834333</v>
      </c>
      <c r="I1050" s="2524">
        <f t="shared" si="50"/>
        <v>13.423522048155872</v>
      </c>
      <c r="J1050" s="2525">
        <f t="shared" si="41"/>
        <v>4.9423217303822922</v>
      </c>
      <c r="K1050" s="2261">
        <f t="shared" si="42"/>
        <v>5.919604026580453</v>
      </c>
      <c r="L1050" s="2524">
        <f t="shared" si="43"/>
        <v>6.8968863227786139</v>
      </c>
      <c r="M1050" s="2524">
        <f t="shared" si="44"/>
        <v>3.9650394341841317</v>
      </c>
      <c r="N1050" s="2524">
        <f t="shared" si="45"/>
        <v>2.9877571379859713</v>
      </c>
    </row>
    <row r="1051" spans="1:14" ht="15">
      <c r="A1051" s="2218"/>
      <c r="B1051" s="2251">
        <v>44398</v>
      </c>
      <c r="C1051">
        <v>20.4558</v>
      </c>
      <c r="D1051" s="2522">
        <v>4.2115999999999998</v>
      </c>
      <c r="E1051" s="2523">
        <f t="shared" si="47"/>
        <v>20.496540945512795</v>
      </c>
      <c r="F1051" s="2261">
        <f t="shared" si="46"/>
        <v>24.033050394191257</v>
      </c>
      <c r="G1051" s="2524">
        <f t="shared" si="48"/>
        <v>27.569559842869719</v>
      </c>
      <c r="H1051" s="2524">
        <f t="shared" si="49"/>
        <v>16.960031496834333</v>
      </c>
      <c r="I1051" s="2524">
        <f t="shared" si="50"/>
        <v>13.423522048155872</v>
      </c>
      <c r="J1051" s="2525">
        <f t="shared" si="41"/>
        <v>4.9423217303822922</v>
      </c>
      <c r="K1051" s="2261">
        <f t="shared" si="42"/>
        <v>5.919604026580453</v>
      </c>
      <c r="L1051" s="2524">
        <f t="shared" si="43"/>
        <v>6.8968863227786139</v>
      </c>
      <c r="M1051" s="2524">
        <f t="shared" si="44"/>
        <v>3.9650394341841317</v>
      </c>
      <c r="N1051" s="2524">
        <f t="shared" si="45"/>
        <v>2.9877571379859713</v>
      </c>
    </row>
    <row r="1052" spans="1:14" ht="15">
      <c r="A1052" s="2218"/>
      <c r="B1052" s="2251">
        <v>44399</v>
      </c>
      <c r="C1052">
        <v>21.1172</v>
      </c>
      <c r="D1052" s="2522">
        <v>4.2742000000000004</v>
      </c>
      <c r="E1052" s="2523">
        <f t="shared" si="47"/>
        <v>20.496540945512795</v>
      </c>
      <c r="F1052" s="2261">
        <f t="shared" si="46"/>
        <v>24.033050394191257</v>
      </c>
      <c r="G1052" s="2524">
        <f t="shared" si="48"/>
        <v>27.569559842869719</v>
      </c>
      <c r="H1052" s="2524">
        <f t="shared" si="49"/>
        <v>16.960031496834333</v>
      </c>
      <c r="I1052" s="2524">
        <f t="shared" si="50"/>
        <v>13.423522048155872</v>
      </c>
      <c r="J1052" s="2525">
        <f t="shared" si="41"/>
        <v>4.9423217303822922</v>
      </c>
      <c r="K1052" s="2261">
        <f t="shared" si="42"/>
        <v>5.919604026580453</v>
      </c>
      <c r="L1052" s="2524">
        <f t="shared" si="43"/>
        <v>6.8968863227786139</v>
      </c>
      <c r="M1052" s="2524">
        <f t="shared" si="44"/>
        <v>3.9650394341841317</v>
      </c>
      <c r="N1052" s="2524">
        <f t="shared" si="45"/>
        <v>2.9877571379859713</v>
      </c>
    </row>
    <row r="1053" spans="1:14" ht="15">
      <c r="A1053" s="2218"/>
      <c r="B1053" s="2251">
        <v>44400</v>
      </c>
      <c r="C1053">
        <v>21.377099999999999</v>
      </c>
      <c r="D1053" s="2522">
        <v>4.3471000000000002</v>
      </c>
      <c r="E1053" s="2523">
        <f t="shared" si="47"/>
        <v>20.496540945512795</v>
      </c>
      <c r="F1053" s="2261">
        <f t="shared" si="46"/>
        <v>24.033050394191257</v>
      </c>
      <c r="G1053" s="2524">
        <f t="shared" si="48"/>
        <v>27.569559842869719</v>
      </c>
      <c r="H1053" s="2524">
        <f t="shared" si="49"/>
        <v>16.960031496834333</v>
      </c>
      <c r="I1053" s="2524">
        <f t="shared" si="50"/>
        <v>13.423522048155872</v>
      </c>
      <c r="J1053" s="2525">
        <f t="shared" si="41"/>
        <v>4.9423217303822922</v>
      </c>
      <c r="K1053" s="2261">
        <f t="shared" si="42"/>
        <v>5.919604026580453</v>
      </c>
      <c r="L1053" s="2524">
        <f t="shared" si="43"/>
        <v>6.8968863227786139</v>
      </c>
      <c r="M1053" s="2524">
        <f t="shared" si="44"/>
        <v>3.9650394341841317</v>
      </c>
      <c r="N1053" s="2524">
        <f t="shared" si="45"/>
        <v>2.9877571379859713</v>
      </c>
    </row>
    <row r="1054" spans="1:14" ht="15">
      <c r="A1054" s="2218"/>
      <c r="B1054" s="2251">
        <v>44403</v>
      </c>
      <c r="C1054">
        <v>22.132899999999999</v>
      </c>
      <c r="D1054" s="2522">
        <v>4.3731999999999998</v>
      </c>
      <c r="E1054" s="2523">
        <f t="shared" si="47"/>
        <v>20.496540945512795</v>
      </c>
      <c r="F1054" s="2261">
        <f t="shared" si="46"/>
        <v>24.033050394191257</v>
      </c>
      <c r="G1054" s="2524">
        <f t="shared" si="48"/>
        <v>27.569559842869719</v>
      </c>
      <c r="H1054" s="2524">
        <f t="shared" si="49"/>
        <v>16.960031496834333</v>
      </c>
      <c r="I1054" s="2524">
        <f t="shared" si="50"/>
        <v>13.423522048155872</v>
      </c>
      <c r="J1054" s="2525">
        <f t="shared" si="41"/>
        <v>4.9423217303822922</v>
      </c>
      <c r="K1054" s="2261">
        <f t="shared" si="42"/>
        <v>5.919604026580453</v>
      </c>
      <c r="L1054" s="2524">
        <f t="shared" si="43"/>
        <v>6.8968863227786139</v>
      </c>
      <c r="M1054" s="2524">
        <f t="shared" si="44"/>
        <v>3.9650394341841317</v>
      </c>
      <c r="N1054" s="2524">
        <f t="shared" si="45"/>
        <v>2.9877571379859713</v>
      </c>
    </row>
    <row r="1055" spans="1:14" ht="15">
      <c r="A1055" s="2218"/>
      <c r="B1055" s="2251">
        <v>44404</v>
      </c>
      <c r="C1055">
        <v>22.014800000000001</v>
      </c>
      <c r="D1055" s="2522">
        <v>4.3784000000000001</v>
      </c>
      <c r="E1055" s="2523">
        <f t="shared" si="47"/>
        <v>20.496540945512795</v>
      </c>
      <c r="F1055" s="2261">
        <f t="shared" si="46"/>
        <v>24.033050394191257</v>
      </c>
      <c r="G1055" s="2524">
        <f t="shared" si="48"/>
        <v>27.569559842869719</v>
      </c>
      <c r="H1055" s="2524">
        <f t="shared" si="49"/>
        <v>16.960031496834333</v>
      </c>
      <c r="I1055" s="2524">
        <f t="shared" si="50"/>
        <v>13.423522048155872</v>
      </c>
      <c r="J1055" s="2525">
        <f t="shared" si="41"/>
        <v>4.9423217303822922</v>
      </c>
      <c r="K1055" s="2261">
        <f t="shared" si="42"/>
        <v>5.919604026580453</v>
      </c>
      <c r="L1055" s="2524">
        <f t="shared" si="43"/>
        <v>6.8968863227786139</v>
      </c>
      <c r="M1055" s="2524">
        <f t="shared" si="44"/>
        <v>3.9650394341841317</v>
      </c>
      <c r="N1055" s="2524">
        <f t="shared" si="45"/>
        <v>2.9877571379859713</v>
      </c>
    </row>
    <row r="1056" spans="1:14" ht="15">
      <c r="A1056" s="2218"/>
      <c r="B1056" s="2251">
        <v>44405</v>
      </c>
      <c r="C1056">
        <v>21.731400000000001</v>
      </c>
      <c r="D1056" s="2522">
        <v>4.3628</v>
      </c>
      <c r="E1056" s="2523">
        <f t="shared" si="47"/>
        <v>20.496540945512795</v>
      </c>
      <c r="F1056" s="2261">
        <f t="shared" si="46"/>
        <v>24.033050394191257</v>
      </c>
      <c r="G1056" s="2524">
        <f t="shared" si="48"/>
        <v>27.569559842869719</v>
      </c>
      <c r="H1056" s="2524">
        <f t="shared" si="49"/>
        <v>16.960031496834333</v>
      </c>
      <c r="I1056" s="2524">
        <f t="shared" si="50"/>
        <v>13.423522048155872</v>
      </c>
      <c r="J1056" s="2525">
        <f t="shared" si="41"/>
        <v>4.9423217303822922</v>
      </c>
      <c r="K1056" s="2261">
        <f t="shared" si="42"/>
        <v>5.919604026580453</v>
      </c>
      <c r="L1056" s="2524">
        <f t="shared" si="43"/>
        <v>6.8968863227786139</v>
      </c>
      <c r="M1056" s="2524">
        <f t="shared" si="44"/>
        <v>3.9650394341841317</v>
      </c>
      <c r="N1056" s="2524">
        <f t="shared" si="45"/>
        <v>2.9877571379859713</v>
      </c>
    </row>
    <row r="1057" spans="1:14" ht="15">
      <c r="A1057" s="2218"/>
      <c r="B1057" s="2251">
        <v>44406</v>
      </c>
      <c r="C1057">
        <v>22.062100000000001</v>
      </c>
      <c r="D1057" s="2522">
        <v>4.3524000000000003</v>
      </c>
      <c r="E1057" s="2523">
        <f t="shared" si="47"/>
        <v>20.496540945512795</v>
      </c>
      <c r="F1057" s="2261">
        <f t="shared" si="46"/>
        <v>24.033050394191257</v>
      </c>
      <c r="G1057" s="2524">
        <f t="shared" si="48"/>
        <v>27.569559842869719</v>
      </c>
      <c r="H1057" s="2524">
        <f t="shared" si="49"/>
        <v>16.960031496834333</v>
      </c>
      <c r="I1057" s="2524">
        <f t="shared" si="50"/>
        <v>13.423522048155872</v>
      </c>
      <c r="J1057" s="2525">
        <f t="shared" si="41"/>
        <v>4.9423217303822922</v>
      </c>
      <c r="K1057" s="2261">
        <f t="shared" si="42"/>
        <v>5.919604026580453</v>
      </c>
      <c r="L1057" s="2524">
        <f t="shared" si="43"/>
        <v>6.8968863227786139</v>
      </c>
      <c r="M1057" s="2524">
        <f t="shared" si="44"/>
        <v>3.9650394341841317</v>
      </c>
      <c r="N1057" s="2524">
        <f t="shared" si="45"/>
        <v>2.9877571379859713</v>
      </c>
    </row>
    <row r="1058" spans="1:14" ht="15">
      <c r="A1058" s="2218"/>
      <c r="B1058" s="2251">
        <v>44407</v>
      </c>
      <c r="C1058">
        <v>22.203800000000001</v>
      </c>
      <c r="D1058" s="2522">
        <v>4.2742000000000004</v>
      </c>
      <c r="E1058" s="2523">
        <f t="shared" si="47"/>
        <v>20.496540945512795</v>
      </c>
      <c r="F1058" s="2261">
        <f t="shared" si="46"/>
        <v>24.033050394191257</v>
      </c>
      <c r="G1058" s="2524">
        <f t="shared" si="48"/>
        <v>27.569559842869719</v>
      </c>
      <c r="H1058" s="2524">
        <f t="shared" si="49"/>
        <v>16.960031496834333</v>
      </c>
      <c r="I1058" s="2524">
        <f t="shared" si="50"/>
        <v>13.423522048155872</v>
      </c>
      <c r="J1058" s="2525">
        <f t="shared" si="41"/>
        <v>4.9423217303822922</v>
      </c>
      <c r="K1058" s="2261">
        <f t="shared" si="42"/>
        <v>5.919604026580453</v>
      </c>
      <c r="L1058" s="2524">
        <f t="shared" si="43"/>
        <v>6.8968863227786139</v>
      </c>
      <c r="M1058" s="2524">
        <f t="shared" si="44"/>
        <v>3.9650394341841317</v>
      </c>
      <c r="N1058" s="2524">
        <f t="shared" si="45"/>
        <v>2.9877571379859713</v>
      </c>
    </row>
    <row r="1059" spans="1:14" ht="15">
      <c r="A1059" s="2218"/>
      <c r="B1059" s="2251">
        <v>44410</v>
      </c>
      <c r="C1059">
        <v>22.581700000000001</v>
      </c>
      <c r="D1059" s="2522">
        <v>4.2690000000000001</v>
      </c>
      <c r="E1059" s="2523">
        <f t="shared" si="47"/>
        <v>20.496540945512795</v>
      </c>
      <c r="F1059" s="2261">
        <f t="shared" si="46"/>
        <v>24.033050394191257</v>
      </c>
      <c r="G1059" s="2524">
        <f t="shared" si="48"/>
        <v>27.569559842869719</v>
      </c>
      <c r="H1059" s="2524">
        <f t="shared" si="49"/>
        <v>16.960031496834333</v>
      </c>
      <c r="I1059" s="2524">
        <f t="shared" si="50"/>
        <v>13.423522048155872</v>
      </c>
      <c r="J1059" s="2525">
        <f t="shared" si="41"/>
        <v>4.9423217303822922</v>
      </c>
      <c r="K1059" s="2261">
        <f t="shared" si="42"/>
        <v>5.919604026580453</v>
      </c>
      <c r="L1059" s="2524">
        <f t="shared" si="43"/>
        <v>6.8968863227786139</v>
      </c>
      <c r="M1059" s="2524">
        <f t="shared" si="44"/>
        <v>3.9650394341841317</v>
      </c>
      <c r="N1059" s="2524">
        <f t="shared" si="45"/>
        <v>2.9877571379859713</v>
      </c>
    </row>
    <row r="1060" spans="1:14" ht="15">
      <c r="A1060" s="2218"/>
      <c r="B1060" s="2251">
        <v>44411</v>
      </c>
      <c r="C1060">
        <v>22.629000000000001</v>
      </c>
      <c r="D1060" s="2522">
        <v>4.1750999999999996</v>
      </c>
      <c r="E1060" s="2523">
        <f t="shared" si="47"/>
        <v>20.496540945512795</v>
      </c>
      <c r="F1060" s="2261">
        <f t="shared" si="46"/>
        <v>24.033050394191257</v>
      </c>
      <c r="G1060" s="2524">
        <f t="shared" si="48"/>
        <v>27.569559842869719</v>
      </c>
      <c r="H1060" s="2524">
        <f t="shared" si="49"/>
        <v>16.960031496834333</v>
      </c>
      <c r="I1060" s="2524">
        <f t="shared" si="50"/>
        <v>13.423522048155872</v>
      </c>
      <c r="J1060" s="2525">
        <f t="shared" si="41"/>
        <v>4.9423217303822922</v>
      </c>
      <c r="K1060" s="2261">
        <f t="shared" si="42"/>
        <v>5.919604026580453</v>
      </c>
      <c r="L1060" s="2524">
        <f t="shared" si="43"/>
        <v>6.8968863227786139</v>
      </c>
      <c r="M1060" s="2524">
        <f t="shared" si="44"/>
        <v>3.9650394341841317</v>
      </c>
      <c r="N1060" s="2524">
        <f t="shared" si="45"/>
        <v>2.9877571379859713</v>
      </c>
    </row>
    <row r="1061" spans="1:14" ht="15">
      <c r="A1061" s="2218"/>
      <c r="B1061" s="2251">
        <v>44412</v>
      </c>
      <c r="C1061">
        <v>22.581700000000001</v>
      </c>
      <c r="D1061" s="2522">
        <v>4.1959999999999997</v>
      </c>
      <c r="E1061" s="2523">
        <f t="shared" si="47"/>
        <v>20.496540945512795</v>
      </c>
      <c r="F1061" s="2261">
        <f t="shared" si="46"/>
        <v>24.033050394191257</v>
      </c>
      <c r="G1061" s="2524">
        <f t="shared" si="48"/>
        <v>27.569559842869719</v>
      </c>
      <c r="H1061" s="2524">
        <f t="shared" si="49"/>
        <v>16.960031496834333</v>
      </c>
      <c r="I1061" s="2524">
        <f t="shared" si="50"/>
        <v>13.423522048155872</v>
      </c>
      <c r="J1061" s="2525">
        <f t="shared" si="41"/>
        <v>4.9423217303822922</v>
      </c>
      <c r="K1061" s="2261">
        <f t="shared" si="42"/>
        <v>5.919604026580453</v>
      </c>
      <c r="L1061" s="2524">
        <f t="shared" si="43"/>
        <v>6.8968863227786139</v>
      </c>
      <c r="M1061" s="2524">
        <f t="shared" si="44"/>
        <v>3.9650394341841317</v>
      </c>
      <c r="N1061" s="2524">
        <f t="shared" si="45"/>
        <v>2.9877571379859713</v>
      </c>
    </row>
    <row r="1062" spans="1:14" ht="15">
      <c r="A1062" s="2218"/>
      <c r="B1062" s="2251">
        <v>44413</v>
      </c>
      <c r="C1062">
        <v>22.817900000000002</v>
      </c>
      <c r="D1062" s="2522">
        <v>4.2064000000000004</v>
      </c>
      <c r="E1062" s="2523">
        <f t="shared" si="47"/>
        <v>20.496540945512795</v>
      </c>
      <c r="F1062" s="2261">
        <f t="shared" si="46"/>
        <v>24.033050394191257</v>
      </c>
      <c r="G1062" s="2524">
        <f t="shared" si="48"/>
        <v>27.569559842869719</v>
      </c>
      <c r="H1062" s="2524">
        <f t="shared" si="49"/>
        <v>16.960031496834333</v>
      </c>
      <c r="I1062" s="2524">
        <f t="shared" si="50"/>
        <v>13.423522048155872</v>
      </c>
      <c r="J1062" s="2525">
        <f t="shared" si="41"/>
        <v>4.9423217303822922</v>
      </c>
      <c r="K1062" s="2261">
        <f t="shared" si="42"/>
        <v>5.919604026580453</v>
      </c>
      <c r="L1062" s="2524">
        <f t="shared" si="43"/>
        <v>6.8968863227786139</v>
      </c>
      <c r="M1062" s="2524">
        <f t="shared" si="44"/>
        <v>3.9650394341841317</v>
      </c>
      <c r="N1062" s="2524">
        <f t="shared" si="45"/>
        <v>2.9877571379859713</v>
      </c>
    </row>
    <row r="1063" spans="1:14" ht="15">
      <c r="A1063" s="2218"/>
      <c r="B1063" s="2251">
        <v>44414</v>
      </c>
      <c r="C1063">
        <v>22.817900000000002</v>
      </c>
      <c r="D1063" s="2522">
        <v>4.2324999999999999</v>
      </c>
      <c r="E1063" s="2523">
        <f t="shared" si="47"/>
        <v>20.496540945512795</v>
      </c>
      <c r="F1063" s="2261">
        <f t="shared" si="46"/>
        <v>24.033050394191257</v>
      </c>
      <c r="G1063" s="2524">
        <f t="shared" si="48"/>
        <v>27.569559842869719</v>
      </c>
      <c r="H1063" s="2524">
        <f t="shared" si="49"/>
        <v>16.960031496834333</v>
      </c>
      <c r="I1063" s="2524">
        <f t="shared" si="50"/>
        <v>13.423522048155872</v>
      </c>
      <c r="J1063" s="2525">
        <f t="shared" si="41"/>
        <v>4.9423217303822922</v>
      </c>
      <c r="K1063" s="2261">
        <f t="shared" si="42"/>
        <v>5.919604026580453</v>
      </c>
      <c r="L1063" s="2524">
        <f t="shared" si="43"/>
        <v>6.8968863227786139</v>
      </c>
      <c r="M1063" s="2524">
        <f t="shared" si="44"/>
        <v>3.9650394341841317</v>
      </c>
      <c r="N1063" s="2524">
        <f t="shared" si="45"/>
        <v>2.9877571379859713</v>
      </c>
    </row>
    <row r="1064" spans="1:14" ht="15">
      <c r="A1064" s="2218"/>
      <c r="B1064" s="2251">
        <v>44417</v>
      </c>
      <c r="C1064">
        <v>23.0305</v>
      </c>
      <c r="D1064" s="2522">
        <v>4.2064000000000004</v>
      </c>
      <c r="E1064" s="2523">
        <f t="shared" si="47"/>
        <v>20.496540945512795</v>
      </c>
      <c r="F1064" s="2261">
        <f t="shared" si="46"/>
        <v>24.033050394191257</v>
      </c>
      <c r="G1064" s="2524">
        <f t="shared" si="48"/>
        <v>27.569559842869719</v>
      </c>
      <c r="H1064" s="2524">
        <f t="shared" si="49"/>
        <v>16.960031496834333</v>
      </c>
      <c r="I1064" s="2524">
        <f t="shared" si="50"/>
        <v>13.423522048155872</v>
      </c>
      <c r="J1064" s="2525">
        <f t="shared" si="41"/>
        <v>4.9423217303822922</v>
      </c>
      <c r="K1064" s="2261">
        <f t="shared" si="42"/>
        <v>5.919604026580453</v>
      </c>
      <c r="L1064" s="2524">
        <f t="shared" si="43"/>
        <v>6.8968863227786139</v>
      </c>
      <c r="M1064" s="2524">
        <f t="shared" si="44"/>
        <v>3.9650394341841317</v>
      </c>
      <c r="N1064" s="2524">
        <f t="shared" si="45"/>
        <v>2.9877571379859713</v>
      </c>
    </row>
    <row r="1065" spans="1:14" ht="15">
      <c r="A1065" s="2218"/>
      <c r="B1065" s="2251">
        <v>44418</v>
      </c>
      <c r="C1065">
        <v>23.101400000000002</v>
      </c>
      <c r="D1065" s="2522">
        <v>4.2064000000000004</v>
      </c>
      <c r="E1065" s="2523">
        <f t="shared" si="47"/>
        <v>20.496540945512795</v>
      </c>
      <c r="F1065" s="2261">
        <f t="shared" si="46"/>
        <v>24.033050394191257</v>
      </c>
      <c r="G1065" s="2524">
        <f t="shared" si="48"/>
        <v>27.569559842869719</v>
      </c>
      <c r="H1065" s="2524">
        <f t="shared" si="49"/>
        <v>16.960031496834333</v>
      </c>
      <c r="I1065" s="2524">
        <f t="shared" si="50"/>
        <v>13.423522048155872</v>
      </c>
      <c r="J1065" s="2525">
        <f t="shared" ref="J1065:J1128" si="51">J$953</f>
        <v>4.9423217303822922</v>
      </c>
      <c r="K1065" s="2261">
        <f t="shared" ref="K1065:K1128" si="52">J$953+G$953</f>
        <v>5.919604026580453</v>
      </c>
      <c r="L1065" s="2524">
        <f t="shared" ref="L1065:L1128" si="53">J$953+G$953+G$953</f>
        <v>6.8968863227786139</v>
      </c>
      <c r="M1065" s="2524">
        <f t="shared" ref="M1065:M1128" si="54">J$953-G$953</f>
        <v>3.9650394341841317</v>
      </c>
      <c r="N1065" s="2524">
        <f t="shared" ref="N1065:N1128" si="55">J$953-G$953-G$953</f>
        <v>2.9877571379859713</v>
      </c>
    </row>
    <row r="1066" spans="1:14" ht="15">
      <c r="A1066" s="2218"/>
      <c r="B1066" s="2251">
        <v>44419</v>
      </c>
      <c r="C1066">
        <v>22.6998</v>
      </c>
      <c r="D1066" s="2522">
        <v>4.2064000000000004</v>
      </c>
      <c r="E1066" s="2523">
        <f t="shared" si="47"/>
        <v>20.496540945512795</v>
      </c>
      <c r="F1066" s="2261">
        <f t="shared" si="46"/>
        <v>24.033050394191257</v>
      </c>
      <c r="G1066" s="2524">
        <f t="shared" si="48"/>
        <v>27.569559842869719</v>
      </c>
      <c r="H1066" s="2524">
        <f t="shared" si="49"/>
        <v>16.960031496834333</v>
      </c>
      <c r="I1066" s="2524">
        <f t="shared" si="50"/>
        <v>13.423522048155872</v>
      </c>
      <c r="J1066" s="2525">
        <f t="shared" si="51"/>
        <v>4.9423217303822922</v>
      </c>
      <c r="K1066" s="2261">
        <f t="shared" si="52"/>
        <v>5.919604026580453</v>
      </c>
      <c r="L1066" s="2524">
        <f t="shared" si="53"/>
        <v>6.8968863227786139</v>
      </c>
      <c r="M1066" s="2524">
        <f t="shared" si="54"/>
        <v>3.9650394341841317</v>
      </c>
      <c r="N1066" s="2524">
        <f t="shared" si="55"/>
        <v>2.9877571379859713</v>
      </c>
    </row>
    <row r="1067" spans="1:14" ht="15">
      <c r="A1067" s="2218"/>
      <c r="B1067" s="2251">
        <v>44420</v>
      </c>
      <c r="C1067">
        <v>22.156600000000001</v>
      </c>
      <c r="D1067" s="2522">
        <v>4.2115999999999998</v>
      </c>
      <c r="E1067" s="2523">
        <f t="shared" si="47"/>
        <v>20.496540945512795</v>
      </c>
      <c r="F1067" s="2261">
        <f t="shared" si="46"/>
        <v>24.033050394191257</v>
      </c>
      <c r="G1067" s="2524">
        <f t="shared" si="48"/>
        <v>27.569559842869719</v>
      </c>
      <c r="H1067" s="2524">
        <f t="shared" si="49"/>
        <v>16.960031496834333</v>
      </c>
      <c r="I1067" s="2524">
        <f t="shared" si="50"/>
        <v>13.423522048155872</v>
      </c>
      <c r="J1067" s="2525">
        <f t="shared" si="51"/>
        <v>4.9423217303822922</v>
      </c>
      <c r="K1067" s="2261">
        <f t="shared" si="52"/>
        <v>5.919604026580453</v>
      </c>
      <c r="L1067" s="2524">
        <f t="shared" si="53"/>
        <v>6.8968863227786139</v>
      </c>
      <c r="M1067" s="2524">
        <f t="shared" si="54"/>
        <v>3.9650394341841317</v>
      </c>
      <c r="N1067" s="2524">
        <f t="shared" si="55"/>
        <v>2.9877571379859713</v>
      </c>
    </row>
    <row r="1068" spans="1:14" ht="15">
      <c r="A1068" s="2218"/>
      <c r="B1068" s="2251">
        <v>44421</v>
      </c>
      <c r="C1068">
        <v>22.44</v>
      </c>
      <c r="D1068" s="2522">
        <v>4.2533000000000003</v>
      </c>
      <c r="E1068" s="2523">
        <f t="shared" si="47"/>
        <v>20.496540945512795</v>
      </c>
      <c r="F1068" s="2261">
        <f t="shared" si="46"/>
        <v>24.033050394191257</v>
      </c>
      <c r="G1068" s="2524">
        <f t="shared" si="48"/>
        <v>27.569559842869719</v>
      </c>
      <c r="H1068" s="2524">
        <f t="shared" si="49"/>
        <v>16.960031496834333</v>
      </c>
      <c r="I1068" s="2524">
        <f t="shared" si="50"/>
        <v>13.423522048155872</v>
      </c>
      <c r="J1068" s="2525">
        <f t="shared" si="51"/>
        <v>4.9423217303822922</v>
      </c>
      <c r="K1068" s="2261">
        <f t="shared" si="52"/>
        <v>5.919604026580453</v>
      </c>
      <c r="L1068" s="2524">
        <f t="shared" si="53"/>
        <v>6.8968863227786139</v>
      </c>
      <c r="M1068" s="2524">
        <f t="shared" si="54"/>
        <v>3.9650394341841317</v>
      </c>
      <c r="N1068" s="2524">
        <f t="shared" si="55"/>
        <v>2.9877571379859713</v>
      </c>
    </row>
    <row r="1069" spans="1:14" ht="15">
      <c r="A1069" s="2218"/>
      <c r="B1069" s="2251">
        <v>44424</v>
      </c>
      <c r="C1069">
        <v>22.345500000000001</v>
      </c>
      <c r="D1069" s="2522">
        <v>4.2533000000000003</v>
      </c>
      <c r="E1069" s="2523">
        <f t="shared" si="47"/>
        <v>20.496540945512795</v>
      </c>
      <c r="F1069" s="2261">
        <f t="shared" si="46"/>
        <v>24.033050394191257</v>
      </c>
      <c r="G1069" s="2524">
        <f t="shared" si="48"/>
        <v>27.569559842869719</v>
      </c>
      <c r="H1069" s="2524">
        <f t="shared" si="49"/>
        <v>16.960031496834333</v>
      </c>
      <c r="I1069" s="2524">
        <f t="shared" si="50"/>
        <v>13.423522048155872</v>
      </c>
      <c r="J1069" s="2525">
        <f t="shared" si="51"/>
        <v>4.9423217303822922</v>
      </c>
      <c r="K1069" s="2261">
        <f t="shared" si="52"/>
        <v>5.919604026580453</v>
      </c>
      <c r="L1069" s="2524">
        <f t="shared" si="53"/>
        <v>6.8968863227786139</v>
      </c>
      <c r="M1069" s="2524">
        <f t="shared" si="54"/>
        <v>3.9650394341841317</v>
      </c>
      <c r="N1069" s="2524">
        <f t="shared" si="55"/>
        <v>2.9877571379859713</v>
      </c>
    </row>
    <row r="1070" spans="1:14" ht="15">
      <c r="A1070" s="2218"/>
      <c r="B1070" s="2251">
        <v>44425</v>
      </c>
      <c r="C1070">
        <v>22.156600000000001</v>
      </c>
      <c r="D1070" s="2522">
        <v>4.2533000000000003</v>
      </c>
      <c r="E1070" s="2523">
        <f t="shared" si="47"/>
        <v>20.496540945512795</v>
      </c>
      <c r="F1070" s="2261">
        <f t="shared" si="46"/>
        <v>24.033050394191257</v>
      </c>
      <c r="G1070" s="2524">
        <f t="shared" si="48"/>
        <v>27.569559842869719</v>
      </c>
      <c r="H1070" s="2524">
        <f t="shared" si="49"/>
        <v>16.960031496834333</v>
      </c>
      <c r="I1070" s="2524">
        <f t="shared" si="50"/>
        <v>13.423522048155872</v>
      </c>
      <c r="J1070" s="2525">
        <f t="shared" si="51"/>
        <v>4.9423217303822922</v>
      </c>
      <c r="K1070" s="2261">
        <f t="shared" si="52"/>
        <v>5.919604026580453</v>
      </c>
      <c r="L1070" s="2524">
        <f t="shared" si="53"/>
        <v>6.8968863227786139</v>
      </c>
      <c r="M1070" s="2524">
        <f t="shared" si="54"/>
        <v>3.9650394341841317</v>
      </c>
      <c r="N1070" s="2524">
        <f t="shared" si="55"/>
        <v>2.9877571379859713</v>
      </c>
    </row>
    <row r="1071" spans="1:14" ht="15">
      <c r="A1071" s="2218"/>
      <c r="B1071" s="2251">
        <v>44426</v>
      </c>
      <c r="C1071">
        <v>22.203800000000001</v>
      </c>
      <c r="D1071" s="2522">
        <v>4.3159000000000001</v>
      </c>
      <c r="E1071" s="2523">
        <f t="shared" si="47"/>
        <v>20.496540945512795</v>
      </c>
      <c r="F1071" s="2261">
        <f t="shared" si="46"/>
        <v>24.033050394191257</v>
      </c>
      <c r="G1071" s="2524">
        <f t="shared" si="48"/>
        <v>27.569559842869719</v>
      </c>
      <c r="H1071" s="2524">
        <f t="shared" si="49"/>
        <v>16.960031496834333</v>
      </c>
      <c r="I1071" s="2524">
        <f t="shared" si="50"/>
        <v>13.423522048155872</v>
      </c>
      <c r="J1071" s="2525">
        <f t="shared" si="51"/>
        <v>4.9423217303822922</v>
      </c>
      <c r="K1071" s="2261">
        <f t="shared" si="52"/>
        <v>5.919604026580453</v>
      </c>
      <c r="L1071" s="2524">
        <f t="shared" si="53"/>
        <v>6.8968863227786139</v>
      </c>
      <c r="M1071" s="2524">
        <f t="shared" si="54"/>
        <v>3.9650394341841317</v>
      </c>
      <c r="N1071" s="2524">
        <f t="shared" si="55"/>
        <v>2.9877571379859713</v>
      </c>
    </row>
    <row r="1072" spans="1:14" ht="15">
      <c r="A1072" s="2218"/>
      <c r="B1072" s="2251">
        <v>44427</v>
      </c>
      <c r="C1072">
        <v>22.321899999999999</v>
      </c>
      <c r="D1072" s="2522">
        <v>4.3159000000000001</v>
      </c>
      <c r="E1072" s="2523">
        <f t="shared" si="47"/>
        <v>20.496540945512795</v>
      </c>
      <c r="F1072" s="2261">
        <f t="shared" si="46"/>
        <v>24.033050394191257</v>
      </c>
      <c r="G1072" s="2524">
        <f t="shared" si="48"/>
        <v>27.569559842869719</v>
      </c>
      <c r="H1072" s="2524">
        <f t="shared" si="49"/>
        <v>16.960031496834333</v>
      </c>
      <c r="I1072" s="2524">
        <f t="shared" si="50"/>
        <v>13.423522048155872</v>
      </c>
      <c r="J1072" s="2525">
        <f t="shared" si="51"/>
        <v>4.9423217303822922</v>
      </c>
      <c r="K1072" s="2261">
        <f t="shared" si="52"/>
        <v>5.919604026580453</v>
      </c>
      <c r="L1072" s="2524">
        <f t="shared" si="53"/>
        <v>6.8968863227786139</v>
      </c>
      <c r="M1072" s="2524">
        <f t="shared" si="54"/>
        <v>3.9650394341841317</v>
      </c>
      <c r="N1072" s="2524">
        <f t="shared" si="55"/>
        <v>2.9877571379859713</v>
      </c>
    </row>
    <row r="1073" spans="1:14" ht="15">
      <c r="A1073" s="2218"/>
      <c r="B1073" s="2251">
        <v>44428</v>
      </c>
      <c r="C1073">
        <v>21.920300000000001</v>
      </c>
      <c r="D1073" s="2522">
        <v>4.2637</v>
      </c>
      <c r="E1073" s="2523">
        <f t="shared" si="47"/>
        <v>20.496540945512795</v>
      </c>
      <c r="F1073" s="2261">
        <f t="shared" si="46"/>
        <v>24.033050394191257</v>
      </c>
      <c r="G1073" s="2524">
        <f t="shared" si="48"/>
        <v>27.569559842869719</v>
      </c>
      <c r="H1073" s="2524">
        <f t="shared" si="49"/>
        <v>16.960031496834333</v>
      </c>
      <c r="I1073" s="2524">
        <f t="shared" si="50"/>
        <v>13.423522048155872</v>
      </c>
      <c r="J1073" s="2525">
        <f t="shared" si="51"/>
        <v>4.9423217303822922</v>
      </c>
      <c r="K1073" s="2261">
        <f t="shared" si="52"/>
        <v>5.919604026580453</v>
      </c>
      <c r="L1073" s="2524">
        <f t="shared" si="53"/>
        <v>6.8968863227786139</v>
      </c>
      <c r="M1073" s="2524">
        <f t="shared" si="54"/>
        <v>3.9650394341841317</v>
      </c>
      <c r="N1073" s="2524">
        <f t="shared" si="55"/>
        <v>2.9877571379859713</v>
      </c>
    </row>
    <row r="1074" spans="1:14" ht="15">
      <c r="A1074" s="2218"/>
      <c r="B1074" s="2251">
        <v>44431</v>
      </c>
      <c r="C1074">
        <v>21.495200000000001</v>
      </c>
      <c r="D1074" s="2522">
        <v>4.2428999999999997</v>
      </c>
      <c r="E1074" s="2523">
        <f t="shared" si="47"/>
        <v>20.496540945512795</v>
      </c>
      <c r="F1074" s="2261">
        <f t="shared" si="46"/>
        <v>24.033050394191257</v>
      </c>
      <c r="G1074" s="2524">
        <f t="shared" si="48"/>
        <v>27.569559842869719</v>
      </c>
      <c r="H1074" s="2524">
        <f t="shared" si="49"/>
        <v>16.960031496834333</v>
      </c>
      <c r="I1074" s="2524">
        <f t="shared" si="50"/>
        <v>13.423522048155872</v>
      </c>
      <c r="J1074" s="2525">
        <f t="shared" si="51"/>
        <v>4.9423217303822922</v>
      </c>
      <c r="K1074" s="2261">
        <f t="shared" si="52"/>
        <v>5.919604026580453</v>
      </c>
      <c r="L1074" s="2524">
        <f t="shared" si="53"/>
        <v>6.8968863227786139</v>
      </c>
      <c r="M1074" s="2524">
        <f t="shared" si="54"/>
        <v>3.9650394341841317</v>
      </c>
      <c r="N1074" s="2524">
        <f t="shared" si="55"/>
        <v>2.9877571379859713</v>
      </c>
    </row>
    <row r="1075" spans="1:14" ht="15">
      <c r="A1075" s="2218"/>
      <c r="B1075" s="2251">
        <v>44432</v>
      </c>
      <c r="C1075">
        <v>21.707799999999999</v>
      </c>
      <c r="D1075" s="2522">
        <v>4.2115999999999998</v>
      </c>
      <c r="E1075" s="2523">
        <f t="shared" si="47"/>
        <v>20.496540945512795</v>
      </c>
      <c r="F1075" s="2261">
        <f t="shared" si="46"/>
        <v>24.033050394191257</v>
      </c>
      <c r="G1075" s="2524">
        <f t="shared" si="48"/>
        <v>27.569559842869719</v>
      </c>
      <c r="H1075" s="2524">
        <f t="shared" si="49"/>
        <v>16.960031496834333</v>
      </c>
      <c r="I1075" s="2524">
        <f t="shared" si="50"/>
        <v>13.423522048155872</v>
      </c>
      <c r="J1075" s="2525">
        <f t="shared" si="51"/>
        <v>4.9423217303822922</v>
      </c>
      <c r="K1075" s="2261">
        <f t="shared" si="52"/>
        <v>5.919604026580453</v>
      </c>
      <c r="L1075" s="2524">
        <f t="shared" si="53"/>
        <v>6.8968863227786139</v>
      </c>
      <c r="M1075" s="2524">
        <f t="shared" si="54"/>
        <v>3.9650394341841317</v>
      </c>
      <c r="N1075" s="2524">
        <f t="shared" si="55"/>
        <v>2.9877571379859713</v>
      </c>
    </row>
    <row r="1076" spans="1:14" ht="15">
      <c r="A1076" s="2218"/>
      <c r="B1076" s="2251">
        <v>44433</v>
      </c>
      <c r="C1076">
        <v>21.707799999999999</v>
      </c>
      <c r="D1076" s="2522">
        <v>4.1856</v>
      </c>
      <c r="E1076" s="2523">
        <f t="shared" si="47"/>
        <v>20.496540945512795</v>
      </c>
      <c r="F1076" s="2261">
        <f t="shared" si="46"/>
        <v>24.033050394191257</v>
      </c>
      <c r="G1076" s="2524">
        <f t="shared" si="48"/>
        <v>27.569559842869719</v>
      </c>
      <c r="H1076" s="2524">
        <f t="shared" si="49"/>
        <v>16.960031496834333</v>
      </c>
      <c r="I1076" s="2524">
        <f t="shared" si="50"/>
        <v>13.423522048155872</v>
      </c>
      <c r="J1076" s="2525">
        <f t="shared" si="51"/>
        <v>4.9423217303822922</v>
      </c>
      <c r="K1076" s="2261">
        <f t="shared" si="52"/>
        <v>5.919604026580453</v>
      </c>
      <c r="L1076" s="2524">
        <f t="shared" si="53"/>
        <v>6.8968863227786139</v>
      </c>
      <c r="M1076" s="2524">
        <f t="shared" si="54"/>
        <v>3.9650394341841317</v>
      </c>
      <c r="N1076" s="2524">
        <f t="shared" si="55"/>
        <v>2.9877571379859713</v>
      </c>
    </row>
    <row r="1077" spans="1:14" ht="15">
      <c r="A1077" s="2218"/>
      <c r="B1077" s="2251">
        <v>44434</v>
      </c>
      <c r="C1077">
        <v>21.589600000000001</v>
      </c>
      <c r="D1077" s="2522">
        <v>4.1959999999999997</v>
      </c>
      <c r="E1077" s="2523">
        <f t="shared" si="47"/>
        <v>20.496540945512795</v>
      </c>
      <c r="F1077" s="2261">
        <f t="shared" si="46"/>
        <v>24.033050394191257</v>
      </c>
      <c r="G1077" s="2524">
        <f t="shared" si="48"/>
        <v>27.569559842869719</v>
      </c>
      <c r="H1077" s="2524">
        <f t="shared" si="49"/>
        <v>16.960031496834333</v>
      </c>
      <c r="I1077" s="2524">
        <f t="shared" si="50"/>
        <v>13.423522048155872</v>
      </c>
      <c r="J1077" s="2525">
        <f t="shared" si="51"/>
        <v>4.9423217303822922</v>
      </c>
      <c r="K1077" s="2261">
        <f t="shared" si="52"/>
        <v>5.919604026580453</v>
      </c>
      <c r="L1077" s="2524">
        <f t="shared" si="53"/>
        <v>6.8968863227786139</v>
      </c>
      <c r="M1077" s="2524">
        <f t="shared" si="54"/>
        <v>3.9650394341841317</v>
      </c>
      <c r="N1077" s="2524">
        <f t="shared" si="55"/>
        <v>2.9877571379859713</v>
      </c>
    </row>
    <row r="1078" spans="1:14" ht="15">
      <c r="A1078" s="2218"/>
      <c r="B1078" s="2251">
        <v>44435</v>
      </c>
      <c r="C1078">
        <v>21.731400000000001</v>
      </c>
      <c r="D1078" s="2522">
        <v>4.1959999999999997</v>
      </c>
      <c r="E1078" s="2523">
        <f t="shared" si="47"/>
        <v>20.496540945512795</v>
      </c>
      <c r="F1078" s="2261">
        <f t="shared" si="46"/>
        <v>24.033050394191257</v>
      </c>
      <c r="G1078" s="2524">
        <f t="shared" si="48"/>
        <v>27.569559842869719</v>
      </c>
      <c r="H1078" s="2524">
        <f t="shared" si="49"/>
        <v>16.960031496834333</v>
      </c>
      <c r="I1078" s="2524">
        <f t="shared" si="50"/>
        <v>13.423522048155872</v>
      </c>
      <c r="J1078" s="2525">
        <f t="shared" si="51"/>
        <v>4.9423217303822922</v>
      </c>
      <c r="K1078" s="2261">
        <f t="shared" si="52"/>
        <v>5.919604026580453</v>
      </c>
      <c r="L1078" s="2524">
        <f t="shared" si="53"/>
        <v>6.8968863227786139</v>
      </c>
      <c r="M1078" s="2524">
        <f t="shared" si="54"/>
        <v>3.9650394341841317</v>
      </c>
      <c r="N1078" s="2524">
        <f t="shared" si="55"/>
        <v>2.9877571379859713</v>
      </c>
    </row>
    <row r="1079" spans="1:14" ht="15">
      <c r="A1079" s="2218"/>
      <c r="B1079" s="2251">
        <v>44438</v>
      </c>
      <c r="C1079">
        <v>21.778600000000001</v>
      </c>
      <c r="D1079" s="2522">
        <v>4.1699000000000002</v>
      </c>
      <c r="E1079" s="2523">
        <f t="shared" si="47"/>
        <v>20.496540945512795</v>
      </c>
      <c r="F1079" s="2261">
        <f t="shared" si="46"/>
        <v>24.033050394191257</v>
      </c>
      <c r="G1079" s="2524">
        <f t="shared" si="48"/>
        <v>27.569559842869719</v>
      </c>
      <c r="H1079" s="2524">
        <f t="shared" si="49"/>
        <v>16.960031496834333</v>
      </c>
      <c r="I1079" s="2524">
        <f t="shared" si="50"/>
        <v>13.423522048155872</v>
      </c>
      <c r="J1079" s="2525">
        <f t="shared" si="51"/>
        <v>4.9423217303822922</v>
      </c>
      <c r="K1079" s="2261">
        <f t="shared" si="52"/>
        <v>5.919604026580453</v>
      </c>
      <c r="L1079" s="2524">
        <f t="shared" si="53"/>
        <v>6.8968863227786139</v>
      </c>
      <c r="M1079" s="2524">
        <f t="shared" si="54"/>
        <v>3.9650394341841317</v>
      </c>
      <c r="N1079" s="2524">
        <f t="shared" si="55"/>
        <v>2.9877571379859713</v>
      </c>
    </row>
    <row r="1080" spans="1:14" ht="15">
      <c r="A1080" s="2218"/>
      <c r="B1080" s="2251">
        <v>44439</v>
      </c>
      <c r="C1080">
        <v>21.825900000000001</v>
      </c>
      <c r="D1080" s="2522">
        <v>4.0917000000000003</v>
      </c>
      <c r="E1080" s="2523">
        <f t="shared" si="47"/>
        <v>20.496540945512795</v>
      </c>
      <c r="F1080" s="2261">
        <f t="shared" si="46"/>
        <v>24.033050394191257</v>
      </c>
      <c r="G1080" s="2524">
        <f t="shared" si="48"/>
        <v>27.569559842869719</v>
      </c>
      <c r="H1080" s="2524">
        <f t="shared" si="49"/>
        <v>16.960031496834333</v>
      </c>
      <c r="I1080" s="2524">
        <f t="shared" si="50"/>
        <v>13.423522048155872</v>
      </c>
      <c r="J1080" s="2525">
        <f t="shared" si="51"/>
        <v>4.9423217303822922</v>
      </c>
      <c r="K1080" s="2261">
        <f t="shared" si="52"/>
        <v>5.919604026580453</v>
      </c>
      <c r="L1080" s="2524">
        <f t="shared" si="53"/>
        <v>6.8968863227786139</v>
      </c>
      <c r="M1080" s="2524">
        <f t="shared" si="54"/>
        <v>3.9650394341841317</v>
      </c>
      <c r="N1080" s="2524">
        <f t="shared" si="55"/>
        <v>2.9877571379859713</v>
      </c>
    </row>
    <row r="1081" spans="1:14" ht="15">
      <c r="A1081" s="2218"/>
      <c r="B1081" s="2251">
        <v>44440</v>
      </c>
      <c r="C1081">
        <v>21.825900000000001</v>
      </c>
      <c r="D1081" s="2522">
        <v>4.0761000000000003</v>
      </c>
      <c r="E1081" s="2523">
        <f t="shared" si="47"/>
        <v>20.496540945512795</v>
      </c>
      <c r="F1081" s="2261">
        <f t="shared" si="46"/>
        <v>24.033050394191257</v>
      </c>
      <c r="G1081" s="2524">
        <f t="shared" si="48"/>
        <v>27.569559842869719</v>
      </c>
      <c r="H1081" s="2524">
        <f t="shared" si="49"/>
        <v>16.960031496834333</v>
      </c>
      <c r="I1081" s="2524">
        <f t="shared" si="50"/>
        <v>13.423522048155872</v>
      </c>
      <c r="J1081" s="2525">
        <f t="shared" si="51"/>
        <v>4.9423217303822922</v>
      </c>
      <c r="K1081" s="2261">
        <f t="shared" si="52"/>
        <v>5.919604026580453</v>
      </c>
      <c r="L1081" s="2524">
        <f t="shared" si="53"/>
        <v>6.8968863227786139</v>
      </c>
      <c r="M1081" s="2524">
        <f t="shared" si="54"/>
        <v>3.9650394341841317</v>
      </c>
      <c r="N1081" s="2524">
        <f t="shared" si="55"/>
        <v>2.9877571379859713</v>
      </c>
    </row>
    <row r="1082" spans="1:14" ht="15">
      <c r="A1082" s="2218"/>
      <c r="B1082" s="2251">
        <v>44445</v>
      </c>
      <c r="C1082">
        <v>22.416399999999999</v>
      </c>
      <c r="D1082" s="2522">
        <v>4.1074000000000002</v>
      </c>
      <c r="E1082" s="2523">
        <f t="shared" si="47"/>
        <v>20.496540945512795</v>
      </c>
      <c r="F1082" s="2261">
        <f t="shared" si="46"/>
        <v>24.033050394191257</v>
      </c>
      <c r="G1082" s="2524">
        <f t="shared" si="48"/>
        <v>27.569559842869719</v>
      </c>
      <c r="H1082" s="2524">
        <f t="shared" si="49"/>
        <v>16.960031496834333</v>
      </c>
      <c r="I1082" s="2524">
        <f t="shared" si="50"/>
        <v>13.423522048155872</v>
      </c>
      <c r="J1082" s="2525">
        <f t="shared" si="51"/>
        <v>4.9423217303822922</v>
      </c>
      <c r="K1082" s="2261">
        <f t="shared" si="52"/>
        <v>5.919604026580453</v>
      </c>
      <c r="L1082" s="2524">
        <f t="shared" si="53"/>
        <v>6.8968863227786139</v>
      </c>
      <c r="M1082" s="2524">
        <f t="shared" si="54"/>
        <v>3.9650394341841317</v>
      </c>
      <c r="N1082" s="2524">
        <f t="shared" si="55"/>
        <v>2.9877571379859713</v>
      </c>
    </row>
    <row r="1083" spans="1:14" ht="15">
      <c r="A1083" s="2218"/>
      <c r="B1083" s="2251">
        <v>44446</v>
      </c>
      <c r="C1083">
        <v>22.085699999999999</v>
      </c>
      <c r="D1083" s="2522">
        <v>4.1439000000000004</v>
      </c>
      <c r="E1083" s="2523">
        <f t="shared" si="47"/>
        <v>20.496540945512795</v>
      </c>
      <c r="F1083" s="2261">
        <f t="shared" si="46"/>
        <v>24.033050394191257</v>
      </c>
      <c r="G1083" s="2524">
        <f t="shared" si="48"/>
        <v>27.569559842869719</v>
      </c>
      <c r="H1083" s="2524">
        <f t="shared" si="49"/>
        <v>16.960031496834333</v>
      </c>
      <c r="I1083" s="2524">
        <f t="shared" si="50"/>
        <v>13.423522048155872</v>
      </c>
      <c r="J1083" s="2525">
        <f t="shared" si="51"/>
        <v>4.9423217303822922</v>
      </c>
      <c r="K1083" s="2261">
        <f t="shared" si="52"/>
        <v>5.919604026580453</v>
      </c>
      <c r="L1083" s="2524">
        <f t="shared" si="53"/>
        <v>6.8968863227786139</v>
      </c>
      <c r="M1083" s="2524">
        <f t="shared" si="54"/>
        <v>3.9650394341841317</v>
      </c>
      <c r="N1083" s="2524">
        <f t="shared" si="55"/>
        <v>2.9877571379859713</v>
      </c>
    </row>
    <row r="1084" spans="1:14" ht="15">
      <c r="A1084" s="2218"/>
      <c r="B1084" s="2251">
        <v>44447</v>
      </c>
      <c r="C1084">
        <v>21.991199999999999</v>
      </c>
      <c r="D1084" s="2522">
        <v>4.2012</v>
      </c>
      <c r="E1084" s="2523">
        <f t="shared" si="47"/>
        <v>20.496540945512795</v>
      </c>
      <c r="F1084" s="2261">
        <f t="shared" si="46"/>
        <v>24.033050394191257</v>
      </c>
      <c r="G1084" s="2524">
        <f t="shared" si="48"/>
        <v>27.569559842869719</v>
      </c>
      <c r="H1084" s="2524">
        <f t="shared" si="49"/>
        <v>16.960031496834333</v>
      </c>
      <c r="I1084" s="2524">
        <f t="shared" si="50"/>
        <v>13.423522048155872</v>
      </c>
      <c r="J1084" s="2525">
        <f t="shared" si="51"/>
        <v>4.9423217303822922</v>
      </c>
      <c r="K1084" s="2261">
        <f t="shared" si="52"/>
        <v>5.919604026580453</v>
      </c>
      <c r="L1084" s="2524">
        <f t="shared" si="53"/>
        <v>6.8968863227786139</v>
      </c>
      <c r="M1084" s="2524">
        <f t="shared" si="54"/>
        <v>3.9650394341841317</v>
      </c>
      <c r="N1084" s="2524">
        <f t="shared" si="55"/>
        <v>2.9877571379859713</v>
      </c>
    </row>
    <row r="1085" spans="1:14" ht="15">
      <c r="A1085" s="2218"/>
      <c r="B1085" s="2251">
        <v>44448</v>
      </c>
      <c r="C1085">
        <v>22.014800000000001</v>
      </c>
      <c r="D1085" s="2522">
        <v>4.1439000000000004</v>
      </c>
      <c r="E1085" s="2523">
        <f t="shared" si="47"/>
        <v>20.496540945512795</v>
      </c>
      <c r="F1085" s="2261">
        <f t="shared" ref="F1085:F1148" si="56">I$953+F$953</f>
        <v>24.033050394191257</v>
      </c>
      <c r="G1085" s="2524">
        <f t="shared" si="48"/>
        <v>27.569559842869719</v>
      </c>
      <c r="H1085" s="2524">
        <f t="shared" si="49"/>
        <v>16.960031496834333</v>
      </c>
      <c r="I1085" s="2524">
        <f t="shared" si="50"/>
        <v>13.423522048155872</v>
      </c>
      <c r="J1085" s="2525">
        <f t="shared" si="51"/>
        <v>4.9423217303822922</v>
      </c>
      <c r="K1085" s="2261">
        <f t="shared" si="52"/>
        <v>5.919604026580453</v>
      </c>
      <c r="L1085" s="2524">
        <f t="shared" si="53"/>
        <v>6.8968863227786139</v>
      </c>
      <c r="M1085" s="2524">
        <f t="shared" si="54"/>
        <v>3.9650394341841317</v>
      </c>
      <c r="N1085" s="2524">
        <f t="shared" si="55"/>
        <v>2.9877571379859713</v>
      </c>
    </row>
    <row r="1086" spans="1:14" ht="15">
      <c r="A1086" s="2218"/>
      <c r="B1086" s="2251">
        <v>44449</v>
      </c>
      <c r="C1086">
        <v>22.085699999999999</v>
      </c>
      <c r="D1086" s="2522">
        <v>4.1125999999999996</v>
      </c>
      <c r="E1086" s="2523">
        <f t="shared" ref="E1086:E1149" si="57">I$953</f>
        <v>20.496540945512795</v>
      </c>
      <c r="F1086" s="2261">
        <f t="shared" si="56"/>
        <v>24.033050394191257</v>
      </c>
      <c r="G1086" s="2524">
        <f t="shared" ref="G1086:G1149" si="58">I$953+F$953+F$953</f>
        <v>27.569559842869719</v>
      </c>
      <c r="H1086" s="2524">
        <f t="shared" ref="H1086:H1149" si="59">I$953-F$953</f>
        <v>16.960031496834333</v>
      </c>
      <c r="I1086" s="2524">
        <f t="shared" ref="I1086:I1149" si="60">I$953-F$953-F$953</f>
        <v>13.423522048155872</v>
      </c>
      <c r="J1086" s="2525">
        <f t="shared" si="51"/>
        <v>4.9423217303822922</v>
      </c>
      <c r="K1086" s="2261">
        <f t="shared" si="52"/>
        <v>5.919604026580453</v>
      </c>
      <c r="L1086" s="2524">
        <f t="shared" si="53"/>
        <v>6.8968863227786139</v>
      </c>
      <c r="M1086" s="2524">
        <f t="shared" si="54"/>
        <v>3.9650394341841317</v>
      </c>
      <c r="N1086" s="2524">
        <f t="shared" si="55"/>
        <v>2.9877571379859713</v>
      </c>
    </row>
    <row r="1087" spans="1:14" ht="15">
      <c r="A1087" s="2218"/>
      <c r="B1087" s="2251">
        <v>44452</v>
      </c>
      <c r="C1087">
        <v>21.967600000000001</v>
      </c>
      <c r="D1087" s="2522">
        <v>4.1021999999999998</v>
      </c>
      <c r="E1087" s="2523">
        <f t="shared" si="57"/>
        <v>20.496540945512795</v>
      </c>
      <c r="F1087" s="2261">
        <f t="shared" si="56"/>
        <v>24.033050394191257</v>
      </c>
      <c r="G1087" s="2524">
        <f t="shared" si="58"/>
        <v>27.569559842869719</v>
      </c>
      <c r="H1087" s="2524">
        <f t="shared" si="59"/>
        <v>16.960031496834333</v>
      </c>
      <c r="I1087" s="2524">
        <f t="shared" si="60"/>
        <v>13.423522048155872</v>
      </c>
      <c r="J1087" s="2525">
        <f t="shared" si="51"/>
        <v>4.9423217303822922</v>
      </c>
      <c r="K1087" s="2261">
        <f t="shared" si="52"/>
        <v>5.919604026580453</v>
      </c>
      <c r="L1087" s="2524">
        <f t="shared" si="53"/>
        <v>6.8968863227786139</v>
      </c>
      <c r="M1087" s="2524">
        <f t="shared" si="54"/>
        <v>3.9650394341841317</v>
      </c>
      <c r="N1087" s="2524">
        <f t="shared" si="55"/>
        <v>2.9877571379859713</v>
      </c>
    </row>
    <row r="1088" spans="1:14" ht="15">
      <c r="A1088" s="2218"/>
      <c r="B1088" s="2251">
        <v>44453</v>
      </c>
      <c r="C1088">
        <v>22.156600000000001</v>
      </c>
      <c r="D1088" s="2522">
        <v>4.1959999999999997</v>
      </c>
      <c r="E1088" s="2523">
        <f t="shared" si="57"/>
        <v>20.496540945512795</v>
      </c>
      <c r="F1088" s="2261">
        <f t="shared" si="56"/>
        <v>24.033050394191257</v>
      </c>
      <c r="G1088" s="2524">
        <f t="shared" si="58"/>
        <v>27.569559842869719</v>
      </c>
      <c r="H1088" s="2524">
        <f t="shared" si="59"/>
        <v>16.960031496834333</v>
      </c>
      <c r="I1088" s="2524">
        <f t="shared" si="60"/>
        <v>13.423522048155872</v>
      </c>
      <c r="J1088" s="2525">
        <f t="shared" si="51"/>
        <v>4.9423217303822922</v>
      </c>
      <c r="K1088" s="2261">
        <f t="shared" si="52"/>
        <v>5.919604026580453</v>
      </c>
      <c r="L1088" s="2524">
        <f t="shared" si="53"/>
        <v>6.8968863227786139</v>
      </c>
      <c r="M1088" s="2524">
        <f t="shared" si="54"/>
        <v>3.9650394341841317</v>
      </c>
      <c r="N1088" s="2524">
        <f t="shared" si="55"/>
        <v>2.9877571379859713</v>
      </c>
    </row>
    <row r="1089" spans="1:14" ht="15">
      <c r="A1089" s="2218"/>
      <c r="B1089" s="2251">
        <v>44454</v>
      </c>
      <c r="C1089">
        <v>22.227399999999999</v>
      </c>
      <c r="D1089" s="2522">
        <v>4.1281999999999996</v>
      </c>
      <c r="E1089" s="2523">
        <f t="shared" si="57"/>
        <v>20.496540945512795</v>
      </c>
      <c r="F1089" s="2261">
        <f t="shared" si="56"/>
        <v>24.033050394191257</v>
      </c>
      <c r="G1089" s="2524">
        <f t="shared" si="58"/>
        <v>27.569559842869719</v>
      </c>
      <c r="H1089" s="2524">
        <f t="shared" si="59"/>
        <v>16.960031496834333</v>
      </c>
      <c r="I1089" s="2524">
        <f t="shared" si="60"/>
        <v>13.423522048155872</v>
      </c>
      <c r="J1089" s="2525">
        <f t="shared" si="51"/>
        <v>4.9423217303822922</v>
      </c>
      <c r="K1089" s="2261">
        <f t="shared" si="52"/>
        <v>5.919604026580453</v>
      </c>
      <c r="L1089" s="2524">
        <f t="shared" si="53"/>
        <v>6.8968863227786139</v>
      </c>
      <c r="M1089" s="2524">
        <f t="shared" si="54"/>
        <v>3.9650394341841317</v>
      </c>
      <c r="N1089" s="2524">
        <f t="shared" si="55"/>
        <v>2.9877571379859713</v>
      </c>
    </row>
    <row r="1090" spans="1:14" ht="15">
      <c r="A1090" s="2218"/>
      <c r="B1090" s="2251">
        <v>44455</v>
      </c>
      <c r="C1090">
        <v>22.3691</v>
      </c>
      <c r="D1090" s="2522">
        <v>4.1177999999999999</v>
      </c>
      <c r="E1090" s="2523">
        <f t="shared" si="57"/>
        <v>20.496540945512795</v>
      </c>
      <c r="F1090" s="2261">
        <f t="shared" si="56"/>
        <v>24.033050394191257</v>
      </c>
      <c r="G1090" s="2524">
        <f t="shared" si="58"/>
        <v>27.569559842869719</v>
      </c>
      <c r="H1090" s="2524">
        <f t="shared" si="59"/>
        <v>16.960031496834333</v>
      </c>
      <c r="I1090" s="2524">
        <f t="shared" si="60"/>
        <v>13.423522048155872</v>
      </c>
      <c r="J1090" s="2525">
        <f t="shared" si="51"/>
        <v>4.9423217303822922</v>
      </c>
      <c r="K1090" s="2261">
        <f t="shared" si="52"/>
        <v>5.919604026580453</v>
      </c>
      <c r="L1090" s="2524">
        <f t="shared" si="53"/>
        <v>6.8968863227786139</v>
      </c>
      <c r="M1090" s="2524">
        <f t="shared" si="54"/>
        <v>3.9650394341841317</v>
      </c>
      <c r="N1090" s="2524">
        <f t="shared" si="55"/>
        <v>2.9877571379859713</v>
      </c>
    </row>
    <row r="1091" spans="1:14" ht="15">
      <c r="A1091" s="2218"/>
      <c r="B1091" s="2251">
        <v>44456</v>
      </c>
      <c r="C1091">
        <v>22.605399999999999</v>
      </c>
      <c r="D1091" s="2522">
        <v>4.0448000000000004</v>
      </c>
      <c r="E1091" s="2523">
        <f t="shared" si="57"/>
        <v>20.496540945512795</v>
      </c>
      <c r="F1091" s="2261">
        <f t="shared" si="56"/>
        <v>24.033050394191257</v>
      </c>
      <c r="G1091" s="2524">
        <f t="shared" si="58"/>
        <v>27.569559842869719</v>
      </c>
      <c r="H1091" s="2524">
        <f t="shared" si="59"/>
        <v>16.960031496834333</v>
      </c>
      <c r="I1091" s="2524">
        <f t="shared" si="60"/>
        <v>13.423522048155872</v>
      </c>
      <c r="J1091" s="2525">
        <f t="shared" si="51"/>
        <v>4.9423217303822922</v>
      </c>
      <c r="K1091" s="2261">
        <f t="shared" si="52"/>
        <v>5.919604026580453</v>
      </c>
      <c r="L1091" s="2524">
        <f t="shared" si="53"/>
        <v>6.8968863227786139</v>
      </c>
      <c r="M1091" s="2524">
        <f t="shared" si="54"/>
        <v>3.9650394341841317</v>
      </c>
      <c r="N1091" s="2524">
        <f t="shared" si="55"/>
        <v>2.9877571379859713</v>
      </c>
    </row>
    <row r="1092" spans="1:14" ht="15">
      <c r="A1092" s="2218"/>
      <c r="B1092" s="2251">
        <v>44459</v>
      </c>
      <c r="C1092">
        <v>22.298300000000001</v>
      </c>
      <c r="D1092" s="2522">
        <v>4.0709</v>
      </c>
      <c r="E1092" s="2523">
        <f t="shared" si="57"/>
        <v>20.496540945512795</v>
      </c>
      <c r="F1092" s="2261">
        <f t="shared" si="56"/>
        <v>24.033050394191257</v>
      </c>
      <c r="G1092" s="2524">
        <f t="shared" si="58"/>
        <v>27.569559842869719</v>
      </c>
      <c r="H1092" s="2524">
        <f t="shared" si="59"/>
        <v>16.960031496834333</v>
      </c>
      <c r="I1092" s="2524">
        <f t="shared" si="60"/>
        <v>13.423522048155872</v>
      </c>
      <c r="J1092" s="2525">
        <f t="shared" si="51"/>
        <v>4.9423217303822922</v>
      </c>
      <c r="K1092" s="2261">
        <f t="shared" si="52"/>
        <v>5.919604026580453</v>
      </c>
      <c r="L1092" s="2524">
        <f t="shared" si="53"/>
        <v>6.8968863227786139</v>
      </c>
      <c r="M1092" s="2524">
        <f t="shared" si="54"/>
        <v>3.9650394341841317</v>
      </c>
      <c r="N1092" s="2524">
        <f t="shared" si="55"/>
        <v>2.9877571379859713</v>
      </c>
    </row>
    <row r="1093" spans="1:14" ht="15">
      <c r="A1093" s="2218"/>
      <c r="B1093" s="2251">
        <v>44460</v>
      </c>
      <c r="C1093">
        <v>22.085699999999999</v>
      </c>
      <c r="D1093" s="2522">
        <v>4.0917000000000003</v>
      </c>
      <c r="E1093" s="2523">
        <f t="shared" si="57"/>
        <v>20.496540945512795</v>
      </c>
      <c r="F1093" s="2261">
        <f t="shared" si="56"/>
        <v>24.033050394191257</v>
      </c>
      <c r="G1093" s="2524">
        <f t="shared" si="58"/>
        <v>27.569559842869719</v>
      </c>
      <c r="H1093" s="2524">
        <f t="shared" si="59"/>
        <v>16.960031496834333</v>
      </c>
      <c r="I1093" s="2524">
        <f t="shared" si="60"/>
        <v>13.423522048155872</v>
      </c>
      <c r="J1093" s="2525">
        <f t="shared" si="51"/>
        <v>4.9423217303822922</v>
      </c>
      <c r="K1093" s="2261">
        <f t="shared" si="52"/>
        <v>5.919604026580453</v>
      </c>
      <c r="L1093" s="2524">
        <f t="shared" si="53"/>
        <v>6.8968863227786139</v>
      </c>
      <c r="M1093" s="2524">
        <f t="shared" si="54"/>
        <v>3.9650394341841317</v>
      </c>
      <c r="N1093" s="2524">
        <f t="shared" si="55"/>
        <v>2.9877571379859713</v>
      </c>
    </row>
    <row r="1094" spans="1:14" ht="15">
      <c r="A1094" s="2218"/>
      <c r="B1094" s="2251">
        <v>44461</v>
      </c>
      <c r="C1094">
        <v>22.014800000000001</v>
      </c>
      <c r="D1094" s="2522">
        <v>4.0656999999999996</v>
      </c>
      <c r="E1094" s="2523">
        <f t="shared" si="57"/>
        <v>20.496540945512795</v>
      </c>
      <c r="F1094" s="2261">
        <f t="shared" si="56"/>
        <v>24.033050394191257</v>
      </c>
      <c r="G1094" s="2524">
        <f t="shared" si="58"/>
        <v>27.569559842869719</v>
      </c>
      <c r="H1094" s="2524">
        <f t="shared" si="59"/>
        <v>16.960031496834333</v>
      </c>
      <c r="I1094" s="2524">
        <f t="shared" si="60"/>
        <v>13.423522048155872</v>
      </c>
      <c r="J1094" s="2525">
        <f t="shared" si="51"/>
        <v>4.9423217303822922</v>
      </c>
      <c r="K1094" s="2261">
        <f t="shared" si="52"/>
        <v>5.919604026580453</v>
      </c>
      <c r="L1094" s="2524">
        <f t="shared" si="53"/>
        <v>6.8968863227786139</v>
      </c>
      <c r="M1094" s="2524">
        <f t="shared" si="54"/>
        <v>3.9650394341841317</v>
      </c>
      <c r="N1094" s="2524">
        <f t="shared" si="55"/>
        <v>2.9877571379859713</v>
      </c>
    </row>
    <row r="1095" spans="1:14" ht="15">
      <c r="A1095" s="2218"/>
      <c r="B1095" s="2251">
        <v>44462</v>
      </c>
      <c r="C1095">
        <v>21.991199999999999</v>
      </c>
      <c r="D1095" s="2522">
        <v>4.0968999999999998</v>
      </c>
      <c r="E1095" s="2523">
        <f t="shared" si="57"/>
        <v>20.496540945512795</v>
      </c>
      <c r="F1095" s="2261">
        <f t="shared" si="56"/>
        <v>24.033050394191257</v>
      </c>
      <c r="G1095" s="2524">
        <f t="shared" si="58"/>
        <v>27.569559842869719</v>
      </c>
      <c r="H1095" s="2524">
        <f t="shared" si="59"/>
        <v>16.960031496834333</v>
      </c>
      <c r="I1095" s="2524">
        <f t="shared" si="60"/>
        <v>13.423522048155872</v>
      </c>
      <c r="J1095" s="2525">
        <f t="shared" si="51"/>
        <v>4.9423217303822922</v>
      </c>
      <c r="K1095" s="2261">
        <f t="shared" si="52"/>
        <v>5.919604026580453</v>
      </c>
      <c r="L1095" s="2524">
        <f t="shared" si="53"/>
        <v>6.8968863227786139</v>
      </c>
      <c r="M1095" s="2524">
        <f t="shared" si="54"/>
        <v>3.9650394341841317</v>
      </c>
      <c r="N1095" s="2524">
        <f t="shared" si="55"/>
        <v>2.9877571379859713</v>
      </c>
    </row>
    <row r="1096" spans="1:14" ht="15">
      <c r="A1096" s="2218"/>
      <c r="B1096" s="2251">
        <v>44463</v>
      </c>
      <c r="C1096">
        <v>21.896699999999999</v>
      </c>
      <c r="D1096" s="2522">
        <v>4.1230000000000002</v>
      </c>
      <c r="E1096" s="2523">
        <f t="shared" si="57"/>
        <v>20.496540945512795</v>
      </c>
      <c r="F1096" s="2261">
        <f t="shared" si="56"/>
        <v>24.033050394191257</v>
      </c>
      <c r="G1096" s="2524">
        <f t="shared" si="58"/>
        <v>27.569559842869719</v>
      </c>
      <c r="H1096" s="2524">
        <f t="shared" si="59"/>
        <v>16.960031496834333</v>
      </c>
      <c r="I1096" s="2524">
        <f t="shared" si="60"/>
        <v>13.423522048155872</v>
      </c>
      <c r="J1096" s="2525">
        <f t="shared" si="51"/>
        <v>4.9423217303822922</v>
      </c>
      <c r="K1096" s="2261">
        <f t="shared" si="52"/>
        <v>5.919604026580453</v>
      </c>
      <c r="L1096" s="2524">
        <f t="shared" si="53"/>
        <v>6.8968863227786139</v>
      </c>
      <c r="M1096" s="2524">
        <f t="shared" si="54"/>
        <v>3.9650394341841317</v>
      </c>
      <c r="N1096" s="2524">
        <f t="shared" si="55"/>
        <v>2.9877571379859713</v>
      </c>
    </row>
    <row r="1097" spans="1:14" ht="15">
      <c r="A1097" s="2218"/>
      <c r="B1097" s="2251">
        <v>44466</v>
      </c>
      <c r="C1097">
        <v>21.754999999999999</v>
      </c>
      <c r="D1097" s="2522">
        <v>4.1281999999999996</v>
      </c>
      <c r="E1097" s="2523">
        <f t="shared" si="57"/>
        <v>20.496540945512795</v>
      </c>
      <c r="F1097" s="2261">
        <f t="shared" si="56"/>
        <v>24.033050394191257</v>
      </c>
      <c r="G1097" s="2524">
        <f t="shared" si="58"/>
        <v>27.569559842869719</v>
      </c>
      <c r="H1097" s="2524">
        <f t="shared" si="59"/>
        <v>16.960031496834333</v>
      </c>
      <c r="I1097" s="2524">
        <f t="shared" si="60"/>
        <v>13.423522048155872</v>
      </c>
      <c r="J1097" s="2525">
        <f t="shared" si="51"/>
        <v>4.9423217303822922</v>
      </c>
      <c r="K1097" s="2261">
        <f t="shared" si="52"/>
        <v>5.919604026580453</v>
      </c>
      <c r="L1097" s="2524">
        <f t="shared" si="53"/>
        <v>6.8968863227786139</v>
      </c>
      <c r="M1097" s="2524">
        <f t="shared" si="54"/>
        <v>3.9650394341841317</v>
      </c>
      <c r="N1097" s="2524">
        <f t="shared" si="55"/>
        <v>2.9877571379859713</v>
      </c>
    </row>
    <row r="1098" spans="1:14" ht="15">
      <c r="A1098" s="2218"/>
      <c r="B1098" s="2251">
        <v>44467</v>
      </c>
      <c r="C1098">
        <v>21.967600000000001</v>
      </c>
      <c r="D1098" s="2522">
        <v>4.1177999999999999</v>
      </c>
      <c r="E1098" s="2523">
        <f t="shared" si="57"/>
        <v>20.496540945512795</v>
      </c>
      <c r="F1098" s="2261">
        <f t="shared" si="56"/>
        <v>24.033050394191257</v>
      </c>
      <c r="G1098" s="2524">
        <f t="shared" si="58"/>
        <v>27.569559842869719</v>
      </c>
      <c r="H1098" s="2524">
        <f t="shared" si="59"/>
        <v>16.960031496834333</v>
      </c>
      <c r="I1098" s="2524">
        <f t="shared" si="60"/>
        <v>13.423522048155872</v>
      </c>
      <c r="J1098" s="2525">
        <f t="shared" si="51"/>
        <v>4.9423217303822922</v>
      </c>
      <c r="K1098" s="2261">
        <f t="shared" si="52"/>
        <v>5.919604026580453</v>
      </c>
      <c r="L1098" s="2524">
        <f t="shared" si="53"/>
        <v>6.8968863227786139</v>
      </c>
      <c r="M1098" s="2524">
        <f t="shared" si="54"/>
        <v>3.9650394341841317</v>
      </c>
      <c r="N1098" s="2524">
        <f t="shared" si="55"/>
        <v>2.9877571379859713</v>
      </c>
    </row>
    <row r="1099" spans="1:14" ht="15">
      <c r="A1099" s="2218"/>
      <c r="B1099" s="2251">
        <v>44468</v>
      </c>
      <c r="C1099">
        <v>22.014800000000001</v>
      </c>
      <c r="D1099" s="2522">
        <v>4.1230000000000002</v>
      </c>
      <c r="E1099" s="2523">
        <f t="shared" si="57"/>
        <v>20.496540945512795</v>
      </c>
      <c r="F1099" s="2261">
        <f t="shared" si="56"/>
        <v>24.033050394191257</v>
      </c>
      <c r="G1099" s="2524">
        <f t="shared" si="58"/>
        <v>27.569559842869719</v>
      </c>
      <c r="H1099" s="2524">
        <f t="shared" si="59"/>
        <v>16.960031496834333</v>
      </c>
      <c r="I1099" s="2524">
        <f t="shared" si="60"/>
        <v>13.423522048155872</v>
      </c>
      <c r="J1099" s="2525">
        <f t="shared" si="51"/>
        <v>4.9423217303822922</v>
      </c>
      <c r="K1099" s="2261">
        <f t="shared" si="52"/>
        <v>5.919604026580453</v>
      </c>
      <c r="L1099" s="2524">
        <f t="shared" si="53"/>
        <v>6.8968863227786139</v>
      </c>
      <c r="M1099" s="2524">
        <f t="shared" si="54"/>
        <v>3.9650394341841317</v>
      </c>
      <c r="N1099" s="2524">
        <f t="shared" si="55"/>
        <v>2.9877571379859713</v>
      </c>
    </row>
    <row r="1100" spans="1:14" ht="15">
      <c r="A1100" s="2218"/>
      <c r="B1100" s="2251">
        <v>44469</v>
      </c>
      <c r="C1100">
        <v>20.930199999999999</v>
      </c>
      <c r="D1100" s="2522">
        <v>3.8414999999999999</v>
      </c>
      <c r="E1100" s="2523">
        <f t="shared" si="57"/>
        <v>20.496540945512795</v>
      </c>
      <c r="F1100" s="2261">
        <f t="shared" si="56"/>
        <v>24.033050394191257</v>
      </c>
      <c r="G1100" s="2524">
        <f t="shared" si="58"/>
        <v>27.569559842869719</v>
      </c>
      <c r="H1100" s="2524">
        <f t="shared" si="59"/>
        <v>16.960031496834333</v>
      </c>
      <c r="I1100" s="2524">
        <f t="shared" si="60"/>
        <v>13.423522048155872</v>
      </c>
      <c r="J1100" s="2525">
        <f t="shared" si="51"/>
        <v>4.9423217303822922</v>
      </c>
      <c r="K1100" s="2261">
        <f t="shared" si="52"/>
        <v>5.919604026580453</v>
      </c>
      <c r="L1100" s="2524">
        <f t="shared" si="53"/>
        <v>6.8968863227786139</v>
      </c>
      <c r="M1100" s="2524">
        <f t="shared" si="54"/>
        <v>3.9650394341841317</v>
      </c>
      <c r="N1100" s="2524">
        <f t="shared" si="55"/>
        <v>2.9877571379859713</v>
      </c>
    </row>
    <row r="1101" spans="1:14" ht="15">
      <c r="A1101" s="2218"/>
      <c r="B1101" s="2251">
        <v>44470</v>
      </c>
      <c r="C1101">
        <v>20.907699999999998</v>
      </c>
      <c r="D1101" s="2522">
        <v>3.9289000000000001</v>
      </c>
      <c r="E1101" s="2523">
        <f t="shared" si="57"/>
        <v>20.496540945512795</v>
      </c>
      <c r="F1101" s="2261">
        <f t="shared" si="56"/>
        <v>24.033050394191257</v>
      </c>
      <c r="G1101" s="2524">
        <f t="shared" si="58"/>
        <v>27.569559842869719</v>
      </c>
      <c r="H1101" s="2524">
        <f t="shared" si="59"/>
        <v>16.960031496834333</v>
      </c>
      <c r="I1101" s="2524">
        <f t="shared" si="60"/>
        <v>13.423522048155872</v>
      </c>
      <c r="J1101" s="2525">
        <f t="shared" si="51"/>
        <v>4.9423217303822922</v>
      </c>
      <c r="K1101" s="2261">
        <f t="shared" si="52"/>
        <v>5.919604026580453</v>
      </c>
      <c r="L1101" s="2524">
        <f t="shared" si="53"/>
        <v>6.8968863227786139</v>
      </c>
      <c r="M1101" s="2524">
        <f t="shared" si="54"/>
        <v>3.9650394341841317</v>
      </c>
      <c r="N1101" s="2524">
        <f t="shared" si="55"/>
        <v>2.9877571379859713</v>
      </c>
    </row>
    <row r="1102" spans="1:14" ht="15">
      <c r="A1102" s="2218"/>
      <c r="B1102" s="2251">
        <v>44473</v>
      </c>
      <c r="C1102">
        <v>21.290299999999998</v>
      </c>
      <c r="D1102" s="2522">
        <v>3.9095</v>
      </c>
      <c r="E1102" s="2523">
        <f t="shared" si="57"/>
        <v>20.496540945512795</v>
      </c>
      <c r="F1102" s="2261">
        <f t="shared" si="56"/>
        <v>24.033050394191257</v>
      </c>
      <c r="G1102" s="2524">
        <f t="shared" si="58"/>
        <v>27.569559842869719</v>
      </c>
      <c r="H1102" s="2524">
        <f t="shared" si="59"/>
        <v>16.960031496834333</v>
      </c>
      <c r="I1102" s="2524">
        <f t="shared" si="60"/>
        <v>13.423522048155872</v>
      </c>
      <c r="J1102" s="2525">
        <f t="shared" si="51"/>
        <v>4.9423217303822922</v>
      </c>
      <c r="K1102" s="2261">
        <f t="shared" si="52"/>
        <v>5.919604026580453</v>
      </c>
      <c r="L1102" s="2524">
        <f t="shared" si="53"/>
        <v>6.8968863227786139</v>
      </c>
      <c r="M1102" s="2524">
        <f t="shared" si="54"/>
        <v>3.9650394341841317</v>
      </c>
      <c r="N1102" s="2524">
        <f t="shared" si="55"/>
        <v>2.9877571379859713</v>
      </c>
    </row>
    <row r="1103" spans="1:14" ht="15">
      <c r="A1103" s="2218"/>
      <c r="B1103" s="2251">
        <v>44474</v>
      </c>
      <c r="C1103">
        <v>21.2453</v>
      </c>
      <c r="D1103" s="2522">
        <v>3.9142999999999999</v>
      </c>
      <c r="E1103" s="2523">
        <f t="shared" si="57"/>
        <v>20.496540945512795</v>
      </c>
      <c r="F1103" s="2261">
        <f t="shared" si="56"/>
        <v>24.033050394191257</v>
      </c>
      <c r="G1103" s="2524">
        <f t="shared" si="58"/>
        <v>27.569559842869719</v>
      </c>
      <c r="H1103" s="2524">
        <f t="shared" si="59"/>
        <v>16.960031496834333</v>
      </c>
      <c r="I1103" s="2524">
        <f t="shared" si="60"/>
        <v>13.423522048155872</v>
      </c>
      <c r="J1103" s="2525">
        <f t="shared" si="51"/>
        <v>4.9423217303822922</v>
      </c>
      <c r="K1103" s="2261">
        <f t="shared" si="52"/>
        <v>5.919604026580453</v>
      </c>
      <c r="L1103" s="2524">
        <f t="shared" si="53"/>
        <v>6.8968863227786139</v>
      </c>
      <c r="M1103" s="2524">
        <f t="shared" si="54"/>
        <v>3.9650394341841317</v>
      </c>
      <c r="N1103" s="2524">
        <f t="shared" si="55"/>
        <v>2.9877571379859713</v>
      </c>
    </row>
    <row r="1104" spans="1:14" ht="15">
      <c r="A1104" s="2218"/>
      <c r="B1104" s="2251">
        <v>44475</v>
      </c>
      <c r="C1104">
        <v>21.2453</v>
      </c>
      <c r="D1104" s="2522">
        <v>3.8997999999999999</v>
      </c>
      <c r="E1104" s="2523">
        <f t="shared" si="57"/>
        <v>20.496540945512795</v>
      </c>
      <c r="F1104" s="2261">
        <f t="shared" si="56"/>
        <v>24.033050394191257</v>
      </c>
      <c r="G1104" s="2524">
        <f t="shared" si="58"/>
        <v>27.569559842869719</v>
      </c>
      <c r="H1104" s="2524">
        <f t="shared" si="59"/>
        <v>16.960031496834333</v>
      </c>
      <c r="I1104" s="2524">
        <f t="shared" si="60"/>
        <v>13.423522048155872</v>
      </c>
      <c r="J1104" s="2525">
        <f t="shared" si="51"/>
        <v>4.9423217303822922</v>
      </c>
      <c r="K1104" s="2261">
        <f t="shared" si="52"/>
        <v>5.919604026580453</v>
      </c>
      <c r="L1104" s="2524">
        <f t="shared" si="53"/>
        <v>6.8968863227786139</v>
      </c>
      <c r="M1104" s="2524">
        <f t="shared" si="54"/>
        <v>3.9650394341841317</v>
      </c>
      <c r="N1104" s="2524">
        <f t="shared" si="55"/>
        <v>2.9877571379859713</v>
      </c>
    </row>
    <row r="1105" spans="1:14" ht="15">
      <c r="A1105" s="2218"/>
      <c r="B1105" s="2251">
        <v>44476</v>
      </c>
      <c r="C1105">
        <v>21.222799999999999</v>
      </c>
      <c r="D1105" s="2522">
        <v>3.9095</v>
      </c>
      <c r="E1105" s="2523">
        <f t="shared" si="57"/>
        <v>20.496540945512795</v>
      </c>
      <c r="F1105" s="2261">
        <f t="shared" si="56"/>
        <v>24.033050394191257</v>
      </c>
      <c r="G1105" s="2524">
        <f t="shared" si="58"/>
        <v>27.569559842869719</v>
      </c>
      <c r="H1105" s="2524">
        <f t="shared" si="59"/>
        <v>16.960031496834333</v>
      </c>
      <c r="I1105" s="2524">
        <f t="shared" si="60"/>
        <v>13.423522048155872</v>
      </c>
      <c r="J1105" s="2525">
        <f t="shared" si="51"/>
        <v>4.9423217303822922</v>
      </c>
      <c r="K1105" s="2261">
        <f t="shared" si="52"/>
        <v>5.919604026580453</v>
      </c>
      <c r="L1105" s="2524">
        <f t="shared" si="53"/>
        <v>6.8968863227786139</v>
      </c>
      <c r="M1105" s="2524">
        <f t="shared" si="54"/>
        <v>3.9650394341841317</v>
      </c>
      <c r="N1105" s="2524">
        <f t="shared" si="55"/>
        <v>2.9877571379859713</v>
      </c>
    </row>
    <row r="1106" spans="1:14" ht="15">
      <c r="A1106" s="2218"/>
      <c r="B1106" s="2251">
        <v>44477</v>
      </c>
      <c r="C1106">
        <v>22.257999999999999</v>
      </c>
      <c r="D1106" s="2522">
        <v>3.8997999999999999</v>
      </c>
      <c r="E1106" s="2523">
        <f t="shared" si="57"/>
        <v>20.496540945512795</v>
      </c>
      <c r="F1106" s="2261">
        <f t="shared" si="56"/>
        <v>24.033050394191257</v>
      </c>
      <c r="G1106" s="2524">
        <f t="shared" si="58"/>
        <v>27.569559842869719</v>
      </c>
      <c r="H1106" s="2524">
        <f t="shared" si="59"/>
        <v>16.960031496834333</v>
      </c>
      <c r="I1106" s="2524">
        <f t="shared" si="60"/>
        <v>13.423522048155872</v>
      </c>
      <c r="J1106" s="2525">
        <f t="shared" si="51"/>
        <v>4.9423217303822922</v>
      </c>
      <c r="K1106" s="2261">
        <f t="shared" si="52"/>
        <v>5.919604026580453</v>
      </c>
      <c r="L1106" s="2524">
        <f t="shared" si="53"/>
        <v>6.8968863227786139</v>
      </c>
      <c r="M1106" s="2524">
        <f t="shared" si="54"/>
        <v>3.9650394341841317</v>
      </c>
      <c r="N1106" s="2524">
        <f t="shared" si="55"/>
        <v>2.9877571379859713</v>
      </c>
    </row>
    <row r="1107" spans="1:14" ht="15">
      <c r="A1107" s="2218"/>
      <c r="B1107" s="2251">
        <v>44480</v>
      </c>
      <c r="C1107">
        <v>22.325600000000001</v>
      </c>
      <c r="D1107" s="2522">
        <v>3.8997999999999999</v>
      </c>
      <c r="E1107" s="2523">
        <f t="shared" si="57"/>
        <v>20.496540945512795</v>
      </c>
      <c r="F1107" s="2261">
        <f t="shared" si="56"/>
        <v>24.033050394191257</v>
      </c>
      <c r="G1107" s="2524">
        <f t="shared" si="58"/>
        <v>27.569559842869719</v>
      </c>
      <c r="H1107" s="2524">
        <f t="shared" si="59"/>
        <v>16.960031496834333</v>
      </c>
      <c r="I1107" s="2524">
        <f t="shared" si="60"/>
        <v>13.423522048155872</v>
      </c>
      <c r="J1107" s="2525">
        <f t="shared" si="51"/>
        <v>4.9423217303822922</v>
      </c>
      <c r="K1107" s="2261">
        <f t="shared" si="52"/>
        <v>5.919604026580453</v>
      </c>
      <c r="L1107" s="2524">
        <f t="shared" si="53"/>
        <v>6.8968863227786139</v>
      </c>
      <c r="M1107" s="2524">
        <f t="shared" si="54"/>
        <v>3.9650394341841317</v>
      </c>
      <c r="N1107" s="2524">
        <f t="shared" si="55"/>
        <v>2.9877571379859713</v>
      </c>
    </row>
    <row r="1108" spans="1:14" ht="15">
      <c r="A1108" s="2218"/>
      <c r="B1108" s="2251">
        <v>44481</v>
      </c>
      <c r="C1108">
        <v>22.2806</v>
      </c>
      <c r="D1108" s="2522">
        <v>3.8997999999999999</v>
      </c>
      <c r="E1108" s="2523">
        <f t="shared" si="57"/>
        <v>20.496540945512795</v>
      </c>
      <c r="F1108" s="2261">
        <f t="shared" si="56"/>
        <v>24.033050394191257</v>
      </c>
      <c r="G1108" s="2524">
        <f t="shared" si="58"/>
        <v>27.569559842869719</v>
      </c>
      <c r="H1108" s="2524">
        <f t="shared" si="59"/>
        <v>16.960031496834333</v>
      </c>
      <c r="I1108" s="2524">
        <f t="shared" si="60"/>
        <v>13.423522048155872</v>
      </c>
      <c r="J1108" s="2525">
        <f t="shared" si="51"/>
        <v>4.9423217303822922</v>
      </c>
      <c r="K1108" s="2261">
        <f t="shared" si="52"/>
        <v>5.919604026580453</v>
      </c>
      <c r="L1108" s="2524">
        <f t="shared" si="53"/>
        <v>6.8968863227786139</v>
      </c>
      <c r="M1108" s="2524">
        <f t="shared" si="54"/>
        <v>3.9650394341841317</v>
      </c>
      <c r="N1108" s="2524">
        <f t="shared" si="55"/>
        <v>2.9877571379859713</v>
      </c>
    </row>
    <row r="1109" spans="1:14" ht="15">
      <c r="A1109" s="2218"/>
      <c r="B1109" s="2251">
        <v>44482</v>
      </c>
      <c r="C1109">
        <v>22.3706</v>
      </c>
      <c r="D1109" s="2522">
        <v>3.8658000000000001</v>
      </c>
      <c r="E1109" s="2523">
        <f t="shared" si="57"/>
        <v>20.496540945512795</v>
      </c>
      <c r="F1109" s="2261">
        <f t="shared" si="56"/>
        <v>24.033050394191257</v>
      </c>
      <c r="G1109" s="2524">
        <f t="shared" si="58"/>
        <v>27.569559842869719</v>
      </c>
      <c r="H1109" s="2524">
        <f t="shared" si="59"/>
        <v>16.960031496834333</v>
      </c>
      <c r="I1109" s="2524">
        <f t="shared" si="60"/>
        <v>13.423522048155872</v>
      </c>
      <c r="J1109" s="2525">
        <f t="shared" si="51"/>
        <v>4.9423217303822922</v>
      </c>
      <c r="K1109" s="2261">
        <f t="shared" si="52"/>
        <v>5.919604026580453</v>
      </c>
      <c r="L1109" s="2524">
        <f t="shared" si="53"/>
        <v>6.8968863227786139</v>
      </c>
      <c r="M1109" s="2524">
        <f t="shared" si="54"/>
        <v>3.9650394341841317</v>
      </c>
      <c r="N1109" s="2524">
        <f t="shared" si="55"/>
        <v>2.9877571379859713</v>
      </c>
    </row>
    <row r="1110" spans="1:14" ht="15">
      <c r="A1110" s="2218"/>
      <c r="B1110" s="2251">
        <v>44483</v>
      </c>
      <c r="C1110">
        <v>22.235499999999998</v>
      </c>
      <c r="D1110" s="2522">
        <v>3.8658000000000001</v>
      </c>
      <c r="E1110" s="2523">
        <f t="shared" si="57"/>
        <v>20.496540945512795</v>
      </c>
      <c r="F1110" s="2261">
        <f t="shared" si="56"/>
        <v>24.033050394191257</v>
      </c>
      <c r="G1110" s="2524">
        <f t="shared" si="58"/>
        <v>27.569559842869719</v>
      </c>
      <c r="H1110" s="2524">
        <f t="shared" si="59"/>
        <v>16.960031496834333</v>
      </c>
      <c r="I1110" s="2524">
        <f t="shared" si="60"/>
        <v>13.423522048155872</v>
      </c>
      <c r="J1110" s="2525">
        <f t="shared" si="51"/>
        <v>4.9423217303822922</v>
      </c>
      <c r="K1110" s="2261">
        <f t="shared" si="52"/>
        <v>5.919604026580453</v>
      </c>
      <c r="L1110" s="2524">
        <f t="shared" si="53"/>
        <v>6.8968863227786139</v>
      </c>
      <c r="M1110" s="2524">
        <f t="shared" si="54"/>
        <v>3.9650394341841317</v>
      </c>
      <c r="N1110" s="2524">
        <f t="shared" si="55"/>
        <v>2.9877571379859713</v>
      </c>
    </row>
    <row r="1111" spans="1:14" ht="15">
      <c r="A1111" s="2218"/>
      <c r="B1111" s="2251">
        <v>44484</v>
      </c>
      <c r="C1111">
        <v>22.257999999999999</v>
      </c>
      <c r="D1111" s="2522">
        <v>3.8658000000000001</v>
      </c>
      <c r="E1111" s="2523">
        <f t="shared" si="57"/>
        <v>20.496540945512795</v>
      </c>
      <c r="F1111" s="2261">
        <f t="shared" si="56"/>
        <v>24.033050394191257</v>
      </c>
      <c r="G1111" s="2524">
        <f t="shared" si="58"/>
        <v>27.569559842869719</v>
      </c>
      <c r="H1111" s="2524">
        <f t="shared" si="59"/>
        <v>16.960031496834333</v>
      </c>
      <c r="I1111" s="2524">
        <f t="shared" si="60"/>
        <v>13.423522048155872</v>
      </c>
      <c r="J1111" s="2525">
        <f t="shared" si="51"/>
        <v>4.9423217303822922</v>
      </c>
      <c r="K1111" s="2261">
        <f t="shared" si="52"/>
        <v>5.919604026580453</v>
      </c>
      <c r="L1111" s="2524">
        <f t="shared" si="53"/>
        <v>6.8968863227786139</v>
      </c>
      <c r="M1111" s="2524">
        <f t="shared" si="54"/>
        <v>3.9650394341841317</v>
      </c>
      <c r="N1111" s="2524">
        <f t="shared" si="55"/>
        <v>2.9877571379859713</v>
      </c>
    </row>
    <row r="1112" spans="1:14" ht="15">
      <c r="A1112" s="2218"/>
      <c r="B1112" s="2251">
        <v>44487</v>
      </c>
      <c r="C1112">
        <v>22.2806</v>
      </c>
      <c r="D1112" s="2522">
        <v>3.8561000000000001</v>
      </c>
      <c r="E1112" s="2523">
        <f t="shared" si="57"/>
        <v>20.496540945512795</v>
      </c>
      <c r="F1112" s="2261">
        <f t="shared" si="56"/>
        <v>24.033050394191257</v>
      </c>
      <c r="G1112" s="2524">
        <f t="shared" si="58"/>
        <v>27.569559842869719</v>
      </c>
      <c r="H1112" s="2524">
        <f t="shared" si="59"/>
        <v>16.960031496834333</v>
      </c>
      <c r="I1112" s="2524">
        <f t="shared" si="60"/>
        <v>13.423522048155872</v>
      </c>
      <c r="J1112" s="2525">
        <f t="shared" si="51"/>
        <v>4.9423217303822922</v>
      </c>
      <c r="K1112" s="2261">
        <f t="shared" si="52"/>
        <v>5.919604026580453</v>
      </c>
      <c r="L1112" s="2524">
        <f t="shared" si="53"/>
        <v>6.8968863227786139</v>
      </c>
      <c r="M1112" s="2524">
        <f t="shared" si="54"/>
        <v>3.9650394341841317</v>
      </c>
      <c r="N1112" s="2524">
        <f t="shared" si="55"/>
        <v>2.9877571379859713</v>
      </c>
    </row>
    <row r="1113" spans="1:14" ht="15">
      <c r="A1113" s="2218"/>
      <c r="B1113" s="2251">
        <v>44488</v>
      </c>
      <c r="C1113">
        <v>22.1905</v>
      </c>
      <c r="D1113" s="2522">
        <v>3.8512</v>
      </c>
      <c r="E1113" s="2523">
        <f t="shared" si="57"/>
        <v>20.496540945512795</v>
      </c>
      <c r="F1113" s="2261">
        <f t="shared" si="56"/>
        <v>24.033050394191257</v>
      </c>
      <c r="G1113" s="2524">
        <f t="shared" si="58"/>
        <v>27.569559842869719</v>
      </c>
      <c r="H1113" s="2524">
        <f t="shared" si="59"/>
        <v>16.960031496834333</v>
      </c>
      <c r="I1113" s="2524">
        <f t="shared" si="60"/>
        <v>13.423522048155872</v>
      </c>
      <c r="J1113" s="2525">
        <f t="shared" si="51"/>
        <v>4.9423217303822922</v>
      </c>
      <c r="K1113" s="2261">
        <f t="shared" si="52"/>
        <v>5.919604026580453</v>
      </c>
      <c r="L1113" s="2524">
        <f t="shared" si="53"/>
        <v>6.8968863227786139</v>
      </c>
      <c r="M1113" s="2524">
        <f t="shared" si="54"/>
        <v>3.9650394341841317</v>
      </c>
      <c r="N1113" s="2524">
        <f t="shared" si="55"/>
        <v>2.9877571379859713</v>
      </c>
    </row>
    <row r="1114" spans="1:14" ht="15">
      <c r="A1114" s="2218"/>
      <c r="B1114" s="2251">
        <v>44489</v>
      </c>
      <c r="C1114">
        <v>21.965499999999999</v>
      </c>
      <c r="D1114" s="2522">
        <v>3.8561000000000001</v>
      </c>
      <c r="E1114" s="2523">
        <f t="shared" si="57"/>
        <v>20.496540945512795</v>
      </c>
      <c r="F1114" s="2261">
        <f t="shared" si="56"/>
        <v>24.033050394191257</v>
      </c>
      <c r="G1114" s="2524">
        <f t="shared" si="58"/>
        <v>27.569559842869719</v>
      </c>
      <c r="H1114" s="2524">
        <f t="shared" si="59"/>
        <v>16.960031496834333</v>
      </c>
      <c r="I1114" s="2524">
        <f t="shared" si="60"/>
        <v>13.423522048155872</v>
      </c>
      <c r="J1114" s="2525">
        <f t="shared" si="51"/>
        <v>4.9423217303822922</v>
      </c>
      <c r="K1114" s="2261">
        <f t="shared" si="52"/>
        <v>5.919604026580453</v>
      </c>
      <c r="L1114" s="2524">
        <f t="shared" si="53"/>
        <v>6.8968863227786139</v>
      </c>
      <c r="M1114" s="2524">
        <f t="shared" si="54"/>
        <v>3.9650394341841317</v>
      </c>
      <c r="N1114" s="2524">
        <f t="shared" si="55"/>
        <v>2.9877571379859713</v>
      </c>
    </row>
    <row r="1115" spans="1:14" ht="15">
      <c r="A1115" s="2218"/>
      <c r="B1115" s="2251">
        <v>44490</v>
      </c>
      <c r="C1115">
        <v>21.762899999999998</v>
      </c>
      <c r="D1115" s="2522">
        <v>3.8512</v>
      </c>
      <c r="E1115" s="2523">
        <f t="shared" si="57"/>
        <v>20.496540945512795</v>
      </c>
      <c r="F1115" s="2261">
        <f t="shared" si="56"/>
        <v>24.033050394191257</v>
      </c>
      <c r="G1115" s="2524">
        <f t="shared" si="58"/>
        <v>27.569559842869719</v>
      </c>
      <c r="H1115" s="2524">
        <f t="shared" si="59"/>
        <v>16.960031496834333</v>
      </c>
      <c r="I1115" s="2524">
        <f t="shared" si="60"/>
        <v>13.423522048155872</v>
      </c>
      <c r="J1115" s="2525">
        <f t="shared" si="51"/>
        <v>4.9423217303822922</v>
      </c>
      <c r="K1115" s="2261">
        <f t="shared" si="52"/>
        <v>5.919604026580453</v>
      </c>
      <c r="L1115" s="2524">
        <f t="shared" si="53"/>
        <v>6.8968863227786139</v>
      </c>
      <c r="M1115" s="2524">
        <f t="shared" si="54"/>
        <v>3.9650394341841317</v>
      </c>
      <c r="N1115" s="2524">
        <f t="shared" si="55"/>
        <v>2.9877571379859713</v>
      </c>
    </row>
    <row r="1116" spans="1:14" ht="15">
      <c r="A1116" s="2218"/>
      <c r="B1116" s="2251">
        <v>44491</v>
      </c>
      <c r="C1116">
        <v>21.650400000000001</v>
      </c>
      <c r="D1116" s="2522">
        <v>3.8414999999999999</v>
      </c>
      <c r="E1116" s="2523">
        <f t="shared" si="57"/>
        <v>20.496540945512795</v>
      </c>
      <c r="F1116" s="2261">
        <f t="shared" si="56"/>
        <v>24.033050394191257</v>
      </c>
      <c r="G1116" s="2524">
        <f t="shared" si="58"/>
        <v>27.569559842869719</v>
      </c>
      <c r="H1116" s="2524">
        <f t="shared" si="59"/>
        <v>16.960031496834333</v>
      </c>
      <c r="I1116" s="2524">
        <f t="shared" si="60"/>
        <v>13.423522048155872</v>
      </c>
      <c r="J1116" s="2525">
        <f t="shared" si="51"/>
        <v>4.9423217303822922</v>
      </c>
      <c r="K1116" s="2261">
        <f t="shared" si="52"/>
        <v>5.919604026580453</v>
      </c>
      <c r="L1116" s="2524">
        <f t="shared" si="53"/>
        <v>6.8968863227786139</v>
      </c>
      <c r="M1116" s="2524">
        <f t="shared" si="54"/>
        <v>3.9650394341841317</v>
      </c>
      <c r="N1116" s="2524">
        <f t="shared" si="55"/>
        <v>2.9877571379859713</v>
      </c>
    </row>
    <row r="1117" spans="1:14" ht="15">
      <c r="A1117" s="2218"/>
      <c r="B1117" s="2251">
        <v>44494</v>
      </c>
      <c r="C1117">
        <v>21.357800000000001</v>
      </c>
      <c r="D1117" s="2522">
        <v>3.8075000000000001</v>
      </c>
      <c r="E1117" s="2523">
        <f t="shared" si="57"/>
        <v>20.496540945512795</v>
      </c>
      <c r="F1117" s="2261">
        <f t="shared" si="56"/>
        <v>24.033050394191257</v>
      </c>
      <c r="G1117" s="2524">
        <f t="shared" si="58"/>
        <v>27.569559842869719</v>
      </c>
      <c r="H1117" s="2524">
        <f t="shared" si="59"/>
        <v>16.960031496834333</v>
      </c>
      <c r="I1117" s="2524">
        <f t="shared" si="60"/>
        <v>13.423522048155872</v>
      </c>
      <c r="J1117" s="2525">
        <f t="shared" si="51"/>
        <v>4.9423217303822922</v>
      </c>
      <c r="K1117" s="2261">
        <f t="shared" si="52"/>
        <v>5.919604026580453</v>
      </c>
      <c r="L1117" s="2524">
        <f t="shared" si="53"/>
        <v>6.8968863227786139</v>
      </c>
      <c r="M1117" s="2524">
        <f t="shared" si="54"/>
        <v>3.9650394341841317</v>
      </c>
      <c r="N1117" s="2524">
        <f t="shared" si="55"/>
        <v>2.9877571379859713</v>
      </c>
    </row>
    <row r="1118" spans="1:14" ht="15">
      <c r="A1118" s="2218"/>
      <c r="B1118" s="2251">
        <v>44495</v>
      </c>
      <c r="C1118">
        <v>21.8079</v>
      </c>
      <c r="D1118" s="2522">
        <v>3.8026</v>
      </c>
      <c r="E1118" s="2523">
        <f t="shared" si="57"/>
        <v>20.496540945512795</v>
      </c>
      <c r="F1118" s="2261">
        <f t="shared" si="56"/>
        <v>24.033050394191257</v>
      </c>
      <c r="G1118" s="2524">
        <f t="shared" si="58"/>
        <v>27.569559842869719</v>
      </c>
      <c r="H1118" s="2524">
        <f t="shared" si="59"/>
        <v>16.960031496834333</v>
      </c>
      <c r="I1118" s="2524">
        <f t="shared" si="60"/>
        <v>13.423522048155872</v>
      </c>
      <c r="J1118" s="2525">
        <f t="shared" si="51"/>
        <v>4.9423217303822922</v>
      </c>
      <c r="K1118" s="2261">
        <f t="shared" si="52"/>
        <v>5.919604026580453</v>
      </c>
      <c r="L1118" s="2524">
        <f t="shared" si="53"/>
        <v>6.8968863227786139</v>
      </c>
      <c r="M1118" s="2524">
        <f t="shared" si="54"/>
        <v>3.9650394341841317</v>
      </c>
      <c r="N1118" s="2524">
        <f t="shared" si="55"/>
        <v>2.9877571379859713</v>
      </c>
    </row>
    <row r="1119" spans="1:14" ht="15">
      <c r="A1119" s="2218"/>
      <c r="B1119" s="2251">
        <v>44496</v>
      </c>
      <c r="C1119">
        <v>22.1005</v>
      </c>
      <c r="D1119" s="2522">
        <v>3.8026</v>
      </c>
      <c r="E1119" s="2523">
        <f t="shared" si="57"/>
        <v>20.496540945512795</v>
      </c>
      <c r="F1119" s="2261">
        <f t="shared" si="56"/>
        <v>24.033050394191257</v>
      </c>
      <c r="G1119" s="2524">
        <f t="shared" si="58"/>
        <v>27.569559842869719</v>
      </c>
      <c r="H1119" s="2524">
        <f t="shared" si="59"/>
        <v>16.960031496834333</v>
      </c>
      <c r="I1119" s="2524">
        <f t="shared" si="60"/>
        <v>13.423522048155872</v>
      </c>
      <c r="J1119" s="2525">
        <f t="shared" si="51"/>
        <v>4.9423217303822922</v>
      </c>
      <c r="K1119" s="2261">
        <f t="shared" si="52"/>
        <v>5.919604026580453</v>
      </c>
      <c r="L1119" s="2524">
        <f t="shared" si="53"/>
        <v>6.8968863227786139</v>
      </c>
      <c r="M1119" s="2524">
        <f t="shared" si="54"/>
        <v>3.9650394341841317</v>
      </c>
      <c r="N1119" s="2524">
        <f t="shared" si="55"/>
        <v>2.9877571379859713</v>
      </c>
    </row>
    <row r="1120" spans="1:14" ht="15">
      <c r="A1120" s="2218"/>
      <c r="B1120" s="2251">
        <v>44497</v>
      </c>
      <c r="C1120">
        <v>22.055499999999999</v>
      </c>
      <c r="D1120" s="2522">
        <v>3.7637999999999998</v>
      </c>
      <c r="E1120" s="2523">
        <f t="shared" si="57"/>
        <v>20.496540945512795</v>
      </c>
      <c r="F1120" s="2261">
        <f t="shared" si="56"/>
        <v>24.033050394191257</v>
      </c>
      <c r="G1120" s="2524">
        <f t="shared" si="58"/>
        <v>27.569559842869719</v>
      </c>
      <c r="H1120" s="2524">
        <f t="shared" si="59"/>
        <v>16.960031496834333</v>
      </c>
      <c r="I1120" s="2524">
        <f t="shared" si="60"/>
        <v>13.423522048155872</v>
      </c>
      <c r="J1120" s="2525">
        <f t="shared" si="51"/>
        <v>4.9423217303822922</v>
      </c>
      <c r="K1120" s="2261">
        <f t="shared" si="52"/>
        <v>5.919604026580453</v>
      </c>
      <c r="L1120" s="2524">
        <f t="shared" si="53"/>
        <v>6.8968863227786139</v>
      </c>
      <c r="M1120" s="2524">
        <f t="shared" si="54"/>
        <v>3.9650394341841317</v>
      </c>
      <c r="N1120" s="2524">
        <f t="shared" si="55"/>
        <v>2.9877571379859713</v>
      </c>
    </row>
    <row r="1121" spans="1:14" ht="15">
      <c r="A1121" s="2218"/>
      <c r="B1121" s="2251">
        <v>44498</v>
      </c>
      <c r="C1121">
        <v>21.8079</v>
      </c>
      <c r="D1121" s="2522">
        <v>3.8123999999999998</v>
      </c>
      <c r="E1121" s="2523">
        <f t="shared" si="57"/>
        <v>20.496540945512795</v>
      </c>
      <c r="F1121" s="2261">
        <f t="shared" si="56"/>
        <v>24.033050394191257</v>
      </c>
      <c r="G1121" s="2524">
        <f t="shared" si="58"/>
        <v>27.569559842869719</v>
      </c>
      <c r="H1121" s="2524">
        <f t="shared" si="59"/>
        <v>16.960031496834333</v>
      </c>
      <c r="I1121" s="2524">
        <f t="shared" si="60"/>
        <v>13.423522048155872</v>
      </c>
      <c r="J1121" s="2525">
        <f t="shared" si="51"/>
        <v>4.9423217303822922</v>
      </c>
      <c r="K1121" s="2261">
        <f t="shared" si="52"/>
        <v>5.919604026580453</v>
      </c>
      <c r="L1121" s="2524">
        <f t="shared" si="53"/>
        <v>6.8968863227786139</v>
      </c>
      <c r="M1121" s="2524">
        <f t="shared" si="54"/>
        <v>3.9650394341841317</v>
      </c>
      <c r="N1121" s="2524">
        <f t="shared" si="55"/>
        <v>2.9877571379859713</v>
      </c>
    </row>
    <row r="1122" spans="1:14" ht="15">
      <c r="A1122" s="2218"/>
      <c r="B1122" s="2251">
        <v>44501</v>
      </c>
      <c r="C1122">
        <v>21.560400000000001</v>
      </c>
      <c r="D1122" s="2522">
        <v>3.8075000000000001</v>
      </c>
      <c r="E1122" s="2523">
        <f t="shared" si="57"/>
        <v>20.496540945512795</v>
      </c>
      <c r="F1122" s="2261">
        <f t="shared" si="56"/>
        <v>24.033050394191257</v>
      </c>
      <c r="G1122" s="2524">
        <f t="shared" si="58"/>
        <v>27.569559842869719</v>
      </c>
      <c r="H1122" s="2524">
        <f t="shared" si="59"/>
        <v>16.960031496834333</v>
      </c>
      <c r="I1122" s="2524">
        <f t="shared" si="60"/>
        <v>13.423522048155872</v>
      </c>
      <c r="J1122" s="2525">
        <f t="shared" si="51"/>
        <v>4.9423217303822922</v>
      </c>
      <c r="K1122" s="2261">
        <f t="shared" si="52"/>
        <v>5.919604026580453</v>
      </c>
      <c r="L1122" s="2524">
        <f t="shared" si="53"/>
        <v>6.8968863227786139</v>
      </c>
      <c r="M1122" s="2524">
        <f t="shared" si="54"/>
        <v>3.9650394341841317</v>
      </c>
      <c r="N1122" s="2524">
        <f t="shared" si="55"/>
        <v>2.9877571379859713</v>
      </c>
    </row>
    <row r="1123" spans="1:14" ht="15">
      <c r="A1123" s="2218"/>
      <c r="B1123" s="2251">
        <v>44502</v>
      </c>
      <c r="C1123">
        <v>21.6279</v>
      </c>
      <c r="D1123" s="2522">
        <v>3.8123999999999998</v>
      </c>
      <c r="E1123" s="2523">
        <f t="shared" si="57"/>
        <v>20.496540945512795</v>
      </c>
      <c r="F1123" s="2261">
        <f t="shared" si="56"/>
        <v>24.033050394191257</v>
      </c>
      <c r="G1123" s="2524">
        <f t="shared" si="58"/>
        <v>27.569559842869719</v>
      </c>
      <c r="H1123" s="2524">
        <f t="shared" si="59"/>
        <v>16.960031496834333</v>
      </c>
      <c r="I1123" s="2524">
        <f t="shared" si="60"/>
        <v>13.423522048155872</v>
      </c>
      <c r="J1123" s="2525">
        <f t="shared" si="51"/>
        <v>4.9423217303822922</v>
      </c>
      <c r="K1123" s="2261">
        <f t="shared" si="52"/>
        <v>5.919604026580453</v>
      </c>
      <c r="L1123" s="2524">
        <f t="shared" si="53"/>
        <v>6.8968863227786139</v>
      </c>
      <c r="M1123" s="2524">
        <f t="shared" si="54"/>
        <v>3.9650394341841317</v>
      </c>
      <c r="N1123" s="2524">
        <f t="shared" si="55"/>
        <v>2.9877571379859713</v>
      </c>
    </row>
    <row r="1124" spans="1:14" ht="15">
      <c r="A1124" s="2218"/>
      <c r="B1124" s="2251">
        <v>44503</v>
      </c>
      <c r="C1124">
        <v>21.6279</v>
      </c>
      <c r="D1124" s="2522">
        <v>3.8317999999999999</v>
      </c>
      <c r="E1124" s="2523">
        <f t="shared" si="57"/>
        <v>20.496540945512795</v>
      </c>
      <c r="F1124" s="2261">
        <f t="shared" si="56"/>
        <v>24.033050394191257</v>
      </c>
      <c r="G1124" s="2524">
        <f t="shared" si="58"/>
        <v>27.569559842869719</v>
      </c>
      <c r="H1124" s="2524">
        <f t="shared" si="59"/>
        <v>16.960031496834333</v>
      </c>
      <c r="I1124" s="2524">
        <f t="shared" si="60"/>
        <v>13.423522048155872</v>
      </c>
      <c r="J1124" s="2525">
        <f t="shared" si="51"/>
        <v>4.9423217303822922</v>
      </c>
      <c r="K1124" s="2261">
        <f t="shared" si="52"/>
        <v>5.919604026580453</v>
      </c>
      <c r="L1124" s="2524">
        <f t="shared" si="53"/>
        <v>6.8968863227786139</v>
      </c>
      <c r="M1124" s="2524">
        <f t="shared" si="54"/>
        <v>3.9650394341841317</v>
      </c>
      <c r="N1124" s="2524">
        <f t="shared" si="55"/>
        <v>2.9877571379859713</v>
      </c>
    </row>
    <row r="1125" spans="1:14" ht="15">
      <c r="A1125" s="2218"/>
      <c r="B1125" s="2251">
        <v>44504</v>
      </c>
      <c r="C1125">
        <v>21.605399999999999</v>
      </c>
      <c r="D1125" s="2522">
        <v>3.8365999999999998</v>
      </c>
      <c r="E1125" s="2523">
        <f t="shared" si="57"/>
        <v>20.496540945512795</v>
      </c>
      <c r="F1125" s="2261">
        <f t="shared" si="56"/>
        <v>24.033050394191257</v>
      </c>
      <c r="G1125" s="2524">
        <f t="shared" si="58"/>
        <v>27.569559842869719</v>
      </c>
      <c r="H1125" s="2524">
        <f t="shared" si="59"/>
        <v>16.960031496834333</v>
      </c>
      <c r="I1125" s="2524">
        <f t="shared" si="60"/>
        <v>13.423522048155872</v>
      </c>
      <c r="J1125" s="2525">
        <f t="shared" si="51"/>
        <v>4.9423217303822922</v>
      </c>
      <c r="K1125" s="2261">
        <f t="shared" si="52"/>
        <v>5.919604026580453</v>
      </c>
      <c r="L1125" s="2524">
        <f t="shared" si="53"/>
        <v>6.8968863227786139</v>
      </c>
      <c r="M1125" s="2524">
        <f t="shared" si="54"/>
        <v>3.9650394341841317</v>
      </c>
      <c r="N1125" s="2524">
        <f t="shared" si="55"/>
        <v>2.9877571379859713</v>
      </c>
    </row>
    <row r="1126" spans="1:14" ht="15">
      <c r="A1126" s="2218"/>
      <c r="B1126" s="2251">
        <v>44505</v>
      </c>
      <c r="C1126">
        <v>21.965499999999999</v>
      </c>
      <c r="D1126" s="2522">
        <v>3.8414999999999999</v>
      </c>
      <c r="E1126" s="2523">
        <f t="shared" si="57"/>
        <v>20.496540945512795</v>
      </c>
      <c r="F1126" s="2261">
        <f t="shared" si="56"/>
        <v>24.033050394191257</v>
      </c>
      <c r="G1126" s="2524">
        <f t="shared" si="58"/>
        <v>27.569559842869719</v>
      </c>
      <c r="H1126" s="2524">
        <f t="shared" si="59"/>
        <v>16.960031496834333</v>
      </c>
      <c r="I1126" s="2524">
        <f t="shared" si="60"/>
        <v>13.423522048155872</v>
      </c>
      <c r="J1126" s="2525">
        <f t="shared" si="51"/>
        <v>4.9423217303822922</v>
      </c>
      <c r="K1126" s="2261">
        <f t="shared" si="52"/>
        <v>5.919604026580453</v>
      </c>
      <c r="L1126" s="2524">
        <f t="shared" si="53"/>
        <v>6.8968863227786139</v>
      </c>
      <c r="M1126" s="2524">
        <f t="shared" si="54"/>
        <v>3.9650394341841317</v>
      </c>
      <c r="N1126" s="2524">
        <f t="shared" si="55"/>
        <v>2.9877571379859713</v>
      </c>
    </row>
    <row r="1127" spans="1:14" ht="15">
      <c r="A1127" s="2218"/>
      <c r="B1127" s="2251">
        <v>44508</v>
      </c>
      <c r="C1127">
        <v>21.920500000000001</v>
      </c>
      <c r="D1127" s="2522">
        <v>3.9095</v>
      </c>
      <c r="E1127" s="2523">
        <f t="shared" si="57"/>
        <v>20.496540945512795</v>
      </c>
      <c r="F1127" s="2261">
        <f t="shared" si="56"/>
        <v>24.033050394191257</v>
      </c>
      <c r="G1127" s="2524">
        <f t="shared" si="58"/>
        <v>27.569559842869719</v>
      </c>
      <c r="H1127" s="2524">
        <f t="shared" si="59"/>
        <v>16.960031496834333</v>
      </c>
      <c r="I1127" s="2524">
        <f t="shared" si="60"/>
        <v>13.423522048155872</v>
      </c>
      <c r="J1127" s="2525">
        <f t="shared" si="51"/>
        <v>4.9423217303822922</v>
      </c>
      <c r="K1127" s="2261">
        <f t="shared" si="52"/>
        <v>5.919604026580453</v>
      </c>
      <c r="L1127" s="2524">
        <f t="shared" si="53"/>
        <v>6.8968863227786139</v>
      </c>
      <c r="M1127" s="2524">
        <f t="shared" si="54"/>
        <v>3.9650394341841317</v>
      </c>
      <c r="N1127" s="2524">
        <f t="shared" si="55"/>
        <v>2.9877571379859713</v>
      </c>
    </row>
    <row r="1128" spans="1:14" ht="15">
      <c r="A1128" s="2218"/>
      <c r="B1128" s="2251">
        <v>44509</v>
      </c>
      <c r="C1128">
        <v>21.695399999999999</v>
      </c>
      <c r="D1128" s="2522">
        <v>3.9338000000000002</v>
      </c>
      <c r="E1128" s="2523">
        <f t="shared" si="57"/>
        <v>20.496540945512795</v>
      </c>
      <c r="F1128" s="2261">
        <f t="shared" si="56"/>
        <v>24.033050394191257</v>
      </c>
      <c r="G1128" s="2524">
        <f t="shared" si="58"/>
        <v>27.569559842869719</v>
      </c>
      <c r="H1128" s="2524">
        <f t="shared" si="59"/>
        <v>16.960031496834333</v>
      </c>
      <c r="I1128" s="2524">
        <f t="shared" si="60"/>
        <v>13.423522048155872</v>
      </c>
      <c r="J1128" s="2525">
        <f t="shared" si="51"/>
        <v>4.9423217303822922</v>
      </c>
      <c r="K1128" s="2261">
        <f t="shared" si="52"/>
        <v>5.919604026580453</v>
      </c>
      <c r="L1128" s="2524">
        <f t="shared" si="53"/>
        <v>6.8968863227786139</v>
      </c>
      <c r="M1128" s="2524">
        <f t="shared" si="54"/>
        <v>3.9650394341841317</v>
      </c>
      <c r="N1128" s="2524">
        <f t="shared" si="55"/>
        <v>2.9877571379859713</v>
      </c>
    </row>
    <row r="1129" spans="1:14" ht="15">
      <c r="A1129" s="2218"/>
      <c r="B1129" s="2251">
        <v>44510</v>
      </c>
      <c r="C1129">
        <v>21.830400000000001</v>
      </c>
      <c r="D1129" s="2522">
        <v>3.9580000000000002</v>
      </c>
      <c r="E1129" s="2523">
        <f t="shared" si="57"/>
        <v>20.496540945512795</v>
      </c>
      <c r="F1129" s="2261">
        <f t="shared" si="56"/>
        <v>24.033050394191257</v>
      </c>
      <c r="G1129" s="2524">
        <f t="shared" si="58"/>
        <v>27.569559842869719</v>
      </c>
      <c r="H1129" s="2524">
        <f t="shared" si="59"/>
        <v>16.960031496834333</v>
      </c>
      <c r="I1129" s="2524">
        <f t="shared" si="60"/>
        <v>13.423522048155872</v>
      </c>
      <c r="J1129" s="2525">
        <f t="shared" ref="J1129:J1192" si="61">J$953</f>
        <v>4.9423217303822922</v>
      </c>
      <c r="K1129" s="2261">
        <f t="shared" ref="K1129:K1192" si="62">J$953+G$953</f>
        <v>5.919604026580453</v>
      </c>
      <c r="L1129" s="2524">
        <f t="shared" ref="L1129:L1192" si="63">J$953+G$953+G$953</f>
        <v>6.8968863227786139</v>
      </c>
      <c r="M1129" s="2524">
        <f t="shared" ref="M1129:M1192" si="64">J$953-G$953</f>
        <v>3.9650394341841317</v>
      </c>
      <c r="N1129" s="2524">
        <f t="shared" ref="N1129:N1192" si="65">J$953-G$953-G$953</f>
        <v>2.9877571379859713</v>
      </c>
    </row>
    <row r="1130" spans="1:14" ht="15">
      <c r="A1130" s="2218"/>
      <c r="B1130" s="2251">
        <v>44511</v>
      </c>
      <c r="C1130">
        <v>21.605399999999999</v>
      </c>
      <c r="D1130" s="2522">
        <v>3.9580000000000002</v>
      </c>
      <c r="E1130" s="2523">
        <f t="shared" si="57"/>
        <v>20.496540945512795</v>
      </c>
      <c r="F1130" s="2261">
        <f t="shared" si="56"/>
        <v>24.033050394191257</v>
      </c>
      <c r="G1130" s="2524">
        <f t="shared" si="58"/>
        <v>27.569559842869719</v>
      </c>
      <c r="H1130" s="2524">
        <f t="shared" si="59"/>
        <v>16.960031496834333</v>
      </c>
      <c r="I1130" s="2524">
        <f t="shared" si="60"/>
        <v>13.423522048155872</v>
      </c>
      <c r="J1130" s="2525">
        <f t="shared" si="61"/>
        <v>4.9423217303822922</v>
      </c>
      <c r="K1130" s="2261">
        <f t="shared" si="62"/>
        <v>5.919604026580453</v>
      </c>
      <c r="L1130" s="2524">
        <f t="shared" si="63"/>
        <v>6.8968863227786139</v>
      </c>
      <c r="M1130" s="2524">
        <f t="shared" si="64"/>
        <v>3.9650394341841317</v>
      </c>
      <c r="N1130" s="2524">
        <f t="shared" si="65"/>
        <v>2.9877571379859713</v>
      </c>
    </row>
    <row r="1131" spans="1:14" ht="15">
      <c r="A1131" s="2218"/>
      <c r="B1131" s="2251">
        <v>44512</v>
      </c>
      <c r="C1131">
        <v>22.055499999999999</v>
      </c>
      <c r="D1131" s="2522">
        <v>4.0259999999999998</v>
      </c>
      <c r="E1131" s="2523">
        <f t="shared" si="57"/>
        <v>20.496540945512795</v>
      </c>
      <c r="F1131" s="2261">
        <f t="shared" si="56"/>
        <v>24.033050394191257</v>
      </c>
      <c r="G1131" s="2524">
        <f t="shared" si="58"/>
        <v>27.569559842869719</v>
      </c>
      <c r="H1131" s="2524">
        <f t="shared" si="59"/>
        <v>16.960031496834333</v>
      </c>
      <c r="I1131" s="2524">
        <f t="shared" si="60"/>
        <v>13.423522048155872</v>
      </c>
      <c r="J1131" s="2525">
        <f t="shared" si="61"/>
        <v>4.9423217303822922</v>
      </c>
      <c r="K1131" s="2261">
        <f t="shared" si="62"/>
        <v>5.919604026580453</v>
      </c>
      <c r="L1131" s="2524">
        <f t="shared" si="63"/>
        <v>6.8968863227786139</v>
      </c>
      <c r="M1131" s="2524">
        <f t="shared" si="64"/>
        <v>3.9650394341841317</v>
      </c>
      <c r="N1131" s="2524">
        <f t="shared" si="65"/>
        <v>2.9877571379859713</v>
      </c>
    </row>
    <row r="1132" spans="1:14" ht="15">
      <c r="A1132" s="2218"/>
      <c r="B1132" s="2251">
        <v>44515</v>
      </c>
      <c r="C1132">
        <v>21.898</v>
      </c>
      <c r="D1132" s="2522">
        <v>4.0212000000000003</v>
      </c>
      <c r="E1132" s="2523">
        <f t="shared" si="57"/>
        <v>20.496540945512795</v>
      </c>
      <c r="F1132" s="2261">
        <f t="shared" si="56"/>
        <v>24.033050394191257</v>
      </c>
      <c r="G1132" s="2524">
        <f t="shared" si="58"/>
        <v>27.569559842869719</v>
      </c>
      <c r="H1132" s="2524">
        <f t="shared" si="59"/>
        <v>16.960031496834333</v>
      </c>
      <c r="I1132" s="2524">
        <f t="shared" si="60"/>
        <v>13.423522048155872</v>
      </c>
      <c r="J1132" s="2525">
        <f t="shared" si="61"/>
        <v>4.9423217303822922</v>
      </c>
      <c r="K1132" s="2261">
        <f t="shared" si="62"/>
        <v>5.919604026580453</v>
      </c>
      <c r="L1132" s="2524">
        <f t="shared" si="63"/>
        <v>6.8968863227786139</v>
      </c>
      <c r="M1132" s="2524">
        <f t="shared" si="64"/>
        <v>3.9650394341841317</v>
      </c>
      <c r="N1132" s="2524">
        <f t="shared" si="65"/>
        <v>2.9877571379859713</v>
      </c>
    </row>
    <row r="1133" spans="1:14" ht="15">
      <c r="A1133" s="2218"/>
      <c r="B1133" s="2251">
        <v>44516</v>
      </c>
      <c r="C1133">
        <v>22.123000000000001</v>
      </c>
      <c r="D1133" s="2522">
        <v>4.0065999999999997</v>
      </c>
      <c r="E1133" s="2523">
        <f t="shared" si="57"/>
        <v>20.496540945512795</v>
      </c>
      <c r="F1133" s="2261">
        <f t="shared" si="56"/>
        <v>24.033050394191257</v>
      </c>
      <c r="G1133" s="2524">
        <f t="shared" si="58"/>
        <v>27.569559842869719</v>
      </c>
      <c r="H1133" s="2524">
        <f t="shared" si="59"/>
        <v>16.960031496834333</v>
      </c>
      <c r="I1133" s="2524">
        <f t="shared" si="60"/>
        <v>13.423522048155872</v>
      </c>
      <c r="J1133" s="2525">
        <f t="shared" si="61"/>
        <v>4.9423217303822922</v>
      </c>
      <c r="K1133" s="2261">
        <f t="shared" si="62"/>
        <v>5.919604026580453</v>
      </c>
      <c r="L1133" s="2524">
        <f t="shared" si="63"/>
        <v>6.8968863227786139</v>
      </c>
      <c r="M1133" s="2524">
        <f t="shared" si="64"/>
        <v>3.9650394341841317</v>
      </c>
      <c r="N1133" s="2524">
        <f t="shared" si="65"/>
        <v>2.9877571379859713</v>
      </c>
    </row>
    <row r="1134" spans="1:14" ht="15">
      <c r="A1134" s="2218"/>
      <c r="B1134" s="2251">
        <v>44517</v>
      </c>
      <c r="C1134">
        <v>22.123000000000001</v>
      </c>
      <c r="D1134" s="2522">
        <v>3.9823</v>
      </c>
      <c r="E1134" s="2523">
        <f t="shared" si="57"/>
        <v>20.496540945512795</v>
      </c>
      <c r="F1134" s="2261">
        <f t="shared" si="56"/>
        <v>24.033050394191257</v>
      </c>
      <c r="G1134" s="2524">
        <f t="shared" si="58"/>
        <v>27.569559842869719</v>
      </c>
      <c r="H1134" s="2524">
        <f t="shared" si="59"/>
        <v>16.960031496834333</v>
      </c>
      <c r="I1134" s="2524">
        <f t="shared" si="60"/>
        <v>13.423522048155872</v>
      </c>
      <c r="J1134" s="2525">
        <f t="shared" si="61"/>
        <v>4.9423217303822922</v>
      </c>
      <c r="K1134" s="2261">
        <f t="shared" si="62"/>
        <v>5.919604026580453</v>
      </c>
      <c r="L1134" s="2524">
        <f t="shared" si="63"/>
        <v>6.8968863227786139</v>
      </c>
      <c r="M1134" s="2524">
        <f t="shared" si="64"/>
        <v>3.9650394341841317</v>
      </c>
      <c r="N1134" s="2524">
        <f t="shared" si="65"/>
        <v>2.9877571379859713</v>
      </c>
    </row>
    <row r="1135" spans="1:14" ht="15">
      <c r="A1135" s="2218"/>
      <c r="B1135" s="2251">
        <v>44518</v>
      </c>
      <c r="C1135">
        <v>21.7179</v>
      </c>
      <c r="D1135" s="2522">
        <v>3.9483000000000001</v>
      </c>
      <c r="E1135" s="2523">
        <f t="shared" si="57"/>
        <v>20.496540945512795</v>
      </c>
      <c r="F1135" s="2261">
        <f t="shared" si="56"/>
        <v>24.033050394191257</v>
      </c>
      <c r="G1135" s="2524">
        <f t="shared" si="58"/>
        <v>27.569559842869719</v>
      </c>
      <c r="H1135" s="2524">
        <f t="shared" si="59"/>
        <v>16.960031496834333</v>
      </c>
      <c r="I1135" s="2524">
        <f t="shared" si="60"/>
        <v>13.423522048155872</v>
      </c>
      <c r="J1135" s="2525">
        <f t="shared" si="61"/>
        <v>4.9423217303822922</v>
      </c>
      <c r="K1135" s="2261">
        <f t="shared" si="62"/>
        <v>5.919604026580453</v>
      </c>
      <c r="L1135" s="2524">
        <f t="shared" si="63"/>
        <v>6.8968863227786139</v>
      </c>
      <c r="M1135" s="2524">
        <f t="shared" si="64"/>
        <v>3.9650394341841317</v>
      </c>
      <c r="N1135" s="2524">
        <f t="shared" si="65"/>
        <v>2.9877571379859713</v>
      </c>
    </row>
    <row r="1136" spans="1:14" ht="15">
      <c r="A1136" s="2218"/>
      <c r="B1136" s="2251">
        <v>44519</v>
      </c>
      <c r="C1136">
        <v>21.447800000000001</v>
      </c>
      <c r="D1136" s="2522">
        <v>4.0406000000000004</v>
      </c>
      <c r="E1136" s="2523">
        <f t="shared" si="57"/>
        <v>20.496540945512795</v>
      </c>
      <c r="F1136" s="2261">
        <f t="shared" si="56"/>
        <v>24.033050394191257</v>
      </c>
      <c r="G1136" s="2524">
        <f t="shared" si="58"/>
        <v>27.569559842869719</v>
      </c>
      <c r="H1136" s="2524">
        <f t="shared" si="59"/>
        <v>16.960031496834333</v>
      </c>
      <c r="I1136" s="2524">
        <f t="shared" si="60"/>
        <v>13.423522048155872</v>
      </c>
      <c r="J1136" s="2525">
        <f t="shared" si="61"/>
        <v>4.9423217303822922</v>
      </c>
      <c r="K1136" s="2261">
        <f t="shared" si="62"/>
        <v>5.919604026580453</v>
      </c>
      <c r="L1136" s="2524">
        <f t="shared" si="63"/>
        <v>6.8968863227786139</v>
      </c>
      <c r="M1136" s="2524">
        <f t="shared" si="64"/>
        <v>3.9650394341841317</v>
      </c>
      <c r="N1136" s="2524">
        <f t="shared" si="65"/>
        <v>2.9877571379859713</v>
      </c>
    </row>
    <row r="1137" spans="1:14" ht="15">
      <c r="A1137" s="2218"/>
      <c r="B1137" s="2251">
        <v>44522</v>
      </c>
      <c r="C1137">
        <v>21.380299999999998</v>
      </c>
      <c r="D1137" s="2522">
        <v>4.0358000000000001</v>
      </c>
      <c r="E1137" s="2523">
        <f t="shared" si="57"/>
        <v>20.496540945512795</v>
      </c>
      <c r="F1137" s="2261">
        <f t="shared" si="56"/>
        <v>24.033050394191257</v>
      </c>
      <c r="G1137" s="2524">
        <f t="shared" si="58"/>
        <v>27.569559842869719</v>
      </c>
      <c r="H1137" s="2524">
        <f t="shared" si="59"/>
        <v>16.960031496834333</v>
      </c>
      <c r="I1137" s="2524">
        <f t="shared" si="60"/>
        <v>13.423522048155872</v>
      </c>
      <c r="J1137" s="2525">
        <f t="shared" si="61"/>
        <v>4.9423217303822922</v>
      </c>
      <c r="K1137" s="2261">
        <f t="shared" si="62"/>
        <v>5.919604026580453</v>
      </c>
      <c r="L1137" s="2524">
        <f t="shared" si="63"/>
        <v>6.8968863227786139</v>
      </c>
      <c r="M1137" s="2524">
        <f t="shared" si="64"/>
        <v>3.9650394341841317</v>
      </c>
      <c r="N1137" s="2524">
        <f t="shared" si="65"/>
        <v>2.9877571379859713</v>
      </c>
    </row>
    <row r="1138" spans="1:14" ht="15">
      <c r="A1138" s="2218"/>
      <c r="B1138" s="2251">
        <v>44523</v>
      </c>
      <c r="C1138">
        <v>21.740400000000001</v>
      </c>
      <c r="D1138" s="2522">
        <v>4.0358000000000001</v>
      </c>
      <c r="E1138" s="2523">
        <f t="shared" si="57"/>
        <v>20.496540945512795</v>
      </c>
      <c r="F1138" s="2261">
        <f t="shared" si="56"/>
        <v>24.033050394191257</v>
      </c>
      <c r="G1138" s="2524">
        <f t="shared" si="58"/>
        <v>27.569559842869719</v>
      </c>
      <c r="H1138" s="2524">
        <f t="shared" si="59"/>
        <v>16.960031496834333</v>
      </c>
      <c r="I1138" s="2524">
        <f t="shared" si="60"/>
        <v>13.423522048155872</v>
      </c>
      <c r="J1138" s="2525">
        <f t="shared" si="61"/>
        <v>4.9423217303822922</v>
      </c>
      <c r="K1138" s="2261">
        <f t="shared" si="62"/>
        <v>5.919604026580453</v>
      </c>
      <c r="L1138" s="2524">
        <f t="shared" si="63"/>
        <v>6.8968863227786139</v>
      </c>
      <c r="M1138" s="2524">
        <f t="shared" si="64"/>
        <v>3.9650394341841317</v>
      </c>
      <c r="N1138" s="2524">
        <f t="shared" si="65"/>
        <v>2.9877571379859713</v>
      </c>
    </row>
    <row r="1139" spans="1:14" ht="15">
      <c r="A1139" s="2218"/>
      <c r="B1139" s="2251">
        <v>44524</v>
      </c>
      <c r="C1139">
        <v>22.033000000000001</v>
      </c>
      <c r="D1139" s="2522">
        <v>4.0795000000000003</v>
      </c>
      <c r="E1139" s="2523">
        <f t="shared" si="57"/>
        <v>20.496540945512795</v>
      </c>
      <c r="F1139" s="2261">
        <f t="shared" si="56"/>
        <v>24.033050394191257</v>
      </c>
      <c r="G1139" s="2524">
        <f t="shared" si="58"/>
        <v>27.569559842869719</v>
      </c>
      <c r="H1139" s="2524">
        <f t="shared" si="59"/>
        <v>16.960031496834333</v>
      </c>
      <c r="I1139" s="2524">
        <f t="shared" si="60"/>
        <v>13.423522048155872</v>
      </c>
      <c r="J1139" s="2525">
        <f t="shared" si="61"/>
        <v>4.9423217303822922</v>
      </c>
      <c r="K1139" s="2261">
        <f t="shared" si="62"/>
        <v>5.919604026580453</v>
      </c>
      <c r="L1139" s="2524">
        <f t="shared" si="63"/>
        <v>6.8968863227786139</v>
      </c>
      <c r="M1139" s="2524">
        <f t="shared" si="64"/>
        <v>3.9650394341841317</v>
      </c>
      <c r="N1139" s="2524">
        <f t="shared" si="65"/>
        <v>2.9877571379859713</v>
      </c>
    </row>
    <row r="1140" spans="1:14" ht="15">
      <c r="A1140" s="2218"/>
      <c r="B1140" s="2251">
        <v>44525</v>
      </c>
      <c r="C1140">
        <v>22.505600000000001</v>
      </c>
      <c r="D1140" s="2522">
        <v>4.0842999999999998</v>
      </c>
      <c r="E1140" s="2523">
        <f t="shared" si="57"/>
        <v>20.496540945512795</v>
      </c>
      <c r="F1140" s="2261">
        <f t="shared" si="56"/>
        <v>24.033050394191257</v>
      </c>
      <c r="G1140" s="2524">
        <f t="shared" si="58"/>
        <v>27.569559842869719</v>
      </c>
      <c r="H1140" s="2524">
        <f t="shared" si="59"/>
        <v>16.960031496834333</v>
      </c>
      <c r="I1140" s="2524">
        <f t="shared" si="60"/>
        <v>13.423522048155872</v>
      </c>
      <c r="J1140" s="2525">
        <f t="shared" si="61"/>
        <v>4.9423217303822922</v>
      </c>
      <c r="K1140" s="2261">
        <f t="shared" si="62"/>
        <v>5.919604026580453</v>
      </c>
      <c r="L1140" s="2524">
        <f t="shared" si="63"/>
        <v>6.8968863227786139</v>
      </c>
      <c r="M1140" s="2524">
        <f t="shared" si="64"/>
        <v>3.9650394341841317</v>
      </c>
      <c r="N1140" s="2524">
        <f t="shared" si="65"/>
        <v>2.9877571379859713</v>
      </c>
    </row>
    <row r="1141" spans="1:14" ht="15">
      <c r="A1141" s="2218"/>
      <c r="B1141" s="2251">
        <v>44526</v>
      </c>
      <c r="C1141">
        <v>22.257999999999999</v>
      </c>
      <c r="D1141" s="2522">
        <v>4.0552000000000001</v>
      </c>
      <c r="E1141" s="2523">
        <f t="shared" si="57"/>
        <v>20.496540945512795</v>
      </c>
      <c r="F1141" s="2261">
        <f t="shared" si="56"/>
        <v>24.033050394191257</v>
      </c>
      <c r="G1141" s="2524">
        <f t="shared" si="58"/>
        <v>27.569559842869719</v>
      </c>
      <c r="H1141" s="2524">
        <f t="shared" si="59"/>
        <v>16.960031496834333</v>
      </c>
      <c r="I1141" s="2524">
        <f t="shared" si="60"/>
        <v>13.423522048155872</v>
      </c>
      <c r="J1141" s="2525">
        <f t="shared" si="61"/>
        <v>4.9423217303822922</v>
      </c>
      <c r="K1141" s="2261">
        <f t="shared" si="62"/>
        <v>5.919604026580453</v>
      </c>
      <c r="L1141" s="2524">
        <f t="shared" si="63"/>
        <v>6.8968863227786139</v>
      </c>
      <c r="M1141" s="2524">
        <f t="shared" si="64"/>
        <v>3.9650394341841317</v>
      </c>
      <c r="N1141" s="2524">
        <f t="shared" si="65"/>
        <v>2.9877571379859713</v>
      </c>
    </row>
    <row r="1142" spans="1:14" ht="15">
      <c r="A1142" s="2218"/>
      <c r="B1142" s="2251">
        <v>44529</v>
      </c>
      <c r="C1142">
        <v>22.077999999999999</v>
      </c>
      <c r="D1142" s="2522">
        <v>4.0697000000000001</v>
      </c>
      <c r="E1142" s="2523">
        <f t="shared" si="57"/>
        <v>20.496540945512795</v>
      </c>
      <c r="F1142" s="2261">
        <f t="shared" si="56"/>
        <v>24.033050394191257</v>
      </c>
      <c r="G1142" s="2524">
        <f t="shared" si="58"/>
        <v>27.569559842869719</v>
      </c>
      <c r="H1142" s="2524">
        <f t="shared" si="59"/>
        <v>16.960031496834333</v>
      </c>
      <c r="I1142" s="2524">
        <f t="shared" si="60"/>
        <v>13.423522048155872</v>
      </c>
      <c r="J1142" s="2525">
        <f t="shared" si="61"/>
        <v>4.9423217303822922</v>
      </c>
      <c r="K1142" s="2261">
        <f t="shared" si="62"/>
        <v>5.919604026580453</v>
      </c>
      <c r="L1142" s="2524">
        <f t="shared" si="63"/>
        <v>6.8968863227786139</v>
      </c>
      <c r="M1142" s="2524">
        <f t="shared" si="64"/>
        <v>3.9650394341841317</v>
      </c>
      <c r="N1142" s="2524">
        <f t="shared" si="65"/>
        <v>2.9877571379859713</v>
      </c>
    </row>
    <row r="1143" spans="1:14" ht="15">
      <c r="A1143" s="2218"/>
      <c r="B1143" s="2251">
        <v>44530</v>
      </c>
      <c r="C1143">
        <v>21.852900000000002</v>
      </c>
      <c r="D1143" s="2522">
        <v>4.1280000000000001</v>
      </c>
      <c r="E1143" s="2523">
        <f t="shared" si="57"/>
        <v>20.496540945512795</v>
      </c>
      <c r="F1143" s="2261">
        <f t="shared" si="56"/>
        <v>24.033050394191257</v>
      </c>
      <c r="G1143" s="2524">
        <f t="shared" si="58"/>
        <v>27.569559842869719</v>
      </c>
      <c r="H1143" s="2524">
        <f t="shared" si="59"/>
        <v>16.960031496834333</v>
      </c>
      <c r="I1143" s="2524">
        <f t="shared" si="60"/>
        <v>13.423522048155872</v>
      </c>
      <c r="J1143" s="2525">
        <f t="shared" si="61"/>
        <v>4.9423217303822922</v>
      </c>
      <c r="K1143" s="2261">
        <f t="shared" si="62"/>
        <v>5.919604026580453</v>
      </c>
      <c r="L1143" s="2524">
        <f t="shared" si="63"/>
        <v>6.8968863227786139</v>
      </c>
      <c r="M1143" s="2524">
        <f t="shared" si="64"/>
        <v>3.9650394341841317</v>
      </c>
      <c r="N1143" s="2524">
        <f t="shared" si="65"/>
        <v>2.9877571379859713</v>
      </c>
    </row>
    <row r="1144" spans="1:14" ht="15">
      <c r="A1144" s="2218"/>
      <c r="B1144" s="2251">
        <v>44531</v>
      </c>
      <c r="C1144">
        <v>22.1005</v>
      </c>
      <c r="D1144" s="2522">
        <v>4.1425999999999998</v>
      </c>
      <c r="E1144" s="2523">
        <f t="shared" si="57"/>
        <v>20.496540945512795</v>
      </c>
      <c r="F1144" s="2261">
        <f t="shared" si="56"/>
        <v>24.033050394191257</v>
      </c>
      <c r="G1144" s="2524">
        <f t="shared" si="58"/>
        <v>27.569559842869719</v>
      </c>
      <c r="H1144" s="2524">
        <f t="shared" si="59"/>
        <v>16.960031496834333</v>
      </c>
      <c r="I1144" s="2524">
        <f t="shared" si="60"/>
        <v>13.423522048155872</v>
      </c>
      <c r="J1144" s="2525">
        <f t="shared" si="61"/>
        <v>4.9423217303822922</v>
      </c>
      <c r="K1144" s="2261">
        <f t="shared" si="62"/>
        <v>5.919604026580453</v>
      </c>
      <c r="L1144" s="2524">
        <f t="shared" si="63"/>
        <v>6.8968863227786139</v>
      </c>
      <c r="M1144" s="2524">
        <f t="shared" si="64"/>
        <v>3.9650394341841317</v>
      </c>
      <c r="N1144" s="2524">
        <f t="shared" si="65"/>
        <v>2.9877571379859713</v>
      </c>
    </row>
    <row r="1145" spans="1:14" ht="15">
      <c r="A1145" s="2218"/>
      <c r="B1145" s="2251">
        <v>44532</v>
      </c>
      <c r="C1145">
        <v>21.875499999999999</v>
      </c>
      <c r="D1145" s="2522">
        <v>4.1280000000000001</v>
      </c>
      <c r="E1145" s="2523">
        <f t="shared" si="57"/>
        <v>20.496540945512795</v>
      </c>
      <c r="F1145" s="2261">
        <f t="shared" si="56"/>
        <v>24.033050394191257</v>
      </c>
      <c r="G1145" s="2524">
        <f t="shared" si="58"/>
        <v>27.569559842869719</v>
      </c>
      <c r="H1145" s="2524">
        <f t="shared" si="59"/>
        <v>16.960031496834333</v>
      </c>
      <c r="I1145" s="2524">
        <f t="shared" si="60"/>
        <v>13.423522048155872</v>
      </c>
      <c r="J1145" s="2525">
        <f t="shared" si="61"/>
        <v>4.9423217303822922</v>
      </c>
      <c r="K1145" s="2261">
        <f t="shared" si="62"/>
        <v>5.919604026580453</v>
      </c>
      <c r="L1145" s="2524">
        <f t="shared" si="63"/>
        <v>6.8968863227786139</v>
      </c>
      <c r="M1145" s="2524">
        <f t="shared" si="64"/>
        <v>3.9650394341841317</v>
      </c>
      <c r="N1145" s="2524">
        <f t="shared" si="65"/>
        <v>2.9877571379859713</v>
      </c>
    </row>
    <row r="1146" spans="1:14" ht="15">
      <c r="A1146" s="2218"/>
      <c r="B1146" s="2251">
        <v>44533</v>
      </c>
      <c r="C1146">
        <v>21.492899999999999</v>
      </c>
      <c r="D1146" s="2522">
        <v>4.0599999999999996</v>
      </c>
      <c r="E1146" s="2523">
        <f t="shared" si="57"/>
        <v>20.496540945512795</v>
      </c>
      <c r="F1146" s="2261">
        <f t="shared" si="56"/>
        <v>24.033050394191257</v>
      </c>
      <c r="G1146" s="2524">
        <f t="shared" si="58"/>
        <v>27.569559842869719</v>
      </c>
      <c r="H1146" s="2524">
        <f t="shared" si="59"/>
        <v>16.960031496834333</v>
      </c>
      <c r="I1146" s="2524">
        <f t="shared" si="60"/>
        <v>13.423522048155872</v>
      </c>
      <c r="J1146" s="2525">
        <f t="shared" si="61"/>
        <v>4.9423217303822922</v>
      </c>
      <c r="K1146" s="2261">
        <f t="shared" si="62"/>
        <v>5.919604026580453</v>
      </c>
      <c r="L1146" s="2524">
        <f t="shared" si="63"/>
        <v>6.8968863227786139</v>
      </c>
      <c r="M1146" s="2524">
        <f t="shared" si="64"/>
        <v>3.9650394341841317</v>
      </c>
      <c r="N1146" s="2524">
        <f t="shared" si="65"/>
        <v>2.9877571379859713</v>
      </c>
    </row>
    <row r="1147" spans="1:14" ht="15">
      <c r="A1147" s="2218"/>
      <c r="B1147" s="2251">
        <v>44536</v>
      </c>
      <c r="C1147">
        <v>21.267800000000001</v>
      </c>
      <c r="D1147" s="2522">
        <v>4.1086</v>
      </c>
      <c r="E1147" s="2523">
        <f t="shared" si="57"/>
        <v>20.496540945512795</v>
      </c>
      <c r="F1147" s="2261">
        <f t="shared" si="56"/>
        <v>24.033050394191257</v>
      </c>
      <c r="G1147" s="2524">
        <f t="shared" si="58"/>
        <v>27.569559842869719</v>
      </c>
      <c r="H1147" s="2524">
        <f t="shared" si="59"/>
        <v>16.960031496834333</v>
      </c>
      <c r="I1147" s="2524">
        <f t="shared" si="60"/>
        <v>13.423522048155872</v>
      </c>
      <c r="J1147" s="2525">
        <f t="shared" si="61"/>
        <v>4.9423217303822922</v>
      </c>
      <c r="K1147" s="2261">
        <f t="shared" si="62"/>
        <v>5.919604026580453</v>
      </c>
      <c r="L1147" s="2524">
        <f t="shared" si="63"/>
        <v>6.8968863227786139</v>
      </c>
      <c r="M1147" s="2524">
        <f t="shared" si="64"/>
        <v>3.9650394341841317</v>
      </c>
      <c r="N1147" s="2524">
        <f t="shared" si="65"/>
        <v>2.9877571379859713</v>
      </c>
    </row>
    <row r="1148" spans="1:14" ht="15">
      <c r="A1148" s="2218"/>
      <c r="B1148" s="2251">
        <v>44537</v>
      </c>
      <c r="C1148">
        <v>21.605399999999999</v>
      </c>
      <c r="D1148" s="2522">
        <v>4.1231999999999998</v>
      </c>
      <c r="E1148" s="2523">
        <f t="shared" si="57"/>
        <v>20.496540945512795</v>
      </c>
      <c r="F1148" s="2261">
        <f t="shared" si="56"/>
        <v>24.033050394191257</v>
      </c>
      <c r="G1148" s="2524">
        <f t="shared" si="58"/>
        <v>27.569559842869719</v>
      </c>
      <c r="H1148" s="2524">
        <f t="shared" si="59"/>
        <v>16.960031496834333</v>
      </c>
      <c r="I1148" s="2524">
        <f t="shared" si="60"/>
        <v>13.423522048155872</v>
      </c>
      <c r="J1148" s="2525">
        <f t="shared" si="61"/>
        <v>4.9423217303822922</v>
      </c>
      <c r="K1148" s="2261">
        <f t="shared" si="62"/>
        <v>5.919604026580453</v>
      </c>
      <c r="L1148" s="2524">
        <f t="shared" si="63"/>
        <v>6.8968863227786139</v>
      </c>
      <c r="M1148" s="2524">
        <f t="shared" si="64"/>
        <v>3.9650394341841317</v>
      </c>
      <c r="N1148" s="2524">
        <f t="shared" si="65"/>
        <v>2.9877571379859713</v>
      </c>
    </row>
    <row r="1149" spans="1:14" ht="15">
      <c r="A1149" s="2218"/>
      <c r="B1149" s="2251">
        <v>44538</v>
      </c>
      <c r="C1149">
        <v>21.5154</v>
      </c>
      <c r="D1149" s="2522">
        <v>4.0989000000000004</v>
      </c>
      <c r="E1149" s="2523">
        <f t="shared" si="57"/>
        <v>20.496540945512795</v>
      </c>
      <c r="F1149" s="2261">
        <f t="shared" ref="F1149:F1212" si="66">I$953+F$953</f>
        <v>24.033050394191257</v>
      </c>
      <c r="G1149" s="2524">
        <f t="shared" si="58"/>
        <v>27.569559842869719</v>
      </c>
      <c r="H1149" s="2524">
        <f t="shared" si="59"/>
        <v>16.960031496834333</v>
      </c>
      <c r="I1149" s="2524">
        <f t="shared" si="60"/>
        <v>13.423522048155872</v>
      </c>
      <c r="J1149" s="2525">
        <f t="shared" si="61"/>
        <v>4.9423217303822922</v>
      </c>
      <c r="K1149" s="2261">
        <f t="shared" si="62"/>
        <v>5.919604026580453</v>
      </c>
      <c r="L1149" s="2524">
        <f t="shared" si="63"/>
        <v>6.8968863227786139</v>
      </c>
      <c r="M1149" s="2524">
        <f t="shared" si="64"/>
        <v>3.9650394341841317</v>
      </c>
      <c r="N1149" s="2524">
        <f t="shared" si="65"/>
        <v>2.9877571379859713</v>
      </c>
    </row>
    <row r="1150" spans="1:14" ht="15">
      <c r="A1150" s="2218"/>
      <c r="B1150" s="2251">
        <v>44539</v>
      </c>
      <c r="C1150">
        <v>21.830400000000001</v>
      </c>
      <c r="D1150" s="2522">
        <v>4.0891999999999999</v>
      </c>
      <c r="E1150" s="2523">
        <f t="shared" ref="E1150:E1213" si="67">I$953</f>
        <v>20.496540945512795</v>
      </c>
      <c r="F1150" s="2261">
        <f t="shared" si="66"/>
        <v>24.033050394191257</v>
      </c>
      <c r="G1150" s="2524">
        <f t="shared" ref="G1150:G1213" si="68">I$953+F$953+F$953</f>
        <v>27.569559842869719</v>
      </c>
      <c r="H1150" s="2524">
        <f t="shared" ref="H1150:H1213" si="69">I$953-F$953</f>
        <v>16.960031496834333</v>
      </c>
      <c r="I1150" s="2524">
        <f t="shared" ref="I1150:I1213" si="70">I$953-F$953-F$953</f>
        <v>13.423522048155872</v>
      </c>
      <c r="J1150" s="2525">
        <f t="shared" si="61"/>
        <v>4.9423217303822922</v>
      </c>
      <c r="K1150" s="2261">
        <f t="shared" si="62"/>
        <v>5.919604026580453</v>
      </c>
      <c r="L1150" s="2524">
        <f t="shared" si="63"/>
        <v>6.8968863227786139</v>
      </c>
      <c r="M1150" s="2524">
        <f t="shared" si="64"/>
        <v>3.9650394341841317</v>
      </c>
      <c r="N1150" s="2524">
        <f t="shared" si="65"/>
        <v>2.9877571379859713</v>
      </c>
    </row>
    <row r="1151" spans="1:14" ht="15">
      <c r="A1151" s="2218"/>
      <c r="B1151" s="2251">
        <v>44540</v>
      </c>
      <c r="C1151">
        <v>21.560400000000001</v>
      </c>
      <c r="D1151" s="2522">
        <v>4.0842999999999998</v>
      </c>
      <c r="E1151" s="2523">
        <f t="shared" si="67"/>
        <v>20.496540945512795</v>
      </c>
      <c r="F1151" s="2261">
        <f t="shared" si="66"/>
        <v>24.033050394191257</v>
      </c>
      <c r="G1151" s="2524">
        <f t="shared" si="68"/>
        <v>27.569559842869719</v>
      </c>
      <c r="H1151" s="2524">
        <f t="shared" si="69"/>
        <v>16.960031496834333</v>
      </c>
      <c r="I1151" s="2524">
        <f t="shared" si="70"/>
        <v>13.423522048155872</v>
      </c>
      <c r="J1151" s="2525">
        <f t="shared" si="61"/>
        <v>4.9423217303822922</v>
      </c>
      <c r="K1151" s="2261">
        <f t="shared" si="62"/>
        <v>5.919604026580453</v>
      </c>
      <c r="L1151" s="2524">
        <f t="shared" si="63"/>
        <v>6.8968863227786139</v>
      </c>
      <c r="M1151" s="2524">
        <f t="shared" si="64"/>
        <v>3.9650394341841317</v>
      </c>
      <c r="N1151" s="2524">
        <f t="shared" si="65"/>
        <v>2.9877571379859713</v>
      </c>
    </row>
    <row r="1152" spans="1:14" ht="15">
      <c r="A1152" s="2218"/>
      <c r="B1152" s="2251">
        <v>44543</v>
      </c>
      <c r="C1152">
        <v>21.605399999999999</v>
      </c>
      <c r="D1152" s="2522">
        <v>4.1036999999999999</v>
      </c>
      <c r="E1152" s="2523">
        <f t="shared" si="67"/>
        <v>20.496540945512795</v>
      </c>
      <c r="F1152" s="2261">
        <f t="shared" si="66"/>
        <v>24.033050394191257</v>
      </c>
      <c r="G1152" s="2524">
        <f t="shared" si="68"/>
        <v>27.569559842869719</v>
      </c>
      <c r="H1152" s="2524">
        <f t="shared" si="69"/>
        <v>16.960031496834333</v>
      </c>
      <c r="I1152" s="2524">
        <f t="shared" si="70"/>
        <v>13.423522048155872</v>
      </c>
      <c r="J1152" s="2525">
        <f t="shared" si="61"/>
        <v>4.9423217303822922</v>
      </c>
      <c r="K1152" s="2261">
        <f t="shared" si="62"/>
        <v>5.919604026580453</v>
      </c>
      <c r="L1152" s="2524">
        <f t="shared" si="63"/>
        <v>6.8968863227786139</v>
      </c>
      <c r="M1152" s="2524">
        <f t="shared" si="64"/>
        <v>3.9650394341841317</v>
      </c>
      <c r="N1152" s="2524">
        <f t="shared" si="65"/>
        <v>2.9877571379859713</v>
      </c>
    </row>
    <row r="1153" spans="1:14" ht="15">
      <c r="A1153" s="2218"/>
      <c r="B1153" s="2251">
        <v>44544</v>
      </c>
      <c r="C1153">
        <v>21.5379</v>
      </c>
      <c r="D1153" s="2522">
        <v>4.1135000000000002</v>
      </c>
      <c r="E1153" s="2523">
        <f t="shared" si="67"/>
        <v>20.496540945512795</v>
      </c>
      <c r="F1153" s="2261">
        <f t="shared" si="66"/>
        <v>24.033050394191257</v>
      </c>
      <c r="G1153" s="2524">
        <f t="shared" si="68"/>
        <v>27.569559842869719</v>
      </c>
      <c r="H1153" s="2524">
        <f t="shared" si="69"/>
        <v>16.960031496834333</v>
      </c>
      <c r="I1153" s="2524">
        <f t="shared" si="70"/>
        <v>13.423522048155872</v>
      </c>
      <c r="J1153" s="2525">
        <f t="shared" si="61"/>
        <v>4.9423217303822922</v>
      </c>
      <c r="K1153" s="2261">
        <f t="shared" si="62"/>
        <v>5.919604026580453</v>
      </c>
      <c r="L1153" s="2524">
        <f t="shared" si="63"/>
        <v>6.8968863227786139</v>
      </c>
      <c r="M1153" s="2524">
        <f t="shared" si="64"/>
        <v>3.9650394341841317</v>
      </c>
      <c r="N1153" s="2524">
        <f t="shared" si="65"/>
        <v>2.9877571379859713</v>
      </c>
    </row>
    <row r="1154" spans="1:14" ht="15">
      <c r="A1154" s="2218"/>
      <c r="B1154" s="2251">
        <v>44545</v>
      </c>
      <c r="C1154">
        <v>21.582899999999999</v>
      </c>
      <c r="D1154" s="2522">
        <v>4.1523000000000003</v>
      </c>
      <c r="E1154" s="2523">
        <f t="shared" si="67"/>
        <v>20.496540945512795</v>
      </c>
      <c r="F1154" s="2261">
        <f t="shared" si="66"/>
        <v>24.033050394191257</v>
      </c>
      <c r="G1154" s="2524">
        <f t="shared" si="68"/>
        <v>27.569559842869719</v>
      </c>
      <c r="H1154" s="2524">
        <f t="shared" si="69"/>
        <v>16.960031496834333</v>
      </c>
      <c r="I1154" s="2524">
        <f t="shared" si="70"/>
        <v>13.423522048155872</v>
      </c>
      <c r="J1154" s="2525">
        <f t="shared" si="61"/>
        <v>4.9423217303822922</v>
      </c>
      <c r="K1154" s="2261">
        <f t="shared" si="62"/>
        <v>5.919604026580453</v>
      </c>
      <c r="L1154" s="2524">
        <f t="shared" si="63"/>
        <v>6.8968863227786139</v>
      </c>
      <c r="M1154" s="2524">
        <f t="shared" si="64"/>
        <v>3.9650394341841317</v>
      </c>
      <c r="N1154" s="2524">
        <f t="shared" si="65"/>
        <v>2.9877571379859713</v>
      </c>
    </row>
    <row r="1155" spans="1:14" ht="15">
      <c r="A1155" s="2218"/>
      <c r="B1155" s="2251">
        <v>44546</v>
      </c>
      <c r="C1155">
        <v>21.492899999999999</v>
      </c>
      <c r="D1155" s="2522">
        <v>4.1669</v>
      </c>
      <c r="E1155" s="2523">
        <f t="shared" si="67"/>
        <v>20.496540945512795</v>
      </c>
      <c r="F1155" s="2261">
        <f t="shared" si="66"/>
        <v>24.033050394191257</v>
      </c>
      <c r="G1155" s="2524">
        <f t="shared" si="68"/>
        <v>27.569559842869719</v>
      </c>
      <c r="H1155" s="2524">
        <f t="shared" si="69"/>
        <v>16.960031496834333</v>
      </c>
      <c r="I1155" s="2524">
        <f t="shared" si="70"/>
        <v>13.423522048155872</v>
      </c>
      <c r="J1155" s="2525">
        <f t="shared" si="61"/>
        <v>4.9423217303822922</v>
      </c>
      <c r="K1155" s="2261">
        <f t="shared" si="62"/>
        <v>5.919604026580453</v>
      </c>
      <c r="L1155" s="2524">
        <f t="shared" si="63"/>
        <v>6.8968863227786139</v>
      </c>
      <c r="M1155" s="2524">
        <f t="shared" si="64"/>
        <v>3.9650394341841317</v>
      </c>
      <c r="N1155" s="2524">
        <f t="shared" si="65"/>
        <v>2.9877571379859713</v>
      </c>
    </row>
    <row r="1156" spans="1:14" ht="15">
      <c r="A1156" s="2218"/>
      <c r="B1156" s="2251">
        <v>44547</v>
      </c>
      <c r="C1156">
        <v>21.695399999999999</v>
      </c>
      <c r="D1156" s="2522">
        <v>4.1523000000000003</v>
      </c>
      <c r="E1156" s="2523">
        <f t="shared" si="67"/>
        <v>20.496540945512795</v>
      </c>
      <c r="F1156" s="2261">
        <f t="shared" si="66"/>
        <v>24.033050394191257</v>
      </c>
      <c r="G1156" s="2524">
        <f t="shared" si="68"/>
        <v>27.569559842869719</v>
      </c>
      <c r="H1156" s="2524">
        <f t="shared" si="69"/>
        <v>16.960031496834333</v>
      </c>
      <c r="I1156" s="2524">
        <f t="shared" si="70"/>
        <v>13.423522048155872</v>
      </c>
      <c r="J1156" s="2525">
        <f t="shared" si="61"/>
        <v>4.9423217303822922</v>
      </c>
      <c r="K1156" s="2261">
        <f t="shared" si="62"/>
        <v>5.919604026580453</v>
      </c>
      <c r="L1156" s="2524">
        <f t="shared" si="63"/>
        <v>6.8968863227786139</v>
      </c>
      <c r="M1156" s="2524">
        <f t="shared" si="64"/>
        <v>3.9650394341841317</v>
      </c>
      <c r="N1156" s="2524">
        <f t="shared" si="65"/>
        <v>2.9877571379859713</v>
      </c>
    </row>
    <row r="1157" spans="1:14" ht="15">
      <c r="A1157" s="2218"/>
      <c r="B1157" s="2251">
        <v>44550</v>
      </c>
      <c r="C1157">
        <v>21.560400000000001</v>
      </c>
      <c r="D1157" s="2522">
        <v>4.1329000000000002</v>
      </c>
      <c r="E1157" s="2523">
        <f t="shared" si="67"/>
        <v>20.496540945512795</v>
      </c>
      <c r="F1157" s="2261">
        <f t="shared" si="66"/>
        <v>24.033050394191257</v>
      </c>
      <c r="G1157" s="2524">
        <f t="shared" si="68"/>
        <v>27.569559842869719</v>
      </c>
      <c r="H1157" s="2524">
        <f t="shared" si="69"/>
        <v>16.960031496834333</v>
      </c>
      <c r="I1157" s="2524">
        <f t="shared" si="70"/>
        <v>13.423522048155872</v>
      </c>
      <c r="J1157" s="2525">
        <f t="shared" si="61"/>
        <v>4.9423217303822922</v>
      </c>
      <c r="K1157" s="2261">
        <f t="shared" si="62"/>
        <v>5.919604026580453</v>
      </c>
      <c r="L1157" s="2524">
        <f t="shared" si="63"/>
        <v>6.8968863227786139</v>
      </c>
      <c r="M1157" s="2524">
        <f t="shared" si="64"/>
        <v>3.9650394341841317</v>
      </c>
      <c r="N1157" s="2524">
        <f t="shared" si="65"/>
        <v>2.9877571379859713</v>
      </c>
    </row>
    <row r="1158" spans="1:14" ht="15">
      <c r="A1158" s="2218"/>
      <c r="B1158" s="2251">
        <v>44551</v>
      </c>
      <c r="C1158">
        <v>21.4253</v>
      </c>
      <c r="D1158" s="2522">
        <v>4.1669</v>
      </c>
      <c r="E1158" s="2523">
        <f t="shared" si="67"/>
        <v>20.496540945512795</v>
      </c>
      <c r="F1158" s="2261">
        <f t="shared" si="66"/>
        <v>24.033050394191257</v>
      </c>
      <c r="G1158" s="2524">
        <f t="shared" si="68"/>
        <v>27.569559842869719</v>
      </c>
      <c r="H1158" s="2524">
        <f t="shared" si="69"/>
        <v>16.960031496834333</v>
      </c>
      <c r="I1158" s="2524">
        <f t="shared" si="70"/>
        <v>13.423522048155872</v>
      </c>
      <c r="J1158" s="2525">
        <f t="shared" si="61"/>
        <v>4.9423217303822922</v>
      </c>
      <c r="K1158" s="2261">
        <f t="shared" si="62"/>
        <v>5.919604026580453</v>
      </c>
      <c r="L1158" s="2524">
        <f t="shared" si="63"/>
        <v>6.8968863227786139</v>
      </c>
      <c r="M1158" s="2524">
        <f t="shared" si="64"/>
        <v>3.9650394341841317</v>
      </c>
      <c r="N1158" s="2524">
        <f t="shared" si="65"/>
        <v>2.9877571379859713</v>
      </c>
    </row>
    <row r="1159" spans="1:14" ht="15">
      <c r="A1159" s="2218"/>
      <c r="B1159" s="2251">
        <v>44552</v>
      </c>
      <c r="C1159">
        <v>21.380299999999998</v>
      </c>
      <c r="D1159" s="2522">
        <v>4.2397</v>
      </c>
      <c r="E1159" s="2523">
        <f t="shared" si="67"/>
        <v>20.496540945512795</v>
      </c>
      <c r="F1159" s="2261">
        <f t="shared" si="66"/>
        <v>24.033050394191257</v>
      </c>
      <c r="G1159" s="2524">
        <f t="shared" si="68"/>
        <v>27.569559842869719</v>
      </c>
      <c r="H1159" s="2524">
        <f t="shared" si="69"/>
        <v>16.960031496834333</v>
      </c>
      <c r="I1159" s="2524">
        <f t="shared" si="70"/>
        <v>13.423522048155872</v>
      </c>
      <c r="J1159" s="2525">
        <f t="shared" si="61"/>
        <v>4.9423217303822922</v>
      </c>
      <c r="K1159" s="2261">
        <f t="shared" si="62"/>
        <v>5.919604026580453</v>
      </c>
      <c r="L1159" s="2524">
        <f t="shared" si="63"/>
        <v>6.8968863227786139</v>
      </c>
      <c r="M1159" s="2524">
        <f t="shared" si="64"/>
        <v>3.9650394341841317</v>
      </c>
      <c r="N1159" s="2524">
        <f t="shared" si="65"/>
        <v>2.9877571379859713</v>
      </c>
    </row>
    <row r="1160" spans="1:14" ht="15">
      <c r="A1160" s="2218"/>
      <c r="B1160" s="2251">
        <v>44553</v>
      </c>
      <c r="C1160">
        <v>20.975200000000001</v>
      </c>
      <c r="D1160" s="2522">
        <v>4.2252000000000001</v>
      </c>
      <c r="E1160" s="2523">
        <f t="shared" si="67"/>
        <v>20.496540945512795</v>
      </c>
      <c r="F1160" s="2261">
        <f t="shared" si="66"/>
        <v>24.033050394191257</v>
      </c>
      <c r="G1160" s="2524">
        <f t="shared" si="68"/>
        <v>27.569559842869719</v>
      </c>
      <c r="H1160" s="2524">
        <f t="shared" si="69"/>
        <v>16.960031496834333</v>
      </c>
      <c r="I1160" s="2524">
        <f t="shared" si="70"/>
        <v>13.423522048155872</v>
      </c>
      <c r="J1160" s="2525">
        <f t="shared" si="61"/>
        <v>4.9423217303822922</v>
      </c>
      <c r="K1160" s="2261">
        <f t="shared" si="62"/>
        <v>5.919604026580453</v>
      </c>
      <c r="L1160" s="2524">
        <f t="shared" si="63"/>
        <v>6.8968863227786139</v>
      </c>
      <c r="M1160" s="2524">
        <f t="shared" si="64"/>
        <v>3.9650394341841317</v>
      </c>
      <c r="N1160" s="2524">
        <f t="shared" si="65"/>
        <v>2.9877571379859713</v>
      </c>
    </row>
    <row r="1161" spans="1:14" ht="15">
      <c r="A1161" s="2218"/>
      <c r="B1161" s="2251">
        <v>44554</v>
      </c>
      <c r="C1161">
        <v>21.110299999999999</v>
      </c>
      <c r="D1161" s="2522">
        <v>4.2008999999999999</v>
      </c>
      <c r="E1161" s="2523">
        <f t="shared" si="67"/>
        <v>20.496540945512795</v>
      </c>
      <c r="F1161" s="2261">
        <f t="shared" si="66"/>
        <v>24.033050394191257</v>
      </c>
      <c r="G1161" s="2524">
        <f t="shared" si="68"/>
        <v>27.569559842869719</v>
      </c>
      <c r="H1161" s="2524">
        <f t="shared" si="69"/>
        <v>16.960031496834333</v>
      </c>
      <c r="I1161" s="2524">
        <f t="shared" si="70"/>
        <v>13.423522048155872</v>
      </c>
      <c r="J1161" s="2525">
        <f t="shared" si="61"/>
        <v>4.9423217303822922</v>
      </c>
      <c r="K1161" s="2261">
        <f t="shared" si="62"/>
        <v>5.919604026580453</v>
      </c>
      <c r="L1161" s="2524">
        <f t="shared" si="63"/>
        <v>6.8968863227786139</v>
      </c>
      <c r="M1161" s="2524">
        <f t="shared" si="64"/>
        <v>3.9650394341841317</v>
      </c>
      <c r="N1161" s="2524">
        <f t="shared" si="65"/>
        <v>2.9877571379859713</v>
      </c>
    </row>
    <row r="1162" spans="1:14" ht="15">
      <c r="A1162" s="2218"/>
      <c r="B1162" s="2251">
        <v>44557</v>
      </c>
      <c r="C1162">
        <v>21.267800000000001</v>
      </c>
      <c r="D1162" s="2522">
        <v>3.9325000000000001</v>
      </c>
      <c r="E1162" s="2523">
        <f t="shared" si="67"/>
        <v>20.496540945512795</v>
      </c>
      <c r="F1162" s="2261">
        <f t="shared" si="66"/>
        <v>24.033050394191257</v>
      </c>
      <c r="G1162" s="2524">
        <f t="shared" si="68"/>
        <v>27.569559842869719</v>
      </c>
      <c r="H1162" s="2524">
        <f t="shared" si="69"/>
        <v>16.960031496834333</v>
      </c>
      <c r="I1162" s="2524">
        <f t="shared" si="70"/>
        <v>13.423522048155872</v>
      </c>
      <c r="J1162" s="2525">
        <f t="shared" si="61"/>
        <v>4.9423217303822922</v>
      </c>
      <c r="K1162" s="2261">
        <f t="shared" si="62"/>
        <v>5.919604026580453</v>
      </c>
      <c r="L1162" s="2524">
        <f t="shared" si="63"/>
        <v>6.8968863227786139</v>
      </c>
      <c r="M1162" s="2524">
        <f t="shared" si="64"/>
        <v>3.9650394341841317</v>
      </c>
      <c r="N1162" s="2524">
        <f t="shared" si="65"/>
        <v>2.9877571379859713</v>
      </c>
    </row>
    <row r="1163" spans="1:14" ht="15">
      <c r="A1163" s="2218"/>
      <c r="B1163" s="2251">
        <v>44558</v>
      </c>
      <c r="C1163">
        <v>21.267800000000001</v>
      </c>
      <c r="D1163" s="2522">
        <v>3.9508000000000001</v>
      </c>
      <c r="E1163" s="2523">
        <f t="shared" si="67"/>
        <v>20.496540945512795</v>
      </c>
      <c r="F1163" s="2261">
        <f t="shared" si="66"/>
        <v>24.033050394191257</v>
      </c>
      <c r="G1163" s="2524">
        <f t="shared" si="68"/>
        <v>27.569559842869719</v>
      </c>
      <c r="H1163" s="2524">
        <f t="shared" si="69"/>
        <v>16.960031496834333</v>
      </c>
      <c r="I1163" s="2524">
        <f t="shared" si="70"/>
        <v>13.423522048155872</v>
      </c>
      <c r="J1163" s="2525">
        <f t="shared" si="61"/>
        <v>4.9423217303822922</v>
      </c>
      <c r="K1163" s="2261">
        <f t="shared" si="62"/>
        <v>5.919604026580453</v>
      </c>
      <c r="L1163" s="2524">
        <f t="shared" si="63"/>
        <v>6.8968863227786139</v>
      </c>
      <c r="M1163" s="2524">
        <f t="shared" si="64"/>
        <v>3.9650394341841317</v>
      </c>
      <c r="N1163" s="2524">
        <f t="shared" si="65"/>
        <v>2.9877571379859713</v>
      </c>
    </row>
    <row r="1164" spans="1:14" ht="15">
      <c r="A1164" s="2218"/>
      <c r="B1164" s="2251">
        <v>44559</v>
      </c>
      <c r="C1164">
        <v>21.065300000000001</v>
      </c>
      <c r="D1164" s="2522">
        <v>3.9782000000000002</v>
      </c>
      <c r="E1164" s="2523">
        <f t="shared" si="67"/>
        <v>20.496540945512795</v>
      </c>
      <c r="F1164" s="2261">
        <f t="shared" si="66"/>
        <v>24.033050394191257</v>
      </c>
      <c r="G1164" s="2524">
        <f t="shared" si="68"/>
        <v>27.569559842869719</v>
      </c>
      <c r="H1164" s="2524">
        <f t="shared" si="69"/>
        <v>16.960031496834333</v>
      </c>
      <c r="I1164" s="2524">
        <f t="shared" si="70"/>
        <v>13.423522048155872</v>
      </c>
      <c r="J1164" s="2525">
        <f t="shared" si="61"/>
        <v>4.9423217303822922</v>
      </c>
      <c r="K1164" s="2261">
        <f t="shared" si="62"/>
        <v>5.919604026580453</v>
      </c>
      <c r="L1164" s="2524">
        <f t="shared" si="63"/>
        <v>6.8968863227786139</v>
      </c>
      <c r="M1164" s="2524">
        <f t="shared" si="64"/>
        <v>3.9650394341841317</v>
      </c>
      <c r="N1164" s="2524">
        <f t="shared" si="65"/>
        <v>2.9877571379859713</v>
      </c>
    </row>
    <row r="1165" spans="1:14" ht="15">
      <c r="A1165" s="2218"/>
      <c r="B1165" s="2251">
        <v>44560</v>
      </c>
      <c r="C1165">
        <v>21.065300000000001</v>
      </c>
      <c r="D1165" s="2522">
        <v>3.9333999999999998</v>
      </c>
      <c r="E1165" s="2523">
        <f t="shared" si="67"/>
        <v>20.496540945512795</v>
      </c>
      <c r="F1165" s="2261">
        <f t="shared" si="66"/>
        <v>24.033050394191257</v>
      </c>
      <c r="G1165" s="2524">
        <f t="shared" si="68"/>
        <v>27.569559842869719</v>
      </c>
      <c r="H1165" s="2524">
        <f t="shared" si="69"/>
        <v>16.960031496834333</v>
      </c>
      <c r="I1165" s="2524">
        <f t="shared" si="70"/>
        <v>13.423522048155872</v>
      </c>
      <c r="J1165" s="2525">
        <f t="shared" si="61"/>
        <v>4.9423217303822922</v>
      </c>
      <c r="K1165" s="2261">
        <f t="shared" si="62"/>
        <v>5.919604026580453</v>
      </c>
      <c r="L1165" s="2524">
        <f t="shared" si="63"/>
        <v>6.8968863227786139</v>
      </c>
      <c r="M1165" s="2524">
        <f t="shared" si="64"/>
        <v>3.9650394341841317</v>
      </c>
      <c r="N1165" s="2524">
        <f t="shared" si="65"/>
        <v>2.9877571379859713</v>
      </c>
    </row>
    <row r="1166" spans="1:14" ht="15">
      <c r="A1166" s="2218"/>
      <c r="B1166" s="2251">
        <v>44561</v>
      </c>
      <c r="C1166">
        <v>19.406600000000001</v>
      </c>
      <c r="D1166" s="2522">
        <v>3.9228999999999998</v>
      </c>
      <c r="E1166" s="2523">
        <f t="shared" si="67"/>
        <v>20.496540945512795</v>
      </c>
      <c r="F1166" s="2261">
        <f t="shared" si="66"/>
        <v>24.033050394191257</v>
      </c>
      <c r="G1166" s="2524">
        <f t="shared" si="68"/>
        <v>27.569559842869719</v>
      </c>
      <c r="H1166" s="2524">
        <f t="shared" si="69"/>
        <v>16.960031496834333</v>
      </c>
      <c r="I1166" s="2524">
        <f t="shared" si="70"/>
        <v>13.423522048155872</v>
      </c>
      <c r="J1166" s="2525">
        <f t="shared" si="61"/>
        <v>4.9423217303822922</v>
      </c>
      <c r="K1166" s="2261">
        <f t="shared" si="62"/>
        <v>5.919604026580453</v>
      </c>
      <c r="L1166" s="2524">
        <f t="shared" si="63"/>
        <v>6.8968863227786139</v>
      </c>
      <c r="M1166" s="2524">
        <f t="shared" si="64"/>
        <v>3.9650394341841317</v>
      </c>
      <c r="N1166" s="2524">
        <f t="shared" si="65"/>
        <v>2.9877571379859713</v>
      </c>
    </row>
    <row r="1167" spans="1:14" ht="15">
      <c r="A1167" s="2218"/>
      <c r="B1167" s="2251">
        <v>44565</v>
      </c>
      <c r="C1167">
        <v>19.510899999999999</v>
      </c>
      <c r="D1167" s="2522">
        <v>3.9597000000000002</v>
      </c>
      <c r="E1167" s="2523">
        <f t="shared" si="67"/>
        <v>20.496540945512795</v>
      </c>
      <c r="F1167" s="2261">
        <f t="shared" si="66"/>
        <v>24.033050394191257</v>
      </c>
      <c r="G1167" s="2524">
        <f t="shared" si="68"/>
        <v>27.569559842869719</v>
      </c>
      <c r="H1167" s="2524">
        <f t="shared" si="69"/>
        <v>16.960031496834333</v>
      </c>
      <c r="I1167" s="2524">
        <f t="shared" si="70"/>
        <v>13.423522048155872</v>
      </c>
      <c r="J1167" s="2525">
        <f t="shared" si="61"/>
        <v>4.9423217303822922</v>
      </c>
      <c r="K1167" s="2261">
        <f t="shared" si="62"/>
        <v>5.919604026580453</v>
      </c>
      <c r="L1167" s="2524">
        <f t="shared" si="63"/>
        <v>6.8968863227786139</v>
      </c>
      <c r="M1167" s="2524">
        <f t="shared" si="64"/>
        <v>3.9650394341841317</v>
      </c>
      <c r="N1167" s="2524">
        <f t="shared" si="65"/>
        <v>2.9877571379859713</v>
      </c>
    </row>
    <row r="1168" spans="1:14" ht="15">
      <c r="A1168" s="2218"/>
      <c r="B1168" s="2251">
        <v>44566</v>
      </c>
      <c r="C1168">
        <v>19.5318</v>
      </c>
      <c r="D1168" s="2522">
        <v>3.9597000000000002</v>
      </c>
      <c r="E1168" s="2523">
        <f t="shared" si="67"/>
        <v>20.496540945512795</v>
      </c>
      <c r="F1168" s="2261">
        <f t="shared" si="66"/>
        <v>24.033050394191257</v>
      </c>
      <c r="G1168" s="2524">
        <f t="shared" si="68"/>
        <v>27.569559842869719</v>
      </c>
      <c r="H1168" s="2524">
        <f t="shared" si="69"/>
        <v>16.960031496834333</v>
      </c>
      <c r="I1168" s="2524">
        <f t="shared" si="70"/>
        <v>13.423522048155872</v>
      </c>
      <c r="J1168" s="2525">
        <f t="shared" si="61"/>
        <v>4.9423217303822922</v>
      </c>
      <c r="K1168" s="2261">
        <f t="shared" si="62"/>
        <v>5.919604026580453</v>
      </c>
      <c r="L1168" s="2524">
        <f t="shared" si="63"/>
        <v>6.8968863227786139</v>
      </c>
      <c r="M1168" s="2524">
        <f t="shared" si="64"/>
        <v>3.9650394341841317</v>
      </c>
      <c r="N1168" s="2524">
        <f t="shared" si="65"/>
        <v>2.9877571379859713</v>
      </c>
    </row>
    <row r="1169" spans="1:14" ht="15">
      <c r="A1169" s="2218"/>
      <c r="B1169" s="2251">
        <v>44567</v>
      </c>
      <c r="C1169">
        <v>19.510899999999999</v>
      </c>
      <c r="D1169" s="2522">
        <v>3.9439000000000002</v>
      </c>
      <c r="E1169" s="2523">
        <f t="shared" si="67"/>
        <v>20.496540945512795</v>
      </c>
      <c r="F1169" s="2261">
        <f t="shared" si="66"/>
        <v>24.033050394191257</v>
      </c>
      <c r="G1169" s="2524">
        <f t="shared" si="68"/>
        <v>27.569559842869719</v>
      </c>
      <c r="H1169" s="2524">
        <f t="shared" si="69"/>
        <v>16.960031496834333</v>
      </c>
      <c r="I1169" s="2524">
        <f t="shared" si="70"/>
        <v>13.423522048155872</v>
      </c>
      <c r="J1169" s="2525">
        <f t="shared" si="61"/>
        <v>4.9423217303822922</v>
      </c>
      <c r="K1169" s="2261">
        <f t="shared" si="62"/>
        <v>5.919604026580453</v>
      </c>
      <c r="L1169" s="2524">
        <f t="shared" si="63"/>
        <v>6.8968863227786139</v>
      </c>
      <c r="M1169" s="2524">
        <f t="shared" si="64"/>
        <v>3.9650394341841317</v>
      </c>
      <c r="N1169" s="2524">
        <f t="shared" si="65"/>
        <v>2.9877571379859713</v>
      </c>
    </row>
    <row r="1170" spans="1:14" ht="15">
      <c r="A1170" s="2218"/>
      <c r="B1170" s="2251">
        <v>44568</v>
      </c>
      <c r="C1170">
        <v>19.489999999999998</v>
      </c>
      <c r="D1170" s="2522">
        <v>3.9597000000000002</v>
      </c>
      <c r="E1170" s="2523">
        <f t="shared" si="67"/>
        <v>20.496540945512795</v>
      </c>
      <c r="F1170" s="2261">
        <f t="shared" si="66"/>
        <v>24.033050394191257</v>
      </c>
      <c r="G1170" s="2524">
        <f t="shared" si="68"/>
        <v>27.569559842869719</v>
      </c>
      <c r="H1170" s="2524">
        <f t="shared" si="69"/>
        <v>16.960031496834333</v>
      </c>
      <c r="I1170" s="2524">
        <f t="shared" si="70"/>
        <v>13.423522048155872</v>
      </c>
      <c r="J1170" s="2525">
        <f t="shared" si="61"/>
        <v>4.9423217303822922</v>
      </c>
      <c r="K1170" s="2261">
        <f t="shared" si="62"/>
        <v>5.919604026580453</v>
      </c>
      <c r="L1170" s="2524">
        <f t="shared" si="63"/>
        <v>6.8968863227786139</v>
      </c>
      <c r="M1170" s="2524">
        <f t="shared" si="64"/>
        <v>3.9650394341841317</v>
      </c>
      <c r="N1170" s="2524">
        <f t="shared" si="65"/>
        <v>2.9877571379859713</v>
      </c>
    </row>
    <row r="1171" spans="1:14" ht="15">
      <c r="A1171" s="2218"/>
      <c r="B1171" s="2251">
        <v>44571</v>
      </c>
      <c r="C1171">
        <v>19.197900000000001</v>
      </c>
      <c r="D1171" s="2522">
        <v>3.9860000000000002</v>
      </c>
      <c r="E1171" s="2523">
        <f t="shared" si="67"/>
        <v>20.496540945512795</v>
      </c>
      <c r="F1171" s="2261">
        <f t="shared" si="66"/>
        <v>24.033050394191257</v>
      </c>
      <c r="G1171" s="2524">
        <f t="shared" si="68"/>
        <v>27.569559842869719</v>
      </c>
      <c r="H1171" s="2524">
        <f t="shared" si="69"/>
        <v>16.960031496834333</v>
      </c>
      <c r="I1171" s="2524">
        <f t="shared" si="70"/>
        <v>13.423522048155872</v>
      </c>
      <c r="J1171" s="2525">
        <f t="shared" si="61"/>
        <v>4.9423217303822922</v>
      </c>
      <c r="K1171" s="2261">
        <f t="shared" si="62"/>
        <v>5.919604026580453</v>
      </c>
      <c r="L1171" s="2524">
        <f t="shared" si="63"/>
        <v>6.8968863227786139</v>
      </c>
      <c r="M1171" s="2524">
        <f t="shared" si="64"/>
        <v>3.9650394341841317</v>
      </c>
      <c r="N1171" s="2524">
        <f t="shared" si="65"/>
        <v>2.9877571379859713</v>
      </c>
    </row>
    <row r="1172" spans="1:14" ht="15">
      <c r="A1172" s="2218"/>
      <c r="B1172" s="2251">
        <v>44572</v>
      </c>
      <c r="C1172">
        <v>18.676200000000001</v>
      </c>
      <c r="D1172" s="2522">
        <v>4.1174999999999997</v>
      </c>
      <c r="E1172" s="2523">
        <f t="shared" si="67"/>
        <v>20.496540945512795</v>
      </c>
      <c r="F1172" s="2261">
        <f t="shared" si="66"/>
        <v>24.033050394191257</v>
      </c>
      <c r="G1172" s="2524">
        <f t="shared" si="68"/>
        <v>27.569559842869719</v>
      </c>
      <c r="H1172" s="2524">
        <f t="shared" si="69"/>
        <v>16.960031496834333</v>
      </c>
      <c r="I1172" s="2524">
        <f t="shared" si="70"/>
        <v>13.423522048155872</v>
      </c>
      <c r="J1172" s="2525">
        <f t="shared" si="61"/>
        <v>4.9423217303822922</v>
      </c>
      <c r="K1172" s="2261">
        <f t="shared" si="62"/>
        <v>5.919604026580453</v>
      </c>
      <c r="L1172" s="2524">
        <f t="shared" si="63"/>
        <v>6.8968863227786139</v>
      </c>
      <c r="M1172" s="2524">
        <f t="shared" si="64"/>
        <v>3.9650394341841317</v>
      </c>
      <c r="N1172" s="2524">
        <f t="shared" si="65"/>
        <v>2.9877571379859713</v>
      </c>
    </row>
    <row r="1173" spans="1:14" ht="15">
      <c r="A1173" s="2218"/>
      <c r="B1173" s="2251">
        <v>44573</v>
      </c>
      <c r="C1173">
        <v>18.697099999999999</v>
      </c>
      <c r="D1173" s="2522">
        <v>4.1543000000000001</v>
      </c>
      <c r="E1173" s="2523">
        <f t="shared" si="67"/>
        <v>20.496540945512795</v>
      </c>
      <c r="F1173" s="2261">
        <f t="shared" si="66"/>
        <v>24.033050394191257</v>
      </c>
      <c r="G1173" s="2524">
        <f t="shared" si="68"/>
        <v>27.569559842869719</v>
      </c>
      <c r="H1173" s="2524">
        <f t="shared" si="69"/>
        <v>16.960031496834333</v>
      </c>
      <c r="I1173" s="2524">
        <f t="shared" si="70"/>
        <v>13.423522048155872</v>
      </c>
      <c r="J1173" s="2525">
        <f t="shared" si="61"/>
        <v>4.9423217303822922</v>
      </c>
      <c r="K1173" s="2261">
        <f t="shared" si="62"/>
        <v>5.919604026580453</v>
      </c>
      <c r="L1173" s="2524">
        <f t="shared" si="63"/>
        <v>6.8968863227786139</v>
      </c>
      <c r="M1173" s="2524">
        <f t="shared" si="64"/>
        <v>3.9650394341841317</v>
      </c>
      <c r="N1173" s="2524">
        <f t="shared" si="65"/>
        <v>2.9877571379859713</v>
      </c>
    </row>
    <row r="1174" spans="1:14" ht="15">
      <c r="A1174" s="2218"/>
      <c r="B1174" s="2251">
        <v>44574</v>
      </c>
      <c r="C1174">
        <v>19.218800000000002</v>
      </c>
      <c r="D1174" s="2522">
        <v>4.1384999999999996</v>
      </c>
      <c r="E1174" s="2523">
        <f t="shared" si="67"/>
        <v>20.496540945512795</v>
      </c>
      <c r="F1174" s="2261">
        <f t="shared" si="66"/>
        <v>24.033050394191257</v>
      </c>
      <c r="G1174" s="2524">
        <f t="shared" si="68"/>
        <v>27.569559842869719</v>
      </c>
      <c r="H1174" s="2524">
        <f t="shared" si="69"/>
        <v>16.960031496834333</v>
      </c>
      <c r="I1174" s="2524">
        <f t="shared" si="70"/>
        <v>13.423522048155872</v>
      </c>
      <c r="J1174" s="2525">
        <f t="shared" si="61"/>
        <v>4.9423217303822922</v>
      </c>
      <c r="K1174" s="2261">
        <f t="shared" si="62"/>
        <v>5.919604026580453</v>
      </c>
      <c r="L1174" s="2524">
        <f t="shared" si="63"/>
        <v>6.8968863227786139</v>
      </c>
      <c r="M1174" s="2524">
        <f t="shared" si="64"/>
        <v>3.9650394341841317</v>
      </c>
      <c r="N1174" s="2524">
        <f t="shared" si="65"/>
        <v>2.9877571379859713</v>
      </c>
    </row>
    <row r="1175" spans="1:14" ht="15">
      <c r="A1175" s="2218"/>
      <c r="B1175" s="2251">
        <v>44575</v>
      </c>
      <c r="C1175">
        <v>19.0518</v>
      </c>
      <c r="D1175" s="2522">
        <v>4.1280000000000001</v>
      </c>
      <c r="E1175" s="2523">
        <f t="shared" si="67"/>
        <v>20.496540945512795</v>
      </c>
      <c r="F1175" s="2261">
        <f t="shared" si="66"/>
        <v>24.033050394191257</v>
      </c>
      <c r="G1175" s="2524">
        <f t="shared" si="68"/>
        <v>27.569559842869719</v>
      </c>
      <c r="H1175" s="2524">
        <f t="shared" si="69"/>
        <v>16.960031496834333</v>
      </c>
      <c r="I1175" s="2524">
        <f t="shared" si="70"/>
        <v>13.423522048155872</v>
      </c>
      <c r="J1175" s="2525">
        <f t="shared" si="61"/>
        <v>4.9423217303822922</v>
      </c>
      <c r="K1175" s="2261">
        <f t="shared" si="62"/>
        <v>5.919604026580453</v>
      </c>
      <c r="L1175" s="2524">
        <f t="shared" si="63"/>
        <v>6.8968863227786139</v>
      </c>
      <c r="M1175" s="2524">
        <f t="shared" si="64"/>
        <v>3.9650394341841317</v>
      </c>
      <c r="N1175" s="2524">
        <f t="shared" si="65"/>
        <v>2.9877571379859713</v>
      </c>
    </row>
    <row r="1176" spans="1:14" ht="15">
      <c r="A1176" s="2218"/>
      <c r="B1176" s="2251">
        <v>44578</v>
      </c>
      <c r="C1176">
        <v>18.571899999999999</v>
      </c>
      <c r="D1176" s="2522">
        <v>4.2225999999999999</v>
      </c>
      <c r="E1176" s="2523">
        <f t="shared" si="67"/>
        <v>20.496540945512795</v>
      </c>
      <c r="F1176" s="2261">
        <f t="shared" si="66"/>
        <v>24.033050394191257</v>
      </c>
      <c r="G1176" s="2524">
        <f t="shared" si="68"/>
        <v>27.569559842869719</v>
      </c>
      <c r="H1176" s="2524">
        <f t="shared" si="69"/>
        <v>16.960031496834333</v>
      </c>
      <c r="I1176" s="2524">
        <f t="shared" si="70"/>
        <v>13.423522048155872</v>
      </c>
      <c r="J1176" s="2525">
        <f t="shared" si="61"/>
        <v>4.9423217303822922</v>
      </c>
      <c r="K1176" s="2261">
        <f t="shared" si="62"/>
        <v>5.919604026580453</v>
      </c>
      <c r="L1176" s="2524">
        <f t="shared" si="63"/>
        <v>6.8968863227786139</v>
      </c>
      <c r="M1176" s="2524">
        <f t="shared" si="64"/>
        <v>3.9650394341841317</v>
      </c>
      <c r="N1176" s="2524">
        <f t="shared" si="65"/>
        <v>2.9877571379859713</v>
      </c>
    </row>
    <row r="1177" spans="1:14" ht="15">
      <c r="A1177" s="2218"/>
      <c r="B1177" s="2251">
        <v>44579</v>
      </c>
      <c r="C1177">
        <v>18.3841</v>
      </c>
      <c r="D1177" s="2522">
        <v>4.2594000000000003</v>
      </c>
      <c r="E1177" s="2523">
        <f t="shared" si="67"/>
        <v>20.496540945512795</v>
      </c>
      <c r="F1177" s="2261">
        <f t="shared" si="66"/>
        <v>24.033050394191257</v>
      </c>
      <c r="G1177" s="2524">
        <f t="shared" si="68"/>
        <v>27.569559842869719</v>
      </c>
      <c r="H1177" s="2524">
        <f t="shared" si="69"/>
        <v>16.960031496834333</v>
      </c>
      <c r="I1177" s="2524">
        <f t="shared" si="70"/>
        <v>13.423522048155872</v>
      </c>
      <c r="J1177" s="2525">
        <f t="shared" si="61"/>
        <v>4.9423217303822922</v>
      </c>
      <c r="K1177" s="2261">
        <f t="shared" si="62"/>
        <v>5.919604026580453</v>
      </c>
      <c r="L1177" s="2524">
        <f t="shared" si="63"/>
        <v>6.8968863227786139</v>
      </c>
      <c r="M1177" s="2524">
        <f t="shared" si="64"/>
        <v>3.9650394341841317</v>
      </c>
      <c r="N1177" s="2524">
        <f t="shared" si="65"/>
        <v>2.9877571379859713</v>
      </c>
    </row>
    <row r="1178" spans="1:14" ht="15">
      <c r="A1178" s="2218"/>
      <c r="B1178" s="2251">
        <v>44580</v>
      </c>
      <c r="C1178">
        <v>18.425799999999999</v>
      </c>
      <c r="D1178" s="2522">
        <v>4.2594000000000003</v>
      </c>
      <c r="E1178" s="2523">
        <f t="shared" si="67"/>
        <v>20.496540945512795</v>
      </c>
      <c r="F1178" s="2261">
        <f t="shared" si="66"/>
        <v>24.033050394191257</v>
      </c>
      <c r="G1178" s="2524">
        <f t="shared" si="68"/>
        <v>27.569559842869719</v>
      </c>
      <c r="H1178" s="2524">
        <f t="shared" si="69"/>
        <v>16.960031496834333</v>
      </c>
      <c r="I1178" s="2524">
        <f t="shared" si="70"/>
        <v>13.423522048155872</v>
      </c>
      <c r="J1178" s="2525">
        <f t="shared" si="61"/>
        <v>4.9423217303822922</v>
      </c>
      <c r="K1178" s="2261">
        <f t="shared" si="62"/>
        <v>5.919604026580453</v>
      </c>
      <c r="L1178" s="2524">
        <f t="shared" si="63"/>
        <v>6.8968863227786139</v>
      </c>
      <c r="M1178" s="2524">
        <f t="shared" si="64"/>
        <v>3.9650394341841317</v>
      </c>
      <c r="N1178" s="2524">
        <f t="shared" si="65"/>
        <v>2.9877571379859713</v>
      </c>
    </row>
    <row r="1179" spans="1:14" ht="15">
      <c r="A1179" s="2218"/>
      <c r="B1179" s="2251">
        <v>44581</v>
      </c>
      <c r="C1179">
        <v>18.530100000000001</v>
      </c>
      <c r="D1179" s="2522">
        <v>4.2751999999999999</v>
      </c>
      <c r="E1179" s="2523">
        <f t="shared" si="67"/>
        <v>20.496540945512795</v>
      </c>
      <c r="F1179" s="2261">
        <f t="shared" si="66"/>
        <v>24.033050394191257</v>
      </c>
      <c r="G1179" s="2524">
        <f t="shared" si="68"/>
        <v>27.569559842869719</v>
      </c>
      <c r="H1179" s="2524">
        <f t="shared" si="69"/>
        <v>16.960031496834333</v>
      </c>
      <c r="I1179" s="2524">
        <f t="shared" si="70"/>
        <v>13.423522048155872</v>
      </c>
      <c r="J1179" s="2525">
        <f t="shared" si="61"/>
        <v>4.9423217303822922</v>
      </c>
      <c r="K1179" s="2261">
        <f t="shared" si="62"/>
        <v>5.919604026580453</v>
      </c>
      <c r="L1179" s="2524">
        <f t="shared" si="63"/>
        <v>6.8968863227786139</v>
      </c>
      <c r="M1179" s="2524">
        <f t="shared" si="64"/>
        <v>3.9650394341841317</v>
      </c>
      <c r="N1179" s="2524">
        <f t="shared" si="65"/>
        <v>2.9877571379859713</v>
      </c>
    </row>
    <row r="1180" spans="1:14" ht="15">
      <c r="A1180" s="2218"/>
      <c r="B1180" s="2251">
        <v>44582</v>
      </c>
      <c r="C1180">
        <v>18.404900000000001</v>
      </c>
      <c r="D1180" s="2522">
        <v>4.3487999999999998</v>
      </c>
      <c r="E1180" s="2523">
        <f t="shared" si="67"/>
        <v>20.496540945512795</v>
      </c>
      <c r="F1180" s="2261">
        <f t="shared" si="66"/>
        <v>24.033050394191257</v>
      </c>
      <c r="G1180" s="2524">
        <f t="shared" si="68"/>
        <v>27.569559842869719</v>
      </c>
      <c r="H1180" s="2524">
        <f t="shared" si="69"/>
        <v>16.960031496834333</v>
      </c>
      <c r="I1180" s="2524">
        <f t="shared" si="70"/>
        <v>13.423522048155872</v>
      </c>
      <c r="J1180" s="2525">
        <f t="shared" si="61"/>
        <v>4.9423217303822922</v>
      </c>
      <c r="K1180" s="2261">
        <f t="shared" si="62"/>
        <v>5.919604026580453</v>
      </c>
      <c r="L1180" s="2524">
        <f t="shared" si="63"/>
        <v>6.8968863227786139</v>
      </c>
      <c r="M1180" s="2524">
        <f t="shared" si="64"/>
        <v>3.9650394341841317</v>
      </c>
      <c r="N1180" s="2524">
        <f t="shared" si="65"/>
        <v>2.9877571379859713</v>
      </c>
    </row>
    <row r="1181" spans="1:14" ht="15">
      <c r="A1181" s="2218"/>
      <c r="B1181" s="2251">
        <v>44585</v>
      </c>
      <c r="C1181">
        <v>17.799800000000001</v>
      </c>
      <c r="D1181" s="2522">
        <v>4.4013999999999998</v>
      </c>
      <c r="E1181" s="2523">
        <f t="shared" si="67"/>
        <v>20.496540945512795</v>
      </c>
      <c r="F1181" s="2261">
        <f t="shared" si="66"/>
        <v>24.033050394191257</v>
      </c>
      <c r="G1181" s="2524">
        <f t="shared" si="68"/>
        <v>27.569559842869719</v>
      </c>
      <c r="H1181" s="2524">
        <f t="shared" si="69"/>
        <v>16.960031496834333</v>
      </c>
      <c r="I1181" s="2524">
        <f t="shared" si="70"/>
        <v>13.423522048155872</v>
      </c>
      <c r="J1181" s="2525">
        <f t="shared" si="61"/>
        <v>4.9423217303822922</v>
      </c>
      <c r="K1181" s="2261">
        <f t="shared" si="62"/>
        <v>5.919604026580453</v>
      </c>
      <c r="L1181" s="2524">
        <f t="shared" si="63"/>
        <v>6.8968863227786139</v>
      </c>
      <c r="M1181" s="2524">
        <f t="shared" si="64"/>
        <v>3.9650394341841317</v>
      </c>
      <c r="N1181" s="2524">
        <f t="shared" si="65"/>
        <v>2.9877571379859713</v>
      </c>
    </row>
    <row r="1182" spans="1:14" ht="15">
      <c r="A1182" s="2218"/>
      <c r="B1182" s="2251">
        <v>44586</v>
      </c>
      <c r="C1182">
        <v>18.0502</v>
      </c>
      <c r="D1182" s="2522">
        <v>4.4382000000000001</v>
      </c>
      <c r="E1182" s="2523">
        <f t="shared" si="67"/>
        <v>20.496540945512795</v>
      </c>
      <c r="F1182" s="2261">
        <f t="shared" si="66"/>
        <v>24.033050394191257</v>
      </c>
      <c r="G1182" s="2524">
        <f t="shared" si="68"/>
        <v>27.569559842869719</v>
      </c>
      <c r="H1182" s="2524">
        <f t="shared" si="69"/>
        <v>16.960031496834333</v>
      </c>
      <c r="I1182" s="2524">
        <f t="shared" si="70"/>
        <v>13.423522048155872</v>
      </c>
      <c r="J1182" s="2525">
        <f t="shared" si="61"/>
        <v>4.9423217303822922</v>
      </c>
      <c r="K1182" s="2261">
        <f t="shared" si="62"/>
        <v>5.919604026580453</v>
      </c>
      <c r="L1182" s="2524">
        <f t="shared" si="63"/>
        <v>6.8968863227786139</v>
      </c>
      <c r="M1182" s="2524">
        <f t="shared" si="64"/>
        <v>3.9650394341841317</v>
      </c>
      <c r="N1182" s="2524">
        <f t="shared" si="65"/>
        <v>2.9877571379859713</v>
      </c>
    </row>
    <row r="1183" spans="1:14" ht="15">
      <c r="A1183" s="2218"/>
      <c r="B1183" s="2251">
        <v>44587</v>
      </c>
      <c r="C1183">
        <v>17.945900000000002</v>
      </c>
      <c r="D1183" s="2522">
        <v>4.5012999999999996</v>
      </c>
      <c r="E1183" s="2523">
        <f t="shared" si="67"/>
        <v>20.496540945512795</v>
      </c>
      <c r="F1183" s="2261">
        <f t="shared" si="66"/>
        <v>24.033050394191257</v>
      </c>
      <c r="G1183" s="2524">
        <f t="shared" si="68"/>
        <v>27.569559842869719</v>
      </c>
      <c r="H1183" s="2524">
        <f t="shared" si="69"/>
        <v>16.960031496834333</v>
      </c>
      <c r="I1183" s="2524">
        <f t="shared" si="70"/>
        <v>13.423522048155872</v>
      </c>
      <c r="J1183" s="2525">
        <f t="shared" si="61"/>
        <v>4.9423217303822922</v>
      </c>
      <c r="K1183" s="2261">
        <f t="shared" si="62"/>
        <v>5.919604026580453</v>
      </c>
      <c r="L1183" s="2524">
        <f t="shared" si="63"/>
        <v>6.8968863227786139</v>
      </c>
      <c r="M1183" s="2524">
        <f t="shared" si="64"/>
        <v>3.9650394341841317</v>
      </c>
      <c r="N1183" s="2524">
        <f t="shared" si="65"/>
        <v>2.9877571379859713</v>
      </c>
    </row>
    <row r="1184" spans="1:14" ht="15">
      <c r="A1184" s="2218"/>
      <c r="B1184" s="2251">
        <v>44588</v>
      </c>
      <c r="C1184">
        <v>17.925000000000001</v>
      </c>
      <c r="D1184" s="2522">
        <v>4.4435000000000002</v>
      </c>
      <c r="E1184" s="2523">
        <f t="shared" si="67"/>
        <v>20.496540945512795</v>
      </c>
      <c r="F1184" s="2261">
        <f t="shared" si="66"/>
        <v>24.033050394191257</v>
      </c>
      <c r="G1184" s="2524">
        <f t="shared" si="68"/>
        <v>27.569559842869719</v>
      </c>
      <c r="H1184" s="2524">
        <f t="shared" si="69"/>
        <v>16.960031496834333</v>
      </c>
      <c r="I1184" s="2524">
        <f t="shared" si="70"/>
        <v>13.423522048155872</v>
      </c>
      <c r="J1184" s="2525">
        <f t="shared" si="61"/>
        <v>4.9423217303822922</v>
      </c>
      <c r="K1184" s="2261">
        <f t="shared" si="62"/>
        <v>5.919604026580453</v>
      </c>
      <c r="L1184" s="2524">
        <f t="shared" si="63"/>
        <v>6.8968863227786139</v>
      </c>
      <c r="M1184" s="2524">
        <f t="shared" si="64"/>
        <v>3.9650394341841317</v>
      </c>
      <c r="N1184" s="2524">
        <f t="shared" si="65"/>
        <v>2.9877571379859713</v>
      </c>
    </row>
    <row r="1185" spans="1:14" ht="15">
      <c r="A1185" s="2218"/>
      <c r="B1185" s="2251">
        <v>44589</v>
      </c>
      <c r="C1185">
        <v>18.676200000000001</v>
      </c>
      <c r="D1185" s="2522">
        <v>4.3909000000000002</v>
      </c>
      <c r="E1185" s="2523">
        <f t="shared" si="67"/>
        <v>20.496540945512795</v>
      </c>
      <c r="F1185" s="2261">
        <f t="shared" si="66"/>
        <v>24.033050394191257</v>
      </c>
      <c r="G1185" s="2524">
        <f t="shared" si="68"/>
        <v>27.569559842869719</v>
      </c>
      <c r="H1185" s="2524">
        <f t="shared" si="69"/>
        <v>16.960031496834333</v>
      </c>
      <c r="I1185" s="2524">
        <f t="shared" si="70"/>
        <v>13.423522048155872</v>
      </c>
      <c r="J1185" s="2525">
        <f t="shared" si="61"/>
        <v>4.9423217303822922</v>
      </c>
      <c r="K1185" s="2261">
        <f t="shared" si="62"/>
        <v>5.919604026580453</v>
      </c>
      <c r="L1185" s="2524">
        <f t="shared" si="63"/>
        <v>6.8968863227786139</v>
      </c>
      <c r="M1185" s="2524">
        <f t="shared" si="64"/>
        <v>3.9650394341841317</v>
      </c>
      <c r="N1185" s="2524">
        <f t="shared" si="65"/>
        <v>2.9877571379859713</v>
      </c>
    </row>
    <row r="1186" spans="1:14" ht="15">
      <c r="A1186" s="2218"/>
      <c r="B1186" s="2251">
        <v>44599</v>
      </c>
      <c r="C1186">
        <v>18.676200000000001</v>
      </c>
      <c r="D1186" s="2522">
        <v>4.4013999999999998</v>
      </c>
      <c r="E1186" s="2523">
        <f t="shared" si="67"/>
        <v>20.496540945512795</v>
      </c>
      <c r="F1186" s="2261">
        <f t="shared" si="66"/>
        <v>24.033050394191257</v>
      </c>
      <c r="G1186" s="2524">
        <f t="shared" si="68"/>
        <v>27.569559842869719</v>
      </c>
      <c r="H1186" s="2524">
        <f t="shared" si="69"/>
        <v>16.960031496834333</v>
      </c>
      <c r="I1186" s="2524">
        <f t="shared" si="70"/>
        <v>13.423522048155872</v>
      </c>
      <c r="J1186" s="2525">
        <f t="shared" si="61"/>
        <v>4.9423217303822922</v>
      </c>
      <c r="K1186" s="2261">
        <f t="shared" si="62"/>
        <v>5.919604026580453</v>
      </c>
      <c r="L1186" s="2524">
        <f t="shared" si="63"/>
        <v>6.8968863227786139</v>
      </c>
      <c r="M1186" s="2524">
        <f t="shared" si="64"/>
        <v>3.9650394341841317</v>
      </c>
      <c r="N1186" s="2524">
        <f t="shared" si="65"/>
        <v>2.9877571379859713</v>
      </c>
    </row>
    <row r="1187" spans="1:14" ht="15">
      <c r="A1187" s="2218"/>
      <c r="B1187" s="2251">
        <v>44600</v>
      </c>
      <c r="C1187">
        <v>18.905799999999999</v>
      </c>
      <c r="D1187" s="2522">
        <v>4.3803999999999998</v>
      </c>
      <c r="E1187" s="2523">
        <f t="shared" si="67"/>
        <v>20.496540945512795</v>
      </c>
      <c r="F1187" s="2261">
        <f t="shared" si="66"/>
        <v>24.033050394191257</v>
      </c>
      <c r="G1187" s="2524">
        <f t="shared" si="68"/>
        <v>27.569559842869719</v>
      </c>
      <c r="H1187" s="2524">
        <f t="shared" si="69"/>
        <v>16.960031496834333</v>
      </c>
      <c r="I1187" s="2524">
        <f t="shared" si="70"/>
        <v>13.423522048155872</v>
      </c>
      <c r="J1187" s="2525">
        <f t="shared" si="61"/>
        <v>4.9423217303822922</v>
      </c>
      <c r="K1187" s="2261">
        <f t="shared" si="62"/>
        <v>5.919604026580453</v>
      </c>
      <c r="L1187" s="2524">
        <f t="shared" si="63"/>
        <v>6.8968863227786139</v>
      </c>
      <c r="M1187" s="2524">
        <f t="shared" si="64"/>
        <v>3.9650394341841317</v>
      </c>
      <c r="N1187" s="2524">
        <f t="shared" si="65"/>
        <v>2.9877571379859713</v>
      </c>
    </row>
    <row r="1188" spans="1:14" ht="15">
      <c r="A1188" s="2218"/>
      <c r="B1188" s="2251">
        <v>44601</v>
      </c>
      <c r="C1188">
        <v>18.926600000000001</v>
      </c>
      <c r="D1188" s="2522">
        <v>4.4435000000000002</v>
      </c>
      <c r="E1188" s="2523">
        <f t="shared" si="67"/>
        <v>20.496540945512795</v>
      </c>
      <c r="F1188" s="2261">
        <f t="shared" si="66"/>
        <v>24.033050394191257</v>
      </c>
      <c r="G1188" s="2524">
        <f t="shared" si="68"/>
        <v>27.569559842869719</v>
      </c>
      <c r="H1188" s="2524">
        <f t="shared" si="69"/>
        <v>16.960031496834333</v>
      </c>
      <c r="I1188" s="2524">
        <f t="shared" si="70"/>
        <v>13.423522048155872</v>
      </c>
      <c r="J1188" s="2525">
        <f t="shared" si="61"/>
        <v>4.9423217303822922</v>
      </c>
      <c r="K1188" s="2261">
        <f t="shared" si="62"/>
        <v>5.919604026580453</v>
      </c>
      <c r="L1188" s="2524">
        <f t="shared" si="63"/>
        <v>6.8968863227786139</v>
      </c>
      <c r="M1188" s="2524">
        <f t="shared" si="64"/>
        <v>3.9650394341841317</v>
      </c>
      <c r="N1188" s="2524">
        <f t="shared" si="65"/>
        <v>2.9877571379859713</v>
      </c>
    </row>
    <row r="1189" spans="1:14" ht="15">
      <c r="A1189" s="2218"/>
      <c r="B1189" s="2251">
        <v>44602</v>
      </c>
      <c r="C1189">
        <v>19.197900000000001</v>
      </c>
      <c r="D1189" s="2522">
        <v>4.4276999999999997</v>
      </c>
      <c r="E1189" s="2523">
        <f t="shared" si="67"/>
        <v>20.496540945512795</v>
      </c>
      <c r="F1189" s="2261">
        <f t="shared" si="66"/>
        <v>24.033050394191257</v>
      </c>
      <c r="G1189" s="2524">
        <f t="shared" si="68"/>
        <v>27.569559842869719</v>
      </c>
      <c r="H1189" s="2524">
        <f t="shared" si="69"/>
        <v>16.960031496834333</v>
      </c>
      <c r="I1189" s="2524">
        <f t="shared" si="70"/>
        <v>13.423522048155872</v>
      </c>
      <c r="J1189" s="2525">
        <f t="shared" si="61"/>
        <v>4.9423217303822922</v>
      </c>
      <c r="K1189" s="2261">
        <f t="shared" si="62"/>
        <v>5.919604026580453</v>
      </c>
      <c r="L1189" s="2524">
        <f t="shared" si="63"/>
        <v>6.8968863227786139</v>
      </c>
      <c r="M1189" s="2524">
        <f t="shared" si="64"/>
        <v>3.9650394341841317</v>
      </c>
      <c r="N1189" s="2524">
        <f t="shared" si="65"/>
        <v>2.9877571379859713</v>
      </c>
    </row>
    <row r="1190" spans="1:14" ht="15">
      <c r="A1190" s="2218"/>
      <c r="B1190" s="2251">
        <v>44603</v>
      </c>
      <c r="C1190">
        <v>19.1144</v>
      </c>
      <c r="D1190" s="2522">
        <v>4.3699000000000003</v>
      </c>
      <c r="E1190" s="2523">
        <f t="shared" si="67"/>
        <v>20.496540945512795</v>
      </c>
      <c r="F1190" s="2261">
        <f t="shared" si="66"/>
        <v>24.033050394191257</v>
      </c>
      <c r="G1190" s="2524">
        <f t="shared" si="68"/>
        <v>27.569559842869719</v>
      </c>
      <c r="H1190" s="2524">
        <f t="shared" si="69"/>
        <v>16.960031496834333</v>
      </c>
      <c r="I1190" s="2524">
        <f t="shared" si="70"/>
        <v>13.423522048155872</v>
      </c>
      <c r="J1190" s="2525">
        <f t="shared" si="61"/>
        <v>4.9423217303822922</v>
      </c>
      <c r="K1190" s="2261">
        <f t="shared" si="62"/>
        <v>5.919604026580453</v>
      </c>
      <c r="L1190" s="2524">
        <f t="shared" si="63"/>
        <v>6.8968863227786139</v>
      </c>
      <c r="M1190" s="2524">
        <f t="shared" si="64"/>
        <v>3.9650394341841317</v>
      </c>
      <c r="N1190" s="2524">
        <f t="shared" si="65"/>
        <v>2.9877571379859713</v>
      </c>
    </row>
    <row r="1191" spans="1:14" ht="15">
      <c r="A1191" s="2218"/>
      <c r="B1191" s="2251">
        <v>44606</v>
      </c>
      <c r="C1191">
        <v>18.9892</v>
      </c>
      <c r="D1191" s="2522">
        <v>4.3226000000000004</v>
      </c>
      <c r="E1191" s="2523">
        <f t="shared" si="67"/>
        <v>20.496540945512795</v>
      </c>
      <c r="F1191" s="2261">
        <f t="shared" si="66"/>
        <v>24.033050394191257</v>
      </c>
      <c r="G1191" s="2524">
        <f t="shared" si="68"/>
        <v>27.569559842869719</v>
      </c>
      <c r="H1191" s="2524">
        <f t="shared" si="69"/>
        <v>16.960031496834333</v>
      </c>
      <c r="I1191" s="2524">
        <f t="shared" si="70"/>
        <v>13.423522048155872</v>
      </c>
      <c r="J1191" s="2525">
        <f t="shared" si="61"/>
        <v>4.9423217303822922</v>
      </c>
      <c r="K1191" s="2261">
        <f t="shared" si="62"/>
        <v>5.919604026580453</v>
      </c>
      <c r="L1191" s="2524">
        <f t="shared" si="63"/>
        <v>6.8968863227786139</v>
      </c>
      <c r="M1191" s="2524">
        <f t="shared" si="64"/>
        <v>3.9650394341841317</v>
      </c>
      <c r="N1191" s="2524">
        <f t="shared" si="65"/>
        <v>2.9877571379859713</v>
      </c>
    </row>
    <row r="1192" spans="1:14" ht="15">
      <c r="A1192" s="2218"/>
      <c r="B1192" s="2251">
        <v>44607</v>
      </c>
      <c r="C1192">
        <v>19.010100000000001</v>
      </c>
      <c r="D1192" s="2522">
        <v>4.3120000000000003</v>
      </c>
      <c r="E1192" s="2523">
        <f t="shared" si="67"/>
        <v>20.496540945512795</v>
      </c>
      <c r="F1192" s="2261">
        <f t="shared" si="66"/>
        <v>24.033050394191257</v>
      </c>
      <c r="G1192" s="2524">
        <f t="shared" si="68"/>
        <v>27.569559842869719</v>
      </c>
      <c r="H1192" s="2524">
        <f t="shared" si="69"/>
        <v>16.960031496834333</v>
      </c>
      <c r="I1192" s="2524">
        <f t="shared" si="70"/>
        <v>13.423522048155872</v>
      </c>
      <c r="J1192" s="2525">
        <f t="shared" si="61"/>
        <v>4.9423217303822922</v>
      </c>
      <c r="K1192" s="2261">
        <f t="shared" si="62"/>
        <v>5.919604026580453</v>
      </c>
      <c r="L1192" s="2524">
        <f t="shared" si="63"/>
        <v>6.8968863227786139</v>
      </c>
      <c r="M1192" s="2524">
        <f t="shared" si="64"/>
        <v>3.9650394341841317</v>
      </c>
      <c r="N1192" s="2524">
        <f t="shared" si="65"/>
        <v>2.9877571379859713</v>
      </c>
    </row>
    <row r="1193" spans="1:14" ht="15">
      <c r="A1193" s="2218"/>
      <c r="B1193" s="2251">
        <v>44608</v>
      </c>
      <c r="C1193">
        <v>19.0518</v>
      </c>
      <c r="D1193" s="2522">
        <v>4.3436000000000003</v>
      </c>
      <c r="E1193" s="2523">
        <f t="shared" si="67"/>
        <v>20.496540945512795</v>
      </c>
      <c r="F1193" s="2261">
        <f t="shared" si="66"/>
        <v>24.033050394191257</v>
      </c>
      <c r="G1193" s="2524">
        <f t="shared" si="68"/>
        <v>27.569559842869719</v>
      </c>
      <c r="H1193" s="2524">
        <f t="shared" si="69"/>
        <v>16.960031496834333</v>
      </c>
      <c r="I1193" s="2524">
        <f t="shared" si="70"/>
        <v>13.423522048155872</v>
      </c>
      <c r="J1193" s="2525">
        <f t="shared" ref="J1193:J1256" si="71">J$953</f>
        <v>4.9423217303822922</v>
      </c>
      <c r="K1193" s="2261">
        <f t="shared" ref="K1193:K1256" si="72">J$953+G$953</f>
        <v>5.919604026580453</v>
      </c>
      <c r="L1193" s="2524">
        <f t="shared" ref="L1193:L1256" si="73">J$953+G$953+G$953</f>
        <v>6.8968863227786139</v>
      </c>
      <c r="M1193" s="2524">
        <f t="shared" ref="M1193:M1256" si="74">J$953-G$953</f>
        <v>3.9650394341841317</v>
      </c>
      <c r="N1193" s="2524">
        <f t="shared" ref="N1193:N1256" si="75">J$953-G$953-G$953</f>
        <v>2.9877571379859713</v>
      </c>
    </row>
    <row r="1194" spans="1:14" ht="15">
      <c r="A1194" s="2218"/>
      <c r="B1194" s="2251">
        <v>44609</v>
      </c>
      <c r="C1194">
        <v>19.364799999999999</v>
      </c>
      <c r="D1194" s="2522">
        <v>4.4172000000000002</v>
      </c>
      <c r="E1194" s="2523">
        <f t="shared" si="67"/>
        <v>20.496540945512795</v>
      </c>
      <c r="F1194" s="2261">
        <f t="shared" si="66"/>
        <v>24.033050394191257</v>
      </c>
      <c r="G1194" s="2524">
        <f t="shared" si="68"/>
        <v>27.569559842869719</v>
      </c>
      <c r="H1194" s="2524">
        <f t="shared" si="69"/>
        <v>16.960031496834333</v>
      </c>
      <c r="I1194" s="2524">
        <f t="shared" si="70"/>
        <v>13.423522048155872</v>
      </c>
      <c r="J1194" s="2525">
        <f t="shared" si="71"/>
        <v>4.9423217303822922</v>
      </c>
      <c r="K1194" s="2261">
        <f t="shared" si="72"/>
        <v>5.919604026580453</v>
      </c>
      <c r="L1194" s="2524">
        <f t="shared" si="73"/>
        <v>6.8968863227786139</v>
      </c>
      <c r="M1194" s="2524">
        <f t="shared" si="74"/>
        <v>3.9650394341841317</v>
      </c>
      <c r="N1194" s="2524">
        <f t="shared" si="75"/>
        <v>2.9877571379859713</v>
      </c>
    </row>
    <row r="1195" spans="1:14" ht="15">
      <c r="A1195" s="2218"/>
      <c r="B1195" s="2251">
        <v>44610</v>
      </c>
      <c r="C1195">
        <v>19.239599999999999</v>
      </c>
      <c r="D1195" s="2522">
        <v>4.4751000000000003</v>
      </c>
      <c r="E1195" s="2523">
        <f t="shared" si="67"/>
        <v>20.496540945512795</v>
      </c>
      <c r="F1195" s="2261">
        <f t="shared" si="66"/>
        <v>24.033050394191257</v>
      </c>
      <c r="G1195" s="2524">
        <f t="shared" si="68"/>
        <v>27.569559842869719</v>
      </c>
      <c r="H1195" s="2524">
        <f t="shared" si="69"/>
        <v>16.960031496834333</v>
      </c>
      <c r="I1195" s="2524">
        <f t="shared" si="70"/>
        <v>13.423522048155872</v>
      </c>
      <c r="J1195" s="2525">
        <f t="shared" si="71"/>
        <v>4.9423217303822922</v>
      </c>
      <c r="K1195" s="2261">
        <f t="shared" si="72"/>
        <v>5.919604026580453</v>
      </c>
      <c r="L1195" s="2524">
        <f t="shared" si="73"/>
        <v>6.8968863227786139</v>
      </c>
      <c r="M1195" s="2524">
        <f t="shared" si="74"/>
        <v>3.9650394341841317</v>
      </c>
      <c r="N1195" s="2524">
        <f t="shared" si="75"/>
        <v>2.9877571379859713</v>
      </c>
    </row>
    <row r="1196" spans="1:14" ht="15">
      <c r="A1196" s="2218"/>
      <c r="B1196" s="2251">
        <v>44613</v>
      </c>
      <c r="C1196">
        <v>19.510899999999999</v>
      </c>
      <c r="D1196" s="2522">
        <v>4.5224000000000002</v>
      </c>
      <c r="E1196" s="2523">
        <f t="shared" si="67"/>
        <v>20.496540945512795</v>
      </c>
      <c r="F1196" s="2261">
        <f t="shared" si="66"/>
        <v>24.033050394191257</v>
      </c>
      <c r="G1196" s="2524">
        <f t="shared" si="68"/>
        <v>27.569559842869719</v>
      </c>
      <c r="H1196" s="2524">
        <f t="shared" si="69"/>
        <v>16.960031496834333</v>
      </c>
      <c r="I1196" s="2524">
        <f t="shared" si="70"/>
        <v>13.423522048155872</v>
      </c>
      <c r="J1196" s="2525">
        <f t="shared" si="71"/>
        <v>4.9423217303822922</v>
      </c>
      <c r="K1196" s="2261">
        <f t="shared" si="72"/>
        <v>5.919604026580453</v>
      </c>
      <c r="L1196" s="2524">
        <f t="shared" si="73"/>
        <v>6.8968863227786139</v>
      </c>
      <c r="M1196" s="2524">
        <f t="shared" si="74"/>
        <v>3.9650394341841317</v>
      </c>
      <c r="N1196" s="2524">
        <f t="shared" si="75"/>
        <v>2.9877571379859713</v>
      </c>
    </row>
    <row r="1197" spans="1:14" ht="15">
      <c r="A1197" s="2218"/>
      <c r="B1197" s="2251">
        <v>44614</v>
      </c>
      <c r="C1197">
        <v>19.3857</v>
      </c>
      <c r="D1197" s="2522">
        <v>4.4961000000000002</v>
      </c>
      <c r="E1197" s="2523">
        <f t="shared" si="67"/>
        <v>20.496540945512795</v>
      </c>
      <c r="F1197" s="2261">
        <f t="shared" si="66"/>
        <v>24.033050394191257</v>
      </c>
      <c r="G1197" s="2524">
        <f t="shared" si="68"/>
        <v>27.569559842869719</v>
      </c>
      <c r="H1197" s="2524">
        <f t="shared" si="69"/>
        <v>16.960031496834333</v>
      </c>
      <c r="I1197" s="2524">
        <f t="shared" si="70"/>
        <v>13.423522048155872</v>
      </c>
      <c r="J1197" s="2525">
        <f t="shared" si="71"/>
        <v>4.9423217303822922</v>
      </c>
      <c r="K1197" s="2261">
        <f t="shared" si="72"/>
        <v>5.919604026580453</v>
      </c>
      <c r="L1197" s="2524">
        <f t="shared" si="73"/>
        <v>6.8968863227786139</v>
      </c>
      <c r="M1197" s="2524">
        <f t="shared" si="74"/>
        <v>3.9650394341841317</v>
      </c>
      <c r="N1197" s="2524">
        <f t="shared" si="75"/>
        <v>2.9877571379859713</v>
      </c>
    </row>
    <row r="1198" spans="1:14" ht="15">
      <c r="A1198" s="2218"/>
      <c r="B1198" s="2251">
        <v>44615</v>
      </c>
      <c r="C1198">
        <v>19.406600000000001</v>
      </c>
      <c r="D1198" s="2522">
        <v>4.5171000000000001</v>
      </c>
      <c r="E1198" s="2523">
        <f t="shared" si="67"/>
        <v>20.496540945512795</v>
      </c>
      <c r="F1198" s="2261">
        <f t="shared" si="66"/>
        <v>24.033050394191257</v>
      </c>
      <c r="G1198" s="2524">
        <f t="shared" si="68"/>
        <v>27.569559842869719</v>
      </c>
      <c r="H1198" s="2524">
        <f t="shared" si="69"/>
        <v>16.960031496834333</v>
      </c>
      <c r="I1198" s="2524">
        <f t="shared" si="70"/>
        <v>13.423522048155872</v>
      </c>
      <c r="J1198" s="2525">
        <f t="shared" si="71"/>
        <v>4.9423217303822922</v>
      </c>
      <c r="K1198" s="2261">
        <f t="shared" si="72"/>
        <v>5.919604026580453</v>
      </c>
      <c r="L1198" s="2524">
        <f t="shared" si="73"/>
        <v>6.8968863227786139</v>
      </c>
      <c r="M1198" s="2524">
        <f t="shared" si="74"/>
        <v>3.9650394341841317</v>
      </c>
      <c r="N1198" s="2524">
        <f t="shared" si="75"/>
        <v>2.9877571379859713</v>
      </c>
    </row>
    <row r="1199" spans="1:14" ht="15">
      <c r="A1199" s="2218"/>
      <c r="B1199" s="2251">
        <v>44616</v>
      </c>
      <c r="C1199">
        <v>19.197900000000001</v>
      </c>
      <c r="D1199" s="2522">
        <v>4.5487000000000002</v>
      </c>
      <c r="E1199" s="2523">
        <f t="shared" si="67"/>
        <v>20.496540945512795</v>
      </c>
      <c r="F1199" s="2261">
        <f t="shared" si="66"/>
        <v>24.033050394191257</v>
      </c>
      <c r="G1199" s="2524">
        <f t="shared" si="68"/>
        <v>27.569559842869719</v>
      </c>
      <c r="H1199" s="2524">
        <f t="shared" si="69"/>
        <v>16.960031496834333</v>
      </c>
      <c r="I1199" s="2524">
        <f t="shared" si="70"/>
        <v>13.423522048155872</v>
      </c>
      <c r="J1199" s="2525">
        <f t="shared" si="71"/>
        <v>4.9423217303822922</v>
      </c>
      <c r="K1199" s="2261">
        <f t="shared" si="72"/>
        <v>5.919604026580453</v>
      </c>
      <c r="L1199" s="2524">
        <f t="shared" si="73"/>
        <v>6.8968863227786139</v>
      </c>
      <c r="M1199" s="2524">
        <f t="shared" si="74"/>
        <v>3.9650394341841317</v>
      </c>
      <c r="N1199" s="2524">
        <f t="shared" si="75"/>
        <v>2.9877571379859713</v>
      </c>
    </row>
    <row r="1200" spans="1:14" ht="15">
      <c r="A1200" s="2218"/>
      <c r="B1200" s="2251">
        <v>44617</v>
      </c>
      <c r="C1200">
        <v>19.2605</v>
      </c>
      <c r="D1200" s="2522">
        <v>4.5487000000000002</v>
      </c>
      <c r="E1200" s="2523">
        <f t="shared" si="67"/>
        <v>20.496540945512795</v>
      </c>
      <c r="F1200" s="2261">
        <f t="shared" si="66"/>
        <v>24.033050394191257</v>
      </c>
      <c r="G1200" s="2524">
        <f t="shared" si="68"/>
        <v>27.569559842869719</v>
      </c>
      <c r="H1200" s="2524">
        <f t="shared" si="69"/>
        <v>16.960031496834333</v>
      </c>
      <c r="I1200" s="2524">
        <f t="shared" si="70"/>
        <v>13.423522048155872</v>
      </c>
      <c r="J1200" s="2525">
        <f t="shared" si="71"/>
        <v>4.9423217303822922</v>
      </c>
      <c r="K1200" s="2261">
        <f t="shared" si="72"/>
        <v>5.919604026580453</v>
      </c>
      <c r="L1200" s="2524">
        <f t="shared" si="73"/>
        <v>6.8968863227786139</v>
      </c>
      <c r="M1200" s="2524">
        <f t="shared" si="74"/>
        <v>3.9650394341841317</v>
      </c>
      <c r="N1200" s="2524">
        <f t="shared" si="75"/>
        <v>2.9877571379859713</v>
      </c>
    </row>
    <row r="1201" spans="1:14" ht="15">
      <c r="A1201" s="2218"/>
      <c r="B1201" s="2251">
        <v>44620</v>
      </c>
      <c r="C1201">
        <v>19.469200000000001</v>
      </c>
      <c r="D1201" s="2522">
        <v>4.7327000000000004</v>
      </c>
      <c r="E1201" s="2523">
        <f t="shared" si="67"/>
        <v>20.496540945512795</v>
      </c>
      <c r="F1201" s="2261">
        <f t="shared" si="66"/>
        <v>24.033050394191257</v>
      </c>
      <c r="G1201" s="2524">
        <f t="shared" si="68"/>
        <v>27.569559842869719</v>
      </c>
      <c r="H1201" s="2524">
        <f t="shared" si="69"/>
        <v>16.960031496834333</v>
      </c>
      <c r="I1201" s="2524">
        <f t="shared" si="70"/>
        <v>13.423522048155872</v>
      </c>
      <c r="J1201" s="2525">
        <f t="shared" si="71"/>
        <v>4.9423217303822922</v>
      </c>
      <c r="K1201" s="2261">
        <f t="shared" si="72"/>
        <v>5.919604026580453</v>
      </c>
      <c r="L1201" s="2524">
        <f t="shared" si="73"/>
        <v>6.8968863227786139</v>
      </c>
      <c r="M1201" s="2524">
        <f t="shared" si="74"/>
        <v>3.9650394341841317</v>
      </c>
      <c r="N1201" s="2524">
        <f t="shared" si="75"/>
        <v>2.9877571379859713</v>
      </c>
    </row>
    <row r="1202" spans="1:14" ht="15">
      <c r="A1202" s="2218"/>
      <c r="B1202" s="2251">
        <v>44621</v>
      </c>
      <c r="C1202">
        <v>19.489999999999998</v>
      </c>
      <c r="D1202" s="2522">
        <v>4.7643000000000004</v>
      </c>
      <c r="E1202" s="2523">
        <f t="shared" si="67"/>
        <v>20.496540945512795</v>
      </c>
      <c r="F1202" s="2261">
        <f t="shared" si="66"/>
        <v>24.033050394191257</v>
      </c>
      <c r="G1202" s="2524">
        <f t="shared" si="68"/>
        <v>27.569559842869719</v>
      </c>
      <c r="H1202" s="2524">
        <f t="shared" si="69"/>
        <v>16.960031496834333</v>
      </c>
      <c r="I1202" s="2524">
        <f t="shared" si="70"/>
        <v>13.423522048155872</v>
      </c>
      <c r="J1202" s="2525">
        <f t="shared" si="71"/>
        <v>4.9423217303822922</v>
      </c>
      <c r="K1202" s="2261">
        <f t="shared" si="72"/>
        <v>5.919604026580453</v>
      </c>
      <c r="L1202" s="2524">
        <f t="shared" si="73"/>
        <v>6.8968863227786139</v>
      </c>
      <c r="M1202" s="2524">
        <f t="shared" si="74"/>
        <v>3.9650394341841317</v>
      </c>
      <c r="N1202" s="2524">
        <f t="shared" si="75"/>
        <v>2.9877571379859713</v>
      </c>
    </row>
    <row r="1203" spans="1:14" ht="15">
      <c r="A1203" s="2218"/>
      <c r="B1203" s="2251">
        <v>44622</v>
      </c>
      <c r="C1203">
        <v>19.427399999999999</v>
      </c>
      <c r="D1203" s="2522">
        <v>4.9431000000000003</v>
      </c>
      <c r="E1203" s="2523">
        <f t="shared" si="67"/>
        <v>20.496540945512795</v>
      </c>
      <c r="F1203" s="2261">
        <f t="shared" si="66"/>
        <v>24.033050394191257</v>
      </c>
      <c r="G1203" s="2524">
        <f t="shared" si="68"/>
        <v>27.569559842869719</v>
      </c>
      <c r="H1203" s="2524">
        <f t="shared" si="69"/>
        <v>16.960031496834333</v>
      </c>
      <c r="I1203" s="2524">
        <f t="shared" si="70"/>
        <v>13.423522048155872</v>
      </c>
      <c r="J1203" s="2525">
        <f t="shared" si="71"/>
        <v>4.9423217303822922</v>
      </c>
      <c r="K1203" s="2261">
        <f t="shared" si="72"/>
        <v>5.919604026580453</v>
      </c>
      <c r="L1203" s="2524">
        <f t="shared" si="73"/>
        <v>6.8968863227786139</v>
      </c>
      <c r="M1203" s="2524">
        <f t="shared" si="74"/>
        <v>3.9650394341841317</v>
      </c>
      <c r="N1203" s="2524">
        <f t="shared" si="75"/>
        <v>2.9877571379859713</v>
      </c>
    </row>
    <row r="1204" spans="1:14" ht="15">
      <c r="A1204" s="2218"/>
      <c r="B1204" s="2251">
        <v>44623</v>
      </c>
      <c r="C1204">
        <v>19.489999999999998</v>
      </c>
      <c r="D1204" s="2522">
        <v>4.9219999999999997</v>
      </c>
      <c r="E1204" s="2523">
        <f t="shared" si="67"/>
        <v>20.496540945512795</v>
      </c>
      <c r="F1204" s="2261">
        <f t="shared" si="66"/>
        <v>24.033050394191257</v>
      </c>
      <c r="G1204" s="2524">
        <f t="shared" si="68"/>
        <v>27.569559842869719</v>
      </c>
      <c r="H1204" s="2524">
        <f t="shared" si="69"/>
        <v>16.960031496834333</v>
      </c>
      <c r="I1204" s="2524">
        <f t="shared" si="70"/>
        <v>13.423522048155872</v>
      </c>
      <c r="J1204" s="2525">
        <f t="shared" si="71"/>
        <v>4.9423217303822922</v>
      </c>
      <c r="K1204" s="2261">
        <f t="shared" si="72"/>
        <v>5.919604026580453</v>
      </c>
      <c r="L1204" s="2524">
        <f t="shared" si="73"/>
        <v>6.8968863227786139</v>
      </c>
      <c r="M1204" s="2524">
        <f t="shared" si="74"/>
        <v>3.9650394341841317</v>
      </c>
      <c r="N1204" s="2524">
        <f t="shared" si="75"/>
        <v>2.9877571379859713</v>
      </c>
    </row>
    <row r="1205" spans="1:14" ht="15">
      <c r="A1205" s="2218"/>
      <c r="B1205" s="2251">
        <v>44624</v>
      </c>
      <c r="C1205">
        <v>19.510899999999999</v>
      </c>
      <c r="D1205" s="2522">
        <v>5.0797999999999996</v>
      </c>
      <c r="E1205" s="2523">
        <f t="shared" si="67"/>
        <v>20.496540945512795</v>
      </c>
      <c r="F1205" s="2261">
        <f t="shared" si="66"/>
        <v>24.033050394191257</v>
      </c>
      <c r="G1205" s="2524">
        <f t="shared" si="68"/>
        <v>27.569559842869719</v>
      </c>
      <c r="H1205" s="2524">
        <f t="shared" si="69"/>
        <v>16.960031496834333</v>
      </c>
      <c r="I1205" s="2524">
        <f t="shared" si="70"/>
        <v>13.423522048155872</v>
      </c>
      <c r="J1205" s="2525">
        <f t="shared" si="71"/>
        <v>4.9423217303822922</v>
      </c>
      <c r="K1205" s="2261">
        <f t="shared" si="72"/>
        <v>5.919604026580453</v>
      </c>
      <c r="L1205" s="2524">
        <f t="shared" si="73"/>
        <v>6.8968863227786139</v>
      </c>
      <c r="M1205" s="2524">
        <f t="shared" si="74"/>
        <v>3.9650394341841317</v>
      </c>
      <c r="N1205" s="2524">
        <f t="shared" si="75"/>
        <v>2.9877571379859713</v>
      </c>
    </row>
    <row r="1206" spans="1:14" ht="15">
      <c r="A1206" s="2218"/>
      <c r="B1206" s="2251">
        <v>44627</v>
      </c>
      <c r="C1206">
        <v>19.573499999999999</v>
      </c>
      <c r="D1206" s="2522">
        <v>5.085</v>
      </c>
      <c r="E1206" s="2523">
        <f t="shared" si="67"/>
        <v>20.496540945512795</v>
      </c>
      <c r="F1206" s="2261">
        <f t="shared" si="66"/>
        <v>24.033050394191257</v>
      </c>
      <c r="G1206" s="2524">
        <f t="shared" si="68"/>
        <v>27.569559842869719</v>
      </c>
      <c r="H1206" s="2524">
        <f t="shared" si="69"/>
        <v>16.960031496834333</v>
      </c>
      <c r="I1206" s="2524">
        <f t="shared" si="70"/>
        <v>13.423522048155872</v>
      </c>
      <c r="J1206" s="2525">
        <f t="shared" si="71"/>
        <v>4.9423217303822922</v>
      </c>
      <c r="K1206" s="2261">
        <f t="shared" si="72"/>
        <v>5.919604026580453</v>
      </c>
      <c r="L1206" s="2524">
        <f t="shared" si="73"/>
        <v>6.8968863227786139</v>
      </c>
      <c r="M1206" s="2524">
        <f t="shared" si="74"/>
        <v>3.9650394341841317</v>
      </c>
      <c r="N1206" s="2524">
        <f t="shared" si="75"/>
        <v>2.9877571379859713</v>
      </c>
    </row>
    <row r="1207" spans="1:14" ht="15">
      <c r="A1207" s="2218"/>
      <c r="B1207" s="2251">
        <v>44628</v>
      </c>
      <c r="C1207">
        <v>19.7822</v>
      </c>
      <c r="D1207" s="2522">
        <v>5.0903</v>
      </c>
      <c r="E1207" s="2523">
        <f t="shared" si="67"/>
        <v>20.496540945512795</v>
      </c>
      <c r="F1207" s="2261">
        <f t="shared" si="66"/>
        <v>24.033050394191257</v>
      </c>
      <c r="G1207" s="2524">
        <f t="shared" si="68"/>
        <v>27.569559842869719</v>
      </c>
      <c r="H1207" s="2524">
        <f t="shared" si="69"/>
        <v>16.960031496834333</v>
      </c>
      <c r="I1207" s="2524">
        <f t="shared" si="70"/>
        <v>13.423522048155872</v>
      </c>
      <c r="J1207" s="2525">
        <f t="shared" si="71"/>
        <v>4.9423217303822922</v>
      </c>
      <c r="K1207" s="2261">
        <f t="shared" si="72"/>
        <v>5.919604026580453</v>
      </c>
      <c r="L1207" s="2524">
        <f t="shared" si="73"/>
        <v>6.8968863227786139</v>
      </c>
      <c r="M1207" s="2524">
        <f t="shared" si="74"/>
        <v>3.9650394341841317</v>
      </c>
      <c r="N1207" s="2524">
        <f t="shared" si="75"/>
        <v>2.9877571379859713</v>
      </c>
    </row>
    <row r="1208" spans="1:14" ht="15">
      <c r="A1208" s="2218"/>
      <c r="B1208" s="2251">
        <v>44629</v>
      </c>
      <c r="C1208">
        <v>19.9283</v>
      </c>
      <c r="D1208" s="2522">
        <v>5.2060000000000004</v>
      </c>
      <c r="E1208" s="2523">
        <f t="shared" si="67"/>
        <v>20.496540945512795</v>
      </c>
      <c r="F1208" s="2261">
        <f t="shared" si="66"/>
        <v>24.033050394191257</v>
      </c>
      <c r="G1208" s="2524">
        <f t="shared" si="68"/>
        <v>27.569559842869719</v>
      </c>
      <c r="H1208" s="2524">
        <f t="shared" si="69"/>
        <v>16.960031496834333</v>
      </c>
      <c r="I1208" s="2524">
        <f t="shared" si="70"/>
        <v>13.423522048155872</v>
      </c>
      <c r="J1208" s="2525">
        <f t="shared" si="71"/>
        <v>4.9423217303822922</v>
      </c>
      <c r="K1208" s="2261">
        <f t="shared" si="72"/>
        <v>5.919604026580453</v>
      </c>
      <c r="L1208" s="2524">
        <f t="shared" si="73"/>
        <v>6.8968863227786139</v>
      </c>
      <c r="M1208" s="2524">
        <f t="shared" si="74"/>
        <v>3.9650394341841317</v>
      </c>
      <c r="N1208" s="2524">
        <f t="shared" si="75"/>
        <v>2.9877571379859713</v>
      </c>
    </row>
    <row r="1209" spans="1:14" ht="15">
      <c r="A1209" s="2218"/>
      <c r="B1209" s="2251">
        <v>44630</v>
      </c>
      <c r="C1209">
        <v>19.740400000000001</v>
      </c>
      <c r="D1209" s="2522">
        <v>5.1481000000000003</v>
      </c>
      <c r="E1209" s="2523">
        <f t="shared" si="67"/>
        <v>20.496540945512795</v>
      </c>
      <c r="F1209" s="2261">
        <f t="shared" si="66"/>
        <v>24.033050394191257</v>
      </c>
      <c r="G1209" s="2524">
        <f t="shared" si="68"/>
        <v>27.569559842869719</v>
      </c>
      <c r="H1209" s="2524">
        <f t="shared" si="69"/>
        <v>16.960031496834333</v>
      </c>
      <c r="I1209" s="2524">
        <f t="shared" si="70"/>
        <v>13.423522048155872</v>
      </c>
      <c r="J1209" s="2525">
        <f t="shared" si="71"/>
        <v>4.9423217303822922</v>
      </c>
      <c r="K1209" s="2261">
        <f t="shared" si="72"/>
        <v>5.919604026580453</v>
      </c>
      <c r="L1209" s="2524">
        <f t="shared" si="73"/>
        <v>6.8968863227786139</v>
      </c>
      <c r="M1209" s="2524">
        <f t="shared" si="74"/>
        <v>3.9650394341841317</v>
      </c>
      <c r="N1209" s="2524">
        <f t="shared" si="75"/>
        <v>2.9877571379859713</v>
      </c>
    </row>
    <row r="1210" spans="1:14" ht="15">
      <c r="A1210" s="2218"/>
      <c r="B1210" s="2251">
        <v>44631</v>
      </c>
      <c r="C1210">
        <v>19.4483</v>
      </c>
      <c r="D1210" s="2522">
        <v>5.1323999999999996</v>
      </c>
      <c r="E1210" s="2523">
        <f t="shared" si="67"/>
        <v>20.496540945512795</v>
      </c>
      <c r="F1210" s="2261">
        <f t="shared" si="66"/>
        <v>24.033050394191257</v>
      </c>
      <c r="G1210" s="2524">
        <f t="shared" si="68"/>
        <v>27.569559842869719</v>
      </c>
      <c r="H1210" s="2524">
        <f t="shared" si="69"/>
        <v>16.960031496834333</v>
      </c>
      <c r="I1210" s="2524">
        <f t="shared" si="70"/>
        <v>13.423522048155872</v>
      </c>
      <c r="J1210" s="2525">
        <f t="shared" si="71"/>
        <v>4.9423217303822922</v>
      </c>
      <c r="K1210" s="2261">
        <f t="shared" si="72"/>
        <v>5.919604026580453</v>
      </c>
      <c r="L1210" s="2524">
        <f t="shared" si="73"/>
        <v>6.8968863227786139</v>
      </c>
      <c r="M1210" s="2524">
        <f t="shared" si="74"/>
        <v>3.9650394341841317</v>
      </c>
      <c r="N1210" s="2524">
        <f t="shared" si="75"/>
        <v>2.9877571379859713</v>
      </c>
    </row>
    <row r="1211" spans="1:14" ht="15">
      <c r="A1211" s="2218"/>
      <c r="B1211" s="2251">
        <v>44634</v>
      </c>
      <c r="C1211">
        <v>19.156199999999998</v>
      </c>
      <c r="D1211" s="2522">
        <v>5.1219000000000001</v>
      </c>
      <c r="E1211" s="2523">
        <f t="shared" si="67"/>
        <v>20.496540945512795</v>
      </c>
      <c r="F1211" s="2261">
        <f t="shared" si="66"/>
        <v>24.033050394191257</v>
      </c>
      <c r="G1211" s="2524">
        <f t="shared" si="68"/>
        <v>27.569559842869719</v>
      </c>
      <c r="H1211" s="2524">
        <f t="shared" si="69"/>
        <v>16.960031496834333</v>
      </c>
      <c r="I1211" s="2524">
        <f t="shared" si="70"/>
        <v>13.423522048155872</v>
      </c>
      <c r="J1211" s="2525">
        <f t="shared" si="71"/>
        <v>4.9423217303822922</v>
      </c>
      <c r="K1211" s="2261">
        <f t="shared" si="72"/>
        <v>5.919604026580453</v>
      </c>
      <c r="L1211" s="2524">
        <f t="shared" si="73"/>
        <v>6.8968863227786139</v>
      </c>
      <c r="M1211" s="2524">
        <f t="shared" si="74"/>
        <v>3.9650394341841317</v>
      </c>
      <c r="N1211" s="2524">
        <f t="shared" si="75"/>
        <v>2.9877571379859713</v>
      </c>
    </row>
    <row r="1212" spans="1:14" ht="15">
      <c r="A1212" s="2218"/>
      <c r="B1212" s="2251">
        <v>44635</v>
      </c>
      <c r="C1212">
        <v>18.9892</v>
      </c>
      <c r="D1212" s="2522">
        <v>5.2007000000000003</v>
      </c>
      <c r="E1212" s="2523">
        <f t="shared" si="67"/>
        <v>20.496540945512795</v>
      </c>
      <c r="F1212" s="2261">
        <f t="shared" si="66"/>
        <v>24.033050394191257</v>
      </c>
      <c r="G1212" s="2524">
        <f t="shared" si="68"/>
        <v>27.569559842869719</v>
      </c>
      <c r="H1212" s="2524">
        <f t="shared" si="69"/>
        <v>16.960031496834333</v>
      </c>
      <c r="I1212" s="2524">
        <f t="shared" si="70"/>
        <v>13.423522048155872</v>
      </c>
      <c r="J1212" s="2525">
        <f t="shared" si="71"/>
        <v>4.9423217303822922</v>
      </c>
      <c r="K1212" s="2261">
        <f t="shared" si="72"/>
        <v>5.919604026580453</v>
      </c>
      <c r="L1212" s="2524">
        <f t="shared" si="73"/>
        <v>6.8968863227786139</v>
      </c>
      <c r="M1212" s="2524">
        <f t="shared" si="74"/>
        <v>3.9650394341841317</v>
      </c>
      <c r="N1212" s="2524">
        <f t="shared" si="75"/>
        <v>2.9877571379859713</v>
      </c>
    </row>
    <row r="1213" spans="1:14" ht="15">
      <c r="A1213" s="2218"/>
      <c r="B1213" s="2251">
        <v>44636</v>
      </c>
      <c r="C1213">
        <v>19.1144</v>
      </c>
      <c r="D1213" s="2522">
        <v>5.1534000000000004</v>
      </c>
      <c r="E1213" s="2523">
        <f t="shared" si="67"/>
        <v>20.496540945512795</v>
      </c>
      <c r="F1213" s="2261">
        <f t="shared" ref="F1213:F1276" si="76">I$953+F$953</f>
        <v>24.033050394191257</v>
      </c>
      <c r="G1213" s="2524">
        <f t="shared" si="68"/>
        <v>27.569559842869719</v>
      </c>
      <c r="H1213" s="2524">
        <f t="shared" si="69"/>
        <v>16.960031496834333</v>
      </c>
      <c r="I1213" s="2524">
        <f t="shared" si="70"/>
        <v>13.423522048155872</v>
      </c>
      <c r="J1213" s="2525">
        <f t="shared" si="71"/>
        <v>4.9423217303822922</v>
      </c>
      <c r="K1213" s="2261">
        <f t="shared" si="72"/>
        <v>5.919604026580453</v>
      </c>
      <c r="L1213" s="2524">
        <f t="shared" si="73"/>
        <v>6.8968863227786139</v>
      </c>
      <c r="M1213" s="2524">
        <f t="shared" si="74"/>
        <v>3.9650394341841317</v>
      </c>
      <c r="N1213" s="2524">
        <f t="shared" si="75"/>
        <v>2.9877571379859713</v>
      </c>
    </row>
    <row r="1214" spans="1:14" ht="15">
      <c r="A1214" s="2218"/>
      <c r="B1214" s="2251">
        <v>44637</v>
      </c>
      <c r="C1214">
        <v>19.197900000000001</v>
      </c>
      <c r="D1214" s="2522">
        <v>5.0430000000000001</v>
      </c>
      <c r="E1214" s="2523">
        <f t="shared" ref="E1214:E1277" si="77">I$953</f>
        <v>20.496540945512795</v>
      </c>
      <c r="F1214" s="2261">
        <f t="shared" si="76"/>
        <v>24.033050394191257</v>
      </c>
      <c r="G1214" s="2524">
        <f t="shared" ref="G1214:G1277" si="78">I$953+F$953+F$953</f>
        <v>27.569559842869719</v>
      </c>
      <c r="H1214" s="2524">
        <f t="shared" ref="H1214:H1277" si="79">I$953-F$953</f>
        <v>16.960031496834333</v>
      </c>
      <c r="I1214" s="2524">
        <f t="shared" ref="I1214:I1277" si="80">I$953-F$953-F$953</f>
        <v>13.423522048155872</v>
      </c>
      <c r="J1214" s="2525">
        <f t="shared" si="71"/>
        <v>4.9423217303822922</v>
      </c>
      <c r="K1214" s="2261">
        <f t="shared" si="72"/>
        <v>5.919604026580453</v>
      </c>
      <c r="L1214" s="2524">
        <f t="shared" si="73"/>
        <v>6.8968863227786139</v>
      </c>
      <c r="M1214" s="2524">
        <f t="shared" si="74"/>
        <v>3.9650394341841317</v>
      </c>
      <c r="N1214" s="2524">
        <f t="shared" si="75"/>
        <v>2.9877571379859713</v>
      </c>
    </row>
    <row r="1215" spans="1:14" ht="15">
      <c r="A1215" s="2218"/>
      <c r="B1215" s="2251">
        <v>44638</v>
      </c>
      <c r="C1215">
        <v>19.844799999999999</v>
      </c>
      <c r="D1215" s="2522">
        <v>5.1271000000000004</v>
      </c>
      <c r="E1215" s="2523">
        <f t="shared" si="77"/>
        <v>20.496540945512795</v>
      </c>
      <c r="F1215" s="2261">
        <f t="shared" si="76"/>
        <v>24.033050394191257</v>
      </c>
      <c r="G1215" s="2524">
        <f t="shared" si="78"/>
        <v>27.569559842869719</v>
      </c>
      <c r="H1215" s="2524">
        <f t="shared" si="79"/>
        <v>16.960031496834333</v>
      </c>
      <c r="I1215" s="2524">
        <f t="shared" si="80"/>
        <v>13.423522048155872</v>
      </c>
      <c r="J1215" s="2525">
        <f t="shared" si="71"/>
        <v>4.9423217303822922</v>
      </c>
      <c r="K1215" s="2261">
        <f t="shared" si="72"/>
        <v>5.919604026580453</v>
      </c>
      <c r="L1215" s="2524">
        <f t="shared" si="73"/>
        <v>6.8968863227786139</v>
      </c>
      <c r="M1215" s="2524">
        <f t="shared" si="74"/>
        <v>3.9650394341841317</v>
      </c>
      <c r="N1215" s="2524">
        <f t="shared" si="75"/>
        <v>2.9877571379859713</v>
      </c>
    </row>
    <row r="1216" spans="1:14" ht="15">
      <c r="A1216" s="2218"/>
      <c r="B1216" s="2251">
        <v>44641</v>
      </c>
      <c r="C1216">
        <v>19.886500000000002</v>
      </c>
      <c r="D1216" s="2522">
        <v>5.0956000000000001</v>
      </c>
      <c r="E1216" s="2523">
        <f t="shared" si="77"/>
        <v>20.496540945512795</v>
      </c>
      <c r="F1216" s="2261">
        <f t="shared" si="76"/>
        <v>24.033050394191257</v>
      </c>
      <c r="G1216" s="2524">
        <f t="shared" si="78"/>
        <v>27.569559842869719</v>
      </c>
      <c r="H1216" s="2524">
        <f t="shared" si="79"/>
        <v>16.960031496834333</v>
      </c>
      <c r="I1216" s="2524">
        <f t="shared" si="80"/>
        <v>13.423522048155872</v>
      </c>
      <c r="J1216" s="2525">
        <f t="shared" si="71"/>
        <v>4.9423217303822922</v>
      </c>
      <c r="K1216" s="2261">
        <f t="shared" si="72"/>
        <v>5.919604026580453</v>
      </c>
      <c r="L1216" s="2524">
        <f t="shared" si="73"/>
        <v>6.8968863227786139</v>
      </c>
      <c r="M1216" s="2524">
        <f t="shared" si="74"/>
        <v>3.9650394341841317</v>
      </c>
      <c r="N1216" s="2524">
        <f t="shared" si="75"/>
        <v>2.9877571379859713</v>
      </c>
    </row>
    <row r="1217" spans="1:14" ht="15">
      <c r="A1217" s="2218"/>
      <c r="B1217" s="2251">
        <v>44642</v>
      </c>
      <c r="C1217">
        <v>20.116099999999999</v>
      </c>
      <c r="D1217" s="2522">
        <v>5.1744000000000003</v>
      </c>
      <c r="E1217" s="2523">
        <f t="shared" si="77"/>
        <v>20.496540945512795</v>
      </c>
      <c r="F1217" s="2261">
        <f t="shared" si="76"/>
        <v>24.033050394191257</v>
      </c>
      <c r="G1217" s="2524">
        <f t="shared" si="78"/>
        <v>27.569559842869719</v>
      </c>
      <c r="H1217" s="2524">
        <f t="shared" si="79"/>
        <v>16.960031496834333</v>
      </c>
      <c r="I1217" s="2524">
        <f t="shared" si="80"/>
        <v>13.423522048155872</v>
      </c>
      <c r="J1217" s="2525">
        <f t="shared" si="71"/>
        <v>4.9423217303822922</v>
      </c>
      <c r="K1217" s="2261">
        <f t="shared" si="72"/>
        <v>5.919604026580453</v>
      </c>
      <c r="L1217" s="2524">
        <f t="shared" si="73"/>
        <v>6.8968863227786139</v>
      </c>
      <c r="M1217" s="2524">
        <f t="shared" si="74"/>
        <v>3.9650394341841317</v>
      </c>
      <c r="N1217" s="2524">
        <f t="shared" si="75"/>
        <v>2.9877571379859713</v>
      </c>
    </row>
    <row r="1218" spans="1:14" ht="15">
      <c r="A1218" s="2218"/>
      <c r="B1218" s="2251">
        <v>44643</v>
      </c>
      <c r="C1218">
        <v>20.136900000000001</v>
      </c>
      <c r="D1218" s="2522">
        <v>5.1797000000000004</v>
      </c>
      <c r="E1218" s="2523">
        <f t="shared" si="77"/>
        <v>20.496540945512795</v>
      </c>
      <c r="F1218" s="2261">
        <f t="shared" si="76"/>
        <v>24.033050394191257</v>
      </c>
      <c r="G1218" s="2524">
        <f t="shared" si="78"/>
        <v>27.569559842869719</v>
      </c>
      <c r="H1218" s="2524">
        <f t="shared" si="79"/>
        <v>16.960031496834333</v>
      </c>
      <c r="I1218" s="2524">
        <f t="shared" si="80"/>
        <v>13.423522048155872</v>
      </c>
      <c r="J1218" s="2525">
        <f t="shared" si="71"/>
        <v>4.9423217303822922</v>
      </c>
      <c r="K1218" s="2261">
        <f t="shared" si="72"/>
        <v>5.919604026580453</v>
      </c>
      <c r="L1218" s="2524">
        <f t="shared" si="73"/>
        <v>6.8968863227786139</v>
      </c>
      <c r="M1218" s="2524">
        <f t="shared" si="74"/>
        <v>3.9650394341841317</v>
      </c>
      <c r="N1218" s="2524">
        <f t="shared" si="75"/>
        <v>2.9877571379859713</v>
      </c>
    </row>
    <row r="1219" spans="1:14" ht="15">
      <c r="A1219" s="2218"/>
      <c r="B1219" s="2251">
        <v>44644</v>
      </c>
      <c r="C1219">
        <v>20.032599999999999</v>
      </c>
      <c r="D1219" s="2522">
        <v>5.0903</v>
      </c>
      <c r="E1219" s="2523">
        <f t="shared" si="77"/>
        <v>20.496540945512795</v>
      </c>
      <c r="F1219" s="2261">
        <f t="shared" si="76"/>
        <v>24.033050394191257</v>
      </c>
      <c r="G1219" s="2524">
        <f t="shared" si="78"/>
        <v>27.569559842869719</v>
      </c>
      <c r="H1219" s="2524">
        <f t="shared" si="79"/>
        <v>16.960031496834333</v>
      </c>
      <c r="I1219" s="2524">
        <f t="shared" si="80"/>
        <v>13.423522048155872</v>
      </c>
      <c r="J1219" s="2525">
        <f t="shared" si="71"/>
        <v>4.9423217303822922</v>
      </c>
      <c r="K1219" s="2261">
        <f t="shared" si="72"/>
        <v>5.919604026580453</v>
      </c>
      <c r="L1219" s="2524">
        <f t="shared" si="73"/>
        <v>6.8968863227786139</v>
      </c>
      <c r="M1219" s="2524">
        <f t="shared" si="74"/>
        <v>3.9650394341841317</v>
      </c>
      <c r="N1219" s="2524">
        <f t="shared" si="75"/>
        <v>2.9877571379859713</v>
      </c>
    </row>
    <row r="1220" spans="1:14" ht="15">
      <c r="A1220" s="2218"/>
      <c r="B1220" s="2251">
        <v>44645</v>
      </c>
      <c r="C1220">
        <v>19.97</v>
      </c>
      <c r="D1220" s="2522">
        <v>5.085</v>
      </c>
      <c r="E1220" s="2523">
        <f t="shared" si="77"/>
        <v>20.496540945512795</v>
      </c>
      <c r="F1220" s="2261">
        <f t="shared" si="76"/>
        <v>24.033050394191257</v>
      </c>
      <c r="G1220" s="2524">
        <f t="shared" si="78"/>
        <v>27.569559842869719</v>
      </c>
      <c r="H1220" s="2524">
        <f t="shared" si="79"/>
        <v>16.960031496834333</v>
      </c>
      <c r="I1220" s="2524">
        <f t="shared" si="80"/>
        <v>13.423522048155872</v>
      </c>
      <c r="J1220" s="2525">
        <f t="shared" si="71"/>
        <v>4.9423217303822922</v>
      </c>
      <c r="K1220" s="2261">
        <f t="shared" si="72"/>
        <v>5.919604026580453</v>
      </c>
      <c r="L1220" s="2524">
        <f t="shared" si="73"/>
        <v>6.8968863227786139</v>
      </c>
      <c r="M1220" s="2524">
        <f t="shared" si="74"/>
        <v>3.9650394341841317</v>
      </c>
      <c r="N1220" s="2524">
        <f t="shared" si="75"/>
        <v>2.9877571379859713</v>
      </c>
    </row>
    <row r="1221" spans="1:14" ht="15">
      <c r="A1221" s="2218"/>
      <c r="B1221" s="2251">
        <v>44648</v>
      </c>
      <c r="C1221">
        <v>20.470800000000001</v>
      </c>
      <c r="D1221" s="2522">
        <v>4.9588000000000001</v>
      </c>
      <c r="E1221" s="2523">
        <f t="shared" si="77"/>
        <v>20.496540945512795</v>
      </c>
      <c r="F1221" s="2261">
        <f t="shared" si="76"/>
        <v>24.033050394191257</v>
      </c>
      <c r="G1221" s="2524">
        <f t="shared" si="78"/>
        <v>27.569559842869719</v>
      </c>
      <c r="H1221" s="2524">
        <f t="shared" si="79"/>
        <v>16.960031496834333</v>
      </c>
      <c r="I1221" s="2524">
        <f t="shared" si="80"/>
        <v>13.423522048155872</v>
      </c>
      <c r="J1221" s="2525">
        <f t="shared" si="71"/>
        <v>4.9423217303822922</v>
      </c>
      <c r="K1221" s="2261">
        <f t="shared" si="72"/>
        <v>5.919604026580453</v>
      </c>
      <c r="L1221" s="2524">
        <f t="shared" si="73"/>
        <v>6.8968863227786139</v>
      </c>
      <c r="M1221" s="2524">
        <f t="shared" si="74"/>
        <v>3.9650394341841317</v>
      </c>
      <c r="N1221" s="2524">
        <f t="shared" si="75"/>
        <v>2.9877571379859713</v>
      </c>
    </row>
    <row r="1222" spans="1:14" ht="15">
      <c r="A1222" s="2218"/>
      <c r="B1222" s="2251">
        <v>44649</v>
      </c>
      <c r="C1222">
        <v>21.889800000000001</v>
      </c>
      <c r="D1222" s="2522">
        <v>4.9168000000000003</v>
      </c>
      <c r="E1222" s="2523">
        <f t="shared" si="77"/>
        <v>20.496540945512795</v>
      </c>
      <c r="F1222" s="2261">
        <f t="shared" si="76"/>
        <v>24.033050394191257</v>
      </c>
      <c r="G1222" s="2524">
        <f t="shared" si="78"/>
        <v>27.569559842869719</v>
      </c>
      <c r="H1222" s="2524">
        <f t="shared" si="79"/>
        <v>16.960031496834333</v>
      </c>
      <c r="I1222" s="2524">
        <f t="shared" si="80"/>
        <v>13.423522048155872</v>
      </c>
      <c r="J1222" s="2525">
        <f t="shared" si="71"/>
        <v>4.9423217303822922</v>
      </c>
      <c r="K1222" s="2261">
        <f t="shared" si="72"/>
        <v>5.919604026580453</v>
      </c>
      <c r="L1222" s="2524">
        <f t="shared" si="73"/>
        <v>6.8968863227786139</v>
      </c>
      <c r="M1222" s="2524">
        <f t="shared" si="74"/>
        <v>3.9650394341841317</v>
      </c>
      <c r="N1222" s="2524">
        <f t="shared" si="75"/>
        <v>2.9877571379859713</v>
      </c>
    </row>
    <row r="1223" spans="1:14" ht="15">
      <c r="A1223" s="2218"/>
      <c r="B1223" s="2251">
        <v>44650</v>
      </c>
      <c r="C1223">
        <v>22.119299999999999</v>
      </c>
      <c r="D1223" s="2522">
        <v>4.9588000000000001</v>
      </c>
      <c r="E1223" s="2523">
        <f t="shared" si="77"/>
        <v>20.496540945512795</v>
      </c>
      <c r="F1223" s="2261">
        <f t="shared" si="76"/>
        <v>24.033050394191257</v>
      </c>
      <c r="G1223" s="2524">
        <f t="shared" si="78"/>
        <v>27.569559842869719</v>
      </c>
      <c r="H1223" s="2524">
        <f t="shared" si="79"/>
        <v>16.960031496834333</v>
      </c>
      <c r="I1223" s="2524">
        <f t="shared" si="80"/>
        <v>13.423522048155872</v>
      </c>
      <c r="J1223" s="2525">
        <f t="shared" si="71"/>
        <v>4.9423217303822922</v>
      </c>
      <c r="K1223" s="2261">
        <f t="shared" si="72"/>
        <v>5.919604026580453</v>
      </c>
      <c r="L1223" s="2524">
        <f t="shared" si="73"/>
        <v>6.8968863227786139</v>
      </c>
      <c r="M1223" s="2524">
        <f t="shared" si="74"/>
        <v>3.9650394341841317</v>
      </c>
      <c r="N1223" s="2524">
        <f t="shared" si="75"/>
        <v>2.9877571379859713</v>
      </c>
    </row>
    <row r="1224" spans="1:14" ht="15">
      <c r="A1224" s="2218"/>
      <c r="B1224" s="2251">
        <v>44651</v>
      </c>
      <c r="C1224">
        <v>20.768699999999999</v>
      </c>
      <c r="D1224" s="2522">
        <v>4.9431000000000003</v>
      </c>
      <c r="E1224" s="2523">
        <f t="shared" si="77"/>
        <v>20.496540945512795</v>
      </c>
      <c r="F1224" s="2261">
        <f t="shared" si="76"/>
        <v>24.033050394191257</v>
      </c>
      <c r="G1224" s="2524">
        <f t="shared" si="78"/>
        <v>27.569559842869719</v>
      </c>
      <c r="H1224" s="2524">
        <f t="shared" si="79"/>
        <v>16.960031496834333</v>
      </c>
      <c r="I1224" s="2524">
        <f t="shared" si="80"/>
        <v>13.423522048155872</v>
      </c>
      <c r="J1224" s="2525">
        <f t="shared" si="71"/>
        <v>4.9423217303822922</v>
      </c>
      <c r="K1224" s="2261">
        <f t="shared" si="72"/>
        <v>5.919604026580453</v>
      </c>
      <c r="L1224" s="2524">
        <f t="shared" si="73"/>
        <v>6.8968863227786139</v>
      </c>
      <c r="M1224" s="2524">
        <f t="shared" si="74"/>
        <v>3.9650394341841317</v>
      </c>
      <c r="N1224" s="2524">
        <f t="shared" si="75"/>
        <v>2.9877571379859713</v>
      </c>
    </row>
    <row r="1225" spans="1:14" ht="15">
      <c r="A1225" s="2218"/>
      <c r="B1225" s="2251">
        <v>44652</v>
      </c>
      <c r="C1225">
        <v>21.545100000000001</v>
      </c>
      <c r="D1225" s="2522">
        <v>4.9866000000000001</v>
      </c>
      <c r="E1225" s="2523">
        <f t="shared" si="77"/>
        <v>20.496540945512795</v>
      </c>
      <c r="F1225" s="2261">
        <f t="shared" si="76"/>
        <v>24.033050394191257</v>
      </c>
      <c r="G1225" s="2524">
        <f t="shared" si="78"/>
        <v>27.569559842869719</v>
      </c>
      <c r="H1225" s="2524">
        <f t="shared" si="79"/>
        <v>16.960031496834333</v>
      </c>
      <c r="I1225" s="2524">
        <f t="shared" si="80"/>
        <v>13.423522048155872</v>
      </c>
      <c r="J1225" s="2525">
        <f t="shared" si="71"/>
        <v>4.9423217303822922</v>
      </c>
      <c r="K1225" s="2261">
        <f t="shared" si="72"/>
        <v>5.919604026580453</v>
      </c>
      <c r="L1225" s="2524">
        <f t="shared" si="73"/>
        <v>6.8968863227786139</v>
      </c>
      <c r="M1225" s="2524">
        <f t="shared" si="74"/>
        <v>3.9650394341841317</v>
      </c>
      <c r="N1225" s="2524">
        <f t="shared" si="75"/>
        <v>2.9877571379859713</v>
      </c>
    </row>
    <row r="1226" spans="1:14" ht="15">
      <c r="A1226" s="2218"/>
      <c r="B1226" s="2251">
        <v>44655</v>
      </c>
      <c r="C1226">
        <v>21.215199999999999</v>
      </c>
      <c r="D1226" s="2522">
        <v>5.0080999999999998</v>
      </c>
      <c r="E1226" s="2523">
        <f t="shared" si="77"/>
        <v>20.496540945512795</v>
      </c>
      <c r="F1226" s="2261">
        <f t="shared" si="76"/>
        <v>24.033050394191257</v>
      </c>
      <c r="G1226" s="2524">
        <f t="shared" si="78"/>
        <v>27.569559842869719</v>
      </c>
      <c r="H1226" s="2524">
        <f t="shared" si="79"/>
        <v>16.960031496834333</v>
      </c>
      <c r="I1226" s="2524">
        <f t="shared" si="80"/>
        <v>13.423522048155872</v>
      </c>
      <c r="J1226" s="2525">
        <f t="shared" si="71"/>
        <v>4.9423217303822922</v>
      </c>
      <c r="K1226" s="2261">
        <f t="shared" si="72"/>
        <v>5.919604026580453</v>
      </c>
      <c r="L1226" s="2524">
        <f t="shared" si="73"/>
        <v>6.8968863227786139</v>
      </c>
      <c r="M1226" s="2524">
        <f t="shared" si="74"/>
        <v>3.9650394341841317</v>
      </c>
      <c r="N1226" s="2524">
        <f t="shared" si="75"/>
        <v>2.9877571379859713</v>
      </c>
    </row>
    <row r="1227" spans="1:14" ht="15">
      <c r="A1227" s="2218"/>
      <c r="B1227" s="2251">
        <v>44656</v>
      </c>
      <c r="C1227">
        <v>21.1569</v>
      </c>
      <c r="D1227" s="2522">
        <v>4.9542999999999999</v>
      </c>
      <c r="E1227" s="2523">
        <f t="shared" si="77"/>
        <v>20.496540945512795</v>
      </c>
      <c r="F1227" s="2261">
        <f t="shared" si="76"/>
        <v>24.033050394191257</v>
      </c>
      <c r="G1227" s="2524">
        <f t="shared" si="78"/>
        <v>27.569559842869719</v>
      </c>
      <c r="H1227" s="2524">
        <f t="shared" si="79"/>
        <v>16.960031496834333</v>
      </c>
      <c r="I1227" s="2524">
        <f t="shared" si="80"/>
        <v>13.423522048155872</v>
      </c>
      <c r="J1227" s="2525">
        <f t="shared" si="71"/>
        <v>4.9423217303822922</v>
      </c>
      <c r="K1227" s="2261">
        <f t="shared" si="72"/>
        <v>5.919604026580453</v>
      </c>
      <c r="L1227" s="2524">
        <f t="shared" si="73"/>
        <v>6.8968863227786139</v>
      </c>
      <c r="M1227" s="2524">
        <f t="shared" si="74"/>
        <v>3.9650394341841317</v>
      </c>
      <c r="N1227" s="2524">
        <f t="shared" si="75"/>
        <v>2.9877571379859713</v>
      </c>
    </row>
    <row r="1228" spans="1:14" ht="15">
      <c r="A1228" s="2218"/>
      <c r="B1228" s="2251">
        <v>44657</v>
      </c>
      <c r="C1228">
        <v>21.933299999999999</v>
      </c>
      <c r="D1228" s="2522">
        <v>4.9705000000000004</v>
      </c>
      <c r="E1228" s="2523">
        <f t="shared" si="77"/>
        <v>20.496540945512795</v>
      </c>
      <c r="F1228" s="2261">
        <f t="shared" si="76"/>
        <v>24.033050394191257</v>
      </c>
      <c r="G1228" s="2524">
        <f t="shared" si="78"/>
        <v>27.569559842869719</v>
      </c>
      <c r="H1228" s="2524">
        <f t="shared" si="79"/>
        <v>16.960031496834333</v>
      </c>
      <c r="I1228" s="2524">
        <f t="shared" si="80"/>
        <v>13.423522048155872</v>
      </c>
      <c r="J1228" s="2525">
        <f t="shared" si="71"/>
        <v>4.9423217303822922</v>
      </c>
      <c r="K1228" s="2261">
        <f t="shared" si="72"/>
        <v>5.919604026580453</v>
      </c>
      <c r="L1228" s="2524">
        <f t="shared" si="73"/>
        <v>6.8968863227786139</v>
      </c>
      <c r="M1228" s="2524">
        <f t="shared" si="74"/>
        <v>3.9650394341841317</v>
      </c>
      <c r="N1228" s="2524">
        <f t="shared" si="75"/>
        <v>2.9877571379859713</v>
      </c>
    </row>
    <row r="1229" spans="1:14" ht="15">
      <c r="A1229" s="2218"/>
      <c r="B1229" s="2251">
        <v>44658</v>
      </c>
      <c r="C1229">
        <v>21.991599999999998</v>
      </c>
      <c r="D1229" s="2522">
        <v>4.9221000000000004</v>
      </c>
      <c r="E1229" s="2523">
        <f t="shared" si="77"/>
        <v>20.496540945512795</v>
      </c>
      <c r="F1229" s="2261">
        <f t="shared" si="76"/>
        <v>24.033050394191257</v>
      </c>
      <c r="G1229" s="2524">
        <f t="shared" si="78"/>
        <v>27.569559842869719</v>
      </c>
      <c r="H1229" s="2524">
        <f t="shared" si="79"/>
        <v>16.960031496834333</v>
      </c>
      <c r="I1229" s="2524">
        <f t="shared" si="80"/>
        <v>13.423522048155872</v>
      </c>
      <c r="J1229" s="2525">
        <f t="shared" si="71"/>
        <v>4.9423217303822922</v>
      </c>
      <c r="K1229" s="2261">
        <f t="shared" si="72"/>
        <v>5.919604026580453</v>
      </c>
      <c r="L1229" s="2524">
        <f t="shared" si="73"/>
        <v>6.8968863227786139</v>
      </c>
      <c r="M1229" s="2524">
        <f t="shared" si="74"/>
        <v>3.9650394341841317</v>
      </c>
      <c r="N1229" s="2524">
        <f t="shared" si="75"/>
        <v>2.9877571379859713</v>
      </c>
    </row>
    <row r="1230" spans="1:14" ht="15">
      <c r="A1230" s="2218"/>
      <c r="B1230" s="2251">
        <v>44659</v>
      </c>
      <c r="C1230">
        <v>21.059899999999999</v>
      </c>
      <c r="D1230" s="2522">
        <v>4.9812000000000003</v>
      </c>
      <c r="E1230" s="2523">
        <f t="shared" si="77"/>
        <v>20.496540945512795</v>
      </c>
      <c r="F1230" s="2261">
        <f t="shared" si="76"/>
        <v>24.033050394191257</v>
      </c>
      <c r="G1230" s="2524">
        <f t="shared" si="78"/>
        <v>27.569559842869719</v>
      </c>
      <c r="H1230" s="2524">
        <f t="shared" si="79"/>
        <v>16.960031496834333</v>
      </c>
      <c r="I1230" s="2524">
        <f t="shared" si="80"/>
        <v>13.423522048155872</v>
      </c>
      <c r="J1230" s="2525">
        <f t="shared" si="71"/>
        <v>4.9423217303822922</v>
      </c>
      <c r="K1230" s="2261">
        <f t="shared" si="72"/>
        <v>5.919604026580453</v>
      </c>
      <c r="L1230" s="2524">
        <f t="shared" si="73"/>
        <v>6.8968863227786139</v>
      </c>
      <c r="M1230" s="2524">
        <f t="shared" si="74"/>
        <v>3.9650394341841317</v>
      </c>
      <c r="N1230" s="2524">
        <f t="shared" si="75"/>
        <v>2.9877571379859713</v>
      </c>
    </row>
    <row r="1231" spans="1:14" ht="15">
      <c r="A1231" s="2218"/>
      <c r="B1231" s="2251">
        <v>44663</v>
      </c>
      <c r="C1231">
        <v>21.312200000000001</v>
      </c>
      <c r="D1231" s="2522">
        <v>5.1369999999999996</v>
      </c>
      <c r="E1231" s="2523">
        <f t="shared" si="77"/>
        <v>20.496540945512795</v>
      </c>
      <c r="F1231" s="2261">
        <f t="shared" si="76"/>
        <v>24.033050394191257</v>
      </c>
      <c r="G1231" s="2524">
        <f t="shared" si="78"/>
        <v>27.569559842869719</v>
      </c>
      <c r="H1231" s="2524">
        <f t="shared" si="79"/>
        <v>16.960031496834333</v>
      </c>
      <c r="I1231" s="2524">
        <f t="shared" si="80"/>
        <v>13.423522048155872</v>
      </c>
      <c r="J1231" s="2525">
        <f t="shared" si="71"/>
        <v>4.9423217303822922</v>
      </c>
      <c r="K1231" s="2261">
        <f t="shared" si="72"/>
        <v>5.919604026580453</v>
      </c>
      <c r="L1231" s="2524">
        <f t="shared" si="73"/>
        <v>6.8968863227786139</v>
      </c>
      <c r="M1231" s="2524">
        <f t="shared" si="74"/>
        <v>3.9650394341841317</v>
      </c>
      <c r="N1231" s="2524">
        <f t="shared" si="75"/>
        <v>2.9877571379859713</v>
      </c>
    </row>
    <row r="1232" spans="1:14" ht="15">
      <c r="A1232" s="2218"/>
      <c r="B1232" s="2251">
        <v>44664</v>
      </c>
      <c r="C1232">
        <v>22.341000000000001</v>
      </c>
      <c r="D1232" s="2522">
        <v>5.1745999999999999</v>
      </c>
      <c r="E1232" s="2523">
        <f t="shared" si="77"/>
        <v>20.496540945512795</v>
      </c>
      <c r="F1232" s="2261">
        <f t="shared" si="76"/>
        <v>24.033050394191257</v>
      </c>
      <c r="G1232" s="2524">
        <f t="shared" si="78"/>
        <v>27.569559842869719</v>
      </c>
      <c r="H1232" s="2524">
        <f t="shared" si="79"/>
        <v>16.960031496834333</v>
      </c>
      <c r="I1232" s="2524">
        <f t="shared" si="80"/>
        <v>13.423522048155872</v>
      </c>
      <c r="J1232" s="2525">
        <f t="shared" si="71"/>
        <v>4.9423217303822922</v>
      </c>
      <c r="K1232" s="2261">
        <f t="shared" si="72"/>
        <v>5.919604026580453</v>
      </c>
      <c r="L1232" s="2524">
        <f t="shared" si="73"/>
        <v>6.8968863227786139</v>
      </c>
      <c r="M1232" s="2524">
        <f t="shared" si="74"/>
        <v>3.9650394341841317</v>
      </c>
      <c r="N1232" s="2524">
        <f t="shared" si="75"/>
        <v>2.9877571379859713</v>
      </c>
    </row>
    <row r="1233" spans="1:14" ht="15">
      <c r="A1233" s="2218"/>
      <c r="B1233" s="2251">
        <v>44665</v>
      </c>
      <c r="C1233">
        <v>22.632100000000001</v>
      </c>
      <c r="D1233" s="2522">
        <v>5.2122999999999999</v>
      </c>
      <c r="E1233" s="2523">
        <f t="shared" si="77"/>
        <v>20.496540945512795</v>
      </c>
      <c r="F1233" s="2261">
        <f t="shared" si="76"/>
        <v>24.033050394191257</v>
      </c>
      <c r="G1233" s="2524">
        <f t="shared" si="78"/>
        <v>27.569559842869719</v>
      </c>
      <c r="H1233" s="2524">
        <f t="shared" si="79"/>
        <v>16.960031496834333</v>
      </c>
      <c r="I1233" s="2524">
        <f t="shared" si="80"/>
        <v>13.423522048155872</v>
      </c>
      <c r="J1233" s="2525">
        <f t="shared" si="71"/>
        <v>4.9423217303822922</v>
      </c>
      <c r="K1233" s="2261">
        <f t="shared" si="72"/>
        <v>5.919604026580453</v>
      </c>
      <c r="L1233" s="2524">
        <f t="shared" si="73"/>
        <v>6.8968863227786139</v>
      </c>
      <c r="M1233" s="2524">
        <f t="shared" si="74"/>
        <v>3.9650394341841317</v>
      </c>
      <c r="N1233" s="2524">
        <f t="shared" si="75"/>
        <v>2.9877571379859713</v>
      </c>
    </row>
    <row r="1234" spans="1:14" ht="15">
      <c r="A1234" s="2218"/>
      <c r="B1234" s="2251">
        <v>44666</v>
      </c>
      <c r="C1234">
        <v>22.3215</v>
      </c>
      <c r="D1234" s="2522">
        <v>5.18</v>
      </c>
      <c r="E1234" s="2523">
        <f t="shared" si="77"/>
        <v>20.496540945512795</v>
      </c>
      <c r="F1234" s="2261">
        <f t="shared" si="76"/>
        <v>24.033050394191257</v>
      </c>
      <c r="G1234" s="2524">
        <f t="shared" si="78"/>
        <v>27.569559842869719</v>
      </c>
      <c r="H1234" s="2524">
        <f t="shared" si="79"/>
        <v>16.960031496834333</v>
      </c>
      <c r="I1234" s="2524">
        <f t="shared" si="80"/>
        <v>13.423522048155872</v>
      </c>
      <c r="J1234" s="2525">
        <f t="shared" si="71"/>
        <v>4.9423217303822922</v>
      </c>
      <c r="K1234" s="2261">
        <f t="shared" si="72"/>
        <v>5.919604026580453</v>
      </c>
      <c r="L1234" s="2524">
        <f t="shared" si="73"/>
        <v>6.8968863227786139</v>
      </c>
      <c r="M1234" s="2524">
        <f t="shared" si="74"/>
        <v>3.9650394341841317</v>
      </c>
      <c r="N1234" s="2524">
        <f t="shared" si="75"/>
        <v>2.9877571379859713</v>
      </c>
    </row>
    <row r="1235" spans="1:14" ht="15">
      <c r="A1235" s="2218"/>
      <c r="B1235" s="2251">
        <v>44669</v>
      </c>
      <c r="C1235">
        <v>22.418600000000001</v>
      </c>
      <c r="D1235" s="2522">
        <v>5.1638999999999999</v>
      </c>
      <c r="E1235" s="2523">
        <f t="shared" si="77"/>
        <v>20.496540945512795</v>
      </c>
      <c r="F1235" s="2261">
        <f t="shared" si="76"/>
        <v>24.033050394191257</v>
      </c>
      <c r="G1235" s="2524">
        <f t="shared" si="78"/>
        <v>27.569559842869719</v>
      </c>
      <c r="H1235" s="2524">
        <f t="shared" si="79"/>
        <v>16.960031496834333</v>
      </c>
      <c r="I1235" s="2524">
        <f t="shared" si="80"/>
        <v>13.423522048155872</v>
      </c>
      <c r="J1235" s="2525">
        <f t="shared" si="71"/>
        <v>4.9423217303822922</v>
      </c>
      <c r="K1235" s="2261">
        <f t="shared" si="72"/>
        <v>5.919604026580453</v>
      </c>
      <c r="L1235" s="2524">
        <f t="shared" si="73"/>
        <v>6.8968863227786139</v>
      </c>
      <c r="M1235" s="2524">
        <f t="shared" si="74"/>
        <v>3.9650394341841317</v>
      </c>
      <c r="N1235" s="2524">
        <f t="shared" si="75"/>
        <v>2.9877571379859713</v>
      </c>
    </row>
    <row r="1236" spans="1:14" ht="15">
      <c r="A1236" s="2218"/>
      <c r="B1236" s="2251">
        <v>44670</v>
      </c>
      <c r="C1236">
        <v>21.7392</v>
      </c>
      <c r="D1236" s="2522">
        <v>5.2015000000000002</v>
      </c>
      <c r="E1236" s="2523">
        <f t="shared" si="77"/>
        <v>20.496540945512795</v>
      </c>
      <c r="F1236" s="2261">
        <f t="shared" si="76"/>
        <v>24.033050394191257</v>
      </c>
      <c r="G1236" s="2524">
        <f t="shared" si="78"/>
        <v>27.569559842869719</v>
      </c>
      <c r="H1236" s="2524">
        <f t="shared" si="79"/>
        <v>16.960031496834333</v>
      </c>
      <c r="I1236" s="2524">
        <f t="shared" si="80"/>
        <v>13.423522048155872</v>
      </c>
      <c r="J1236" s="2525">
        <f t="shared" si="71"/>
        <v>4.9423217303822922</v>
      </c>
      <c r="K1236" s="2261">
        <f t="shared" si="72"/>
        <v>5.919604026580453</v>
      </c>
      <c r="L1236" s="2524">
        <f t="shared" si="73"/>
        <v>6.8968863227786139</v>
      </c>
      <c r="M1236" s="2524">
        <f t="shared" si="74"/>
        <v>3.9650394341841317</v>
      </c>
      <c r="N1236" s="2524">
        <f t="shared" si="75"/>
        <v>2.9877571379859713</v>
      </c>
    </row>
    <row r="1237" spans="1:14" ht="15">
      <c r="A1237" s="2218"/>
      <c r="B1237" s="2251">
        <v>44671</v>
      </c>
      <c r="C1237">
        <v>21.7392</v>
      </c>
      <c r="D1237" s="2522">
        <v>5.0026999999999999</v>
      </c>
      <c r="E1237" s="2523">
        <f t="shared" si="77"/>
        <v>20.496540945512795</v>
      </c>
      <c r="F1237" s="2261">
        <f t="shared" si="76"/>
        <v>24.033050394191257</v>
      </c>
      <c r="G1237" s="2524">
        <f t="shared" si="78"/>
        <v>27.569559842869719</v>
      </c>
      <c r="H1237" s="2524">
        <f t="shared" si="79"/>
        <v>16.960031496834333</v>
      </c>
      <c r="I1237" s="2524">
        <f t="shared" si="80"/>
        <v>13.423522048155872</v>
      </c>
      <c r="J1237" s="2525">
        <f t="shared" si="71"/>
        <v>4.9423217303822922</v>
      </c>
      <c r="K1237" s="2261">
        <f t="shared" si="72"/>
        <v>5.919604026580453</v>
      </c>
      <c r="L1237" s="2524">
        <f t="shared" si="73"/>
        <v>6.8968863227786139</v>
      </c>
      <c r="M1237" s="2524">
        <f t="shared" si="74"/>
        <v>3.9650394341841317</v>
      </c>
      <c r="N1237" s="2524">
        <f t="shared" si="75"/>
        <v>2.9877571379859713</v>
      </c>
    </row>
    <row r="1238" spans="1:14" ht="15">
      <c r="A1238" s="2218"/>
      <c r="B1238" s="2251">
        <v>44672</v>
      </c>
      <c r="C1238">
        <v>21.7392</v>
      </c>
      <c r="D1238" s="2522">
        <v>4.9973000000000001</v>
      </c>
      <c r="E1238" s="2523">
        <f t="shared" si="77"/>
        <v>20.496540945512795</v>
      </c>
      <c r="F1238" s="2261">
        <f t="shared" si="76"/>
        <v>24.033050394191257</v>
      </c>
      <c r="G1238" s="2524">
        <f t="shared" si="78"/>
        <v>27.569559842869719</v>
      </c>
      <c r="H1238" s="2524">
        <f t="shared" si="79"/>
        <v>16.960031496834333</v>
      </c>
      <c r="I1238" s="2524">
        <f t="shared" si="80"/>
        <v>13.423522048155872</v>
      </c>
      <c r="J1238" s="2525">
        <f t="shared" si="71"/>
        <v>4.9423217303822922</v>
      </c>
      <c r="K1238" s="2261">
        <f t="shared" si="72"/>
        <v>5.919604026580453</v>
      </c>
      <c r="L1238" s="2524">
        <f t="shared" si="73"/>
        <v>6.8968863227786139</v>
      </c>
      <c r="M1238" s="2524">
        <f t="shared" si="74"/>
        <v>3.9650394341841317</v>
      </c>
      <c r="N1238" s="2524">
        <f t="shared" si="75"/>
        <v>2.9877571379859713</v>
      </c>
    </row>
    <row r="1239" spans="1:14" ht="15">
      <c r="A1239" s="2218"/>
      <c r="B1239" s="2251">
        <v>44673</v>
      </c>
      <c r="C1239">
        <v>21.564599999999999</v>
      </c>
      <c r="D1239" s="2522">
        <v>4.9436</v>
      </c>
      <c r="E1239" s="2523">
        <f t="shared" si="77"/>
        <v>20.496540945512795</v>
      </c>
      <c r="F1239" s="2261">
        <f t="shared" si="76"/>
        <v>24.033050394191257</v>
      </c>
      <c r="G1239" s="2524">
        <f t="shared" si="78"/>
        <v>27.569559842869719</v>
      </c>
      <c r="H1239" s="2524">
        <f t="shared" si="79"/>
        <v>16.960031496834333</v>
      </c>
      <c r="I1239" s="2524">
        <f t="shared" si="80"/>
        <v>13.423522048155872</v>
      </c>
      <c r="J1239" s="2525">
        <f t="shared" si="71"/>
        <v>4.9423217303822922</v>
      </c>
      <c r="K1239" s="2261">
        <f t="shared" si="72"/>
        <v>5.919604026580453</v>
      </c>
      <c r="L1239" s="2524">
        <f t="shared" si="73"/>
        <v>6.8968863227786139</v>
      </c>
      <c r="M1239" s="2524">
        <f t="shared" si="74"/>
        <v>3.9650394341841317</v>
      </c>
      <c r="N1239" s="2524">
        <f t="shared" si="75"/>
        <v>2.9877571379859713</v>
      </c>
    </row>
    <row r="1240" spans="1:14" ht="15">
      <c r="A1240" s="2218"/>
      <c r="B1240" s="2251">
        <v>44676</v>
      </c>
      <c r="C1240">
        <v>20.07</v>
      </c>
      <c r="D1240" s="2522">
        <v>4.9919000000000002</v>
      </c>
      <c r="E1240" s="2523">
        <f t="shared" si="77"/>
        <v>20.496540945512795</v>
      </c>
      <c r="F1240" s="2261">
        <f t="shared" si="76"/>
        <v>24.033050394191257</v>
      </c>
      <c r="G1240" s="2524">
        <f t="shared" si="78"/>
        <v>27.569559842869719</v>
      </c>
      <c r="H1240" s="2524">
        <f t="shared" si="79"/>
        <v>16.960031496834333</v>
      </c>
      <c r="I1240" s="2524">
        <f t="shared" si="80"/>
        <v>13.423522048155872</v>
      </c>
      <c r="J1240" s="2525">
        <f t="shared" si="71"/>
        <v>4.9423217303822922</v>
      </c>
      <c r="K1240" s="2261">
        <f t="shared" si="72"/>
        <v>5.919604026580453</v>
      </c>
      <c r="L1240" s="2524">
        <f t="shared" si="73"/>
        <v>6.8968863227786139</v>
      </c>
      <c r="M1240" s="2524">
        <f t="shared" si="74"/>
        <v>3.9650394341841317</v>
      </c>
      <c r="N1240" s="2524">
        <f t="shared" si="75"/>
        <v>2.9877571379859713</v>
      </c>
    </row>
    <row r="1241" spans="1:14" ht="15">
      <c r="A1241" s="2218"/>
      <c r="B1241" s="2251">
        <v>44677</v>
      </c>
      <c r="C1241">
        <v>20.244700000000002</v>
      </c>
      <c r="D1241" s="2522">
        <v>4.8898999999999999</v>
      </c>
      <c r="E1241" s="2523">
        <f t="shared" si="77"/>
        <v>20.496540945512795</v>
      </c>
      <c r="F1241" s="2261">
        <f t="shared" si="76"/>
        <v>24.033050394191257</v>
      </c>
      <c r="G1241" s="2524">
        <f t="shared" si="78"/>
        <v>27.569559842869719</v>
      </c>
      <c r="H1241" s="2524">
        <f t="shared" si="79"/>
        <v>16.960031496834333</v>
      </c>
      <c r="I1241" s="2524">
        <f t="shared" si="80"/>
        <v>13.423522048155872</v>
      </c>
      <c r="J1241" s="2525">
        <f t="shared" si="71"/>
        <v>4.9423217303822922</v>
      </c>
      <c r="K1241" s="2261">
        <f t="shared" si="72"/>
        <v>5.919604026580453</v>
      </c>
      <c r="L1241" s="2524">
        <f t="shared" si="73"/>
        <v>6.8968863227786139</v>
      </c>
      <c r="M1241" s="2524">
        <f t="shared" si="74"/>
        <v>3.9650394341841317</v>
      </c>
      <c r="N1241" s="2524">
        <f t="shared" si="75"/>
        <v>2.9877571379859713</v>
      </c>
    </row>
    <row r="1242" spans="1:14" ht="15">
      <c r="A1242" s="2218"/>
      <c r="B1242" s="2251">
        <v>44678</v>
      </c>
      <c r="C1242">
        <v>19.9923</v>
      </c>
      <c r="D1242" s="2522">
        <v>4.9436</v>
      </c>
      <c r="E1242" s="2523">
        <f t="shared" si="77"/>
        <v>20.496540945512795</v>
      </c>
      <c r="F1242" s="2261">
        <f t="shared" si="76"/>
        <v>24.033050394191257</v>
      </c>
      <c r="G1242" s="2524">
        <f t="shared" si="78"/>
        <v>27.569559842869719</v>
      </c>
      <c r="H1242" s="2524">
        <f t="shared" si="79"/>
        <v>16.960031496834333</v>
      </c>
      <c r="I1242" s="2524">
        <f t="shared" si="80"/>
        <v>13.423522048155872</v>
      </c>
      <c r="J1242" s="2525">
        <f t="shared" si="71"/>
        <v>4.9423217303822922</v>
      </c>
      <c r="K1242" s="2261">
        <f t="shared" si="72"/>
        <v>5.919604026580453</v>
      </c>
      <c r="L1242" s="2524">
        <f t="shared" si="73"/>
        <v>6.8968863227786139</v>
      </c>
      <c r="M1242" s="2524">
        <f t="shared" si="74"/>
        <v>3.9650394341841317</v>
      </c>
      <c r="N1242" s="2524">
        <f t="shared" si="75"/>
        <v>2.9877571379859713</v>
      </c>
    </row>
    <row r="1243" spans="1:14" ht="15">
      <c r="A1243" s="2218"/>
      <c r="B1243" s="2251">
        <v>44679</v>
      </c>
      <c r="C1243">
        <v>20.477599999999999</v>
      </c>
      <c r="D1243" s="2522">
        <v>4.8845000000000001</v>
      </c>
      <c r="E1243" s="2523">
        <f t="shared" si="77"/>
        <v>20.496540945512795</v>
      </c>
      <c r="F1243" s="2261">
        <f t="shared" si="76"/>
        <v>24.033050394191257</v>
      </c>
      <c r="G1243" s="2524">
        <f t="shared" si="78"/>
        <v>27.569559842869719</v>
      </c>
      <c r="H1243" s="2524">
        <f t="shared" si="79"/>
        <v>16.960031496834333</v>
      </c>
      <c r="I1243" s="2524">
        <f t="shared" si="80"/>
        <v>13.423522048155872</v>
      </c>
      <c r="J1243" s="2525">
        <f t="shared" si="71"/>
        <v>4.9423217303822922</v>
      </c>
      <c r="K1243" s="2261">
        <f t="shared" si="72"/>
        <v>5.919604026580453</v>
      </c>
      <c r="L1243" s="2524">
        <f t="shared" si="73"/>
        <v>6.8968863227786139</v>
      </c>
      <c r="M1243" s="2524">
        <f t="shared" si="74"/>
        <v>3.9650394341841317</v>
      </c>
      <c r="N1243" s="2524">
        <f t="shared" si="75"/>
        <v>2.9877571379859713</v>
      </c>
    </row>
    <row r="1244" spans="1:14" ht="15">
      <c r="A1244" s="2218"/>
      <c r="B1244" s="2251">
        <v>44680</v>
      </c>
      <c r="C1244">
        <v>20.380500000000001</v>
      </c>
      <c r="D1244" s="2522">
        <v>4.6642000000000001</v>
      </c>
      <c r="E1244" s="2523">
        <f t="shared" si="77"/>
        <v>20.496540945512795</v>
      </c>
      <c r="F1244" s="2261">
        <f t="shared" si="76"/>
        <v>24.033050394191257</v>
      </c>
      <c r="G1244" s="2524">
        <f t="shared" si="78"/>
        <v>27.569559842869719</v>
      </c>
      <c r="H1244" s="2524">
        <f t="shared" si="79"/>
        <v>16.960031496834333</v>
      </c>
      <c r="I1244" s="2524">
        <f t="shared" si="80"/>
        <v>13.423522048155872</v>
      </c>
      <c r="J1244" s="2525">
        <f t="shared" si="71"/>
        <v>4.9423217303822922</v>
      </c>
      <c r="K1244" s="2261">
        <f t="shared" si="72"/>
        <v>5.919604026580453</v>
      </c>
      <c r="L1244" s="2524">
        <f t="shared" si="73"/>
        <v>6.8968863227786139</v>
      </c>
      <c r="M1244" s="2524">
        <f t="shared" si="74"/>
        <v>3.9650394341841317</v>
      </c>
      <c r="N1244" s="2524">
        <f t="shared" si="75"/>
        <v>2.9877571379859713</v>
      </c>
    </row>
    <row r="1245" spans="1:14" ht="15">
      <c r="A1245" s="2218"/>
      <c r="B1245" s="2251">
        <v>44685</v>
      </c>
      <c r="C1245">
        <v>20.2835</v>
      </c>
      <c r="D1245" s="2522">
        <v>4.6749000000000001</v>
      </c>
      <c r="E1245" s="2523">
        <f t="shared" si="77"/>
        <v>20.496540945512795</v>
      </c>
      <c r="F1245" s="2261">
        <f t="shared" si="76"/>
        <v>24.033050394191257</v>
      </c>
      <c r="G1245" s="2524">
        <f t="shared" si="78"/>
        <v>27.569559842869719</v>
      </c>
      <c r="H1245" s="2524">
        <f t="shared" si="79"/>
        <v>16.960031496834333</v>
      </c>
      <c r="I1245" s="2524">
        <f t="shared" si="80"/>
        <v>13.423522048155872</v>
      </c>
      <c r="J1245" s="2525">
        <f t="shared" si="71"/>
        <v>4.9423217303822922</v>
      </c>
      <c r="K1245" s="2261">
        <f t="shared" si="72"/>
        <v>5.919604026580453</v>
      </c>
      <c r="L1245" s="2524">
        <f t="shared" si="73"/>
        <v>6.8968863227786139</v>
      </c>
      <c r="M1245" s="2524">
        <f t="shared" si="74"/>
        <v>3.9650394341841317</v>
      </c>
      <c r="N1245" s="2524">
        <f t="shared" si="75"/>
        <v>2.9877571379859713</v>
      </c>
    </row>
    <row r="1246" spans="1:14" ht="15">
      <c r="A1246" s="2218"/>
      <c r="B1246" s="2251">
        <v>44686</v>
      </c>
      <c r="C1246">
        <v>20.322299999999998</v>
      </c>
      <c r="D1246" s="2522">
        <v>4.5674000000000001</v>
      </c>
      <c r="E1246" s="2523">
        <f t="shared" si="77"/>
        <v>20.496540945512795</v>
      </c>
      <c r="F1246" s="2261">
        <f t="shared" si="76"/>
        <v>24.033050394191257</v>
      </c>
      <c r="G1246" s="2524">
        <f t="shared" si="78"/>
        <v>27.569559842869719</v>
      </c>
      <c r="H1246" s="2524">
        <f t="shared" si="79"/>
        <v>16.960031496834333</v>
      </c>
      <c r="I1246" s="2524">
        <f t="shared" si="80"/>
        <v>13.423522048155872</v>
      </c>
      <c r="J1246" s="2525">
        <f t="shared" si="71"/>
        <v>4.9423217303822922</v>
      </c>
      <c r="K1246" s="2261">
        <f t="shared" si="72"/>
        <v>5.919604026580453</v>
      </c>
      <c r="L1246" s="2524">
        <f t="shared" si="73"/>
        <v>6.8968863227786139</v>
      </c>
      <c r="M1246" s="2524">
        <f t="shared" si="74"/>
        <v>3.9650394341841317</v>
      </c>
      <c r="N1246" s="2524">
        <f t="shared" si="75"/>
        <v>2.9877571379859713</v>
      </c>
    </row>
    <row r="1247" spans="1:14" ht="15">
      <c r="A1247" s="2218"/>
      <c r="B1247" s="2251">
        <v>44687</v>
      </c>
      <c r="C1247">
        <v>19.448899999999998</v>
      </c>
      <c r="D1247" s="2522">
        <v>4.46</v>
      </c>
      <c r="E1247" s="2523">
        <f t="shared" si="77"/>
        <v>20.496540945512795</v>
      </c>
      <c r="F1247" s="2261">
        <f t="shared" si="76"/>
        <v>24.033050394191257</v>
      </c>
      <c r="G1247" s="2524">
        <f t="shared" si="78"/>
        <v>27.569559842869719</v>
      </c>
      <c r="H1247" s="2524">
        <f t="shared" si="79"/>
        <v>16.960031496834333</v>
      </c>
      <c r="I1247" s="2524">
        <f t="shared" si="80"/>
        <v>13.423522048155872</v>
      </c>
      <c r="J1247" s="2525">
        <f t="shared" si="71"/>
        <v>4.9423217303822922</v>
      </c>
      <c r="K1247" s="2261">
        <f t="shared" si="72"/>
        <v>5.919604026580453</v>
      </c>
      <c r="L1247" s="2524">
        <f t="shared" si="73"/>
        <v>6.8968863227786139</v>
      </c>
      <c r="M1247" s="2524">
        <f t="shared" si="74"/>
        <v>3.9650394341841317</v>
      </c>
      <c r="N1247" s="2524">
        <f t="shared" si="75"/>
        <v>2.9877571379859713</v>
      </c>
    </row>
    <row r="1248" spans="1:14" ht="15">
      <c r="A1248" s="2218"/>
      <c r="B1248" s="2251">
        <v>44690</v>
      </c>
      <c r="C1248">
        <v>18.2454</v>
      </c>
      <c r="D1248" s="2522">
        <v>4.5888999999999998</v>
      </c>
      <c r="E1248" s="2523">
        <f t="shared" si="77"/>
        <v>20.496540945512795</v>
      </c>
      <c r="F1248" s="2261">
        <f t="shared" si="76"/>
        <v>24.033050394191257</v>
      </c>
      <c r="G1248" s="2524">
        <f t="shared" si="78"/>
        <v>27.569559842869719</v>
      </c>
      <c r="H1248" s="2524">
        <f t="shared" si="79"/>
        <v>16.960031496834333</v>
      </c>
      <c r="I1248" s="2524">
        <f t="shared" si="80"/>
        <v>13.423522048155872</v>
      </c>
      <c r="J1248" s="2525">
        <f t="shared" si="71"/>
        <v>4.9423217303822922</v>
      </c>
      <c r="K1248" s="2261">
        <f t="shared" si="72"/>
        <v>5.919604026580453</v>
      </c>
      <c r="L1248" s="2524">
        <f t="shared" si="73"/>
        <v>6.8968863227786139</v>
      </c>
      <c r="M1248" s="2524">
        <f t="shared" si="74"/>
        <v>3.9650394341841317</v>
      </c>
      <c r="N1248" s="2524">
        <f t="shared" si="75"/>
        <v>2.9877571379859713</v>
      </c>
    </row>
    <row r="1249" spans="1:14" ht="15">
      <c r="A1249" s="2218"/>
      <c r="B1249" s="2251">
        <v>44691</v>
      </c>
      <c r="C1249">
        <v>19.099499999999999</v>
      </c>
      <c r="D1249" s="2522">
        <v>4.7824</v>
      </c>
      <c r="E1249" s="2523">
        <f t="shared" si="77"/>
        <v>20.496540945512795</v>
      </c>
      <c r="F1249" s="2261">
        <f t="shared" si="76"/>
        <v>24.033050394191257</v>
      </c>
      <c r="G1249" s="2524">
        <f t="shared" si="78"/>
        <v>27.569559842869719</v>
      </c>
      <c r="H1249" s="2524">
        <f t="shared" si="79"/>
        <v>16.960031496834333</v>
      </c>
      <c r="I1249" s="2524">
        <f t="shared" si="80"/>
        <v>13.423522048155872</v>
      </c>
      <c r="J1249" s="2525">
        <f t="shared" si="71"/>
        <v>4.9423217303822922</v>
      </c>
      <c r="K1249" s="2261">
        <f t="shared" si="72"/>
        <v>5.919604026580453</v>
      </c>
      <c r="L1249" s="2524">
        <f t="shared" si="73"/>
        <v>6.8968863227786139</v>
      </c>
      <c r="M1249" s="2524">
        <f t="shared" si="74"/>
        <v>3.9650394341841317</v>
      </c>
      <c r="N1249" s="2524">
        <f t="shared" si="75"/>
        <v>2.9877571379859713</v>
      </c>
    </row>
    <row r="1250" spans="1:14" ht="15">
      <c r="A1250" s="2218"/>
      <c r="B1250" s="2251">
        <v>44692</v>
      </c>
      <c r="C1250">
        <v>19.7788</v>
      </c>
      <c r="D1250" s="2522">
        <v>4.6749000000000001</v>
      </c>
      <c r="E1250" s="2523">
        <f t="shared" si="77"/>
        <v>20.496540945512795</v>
      </c>
      <c r="F1250" s="2261">
        <f t="shared" si="76"/>
        <v>24.033050394191257</v>
      </c>
      <c r="G1250" s="2524">
        <f t="shared" si="78"/>
        <v>27.569559842869719</v>
      </c>
      <c r="H1250" s="2524">
        <f t="shared" si="79"/>
        <v>16.960031496834333</v>
      </c>
      <c r="I1250" s="2524">
        <f t="shared" si="80"/>
        <v>13.423522048155872</v>
      </c>
      <c r="J1250" s="2525">
        <f t="shared" si="71"/>
        <v>4.9423217303822922</v>
      </c>
      <c r="K1250" s="2261">
        <f t="shared" si="72"/>
        <v>5.919604026580453</v>
      </c>
      <c r="L1250" s="2524">
        <f t="shared" si="73"/>
        <v>6.8968863227786139</v>
      </c>
      <c r="M1250" s="2524">
        <f t="shared" si="74"/>
        <v>3.9650394341841317</v>
      </c>
      <c r="N1250" s="2524">
        <f t="shared" si="75"/>
        <v>2.9877571379859713</v>
      </c>
    </row>
    <row r="1251" spans="1:14" ht="15">
      <c r="A1251" s="2218"/>
      <c r="B1251" s="2251">
        <v>44693</v>
      </c>
      <c r="C1251">
        <v>18.556000000000001</v>
      </c>
      <c r="D1251" s="2522">
        <v>4.7554999999999996</v>
      </c>
      <c r="E1251" s="2523">
        <f t="shared" si="77"/>
        <v>20.496540945512795</v>
      </c>
      <c r="F1251" s="2261">
        <f t="shared" si="76"/>
        <v>24.033050394191257</v>
      </c>
      <c r="G1251" s="2524">
        <f t="shared" si="78"/>
        <v>27.569559842869719</v>
      </c>
      <c r="H1251" s="2524">
        <f t="shared" si="79"/>
        <v>16.960031496834333</v>
      </c>
      <c r="I1251" s="2524">
        <f t="shared" si="80"/>
        <v>13.423522048155872</v>
      </c>
      <c r="J1251" s="2525">
        <f t="shared" si="71"/>
        <v>4.9423217303822922</v>
      </c>
      <c r="K1251" s="2261">
        <f t="shared" si="72"/>
        <v>5.919604026580453</v>
      </c>
      <c r="L1251" s="2524">
        <f t="shared" si="73"/>
        <v>6.8968863227786139</v>
      </c>
      <c r="M1251" s="2524">
        <f t="shared" si="74"/>
        <v>3.9650394341841317</v>
      </c>
      <c r="N1251" s="2524">
        <f t="shared" si="75"/>
        <v>2.9877571379859713</v>
      </c>
    </row>
    <row r="1252" spans="1:14" ht="15">
      <c r="A1252" s="2218"/>
      <c r="B1252" s="2251">
        <v>44694</v>
      </c>
      <c r="C1252">
        <v>18.1678</v>
      </c>
      <c r="D1252" s="2522">
        <v>4.7447999999999997</v>
      </c>
      <c r="E1252" s="2523">
        <f t="shared" si="77"/>
        <v>20.496540945512795</v>
      </c>
      <c r="F1252" s="2261">
        <f t="shared" si="76"/>
        <v>24.033050394191257</v>
      </c>
      <c r="G1252" s="2524">
        <f t="shared" si="78"/>
        <v>27.569559842869719</v>
      </c>
      <c r="H1252" s="2524">
        <f t="shared" si="79"/>
        <v>16.960031496834333</v>
      </c>
      <c r="I1252" s="2524">
        <f t="shared" si="80"/>
        <v>13.423522048155872</v>
      </c>
      <c r="J1252" s="2525">
        <f t="shared" si="71"/>
        <v>4.9423217303822922</v>
      </c>
      <c r="K1252" s="2261">
        <f t="shared" si="72"/>
        <v>5.919604026580453</v>
      </c>
      <c r="L1252" s="2524">
        <f t="shared" si="73"/>
        <v>6.8968863227786139</v>
      </c>
      <c r="M1252" s="2524">
        <f t="shared" si="74"/>
        <v>3.9650394341841317</v>
      </c>
      <c r="N1252" s="2524">
        <f t="shared" si="75"/>
        <v>2.9877571379859713</v>
      </c>
    </row>
    <row r="1253" spans="1:14" ht="15">
      <c r="A1253" s="2218"/>
      <c r="B1253" s="2251">
        <v>44697</v>
      </c>
      <c r="C1253">
        <v>18.090199999999999</v>
      </c>
      <c r="D1253" s="2522">
        <v>4.9757999999999996</v>
      </c>
      <c r="E1253" s="2523">
        <f t="shared" si="77"/>
        <v>20.496540945512795</v>
      </c>
      <c r="F1253" s="2261">
        <f t="shared" si="76"/>
        <v>24.033050394191257</v>
      </c>
      <c r="G1253" s="2524">
        <f t="shared" si="78"/>
        <v>27.569559842869719</v>
      </c>
      <c r="H1253" s="2524">
        <f t="shared" si="79"/>
        <v>16.960031496834333</v>
      </c>
      <c r="I1253" s="2524">
        <f t="shared" si="80"/>
        <v>13.423522048155872</v>
      </c>
      <c r="J1253" s="2525">
        <f t="shared" si="71"/>
        <v>4.9423217303822922</v>
      </c>
      <c r="K1253" s="2261">
        <f t="shared" si="72"/>
        <v>5.919604026580453</v>
      </c>
      <c r="L1253" s="2524">
        <f t="shared" si="73"/>
        <v>6.8968863227786139</v>
      </c>
      <c r="M1253" s="2524">
        <f t="shared" si="74"/>
        <v>3.9650394341841317</v>
      </c>
      <c r="N1253" s="2524">
        <f t="shared" si="75"/>
        <v>2.9877571379859713</v>
      </c>
    </row>
    <row r="1254" spans="1:14" ht="15">
      <c r="A1254" s="2218"/>
      <c r="B1254" s="2251">
        <v>44698</v>
      </c>
      <c r="C1254">
        <v>19.351800000000001</v>
      </c>
      <c r="D1254" s="2522">
        <v>4.9705000000000004</v>
      </c>
      <c r="E1254" s="2523">
        <f t="shared" si="77"/>
        <v>20.496540945512795</v>
      </c>
      <c r="F1254" s="2261">
        <f t="shared" si="76"/>
        <v>24.033050394191257</v>
      </c>
      <c r="G1254" s="2524">
        <f t="shared" si="78"/>
        <v>27.569559842869719</v>
      </c>
      <c r="H1254" s="2524">
        <f t="shared" si="79"/>
        <v>16.960031496834333</v>
      </c>
      <c r="I1254" s="2524">
        <f t="shared" si="80"/>
        <v>13.423522048155872</v>
      </c>
      <c r="J1254" s="2525">
        <f t="shared" si="71"/>
        <v>4.9423217303822922</v>
      </c>
      <c r="K1254" s="2261">
        <f t="shared" si="72"/>
        <v>5.919604026580453</v>
      </c>
      <c r="L1254" s="2524">
        <f t="shared" si="73"/>
        <v>6.8968863227786139</v>
      </c>
      <c r="M1254" s="2524">
        <f t="shared" si="74"/>
        <v>3.9650394341841317</v>
      </c>
      <c r="N1254" s="2524">
        <f t="shared" si="75"/>
        <v>2.9877571379859713</v>
      </c>
    </row>
    <row r="1255" spans="1:14" ht="15">
      <c r="A1255" s="2218"/>
      <c r="B1255" s="2251">
        <v>44699</v>
      </c>
      <c r="C1255">
        <v>18.9636</v>
      </c>
      <c r="D1255" s="2522">
        <v>4.9166999999999996</v>
      </c>
      <c r="E1255" s="2523">
        <f t="shared" si="77"/>
        <v>20.496540945512795</v>
      </c>
      <c r="F1255" s="2261">
        <f t="shared" si="76"/>
        <v>24.033050394191257</v>
      </c>
      <c r="G1255" s="2524">
        <f t="shared" si="78"/>
        <v>27.569559842869719</v>
      </c>
      <c r="H1255" s="2524">
        <f t="shared" si="79"/>
        <v>16.960031496834333</v>
      </c>
      <c r="I1255" s="2524">
        <f t="shared" si="80"/>
        <v>13.423522048155872</v>
      </c>
      <c r="J1255" s="2525">
        <f t="shared" si="71"/>
        <v>4.9423217303822922</v>
      </c>
      <c r="K1255" s="2261">
        <f t="shared" si="72"/>
        <v>5.919604026580453</v>
      </c>
      <c r="L1255" s="2524">
        <f t="shared" si="73"/>
        <v>6.8968863227786139</v>
      </c>
      <c r="M1255" s="2524">
        <f t="shared" si="74"/>
        <v>3.9650394341841317</v>
      </c>
      <c r="N1255" s="2524">
        <f t="shared" si="75"/>
        <v>2.9877571379859713</v>
      </c>
    </row>
    <row r="1256" spans="1:14" ht="15">
      <c r="A1256" s="2218"/>
      <c r="B1256" s="2251">
        <v>44700</v>
      </c>
      <c r="C1256">
        <v>18.8277</v>
      </c>
      <c r="D1256" s="2522">
        <v>4.9112999999999998</v>
      </c>
      <c r="E1256" s="2523">
        <f t="shared" si="77"/>
        <v>20.496540945512795</v>
      </c>
      <c r="F1256" s="2261">
        <f t="shared" si="76"/>
        <v>24.033050394191257</v>
      </c>
      <c r="G1256" s="2524">
        <f t="shared" si="78"/>
        <v>27.569559842869719</v>
      </c>
      <c r="H1256" s="2524">
        <f t="shared" si="79"/>
        <v>16.960031496834333</v>
      </c>
      <c r="I1256" s="2524">
        <f t="shared" si="80"/>
        <v>13.423522048155872</v>
      </c>
      <c r="J1256" s="2525">
        <f t="shared" si="71"/>
        <v>4.9423217303822922</v>
      </c>
      <c r="K1256" s="2261">
        <f t="shared" si="72"/>
        <v>5.919604026580453</v>
      </c>
      <c r="L1256" s="2524">
        <f t="shared" si="73"/>
        <v>6.8968863227786139</v>
      </c>
      <c r="M1256" s="2524">
        <f t="shared" si="74"/>
        <v>3.9650394341841317</v>
      </c>
      <c r="N1256" s="2524">
        <f t="shared" si="75"/>
        <v>2.9877571379859713</v>
      </c>
    </row>
    <row r="1257" spans="1:14" ht="15">
      <c r="A1257" s="2218"/>
      <c r="B1257" s="2251">
        <v>44701</v>
      </c>
      <c r="C1257">
        <v>18.924800000000001</v>
      </c>
      <c r="D1257" s="2522">
        <v>4.9757999999999996</v>
      </c>
      <c r="E1257" s="2523">
        <f t="shared" si="77"/>
        <v>20.496540945512795</v>
      </c>
      <c r="F1257" s="2261">
        <f t="shared" si="76"/>
        <v>24.033050394191257</v>
      </c>
      <c r="G1257" s="2524">
        <f t="shared" si="78"/>
        <v>27.569559842869719</v>
      </c>
      <c r="H1257" s="2524">
        <f t="shared" si="79"/>
        <v>16.960031496834333</v>
      </c>
      <c r="I1257" s="2524">
        <f t="shared" si="80"/>
        <v>13.423522048155872</v>
      </c>
      <c r="J1257" s="2525">
        <f t="shared" ref="J1257:J1320" si="81">J$953</f>
        <v>4.9423217303822922</v>
      </c>
      <c r="K1257" s="2261">
        <f t="shared" ref="K1257:K1320" si="82">J$953+G$953</f>
        <v>5.919604026580453</v>
      </c>
      <c r="L1257" s="2524">
        <f t="shared" ref="L1257:L1320" si="83">J$953+G$953+G$953</f>
        <v>6.8968863227786139</v>
      </c>
      <c r="M1257" s="2524">
        <f t="shared" ref="M1257:M1320" si="84">J$953-G$953</f>
        <v>3.9650394341841317</v>
      </c>
      <c r="N1257" s="2524">
        <f t="shared" ref="N1257:N1320" si="85">J$953-G$953-G$953</f>
        <v>2.9877571379859713</v>
      </c>
    </row>
    <row r="1258" spans="1:14" ht="15">
      <c r="A1258" s="2218"/>
      <c r="B1258" s="2251">
        <v>44704</v>
      </c>
      <c r="C1258">
        <v>18.730699999999999</v>
      </c>
      <c r="D1258" s="2522">
        <v>4.9650999999999996</v>
      </c>
      <c r="E1258" s="2523">
        <f t="shared" si="77"/>
        <v>20.496540945512795</v>
      </c>
      <c r="F1258" s="2261">
        <f t="shared" si="76"/>
        <v>24.033050394191257</v>
      </c>
      <c r="G1258" s="2524">
        <f t="shared" si="78"/>
        <v>27.569559842869719</v>
      </c>
      <c r="H1258" s="2524">
        <f t="shared" si="79"/>
        <v>16.960031496834333</v>
      </c>
      <c r="I1258" s="2524">
        <f t="shared" si="80"/>
        <v>13.423522048155872</v>
      </c>
      <c r="J1258" s="2525">
        <f t="shared" si="81"/>
        <v>4.9423217303822922</v>
      </c>
      <c r="K1258" s="2261">
        <f t="shared" si="82"/>
        <v>5.919604026580453</v>
      </c>
      <c r="L1258" s="2524">
        <f t="shared" si="83"/>
        <v>6.8968863227786139</v>
      </c>
      <c r="M1258" s="2524">
        <f t="shared" si="84"/>
        <v>3.9650394341841317</v>
      </c>
      <c r="N1258" s="2524">
        <f t="shared" si="85"/>
        <v>2.9877571379859713</v>
      </c>
    </row>
    <row r="1259" spans="1:14" ht="15">
      <c r="A1259" s="2218"/>
      <c r="B1259" s="2251">
        <v>44705</v>
      </c>
      <c r="C1259">
        <v>19.060700000000001</v>
      </c>
      <c r="D1259" s="2522">
        <v>4.9973000000000001</v>
      </c>
      <c r="E1259" s="2523">
        <f t="shared" si="77"/>
        <v>20.496540945512795</v>
      </c>
      <c r="F1259" s="2261">
        <f t="shared" si="76"/>
        <v>24.033050394191257</v>
      </c>
      <c r="G1259" s="2524">
        <f t="shared" si="78"/>
        <v>27.569559842869719</v>
      </c>
      <c r="H1259" s="2524">
        <f t="shared" si="79"/>
        <v>16.960031496834333</v>
      </c>
      <c r="I1259" s="2524">
        <f t="shared" si="80"/>
        <v>13.423522048155872</v>
      </c>
      <c r="J1259" s="2525">
        <f t="shared" si="81"/>
        <v>4.9423217303822922</v>
      </c>
      <c r="K1259" s="2261">
        <f t="shared" si="82"/>
        <v>5.919604026580453</v>
      </c>
      <c r="L1259" s="2524">
        <f t="shared" si="83"/>
        <v>6.8968863227786139</v>
      </c>
      <c r="M1259" s="2524">
        <f t="shared" si="84"/>
        <v>3.9650394341841317</v>
      </c>
      <c r="N1259" s="2524">
        <f t="shared" si="85"/>
        <v>2.9877571379859713</v>
      </c>
    </row>
    <row r="1260" spans="1:14" ht="15">
      <c r="A1260" s="2218"/>
      <c r="B1260" s="2251">
        <v>44706</v>
      </c>
      <c r="C1260">
        <v>20.380500000000001</v>
      </c>
      <c r="D1260" s="2522">
        <v>4.8898999999999999</v>
      </c>
      <c r="E1260" s="2523">
        <f t="shared" si="77"/>
        <v>20.496540945512795</v>
      </c>
      <c r="F1260" s="2261">
        <f t="shared" si="76"/>
        <v>24.033050394191257</v>
      </c>
      <c r="G1260" s="2524">
        <f t="shared" si="78"/>
        <v>27.569559842869719</v>
      </c>
      <c r="H1260" s="2524">
        <f t="shared" si="79"/>
        <v>16.960031496834333</v>
      </c>
      <c r="I1260" s="2524">
        <f t="shared" si="80"/>
        <v>13.423522048155872</v>
      </c>
      <c r="J1260" s="2525">
        <f t="shared" si="81"/>
        <v>4.9423217303822922</v>
      </c>
      <c r="K1260" s="2261">
        <f t="shared" si="82"/>
        <v>5.919604026580453</v>
      </c>
      <c r="L1260" s="2524">
        <f t="shared" si="83"/>
        <v>6.8968863227786139</v>
      </c>
      <c r="M1260" s="2524">
        <f t="shared" si="84"/>
        <v>3.9650394341841317</v>
      </c>
      <c r="N1260" s="2524">
        <f t="shared" si="85"/>
        <v>2.9877571379859713</v>
      </c>
    </row>
    <row r="1261" spans="1:14" ht="15">
      <c r="A1261" s="2218"/>
      <c r="B1261" s="2251">
        <v>44707</v>
      </c>
      <c r="C1261">
        <v>20.497</v>
      </c>
      <c r="D1261" s="2522">
        <v>4.8737000000000004</v>
      </c>
      <c r="E1261" s="2523">
        <f t="shared" si="77"/>
        <v>20.496540945512795</v>
      </c>
      <c r="F1261" s="2261">
        <f t="shared" si="76"/>
        <v>24.033050394191257</v>
      </c>
      <c r="G1261" s="2524">
        <f t="shared" si="78"/>
        <v>27.569559842869719</v>
      </c>
      <c r="H1261" s="2524">
        <f t="shared" si="79"/>
        <v>16.960031496834333</v>
      </c>
      <c r="I1261" s="2524">
        <f t="shared" si="80"/>
        <v>13.423522048155872</v>
      </c>
      <c r="J1261" s="2525">
        <f t="shared" si="81"/>
        <v>4.9423217303822922</v>
      </c>
      <c r="K1261" s="2261">
        <f t="shared" si="82"/>
        <v>5.919604026580453</v>
      </c>
      <c r="L1261" s="2524">
        <f t="shared" si="83"/>
        <v>6.8968863227786139</v>
      </c>
      <c r="M1261" s="2524">
        <f t="shared" si="84"/>
        <v>3.9650394341841317</v>
      </c>
      <c r="N1261" s="2524">
        <f t="shared" si="85"/>
        <v>2.9877571379859713</v>
      </c>
    </row>
    <row r="1262" spans="1:14" ht="15">
      <c r="A1262" s="2218"/>
      <c r="B1262" s="2251">
        <v>44708</v>
      </c>
      <c r="C1262">
        <v>21.700399999999998</v>
      </c>
      <c r="D1262" s="2522">
        <v>4.9382000000000001</v>
      </c>
      <c r="E1262" s="2523">
        <f t="shared" si="77"/>
        <v>20.496540945512795</v>
      </c>
      <c r="F1262" s="2261">
        <f t="shared" si="76"/>
        <v>24.033050394191257</v>
      </c>
      <c r="G1262" s="2524">
        <f t="shared" si="78"/>
        <v>27.569559842869719</v>
      </c>
      <c r="H1262" s="2524">
        <f t="shared" si="79"/>
        <v>16.960031496834333</v>
      </c>
      <c r="I1262" s="2524">
        <f t="shared" si="80"/>
        <v>13.423522048155872</v>
      </c>
      <c r="J1262" s="2525">
        <f t="shared" si="81"/>
        <v>4.9423217303822922</v>
      </c>
      <c r="K1262" s="2261">
        <f t="shared" si="82"/>
        <v>5.919604026580453</v>
      </c>
      <c r="L1262" s="2524">
        <f t="shared" si="83"/>
        <v>6.8968863227786139</v>
      </c>
      <c r="M1262" s="2524">
        <f t="shared" si="84"/>
        <v>3.9650394341841317</v>
      </c>
      <c r="N1262" s="2524">
        <f t="shared" si="85"/>
        <v>2.9877571379859713</v>
      </c>
    </row>
    <row r="1263" spans="1:14" ht="15">
      <c r="A1263" s="2218"/>
      <c r="B1263" s="2251">
        <v>44711</v>
      </c>
      <c r="C1263">
        <v>21.603400000000001</v>
      </c>
      <c r="D1263" s="2522">
        <v>4.9973000000000001</v>
      </c>
      <c r="E1263" s="2523">
        <f t="shared" si="77"/>
        <v>20.496540945512795</v>
      </c>
      <c r="F1263" s="2261">
        <f t="shared" si="76"/>
        <v>24.033050394191257</v>
      </c>
      <c r="G1263" s="2524">
        <f t="shared" si="78"/>
        <v>27.569559842869719</v>
      </c>
      <c r="H1263" s="2524">
        <f t="shared" si="79"/>
        <v>16.960031496834333</v>
      </c>
      <c r="I1263" s="2524">
        <f t="shared" si="80"/>
        <v>13.423522048155872</v>
      </c>
      <c r="J1263" s="2525">
        <f t="shared" si="81"/>
        <v>4.9423217303822922</v>
      </c>
      <c r="K1263" s="2261">
        <f t="shared" si="82"/>
        <v>5.919604026580453</v>
      </c>
      <c r="L1263" s="2524">
        <f t="shared" si="83"/>
        <v>6.8968863227786139</v>
      </c>
      <c r="M1263" s="2524">
        <f t="shared" si="84"/>
        <v>3.9650394341841317</v>
      </c>
      <c r="N1263" s="2524">
        <f t="shared" si="85"/>
        <v>2.9877571379859713</v>
      </c>
    </row>
    <row r="1264" spans="1:14" ht="15">
      <c r="A1264" s="2218"/>
      <c r="B1264" s="2251">
        <v>44712</v>
      </c>
      <c r="C1264">
        <v>21.331600000000002</v>
      </c>
      <c r="D1264" s="2522">
        <v>4.8791000000000002</v>
      </c>
      <c r="E1264" s="2523">
        <f t="shared" si="77"/>
        <v>20.496540945512795</v>
      </c>
      <c r="F1264" s="2261">
        <f t="shared" si="76"/>
        <v>24.033050394191257</v>
      </c>
      <c r="G1264" s="2524">
        <f t="shared" si="78"/>
        <v>27.569559842869719</v>
      </c>
      <c r="H1264" s="2524">
        <f t="shared" si="79"/>
        <v>16.960031496834333</v>
      </c>
      <c r="I1264" s="2524">
        <f t="shared" si="80"/>
        <v>13.423522048155872</v>
      </c>
      <c r="J1264" s="2525">
        <f t="shared" si="81"/>
        <v>4.9423217303822922</v>
      </c>
      <c r="K1264" s="2261">
        <f t="shared" si="82"/>
        <v>5.919604026580453</v>
      </c>
      <c r="L1264" s="2524">
        <f t="shared" si="83"/>
        <v>6.8968863227786139</v>
      </c>
      <c r="M1264" s="2524">
        <f t="shared" si="84"/>
        <v>3.9650394341841317</v>
      </c>
      <c r="N1264" s="2524">
        <f t="shared" si="85"/>
        <v>2.9877571379859713</v>
      </c>
    </row>
    <row r="1265" spans="1:14" ht="15">
      <c r="A1265" s="2218"/>
      <c r="B1265" s="2251">
        <v>44713</v>
      </c>
      <c r="C1265">
        <v>21.700399999999998</v>
      </c>
      <c r="D1265" s="2522">
        <v>4.9005999999999998</v>
      </c>
      <c r="E1265" s="2523">
        <f t="shared" si="77"/>
        <v>20.496540945512795</v>
      </c>
      <c r="F1265" s="2261">
        <f t="shared" si="76"/>
        <v>24.033050394191257</v>
      </c>
      <c r="G1265" s="2524">
        <f t="shared" si="78"/>
        <v>27.569559842869719</v>
      </c>
      <c r="H1265" s="2524">
        <f t="shared" si="79"/>
        <v>16.960031496834333</v>
      </c>
      <c r="I1265" s="2524">
        <f t="shared" si="80"/>
        <v>13.423522048155872</v>
      </c>
      <c r="J1265" s="2525">
        <f t="shared" si="81"/>
        <v>4.9423217303822922</v>
      </c>
      <c r="K1265" s="2261">
        <f t="shared" si="82"/>
        <v>5.919604026580453</v>
      </c>
      <c r="L1265" s="2524">
        <f t="shared" si="83"/>
        <v>6.8968863227786139</v>
      </c>
      <c r="M1265" s="2524">
        <f t="shared" si="84"/>
        <v>3.9650394341841317</v>
      </c>
      <c r="N1265" s="2524">
        <f t="shared" si="85"/>
        <v>2.9877571379859713</v>
      </c>
    </row>
    <row r="1266" spans="1:14" ht="15">
      <c r="A1266" s="2218"/>
      <c r="B1266" s="2251">
        <v>44714</v>
      </c>
      <c r="C1266">
        <v>21.642199999999999</v>
      </c>
      <c r="D1266" s="2522">
        <v>4.8737000000000004</v>
      </c>
      <c r="E1266" s="2523">
        <f t="shared" si="77"/>
        <v>20.496540945512795</v>
      </c>
      <c r="F1266" s="2261">
        <f t="shared" si="76"/>
        <v>24.033050394191257</v>
      </c>
      <c r="G1266" s="2524">
        <f t="shared" si="78"/>
        <v>27.569559842869719</v>
      </c>
      <c r="H1266" s="2524">
        <f t="shared" si="79"/>
        <v>16.960031496834333</v>
      </c>
      <c r="I1266" s="2524">
        <f t="shared" si="80"/>
        <v>13.423522048155872</v>
      </c>
      <c r="J1266" s="2525">
        <f t="shared" si="81"/>
        <v>4.9423217303822922</v>
      </c>
      <c r="K1266" s="2261">
        <f t="shared" si="82"/>
        <v>5.919604026580453</v>
      </c>
      <c r="L1266" s="2524">
        <f t="shared" si="83"/>
        <v>6.8968863227786139</v>
      </c>
      <c r="M1266" s="2524">
        <f t="shared" si="84"/>
        <v>3.9650394341841317</v>
      </c>
      <c r="N1266" s="2524">
        <f t="shared" si="85"/>
        <v>2.9877571379859713</v>
      </c>
    </row>
    <row r="1267" spans="1:14" ht="15">
      <c r="A1267" s="2218"/>
      <c r="B1267" s="2251">
        <v>44715</v>
      </c>
      <c r="C1267">
        <v>22.127400000000002</v>
      </c>
      <c r="D1267" s="2522">
        <v>4.8952</v>
      </c>
      <c r="E1267" s="2523">
        <f t="shared" si="77"/>
        <v>20.496540945512795</v>
      </c>
      <c r="F1267" s="2261">
        <f t="shared" si="76"/>
        <v>24.033050394191257</v>
      </c>
      <c r="G1267" s="2524">
        <f t="shared" si="78"/>
        <v>27.569559842869719</v>
      </c>
      <c r="H1267" s="2524">
        <f t="shared" si="79"/>
        <v>16.960031496834333</v>
      </c>
      <c r="I1267" s="2524">
        <f t="shared" si="80"/>
        <v>13.423522048155872</v>
      </c>
      <c r="J1267" s="2525">
        <f t="shared" si="81"/>
        <v>4.9423217303822922</v>
      </c>
      <c r="K1267" s="2261">
        <f t="shared" si="82"/>
        <v>5.919604026580453</v>
      </c>
      <c r="L1267" s="2524">
        <f t="shared" si="83"/>
        <v>6.8968863227786139</v>
      </c>
      <c r="M1267" s="2524">
        <f t="shared" si="84"/>
        <v>3.9650394341841317</v>
      </c>
      <c r="N1267" s="2524">
        <f t="shared" si="85"/>
        <v>2.9877571379859713</v>
      </c>
    </row>
    <row r="1268" spans="1:14" ht="15">
      <c r="A1268" s="2218"/>
      <c r="B1268" s="2251">
        <v>44718</v>
      </c>
      <c r="C1268">
        <v>21.933299999999999</v>
      </c>
      <c r="D1268" s="2522">
        <v>4.9275000000000002</v>
      </c>
      <c r="E1268" s="2523">
        <f t="shared" si="77"/>
        <v>20.496540945512795</v>
      </c>
      <c r="F1268" s="2261">
        <f t="shared" si="76"/>
        <v>24.033050394191257</v>
      </c>
      <c r="G1268" s="2524">
        <f t="shared" si="78"/>
        <v>27.569559842869719</v>
      </c>
      <c r="H1268" s="2524">
        <f t="shared" si="79"/>
        <v>16.960031496834333</v>
      </c>
      <c r="I1268" s="2524">
        <f t="shared" si="80"/>
        <v>13.423522048155872</v>
      </c>
      <c r="J1268" s="2525">
        <f t="shared" si="81"/>
        <v>4.9423217303822922</v>
      </c>
      <c r="K1268" s="2261">
        <f t="shared" si="82"/>
        <v>5.919604026580453</v>
      </c>
      <c r="L1268" s="2524">
        <f t="shared" si="83"/>
        <v>6.8968863227786139</v>
      </c>
      <c r="M1268" s="2524">
        <f t="shared" si="84"/>
        <v>3.9650394341841317</v>
      </c>
      <c r="N1268" s="2524">
        <f t="shared" si="85"/>
        <v>2.9877571379859713</v>
      </c>
    </row>
    <row r="1269" spans="1:14" ht="15">
      <c r="A1269" s="2218"/>
      <c r="B1269" s="2251">
        <v>44719</v>
      </c>
      <c r="C1269">
        <v>22.437999999999999</v>
      </c>
      <c r="D1269" s="2522">
        <v>4.9382000000000001</v>
      </c>
      <c r="E1269" s="2523">
        <f t="shared" si="77"/>
        <v>20.496540945512795</v>
      </c>
      <c r="F1269" s="2261">
        <f t="shared" si="76"/>
        <v>24.033050394191257</v>
      </c>
      <c r="G1269" s="2524">
        <f t="shared" si="78"/>
        <v>27.569559842869719</v>
      </c>
      <c r="H1269" s="2524">
        <f t="shared" si="79"/>
        <v>16.960031496834333</v>
      </c>
      <c r="I1269" s="2524">
        <f t="shared" si="80"/>
        <v>13.423522048155872</v>
      </c>
      <c r="J1269" s="2525">
        <f t="shared" si="81"/>
        <v>4.9423217303822922</v>
      </c>
      <c r="K1269" s="2261">
        <f t="shared" si="82"/>
        <v>5.919604026580453</v>
      </c>
      <c r="L1269" s="2524">
        <f t="shared" si="83"/>
        <v>6.8968863227786139</v>
      </c>
      <c r="M1269" s="2524">
        <f t="shared" si="84"/>
        <v>3.9650394341841317</v>
      </c>
      <c r="N1269" s="2524">
        <f t="shared" si="85"/>
        <v>2.9877571379859713</v>
      </c>
    </row>
    <row r="1270" spans="1:14" ht="15">
      <c r="A1270" s="2218"/>
      <c r="B1270" s="2251">
        <v>44720</v>
      </c>
      <c r="C1270">
        <v>22.3215</v>
      </c>
      <c r="D1270" s="2522">
        <v>4.9650999999999996</v>
      </c>
      <c r="E1270" s="2523">
        <f t="shared" si="77"/>
        <v>20.496540945512795</v>
      </c>
      <c r="F1270" s="2261">
        <f t="shared" si="76"/>
        <v>24.033050394191257</v>
      </c>
      <c r="G1270" s="2524">
        <f t="shared" si="78"/>
        <v>27.569559842869719</v>
      </c>
      <c r="H1270" s="2524">
        <f t="shared" si="79"/>
        <v>16.960031496834333</v>
      </c>
      <c r="I1270" s="2524">
        <f t="shared" si="80"/>
        <v>13.423522048155872</v>
      </c>
      <c r="J1270" s="2525">
        <f t="shared" si="81"/>
        <v>4.9423217303822922</v>
      </c>
      <c r="K1270" s="2261">
        <f t="shared" si="82"/>
        <v>5.919604026580453</v>
      </c>
      <c r="L1270" s="2524">
        <f t="shared" si="83"/>
        <v>6.8968863227786139</v>
      </c>
      <c r="M1270" s="2524">
        <f t="shared" si="84"/>
        <v>3.9650394341841317</v>
      </c>
      <c r="N1270" s="2524">
        <f t="shared" si="85"/>
        <v>2.9877571379859713</v>
      </c>
    </row>
    <row r="1271" spans="1:14" ht="15">
      <c r="A1271" s="2218"/>
      <c r="B1271" s="2251">
        <v>44721</v>
      </c>
      <c r="C1271">
        <v>22.379799999999999</v>
      </c>
      <c r="D1271" s="2522">
        <v>5.0296000000000003</v>
      </c>
      <c r="E1271" s="2523">
        <f t="shared" si="77"/>
        <v>20.496540945512795</v>
      </c>
      <c r="F1271" s="2261">
        <f t="shared" si="76"/>
        <v>24.033050394191257</v>
      </c>
      <c r="G1271" s="2524">
        <f t="shared" si="78"/>
        <v>27.569559842869719</v>
      </c>
      <c r="H1271" s="2524">
        <f t="shared" si="79"/>
        <v>16.960031496834333</v>
      </c>
      <c r="I1271" s="2524">
        <f t="shared" si="80"/>
        <v>13.423522048155872</v>
      </c>
      <c r="J1271" s="2525">
        <f t="shared" si="81"/>
        <v>4.9423217303822922</v>
      </c>
      <c r="K1271" s="2261">
        <f t="shared" si="82"/>
        <v>5.919604026580453</v>
      </c>
      <c r="L1271" s="2524">
        <f t="shared" si="83"/>
        <v>6.8968863227786139</v>
      </c>
      <c r="M1271" s="2524">
        <f t="shared" si="84"/>
        <v>3.9650394341841317</v>
      </c>
      <c r="N1271" s="2524">
        <f t="shared" si="85"/>
        <v>2.9877571379859713</v>
      </c>
    </row>
    <row r="1272" spans="1:14" ht="15">
      <c r="A1272" s="2218"/>
      <c r="B1272" s="2251">
        <v>44722</v>
      </c>
      <c r="C1272">
        <v>21.350999999999999</v>
      </c>
      <c r="D1272" s="2522">
        <v>5.0940000000000003</v>
      </c>
      <c r="E1272" s="2523">
        <f t="shared" si="77"/>
        <v>20.496540945512795</v>
      </c>
      <c r="F1272" s="2261">
        <f t="shared" si="76"/>
        <v>24.033050394191257</v>
      </c>
      <c r="G1272" s="2524">
        <f t="shared" si="78"/>
        <v>27.569559842869719</v>
      </c>
      <c r="H1272" s="2524">
        <f t="shared" si="79"/>
        <v>16.960031496834333</v>
      </c>
      <c r="I1272" s="2524">
        <f t="shared" si="80"/>
        <v>13.423522048155872</v>
      </c>
      <c r="J1272" s="2525">
        <f t="shared" si="81"/>
        <v>4.9423217303822922</v>
      </c>
      <c r="K1272" s="2261">
        <f t="shared" si="82"/>
        <v>5.919604026580453</v>
      </c>
      <c r="L1272" s="2524">
        <f t="shared" si="83"/>
        <v>6.8968863227786139</v>
      </c>
      <c r="M1272" s="2524">
        <f t="shared" si="84"/>
        <v>3.9650394341841317</v>
      </c>
      <c r="N1272" s="2524">
        <f t="shared" si="85"/>
        <v>2.9877571379859713</v>
      </c>
    </row>
    <row r="1273" spans="1:14" ht="15">
      <c r="A1273" s="2218"/>
      <c r="B1273" s="2251">
        <v>44725</v>
      </c>
      <c r="C1273">
        <v>20.0777</v>
      </c>
      <c r="D1273" s="2522">
        <v>5.1048</v>
      </c>
      <c r="E1273" s="2523">
        <f t="shared" si="77"/>
        <v>20.496540945512795</v>
      </c>
      <c r="F1273" s="2261">
        <f t="shared" si="76"/>
        <v>24.033050394191257</v>
      </c>
      <c r="G1273" s="2524">
        <f t="shared" si="78"/>
        <v>27.569559842869719</v>
      </c>
      <c r="H1273" s="2524">
        <f t="shared" si="79"/>
        <v>16.960031496834333</v>
      </c>
      <c r="I1273" s="2524">
        <f t="shared" si="80"/>
        <v>13.423522048155872</v>
      </c>
      <c r="J1273" s="2525">
        <f t="shared" si="81"/>
        <v>4.9423217303822922</v>
      </c>
      <c r="K1273" s="2261">
        <f t="shared" si="82"/>
        <v>5.919604026580453</v>
      </c>
      <c r="L1273" s="2524">
        <f t="shared" si="83"/>
        <v>6.8968863227786139</v>
      </c>
      <c r="M1273" s="2524">
        <f t="shared" si="84"/>
        <v>3.9650394341841317</v>
      </c>
      <c r="N1273" s="2524">
        <f t="shared" si="85"/>
        <v>2.9877571379859713</v>
      </c>
    </row>
    <row r="1274" spans="1:14" ht="15">
      <c r="A1274" s="2218"/>
      <c r="B1274" s="2251">
        <v>44726</v>
      </c>
      <c r="C1274">
        <v>20.7532</v>
      </c>
      <c r="D1274" s="2522">
        <v>5.0671999999999997</v>
      </c>
      <c r="E1274" s="2523">
        <f t="shared" si="77"/>
        <v>20.496540945512795</v>
      </c>
      <c r="F1274" s="2261">
        <f t="shared" si="76"/>
        <v>24.033050394191257</v>
      </c>
      <c r="G1274" s="2524">
        <f t="shared" si="78"/>
        <v>27.569559842869719</v>
      </c>
      <c r="H1274" s="2524">
        <f t="shared" si="79"/>
        <v>16.960031496834333</v>
      </c>
      <c r="I1274" s="2524">
        <f t="shared" si="80"/>
        <v>13.423522048155872</v>
      </c>
      <c r="J1274" s="2525">
        <f t="shared" si="81"/>
        <v>4.9423217303822922</v>
      </c>
      <c r="K1274" s="2261">
        <f t="shared" si="82"/>
        <v>5.919604026580453</v>
      </c>
      <c r="L1274" s="2524">
        <f t="shared" si="83"/>
        <v>6.8968863227786139</v>
      </c>
      <c r="M1274" s="2524">
        <f t="shared" si="84"/>
        <v>3.9650394341841317</v>
      </c>
      <c r="N1274" s="2524">
        <f t="shared" si="85"/>
        <v>2.9877571379859713</v>
      </c>
    </row>
    <row r="1275" spans="1:14" ht="15">
      <c r="A1275" s="2218"/>
      <c r="B1275" s="2251">
        <v>44727</v>
      </c>
      <c r="C1275">
        <v>21.0793</v>
      </c>
      <c r="D1275" s="2522">
        <v>5.0617999999999999</v>
      </c>
      <c r="E1275" s="2523">
        <f t="shared" si="77"/>
        <v>20.496540945512795</v>
      </c>
      <c r="F1275" s="2261">
        <f t="shared" si="76"/>
        <v>24.033050394191257</v>
      </c>
      <c r="G1275" s="2524">
        <f t="shared" si="78"/>
        <v>27.569559842869719</v>
      </c>
      <c r="H1275" s="2524">
        <f t="shared" si="79"/>
        <v>16.960031496834333</v>
      </c>
      <c r="I1275" s="2524">
        <f t="shared" si="80"/>
        <v>13.423522048155872</v>
      </c>
      <c r="J1275" s="2525">
        <f t="shared" si="81"/>
        <v>4.9423217303822922</v>
      </c>
      <c r="K1275" s="2261">
        <f t="shared" si="82"/>
        <v>5.919604026580453</v>
      </c>
      <c r="L1275" s="2524">
        <f t="shared" si="83"/>
        <v>6.8968863227786139</v>
      </c>
      <c r="M1275" s="2524">
        <f t="shared" si="84"/>
        <v>3.9650394341841317</v>
      </c>
      <c r="N1275" s="2524">
        <f t="shared" si="85"/>
        <v>2.9877571379859713</v>
      </c>
    </row>
    <row r="1276" spans="1:14" ht="15">
      <c r="A1276" s="2218"/>
      <c r="B1276" s="2251">
        <v>44728</v>
      </c>
      <c r="C1276">
        <v>21.428699999999999</v>
      </c>
      <c r="D1276" s="2522">
        <v>5.1048</v>
      </c>
      <c r="E1276" s="2523">
        <f t="shared" si="77"/>
        <v>20.496540945512795</v>
      </c>
      <c r="F1276" s="2261">
        <f t="shared" si="76"/>
        <v>24.033050394191257</v>
      </c>
      <c r="G1276" s="2524">
        <f t="shared" si="78"/>
        <v>27.569559842869719</v>
      </c>
      <c r="H1276" s="2524">
        <f t="shared" si="79"/>
        <v>16.960031496834333</v>
      </c>
      <c r="I1276" s="2524">
        <f t="shared" si="80"/>
        <v>13.423522048155872</v>
      </c>
      <c r="J1276" s="2525">
        <f t="shared" si="81"/>
        <v>4.9423217303822922</v>
      </c>
      <c r="K1276" s="2261">
        <f t="shared" si="82"/>
        <v>5.919604026580453</v>
      </c>
      <c r="L1276" s="2524">
        <f t="shared" si="83"/>
        <v>6.8968863227786139</v>
      </c>
      <c r="M1276" s="2524">
        <f t="shared" si="84"/>
        <v>3.9650394341841317</v>
      </c>
      <c r="N1276" s="2524">
        <f t="shared" si="85"/>
        <v>2.9877571379859713</v>
      </c>
    </row>
    <row r="1277" spans="1:14" ht="15">
      <c r="A1277" s="2218"/>
      <c r="B1277" s="2251">
        <v>44729</v>
      </c>
      <c r="C1277">
        <v>21.428699999999999</v>
      </c>
      <c r="D1277" s="2522">
        <v>5.2015000000000002</v>
      </c>
      <c r="E1277" s="2523">
        <f t="shared" si="77"/>
        <v>20.496540945512795</v>
      </c>
      <c r="F1277" s="2261">
        <f t="shared" ref="F1277:F1340" si="86">I$953+F$953</f>
        <v>24.033050394191257</v>
      </c>
      <c r="G1277" s="2524">
        <f t="shared" si="78"/>
        <v>27.569559842869719</v>
      </c>
      <c r="H1277" s="2524">
        <f t="shared" si="79"/>
        <v>16.960031496834333</v>
      </c>
      <c r="I1277" s="2524">
        <f t="shared" si="80"/>
        <v>13.423522048155872</v>
      </c>
      <c r="J1277" s="2525">
        <f t="shared" si="81"/>
        <v>4.9423217303822922</v>
      </c>
      <c r="K1277" s="2261">
        <f t="shared" si="82"/>
        <v>5.919604026580453</v>
      </c>
      <c r="L1277" s="2524">
        <f t="shared" si="83"/>
        <v>6.8968863227786139</v>
      </c>
      <c r="M1277" s="2524">
        <f t="shared" si="84"/>
        <v>3.9650394341841317</v>
      </c>
      <c r="N1277" s="2524">
        <f t="shared" si="85"/>
        <v>2.9877571379859713</v>
      </c>
    </row>
    <row r="1278" spans="1:14" ht="15">
      <c r="A1278" s="2218"/>
      <c r="B1278" s="2251">
        <v>44732</v>
      </c>
      <c r="C1278">
        <v>21.428699999999999</v>
      </c>
      <c r="D1278" s="2522">
        <v>5.1154999999999999</v>
      </c>
      <c r="E1278" s="2523">
        <f t="shared" ref="E1278:E1341" si="87">I$953</f>
        <v>20.496540945512795</v>
      </c>
      <c r="F1278" s="2261">
        <f t="shared" si="86"/>
        <v>24.033050394191257</v>
      </c>
      <c r="G1278" s="2524">
        <f t="shared" ref="G1278:G1341" si="88">I$953+F$953+F$953</f>
        <v>27.569559842869719</v>
      </c>
      <c r="H1278" s="2524">
        <f t="shared" ref="H1278:H1341" si="89">I$953-F$953</f>
        <v>16.960031496834333</v>
      </c>
      <c r="I1278" s="2524">
        <f t="shared" ref="I1278:I1341" si="90">I$953-F$953-F$953</f>
        <v>13.423522048155872</v>
      </c>
      <c r="J1278" s="2525">
        <f t="shared" si="81"/>
        <v>4.9423217303822922</v>
      </c>
      <c r="K1278" s="2261">
        <f t="shared" si="82"/>
        <v>5.919604026580453</v>
      </c>
      <c r="L1278" s="2524">
        <f t="shared" si="83"/>
        <v>6.8968863227786139</v>
      </c>
      <c r="M1278" s="2524">
        <f t="shared" si="84"/>
        <v>3.9650394341841317</v>
      </c>
      <c r="N1278" s="2524">
        <f t="shared" si="85"/>
        <v>2.9877571379859713</v>
      </c>
    </row>
    <row r="1279" spans="1:14" ht="15">
      <c r="A1279" s="2218"/>
      <c r="B1279" s="2251">
        <v>44733</v>
      </c>
      <c r="C1279">
        <v>20.7532</v>
      </c>
      <c r="D1279" s="2522">
        <v>5.1692999999999998</v>
      </c>
      <c r="E1279" s="2523">
        <f t="shared" si="87"/>
        <v>20.496540945512795</v>
      </c>
      <c r="F1279" s="2261">
        <f t="shared" si="86"/>
        <v>24.033050394191257</v>
      </c>
      <c r="G1279" s="2524">
        <f t="shared" si="88"/>
        <v>27.569559842869719</v>
      </c>
      <c r="H1279" s="2524">
        <f t="shared" si="89"/>
        <v>16.960031496834333</v>
      </c>
      <c r="I1279" s="2524">
        <f t="shared" si="90"/>
        <v>13.423522048155872</v>
      </c>
      <c r="J1279" s="2525">
        <f t="shared" si="81"/>
        <v>4.9423217303822922</v>
      </c>
      <c r="K1279" s="2261">
        <f t="shared" si="82"/>
        <v>5.919604026580453</v>
      </c>
      <c r="L1279" s="2524">
        <f t="shared" si="83"/>
        <v>6.8968863227786139</v>
      </c>
      <c r="M1279" s="2524">
        <f t="shared" si="84"/>
        <v>3.9650394341841317</v>
      </c>
      <c r="N1279" s="2524">
        <f t="shared" si="85"/>
        <v>2.9877571379859713</v>
      </c>
    </row>
    <row r="1280" spans="1:14" ht="15">
      <c r="A1280" s="2218"/>
      <c r="B1280" s="2251">
        <v>44734</v>
      </c>
      <c r="C1280">
        <v>19.681799999999999</v>
      </c>
      <c r="D1280" s="2522">
        <v>5.1692999999999998</v>
      </c>
      <c r="E1280" s="2523">
        <f t="shared" si="87"/>
        <v>20.496540945512795</v>
      </c>
      <c r="F1280" s="2261">
        <f t="shared" si="86"/>
        <v>24.033050394191257</v>
      </c>
      <c r="G1280" s="2524">
        <f t="shared" si="88"/>
        <v>27.569559842869719</v>
      </c>
      <c r="H1280" s="2524">
        <f t="shared" si="89"/>
        <v>16.960031496834333</v>
      </c>
      <c r="I1280" s="2524">
        <f t="shared" si="90"/>
        <v>13.423522048155872</v>
      </c>
      <c r="J1280" s="2525">
        <f t="shared" si="81"/>
        <v>4.9423217303822922</v>
      </c>
      <c r="K1280" s="2261">
        <f t="shared" si="82"/>
        <v>5.919604026580453</v>
      </c>
      <c r="L1280" s="2524">
        <f t="shared" si="83"/>
        <v>6.8968863227786139</v>
      </c>
      <c r="M1280" s="2524">
        <f t="shared" si="84"/>
        <v>3.9650394341841317</v>
      </c>
      <c r="N1280" s="2524">
        <f t="shared" si="85"/>
        <v>2.9877571379859713</v>
      </c>
    </row>
    <row r="1281" spans="1:14" ht="15">
      <c r="A1281" s="2218"/>
      <c r="B1281" s="2251">
        <v>44735</v>
      </c>
      <c r="C1281">
        <v>19.9147</v>
      </c>
      <c r="D1281" s="2522">
        <v>5.0510999999999999</v>
      </c>
      <c r="E1281" s="2523">
        <f t="shared" si="87"/>
        <v>20.496540945512795</v>
      </c>
      <c r="F1281" s="2261">
        <f t="shared" si="86"/>
        <v>24.033050394191257</v>
      </c>
      <c r="G1281" s="2524">
        <f t="shared" si="88"/>
        <v>27.569559842869719</v>
      </c>
      <c r="H1281" s="2524">
        <f t="shared" si="89"/>
        <v>16.960031496834333</v>
      </c>
      <c r="I1281" s="2524">
        <f t="shared" si="90"/>
        <v>13.423522048155872</v>
      </c>
      <c r="J1281" s="2525">
        <f t="shared" si="81"/>
        <v>4.9423217303822922</v>
      </c>
      <c r="K1281" s="2261">
        <f t="shared" si="82"/>
        <v>5.919604026580453</v>
      </c>
      <c r="L1281" s="2524">
        <f t="shared" si="83"/>
        <v>6.8968863227786139</v>
      </c>
      <c r="M1281" s="2524">
        <f t="shared" si="84"/>
        <v>3.9650394341841317</v>
      </c>
      <c r="N1281" s="2524">
        <f t="shared" si="85"/>
        <v>2.9877571379859713</v>
      </c>
    </row>
    <row r="1282" spans="1:14" ht="15">
      <c r="A1282" s="2218"/>
      <c r="B1282" s="2251">
        <v>44736</v>
      </c>
      <c r="C1282">
        <v>19.9147</v>
      </c>
      <c r="D1282" s="2522">
        <v>5.0833000000000004</v>
      </c>
      <c r="E1282" s="2523">
        <f t="shared" si="87"/>
        <v>20.496540945512795</v>
      </c>
      <c r="F1282" s="2261">
        <f t="shared" si="86"/>
        <v>24.033050394191257</v>
      </c>
      <c r="G1282" s="2524">
        <f t="shared" si="88"/>
        <v>27.569559842869719</v>
      </c>
      <c r="H1282" s="2524">
        <f t="shared" si="89"/>
        <v>16.960031496834333</v>
      </c>
      <c r="I1282" s="2524">
        <f t="shared" si="90"/>
        <v>13.423522048155872</v>
      </c>
      <c r="J1282" s="2525">
        <f t="shared" si="81"/>
        <v>4.9423217303822922</v>
      </c>
      <c r="K1282" s="2261">
        <f t="shared" si="82"/>
        <v>5.919604026580453</v>
      </c>
      <c r="L1282" s="2524">
        <f t="shared" si="83"/>
        <v>6.8968863227786139</v>
      </c>
      <c r="M1282" s="2524">
        <f t="shared" si="84"/>
        <v>3.9650394341841317</v>
      </c>
      <c r="N1282" s="2524">
        <f t="shared" si="85"/>
        <v>2.9877571379859713</v>
      </c>
    </row>
    <row r="1283" spans="1:14" ht="15">
      <c r="A1283" s="2218"/>
      <c r="B1283" s="2251">
        <v>44739</v>
      </c>
      <c r="C1283">
        <v>20.147600000000001</v>
      </c>
      <c r="D1283" s="2522">
        <v>5.0887000000000002</v>
      </c>
      <c r="E1283" s="2523">
        <f t="shared" si="87"/>
        <v>20.496540945512795</v>
      </c>
      <c r="F1283" s="2261">
        <f t="shared" si="86"/>
        <v>24.033050394191257</v>
      </c>
      <c r="G1283" s="2524">
        <f t="shared" si="88"/>
        <v>27.569559842869719</v>
      </c>
      <c r="H1283" s="2524">
        <f t="shared" si="89"/>
        <v>16.960031496834333</v>
      </c>
      <c r="I1283" s="2524">
        <f t="shared" si="90"/>
        <v>13.423522048155872</v>
      </c>
      <c r="J1283" s="2525">
        <f t="shared" si="81"/>
        <v>4.9423217303822922</v>
      </c>
      <c r="K1283" s="2261">
        <f t="shared" si="82"/>
        <v>5.919604026580453</v>
      </c>
      <c r="L1283" s="2524">
        <f t="shared" si="83"/>
        <v>6.8968863227786139</v>
      </c>
      <c r="M1283" s="2524">
        <f t="shared" si="84"/>
        <v>3.9650394341841317</v>
      </c>
      <c r="N1283" s="2524">
        <f t="shared" si="85"/>
        <v>2.9877571379859713</v>
      </c>
    </row>
    <row r="1284" spans="1:14" ht="15">
      <c r="A1284" s="2218"/>
      <c r="B1284" s="2251">
        <v>44740</v>
      </c>
      <c r="C1284">
        <v>20.893000000000001</v>
      </c>
      <c r="D1284" s="2522">
        <v>5.1101999999999999</v>
      </c>
      <c r="E1284" s="2523">
        <f t="shared" si="87"/>
        <v>20.496540945512795</v>
      </c>
      <c r="F1284" s="2261">
        <f t="shared" si="86"/>
        <v>24.033050394191257</v>
      </c>
      <c r="G1284" s="2524">
        <f t="shared" si="88"/>
        <v>27.569559842869719</v>
      </c>
      <c r="H1284" s="2524">
        <f t="shared" si="89"/>
        <v>16.960031496834333</v>
      </c>
      <c r="I1284" s="2524">
        <f t="shared" si="90"/>
        <v>13.423522048155872</v>
      </c>
      <c r="J1284" s="2525">
        <f t="shared" si="81"/>
        <v>4.9423217303822922</v>
      </c>
      <c r="K1284" s="2261">
        <f t="shared" si="82"/>
        <v>5.919604026580453</v>
      </c>
      <c r="L1284" s="2524">
        <f t="shared" si="83"/>
        <v>6.8968863227786139</v>
      </c>
      <c r="M1284" s="2524">
        <f t="shared" si="84"/>
        <v>3.9650394341841317</v>
      </c>
      <c r="N1284" s="2524">
        <f t="shared" si="85"/>
        <v>2.9877571379859713</v>
      </c>
    </row>
    <row r="1285" spans="1:14" ht="15">
      <c r="A1285" s="2218"/>
      <c r="B1285" s="2251">
        <v>44741</v>
      </c>
      <c r="C1285">
        <v>20.962800000000001</v>
      </c>
      <c r="D1285" s="2522">
        <v>5.0833000000000004</v>
      </c>
      <c r="E1285" s="2523">
        <f t="shared" si="87"/>
        <v>20.496540945512795</v>
      </c>
      <c r="F1285" s="2261">
        <f t="shared" si="86"/>
        <v>24.033050394191257</v>
      </c>
      <c r="G1285" s="2524">
        <f t="shared" si="88"/>
        <v>27.569559842869719</v>
      </c>
      <c r="H1285" s="2524">
        <f t="shared" si="89"/>
        <v>16.960031496834333</v>
      </c>
      <c r="I1285" s="2524">
        <f t="shared" si="90"/>
        <v>13.423522048155872</v>
      </c>
      <c r="J1285" s="2525">
        <f t="shared" si="81"/>
        <v>4.9423217303822922</v>
      </c>
      <c r="K1285" s="2261">
        <f t="shared" si="82"/>
        <v>5.919604026580453</v>
      </c>
      <c r="L1285" s="2524">
        <f t="shared" si="83"/>
        <v>6.8968863227786139</v>
      </c>
      <c r="M1285" s="2524">
        <f t="shared" si="84"/>
        <v>3.9650394341841317</v>
      </c>
      <c r="N1285" s="2524">
        <f t="shared" si="85"/>
        <v>2.9877571379859713</v>
      </c>
    </row>
    <row r="1286" spans="1:14" ht="15">
      <c r="A1286" s="2218"/>
      <c r="B1286" s="2251">
        <v>44742</v>
      </c>
      <c r="C1286">
        <v>19.103100000000001</v>
      </c>
      <c r="D1286" s="2522">
        <v>5.1585000000000001</v>
      </c>
      <c r="E1286" s="2523">
        <f t="shared" si="87"/>
        <v>20.496540945512795</v>
      </c>
      <c r="F1286" s="2261">
        <f t="shared" si="86"/>
        <v>24.033050394191257</v>
      </c>
      <c r="G1286" s="2524">
        <f t="shared" si="88"/>
        <v>27.569559842869719</v>
      </c>
      <c r="H1286" s="2524">
        <f t="shared" si="89"/>
        <v>16.960031496834333</v>
      </c>
      <c r="I1286" s="2524">
        <f t="shared" si="90"/>
        <v>13.423522048155872</v>
      </c>
      <c r="J1286" s="2525">
        <f t="shared" si="81"/>
        <v>4.9423217303822922</v>
      </c>
      <c r="K1286" s="2261">
        <f t="shared" si="82"/>
        <v>5.919604026580453</v>
      </c>
      <c r="L1286" s="2524">
        <f t="shared" si="83"/>
        <v>6.8968863227786139</v>
      </c>
      <c r="M1286" s="2524">
        <f t="shared" si="84"/>
        <v>3.9650394341841317</v>
      </c>
      <c r="N1286" s="2524">
        <f t="shared" si="85"/>
        <v>2.9877571379859713</v>
      </c>
    </row>
    <row r="1287" spans="1:14" ht="15">
      <c r="A1287" s="2218"/>
      <c r="B1287" s="2251">
        <v>44743</v>
      </c>
      <c r="C1287">
        <v>19.501999999999999</v>
      </c>
      <c r="D1287" s="2522">
        <v>5.2229999999999999</v>
      </c>
      <c r="E1287" s="2523">
        <f t="shared" si="87"/>
        <v>20.496540945512795</v>
      </c>
      <c r="F1287" s="2261">
        <f t="shared" si="86"/>
        <v>24.033050394191257</v>
      </c>
      <c r="G1287" s="2524">
        <f t="shared" si="88"/>
        <v>27.569559842869719</v>
      </c>
      <c r="H1287" s="2524">
        <f t="shared" si="89"/>
        <v>16.960031496834333</v>
      </c>
      <c r="I1287" s="2524">
        <f t="shared" si="90"/>
        <v>13.423522048155872</v>
      </c>
      <c r="J1287" s="2525">
        <f t="shared" si="81"/>
        <v>4.9423217303822922</v>
      </c>
      <c r="K1287" s="2261">
        <f t="shared" si="82"/>
        <v>5.919604026580453</v>
      </c>
      <c r="L1287" s="2524">
        <f t="shared" si="83"/>
        <v>6.8968863227786139</v>
      </c>
      <c r="M1287" s="2524">
        <f t="shared" si="84"/>
        <v>3.9650394341841317</v>
      </c>
      <c r="N1287" s="2524">
        <f t="shared" si="85"/>
        <v>2.9877571379859713</v>
      </c>
    </row>
    <row r="1288" spans="1:14" ht="15">
      <c r="A1288" s="2218"/>
      <c r="B1288" s="2251">
        <v>44746</v>
      </c>
      <c r="C1288">
        <v>19.213899999999999</v>
      </c>
      <c r="D1288" s="2522">
        <v>5.2069000000000001</v>
      </c>
      <c r="E1288" s="2523">
        <f t="shared" si="87"/>
        <v>20.496540945512795</v>
      </c>
      <c r="F1288" s="2261">
        <f t="shared" si="86"/>
        <v>24.033050394191257</v>
      </c>
      <c r="G1288" s="2524">
        <f t="shared" si="88"/>
        <v>27.569559842869719</v>
      </c>
      <c r="H1288" s="2524">
        <f t="shared" si="89"/>
        <v>16.960031496834333</v>
      </c>
      <c r="I1288" s="2524">
        <f t="shared" si="90"/>
        <v>13.423522048155872</v>
      </c>
      <c r="J1288" s="2525">
        <f t="shared" si="81"/>
        <v>4.9423217303822922</v>
      </c>
      <c r="K1288" s="2261">
        <f t="shared" si="82"/>
        <v>5.919604026580453</v>
      </c>
      <c r="L1288" s="2524">
        <f t="shared" si="83"/>
        <v>6.8968863227786139</v>
      </c>
      <c r="M1288" s="2524">
        <f t="shared" si="84"/>
        <v>3.9650394341841317</v>
      </c>
      <c r="N1288" s="2524">
        <f t="shared" si="85"/>
        <v>2.9877571379859713</v>
      </c>
    </row>
    <row r="1289" spans="1:14" ht="15">
      <c r="A1289" s="2218"/>
      <c r="B1289" s="2251">
        <v>44747</v>
      </c>
      <c r="C1289">
        <v>18.925799999999999</v>
      </c>
      <c r="D1289" s="2522">
        <v>5.1908000000000003</v>
      </c>
      <c r="E1289" s="2523">
        <f t="shared" si="87"/>
        <v>20.496540945512795</v>
      </c>
      <c r="F1289" s="2261">
        <f t="shared" si="86"/>
        <v>24.033050394191257</v>
      </c>
      <c r="G1289" s="2524">
        <f t="shared" si="88"/>
        <v>27.569559842869719</v>
      </c>
      <c r="H1289" s="2524">
        <f t="shared" si="89"/>
        <v>16.960031496834333</v>
      </c>
      <c r="I1289" s="2524">
        <f t="shared" si="90"/>
        <v>13.423522048155872</v>
      </c>
      <c r="J1289" s="2525">
        <f t="shared" si="81"/>
        <v>4.9423217303822922</v>
      </c>
      <c r="K1289" s="2261">
        <f t="shared" si="82"/>
        <v>5.919604026580453</v>
      </c>
      <c r="L1289" s="2524">
        <f t="shared" si="83"/>
        <v>6.8968863227786139</v>
      </c>
      <c r="M1289" s="2524">
        <f t="shared" si="84"/>
        <v>3.9650394341841317</v>
      </c>
      <c r="N1289" s="2524">
        <f t="shared" si="85"/>
        <v>2.9877571379859713</v>
      </c>
    </row>
    <row r="1290" spans="1:14" ht="15">
      <c r="A1290" s="2218"/>
      <c r="B1290" s="2251">
        <v>44748</v>
      </c>
      <c r="C1290">
        <v>18.5047</v>
      </c>
      <c r="D1290" s="2522">
        <v>4.8868</v>
      </c>
      <c r="E1290" s="2523">
        <f t="shared" si="87"/>
        <v>20.496540945512795</v>
      </c>
      <c r="F1290" s="2261">
        <f t="shared" si="86"/>
        <v>24.033050394191257</v>
      </c>
      <c r="G1290" s="2524">
        <f t="shared" si="88"/>
        <v>27.569559842869719</v>
      </c>
      <c r="H1290" s="2524">
        <f t="shared" si="89"/>
        <v>16.960031496834333</v>
      </c>
      <c r="I1290" s="2524">
        <f t="shared" si="90"/>
        <v>13.423522048155872</v>
      </c>
      <c r="J1290" s="2525">
        <f t="shared" si="81"/>
        <v>4.9423217303822922</v>
      </c>
      <c r="K1290" s="2261">
        <f t="shared" si="82"/>
        <v>5.919604026580453</v>
      </c>
      <c r="L1290" s="2524">
        <f t="shared" si="83"/>
        <v>6.8968863227786139</v>
      </c>
      <c r="M1290" s="2524">
        <f t="shared" si="84"/>
        <v>3.9650394341841317</v>
      </c>
      <c r="N1290" s="2524">
        <f t="shared" si="85"/>
        <v>2.9877571379859713</v>
      </c>
    </row>
    <row r="1291" spans="1:14" ht="15">
      <c r="A1291" s="2218"/>
      <c r="B1291" s="2251">
        <v>44749</v>
      </c>
      <c r="C1291">
        <v>18.4161</v>
      </c>
      <c r="D1291" s="2522">
        <v>4.8765999999999998</v>
      </c>
      <c r="E1291" s="2523">
        <f t="shared" si="87"/>
        <v>20.496540945512795</v>
      </c>
      <c r="F1291" s="2261">
        <f t="shared" si="86"/>
        <v>24.033050394191257</v>
      </c>
      <c r="G1291" s="2524">
        <f t="shared" si="88"/>
        <v>27.569559842869719</v>
      </c>
      <c r="H1291" s="2524">
        <f t="shared" si="89"/>
        <v>16.960031496834333</v>
      </c>
      <c r="I1291" s="2524">
        <f t="shared" si="90"/>
        <v>13.423522048155872</v>
      </c>
      <c r="J1291" s="2525">
        <f t="shared" si="81"/>
        <v>4.9423217303822922</v>
      </c>
      <c r="K1291" s="2261">
        <f t="shared" si="82"/>
        <v>5.919604026580453</v>
      </c>
      <c r="L1291" s="2524">
        <f t="shared" si="83"/>
        <v>6.8968863227786139</v>
      </c>
      <c r="M1291" s="2524">
        <f t="shared" si="84"/>
        <v>3.9650394341841317</v>
      </c>
      <c r="N1291" s="2524">
        <f t="shared" si="85"/>
        <v>2.9877571379859713</v>
      </c>
    </row>
    <row r="1292" spans="1:14" ht="15">
      <c r="A1292" s="2218"/>
      <c r="B1292" s="2251">
        <v>44750</v>
      </c>
      <c r="C1292">
        <v>18.526900000000001</v>
      </c>
      <c r="D1292" s="2522">
        <v>4.8970000000000002</v>
      </c>
      <c r="E1292" s="2523">
        <f t="shared" si="87"/>
        <v>20.496540945512795</v>
      </c>
      <c r="F1292" s="2261">
        <f t="shared" si="86"/>
        <v>24.033050394191257</v>
      </c>
      <c r="G1292" s="2524">
        <f t="shared" si="88"/>
        <v>27.569559842869719</v>
      </c>
      <c r="H1292" s="2524">
        <f t="shared" si="89"/>
        <v>16.960031496834333</v>
      </c>
      <c r="I1292" s="2524">
        <f t="shared" si="90"/>
        <v>13.423522048155872</v>
      </c>
      <c r="J1292" s="2525">
        <f t="shared" si="81"/>
        <v>4.9423217303822922</v>
      </c>
      <c r="K1292" s="2261">
        <f t="shared" si="82"/>
        <v>5.919604026580453</v>
      </c>
      <c r="L1292" s="2524">
        <f t="shared" si="83"/>
        <v>6.8968863227786139</v>
      </c>
      <c r="M1292" s="2524">
        <f t="shared" si="84"/>
        <v>3.9650394341841317</v>
      </c>
      <c r="N1292" s="2524">
        <f t="shared" si="85"/>
        <v>2.9877571379859713</v>
      </c>
    </row>
    <row r="1293" spans="1:14" ht="15">
      <c r="A1293" s="2218"/>
      <c r="B1293" s="2251">
        <v>44753</v>
      </c>
      <c r="C1293">
        <v>18.349599999999999</v>
      </c>
      <c r="D1293" s="2522">
        <v>4.9427000000000003</v>
      </c>
      <c r="E1293" s="2523">
        <f t="shared" si="87"/>
        <v>20.496540945512795</v>
      </c>
      <c r="F1293" s="2261">
        <f t="shared" si="86"/>
        <v>24.033050394191257</v>
      </c>
      <c r="G1293" s="2524">
        <f t="shared" si="88"/>
        <v>27.569559842869719</v>
      </c>
      <c r="H1293" s="2524">
        <f t="shared" si="89"/>
        <v>16.960031496834333</v>
      </c>
      <c r="I1293" s="2524">
        <f t="shared" si="90"/>
        <v>13.423522048155872</v>
      </c>
      <c r="J1293" s="2525">
        <f t="shared" si="81"/>
        <v>4.9423217303822922</v>
      </c>
      <c r="K1293" s="2261">
        <f t="shared" si="82"/>
        <v>5.919604026580453</v>
      </c>
      <c r="L1293" s="2524">
        <f t="shared" si="83"/>
        <v>6.8968863227786139</v>
      </c>
      <c r="M1293" s="2524">
        <f t="shared" si="84"/>
        <v>3.9650394341841317</v>
      </c>
      <c r="N1293" s="2524">
        <f t="shared" si="85"/>
        <v>2.9877571379859713</v>
      </c>
    </row>
    <row r="1294" spans="1:14" ht="15">
      <c r="A1294" s="2218"/>
      <c r="B1294" s="2251">
        <v>44754</v>
      </c>
      <c r="C1294">
        <v>18.5047</v>
      </c>
      <c r="D1294" s="2522">
        <v>4.9528999999999996</v>
      </c>
      <c r="E1294" s="2523">
        <f t="shared" si="87"/>
        <v>20.496540945512795</v>
      </c>
      <c r="F1294" s="2261">
        <f t="shared" si="86"/>
        <v>24.033050394191257</v>
      </c>
      <c r="G1294" s="2524">
        <f t="shared" si="88"/>
        <v>27.569559842869719</v>
      </c>
      <c r="H1294" s="2524">
        <f t="shared" si="89"/>
        <v>16.960031496834333</v>
      </c>
      <c r="I1294" s="2524">
        <f t="shared" si="90"/>
        <v>13.423522048155872</v>
      </c>
      <c r="J1294" s="2525">
        <f t="shared" si="81"/>
        <v>4.9423217303822922</v>
      </c>
      <c r="K1294" s="2261">
        <f t="shared" si="82"/>
        <v>5.919604026580453</v>
      </c>
      <c r="L1294" s="2524">
        <f t="shared" si="83"/>
        <v>6.8968863227786139</v>
      </c>
      <c r="M1294" s="2524">
        <f t="shared" si="84"/>
        <v>3.9650394341841317</v>
      </c>
      <c r="N1294" s="2524">
        <f t="shared" si="85"/>
        <v>2.9877571379859713</v>
      </c>
    </row>
    <row r="1295" spans="1:14" ht="15">
      <c r="A1295" s="2218"/>
      <c r="B1295" s="2251">
        <v>44755</v>
      </c>
      <c r="C1295">
        <v>18.283100000000001</v>
      </c>
      <c r="D1295" s="2522">
        <v>4.9478</v>
      </c>
      <c r="E1295" s="2523">
        <f t="shared" si="87"/>
        <v>20.496540945512795</v>
      </c>
      <c r="F1295" s="2261">
        <f t="shared" si="86"/>
        <v>24.033050394191257</v>
      </c>
      <c r="G1295" s="2524">
        <f t="shared" si="88"/>
        <v>27.569559842869719</v>
      </c>
      <c r="H1295" s="2524">
        <f t="shared" si="89"/>
        <v>16.960031496834333</v>
      </c>
      <c r="I1295" s="2524">
        <f t="shared" si="90"/>
        <v>13.423522048155872</v>
      </c>
      <c r="J1295" s="2525">
        <f t="shared" si="81"/>
        <v>4.9423217303822922</v>
      </c>
      <c r="K1295" s="2261">
        <f t="shared" si="82"/>
        <v>5.919604026580453</v>
      </c>
      <c r="L1295" s="2524">
        <f t="shared" si="83"/>
        <v>6.8968863227786139</v>
      </c>
      <c r="M1295" s="2524">
        <f t="shared" si="84"/>
        <v>3.9650394341841317</v>
      </c>
      <c r="N1295" s="2524">
        <f t="shared" si="85"/>
        <v>2.9877571379859713</v>
      </c>
    </row>
    <row r="1296" spans="1:14" ht="15">
      <c r="A1296" s="2218"/>
      <c r="B1296" s="2251">
        <v>44756</v>
      </c>
      <c r="C1296">
        <v>18.349599999999999</v>
      </c>
      <c r="D1296" s="2522">
        <v>4.9122000000000003</v>
      </c>
      <c r="E1296" s="2523">
        <f t="shared" si="87"/>
        <v>20.496540945512795</v>
      </c>
      <c r="F1296" s="2261">
        <f t="shared" si="86"/>
        <v>24.033050394191257</v>
      </c>
      <c r="G1296" s="2524">
        <f t="shared" si="88"/>
        <v>27.569559842869719</v>
      </c>
      <c r="H1296" s="2524">
        <f t="shared" si="89"/>
        <v>16.960031496834333</v>
      </c>
      <c r="I1296" s="2524">
        <f t="shared" si="90"/>
        <v>13.423522048155872</v>
      </c>
      <c r="J1296" s="2525">
        <f t="shared" si="81"/>
        <v>4.9423217303822922</v>
      </c>
      <c r="K1296" s="2261">
        <f t="shared" si="82"/>
        <v>5.919604026580453</v>
      </c>
      <c r="L1296" s="2524">
        <f t="shared" si="83"/>
        <v>6.8968863227786139</v>
      </c>
      <c r="M1296" s="2524">
        <f t="shared" si="84"/>
        <v>3.9650394341841317</v>
      </c>
      <c r="N1296" s="2524">
        <f t="shared" si="85"/>
        <v>2.9877571379859713</v>
      </c>
    </row>
    <row r="1297" spans="1:14" ht="15">
      <c r="A1297" s="2218"/>
      <c r="B1297" s="2251">
        <v>44757</v>
      </c>
      <c r="C1297">
        <v>18.2166</v>
      </c>
      <c r="D1297" s="2522">
        <v>4.8155999999999999</v>
      </c>
      <c r="E1297" s="2523">
        <f t="shared" si="87"/>
        <v>20.496540945512795</v>
      </c>
      <c r="F1297" s="2261">
        <f t="shared" si="86"/>
        <v>24.033050394191257</v>
      </c>
      <c r="G1297" s="2524">
        <f t="shared" si="88"/>
        <v>27.569559842869719</v>
      </c>
      <c r="H1297" s="2524">
        <f t="shared" si="89"/>
        <v>16.960031496834333</v>
      </c>
      <c r="I1297" s="2524">
        <f t="shared" si="90"/>
        <v>13.423522048155872</v>
      </c>
      <c r="J1297" s="2525">
        <f t="shared" si="81"/>
        <v>4.9423217303822922</v>
      </c>
      <c r="K1297" s="2261">
        <f t="shared" si="82"/>
        <v>5.919604026580453</v>
      </c>
      <c r="L1297" s="2524">
        <f t="shared" si="83"/>
        <v>6.8968863227786139</v>
      </c>
      <c r="M1297" s="2524">
        <f t="shared" si="84"/>
        <v>3.9650394341841317</v>
      </c>
      <c r="N1297" s="2524">
        <f t="shared" si="85"/>
        <v>2.9877571379859713</v>
      </c>
    </row>
    <row r="1298" spans="1:14" ht="15">
      <c r="A1298" s="2218"/>
      <c r="B1298" s="2251">
        <v>44760</v>
      </c>
      <c r="C1298">
        <v>18.393899999999999</v>
      </c>
      <c r="D1298" s="2522">
        <v>4.8308999999999997</v>
      </c>
      <c r="E1298" s="2523">
        <f t="shared" si="87"/>
        <v>20.496540945512795</v>
      </c>
      <c r="F1298" s="2261">
        <f t="shared" si="86"/>
        <v>24.033050394191257</v>
      </c>
      <c r="G1298" s="2524">
        <f t="shared" si="88"/>
        <v>27.569559842869719</v>
      </c>
      <c r="H1298" s="2524">
        <f t="shared" si="89"/>
        <v>16.960031496834333</v>
      </c>
      <c r="I1298" s="2524">
        <f t="shared" si="90"/>
        <v>13.423522048155872</v>
      </c>
      <c r="J1298" s="2525">
        <f t="shared" si="81"/>
        <v>4.9423217303822922</v>
      </c>
      <c r="K1298" s="2261">
        <f t="shared" si="82"/>
        <v>5.919604026580453</v>
      </c>
      <c r="L1298" s="2524">
        <f t="shared" si="83"/>
        <v>6.8968863227786139</v>
      </c>
      <c r="M1298" s="2524">
        <f t="shared" si="84"/>
        <v>3.9650394341841317</v>
      </c>
      <c r="N1298" s="2524">
        <f t="shared" si="85"/>
        <v>2.9877571379859713</v>
      </c>
    </row>
    <row r="1299" spans="1:14" ht="15">
      <c r="A1299" s="2218"/>
      <c r="B1299" s="2251">
        <v>44761</v>
      </c>
      <c r="C1299">
        <v>18.393899999999999</v>
      </c>
      <c r="D1299" s="2522">
        <v>4.8155999999999999</v>
      </c>
      <c r="E1299" s="2523">
        <f t="shared" si="87"/>
        <v>20.496540945512795</v>
      </c>
      <c r="F1299" s="2261">
        <f t="shared" si="86"/>
        <v>24.033050394191257</v>
      </c>
      <c r="G1299" s="2524">
        <f t="shared" si="88"/>
        <v>27.569559842869719</v>
      </c>
      <c r="H1299" s="2524">
        <f t="shared" si="89"/>
        <v>16.960031496834333</v>
      </c>
      <c r="I1299" s="2524">
        <f t="shared" si="90"/>
        <v>13.423522048155872</v>
      </c>
      <c r="J1299" s="2525">
        <f t="shared" si="81"/>
        <v>4.9423217303822922</v>
      </c>
      <c r="K1299" s="2261">
        <f t="shared" si="82"/>
        <v>5.919604026580453</v>
      </c>
      <c r="L1299" s="2524">
        <f t="shared" si="83"/>
        <v>6.8968863227786139</v>
      </c>
      <c r="M1299" s="2524">
        <f t="shared" si="84"/>
        <v>3.9650394341841317</v>
      </c>
      <c r="N1299" s="2524">
        <f t="shared" si="85"/>
        <v>2.9877571379859713</v>
      </c>
    </row>
    <row r="1300" spans="1:14" ht="15">
      <c r="A1300" s="2218"/>
      <c r="B1300" s="2251">
        <v>44762</v>
      </c>
      <c r="C1300">
        <v>18.815000000000001</v>
      </c>
      <c r="D1300" s="2522">
        <v>4.8512000000000004</v>
      </c>
      <c r="E1300" s="2523">
        <f t="shared" si="87"/>
        <v>20.496540945512795</v>
      </c>
      <c r="F1300" s="2261">
        <f t="shared" si="86"/>
        <v>24.033050394191257</v>
      </c>
      <c r="G1300" s="2524">
        <f t="shared" si="88"/>
        <v>27.569559842869719</v>
      </c>
      <c r="H1300" s="2524">
        <f t="shared" si="89"/>
        <v>16.960031496834333</v>
      </c>
      <c r="I1300" s="2524">
        <f t="shared" si="90"/>
        <v>13.423522048155872</v>
      </c>
      <c r="J1300" s="2525">
        <f t="shared" si="81"/>
        <v>4.9423217303822922</v>
      </c>
      <c r="K1300" s="2261">
        <f t="shared" si="82"/>
        <v>5.919604026580453</v>
      </c>
      <c r="L1300" s="2524">
        <f t="shared" si="83"/>
        <v>6.8968863227786139</v>
      </c>
      <c r="M1300" s="2524">
        <f t="shared" si="84"/>
        <v>3.9650394341841317</v>
      </c>
      <c r="N1300" s="2524">
        <f t="shared" si="85"/>
        <v>2.9877571379859713</v>
      </c>
    </row>
    <row r="1301" spans="1:14" ht="15">
      <c r="A1301" s="2218"/>
      <c r="B1301" s="2251">
        <v>44763</v>
      </c>
      <c r="C1301">
        <v>18.8371</v>
      </c>
      <c r="D1301" s="2522">
        <v>4.8665000000000003</v>
      </c>
      <c r="E1301" s="2523">
        <f t="shared" si="87"/>
        <v>20.496540945512795</v>
      </c>
      <c r="F1301" s="2261">
        <f t="shared" si="86"/>
        <v>24.033050394191257</v>
      </c>
      <c r="G1301" s="2524">
        <f t="shared" si="88"/>
        <v>27.569559842869719</v>
      </c>
      <c r="H1301" s="2524">
        <f t="shared" si="89"/>
        <v>16.960031496834333</v>
      </c>
      <c r="I1301" s="2524">
        <f t="shared" si="90"/>
        <v>13.423522048155872</v>
      </c>
      <c r="J1301" s="2525">
        <f t="shared" si="81"/>
        <v>4.9423217303822922</v>
      </c>
      <c r="K1301" s="2261">
        <f t="shared" si="82"/>
        <v>5.919604026580453</v>
      </c>
      <c r="L1301" s="2524">
        <f t="shared" si="83"/>
        <v>6.8968863227786139</v>
      </c>
      <c r="M1301" s="2524">
        <f t="shared" si="84"/>
        <v>3.9650394341841317</v>
      </c>
      <c r="N1301" s="2524">
        <f t="shared" si="85"/>
        <v>2.9877571379859713</v>
      </c>
    </row>
    <row r="1302" spans="1:14" ht="15">
      <c r="A1302" s="2218"/>
      <c r="B1302" s="2251">
        <v>44764</v>
      </c>
      <c r="C1302">
        <v>18.859300000000001</v>
      </c>
      <c r="D1302" s="2522">
        <v>4.8665000000000003</v>
      </c>
      <c r="E1302" s="2523">
        <f t="shared" si="87"/>
        <v>20.496540945512795</v>
      </c>
      <c r="F1302" s="2261">
        <f t="shared" si="86"/>
        <v>24.033050394191257</v>
      </c>
      <c r="G1302" s="2524">
        <f t="shared" si="88"/>
        <v>27.569559842869719</v>
      </c>
      <c r="H1302" s="2524">
        <f t="shared" si="89"/>
        <v>16.960031496834333</v>
      </c>
      <c r="I1302" s="2524">
        <f t="shared" si="90"/>
        <v>13.423522048155872</v>
      </c>
      <c r="J1302" s="2525">
        <f t="shared" si="81"/>
        <v>4.9423217303822922</v>
      </c>
      <c r="K1302" s="2261">
        <f t="shared" si="82"/>
        <v>5.919604026580453</v>
      </c>
      <c r="L1302" s="2524">
        <f t="shared" si="83"/>
        <v>6.8968863227786139</v>
      </c>
      <c r="M1302" s="2524">
        <f t="shared" si="84"/>
        <v>3.9650394341841317</v>
      </c>
      <c r="N1302" s="2524">
        <f t="shared" si="85"/>
        <v>2.9877571379859713</v>
      </c>
    </row>
    <row r="1303" spans="1:14" ht="15">
      <c r="A1303" s="2218"/>
      <c r="B1303" s="2251">
        <v>44767</v>
      </c>
      <c r="C1303">
        <v>18.925799999999999</v>
      </c>
      <c r="D1303" s="2522">
        <v>4.8613999999999997</v>
      </c>
      <c r="E1303" s="2523">
        <f t="shared" si="87"/>
        <v>20.496540945512795</v>
      </c>
      <c r="F1303" s="2261">
        <f t="shared" si="86"/>
        <v>24.033050394191257</v>
      </c>
      <c r="G1303" s="2524">
        <f t="shared" si="88"/>
        <v>27.569559842869719</v>
      </c>
      <c r="H1303" s="2524">
        <f t="shared" si="89"/>
        <v>16.960031496834333</v>
      </c>
      <c r="I1303" s="2524">
        <f t="shared" si="90"/>
        <v>13.423522048155872</v>
      </c>
      <c r="J1303" s="2525">
        <f t="shared" si="81"/>
        <v>4.9423217303822922</v>
      </c>
      <c r="K1303" s="2261">
        <f t="shared" si="82"/>
        <v>5.919604026580453</v>
      </c>
      <c r="L1303" s="2524">
        <f t="shared" si="83"/>
        <v>6.8968863227786139</v>
      </c>
      <c r="M1303" s="2524">
        <f t="shared" si="84"/>
        <v>3.9650394341841317</v>
      </c>
      <c r="N1303" s="2524">
        <f t="shared" si="85"/>
        <v>2.9877571379859713</v>
      </c>
    </row>
    <row r="1304" spans="1:14" ht="15">
      <c r="A1304" s="2218"/>
      <c r="B1304" s="2251">
        <v>44768</v>
      </c>
      <c r="C1304">
        <v>18.7928</v>
      </c>
      <c r="D1304" s="2522">
        <v>4.8970000000000002</v>
      </c>
      <c r="E1304" s="2523">
        <f t="shared" si="87"/>
        <v>20.496540945512795</v>
      </c>
      <c r="F1304" s="2261">
        <f t="shared" si="86"/>
        <v>24.033050394191257</v>
      </c>
      <c r="G1304" s="2524">
        <f t="shared" si="88"/>
        <v>27.569559842869719</v>
      </c>
      <c r="H1304" s="2524">
        <f t="shared" si="89"/>
        <v>16.960031496834333</v>
      </c>
      <c r="I1304" s="2524">
        <f t="shared" si="90"/>
        <v>13.423522048155872</v>
      </c>
      <c r="J1304" s="2525">
        <f t="shared" si="81"/>
        <v>4.9423217303822922</v>
      </c>
      <c r="K1304" s="2261">
        <f t="shared" si="82"/>
        <v>5.919604026580453</v>
      </c>
      <c r="L1304" s="2524">
        <f t="shared" si="83"/>
        <v>6.8968863227786139</v>
      </c>
      <c r="M1304" s="2524">
        <f t="shared" si="84"/>
        <v>3.9650394341841317</v>
      </c>
      <c r="N1304" s="2524">
        <f t="shared" si="85"/>
        <v>2.9877571379859713</v>
      </c>
    </row>
    <row r="1305" spans="1:14" ht="15">
      <c r="A1305" s="2218"/>
      <c r="B1305" s="2251">
        <v>44769</v>
      </c>
      <c r="C1305">
        <v>18.881499999999999</v>
      </c>
      <c r="D1305" s="2522">
        <v>4.9020999999999999</v>
      </c>
      <c r="E1305" s="2523">
        <f t="shared" si="87"/>
        <v>20.496540945512795</v>
      </c>
      <c r="F1305" s="2261">
        <f t="shared" si="86"/>
        <v>24.033050394191257</v>
      </c>
      <c r="G1305" s="2524">
        <f t="shared" si="88"/>
        <v>27.569559842869719</v>
      </c>
      <c r="H1305" s="2524">
        <f t="shared" si="89"/>
        <v>16.960031496834333</v>
      </c>
      <c r="I1305" s="2524">
        <f t="shared" si="90"/>
        <v>13.423522048155872</v>
      </c>
      <c r="J1305" s="2525">
        <f t="shared" si="81"/>
        <v>4.9423217303822922</v>
      </c>
      <c r="K1305" s="2261">
        <f t="shared" si="82"/>
        <v>5.919604026580453</v>
      </c>
      <c r="L1305" s="2524">
        <f t="shared" si="83"/>
        <v>6.8968863227786139</v>
      </c>
      <c r="M1305" s="2524">
        <f t="shared" si="84"/>
        <v>3.9650394341841317</v>
      </c>
      <c r="N1305" s="2524">
        <f t="shared" si="85"/>
        <v>2.9877571379859713</v>
      </c>
    </row>
    <row r="1306" spans="1:14" ht="15">
      <c r="A1306" s="2218"/>
      <c r="B1306" s="2251">
        <v>44770</v>
      </c>
      <c r="C1306">
        <v>18.815000000000001</v>
      </c>
      <c r="D1306" s="2522">
        <v>4.8613999999999997</v>
      </c>
      <c r="E1306" s="2523">
        <f t="shared" si="87"/>
        <v>20.496540945512795</v>
      </c>
      <c r="F1306" s="2261">
        <f t="shared" si="86"/>
        <v>24.033050394191257</v>
      </c>
      <c r="G1306" s="2524">
        <f t="shared" si="88"/>
        <v>27.569559842869719</v>
      </c>
      <c r="H1306" s="2524">
        <f t="shared" si="89"/>
        <v>16.960031496834333</v>
      </c>
      <c r="I1306" s="2524">
        <f t="shared" si="90"/>
        <v>13.423522048155872</v>
      </c>
      <c r="J1306" s="2525">
        <f t="shared" si="81"/>
        <v>4.9423217303822922</v>
      </c>
      <c r="K1306" s="2261">
        <f t="shared" si="82"/>
        <v>5.919604026580453</v>
      </c>
      <c r="L1306" s="2524">
        <f t="shared" si="83"/>
        <v>6.8968863227786139</v>
      </c>
      <c r="M1306" s="2524">
        <f t="shared" si="84"/>
        <v>3.9650394341841317</v>
      </c>
      <c r="N1306" s="2524">
        <f t="shared" si="85"/>
        <v>2.9877571379859713</v>
      </c>
    </row>
    <row r="1307" spans="1:14" ht="15">
      <c r="A1307" s="2218"/>
      <c r="B1307" s="2251">
        <v>44771</v>
      </c>
      <c r="C1307">
        <v>18.5047</v>
      </c>
      <c r="D1307" s="2522">
        <v>4.8308999999999997</v>
      </c>
      <c r="E1307" s="2523">
        <f t="shared" si="87"/>
        <v>20.496540945512795</v>
      </c>
      <c r="F1307" s="2261">
        <f t="shared" si="86"/>
        <v>24.033050394191257</v>
      </c>
      <c r="G1307" s="2524">
        <f t="shared" si="88"/>
        <v>27.569559842869719</v>
      </c>
      <c r="H1307" s="2524">
        <f t="shared" si="89"/>
        <v>16.960031496834333</v>
      </c>
      <c r="I1307" s="2524">
        <f t="shared" si="90"/>
        <v>13.423522048155872</v>
      </c>
      <c r="J1307" s="2525">
        <f t="shared" si="81"/>
        <v>4.9423217303822922</v>
      </c>
      <c r="K1307" s="2261">
        <f t="shared" si="82"/>
        <v>5.919604026580453</v>
      </c>
      <c r="L1307" s="2524">
        <f t="shared" si="83"/>
        <v>6.8968863227786139</v>
      </c>
      <c r="M1307" s="2524">
        <f t="shared" si="84"/>
        <v>3.9650394341841317</v>
      </c>
      <c r="N1307" s="2524">
        <f t="shared" si="85"/>
        <v>2.9877571379859713</v>
      </c>
    </row>
    <row r="1308" spans="1:14" ht="15">
      <c r="A1308" s="2218"/>
      <c r="B1308" s="2251">
        <v>44774</v>
      </c>
      <c r="C1308">
        <v>18.615500000000001</v>
      </c>
      <c r="D1308" s="2522">
        <v>4.8360000000000003</v>
      </c>
      <c r="E1308" s="2523">
        <f t="shared" si="87"/>
        <v>20.496540945512795</v>
      </c>
      <c r="F1308" s="2261">
        <f t="shared" si="86"/>
        <v>24.033050394191257</v>
      </c>
      <c r="G1308" s="2524">
        <f t="shared" si="88"/>
        <v>27.569559842869719</v>
      </c>
      <c r="H1308" s="2524">
        <f t="shared" si="89"/>
        <v>16.960031496834333</v>
      </c>
      <c r="I1308" s="2524">
        <f t="shared" si="90"/>
        <v>13.423522048155872</v>
      </c>
      <c r="J1308" s="2525">
        <f t="shared" si="81"/>
        <v>4.9423217303822922</v>
      </c>
      <c r="K1308" s="2261">
        <f t="shared" si="82"/>
        <v>5.919604026580453</v>
      </c>
      <c r="L1308" s="2524">
        <f t="shared" si="83"/>
        <v>6.8968863227786139</v>
      </c>
      <c r="M1308" s="2524">
        <f t="shared" si="84"/>
        <v>3.9650394341841317</v>
      </c>
      <c r="N1308" s="2524">
        <f t="shared" si="85"/>
        <v>2.9877571379859713</v>
      </c>
    </row>
    <row r="1309" spans="1:14" ht="15">
      <c r="A1309" s="2218"/>
      <c r="B1309" s="2251">
        <v>44775</v>
      </c>
      <c r="C1309">
        <v>18.8371</v>
      </c>
      <c r="D1309" s="2522">
        <v>4.8765999999999998</v>
      </c>
      <c r="E1309" s="2523">
        <f t="shared" si="87"/>
        <v>20.496540945512795</v>
      </c>
      <c r="F1309" s="2261">
        <f t="shared" si="86"/>
        <v>24.033050394191257</v>
      </c>
      <c r="G1309" s="2524">
        <f t="shared" si="88"/>
        <v>27.569559842869719</v>
      </c>
      <c r="H1309" s="2524">
        <f t="shared" si="89"/>
        <v>16.960031496834333</v>
      </c>
      <c r="I1309" s="2524">
        <f t="shared" si="90"/>
        <v>13.423522048155872</v>
      </c>
      <c r="J1309" s="2525">
        <f t="shared" si="81"/>
        <v>4.9423217303822922</v>
      </c>
      <c r="K1309" s="2261">
        <f t="shared" si="82"/>
        <v>5.919604026580453</v>
      </c>
      <c r="L1309" s="2524">
        <f t="shared" si="83"/>
        <v>6.8968863227786139</v>
      </c>
      <c r="M1309" s="2524">
        <f t="shared" si="84"/>
        <v>3.9650394341841317</v>
      </c>
      <c r="N1309" s="2524">
        <f t="shared" si="85"/>
        <v>2.9877571379859713</v>
      </c>
    </row>
    <row r="1310" spans="1:14" ht="15">
      <c r="A1310" s="2218"/>
      <c r="B1310" s="2251">
        <v>44776</v>
      </c>
      <c r="C1310">
        <v>18.7928</v>
      </c>
      <c r="D1310" s="2522">
        <v>4.8765999999999998</v>
      </c>
      <c r="E1310" s="2523">
        <f t="shared" si="87"/>
        <v>20.496540945512795</v>
      </c>
      <c r="F1310" s="2261">
        <f t="shared" si="86"/>
        <v>24.033050394191257</v>
      </c>
      <c r="G1310" s="2524">
        <f t="shared" si="88"/>
        <v>27.569559842869719</v>
      </c>
      <c r="H1310" s="2524">
        <f t="shared" si="89"/>
        <v>16.960031496834333</v>
      </c>
      <c r="I1310" s="2524">
        <f t="shared" si="90"/>
        <v>13.423522048155872</v>
      </c>
      <c r="J1310" s="2525">
        <f t="shared" si="81"/>
        <v>4.9423217303822922</v>
      </c>
      <c r="K1310" s="2261">
        <f t="shared" si="82"/>
        <v>5.919604026580453</v>
      </c>
      <c r="L1310" s="2524">
        <f t="shared" si="83"/>
        <v>6.8968863227786139</v>
      </c>
      <c r="M1310" s="2524">
        <f t="shared" si="84"/>
        <v>3.9650394341841317</v>
      </c>
      <c r="N1310" s="2524">
        <f t="shared" si="85"/>
        <v>2.9877571379859713</v>
      </c>
    </row>
    <row r="1311" spans="1:14" ht="15">
      <c r="A1311" s="2218"/>
      <c r="B1311" s="2251">
        <v>44777</v>
      </c>
      <c r="C1311">
        <v>19.0809</v>
      </c>
      <c r="D1311" s="2522">
        <v>4.8613999999999997</v>
      </c>
      <c r="E1311" s="2523">
        <f t="shared" si="87"/>
        <v>20.496540945512795</v>
      </c>
      <c r="F1311" s="2261">
        <f t="shared" si="86"/>
        <v>24.033050394191257</v>
      </c>
      <c r="G1311" s="2524">
        <f t="shared" si="88"/>
        <v>27.569559842869719</v>
      </c>
      <c r="H1311" s="2524">
        <f t="shared" si="89"/>
        <v>16.960031496834333</v>
      </c>
      <c r="I1311" s="2524">
        <f t="shared" si="90"/>
        <v>13.423522048155872</v>
      </c>
      <c r="J1311" s="2525">
        <f t="shared" si="81"/>
        <v>4.9423217303822922</v>
      </c>
      <c r="K1311" s="2261">
        <f t="shared" si="82"/>
        <v>5.919604026580453</v>
      </c>
      <c r="L1311" s="2524">
        <f t="shared" si="83"/>
        <v>6.8968863227786139</v>
      </c>
      <c r="M1311" s="2524">
        <f t="shared" si="84"/>
        <v>3.9650394341841317</v>
      </c>
      <c r="N1311" s="2524">
        <f t="shared" si="85"/>
        <v>2.9877571379859713</v>
      </c>
    </row>
    <row r="1312" spans="1:14" ht="15">
      <c r="A1312" s="2218"/>
      <c r="B1312" s="2251">
        <v>44778</v>
      </c>
      <c r="C1312">
        <v>19.014399999999998</v>
      </c>
      <c r="D1312" s="2522">
        <v>4.8665000000000003</v>
      </c>
      <c r="E1312" s="2523">
        <f t="shared" si="87"/>
        <v>20.496540945512795</v>
      </c>
      <c r="F1312" s="2261">
        <f t="shared" si="86"/>
        <v>24.033050394191257</v>
      </c>
      <c r="G1312" s="2524">
        <f t="shared" si="88"/>
        <v>27.569559842869719</v>
      </c>
      <c r="H1312" s="2524">
        <f t="shared" si="89"/>
        <v>16.960031496834333</v>
      </c>
      <c r="I1312" s="2524">
        <f t="shared" si="90"/>
        <v>13.423522048155872</v>
      </c>
      <c r="J1312" s="2525">
        <f t="shared" si="81"/>
        <v>4.9423217303822922</v>
      </c>
      <c r="K1312" s="2261">
        <f t="shared" si="82"/>
        <v>5.919604026580453</v>
      </c>
      <c r="L1312" s="2524">
        <f t="shared" si="83"/>
        <v>6.8968863227786139</v>
      </c>
      <c r="M1312" s="2524">
        <f t="shared" si="84"/>
        <v>3.9650394341841317</v>
      </c>
      <c r="N1312" s="2524">
        <f t="shared" si="85"/>
        <v>2.9877571379859713</v>
      </c>
    </row>
    <row r="1313" spans="1:14" ht="15">
      <c r="A1313" s="2218"/>
      <c r="B1313" s="2251">
        <v>44781</v>
      </c>
      <c r="C1313">
        <v>19.058700000000002</v>
      </c>
      <c r="D1313" s="2522">
        <v>5.08</v>
      </c>
      <c r="E1313" s="2523">
        <f t="shared" si="87"/>
        <v>20.496540945512795</v>
      </c>
      <c r="F1313" s="2261">
        <f t="shared" si="86"/>
        <v>24.033050394191257</v>
      </c>
      <c r="G1313" s="2524">
        <f t="shared" si="88"/>
        <v>27.569559842869719</v>
      </c>
      <c r="H1313" s="2524">
        <f t="shared" si="89"/>
        <v>16.960031496834333</v>
      </c>
      <c r="I1313" s="2524">
        <f t="shared" si="90"/>
        <v>13.423522048155872</v>
      </c>
      <c r="J1313" s="2525">
        <f t="shared" si="81"/>
        <v>4.9423217303822922</v>
      </c>
      <c r="K1313" s="2261">
        <f t="shared" si="82"/>
        <v>5.919604026580453</v>
      </c>
      <c r="L1313" s="2524">
        <f t="shared" si="83"/>
        <v>6.8968863227786139</v>
      </c>
      <c r="M1313" s="2524">
        <f t="shared" si="84"/>
        <v>3.9650394341841317</v>
      </c>
      <c r="N1313" s="2524">
        <f t="shared" si="85"/>
        <v>2.9877571379859713</v>
      </c>
    </row>
    <row r="1314" spans="1:14" ht="15">
      <c r="A1314" s="2218"/>
      <c r="B1314" s="2251">
        <v>44782</v>
      </c>
      <c r="C1314">
        <v>19.103100000000001</v>
      </c>
      <c r="D1314" s="2522">
        <v>5.1867999999999999</v>
      </c>
      <c r="E1314" s="2523">
        <f t="shared" si="87"/>
        <v>20.496540945512795</v>
      </c>
      <c r="F1314" s="2261">
        <f t="shared" si="86"/>
        <v>24.033050394191257</v>
      </c>
      <c r="G1314" s="2524">
        <f t="shared" si="88"/>
        <v>27.569559842869719</v>
      </c>
      <c r="H1314" s="2524">
        <f t="shared" si="89"/>
        <v>16.960031496834333</v>
      </c>
      <c r="I1314" s="2524">
        <f t="shared" si="90"/>
        <v>13.423522048155872</v>
      </c>
      <c r="J1314" s="2525">
        <f t="shared" si="81"/>
        <v>4.9423217303822922</v>
      </c>
      <c r="K1314" s="2261">
        <f t="shared" si="82"/>
        <v>5.919604026580453</v>
      </c>
      <c r="L1314" s="2524">
        <f t="shared" si="83"/>
        <v>6.8968863227786139</v>
      </c>
      <c r="M1314" s="2524">
        <f t="shared" si="84"/>
        <v>3.9650394341841317</v>
      </c>
      <c r="N1314" s="2524">
        <f t="shared" si="85"/>
        <v>2.9877571379859713</v>
      </c>
    </row>
    <row r="1315" spans="1:14" ht="15">
      <c r="A1315" s="2218"/>
      <c r="B1315" s="2251">
        <v>44783</v>
      </c>
      <c r="C1315">
        <v>19.058700000000002</v>
      </c>
      <c r="D1315" s="2522">
        <v>5.2630999999999997</v>
      </c>
      <c r="E1315" s="2523">
        <f t="shared" si="87"/>
        <v>20.496540945512795</v>
      </c>
      <c r="F1315" s="2261">
        <f t="shared" si="86"/>
        <v>24.033050394191257</v>
      </c>
      <c r="G1315" s="2524">
        <f t="shared" si="88"/>
        <v>27.569559842869719</v>
      </c>
      <c r="H1315" s="2524">
        <f t="shared" si="89"/>
        <v>16.960031496834333</v>
      </c>
      <c r="I1315" s="2524">
        <f t="shared" si="90"/>
        <v>13.423522048155872</v>
      </c>
      <c r="J1315" s="2525">
        <f t="shared" si="81"/>
        <v>4.9423217303822922</v>
      </c>
      <c r="K1315" s="2261">
        <f t="shared" si="82"/>
        <v>5.919604026580453</v>
      </c>
      <c r="L1315" s="2524">
        <f t="shared" si="83"/>
        <v>6.8968863227786139</v>
      </c>
      <c r="M1315" s="2524">
        <f t="shared" si="84"/>
        <v>3.9650394341841317</v>
      </c>
      <c r="N1315" s="2524">
        <f t="shared" si="85"/>
        <v>2.9877571379859713</v>
      </c>
    </row>
    <row r="1316" spans="1:14" ht="15">
      <c r="A1316" s="2218"/>
      <c r="B1316" s="2251">
        <v>44784</v>
      </c>
      <c r="C1316">
        <v>19.058700000000002</v>
      </c>
      <c r="D1316" s="2522">
        <v>5.2935999999999996</v>
      </c>
      <c r="E1316" s="2523">
        <f t="shared" si="87"/>
        <v>20.496540945512795</v>
      </c>
      <c r="F1316" s="2261">
        <f t="shared" si="86"/>
        <v>24.033050394191257</v>
      </c>
      <c r="G1316" s="2524">
        <f t="shared" si="88"/>
        <v>27.569559842869719</v>
      </c>
      <c r="H1316" s="2524">
        <f t="shared" si="89"/>
        <v>16.960031496834333</v>
      </c>
      <c r="I1316" s="2524">
        <f t="shared" si="90"/>
        <v>13.423522048155872</v>
      </c>
      <c r="J1316" s="2525">
        <f t="shared" si="81"/>
        <v>4.9423217303822922</v>
      </c>
      <c r="K1316" s="2261">
        <f t="shared" si="82"/>
        <v>5.919604026580453</v>
      </c>
      <c r="L1316" s="2524">
        <f t="shared" si="83"/>
        <v>6.8968863227786139</v>
      </c>
      <c r="M1316" s="2524">
        <f t="shared" si="84"/>
        <v>3.9650394341841317</v>
      </c>
      <c r="N1316" s="2524">
        <f t="shared" si="85"/>
        <v>2.9877571379859713</v>
      </c>
    </row>
    <row r="1317" spans="1:14" ht="15">
      <c r="A1317" s="2218"/>
      <c r="B1317" s="2251">
        <v>44785</v>
      </c>
      <c r="C1317">
        <v>19.169499999999999</v>
      </c>
      <c r="D1317" s="2522">
        <v>5.3342999999999998</v>
      </c>
      <c r="E1317" s="2523">
        <f t="shared" si="87"/>
        <v>20.496540945512795</v>
      </c>
      <c r="F1317" s="2261">
        <f t="shared" si="86"/>
        <v>24.033050394191257</v>
      </c>
      <c r="G1317" s="2524">
        <f t="shared" si="88"/>
        <v>27.569559842869719</v>
      </c>
      <c r="H1317" s="2524">
        <f t="shared" si="89"/>
        <v>16.960031496834333</v>
      </c>
      <c r="I1317" s="2524">
        <f t="shared" si="90"/>
        <v>13.423522048155872</v>
      </c>
      <c r="J1317" s="2525">
        <f t="shared" si="81"/>
        <v>4.9423217303822922</v>
      </c>
      <c r="K1317" s="2261">
        <f t="shared" si="82"/>
        <v>5.919604026580453</v>
      </c>
      <c r="L1317" s="2524">
        <f t="shared" si="83"/>
        <v>6.8968863227786139</v>
      </c>
      <c r="M1317" s="2524">
        <f t="shared" si="84"/>
        <v>3.9650394341841317</v>
      </c>
      <c r="N1317" s="2524">
        <f t="shared" si="85"/>
        <v>2.9877571379859713</v>
      </c>
    </row>
    <row r="1318" spans="1:14" ht="15">
      <c r="A1318" s="2218"/>
      <c r="B1318" s="2251">
        <v>44788</v>
      </c>
      <c r="C1318">
        <v>19.7014</v>
      </c>
      <c r="D1318" s="2522">
        <v>5.2885</v>
      </c>
      <c r="E1318" s="2523">
        <f t="shared" si="87"/>
        <v>20.496540945512795</v>
      </c>
      <c r="F1318" s="2261">
        <f t="shared" si="86"/>
        <v>24.033050394191257</v>
      </c>
      <c r="G1318" s="2524">
        <f t="shared" si="88"/>
        <v>27.569559842869719</v>
      </c>
      <c r="H1318" s="2524">
        <f t="shared" si="89"/>
        <v>16.960031496834333</v>
      </c>
      <c r="I1318" s="2524">
        <f t="shared" si="90"/>
        <v>13.423522048155872</v>
      </c>
      <c r="J1318" s="2525">
        <f t="shared" si="81"/>
        <v>4.9423217303822922</v>
      </c>
      <c r="K1318" s="2261">
        <f t="shared" si="82"/>
        <v>5.919604026580453</v>
      </c>
      <c r="L1318" s="2524">
        <f t="shared" si="83"/>
        <v>6.8968863227786139</v>
      </c>
      <c r="M1318" s="2524">
        <f t="shared" si="84"/>
        <v>3.9650394341841317</v>
      </c>
      <c r="N1318" s="2524">
        <f t="shared" si="85"/>
        <v>2.9877571379859713</v>
      </c>
    </row>
    <row r="1319" spans="1:14" ht="15">
      <c r="A1319" s="2218"/>
      <c r="B1319" s="2251">
        <v>44789</v>
      </c>
      <c r="C1319">
        <v>19.6571</v>
      </c>
      <c r="D1319" s="2522">
        <v>5.3445</v>
      </c>
      <c r="E1319" s="2523">
        <f t="shared" si="87"/>
        <v>20.496540945512795</v>
      </c>
      <c r="F1319" s="2261">
        <f t="shared" si="86"/>
        <v>24.033050394191257</v>
      </c>
      <c r="G1319" s="2524">
        <f t="shared" si="88"/>
        <v>27.569559842869719</v>
      </c>
      <c r="H1319" s="2524">
        <f t="shared" si="89"/>
        <v>16.960031496834333</v>
      </c>
      <c r="I1319" s="2524">
        <f t="shared" si="90"/>
        <v>13.423522048155872</v>
      </c>
      <c r="J1319" s="2525">
        <f t="shared" si="81"/>
        <v>4.9423217303822922</v>
      </c>
      <c r="K1319" s="2261">
        <f t="shared" si="82"/>
        <v>5.919604026580453</v>
      </c>
      <c r="L1319" s="2524">
        <f t="shared" si="83"/>
        <v>6.8968863227786139</v>
      </c>
      <c r="M1319" s="2524">
        <f t="shared" si="84"/>
        <v>3.9650394341841317</v>
      </c>
      <c r="N1319" s="2524">
        <f t="shared" si="85"/>
        <v>2.9877571379859713</v>
      </c>
    </row>
    <row r="1320" spans="1:14" ht="15">
      <c r="A1320" s="2218"/>
      <c r="B1320" s="2251">
        <v>44790</v>
      </c>
      <c r="C1320">
        <v>19.5685</v>
      </c>
      <c r="D1320" s="2522">
        <v>5.3394000000000004</v>
      </c>
      <c r="E1320" s="2523">
        <f t="shared" si="87"/>
        <v>20.496540945512795</v>
      </c>
      <c r="F1320" s="2261">
        <f t="shared" si="86"/>
        <v>24.033050394191257</v>
      </c>
      <c r="G1320" s="2524">
        <f t="shared" si="88"/>
        <v>27.569559842869719</v>
      </c>
      <c r="H1320" s="2524">
        <f t="shared" si="89"/>
        <v>16.960031496834333</v>
      </c>
      <c r="I1320" s="2524">
        <f t="shared" si="90"/>
        <v>13.423522048155872</v>
      </c>
      <c r="J1320" s="2525">
        <f t="shared" si="81"/>
        <v>4.9423217303822922</v>
      </c>
      <c r="K1320" s="2261">
        <f t="shared" si="82"/>
        <v>5.919604026580453</v>
      </c>
      <c r="L1320" s="2524">
        <f t="shared" si="83"/>
        <v>6.8968863227786139</v>
      </c>
      <c r="M1320" s="2524">
        <f t="shared" si="84"/>
        <v>3.9650394341841317</v>
      </c>
      <c r="N1320" s="2524">
        <f t="shared" si="85"/>
        <v>2.9877571379859713</v>
      </c>
    </row>
    <row r="1321" spans="1:14" ht="15">
      <c r="A1321" s="2218"/>
      <c r="B1321" s="2251">
        <v>44791</v>
      </c>
      <c r="C1321">
        <v>19.5685</v>
      </c>
      <c r="D1321" s="2522">
        <v>5.3037999999999998</v>
      </c>
      <c r="E1321" s="2523">
        <f t="shared" si="87"/>
        <v>20.496540945512795</v>
      </c>
      <c r="F1321" s="2261">
        <f t="shared" si="86"/>
        <v>24.033050394191257</v>
      </c>
      <c r="G1321" s="2524">
        <f t="shared" si="88"/>
        <v>27.569559842869719</v>
      </c>
      <c r="H1321" s="2524">
        <f t="shared" si="89"/>
        <v>16.960031496834333</v>
      </c>
      <c r="I1321" s="2524">
        <f t="shared" si="90"/>
        <v>13.423522048155872</v>
      </c>
      <c r="J1321" s="2525">
        <f t="shared" ref="J1321:J1453" si="91">J$953</f>
        <v>4.9423217303822922</v>
      </c>
      <c r="K1321" s="2261">
        <f t="shared" ref="K1321:K1375" si="92">J$953+G$953</f>
        <v>5.919604026580453</v>
      </c>
      <c r="L1321" s="2524">
        <f t="shared" ref="L1321:L1375" si="93">J$953+G$953+G$953</f>
        <v>6.8968863227786139</v>
      </c>
      <c r="M1321" s="2524">
        <f t="shared" ref="M1321:M1375" si="94">J$953-G$953</f>
        <v>3.9650394341841317</v>
      </c>
      <c r="N1321" s="2524">
        <f t="shared" ref="N1321:N1375" si="95">J$953-G$953-G$953</f>
        <v>2.9877571379859713</v>
      </c>
    </row>
    <row r="1322" spans="1:14" ht="15">
      <c r="A1322" s="2218"/>
      <c r="B1322" s="2251">
        <v>44792</v>
      </c>
      <c r="C1322">
        <v>19.258199999999999</v>
      </c>
      <c r="D1322" s="2522">
        <v>5.3852000000000002</v>
      </c>
      <c r="E1322" s="2523">
        <f t="shared" si="87"/>
        <v>20.496540945512795</v>
      </c>
      <c r="F1322" s="2261">
        <f t="shared" si="86"/>
        <v>24.033050394191257</v>
      </c>
      <c r="G1322" s="2524">
        <f t="shared" si="88"/>
        <v>27.569559842869719</v>
      </c>
      <c r="H1322" s="2524">
        <f t="shared" si="89"/>
        <v>16.960031496834333</v>
      </c>
      <c r="I1322" s="2524">
        <f t="shared" si="90"/>
        <v>13.423522048155872</v>
      </c>
      <c r="J1322" s="2525">
        <f t="shared" si="91"/>
        <v>4.9423217303822922</v>
      </c>
      <c r="K1322" s="2261">
        <f t="shared" si="92"/>
        <v>5.919604026580453</v>
      </c>
      <c r="L1322" s="2524">
        <f t="shared" si="93"/>
        <v>6.8968863227786139</v>
      </c>
      <c r="M1322" s="2524">
        <f t="shared" si="94"/>
        <v>3.9650394341841317</v>
      </c>
      <c r="N1322" s="2524">
        <f t="shared" si="95"/>
        <v>2.9877571379859713</v>
      </c>
    </row>
    <row r="1323" spans="1:14" ht="15">
      <c r="A1323" s="2218"/>
      <c r="B1323" s="2251">
        <v>44795</v>
      </c>
      <c r="C1323">
        <v>19.236000000000001</v>
      </c>
      <c r="D1323" s="2522">
        <v>5.319</v>
      </c>
      <c r="E1323" s="2523">
        <f t="shared" si="87"/>
        <v>20.496540945512795</v>
      </c>
      <c r="F1323" s="2261">
        <f t="shared" si="86"/>
        <v>24.033050394191257</v>
      </c>
      <c r="G1323" s="2524">
        <f t="shared" si="88"/>
        <v>27.569559842869719</v>
      </c>
      <c r="H1323" s="2524">
        <f t="shared" si="89"/>
        <v>16.960031496834333</v>
      </c>
      <c r="I1323" s="2524">
        <f t="shared" si="90"/>
        <v>13.423522048155872</v>
      </c>
      <c r="J1323" s="2525">
        <f t="shared" si="91"/>
        <v>4.9423217303822922</v>
      </c>
      <c r="K1323" s="2261">
        <f t="shared" si="92"/>
        <v>5.919604026580453</v>
      </c>
      <c r="L1323" s="2524">
        <f t="shared" si="93"/>
        <v>6.8968863227786139</v>
      </c>
      <c r="M1323" s="2524">
        <f t="shared" si="94"/>
        <v>3.9650394341841317</v>
      </c>
      <c r="N1323" s="2524">
        <f t="shared" si="95"/>
        <v>2.9877571379859713</v>
      </c>
    </row>
    <row r="1324" spans="1:14" ht="15">
      <c r="A1324" s="2218"/>
      <c r="B1324" s="2251">
        <v>44796</v>
      </c>
      <c r="C1324">
        <v>19.2804</v>
      </c>
      <c r="D1324" s="2522">
        <v>5.2835000000000001</v>
      </c>
      <c r="E1324" s="2523">
        <f t="shared" si="87"/>
        <v>20.496540945512795</v>
      </c>
      <c r="F1324" s="2261">
        <f t="shared" si="86"/>
        <v>24.033050394191257</v>
      </c>
      <c r="G1324" s="2524">
        <f t="shared" si="88"/>
        <v>27.569559842869719</v>
      </c>
      <c r="H1324" s="2524">
        <f t="shared" si="89"/>
        <v>16.960031496834333</v>
      </c>
      <c r="I1324" s="2524">
        <f t="shared" si="90"/>
        <v>13.423522048155872</v>
      </c>
      <c r="J1324" s="2525">
        <f t="shared" si="91"/>
        <v>4.9423217303822922</v>
      </c>
      <c r="K1324" s="2261">
        <f t="shared" si="92"/>
        <v>5.919604026580453</v>
      </c>
      <c r="L1324" s="2524">
        <f t="shared" si="93"/>
        <v>6.8968863227786139</v>
      </c>
      <c r="M1324" s="2524">
        <f t="shared" si="94"/>
        <v>3.9650394341841317</v>
      </c>
      <c r="N1324" s="2524">
        <f t="shared" si="95"/>
        <v>2.9877571379859713</v>
      </c>
    </row>
    <row r="1325" spans="1:14" ht="15">
      <c r="A1325" s="2218"/>
      <c r="B1325" s="2251">
        <v>44797</v>
      </c>
      <c r="C1325">
        <v>19.103100000000001</v>
      </c>
      <c r="D1325" s="2522">
        <v>5.4919000000000002</v>
      </c>
      <c r="E1325" s="2523">
        <f t="shared" si="87"/>
        <v>20.496540945512795</v>
      </c>
      <c r="F1325" s="2261">
        <f t="shared" si="86"/>
        <v>24.033050394191257</v>
      </c>
      <c r="G1325" s="2524">
        <f t="shared" si="88"/>
        <v>27.569559842869719</v>
      </c>
      <c r="H1325" s="2524">
        <f t="shared" si="89"/>
        <v>16.960031496834333</v>
      </c>
      <c r="I1325" s="2524">
        <f t="shared" si="90"/>
        <v>13.423522048155872</v>
      </c>
      <c r="J1325" s="2525">
        <f t="shared" si="91"/>
        <v>4.9423217303822922</v>
      </c>
      <c r="K1325" s="2261">
        <f t="shared" si="92"/>
        <v>5.919604026580453</v>
      </c>
      <c r="L1325" s="2524">
        <f t="shared" si="93"/>
        <v>6.8968863227786139</v>
      </c>
      <c r="M1325" s="2524">
        <f t="shared" si="94"/>
        <v>3.9650394341841317</v>
      </c>
      <c r="N1325" s="2524">
        <f t="shared" si="95"/>
        <v>2.9877571379859713</v>
      </c>
    </row>
    <row r="1326" spans="1:14" ht="15">
      <c r="A1326" s="2218"/>
      <c r="B1326" s="2251">
        <v>44798</v>
      </c>
      <c r="C1326">
        <v>19.1252</v>
      </c>
      <c r="D1326" s="2522">
        <v>5.4869000000000003</v>
      </c>
      <c r="E1326" s="2523">
        <f t="shared" si="87"/>
        <v>20.496540945512795</v>
      </c>
      <c r="F1326" s="2261">
        <f t="shared" si="86"/>
        <v>24.033050394191257</v>
      </c>
      <c r="G1326" s="2524">
        <f t="shared" si="88"/>
        <v>27.569559842869719</v>
      </c>
      <c r="H1326" s="2524">
        <f t="shared" si="89"/>
        <v>16.960031496834333</v>
      </c>
      <c r="I1326" s="2524">
        <f t="shared" si="90"/>
        <v>13.423522048155872</v>
      </c>
      <c r="J1326" s="2525">
        <f t="shared" si="91"/>
        <v>4.9423217303822922</v>
      </c>
      <c r="K1326" s="2261">
        <f t="shared" si="92"/>
        <v>5.919604026580453</v>
      </c>
      <c r="L1326" s="2524">
        <f t="shared" si="93"/>
        <v>6.8968863227786139</v>
      </c>
      <c r="M1326" s="2524">
        <f t="shared" si="94"/>
        <v>3.9650394341841317</v>
      </c>
      <c r="N1326" s="2524">
        <f t="shared" si="95"/>
        <v>2.9877571379859713</v>
      </c>
    </row>
    <row r="1327" spans="1:14" ht="15">
      <c r="A1327" s="2218"/>
      <c r="B1327" s="2251">
        <v>44799</v>
      </c>
      <c r="C1327">
        <v>19.3247</v>
      </c>
      <c r="D1327" s="2522">
        <v>5.5174000000000003</v>
      </c>
      <c r="E1327" s="2523">
        <f t="shared" si="87"/>
        <v>20.496540945512795</v>
      </c>
      <c r="F1327" s="2261">
        <f t="shared" si="86"/>
        <v>24.033050394191257</v>
      </c>
      <c r="G1327" s="2524">
        <f t="shared" si="88"/>
        <v>27.569559842869719</v>
      </c>
      <c r="H1327" s="2524">
        <f t="shared" si="89"/>
        <v>16.960031496834333</v>
      </c>
      <c r="I1327" s="2524">
        <f t="shared" si="90"/>
        <v>13.423522048155872</v>
      </c>
      <c r="J1327" s="2525">
        <f t="shared" si="91"/>
        <v>4.9423217303822922</v>
      </c>
      <c r="K1327" s="2261">
        <f t="shared" si="92"/>
        <v>5.919604026580453</v>
      </c>
      <c r="L1327" s="2524">
        <f t="shared" si="93"/>
        <v>6.8968863227786139</v>
      </c>
      <c r="M1327" s="2524">
        <f t="shared" si="94"/>
        <v>3.9650394341841317</v>
      </c>
      <c r="N1327" s="2524">
        <f t="shared" si="95"/>
        <v>2.9877571379859713</v>
      </c>
    </row>
    <row r="1328" spans="1:14" ht="15">
      <c r="A1328" s="2218"/>
      <c r="B1328" s="2251">
        <v>44802</v>
      </c>
      <c r="C1328">
        <v>19.169499999999999</v>
      </c>
      <c r="D1328" s="2522">
        <v>5.5427999999999997</v>
      </c>
      <c r="E1328" s="2523">
        <f t="shared" si="87"/>
        <v>20.496540945512795</v>
      </c>
      <c r="F1328" s="2261">
        <f t="shared" si="86"/>
        <v>24.033050394191257</v>
      </c>
      <c r="G1328" s="2524">
        <f t="shared" si="88"/>
        <v>27.569559842869719</v>
      </c>
      <c r="H1328" s="2524">
        <f t="shared" si="89"/>
        <v>16.960031496834333</v>
      </c>
      <c r="I1328" s="2524">
        <f t="shared" si="90"/>
        <v>13.423522048155872</v>
      </c>
      <c r="J1328" s="2525">
        <f t="shared" si="91"/>
        <v>4.9423217303822922</v>
      </c>
      <c r="K1328" s="2261">
        <f t="shared" si="92"/>
        <v>5.919604026580453</v>
      </c>
      <c r="L1328" s="2524">
        <f t="shared" si="93"/>
        <v>6.8968863227786139</v>
      </c>
      <c r="M1328" s="2524">
        <f t="shared" si="94"/>
        <v>3.9650394341841317</v>
      </c>
      <c r="N1328" s="2524">
        <f t="shared" si="95"/>
        <v>2.9877571379859713</v>
      </c>
    </row>
    <row r="1329" spans="1:14" ht="15">
      <c r="A1329" s="2218"/>
      <c r="B1329" s="2251">
        <v>44803</v>
      </c>
      <c r="C1329">
        <v>19.147400000000001</v>
      </c>
      <c r="D1329" s="2522">
        <v>5.6342999999999996</v>
      </c>
      <c r="E1329" s="2523">
        <f t="shared" si="87"/>
        <v>20.496540945512795</v>
      </c>
      <c r="F1329" s="2261">
        <f t="shared" si="86"/>
        <v>24.033050394191257</v>
      </c>
      <c r="G1329" s="2524">
        <f t="shared" si="88"/>
        <v>27.569559842869719</v>
      </c>
      <c r="H1329" s="2524">
        <f t="shared" si="89"/>
        <v>16.960031496834333</v>
      </c>
      <c r="I1329" s="2524">
        <f t="shared" si="90"/>
        <v>13.423522048155872</v>
      </c>
      <c r="J1329" s="2525">
        <f t="shared" si="91"/>
        <v>4.9423217303822922</v>
      </c>
      <c r="K1329" s="2261">
        <f t="shared" si="92"/>
        <v>5.919604026580453</v>
      </c>
      <c r="L1329" s="2524">
        <f t="shared" si="93"/>
        <v>6.8968863227786139</v>
      </c>
      <c r="M1329" s="2524">
        <f t="shared" si="94"/>
        <v>3.9650394341841317</v>
      </c>
      <c r="N1329" s="2524">
        <f t="shared" si="95"/>
        <v>2.9877571379859713</v>
      </c>
    </row>
    <row r="1330" spans="1:14" ht="15">
      <c r="A1330" s="2218"/>
      <c r="B1330" s="2251">
        <v>44804</v>
      </c>
      <c r="C1330">
        <v>19.191700000000001</v>
      </c>
      <c r="D1330" s="2522">
        <v>5.6647999999999996</v>
      </c>
      <c r="E1330" s="2523">
        <f t="shared" si="87"/>
        <v>20.496540945512795</v>
      </c>
      <c r="F1330" s="2261">
        <f t="shared" si="86"/>
        <v>24.033050394191257</v>
      </c>
      <c r="G1330" s="2524">
        <f t="shared" si="88"/>
        <v>27.569559842869719</v>
      </c>
      <c r="H1330" s="2524">
        <f t="shared" si="89"/>
        <v>16.960031496834333</v>
      </c>
      <c r="I1330" s="2524">
        <f t="shared" si="90"/>
        <v>13.423522048155872</v>
      </c>
      <c r="J1330" s="2525">
        <f t="shared" si="91"/>
        <v>4.9423217303822922</v>
      </c>
      <c r="K1330" s="2261">
        <f t="shared" si="92"/>
        <v>5.919604026580453</v>
      </c>
      <c r="L1330" s="2524">
        <f t="shared" si="93"/>
        <v>6.8968863227786139</v>
      </c>
      <c r="M1330" s="2524">
        <f t="shared" si="94"/>
        <v>3.9650394341841317</v>
      </c>
      <c r="N1330" s="2524">
        <f t="shared" si="95"/>
        <v>2.9877571379859713</v>
      </c>
    </row>
    <row r="1331" spans="1:14" ht="15">
      <c r="A1331" s="2218"/>
      <c r="B1331" s="2251">
        <v>44809</v>
      </c>
      <c r="C1331">
        <v>19.103100000000001</v>
      </c>
      <c r="D1331" s="2522">
        <v>5.6292</v>
      </c>
      <c r="E1331" s="2523">
        <f t="shared" si="87"/>
        <v>20.496540945512795</v>
      </c>
      <c r="F1331" s="2261">
        <f t="shared" si="86"/>
        <v>24.033050394191257</v>
      </c>
      <c r="G1331" s="2524">
        <f t="shared" si="88"/>
        <v>27.569559842869719</v>
      </c>
      <c r="H1331" s="2524">
        <f t="shared" si="89"/>
        <v>16.960031496834333</v>
      </c>
      <c r="I1331" s="2524">
        <f t="shared" si="90"/>
        <v>13.423522048155872</v>
      </c>
      <c r="J1331" s="2525">
        <f t="shared" si="91"/>
        <v>4.9423217303822922</v>
      </c>
      <c r="K1331" s="2261">
        <f t="shared" si="92"/>
        <v>5.919604026580453</v>
      </c>
      <c r="L1331" s="2524">
        <f t="shared" si="93"/>
        <v>6.8968863227786139</v>
      </c>
      <c r="M1331" s="2524">
        <f t="shared" si="94"/>
        <v>3.9650394341841317</v>
      </c>
      <c r="N1331" s="2524">
        <f t="shared" si="95"/>
        <v>2.9877571379859713</v>
      </c>
    </row>
    <row r="1332" spans="1:14" ht="15">
      <c r="A1332" s="2218"/>
      <c r="B1332" s="2251">
        <v>44810</v>
      </c>
      <c r="C1332">
        <v>19.014399999999998</v>
      </c>
      <c r="D1332" s="2522">
        <v>5.5479000000000003</v>
      </c>
      <c r="E1332" s="2523">
        <f t="shared" si="87"/>
        <v>20.496540945512795</v>
      </c>
      <c r="F1332" s="2261">
        <f t="shared" si="86"/>
        <v>24.033050394191257</v>
      </c>
      <c r="G1332" s="2524">
        <f t="shared" si="88"/>
        <v>27.569559842869719</v>
      </c>
      <c r="H1332" s="2524">
        <f t="shared" si="89"/>
        <v>16.960031496834333</v>
      </c>
      <c r="I1332" s="2524">
        <f t="shared" si="90"/>
        <v>13.423522048155872</v>
      </c>
      <c r="J1332" s="2525">
        <f t="shared" si="91"/>
        <v>4.9423217303822922</v>
      </c>
      <c r="K1332" s="2261">
        <f t="shared" si="92"/>
        <v>5.919604026580453</v>
      </c>
      <c r="L1332" s="2524">
        <f t="shared" si="93"/>
        <v>6.8968863227786139</v>
      </c>
      <c r="M1332" s="2524">
        <f t="shared" si="94"/>
        <v>3.9650394341841317</v>
      </c>
      <c r="N1332" s="2524">
        <f t="shared" si="95"/>
        <v>2.9877571379859713</v>
      </c>
    </row>
    <row r="1333" spans="1:14" ht="15">
      <c r="A1333" s="2218"/>
      <c r="B1333" s="2251">
        <v>44811</v>
      </c>
      <c r="C1333">
        <v>18.615500000000001</v>
      </c>
      <c r="D1333" s="2522">
        <v>5.6597999999999997</v>
      </c>
      <c r="E1333" s="2523">
        <f t="shared" si="87"/>
        <v>20.496540945512795</v>
      </c>
      <c r="F1333" s="2261">
        <f t="shared" si="86"/>
        <v>24.033050394191257</v>
      </c>
      <c r="G1333" s="2524">
        <f t="shared" si="88"/>
        <v>27.569559842869719</v>
      </c>
      <c r="H1333" s="2524">
        <f t="shared" si="89"/>
        <v>16.960031496834333</v>
      </c>
      <c r="I1333" s="2524">
        <f t="shared" si="90"/>
        <v>13.423522048155872</v>
      </c>
      <c r="J1333" s="2525">
        <f t="shared" si="91"/>
        <v>4.9423217303822922</v>
      </c>
      <c r="K1333" s="2261">
        <f t="shared" si="92"/>
        <v>5.919604026580453</v>
      </c>
      <c r="L1333" s="2524">
        <f t="shared" si="93"/>
        <v>6.8968863227786139</v>
      </c>
      <c r="M1333" s="2524">
        <f t="shared" si="94"/>
        <v>3.9650394341841317</v>
      </c>
      <c r="N1333" s="2524">
        <f t="shared" si="95"/>
        <v>2.9877571379859713</v>
      </c>
    </row>
    <row r="1334" spans="1:14" ht="15">
      <c r="A1334" s="2218"/>
      <c r="B1334" s="2251">
        <v>44812</v>
      </c>
      <c r="C1334">
        <v>18.681999999999999</v>
      </c>
      <c r="D1334" s="2522">
        <v>5.5936000000000003</v>
      </c>
      <c r="E1334" s="2523">
        <f t="shared" si="87"/>
        <v>20.496540945512795</v>
      </c>
      <c r="F1334" s="2261">
        <f t="shared" si="86"/>
        <v>24.033050394191257</v>
      </c>
      <c r="G1334" s="2524">
        <f t="shared" si="88"/>
        <v>27.569559842869719</v>
      </c>
      <c r="H1334" s="2524">
        <f t="shared" si="89"/>
        <v>16.960031496834333</v>
      </c>
      <c r="I1334" s="2524">
        <f t="shared" si="90"/>
        <v>13.423522048155872</v>
      </c>
      <c r="J1334" s="2525">
        <f t="shared" si="91"/>
        <v>4.9423217303822922</v>
      </c>
      <c r="K1334" s="2261">
        <f t="shared" si="92"/>
        <v>5.919604026580453</v>
      </c>
      <c r="L1334" s="2524">
        <f t="shared" si="93"/>
        <v>6.8968863227786139</v>
      </c>
      <c r="M1334" s="2524">
        <f t="shared" si="94"/>
        <v>3.9650394341841317</v>
      </c>
      <c r="N1334" s="2524">
        <f t="shared" si="95"/>
        <v>2.9877571379859713</v>
      </c>
    </row>
    <row r="1335" spans="1:14" ht="15">
      <c r="A1335" s="2218"/>
      <c r="B1335" s="2251">
        <v>44813</v>
      </c>
      <c r="C1335">
        <v>18.681999999999999</v>
      </c>
      <c r="D1335" s="2522">
        <v>5.5936000000000003</v>
      </c>
      <c r="E1335" s="2523">
        <f t="shared" si="87"/>
        <v>20.496540945512795</v>
      </c>
      <c r="F1335" s="2261">
        <f t="shared" si="86"/>
        <v>24.033050394191257</v>
      </c>
      <c r="G1335" s="2524">
        <f t="shared" si="88"/>
        <v>27.569559842869719</v>
      </c>
      <c r="H1335" s="2524">
        <f t="shared" si="89"/>
        <v>16.960031496834333</v>
      </c>
      <c r="I1335" s="2524">
        <f t="shared" si="90"/>
        <v>13.423522048155872</v>
      </c>
      <c r="J1335" s="2525">
        <f t="shared" si="91"/>
        <v>4.9423217303822922</v>
      </c>
      <c r="K1335" s="2261">
        <f t="shared" si="92"/>
        <v>5.919604026580453</v>
      </c>
      <c r="L1335" s="2524">
        <f t="shared" si="93"/>
        <v>6.8968863227786139</v>
      </c>
      <c r="M1335" s="2524">
        <f t="shared" si="94"/>
        <v>3.9650394341841317</v>
      </c>
      <c r="N1335" s="2524">
        <f t="shared" si="95"/>
        <v>2.9877571379859713</v>
      </c>
    </row>
    <row r="1336" spans="1:14" ht="15">
      <c r="A1336" s="2218"/>
      <c r="B1336" s="2251">
        <v>44816</v>
      </c>
      <c r="C1336">
        <v>18.7485</v>
      </c>
      <c r="D1336" s="2522">
        <v>5.6902999999999997</v>
      </c>
      <c r="E1336" s="2523">
        <f t="shared" si="87"/>
        <v>20.496540945512795</v>
      </c>
      <c r="F1336" s="2261">
        <f t="shared" si="86"/>
        <v>24.033050394191257</v>
      </c>
      <c r="G1336" s="2524">
        <f t="shared" si="88"/>
        <v>27.569559842869719</v>
      </c>
      <c r="H1336" s="2524">
        <f t="shared" si="89"/>
        <v>16.960031496834333</v>
      </c>
      <c r="I1336" s="2524">
        <f t="shared" si="90"/>
        <v>13.423522048155872</v>
      </c>
      <c r="J1336" s="2525">
        <f t="shared" si="91"/>
        <v>4.9423217303822922</v>
      </c>
      <c r="K1336" s="2261">
        <f t="shared" si="92"/>
        <v>5.919604026580453</v>
      </c>
      <c r="L1336" s="2524">
        <f t="shared" si="93"/>
        <v>6.8968863227786139</v>
      </c>
      <c r="M1336" s="2524">
        <f t="shared" si="94"/>
        <v>3.9650394341841317</v>
      </c>
      <c r="N1336" s="2524">
        <f t="shared" si="95"/>
        <v>2.9877571379859713</v>
      </c>
    </row>
    <row r="1337" spans="1:14" ht="15">
      <c r="A1337" s="2218"/>
      <c r="B1337" s="2251">
        <v>44817</v>
      </c>
      <c r="C1337">
        <v>18.7485</v>
      </c>
      <c r="D1337" s="2522">
        <v>5.9496000000000002</v>
      </c>
      <c r="E1337" s="2523">
        <f t="shared" si="87"/>
        <v>20.496540945512795</v>
      </c>
      <c r="F1337" s="2261">
        <f t="shared" si="86"/>
        <v>24.033050394191257</v>
      </c>
      <c r="G1337" s="2524">
        <f t="shared" si="88"/>
        <v>27.569559842869719</v>
      </c>
      <c r="H1337" s="2524">
        <f t="shared" si="89"/>
        <v>16.960031496834333</v>
      </c>
      <c r="I1337" s="2524">
        <f t="shared" si="90"/>
        <v>13.423522048155872</v>
      </c>
      <c r="J1337" s="2525">
        <f t="shared" si="91"/>
        <v>4.9423217303822922</v>
      </c>
      <c r="K1337" s="2261">
        <f t="shared" si="92"/>
        <v>5.919604026580453</v>
      </c>
      <c r="L1337" s="2524">
        <f t="shared" si="93"/>
        <v>6.8968863227786139</v>
      </c>
      <c r="M1337" s="2524">
        <f t="shared" si="94"/>
        <v>3.9650394341841317</v>
      </c>
      <c r="N1337" s="2524">
        <f t="shared" si="95"/>
        <v>2.9877571379859713</v>
      </c>
    </row>
    <row r="1338" spans="1:14" ht="15">
      <c r="A1338" s="2218"/>
      <c r="B1338" s="2251">
        <v>44818</v>
      </c>
      <c r="C1338">
        <v>18.615500000000001</v>
      </c>
      <c r="D1338" s="2522">
        <v>5.9496000000000002</v>
      </c>
      <c r="E1338" s="2523">
        <f t="shared" si="87"/>
        <v>20.496540945512795</v>
      </c>
      <c r="F1338" s="2261">
        <f t="shared" si="86"/>
        <v>24.033050394191257</v>
      </c>
      <c r="G1338" s="2524">
        <f t="shared" si="88"/>
        <v>27.569559842869719</v>
      </c>
      <c r="H1338" s="2524">
        <f t="shared" si="89"/>
        <v>16.960031496834333</v>
      </c>
      <c r="I1338" s="2524">
        <f t="shared" si="90"/>
        <v>13.423522048155872</v>
      </c>
      <c r="J1338" s="2525">
        <f t="shared" si="91"/>
        <v>4.9423217303822922</v>
      </c>
      <c r="K1338" s="2261">
        <f t="shared" si="92"/>
        <v>5.919604026580453</v>
      </c>
      <c r="L1338" s="2524">
        <f t="shared" si="93"/>
        <v>6.8968863227786139</v>
      </c>
      <c r="M1338" s="2524">
        <f t="shared" si="94"/>
        <v>3.9650394341841317</v>
      </c>
      <c r="N1338" s="2524">
        <f t="shared" si="95"/>
        <v>2.9877571379859713</v>
      </c>
    </row>
    <row r="1339" spans="1:14" ht="15">
      <c r="A1339" s="2218"/>
      <c r="B1339" s="2251">
        <v>44819</v>
      </c>
      <c r="C1339">
        <v>18.548999999999999</v>
      </c>
      <c r="D1339" s="2522">
        <v>5.8987999999999996</v>
      </c>
      <c r="E1339" s="2523">
        <f t="shared" si="87"/>
        <v>20.496540945512795</v>
      </c>
      <c r="F1339" s="2261">
        <f t="shared" si="86"/>
        <v>24.033050394191257</v>
      </c>
      <c r="G1339" s="2524">
        <f t="shared" si="88"/>
        <v>27.569559842869719</v>
      </c>
      <c r="H1339" s="2524">
        <f t="shared" si="89"/>
        <v>16.960031496834333</v>
      </c>
      <c r="I1339" s="2524">
        <f t="shared" si="90"/>
        <v>13.423522048155872</v>
      </c>
      <c r="J1339" s="2525">
        <f t="shared" si="91"/>
        <v>4.9423217303822922</v>
      </c>
      <c r="K1339" s="2261">
        <f t="shared" si="92"/>
        <v>5.919604026580453</v>
      </c>
      <c r="L1339" s="2524">
        <f t="shared" si="93"/>
        <v>6.8968863227786139</v>
      </c>
      <c r="M1339" s="2524">
        <f t="shared" si="94"/>
        <v>3.9650394341841317</v>
      </c>
      <c r="N1339" s="2524">
        <f t="shared" si="95"/>
        <v>2.9877571379859713</v>
      </c>
    </row>
    <row r="1340" spans="1:14" ht="15">
      <c r="A1340" s="2218"/>
      <c r="B1340" s="2251">
        <v>44820</v>
      </c>
      <c r="C1340">
        <v>18.283100000000001</v>
      </c>
      <c r="D1340" s="2522">
        <v>5.7462</v>
      </c>
      <c r="E1340" s="2523">
        <f t="shared" si="87"/>
        <v>20.496540945512795</v>
      </c>
      <c r="F1340" s="2261">
        <f t="shared" si="86"/>
        <v>24.033050394191257</v>
      </c>
      <c r="G1340" s="2524">
        <f t="shared" si="88"/>
        <v>27.569559842869719</v>
      </c>
      <c r="H1340" s="2524">
        <f t="shared" si="89"/>
        <v>16.960031496834333</v>
      </c>
      <c r="I1340" s="2524">
        <f t="shared" si="90"/>
        <v>13.423522048155872</v>
      </c>
      <c r="J1340" s="2525">
        <f t="shared" si="91"/>
        <v>4.9423217303822922</v>
      </c>
      <c r="K1340" s="2261">
        <f t="shared" si="92"/>
        <v>5.919604026580453</v>
      </c>
      <c r="L1340" s="2524">
        <f t="shared" si="93"/>
        <v>6.8968863227786139</v>
      </c>
      <c r="M1340" s="2524">
        <f t="shared" si="94"/>
        <v>3.9650394341841317</v>
      </c>
      <c r="N1340" s="2524">
        <f t="shared" si="95"/>
        <v>2.9877571379859713</v>
      </c>
    </row>
    <row r="1341" spans="1:14" ht="15">
      <c r="A1341" s="2218"/>
      <c r="B1341" s="2251">
        <v>44823</v>
      </c>
      <c r="C1341">
        <v>18.4161</v>
      </c>
      <c r="D1341" s="2522">
        <v>5.6952999999999996</v>
      </c>
      <c r="E1341" s="2523">
        <f t="shared" si="87"/>
        <v>20.496540945512795</v>
      </c>
      <c r="F1341" s="2261">
        <f t="shared" ref="F1341:F1404" si="96">I$953+F$953</f>
        <v>24.033050394191257</v>
      </c>
      <c r="G1341" s="2524">
        <f t="shared" si="88"/>
        <v>27.569559842869719</v>
      </c>
      <c r="H1341" s="2524">
        <f t="shared" si="89"/>
        <v>16.960031496834333</v>
      </c>
      <c r="I1341" s="2524">
        <f t="shared" si="90"/>
        <v>13.423522048155872</v>
      </c>
      <c r="J1341" s="2525">
        <f t="shared" si="91"/>
        <v>4.9423217303822922</v>
      </c>
      <c r="K1341" s="2261">
        <f t="shared" si="92"/>
        <v>5.919604026580453</v>
      </c>
      <c r="L1341" s="2524">
        <f t="shared" si="93"/>
        <v>6.8968863227786139</v>
      </c>
      <c r="M1341" s="2524">
        <f t="shared" si="94"/>
        <v>3.9650394341841317</v>
      </c>
      <c r="N1341" s="2524">
        <f t="shared" si="95"/>
        <v>2.9877571379859713</v>
      </c>
    </row>
    <row r="1342" spans="1:14" ht="15">
      <c r="A1342" s="2218"/>
      <c r="B1342" s="2251">
        <v>44824</v>
      </c>
      <c r="C1342">
        <v>18.482500000000002</v>
      </c>
      <c r="D1342" s="2522">
        <v>5.8224999999999998</v>
      </c>
      <c r="E1342" s="2523">
        <f t="shared" ref="E1342:E1405" si="97">I$953</f>
        <v>20.496540945512795</v>
      </c>
      <c r="F1342" s="2261">
        <f t="shared" si="96"/>
        <v>24.033050394191257</v>
      </c>
      <c r="G1342" s="2524">
        <f t="shared" ref="G1342:G1405" si="98">I$953+F$953+F$953</f>
        <v>27.569559842869719</v>
      </c>
      <c r="H1342" s="2524">
        <f t="shared" ref="H1342:H1405" si="99">I$953-F$953</f>
        <v>16.960031496834333</v>
      </c>
      <c r="I1342" s="2524">
        <f t="shared" ref="I1342:I1405" si="100">I$953-F$953-F$953</f>
        <v>13.423522048155872</v>
      </c>
      <c r="J1342" s="2525">
        <f t="shared" si="91"/>
        <v>4.9423217303822922</v>
      </c>
      <c r="K1342" s="2261">
        <f t="shared" si="92"/>
        <v>5.919604026580453</v>
      </c>
      <c r="L1342" s="2524">
        <f t="shared" si="93"/>
        <v>6.8968863227786139</v>
      </c>
      <c r="M1342" s="2524">
        <f t="shared" si="94"/>
        <v>3.9650394341841317</v>
      </c>
      <c r="N1342" s="2524">
        <f t="shared" si="95"/>
        <v>2.9877571379859713</v>
      </c>
    </row>
    <row r="1343" spans="1:14" ht="15">
      <c r="A1343" s="2218"/>
      <c r="B1343" s="2251">
        <v>44825</v>
      </c>
      <c r="C1343">
        <v>18.238800000000001</v>
      </c>
      <c r="D1343" s="2522">
        <v>5.9089</v>
      </c>
      <c r="E1343" s="2523">
        <f t="shared" si="97"/>
        <v>20.496540945512795</v>
      </c>
      <c r="F1343" s="2261">
        <f t="shared" si="96"/>
        <v>24.033050394191257</v>
      </c>
      <c r="G1343" s="2524">
        <f t="shared" si="98"/>
        <v>27.569559842869719</v>
      </c>
      <c r="H1343" s="2524">
        <f t="shared" si="99"/>
        <v>16.960031496834333</v>
      </c>
      <c r="I1343" s="2524">
        <f t="shared" si="100"/>
        <v>13.423522048155872</v>
      </c>
      <c r="J1343" s="2525">
        <f t="shared" si="91"/>
        <v>4.9423217303822922</v>
      </c>
      <c r="K1343" s="2261">
        <f t="shared" si="92"/>
        <v>5.919604026580453</v>
      </c>
      <c r="L1343" s="2524">
        <f t="shared" si="93"/>
        <v>6.8968863227786139</v>
      </c>
      <c r="M1343" s="2524">
        <f t="shared" si="94"/>
        <v>3.9650394341841317</v>
      </c>
      <c r="N1343" s="2524">
        <f t="shared" si="95"/>
        <v>2.9877571379859713</v>
      </c>
    </row>
    <row r="1344" spans="1:14" ht="15">
      <c r="A1344" s="2218"/>
      <c r="B1344" s="2251">
        <v>44826</v>
      </c>
      <c r="C1344">
        <v>18.371700000000001</v>
      </c>
      <c r="D1344" s="2522">
        <v>5.8428000000000004</v>
      </c>
      <c r="E1344" s="2523">
        <f t="shared" si="97"/>
        <v>20.496540945512795</v>
      </c>
      <c r="F1344" s="2261">
        <f t="shared" si="96"/>
        <v>24.033050394191257</v>
      </c>
      <c r="G1344" s="2524">
        <f t="shared" si="98"/>
        <v>27.569559842869719</v>
      </c>
      <c r="H1344" s="2524">
        <f t="shared" si="99"/>
        <v>16.960031496834333</v>
      </c>
      <c r="I1344" s="2524">
        <f t="shared" si="100"/>
        <v>13.423522048155872</v>
      </c>
      <c r="J1344" s="2525">
        <f t="shared" si="91"/>
        <v>4.9423217303822922</v>
      </c>
      <c r="K1344" s="2261">
        <f t="shared" si="92"/>
        <v>5.919604026580453</v>
      </c>
      <c r="L1344" s="2524">
        <f t="shared" si="93"/>
        <v>6.8968863227786139</v>
      </c>
      <c r="M1344" s="2524">
        <f t="shared" si="94"/>
        <v>3.9650394341841317</v>
      </c>
      <c r="N1344" s="2524">
        <f t="shared" si="95"/>
        <v>2.9877571379859713</v>
      </c>
    </row>
    <row r="1345" spans="1:14" ht="15">
      <c r="A1345" s="2218"/>
      <c r="B1345" s="2251">
        <v>44827</v>
      </c>
      <c r="C1345">
        <v>18.260899999999999</v>
      </c>
      <c r="D1345" s="2522">
        <v>5.7971000000000004</v>
      </c>
      <c r="E1345" s="2523">
        <f t="shared" si="97"/>
        <v>20.496540945512795</v>
      </c>
      <c r="F1345" s="2261">
        <f t="shared" si="96"/>
        <v>24.033050394191257</v>
      </c>
      <c r="G1345" s="2524">
        <f t="shared" si="98"/>
        <v>27.569559842869719</v>
      </c>
      <c r="H1345" s="2524">
        <f t="shared" si="99"/>
        <v>16.960031496834333</v>
      </c>
      <c r="I1345" s="2524">
        <f t="shared" si="100"/>
        <v>13.423522048155872</v>
      </c>
      <c r="J1345" s="2525">
        <f t="shared" si="91"/>
        <v>4.9423217303822922</v>
      </c>
      <c r="K1345" s="2261">
        <f t="shared" si="92"/>
        <v>5.919604026580453</v>
      </c>
      <c r="L1345" s="2524">
        <f t="shared" si="93"/>
        <v>6.8968863227786139</v>
      </c>
      <c r="M1345" s="2524">
        <f t="shared" si="94"/>
        <v>3.9650394341841317</v>
      </c>
      <c r="N1345" s="2524">
        <f t="shared" si="95"/>
        <v>2.9877571379859713</v>
      </c>
    </row>
    <row r="1346" spans="1:14" ht="15">
      <c r="A1346" s="2218"/>
      <c r="B1346" s="2251">
        <v>44830</v>
      </c>
      <c r="C1346">
        <v>18.061499999999999</v>
      </c>
      <c r="D1346" s="2522">
        <v>5.8479000000000001</v>
      </c>
      <c r="E1346" s="2523">
        <f t="shared" si="97"/>
        <v>20.496540945512795</v>
      </c>
      <c r="F1346" s="2261">
        <f t="shared" si="96"/>
        <v>24.033050394191257</v>
      </c>
      <c r="G1346" s="2524">
        <f t="shared" si="98"/>
        <v>27.569559842869719</v>
      </c>
      <c r="H1346" s="2524">
        <f t="shared" si="99"/>
        <v>16.960031496834333</v>
      </c>
      <c r="I1346" s="2524">
        <f t="shared" si="100"/>
        <v>13.423522048155872</v>
      </c>
      <c r="J1346" s="2525">
        <f t="shared" si="91"/>
        <v>4.9423217303822922</v>
      </c>
      <c r="K1346" s="2261">
        <f t="shared" si="92"/>
        <v>5.919604026580453</v>
      </c>
      <c r="L1346" s="2524">
        <f t="shared" si="93"/>
        <v>6.8968863227786139</v>
      </c>
      <c r="M1346" s="2524">
        <f t="shared" si="94"/>
        <v>3.9650394341841317</v>
      </c>
      <c r="N1346" s="2524">
        <f t="shared" si="95"/>
        <v>2.9877571379859713</v>
      </c>
    </row>
    <row r="1347" spans="1:14" ht="15">
      <c r="A1347" s="2218"/>
      <c r="B1347" s="2251">
        <v>44831</v>
      </c>
      <c r="C1347">
        <v>17.8399</v>
      </c>
      <c r="D1347" s="2522">
        <v>5.8581000000000003</v>
      </c>
      <c r="E1347" s="2523">
        <f t="shared" si="97"/>
        <v>20.496540945512795</v>
      </c>
      <c r="F1347" s="2261">
        <f t="shared" si="96"/>
        <v>24.033050394191257</v>
      </c>
      <c r="G1347" s="2524">
        <f t="shared" si="98"/>
        <v>27.569559842869719</v>
      </c>
      <c r="H1347" s="2524">
        <f t="shared" si="99"/>
        <v>16.960031496834333</v>
      </c>
      <c r="I1347" s="2524">
        <f t="shared" si="100"/>
        <v>13.423522048155872</v>
      </c>
      <c r="J1347" s="2525">
        <f t="shared" si="91"/>
        <v>4.9423217303822922</v>
      </c>
      <c r="K1347" s="2261">
        <f t="shared" si="92"/>
        <v>5.919604026580453</v>
      </c>
      <c r="L1347" s="2524">
        <f t="shared" si="93"/>
        <v>6.8968863227786139</v>
      </c>
      <c r="M1347" s="2524">
        <f t="shared" si="94"/>
        <v>3.9650394341841317</v>
      </c>
      <c r="N1347" s="2524">
        <f t="shared" si="95"/>
        <v>2.9877571379859713</v>
      </c>
    </row>
    <row r="1348" spans="1:14" ht="15">
      <c r="A1348" s="2218"/>
      <c r="B1348" s="2251">
        <v>44832</v>
      </c>
      <c r="C1348">
        <v>17.285799999999998</v>
      </c>
      <c r="D1348" s="2522">
        <v>5.9546999999999999</v>
      </c>
      <c r="E1348" s="2523">
        <f t="shared" si="97"/>
        <v>20.496540945512795</v>
      </c>
      <c r="F1348" s="2261">
        <f t="shared" si="96"/>
        <v>24.033050394191257</v>
      </c>
      <c r="G1348" s="2524">
        <f t="shared" si="98"/>
        <v>27.569559842869719</v>
      </c>
      <c r="H1348" s="2524">
        <f t="shared" si="99"/>
        <v>16.960031496834333</v>
      </c>
      <c r="I1348" s="2524">
        <f t="shared" si="100"/>
        <v>13.423522048155872</v>
      </c>
      <c r="J1348" s="2525">
        <f t="shared" si="91"/>
        <v>4.9423217303822922</v>
      </c>
      <c r="K1348" s="2261">
        <f t="shared" si="92"/>
        <v>5.919604026580453</v>
      </c>
      <c r="L1348" s="2524">
        <f t="shared" si="93"/>
        <v>6.8968863227786139</v>
      </c>
      <c r="M1348" s="2524">
        <f t="shared" si="94"/>
        <v>3.9650394341841317</v>
      </c>
      <c r="N1348" s="2524">
        <f t="shared" si="95"/>
        <v>2.9877571379859713</v>
      </c>
    </row>
    <row r="1349" spans="1:14" ht="15">
      <c r="A1349" s="2218"/>
      <c r="B1349" s="2251">
        <v>44833</v>
      </c>
      <c r="C1349">
        <v>17.0642</v>
      </c>
      <c r="D1349" s="2522">
        <v>5.5134999999999996</v>
      </c>
      <c r="E1349" s="2523">
        <f t="shared" si="97"/>
        <v>20.496540945512795</v>
      </c>
      <c r="F1349" s="2261">
        <f t="shared" si="96"/>
        <v>24.033050394191257</v>
      </c>
      <c r="G1349" s="2524">
        <f t="shared" si="98"/>
        <v>27.569559842869719</v>
      </c>
      <c r="H1349" s="2524">
        <f t="shared" si="99"/>
        <v>16.960031496834333</v>
      </c>
      <c r="I1349" s="2524">
        <f t="shared" si="100"/>
        <v>13.423522048155872</v>
      </c>
      <c r="J1349" s="2525">
        <f t="shared" si="91"/>
        <v>4.9423217303822922</v>
      </c>
      <c r="K1349" s="2261">
        <f t="shared" si="92"/>
        <v>5.919604026580453</v>
      </c>
      <c r="L1349" s="2524">
        <f t="shared" si="93"/>
        <v>6.8968863227786139</v>
      </c>
      <c r="M1349" s="2524">
        <f t="shared" si="94"/>
        <v>3.9650394341841317</v>
      </c>
      <c r="N1349" s="2524">
        <f t="shared" si="95"/>
        <v>2.9877571379859713</v>
      </c>
    </row>
    <row r="1350" spans="1:14" ht="15">
      <c r="A1350" s="2218"/>
      <c r="B1350" s="2251">
        <v>44834</v>
      </c>
      <c r="C1350">
        <v>16.7621</v>
      </c>
      <c r="D1350" s="2522">
        <v>5.5277000000000003</v>
      </c>
      <c r="E1350" s="2523">
        <f t="shared" si="97"/>
        <v>20.496540945512795</v>
      </c>
      <c r="F1350" s="2261">
        <f t="shared" si="96"/>
        <v>24.033050394191257</v>
      </c>
      <c r="G1350" s="2524">
        <f t="shared" si="98"/>
        <v>27.569559842869719</v>
      </c>
      <c r="H1350" s="2524">
        <f t="shared" si="99"/>
        <v>16.960031496834333</v>
      </c>
      <c r="I1350" s="2524">
        <f t="shared" si="100"/>
        <v>13.423522048155872</v>
      </c>
      <c r="J1350" s="2525">
        <f t="shared" si="91"/>
        <v>4.9423217303822922</v>
      </c>
      <c r="K1350" s="2261">
        <f t="shared" si="92"/>
        <v>5.919604026580453</v>
      </c>
      <c r="L1350" s="2524">
        <f t="shared" si="93"/>
        <v>6.8968863227786139</v>
      </c>
      <c r="M1350" s="2524">
        <f t="shared" si="94"/>
        <v>3.9650394341841317</v>
      </c>
      <c r="N1350" s="2524">
        <f t="shared" si="95"/>
        <v>2.9877571379859713</v>
      </c>
    </row>
    <row r="1351" spans="1:14" ht="15">
      <c r="A1351" s="2218"/>
      <c r="B1351" s="2251">
        <v>44837</v>
      </c>
      <c r="C1351">
        <v>16.033300000000001</v>
      </c>
      <c r="D1351" s="2522">
        <v>5.5372000000000003</v>
      </c>
      <c r="E1351" s="2523">
        <f t="shared" si="97"/>
        <v>20.496540945512795</v>
      </c>
      <c r="F1351" s="2261">
        <f t="shared" si="96"/>
        <v>24.033050394191257</v>
      </c>
      <c r="G1351" s="2524">
        <f t="shared" si="98"/>
        <v>27.569559842869719</v>
      </c>
      <c r="H1351" s="2524">
        <f t="shared" si="99"/>
        <v>16.960031496834333</v>
      </c>
      <c r="I1351" s="2524">
        <f t="shared" si="100"/>
        <v>13.423522048155872</v>
      </c>
      <c r="J1351" s="2525">
        <f t="shared" si="91"/>
        <v>4.9423217303822922</v>
      </c>
      <c r="K1351" s="2261">
        <f t="shared" si="92"/>
        <v>5.919604026580453</v>
      </c>
      <c r="L1351" s="2524">
        <f t="shared" si="93"/>
        <v>6.8968863227786139</v>
      </c>
      <c r="M1351" s="2524">
        <f t="shared" si="94"/>
        <v>3.9650394341841317</v>
      </c>
      <c r="N1351" s="2524">
        <f t="shared" si="95"/>
        <v>2.9877571379859713</v>
      </c>
    </row>
    <row r="1352" spans="1:14" ht="15">
      <c r="A1352" s="2218"/>
      <c r="B1352" s="2251">
        <v>44838</v>
      </c>
      <c r="C1352">
        <v>16.1374</v>
      </c>
      <c r="D1352" s="2522">
        <v>5.4471999999999996</v>
      </c>
      <c r="E1352" s="2523">
        <f t="shared" si="97"/>
        <v>20.496540945512795</v>
      </c>
      <c r="F1352" s="2261">
        <f t="shared" si="96"/>
        <v>24.033050394191257</v>
      </c>
      <c r="G1352" s="2524">
        <f t="shared" si="98"/>
        <v>27.569559842869719</v>
      </c>
      <c r="H1352" s="2524">
        <f t="shared" si="99"/>
        <v>16.960031496834333</v>
      </c>
      <c r="I1352" s="2524">
        <f t="shared" si="100"/>
        <v>13.423522048155872</v>
      </c>
      <c r="J1352" s="2525">
        <f t="shared" si="91"/>
        <v>4.9423217303822922</v>
      </c>
      <c r="K1352" s="2261">
        <f t="shared" si="92"/>
        <v>5.919604026580453</v>
      </c>
      <c r="L1352" s="2524">
        <f t="shared" si="93"/>
        <v>6.8968863227786139</v>
      </c>
      <c r="M1352" s="2524">
        <f t="shared" si="94"/>
        <v>3.9650394341841317</v>
      </c>
      <c r="N1352" s="2524">
        <f t="shared" si="95"/>
        <v>2.9877571379859713</v>
      </c>
    </row>
    <row r="1353" spans="1:14" ht="15">
      <c r="A1353" s="2218"/>
      <c r="B1353" s="2251">
        <v>44839</v>
      </c>
      <c r="C1353">
        <v>16.3248</v>
      </c>
      <c r="D1353" s="2522">
        <v>5.3952</v>
      </c>
      <c r="E1353" s="2523">
        <f t="shared" si="97"/>
        <v>20.496540945512795</v>
      </c>
      <c r="F1353" s="2261">
        <f t="shared" si="96"/>
        <v>24.033050394191257</v>
      </c>
      <c r="G1353" s="2524">
        <f t="shared" si="98"/>
        <v>27.569559842869719</v>
      </c>
      <c r="H1353" s="2524">
        <f t="shared" si="99"/>
        <v>16.960031496834333</v>
      </c>
      <c r="I1353" s="2524">
        <f t="shared" si="100"/>
        <v>13.423522048155872</v>
      </c>
      <c r="J1353" s="2525">
        <f t="shared" si="91"/>
        <v>4.9423217303822922</v>
      </c>
      <c r="K1353" s="2261">
        <f t="shared" si="92"/>
        <v>5.919604026580453</v>
      </c>
      <c r="L1353" s="2524">
        <f t="shared" si="93"/>
        <v>6.8968863227786139</v>
      </c>
      <c r="M1353" s="2524">
        <f t="shared" si="94"/>
        <v>3.9650394341841317</v>
      </c>
      <c r="N1353" s="2524">
        <f t="shared" si="95"/>
        <v>2.9877571379859713</v>
      </c>
    </row>
    <row r="1354" spans="1:14" ht="15">
      <c r="A1354" s="2218"/>
      <c r="B1354" s="2251">
        <v>44840</v>
      </c>
      <c r="C1354">
        <v>15.9292</v>
      </c>
      <c r="D1354" s="2522">
        <v>5.3810000000000002</v>
      </c>
      <c r="E1354" s="2523">
        <f t="shared" si="97"/>
        <v>20.496540945512795</v>
      </c>
      <c r="F1354" s="2261">
        <f t="shared" si="96"/>
        <v>24.033050394191257</v>
      </c>
      <c r="G1354" s="2524">
        <f t="shared" si="98"/>
        <v>27.569559842869719</v>
      </c>
      <c r="H1354" s="2524">
        <f t="shared" si="99"/>
        <v>16.960031496834333</v>
      </c>
      <c r="I1354" s="2524">
        <f t="shared" si="100"/>
        <v>13.423522048155872</v>
      </c>
      <c r="J1354" s="2525">
        <f t="shared" si="91"/>
        <v>4.9423217303822922</v>
      </c>
      <c r="K1354" s="2261">
        <f t="shared" si="92"/>
        <v>5.919604026580453</v>
      </c>
      <c r="L1354" s="2524">
        <f t="shared" si="93"/>
        <v>6.8968863227786139</v>
      </c>
      <c r="M1354" s="2524">
        <f t="shared" si="94"/>
        <v>3.9650394341841317</v>
      </c>
      <c r="N1354" s="2524">
        <f t="shared" si="95"/>
        <v>2.9877571379859713</v>
      </c>
    </row>
    <row r="1355" spans="1:14" ht="15">
      <c r="A1355" s="2218"/>
      <c r="B1355" s="2251">
        <v>44841</v>
      </c>
      <c r="C1355">
        <v>15.4086</v>
      </c>
      <c r="D1355" s="2522">
        <v>5.3289</v>
      </c>
      <c r="E1355" s="2523">
        <f t="shared" si="97"/>
        <v>20.496540945512795</v>
      </c>
      <c r="F1355" s="2261">
        <f t="shared" si="96"/>
        <v>24.033050394191257</v>
      </c>
      <c r="G1355" s="2524">
        <f t="shared" si="98"/>
        <v>27.569559842869719</v>
      </c>
      <c r="H1355" s="2524">
        <f t="shared" si="99"/>
        <v>16.960031496834333</v>
      </c>
      <c r="I1355" s="2524">
        <f t="shared" si="100"/>
        <v>13.423522048155872</v>
      </c>
      <c r="J1355" s="2525">
        <f t="shared" si="91"/>
        <v>4.9423217303822922</v>
      </c>
      <c r="K1355" s="2261">
        <f t="shared" si="92"/>
        <v>5.919604026580453</v>
      </c>
      <c r="L1355" s="2524">
        <f t="shared" si="93"/>
        <v>6.8968863227786139</v>
      </c>
      <c r="M1355" s="2524">
        <f t="shared" si="94"/>
        <v>3.9650394341841317</v>
      </c>
      <c r="N1355" s="2524">
        <f t="shared" si="95"/>
        <v>2.9877571379859713</v>
      </c>
    </row>
    <row r="1356" spans="1:14" ht="15">
      <c r="A1356" s="2218"/>
      <c r="B1356" s="2251">
        <v>44844</v>
      </c>
      <c r="C1356">
        <v>15.4086</v>
      </c>
      <c r="D1356" s="2522">
        <v>5.3479000000000001</v>
      </c>
      <c r="E1356" s="2523">
        <f t="shared" si="97"/>
        <v>20.496540945512795</v>
      </c>
      <c r="F1356" s="2261">
        <f t="shared" si="96"/>
        <v>24.033050394191257</v>
      </c>
      <c r="G1356" s="2524">
        <f t="shared" si="98"/>
        <v>27.569559842869719</v>
      </c>
      <c r="H1356" s="2524">
        <f t="shared" si="99"/>
        <v>16.960031496834333</v>
      </c>
      <c r="I1356" s="2524">
        <f t="shared" si="100"/>
        <v>13.423522048155872</v>
      </c>
      <c r="J1356" s="2525">
        <f t="shared" si="91"/>
        <v>4.9423217303822922</v>
      </c>
      <c r="K1356" s="2261">
        <f t="shared" si="92"/>
        <v>5.919604026580453</v>
      </c>
      <c r="L1356" s="2524">
        <f t="shared" si="93"/>
        <v>6.8968863227786139</v>
      </c>
      <c r="M1356" s="2524">
        <f t="shared" si="94"/>
        <v>3.9650394341841317</v>
      </c>
      <c r="N1356" s="2524">
        <f t="shared" si="95"/>
        <v>2.9877571379859713</v>
      </c>
    </row>
    <row r="1357" spans="1:14" ht="15">
      <c r="A1357" s="2218"/>
      <c r="B1357" s="2251">
        <v>44845</v>
      </c>
      <c r="C1357">
        <v>14.783899999999999</v>
      </c>
      <c r="D1357" s="2522">
        <v>5.3856999999999999</v>
      </c>
      <c r="E1357" s="2523">
        <f t="shared" si="97"/>
        <v>20.496540945512795</v>
      </c>
      <c r="F1357" s="2261">
        <f t="shared" si="96"/>
        <v>24.033050394191257</v>
      </c>
      <c r="G1357" s="2524">
        <f t="shared" si="98"/>
        <v>27.569559842869719</v>
      </c>
      <c r="H1357" s="2524">
        <f t="shared" si="99"/>
        <v>16.960031496834333</v>
      </c>
      <c r="I1357" s="2524">
        <f t="shared" si="100"/>
        <v>13.423522048155872</v>
      </c>
      <c r="J1357" s="2525">
        <f t="shared" si="91"/>
        <v>4.9423217303822922</v>
      </c>
      <c r="K1357" s="2261">
        <f t="shared" si="92"/>
        <v>5.919604026580453</v>
      </c>
      <c r="L1357" s="2524">
        <f t="shared" si="93"/>
        <v>6.8968863227786139</v>
      </c>
      <c r="M1357" s="2524">
        <f t="shared" si="94"/>
        <v>3.9650394341841317</v>
      </c>
      <c r="N1357" s="2524">
        <f t="shared" si="95"/>
        <v>2.9877571379859713</v>
      </c>
    </row>
    <row r="1358" spans="1:14" ht="15">
      <c r="A1358" s="2218"/>
      <c r="B1358" s="2251">
        <v>44846</v>
      </c>
      <c r="C1358">
        <v>15.0755</v>
      </c>
      <c r="D1358" s="2522">
        <v>5.4378000000000002</v>
      </c>
      <c r="E1358" s="2523">
        <f t="shared" si="97"/>
        <v>20.496540945512795</v>
      </c>
      <c r="F1358" s="2261">
        <f t="shared" si="96"/>
        <v>24.033050394191257</v>
      </c>
      <c r="G1358" s="2524">
        <f t="shared" si="98"/>
        <v>27.569559842869719</v>
      </c>
      <c r="H1358" s="2524">
        <f t="shared" si="99"/>
        <v>16.960031496834333</v>
      </c>
      <c r="I1358" s="2524">
        <f t="shared" si="100"/>
        <v>13.423522048155872</v>
      </c>
      <c r="J1358" s="2525">
        <f t="shared" si="91"/>
        <v>4.9423217303822922</v>
      </c>
      <c r="K1358" s="2261">
        <f t="shared" si="92"/>
        <v>5.919604026580453</v>
      </c>
      <c r="L1358" s="2524">
        <f t="shared" si="93"/>
        <v>6.8968863227786139</v>
      </c>
      <c r="M1358" s="2524">
        <f t="shared" si="94"/>
        <v>3.9650394341841317</v>
      </c>
      <c r="N1358" s="2524">
        <f t="shared" si="95"/>
        <v>2.9877571379859713</v>
      </c>
    </row>
    <row r="1359" spans="1:14" ht="15">
      <c r="A1359" s="2218"/>
      <c r="B1359" s="2251">
        <v>44847</v>
      </c>
      <c r="C1359">
        <v>15.2004</v>
      </c>
      <c r="D1359" s="2522">
        <v>5.4661999999999997</v>
      </c>
      <c r="E1359" s="2523">
        <f t="shared" si="97"/>
        <v>20.496540945512795</v>
      </c>
      <c r="F1359" s="2261">
        <f t="shared" si="96"/>
        <v>24.033050394191257</v>
      </c>
      <c r="G1359" s="2524">
        <f t="shared" si="98"/>
        <v>27.569559842869719</v>
      </c>
      <c r="H1359" s="2524">
        <f t="shared" si="99"/>
        <v>16.960031496834333</v>
      </c>
      <c r="I1359" s="2524">
        <f t="shared" si="100"/>
        <v>13.423522048155872</v>
      </c>
      <c r="J1359" s="2525">
        <f t="shared" si="91"/>
        <v>4.9423217303822922</v>
      </c>
      <c r="K1359" s="2261">
        <f t="shared" si="92"/>
        <v>5.919604026580453</v>
      </c>
      <c r="L1359" s="2524">
        <f t="shared" si="93"/>
        <v>6.8968863227786139</v>
      </c>
      <c r="M1359" s="2524">
        <f t="shared" si="94"/>
        <v>3.9650394341841317</v>
      </c>
      <c r="N1359" s="2524">
        <f t="shared" si="95"/>
        <v>2.9877571379859713</v>
      </c>
    </row>
    <row r="1360" spans="1:14" ht="15">
      <c r="A1360" s="2218"/>
      <c r="B1360" s="2251">
        <v>44848</v>
      </c>
      <c r="C1360">
        <v>15.4086</v>
      </c>
      <c r="D1360" s="2522">
        <v>5.2816000000000001</v>
      </c>
      <c r="E1360" s="2523">
        <f t="shared" si="97"/>
        <v>20.496540945512795</v>
      </c>
      <c r="F1360" s="2261">
        <f t="shared" si="96"/>
        <v>24.033050394191257</v>
      </c>
      <c r="G1360" s="2524">
        <f t="shared" si="98"/>
        <v>27.569559842869719</v>
      </c>
      <c r="H1360" s="2524">
        <f t="shared" si="99"/>
        <v>16.960031496834333</v>
      </c>
      <c r="I1360" s="2524">
        <f t="shared" si="100"/>
        <v>13.423522048155872</v>
      </c>
      <c r="J1360" s="2525">
        <f t="shared" si="91"/>
        <v>4.9423217303822922</v>
      </c>
      <c r="K1360" s="2261">
        <f t="shared" si="92"/>
        <v>5.919604026580453</v>
      </c>
      <c r="L1360" s="2524">
        <f t="shared" si="93"/>
        <v>6.8968863227786139</v>
      </c>
      <c r="M1360" s="2524">
        <f t="shared" si="94"/>
        <v>3.9650394341841317</v>
      </c>
      <c r="N1360" s="2524">
        <f t="shared" si="95"/>
        <v>2.9877571379859713</v>
      </c>
    </row>
    <row r="1361" spans="1:14" ht="15">
      <c r="A1361" s="2218"/>
      <c r="B1361" s="2251">
        <v>44851</v>
      </c>
      <c r="C1361">
        <v>15.367000000000001</v>
      </c>
      <c r="D1361" s="2522">
        <v>5.3479000000000001</v>
      </c>
      <c r="E1361" s="2523">
        <f t="shared" si="97"/>
        <v>20.496540945512795</v>
      </c>
      <c r="F1361" s="2261">
        <f t="shared" si="96"/>
        <v>24.033050394191257</v>
      </c>
      <c r="G1361" s="2524">
        <f t="shared" si="98"/>
        <v>27.569559842869719</v>
      </c>
      <c r="H1361" s="2524">
        <f t="shared" si="99"/>
        <v>16.960031496834333</v>
      </c>
      <c r="I1361" s="2524">
        <f t="shared" si="100"/>
        <v>13.423522048155872</v>
      </c>
      <c r="J1361" s="2525">
        <f t="shared" si="91"/>
        <v>4.9423217303822922</v>
      </c>
      <c r="K1361" s="2261">
        <f t="shared" si="92"/>
        <v>5.919604026580453</v>
      </c>
      <c r="L1361" s="2524">
        <f t="shared" si="93"/>
        <v>6.8968863227786139</v>
      </c>
      <c r="M1361" s="2524">
        <f t="shared" si="94"/>
        <v>3.9650394341841317</v>
      </c>
      <c r="N1361" s="2524">
        <f t="shared" si="95"/>
        <v>2.9877571379859713</v>
      </c>
    </row>
    <row r="1362" spans="1:14" ht="15">
      <c r="A1362" s="2218"/>
      <c r="B1362" s="2251">
        <v>44852</v>
      </c>
      <c r="C1362">
        <v>15.596</v>
      </c>
      <c r="D1362" s="2522">
        <v>5.2911000000000001</v>
      </c>
      <c r="E1362" s="2523">
        <f t="shared" si="97"/>
        <v>20.496540945512795</v>
      </c>
      <c r="F1362" s="2261">
        <f t="shared" si="96"/>
        <v>24.033050394191257</v>
      </c>
      <c r="G1362" s="2524">
        <f t="shared" si="98"/>
        <v>27.569559842869719</v>
      </c>
      <c r="H1362" s="2524">
        <f t="shared" si="99"/>
        <v>16.960031496834333</v>
      </c>
      <c r="I1362" s="2524">
        <f t="shared" si="100"/>
        <v>13.423522048155872</v>
      </c>
      <c r="J1362" s="2525">
        <f t="shared" si="91"/>
        <v>4.9423217303822922</v>
      </c>
      <c r="K1362" s="2261">
        <f t="shared" si="92"/>
        <v>5.919604026580453</v>
      </c>
      <c r="L1362" s="2524">
        <f t="shared" si="93"/>
        <v>6.8968863227786139</v>
      </c>
      <c r="M1362" s="2524">
        <f t="shared" si="94"/>
        <v>3.9650394341841317</v>
      </c>
      <c r="N1362" s="2524">
        <f t="shared" si="95"/>
        <v>2.9877571379859713</v>
      </c>
    </row>
    <row r="1363" spans="1:14" ht="15">
      <c r="A1363" s="2218"/>
      <c r="B1363" s="2251">
        <v>44853</v>
      </c>
      <c r="C1363">
        <v>15.721</v>
      </c>
      <c r="D1363" s="2522">
        <v>5.1585999999999999</v>
      </c>
      <c r="E1363" s="2523">
        <f t="shared" si="97"/>
        <v>20.496540945512795</v>
      </c>
      <c r="F1363" s="2261">
        <f t="shared" si="96"/>
        <v>24.033050394191257</v>
      </c>
      <c r="G1363" s="2524">
        <f t="shared" si="98"/>
        <v>27.569559842869719</v>
      </c>
      <c r="H1363" s="2524">
        <f t="shared" si="99"/>
        <v>16.960031496834333</v>
      </c>
      <c r="I1363" s="2524">
        <f t="shared" si="100"/>
        <v>13.423522048155872</v>
      </c>
      <c r="J1363" s="2525">
        <f t="shared" si="91"/>
        <v>4.9423217303822922</v>
      </c>
      <c r="K1363" s="2261">
        <f t="shared" si="92"/>
        <v>5.919604026580453</v>
      </c>
      <c r="L1363" s="2524">
        <f t="shared" si="93"/>
        <v>6.8968863227786139</v>
      </c>
      <c r="M1363" s="2524">
        <f t="shared" si="94"/>
        <v>3.9650394341841317</v>
      </c>
      <c r="N1363" s="2524">
        <f t="shared" si="95"/>
        <v>2.9877571379859713</v>
      </c>
    </row>
    <row r="1364" spans="1:14" ht="15">
      <c r="A1364" s="2218"/>
      <c r="B1364" s="2251">
        <v>44854</v>
      </c>
      <c r="C1364">
        <v>16.1999</v>
      </c>
      <c r="D1364" s="2522">
        <v>5.2201000000000004</v>
      </c>
      <c r="E1364" s="2523">
        <f t="shared" si="97"/>
        <v>20.496540945512795</v>
      </c>
      <c r="F1364" s="2261">
        <f t="shared" si="96"/>
        <v>24.033050394191257</v>
      </c>
      <c r="G1364" s="2524">
        <f t="shared" si="98"/>
        <v>27.569559842869719</v>
      </c>
      <c r="H1364" s="2524">
        <f t="shared" si="99"/>
        <v>16.960031496834333</v>
      </c>
      <c r="I1364" s="2524">
        <f t="shared" si="100"/>
        <v>13.423522048155872</v>
      </c>
      <c r="J1364" s="2525">
        <f t="shared" si="91"/>
        <v>4.9423217303822922</v>
      </c>
      <c r="K1364" s="2261">
        <f t="shared" si="92"/>
        <v>5.919604026580453</v>
      </c>
      <c r="L1364" s="2524">
        <f t="shared" si="93"/>
        <v>6.8968863227786139</v>
      </c>
      <c r="M1364" s="2524">
        <f t="shared" si="94"/>
        <v>3.9650394341841317</v>
      </c>
      <c r="N1364" s="2524">
        <f t="shared" si="95"/>
        <v>2.9877571379859713</v>
      </c>
    </row>
    <row r="1365" spans="1:14" ht="15">
      <c r="A1365" s="2218"/>
      <c r="B1365" s="2251">
        <v>44855</v>
      </c>
      <c r="C1365">
        <v>15.3878</v>
      </c>
      <c r="D1365" s="2522">
        <v>5.3147000000000002</v>
      </c>
      <c r="E1365" s="2523">
        <f t="shared" si="97"/>
        <v>20.496540945512795</v>
      </c>
      <c r="F1365" s="2261">
        <f t="shared" si="96"/>
        <v>24.033050394191257</v>
      </c>
      <c r="G1365" s="2524">
        <f t="shared" si="98"/>
        <v>27.569559842869719</v>
      </c>
      <c r="H1365" s="2524">
        <f t="shared" si="99"/>
        <v>16.960031496834333</v>
      </c>
      <c r="I1365" s="2524">
        <f t="shared" si="100"/>
        <v>13.423522048155872</v>
      </c>
      <c r="J1365" s="2525">
        <f t="shared" si="91"/>
        <v>4.9423217303822922</v>
      </c>
      <c r="K1365" s="2261">
        <f t="shared" si="92"/>
        <v>5.919604026580453</v>
      </c>
      <c r="L1365" s="2524">
        <f t="shared" si="93"/>
        <v>6.8968863227786139</v>
      </c>
      <c r="M1365" s="2524">
        <f t="shared" si="94"/>
        <v>3.9650394341841317</v>
      </c>
      <c r="N1365" s="2524">
        <f t="shared" si="95"/>
        <v>2.9877571379859713</v>
      </c>
    </row>
    <row r="1366" spans="1:14" ht="15">
      <c r="A1366" s="2218"/>
      <c r="B1366" s="2251">
        <v>44858</v>
      </c>
      <c r="C1366">
        <v>14.8048</v>
      </c>
      <c r="D1366" s="2522">
        <v>5.6839000000000004</v>
      </c>
      <c r="E1366" s="2523">
        <f t="shared" si="97"/>
        <v>20.496540945512795</v>
      </c>
      <c r="F1366" s="2261">
        <f t="shared" si="96"/>
        <v>24.033050394191257</v>
      </c>
      <c r="G1366" s="2524">
        <f t="shared" si="98"/>
        <v>27.569559842869719</v>
      </c>
      <c r="H1366" s="2524">
        <f t="shared" si="99"/>
        <v>16.960031496834333</v>
      </c>
      <c r="I1366" s="2524">
        <f t="shared" si="100"/>
        <v>13.423522048155872</v>
      </c>
      <c r="J1366" s="2525">
        <f t="shared" si="91"/>
        <v>4.9423217303822922</v>
      </c>
      <c r="K1366" s="2261">
        <f t="shared" si="92"/>
        <v>5.919604026580453</v>
      </c>
      <c r="L1366" s="2524">
        <f t="shared" si="93"/>
        <v>6.8968863227786139</v>
      </c>
      <c r="M1366" s="2524">
        <f t="shared" si="94"/>
        <v>3.9650394341841317</v>
      </c>
      <c r="N1366" s="2524">
        <f t="shared" si="95"/>
        <v>2.9877571379859713</v>
      </c>
    </row>
    <row r="1367" spans="1:14" ht="15">
      <c r="A1367" s="2218"/>
      <c r="B1367" s="2251">
        <v>44859</v>
      </c>
      <c r="C1367">
        <v>15.242000000000001</v>
      </c>
      <c r="D1367" s="2522">
        <v>5.8305999999999996</v>
      </c>
      <c r="E1367" s="2523">
        <f t="shared" si="97"/>
        <v>20.496540945512795</v>
      </c>
      <c r="F1367" s="2261">
        <f t="shared" si="96"/>
        <v>24.033050394191257</v>
      </c>
      <c r="G1367" s="2524">
        <f t="shared" si="98"/>
        <v>27.569559842869719</v>
      </c>
      <c r="H1367" s="2524">
        <f t="shared" si="99"/>
        <v>16.960031496834333</v>
      </c>
      <c r="I1367" s="2524">
        <f t="shared" si="100"/>
        <v>13.423522048155872</v>
      </c>
      <c r="J1367" s="2525">
        <f t="shared" si="91"/>
        <v>4.9423217303822922</v>
      </c>
      <c r="K1367" s="2261">
        <f t="shared" si="92"/>
        <v>5.919604026580453</v>
      </c>
      <c r="L1367" s="2524">
        <f t="shared" si="93"/>
        <v>6.8968863227786139</v>
      </c>
      <c r="M1367" s="2524">
        <f t="shared" si="94"/>
        <v>3.9650394341841317</v>
      </c>
      <c r="N1367" s="2524">
        <f t="shared" si="95"/>
        <v>2.9877571379859713</v>
      </c>
    </row>
    <row r="1368" spans="1:14" ht="15">
      <c r="A1368" s="2218"/>
      <c r="B1368" s="2251">
        <v>44860</v>
      </c>
      <c r="C1368">
        <v>15.367000000000001</v>
      </c>
      <c r="D1368" s="2522">
        <v>5.8305999999999996</v>
      </c>
      <c r="E1368" s="2523">
        <f t="shared" si="97"/>
        <v>20.496540945512795</v>
      </c>
      <c r="F1368" s="2261">
        <f t="shared" si="96"/>
        <v>24.033050394191257</v>
      </c>
      <c r="G1368" s="2524">
        <f t="shared" si="98"/>
        <v>27.569559842869719</v>
      </c>
      <c r="H1368" s="2524">
        <f t="shared" si="99"/>
        <v>16.960031496834333</v>
      </c>
      <c r="I1368" s="2524">
        <f t="shared" si="100"/>
        <v>13.423522048155872</v>
      </c>
      <c r="J1368" s="2525">
        <f t="shared" si="91"/>
        <v>4.9423217303822922</v>
      </c>
      <c r="K1368" s="2261">
        <f t="shared" si="92"/>
        <v>5.919604026580453</v>
      </c>
      <c r="L1368" s="2524">
        <f t="shared" si="93"/>
        <v>6.8968863227786139</v>
      </c>
      <c r="M1368" s="2524">
        <f t="shared" si="94"/>
        <v>3.9650394341841317</v>
      </c>
      <c r="N1368" s="2524">
        <f t="shared" si="95"/>
        <v>2.9877571379859713</v>
      </c>
    </row>
    <row r="1369" spans="1:14" ht="15">
      <c r="A1369" s="2218"/>
      <c r="B1369" s="2251">
        <v>44861</v>
      </c>
      <c r="C1369">
        <v>15.7834</v>
      </c>
      <c r="D1369" s="2522">
        <v>6.0246000000000004</v>
      </c>
      <c r="E1369" s="2523">
        <f t="shared" si="97"/>
        <v>20.496540945512795</v>
      </c>
      <c r="F1369" s="2261">
        <f t="shared" si="96"/>
        <v>24.033050394191257</v>
      </c>
      <c r="G1369" s="2524">
        <f t="shared" si="98"/>
        <v>27.569559842869719</v>
      </c>
      <c r="H1369" s="2524">
        <f t="shared" si="99"/>
        <v>16.960031496834333</v>
      </c>
      <c r="I1369" s="2524">
        <f t="shared" si="100"/>
        <v>13.423522048155872</v>
      </c>
      <c r="J1369" s="2525">
        <f t="shared" si="91"/>
        <v>4.9423217303822922</v>
      </c>
      <c r="K1369" s="2261">
        <f t="shared" si="92"/>
        <v>5.919604026580453</v>
      </c>
      <c r="L1369" s="2524">
        <f t="shared" si="93"/>
        <v>6.8968863227786139</v>
      </c>
      <c r="M1369" s="2524">
        <f t="shared" si="94"/>
        <v>3.9650394341841317</v>
      </c>
      <c r="N1369" s="2524">
        <f t="shared" si="95"/>
        <v>2.9877571379859713</v>
      </c>
    </row>
    <row r="1370" spans="1:14" ht="15">
      <c r="A1370" s="2218"/>
      <c r="B1370" s="2251">
        <v>44862</v>
      </c>
      <c r="C1370">
        <v>15.6168</v>
      </c>
      <c r="D1370" s="2522">
        <v>5.9584000000000001</v>
      </c>
      <c r="E1370" s="2523">
        <f t="shared" si="97"/>
        <v>20.496540945512795</v>
      </c>
      <c r="F1370" s="2261">
        <f t="shared" si="96"/>
        <v>24.033050394191257</v>
      </c>
      <c r="G1370" s="2524">
        <f t="shared" si="98"/>
        <v>27.569559842869719</v>
      </c>
      <c r="H1370" s="2524">
        <f t="shared" si="99"/>
        <v>16.960031496834333</v>
      </c>
      <c r="I1370" s="2524">
        <f t="shared" si="100"/>
        <v>13.423522048155872</v>
      </c>
      <c r="J1370" s="2525">
        <f t="shared" si="91"/>
        <v>4.9423217303822922</v>
      </c>
      <c r="K1370" s="2261">
        <f t="shared" si="92"/>
        <v>5.919604026580453</v>
      </c>
      <c r="L1370" s="2524">
        <f t="shared" si="93"/>
        <v>6.8968863227786139</v>
      </c>
      <c r="M1370" s="2524">
        <f t="shared" si="94"/>
        <v>3.9650394341841317</v>
      </c>
      <c r="N1370" s="2524">
        <f t="shared" si="95"/>
        <v>2.9877571379859713</v>
      </c>
    </row>
    <row r="1371" spans="1:14" ht="15">
      <c r="A1371" s="2218"/>
      <c r="B1371" s="2251">
        <v>44865</v>
      </c>
      <c r="C1371">
        <v>15.7418</v>
      </c>
      <c r="D1371" s="2522">
        <v>6.0388000000000002</v>
      </c>
      <c r="E1371" s="2523">
        <f t="shared" si="97"/>
        <v>20.496540945512795</v>
      </c>
      <c r="F1371" s="2261">
        <f t="shared" si="96"/>
        <v>24.033050394191257</v>
      </c>
      <c r="G1371" s="2524">
        <f t="shared" si="98"/>
        <v>27.569559842869719</v>
      </c>
      <c r="H1371" s="2524">
        <f t="shared" si="99"/>
        <v>16.960031496834333</v>
      </c>
      <c r="I1371" s="2524">
        <f t="shared" si="100"/>
        <v>13.423522048155872</v>
      </c>
      <c r="J1371" s="2525">
        <f t="shared" si="91"/>
        <v>4.9423217303822922</v>
      </c>
      <c r="K1371" s="2261">
        <f t="shared" si="92"/>
        <v>5.919604026580453</v>
      </c>
      <c r="L1371" s="2524">
        <f t="shared" si="93"/>
        <v>6.8968863227786139</v>
      </c>
      <c r="M1371" s="2524">
        <f t="shared" si="94"/>
        <v>3.9650394341841317</v>
      </c>
      <c r="N1371" s="2524">
        <f t="shared" si="95"/>
        <v>2.9877571379859713</v>
      </c>
    </row>
    <row r="1372" spans="1:14" ht="15">
      <c r="A1372" s="2218"/>
      <c r="B1372" s="2251">
        <v>44866</v>
      </c>
      <c r="C1372">
        <v>15.721</v>
      </c>
      <c r="D1372" s="2522">
        <v>6.2138999999999998</v>
      </c>
      <c r="E1372" s="2523">
        <f t="shared" si="97"/>
        <v>20.496540945512795</v>
      </c>
      <c r="F1372" s="2261">
        <f t="shared" si="96"/>
        <v>24.033050394191257</v>
      </c>
      <c r="G1372" s="2524">
        <f t="shared" si="98"/>
        <v>27.569559842869719</v>
      </c>
      <c r="H1372" s="2524">
        <f t="shared" si="99"/>
        <v>16.960031496834333</v>
      </c>
      <c r="I1372" s="2524">
        <f t="shared" si="100"/>
        <v>13.423522048155872</v>
      </c>
      <c r="J1372" s="2525">
        <f t="shared" si="91"/>
        <v>4.9423217303822922</v>
      </c>
      <c r="K1372" s="2261">
        <f t="shared" si="92"/>
        <v>5.919604026580453</v>
      </c>
      <c r="L1372" s="2524">
        <f t="shared" si="93"/>
        <v>6.8968863227786139</v>
      </c>
      <c r="M1372" s="2524">
        <f t="shared" si="94"/>
        <v>3.9650394341841317</v>
      </c>
      <c r="N1372" s="2524">
        <f t="shared" si="95"/>
        <v>2.9877571379859713</v>
      </c>
    </row>
    <row r="1373" spans="1:14" ht="15">
      <c r="A1373" s="2218"/>
      <c r="B1373" s="2251">
        <v>44867</v>
      </c>
      <c r="C1373">
        <v>15.4086</v>
      </c>
      <c r="D1373" s="2522">
        <v>6.1997</v>
      </c>
      <c r="E1373" s="2523">
        <f t="shared" si="97"/>
        <v>20.496540945512795</v>
      </c>
      <c r="F1373" s="2261">
        <f t="shared" si="96"/>
        <v>24.033050394191257</v>
      </c>
      <c r="G1373" s="2524">
        <f t="shared" si="98"/>
        <v>27.569559842869719</v>
      </c>
      <c r="H1373" s="2524">
        <f t="shared" si="99"/>
        <v>16.960031496834333</v>
      </c>
      <c r="I1373" s="2524">
        <f t="shared" si="100"/>
        <v>13.423522048155872</v>
      </c>
      <c r="J1373" s="2525">
        <f t="shared" si="91"/>
        <v>4.9423217303822922</v>
      </c>
      <c r="K1373" s="2261">
        <f t="shared" si="92"/>
        <v>5.919604026580453</v>
      </c>
      <c r="L1373" s="2524">
        <f t="shared" si="93"/>
        <v>6.8968863227786139</v>
      </c>
      <c r="M1373" s="2524">
        <f t="shared" si="94"/>
        <v>3.9650394341841317</v>
      </c>
      <c r="N1373" s="2524">
        <f t="shared" si="95"/>
        <v>2.9877571379859713</v>
      </c>
    </row>
    <row r="1374" spans="1:14" ht="15">
      <c r="A1374" s="2218"/>
      <c r="B1374" s="2251">
        <v>44868</v>
      </c>
      <c r="C1374">
        <v>15.429399999999999</v>
      </c>
      <c r="D1374" s="2522">
        <v>6.1665999999999999</v>
      </c>
      <c r="E1374" s="2523">
        <f t="shared" si="97"/>
        <v>20.496540945512795</v>
      </c>
      <c r="F1374" s="2261">
        <f t="shared" si="96"/>
        <v>24.033050394191257</v>
      </c>
      <c r="G1374" s="2524">
        <f t="shared" si="98"/>
        <v>27.569559842869719</v>
      </c>
      <c r="H1374" s="2524">
        <f t="shared" si="99"/>
        <v>16.960031496834333</v>
      </c>
      <c r="I1374" s="2524">
        <f t="shared" si="100"/>
        <v>13.423522048155872</v>
      </c>
      <c r="J1374" s="2525">
        <f t="shared" si="91"/>
        <v>4.9423217303822922</v>
      </c>
      <c r="K1374" s="2261">
        <f t="shared" si="92"/>
        <v>5.919604026580453</v>
      </c>
      <c r="L1374" s="2524">
        <f t="shared" si="93"/>
        <v>6.8968863227786139</v>
      </c>
      <c r="M1374" s="2524">
        <f t="shared" si="94"/>
        <v>3.9650394341841317</v>
      </c>
      <c r="N1374" s="2524">
        <f t="shared" si="95"/>
        <v>2.9877571379859713</v>
      </c>
    </row>
    <row r="1375" spans="1:14" ht="15">
      <c r="A1375" s="2218"/>
      <c r="B1375" s="2251">
        <v>44869</v>
      </c>
      <c r="C1375">
        <v>15.179600000000001</v>
      </c>
      <c r="D1375" s="2522">
        <v>6.2138999999999998</v>
      </c>
      <c r="E1375" s="2523">
        <f t="shared" si="97"/>
        <v>20.496540945512795</v>
      </c>
      <c r="F1375" s="2261">
        <f t="shared" si="96"/>
        <v>24.033050394191257</v>
      </c>
      <c r="G1375" s="2524">
        <f t="shared" si="98"/>
        <v>27.569559842869719</v>
      </c>
      <c r="H1375" s="2524">
        <f t="shared" si="99"/>
        <v>16.960031496834333</v>
      </c>
      <c r="I1375" s="2524">
        <f t="shared" si="100"/>
        <v>13.423522048155872</v>
      </c>
      <c r="J1375" s="2525">
        <f t="shared" si="91"/>
        <v>4.9423217303822922</v>
      </c>
      <c r="K1375" s="2261">
        <f t="shared" si="92"/>
        <v>5.919604026580453</v>
      </c>
      <c r="L1375" s="2524">
        <f t="shared" si="93"/>
        <v>6.8968863227786139</v>
      </c>
      <c r="M1375" s="2524">
        <f t="shared" si="94"/>
        <v>3.9650394341841317</v>
      </c>
      <c r="N1375" s="2524">
        <f t="shared" si="95"/>
        <v>2.9877571379859713</v>
      </c>
    </row>
    <row r="1376" spans="1:14" ht="15">
      <c r="A1376" s="2218"/>
      <c r="B1376" s="2251">
        <v>44872</v>
      </c>
      <c r="C1376">
        <v>15.117100000000001</v>
      </c>
      <c r="D1376" s="2527">
        <v>6.1382000000000003</v>
      </c>
      <c r="E1376" s="2523">
        <f t="shared" si="97"/>
        <v>20.496540945512795</v>
      </c>
      <c r="F1376" s="2261">
        <f t="shared" si="96"/>
        <v>24.033050394191257</v>
      </c>
      <c r="G1376" s="2524">
        <f t="shared" si="98"/>
        <v>27.569559842869719</v>
      </c>
      <c r="H1376" s="2524">
        <f t="shared" si="99"/>
        <v>16.960031496834333</v>
      </c>
      <c r="I1376" s="2524">
        <f t="shared" si="100"/>
        <v>13.423522048155872</v>
      </c>
      <c r="J1376" s="2525">
        <f t="shared" si="91"/>
        <v>4.9423217303822922</v>
      </c>
      <c r="K1376" s="2261">
        <f t="shared" ref="K1376:K1439" si="101">J$953+G$953</f>
        <v>5.919604026580453</v>
      </c>
      <c r="L1376" s="2524">
        <f t="shared" ref="L1376:L1439" si="102">J$953+G$953+G$953</f>
        <v>6.8968863227786139</v>
      </c>
      <c r="M1376" s="2524">
        <f t="shared" ref="M1376:M1439" si="103">J$953-G$953</f>
        <v>3.9650394341841317</v>
      </c>
      <c r="N1376" s="2524">
        <f t="shared" ref="N1376:N1439" si="104">J$953-G$953-G$953</f>
        <v>2.9877571379859713</v>
      </c>
    </row>
    <row r="1377" spans="1:14" ht="15">
      <c r="A1377" s="2218"/>
      <c r="B1377" s="2251">
        <v>44873</v>
      </c>
      <c r="C1377">
        <v>15.2629</v>
      </c>
      <c r="D1377" s="2527">
        <v>6.1760999999999999</v>
      </c>
      <c r="E1377" s="2523">
        <f t="shared" si="97"/>
        <v>20.496540945512795</v>
      </c>
      <c r="F1377" s="2261">
        <f t="shared" si="96"/>
        <v>24.033050394191257</v>
      </c>
      <c r="G1377" s="2524">
        <f t="shared" si="98"/>
        <v>27.569559842869719</v>
      </c>
      <c r="H1377" s="2524">
        <f t="shared" si="99"/>
        <v>16.960031496834333</v>
      </c>
      <c r="I1377" s="2524">
        <f t="shared" si="100"/>
        <v>13.423522048155872</v>
      </c>
      <c r="J1377" s="2525">
        <f t="shared" si="91"/>
        <v>4.9423217303822922</v>
      </c>
      <c r="K1377" s="2261">
        <f t="shared" si="101"/>
        <v>5.919604026580453</v>
      </c>
      <c r="L1377" s="2524">
        <f t="shared" si="102"/>
        <v>6.8968863227786139</v>
      </c>
      <c r="M1377" s="2524">
        <f t="shared" si="103"/>
        <v>3.9650394341841317</v>
      </c>
      <c r="N1377" s="2524">
        <f t="shared" si="104"/>
        <v>2.9877571379859713</v>
      </c>
    </row>
    <row r="1378" spans="1:14" ht="15">
      <c r="A1378" s="2218"/>
      <c r="B1378" s="2251">
        <v>44874</v>
      </c>
      <c r="C1378">
        <v>15.4086</v>
      </c>
      <c r="D1378" s="2527">
        <v>6.3464</v>
      </c>
      <c r="E1378" s="2523">
        <f t="shared" si="97"/>
        <v>20.496540945512795</v>
      </c>
      <c r="F1378" s="2261">
        <f t="shared" si="96"/>
        <v>24.033050394191257</v>
      </c>
      <c r="G1378" s="2524">
        <f t="shared" si="98"/>
        <v>27.569559842869719</v>
      </c>
      <c r="H1378" s="2524">
        <f t="shared" si="99"/>
        <v>16.960031496834333</v>
      </c>
      <c r="I1378" s="2524">
        <f t="shared" si="100"/>
        <v>13.423522048155872</v>
      </c>
      <c r="J1378" s="2525">
        <f t="shared" si="91"/>
        <v>4.9423217303822922</v>
      </c>
      <c r="K1378" s="2261">
        <f t="shared" si="101"/>
        <v>5.919604026580453</v>
      </c>
      <c r="L1378" s="2524">
        <f t="shared" si="102"/>
        <v>6.8968863227786139</v>
      </c>
      <c r="M1378" s="2524">
        <f t="shared" si="103"/>
        <v>3.9650394341841317</v>
      </c>
      <c r="N1378" s="2524">
        <f t="shared" si="104"/>
        <v>2.9877571379859713</v>
      </c>
    </row>
    <row r="1379" spans="1:14" ht="15">
      <c r="A1379" s="2218"/>
      <c r="B1379" s="2251">
        <v>44875</v>
      </c>
      <c r="C1379">
        <v>15.2004</v>
      </c>
      <c r="D1379" s="2527">
        <v>6.4080000000000004</v>
      </c>
      <c r="E1379" s="2523">
        <f t="shared" si="97"/>
        <v>20.496540945512795</v>
      </c>
      <c r="F1379" s="2261">
        <f t="shared" si="96"/>
        <v>24.033050394191257</v>
      </c>
      <c r="G1379" s="2524">
        <f t="shared" si="98"/>
        <v>27.569559842869719</v>
      </c>
      <c r="H1379" s="2524">
        <f t="shared" si="99"/>
        <v>16.960031496834333</v>
      </c>
      <c r="I1379" s="2524">
        <f t="shared" si="100"/>
        <v>13.423522048155872</v>
      </c>
      <c r="J1379" s="2525">
        <f t="shared" si="91"/>
        <v>4.9423217303822922</v>
      </c>
      <c r="K1379" s="2261">
        <f t="shared" si="101"/>
        <v>5.919604026580453</v>
      </c>
      <c r="L1379" s="2524">
        <f t="shared" si="102"/>
        <v>6.8968863227786139</v>
      </c>
      <c r="M1379" s="2524">
        <f t="shared" si="103"/>
        <v>3.9650394341841317</v>
      </c>
      <c r="N1379" s="2524">
        <f t="shared" si="104"/>
        <v>2.9877571379859713</v>
      </c>
    </row>
    <row r="1380" spans="1:14" ht="15">
      <c r="A1380" s="2218"/>
      <c r="B1380" s="2251">
        <v>44876</v>
      </c>
      <c r="C1380">
        <v>15.1587</v>
      </c>
      <c r="D1380" s="2527">
        <v>6.3654000000000002</v>
      </c>
      <c r="E1380" s="2523">
        <f t="shared" si="97"/>
        <v>20.496540945512795</v>
      </c>
      <c r="F1380" s="2261">
        <f t="shared" si="96"/>
        <v>24.033050394191257</v>
      </c>
      <c r="G1380" s="2524">
        <f t="shared" si="98"/>
        <v>27.569559842869719</v>
      </c>
      <c r="H1380" s="2524">
        <f t="shared" si="99"/>
        <v>16.960031496834333</v>
      </c>
      <c r="I1380" s="2524">
        <f t="shared" si="100"/>
        <v>13.423522048155872</v>
      </c>
      <c r="J1380" s="2525">
        <f t="shared" si="91"/>
        <v>4.9423217303822922</v>
      </c>
      <c r="K1380" s="2261">
        <f t="shared" si="101"/>
        <v>5.919604026580453</v>
      </c>
      <c r="L1380" s="2524">
        <f t="shared" si="102"/>
        <v>6.8968863227786139</v>
      </c>
      <c r="M1380" s="2524">
        <f t="shared" si="103"/>
        <v>3.9650394341841317</v>
      </c>
      <c r="N1380" s="2524">
        <f t="shared" si="104"/>
        <v>2.9877571379859713</v>
      </c>
    </row>
    <row r="1381" spans="1:14" ht="15">
      <c r="A1381" s="2218"/>
      <c r="B1381" s="2251">
        <v>44879</v>
      </c>
      <c r="C1381">
        <v>14.7423</v>
      </c>
      <c r="D1381" s="2527">
        <v>6.2944000000000004</v>
      </c>
      <c r="E1381" s="2523">
        <f t="shared" si="97"/>
        <v>20.496540945512795</v>
      </c>
      <c r="F1381" s="2261">
        <f t="shared" si="96"/>
        <v>24.033050394191257</v>
      </c>
      <c r="G1381" s="2524">
        <f t="shared" si="98"/>
        <v>27.569559842869719</v>
      </c>
      <c r="H1381" s="2524">
        <f t="shared" si="99"/>
        <v>16.960031496834333</v>
      </c>
      <c r="I1381" s="2524">
        <f t="shared" si="100"/>
        <v>13.423522048155872</v>
      </c>
      <c r="J1381" s="2525">
        <f t="shared" si="91"/>
        <v>4.9423217303822922</v>
      </c>
      <c r="K1381" s="2261">
        <f t="shared" si="101"/>
        <v>5.919604026580453</v>
      </c>
      <c r="L1381" s="2524">
        <f t="shared" si="102"/>
        <v>6.8968863227786139</v>
      </c>
      <c r="M1381" s="2524">
        <f t="shared" si="103"/>
        <v>3.9650394341841317</v>
      </c>
      <c r="N1381" s="2524">
        <f t="shared" si="104"/>
        <v>2.9877571379859713</v>
      </c>
    </row>
    <row r="1382" spans="1:14" ht="15">
      <c r="A1382" s="2218"/>
      <c r="B1382" s="2251">
        <v>44880</v>
      </c>
      <c r="C1382">
        <v>13.722</v>
      </c>
      <c r="D1382" s="2527">
        <v>6.4363999999999999</v>
      </c>
      <c r="E1382" s="2523">
        <f t="shared" si="97"/>
        <v>20.496540945512795</v>
      </c>
      <c r="F1382" s="2261">
        <f t="shared" si="96"/>
        <v>24.033050394191257</v>
      </c>
      <c r="G1382" s="2524">
        <f t="shared" si="98"/>
        <v>27.569559842869719</v>
      </c>
      <c r="H1382" s="2524">
        <f t="shared" si="99"/>
        <v>16.960031496834333</v>
      </c>
      <c r="I1382" s="2524">
        <f t="shared" si="100"/>
        <v>13.423522048155872</v>
      </c>
      <c r="J1382" s="2525">
        <f t="shared" si="91"/>
        <v>4.9423217303822922</v>
      </c>
      <c r="K1382" s="2261">
        <f t="shared" si="101"/>
        <v>5.919604026580453</v>
      </c>
      <c r="L1382" s="2524">
        <f t="shared" si="102"/>
        <v>6.8968863227786139</v>
      </c>
      <c r="M1382" s="2524">
        <f t="shared" si="103"/>
        <v>3.9650394341841317</v>
      </c>
      <c r="N1382" s="2524">
        <f t="shared" si="104"/>
        <v>2.9877571379859713</v>
      </c>
    </row>
    <row r="1383" spans="1:14" ht="15">
      <c r="A1383" s="2218"/>
      <c r="B1383" s="2251">
        <v>44881</v>
      </c>
      <c r="C1383">
        <v>14.43</v>
      </c>
      <c r="D1383" s="2527">
        <v>6.5309999999999997</v>
      </c>
      <c r="E1383" s="2523">
        <f t="shared" si="97"/>
        <v>20.496540945512795</v>
      </c>
      <c r="F1383" s="2261">
        <f t="shared" si="96"/>
        <v>24.033050394191257</v>
      </c>
      <c r="G1383" s="2524">
        <f t="shared" si="98"/>
        <v>27.569559842869719</v>
      </c>
      <c r="H1383" s="2524">
        <f t="shared" si="99"/>
        <v>16.960031496834333</v>
      </c>
      <c r="I1383" s="2524">
        <f t="shared" si="100"/>
        <v>13.423522048155872</v>
      </c>
      <c r="J1383" s="2525">
        <f t="shared" si="91"/>
        <v>4.9423217303822922</v>
      </c>
      <c r="K1383" s="2261">
        <f t="shared" si="101"/>
        <v>5.919604026580453</v>
      </c>
      <c r="L1383" s="2524">
        <f t="shared" si="102"/>
        <v>6.8968863227786139</v>
      </c>
      <c r="M1383" s="2524">
        <f t="shared" si="103"/>
        <v>3.9650394341841317</v>
      </c>
      <c r="N1383" s="2524">
        <f t="shared" si="104"/>
        <v>2.9877571379859713</v>
      </c>
    </row>
    <row r="1384" spans="1:14" ht="15">
      <c r="A1384" s="2218"/>
      <c r="B1384" s="2251">
        <v>44882</v>
      </c>
      <c r="C1384">
        <v>14.783899999999999</v>
      </c>
      <c r="D1384" s="2527">
        <v>6.5073999999999996</v>
      </c>
      <c r="E1384" s="2523">
        <f t="shared" si="97"/>
        <v>20.496540945512795</v>
      </c>
      <c r="F1384" s="2261">
        <f t="shared" si="96"/>
        <v>24.033050394191257</v>
      </c>
      <c r="G1384" s="2524">
        <f t="shared" si="98"/>
        <v>27.569559842869719</v>
      </c>
      <c r="H1384" s="2524">
        <f t="shared" si="99"/>
        <v>16.960031496834333</v>
      </c>
      <c r="I1384" s="2524">
        <f t="shared" si="100"/>
        <v>13.423522048155872</v>
      </c>
      <c r="J1384" s="2525">
        <f t="shared" si="91"/>
        <v>4.9423217303822922</v>
      </c>
      <c r="K1384" s="2261">
        <f t="shared" si="101"/>
        <v>5.919604026580453</v>
      </c>
      <c r="L1384" s="2524">
        <f t="shared" si="102"/>
        <v>6.8968863227786139</v>
      </c>
      <c r="M1384" s="2524">
        <f t="shared" si="103"/>
        <v>3.9650394341841317</v>
      </c>
      <c r="N1384" s="2524">
        <f t="shared" si="104"/>
        <v>2.9877571379859713</v>
      </c>
    </row>
    <row r="1385" spans="1:14" ht="15">
      <c r="A1385" s="2218"/>
      <c r="B1385" s="2251">
        <v>44883</v>
      </c>
      <c r="C1385">
        <v>14.8881</v>
      </c>
      <c r="D1385" s="2527">
        <v>6.2423000000000002</v>
      </c>
      <c r="E1385" s="2523">
        <f t="shared" si="97"/>
        <v>20.496540945512795</v>
      </c>
      <c r="F1385" s="2261">
        <f t="shared" si="96"/>
        <v>24.033050394191257</v>
      </c>
      <c r="G1385" s="2524">
        <f t="shared" si="98"/>
        <v>27.569559842869719</v>
      </c>
      <c r="H1385" s="2524">
        <f t="shared" si="99"/>
        <v>16.960031496834333</v>
      </c>
      <c r="I1385" s="2524">
        <f t="shared" si="100"/>
        <v>13.423522048155872</v>
      </c>
      <c r="J1385" s="2525">
        <f t="shared" si="91"/>
        <v>4.9423217303822922</v>
      </c>
      <c r="K1385" s="2261">
        <f t="shared" si="101"/>
        <v>5.919604026580453</v>
      </c>
      <c r="L1385" s="2524">
        <f t="shared" si="102"/>
        <v>6.8968863227786139</v>
      </c>
      <c r="M1385" s="2524">
        <f t="shared" si="103"/>
        <v>3.9650394341841317</v>
      </c>
      <c r="N1385" s="2524">
        <f t="shared" si="104"/>
        <v>2.9877571379859713</v>
      </c>
    </row>
    <row r="1386" spans="1:14" ht="15">
      <c r="A1386" s="2218"/>
      <c r="B1386" s="2251">
        <v>44886</v>
      </c>
      <c r="C1386">
        <v>14.596500000000001</v>
      </c>
      <c r="D1386" s="2527">
        <v>6.2849000000000004</v>
      </c>
      <c r="E1386" s="2523">
        <f t="shared" si="97"/>
        <v>20.496540945512795</v>
      </c>
      <c r="F1386" s="2261">
        <f t="shared" si="96"/>
        <v>24.033050394191257</v>
      </c>
      <c r="G1386" s="2524">
        <f t="shared" si="98"/>
        <v>27.569559842869719</v>
      </c>
      <c r="H1386" s="2524">
        <f t="shared" si="99"/>
        <v>16.960031496834333</v>
      </c>
      <c r="I1386" s="2524">
        <f t="shared" si="100"/>
        <v>13.423522048155872</v>
      </c>
      <c r="J1386" s="2525">
        <f t="shared" si="91"/>
        <v>4.9423217303822922</v>
      </c>
      <c r="K1386" s="2261">
        <f t="shared" si="101"/>
        <v>5.919604026580453</v>
      </c>
      <c r="L1386" s="2524">
        <f t="shared" si="102"/>
        <v>6.8968863227786139</v>
      </c>
      <c r="M1386" s="2524">
        <f t="shared" si="103"/>
        <v>3.9650394341841317</v>
      </c>
      <c r="N1386" s="2524">
        <f t="shared" si="104"/>
        <v>2.9877571379859713</v>
      </c>
    </row>
    <row r="1387" spans="1:14" ht="15">
      <c r="A1387" s="2218"/>
      <c r="B1387" s="2251">
        <v>44887</v>
      </c>
      <c r="C1387">
        <v>14.6798</v>
      </c>
      <c r="D1387" s="2527">
        <v>6.4836999999999998</v>
      </c>
      <c r="E1387" s="2523">
        <f t="shared" si="97"/>
        <v>20.496540945512795</v>
      </c>
      <c r="F1387" s="2261">
        <f t="shared" si="96"/>
        <v>24.033050394191257</v>
      </c>
      <c r="G1387" s="2524">
        <f t="shared" si="98"/>
        <v>27.569559842869719</v>
      </c>
      <c r="H1387" s="2524">
        <f t="shared" si="99"/>
        <v>16.960031496834333</v>
      </c>
      <c r="I1387" s="2524">
        <f t="shared" si="100"/>
        <v>13.423522048155872</v>
      </c>
      <c r="J1387" s="2525">
        <f t="shared" si="91"/>
        <v>4.9423217303822922</v>
      </c>
      <c r="K1387" s="2261">
        <f t="shared" si="101"/>
        <v>5.919604026580453</v>
      </c>
      <c r="L1387" s="2524">
        <f t="shared" si="102"/>
        <v>6.8968863227786139</v>
      </c>
      <c r="M1387" s="2524">
        <f t="shared" si="103"/>
        <v>3.9650394341841317</v>
      </c>
      <c r="N1387" s="2524">
        <f t="shared" si="104"/>
        <v>2.9877571379859713</v>
      </c>
    </row>
    <row r="1388" spans="1:14" ht="15">
      <c r="A1388" s="2218"/>
      <c r="B1388" s="2251">
        <v>44888</v>
      </c>
      <c r="C1388">
        <v>14.6798</v>
      </c>
      <c r="D1388" s="2527">
        <v>6.4222000000000001</v>
      </c>
      <c r="E1388" s="2523">
        <f t="shared" si="97"/>
        <v>20.496540945512795</v>
      </c>
      <c r="F1388" s="2261">
        <f t="shared" si="96"/>
        <v>24.033050394191257</v>
      </c>
      <c r="G1388" s="2524">
        <f t="shared" si="98"/>
        <v>27.569559842869719</v>
      </c>
      <c r="H1388" s="2524">
        <f t="shared" si="99"/>
        <v>16.960031496834333</v>
      </c>
      <c r="I1388" s="2524">
        <f t="shared" si="100"/>
        <v>13.423522048155872</v>
      </c>
      <c r="J1388" s="2525">
        <f t="shared" si="91"/>
        <v>4.9423217303822922</v>
      </c>
      <c r="K1388" s="2261">
        <f t="shared" si="101"/>
        <v>5.919604026580453</v>
      </c>
      <c r="L1388" s="2524">
        <f t="shared" si="102"/>
        <v>6.8968863227786139</v>
      </c>
      <c r="M1388" s="2524">
        <f t="shared" si="103"/>
        <v>3.9650394341841317</v>
      </c>
      <c r="N1388" s="2524">
        <f t="shared" si="104"/>
        <v>2.9877571379859713</v>
      </c>
    </row>
    <row r="1389" spans="1:14" ht="15">
      <c r="A1389" s="2218"/>
      <c r="B1389" s="2251">
        <v>44889</v>
      </c>
      <c r="C1389">
        <v>14.6798</v>
      </c>
      <c r="D1389" s="2527">
        <v>6.3890000000000002</v>
      </c>
      <c r="E1389" s="2523">
        <f t="shared" si="97"/>
        <v>20.496540945512795</v>
      </c>
      <c r="F1389" s="2261">
        <f t="shared" si="96"/>
        <v>24.033050394191257</v>
      </c>
      <c r="G1389" s="2524">
        <f t="shared" si="98"/>
        <v>27.569559842869719</v>
      </c>
      <c r="H1389" s="2524">
        <f t="shared" si="99"/>
        <v>16.960031496834333</v>
      </c>
      <c r="I1389" s="2524">
        <f t="shared" si="100"/>
        <v>13.423522048155872</v>
      </c>
      <c r="J1389" s="2525">
        <f t="shared" si="91"/>
        <v>4.9423217303822922</v>
      </c>
      <c r="K1389" s="2261">
        <f t="shared" si="101"/>
        <v>5.919604026580453</v>
      </c>
      <c r="L1389" s="2524">
        <f t="shared" si="102"/>
        <v>6.8968863227786139</v>
      </c>
      <c r="M1389" s="2524">
        <f t="shared" si="103"/>
        <v>3.9650394341841317</v>
      </c>
      <c r="N1389" s="2524">
        <f t="shared" si="104"/>
        <v>2.9877571379859713</v>
      </c>
    </row>
    <row r="1390" spans="1:14" ht="15">
      <c r="A1390" s="2218"/>
      <c r="B1390" s="2251">
        <v>44890</v>
      </c>
      <c r="C1390">
        <v>14.9922</v>
      </c>
      <c r="D1390" s="2527">
        <v>6.3700999999999999</v>
      </c>
      <c r="E1390" s="2523">
        <f t="shared" si="97"/>
        <v>20.496540945512795</v>
      </c>
      <c r="F1390" s="2261">
        <f t="shared" si="96"/>
        <v>24.033050394191257</v>
      </c>
      <c r="G1390" s="2524">
        <f t="shared" si="98"/>
        <v>27.569559842869719</v>
      </c>
      <c r="H1390" s="2524">
        <f t="shared" si="99"/>
        <v>16.960031496834333</v>
      </c>
      <c r="I1390" s="2524">
        <f t="shared" si="100"/>
        <v>13.423522048155872</v>
      </c>
      <c r="J1390" s="2525">
        <f t="shared" si="91"/>
        <v>4.9423217303822922</v>
      </c>
      <c r="K1390" s="2261">
        <f t="shared" si="101"/>
        <v>5.919604026580453</v>
      </c>
      <c r="L1390" s="2524">
        <f t="shared" si="102"/>
        <v>6.8968863227786139</v>
      </c>
      <c r="M1390" s="2524">
        <f t="shared" si="103"/>
        <v>3.9650394341841317</v>
      </c>
      <c r="N1390" s="2524">
        <f t="shared" si="104"/>
        <v>2.9877571379859713</v>
      </c>
    </row>
    <row r="1391" spans="1:14" ht="15">
      <c r="A1391" s="2218"/>
      <c r="B1391" s="2251">
        <v>44893</v>
      </c>
      <c r="C1391">
        <v>15.4711</v>
      </c>
      <c r="D1391" s="2527">
        <v>6.4790000000000001</v>
      </c>
      <c r="E1391" s="2523">
        <f t="shared" si="97"/>
        <v>20.496540945512795</v>
      </c>
      <c r="F1391" s="2261">
        <f t="shared" si="96"/>
        <v>24.033050394191257</v>
      </c>
      <c r="G1391" s="2524">
        <f t="shared" si="98"/>
        <v>27.569559842869719</v>
      </c>
      <c r="H1391" s="2524">
        <f t="shared" si="99"/>
        <v>16.960031496834333</v>
      </c>
      <c r="I1391" s="2524">
        <f t="shared" si="100"/>
        <v>13.423522048155872</v>
      </c>
      <c r="J1391" s="2525">
        <f t="shared" si="91"/>
        <v>4.9423217303822922</v>
      </c>
      <c r="K1391" s="2261">
        <f t="shared" si="101"/>
        <v>5.919604026580453</v>
      </c>
      <c r="L1391" s="2524">
        <f t="shared" si="102"/>
        <v>6.8968863227786139</v>
      </c>
      <c r="M1391" s="2524">
        <f t="shared" si="103"/>
        <v>3.9650394341841317</v>
      </c>
      <c r="N1391" s="2524">
        <f t="shared" si="104"/>
        <v>2.9877571379859713</v>
      </c>
    </row>
    <row r="1392" spans="1:14" ht="15">
      <c r="A1392" s="2218"/>
      <c r="B1392" s="2251">
        <v>44894</v>
      </c>
      <c r="C1392">
        <v>15.4711</v>
      </c>
      <c r="D1392" s="2527">
        <v>6.5831</v>
      </c>
      <c r="E1392" s="2523">
        <f t="shared" si="97"/>
        <v>20.496540945512795</v>
      </c>
      <c r="F1392" s="2261">
        <f t="shared" si="96"/>
        <v>24.033050394191257</v>
      </c>
      <c r="G1392" s="2524">
        <f t="shared" si="98"/>
        <v>27.569559842869719</v>
      </c>
      <c r="H1392" s="2524">
        <f t="shared" si="99"/>
        <v>16.960031496834333</v>
      </c>
      <c r="I1392" s="2524">
        <f t="shared" si="100"/>
        <v>13.423522048155872</v>
      </c>
      <c r="J1392" s="2525">
        <f t="shared" si="91"/>
        <v>4.9423217303822922</v>
      </c>
      <c r="K1392" s="2261">
        <f t="shared" si="101"/>
        <v>5.919604026580453</v>
      </c>
      <c r="L1392" s="2524">
        <f t="shared" si="102"/>
        <v>6.8968863227786139</v>
      </c>
      <c r="M1392" s="2524">
        <f t="shared" si="103"/>
        <v>3.9650394341841317</v>
      </c>
      <c r="N1392" s="2524">
        <f t="shared" si="104"/>
        <v>2.9877571379859713</v>
      </c>
    </row>
    <row r="1393" spans="1:14" ht="15">
      <c r="A1393" s="2218"/>
      <c r="B1393" s="2251">
        <v>44895</v>
      </c>
      <c r="C1393">
        <v>15.5336</v>
      </c>
      <c r="D1393" s="2527">
        <v>6.6303999999999998</v>
      </c>
      <c r="E1393" s="2523">
        <f t="shared" si="97"/>
        <v>20.496540945512795</v>
      </c>
      <c r="F1393" s="2261">
        <f t="shared" si="96"/>
        <v>24.033050394191257</v>
      </c>
      <c r="G1393" s="2524">
        <f t="shared" si="98"/>
        <v>27.569559842869719</v>
      </c>
      <c r="H1393" s="2524">
        <f t="shared" si="99"/>
        <v>16.960031496834333</v>
      </c>
      <c r="I1393" s="2524">
        <f t="shared" si="100"/>
        <v>13.423522048155872</v>
      </c>
      <c r="J1393" s="2525">
        <f t="shared" si="91"/>
        <v>4.9423217303822922</v>
      </c>
      <c r="K1393" s="2261">
        <f t="shared" si="101"/>
        <v>5.919604026580453</v>
      </c>
      <c r="L1393" s="2524">
        <f t="shared" si="102"/>
        <v>6.8968863227786139</v>
      </c>
      <c r="M1393" s="2524">
        <f t="shared" si="103"/>
        <v>3.9650394341841317</v>
      </c>
      <c r="N1393" s="2524">
        <f t="shared" si="104"/>
        <v>2.9877571379859713</v>
      </c>
    </row>
    <row r="1394" spans="1:14" ht="15">
      <c r="A1394" s="2218"/>
      <c r="B1394" s="2251">
        <v>44896</v>
      </c>
      <c r="C1394">
        <v>15.554399999999999</v>
      </c>
      <c r="D1394" s="2527">
        <v>6.6067</v>
      </c>
      <c r="E1394" s="2523">
        <f t="shared" si="97"/>
        <v>20.496540945512795</v>
      </c>
      <c r="F1394" s="2261">
        <f t="shared" si="96"/>
        <v>24.033050394191257</v>
      </c>
      <c r="G1394" s="2524">
        <f t="shared" si="98"/>
        <v>27.569559842869719</v>
      </c>
      <c r="H1394" s="2524">
        <f t="shared" si="99"/>
        <v>16.960031496834333</v>
      </c>
      <c r="I1394" s="2524">
        <f t="shared" si="100"/>
        <v>13.423522048155872</v>
      </c>
      <c r="J1394" s="2525">
        <f t="shared" si="91"/>
        <v>4.9423217303822922</v>
      </c>
      <c r="K1394" s="2261">
        <f t="shared" si="101"/>
        <v>5.919604026580453</v>
      </c>
      <c r="L1394" s="2524">
        <f t="shared" si="102"/>
        <v>6.8968863227786139</v>
      </c>
      <c r="M1394" s="2524">
        <f t="shared" si="103"/>
        <v>3.9650394341841317</v>
      </c>
      <c r="N1394" s="2524">
        <f t="shared" si="104"/>
        <v>2.9877571379859713</v>
      </c>
    </row>
    <row r="1395" spans="1:14" ht="15">
      <c r="A1395" s="2218"/>
      <c r="B1395" s="2251">
        <v>44897</v>
      </c>
      <c r="C1395">
        <v>16.116599999999998</v>
      </c>
      <c r="D1395" s="2527">
        <v>6.7202999999999999</v>
      </c>
      <c r="E1395" s="2523">
        <f t="shared" si="97"/>
        <v>20.496540945512795</v>
      </c>
      <c r="F1395" s="2261">
        <f t="shared" si="96"/>
        <v>24.033050394191257</v>
      </c>
      <c r="G1395" s="2524">
        <f t="shared" si="98"/>
        <v>27.569559842869719</v>
      </c>
      <c r="H1395" s="2524">
        <f t="shared" si="99"/>
        <v>16.960031496834333</v>
      </c>
      <c r="I1395" s="2524">
        <f t="shared" si="100"/>
        <v>13.423522048155872</v>
      </c>
      <c r="J1395" s="2525">
        <f t="shared" si="91"/>
        <v>4.9423217303822922</v>
      </c>
      <c r="K1395" s="2261">
        <f t="shared" si="101"/>
        <v>5.919604026580453</v>
      </c>
      <c r="L1395" s="2524">
        <f t="shared" si="102"/>
        <v>6.8968863227786139</v>
      </c>
      <c r="M1395" s="2524">
        <f t="shared" si="103"/>
        <v>3.9650394341841317</v>
      </c>
      <c r="N1395" s="2524">
        <f t="shared" si="104"/>
        <v>2.9877571379859713</v>
      </c>
    </row>
    <row r="1396" spans="1:14" ht="15">
      <c r="A1396" s="2218"/>
      <c r="B1396" s="2251">
        <v>44900</v>
      </c>
      <c r="C1396">
        <v>16.303999999999998</v>
      </c>
      <c r="D1396" s="2527">
        <v>6.8150000000000004</v>
      </c>
      <c r="E1396" s="2523">
        <f t="shared" si="97"/>
        <v>20.496540945512795</v>
      </c>
      <c r="F1396" s="2261">
        <f t="shared" si="96"/>
        <v>24.033050394191257</v>
      </c>
      <c r="G1396" s="2524">
        <f t="shared" si="98"/>
        <v>27.569559842869719</v>
      </c>
      <c r="H1396" s="2524">
        <f t="shared" si="99"/>
        <v>16.960031496834333</v>
      </c>
      <c r="I1396" s="2524">
        <f t="shared" si="100"/>
        <v>13.423522048155872</v>
      </c>
      <c r="J1396" s="2525">
        <f t="shared" si="91"/>
        <v>4.9423217303822922</v>
      </c>
      <c r="K1396" s="2261">
        <f t="shared" si="101"/>
        <v>5.919604026580453</v>
      </c>
      <c r="L1396" s="2524">
        <f t="shared" si="102"/>
        <v>6.8968863227786139</v>
      </c>
      <c r="M1396" s="2524">
        <f t="shared" si="103"/>
        <v>3.9650394341841317</v>
      </c>
      <c r="N1396" s="2524">
        <f t="shared" si="104"/>
        <v>2.9877571379859713</v>
      </c>
    </row>
    <row r="1397" spans="1:14" ht="15">
      <c r="A1397" s="2218"/>
      <c r="B1397" s="2251">
        <v>44901</v>
      </c>
      <c r="C1397">
        <v>15.825100000000001</v>
      </c>
      <c r="D1397" s="2527">
        <v>6.9333</v>
      </c>
      <c r="E1397" s="2523">
        <f t="shared" si="97"/>
        <v>20.496540945512795</v>
      </c>
      <c r="F1397" s="2261">
        <f t="shared" si="96"/>
        <v>24.033050394191257</v>
      </c>
      <c r="G1397" s="2524">
        <f t="shared" si="98"/>
        <v>27.569559842869719</v>
      </c>
      <c r="H1397" s="2524">
        <f t="shared" si="99"/>
        <v>16.960031496834333</v>
      </c>
      <c r="I1397" s="2524">
        <f t="shared" si="100"/>
        <v>13.423522048155872</v>
      </c>
      <c r="J1397" s="2525">
        <f t="shared" si="91"/>
        <v>4.9423217303822922</v>
      </c>
      <c r="K1397" s="2261">
        <f t="shared" si="101"/>
        <v>5.919604026580453</v>
      </c>
      <c r="L1397" s="2524">
        <f t="shared" si="102"/>
        <v>6.8968863227786139</v>
      </c>
      <c r="M1397" s="2524">
        <f t="shared" si="103"/>
        <v>3.9650394341841317</v>
      </c>
      <c r="N1397" s="2524">
        <f t="shared" si="104"/>
        <v>2.9877571379859713</v>
      </c>
    </row>
    <row r="1398" spans="1:14" ht="15">
      <c r="A1398" s="2218"/>
      <c r="B1398" s="2251">
        <v>44902</v>
      </c>
      <c r="C1398">
        <v>15.9292</v>
      </c>
      <c r="D1398" s="2527">
        <v>7.1840999999999999</v>
      </c>
      <c r="E1398" s="2523">
        <f t="shared" si="97"/>
        <v>20.496540945512795</v>
      </c>
      <c r="F1398" s="2261">
        <f t="shared" si="96"/>
        <v>24.033050394191257</v>
      </c>
      <c r="G1398" s="2524">
        <f t="shared" si="98"/>
        <v>27.569559842869719</v>
      </c>
      <c r="H1398" s="2524">
        <f t="shared" si="99"/>
        <v>16.960031496834333</v>
      </c>
      <c r="I1398" s="2524">
        <f t="shared" si="100"/>
        <v>13.423522048155872</v>
      </c>
      <c r="J1398" s="2525">
        <f t="shared" si="91"/>
        <v>4.9423217303822922</v>
      </c>
      <c r="K1398" s="2261">
        <f t="shared" si="101"/>
        <v>5.919604026580453</v>
      </c>
      <c r="L1398" s="2524">
        <f t="shared" si="102"/>
        <v>6.8968863227786139</v>
      </c>
      <c r="M1398" s="2524">
        <f t="shared" si="103"/>
        <v>3.9650394341841317</v>
      </c>
      <c r="N1398" s="2524">
        <f t="shared" si="104"/>
        <v>2.9877571379859713</v>
      </c>
    </row>
    <row r="1399" spans="1:14" ht="15">
      <c r="A1399" s="2218"/>
      <c r="B1399" s="2251">
        <v>44903</v>
      </c>
      <c r="C1399">
        <v>16.033300000000001</v>
      </c>
      <c r="D1399" s="2527">
        <v>7.0753000000000004</v>
      </c>
      <c r="E1399" s="2523">
        <f t="shared" si="97"/>
        <v>20.496540945512795</v>
      </c>
      <c r="F1399" s="2261">
        <f t="shared" si="96"/>
        <v>24.033050394191257</v>
      </c>
      <c r="G1399" s="2524">
        <f t="shared" si="98"/>
        <v>27.569559842869719</v>
      </c>
      <c r="H1399" s="2524">
        <f t="shared" si="99"/>
        <v>16.960031496834333</v>
      </c>
      <c r="I1399" s="2524">
        <f t="shared" si="100"/>
        <v>13.423522048155872</v>
      </c>
      <c r="J1399" s="2525">
        <f t="shared" si="91"/>
        <v>4.9423217303822922</v>
      </c>
      <c r="K1399" s="2261">
        <f t="shared" si="101"/>
        <v>5.919604026580453</v>
      </c>
      <c r="L1399" s="2524">
        <f t="shared" si="102"/>
        <v>6.8968863227786139</v>
      </c>
      <c r="M1399" s="2524">
        <f t="shared" si="103"/>
        <v>3.9650394341841317</v>
      </c>
      <c r="N1399" s="2524">
        <f t="shared" si="104"/>
        <v>2.9877571379859713</v>
      </c>
    </row>
    <row r="1400" spans="1:14" ht="15">
      <c r="A1400" s="2218"/>
      <c r="B1400" s="2251">
        <v>44904</v>
      </c>
      <c r="C1400">
        <v>16.241499999999998</v>
      </c>
      <c r="D1400" s="2527">
        <v>7.1296999999999997</v>
      </c>
      <c r="E1400" s="2523">
        <f t="shared" si="97"/>
        <v>20.496540945512795</v>
      </c>
      <c r="F1400" s="2261">
        <f t="shared" si="96"/>
        <v>24.033050394191257</v>
      </c>
      <c r="G1400" s="2524">
        <f t="shared" si="98"/>
        <v>27.569559842869719</v>
      </c>
      <c r="H1400" s="2524">
        <f t="shared" si="99"/>
        <v>16.960031496834333</v>
      </c>
      <c r="I1400" s="2524">
        <f t="shared" si="100"/>
        <v>13.423522048155872</v>
      </c>
      <c r="J1400" s="2525">
        <f t="shared" si="91"/>
        <v>4.9423217303822922</v>
      </c>
      <c r="K1400" s="2261">
        <f t="shared" si="101"/>
        <v>5.919604026580453</v>
      </c>
      <c r="L1400" s="2524">
        <f t="shared" si="102"/>
        <v>6.8968863227786139</v>
      </c>
      <c r="M1400" s="2524">
        <f t="shared" si="103"/>
        <v>3.9650394341841317</v>
      </c>
      <c r="N1400" s="2524">
        <f t="shared" si="104"/>
        <v>2.9877571379859713</v>
      </c>
    </row>
    <row r="1401" spans="1:14" ht="15">
      <c r="A1401" s="2218"/>
      <c r="B1401" s="2251">
        <v>44907</v>
      </c>
      <c r="C1401">
        <v>16.033300000000001</v>
      </c>
      <c r="D1401" s="2527">
        <v>7.01</v>
      </c>
      <c r="E1401" s="2523">
        <f t="shared" si="97"/>
        <v>20.496540945512795</v>
      </c>
      <c r="F1401" s="2261">
        <f t="shared" si="96"/>
        <v>24.033050394191257</v>
      </c>
      <c r="G1401" s="2524">
        <f t="shared" si="98"/>
        <v>27.569559842869719</v>
      </c>
      <c r="H1401" s="2524">
        <f t="shared" si="99"/>
        <v>16.960031496834333</v>
      </c>
      <c r="I1401" s="2524">
        <f t="shared" si="100"/>
        <v>13.423522048155872</v>
      </c>
      <c r="J1401" s="2525">
        <f t="shared" si="91"/>
        <v>4.9423217303822922</v>
      </c>
      <c r="K1401" s="2261">
        <f t="shared" si="101"/>
        <v>5.919604026580453</v>
      </c>
      <c r="L1401" s="2524">
        <f t="shared" si="102"/>
        <v>6.8968863227786139</v>
      </c>
      <c r="M1401" s="2524">
        <f t="shared" si="103"/>
        <v>3.9650394341841317</v>
      </c>
      <c r="N1401" s="2524">
        <f t="shared" si="104"/>
        <v>2.9877571379859713</v>
      </c>
    </row>
    <row r="1402" spans="1:14" ht="15">
      <c r="A1402" s="2218"/>
      <c r="B1402" s="2251">
        <v>44908</v>
      </c>
      <c r="C1402">
        <v>16.0749</v>
      </c>
      <c r="D1402" s="2527">
        <v>6.9664000000000001</v>
      </c>
      <c r="E1402" s="2523">
        <f t="shared" si="97"/>
        <v>20.496540945512795</v>
      </c>
      <c r="F1402" s="2261">
        <f t="shared" si="96"/>
        <v>24.033050394191257</v>
      </c>
      <c r="G1402" s="2524">
        <f t="shared" si="98"/>
        <v>27.569559842869719</v>
      </c>
      <c r="H1402" s="2524">
        <f t="shared" si="99"/>
        <v>16.960031496834333</v>
      </c>
      <c r="I1402" s="2524">
        <f t="shared" si="100"/>
        <v>13.423522048155872</v>
      </c>
      <c r="J1402" s="2525">
        <f t="shared" si="91"/>
        <v>4.9423217303822922</v>
      </c>
      <c r="K1402" s="2261">
        <f t="shared" si="101"/>
        <v>5.919604026580453</v>
      </c>
      <c r="L1402" s="2524">
        <f t="shared" si="102"/>
        <v>6.8968863227786139</v>
      </c>
      <c r="M1402" s="2524">
        <f t="shared" si="103"/>
        <v>3.9650394341841317</v>
      </c>
      <c r="N1402" s="2524">
        <f t="shared" si="104"/>
        <v>2.9877571379859713</v>
      </c>
    </row>
    <row r="1403" spans="1:14" ht="15">
      <c r="A1403" s="2218"/>
      <c r="B1403" s="2251">
        <v>44909</v>
      </c>
      <c r="C1403">
        <v>15.887499999999999</v>
      </c>
      <c r="D1403" s="2527">
        <v>7.1569000000000003</v>
      </c>
      <c r="E1403" s="2523">
        <f t="shared" si="97"/>
        <v>20.496540945512795</v>
      </c>
      <c r="F1403" s="2261">
        <f t="shared" si="96"/>
        <v>24.033050394191257</v>
      </c>
      <c r="G1403" s="2524">
        <f t="shared" si="98"/>
        <v>27.569559842869719</v>
      </c>
      <c r="H1403" s="2524">
        <f t="shared" si="99"/>
        <v>16.960031496834333</v>
      </c>
      <c r="I1403" s="2524">
        <f t="shared" si="100"/>
        <v>13.423522048155872</v>
      </c>
      <c r="J1403" s="2525">
        <f t="shared" si="91"/>
        <v>4.9423217303822922</v>
      </c>
      <c r="K1403" s="2261">
        <f t="shared" si="101"/>
        <v>5.919604026580453</v>
      </c>
      <c r="L1403" s="2524">
        <f t="shared" si="102"/>
        <v>6.8968863227786139</v>
      </c>
      <c r="M1403" s="2524">
        <f t="shared" si="103"/>
        <v>3.9650394341841317</v>
      </c>
      <c r="N1403" s="2524">
        <f t="shared" si="104"/>
        <v>2.9877571379859713</v>
      </c>
    </row>
    <row r="1404" spans="1:14" ht="15">
      <c r="A1404" s="2218"/>
      <c r="B1404" s="2251">
        <v>44910</v>
      </c>
      <c r="C1404">
        <v>16.178999999999998</v>
      </c>
      <c r="D1404" s="2527">
        <v>7.2549000000000001</v>
      </c>
      <c r="E1404" s="2523">
        <f t="shared" si="97"/>
        <v>20.496540945512795</v>
      </c>
      <c r="F1404" s="2261">
        <f t="shared" si="96"/>
        <v>24.033050394191257</v>
      </c>
      <c r="G1404" s="2524">
        <f t="shared" si="98"/>
        <v>27.569559842869719</v>
      </c>
      <c r="H1404" s="2524">
        <f t="shared" si="99"/>
        <v>16.960031496834333</v>
      </c>
      <c r="I1404" s="2524">
        <f t="shared" si="100"/>
        <v>13.423522048155872</v>
      </c>
      <c r="J1404" s="2525">
        <f t="shared" si="91"/>
        <v>4.9423217303822922</v>
      </c>
      <c r="K1404" s="2261">
        <f t="shared" si="101"/>
        <v>5.919604026580453</v>
      </c>
      <c r="L1404" s="2524">
        <f t="shared" si="102"/>
        <v>6.8968863227786139</v>
      </c>
      <c r="M1404" s="2524">
        <f t="shared" si="103"/>
        <v>3.9650394341841317</v>
      </c>
      <c r="N1404" s="2524">
        <f t="shared" si="104"/>
        <v>2.9877571379859713</v>
      </c>
    </row>
    <row r="1405" spans="1:14" ht="15">
      <c r="A1405" s="2218"/>
      <c r="B1405" s="2251">
        <v>44911</v>
      </c>
      <c r="C1405">
        <v>16.220700000000001</v>
      </c>
      <c r="D1405" s="2527">
        <v>7.4073000000000002</v>
      </c>
      <c r="E1405" s="2523">
        <f t="shared" si="97"/>
        <v>20.496540945512795</v>
      </c>
      <c r="F1405" s="2261">
        <f t="shared" ref="F1405:F1468" si="105">I$953+F$953</f>
        <v>24.033050394191257</v>
      </c>
      <c r="G1405" s="2524">
        <f t="shared" si="98"/>
        <v>27.569559842869719</v>
      </c>
      <c r="H1405" s="2524">
        <f t="shared" si="99"/>
        <v>16.960031496834333</v>
      </c>
      <c r="I1405" s="2524">
        <f t="shared" si="100"/>
        <v>13.423522048155872</v>
      </c>
      <c r="J1405" s="2525">
        <f t="shared" si="91"/>
        <v>4.9423217303822922</v>
      </c>
      <c r="K1405" s="2261">
        <f t="shared" si="101"/>
        <v>5.919604026580453</v>
      </c>
      <c r="L1405" s="2524">
        <f t="shared" si="102"/>
        <v>6.8968863227786139</v>
      </c>
      <c r="M1405" s="2524">
        <f t="shared" si="103"/>
        <v>3.9650394341841317</v>
      </c>
      <c r="N1405" s="2524">
        <f t="shared" si="104"/>
        <v>2.9877571379859713</v>
      </c>
    </row>
    <row r="1406" spans="1:14" ht="15">
      <c r="A1406" s="2218"/>
      <c r="B1406" s="2251">
        <v>44914</v>
      </c>
      <c r="C1406">
        <v>15.95</v>
      </c>
      <c r="D1406" s="2527">
        <v>7.1896000000000004</v>
      </c>
      <c r="E1406" s="2523">
        <f t="shared" ref="E1406:E1469" si="106">I$953</f>
        <v>20.496540945512795</v>
      </c>
      <c r="F1406" s="2261">
        <f t="shared" si="105"/>
        <v>24.033050394191257</v>
      </c>
      <c r="G1406" s="2524">
        <f t="shared" ref="G1406:G1469" si="107">I$953+F$953+F$953</f>
        <v>27.569559842869719</v>
      </c>
      <c r="H1406" s="2524">
        <f t="shared" ref="H1406:H1469" si="108">I$953-F$953</f>
        <v>16.960031496834333</v>
      </c>
      <c r="I1406" s="2524">
        <f t="shared" ref="I1406:I1469" si="109">I$953-F$953-F$953</f>
        <v>13.423522048155872</v>
      </c>
      <c r="J1406" s="2525">
        <f t="shared" si="91"/>
        <v>4.9423217303822922</v>
      </c>
      <c r="K1406" s="2261">
        <f t="shared" si="101"/>
        <v>5.919604026580453</v>
      </c>
      <c r="L1406" s="2524">
        <f t="shared" si="102"/>
        <v>6.8968863227786139</v>
      </c>
      <c r="M1406" s="2524">
        <f t="shared" si="103"/>
        <v>3.9650394341841317</v>
      </c>
      <c r="N1406" s="2524">
        <f t="shared" si="104"/>
        <v>2.9877571379859713</v>
      </c>
    </row>
    <row r="1407" spans="1:14" ht="15">
      <c r="A1407" s="2218"/>
      <c r="B1407" s="2251">
        <v>44915</v>
      </c>
      <c r="C1407">
        <v>15.95</v>
      </c>
      <c r="D1407" s="2527">
        <v>7.0753000000000004</v>
      </c>
      <c r="E1407" s="2523">
        <f t="shared" si="106"/>
        <v>20.496540945512795</v>
      </c>
      <c r="F1407" s="2261">
        <f t="shared" si="105"/>
        <v>24.033050394191257</v>
      </c>
      <c r="G1407" s="2524">
        <f t="shared" si="107"/>
        <v>27.569559842869719</v>
      </c>
      <c r="H1407" s="2524">
        <f t="shared" si="108"/>
        <v>16.960031496834333</v>
      </c>
      <c r="I1407" s="2524">
        <f t="shared" si="109"/>
        <v>13.423522048155872</v>
      </c>
      <c r="J1407" s="2525">
        <f t="shared" si="91"/>
        <v>4.9423217303822922</v>
      </c>
      <c r="K1407" s="2261">
        <f t="shared" si="101"/>
        <v>5.919604026580453</v>
      </c>
      <c r="L1407" s="2524">
        <f t="shared" si="102"/>
        <v>6.8968863227786139</v>
      </c>
      <c r="M1407" s="2524">
        <f t="shared" si="103"/>
        <v>3.9650394341841317</v>
      </c>
      <c r="N1407" s="2524">
        <f t="shared" si="104"/>
        <v>2.9877571379859713</v>
      </c>
    </row>
    <row r="1408" spans="1:14" ht="15">
      <c r="A1408" s="2218"/>
      <c r="B1408" s="2251">
        <v>44916</v>
      </c>
      <c r="C1408">
        <v>16.0749</v>
      </c>
      <c r="D1408" s="2527">
        <v>7.1731999999999996</v>
      </c>
      <c r="E1408" s="2523">
        <f t="shared" si="106"/>
        <v>20.496540945512795</v>
      </c>
      <c r="F1408" s="2261">
        <f t="shared" si="105"/>
        <v>24.033050394191257</v>
      </c>
      <c r="G1408" s="2524">
        <f t="shared" si="107"/>
        <v>27.569559842869719</v>
      </c>
      <c r="H1408" s="2524">
        <f t="shared" si="108"/>
        <v>16.960031496834333</v>
      </c>
      <c r="I1408" s="2524">
        <f t="shared" si="109"/>
        <v>13.423522048155872</v>
      </c>
      <c r="J1408" s="2525">
        <f t="shared" si="91"/>
        <v>4.9423217303822922</v>
      </c>
      <c r="K1408" s="2261">
        <f t="shared" si="101"/>
        <v>5.919604026580453</v>
      </c>
      <c r="L1408" s="2524">
        <f t="shared" si="102"/>
        <v>6.8968863227786139</v>
      </c>
      <c r="M1408" s="2524">
        <f t="shared" si="103"/>
        <v>3.9650394341841317</v>
      </c>
      <c r="N1408" s="2524">
        <f t="shared" si="104"/>
        <v>2.9877571379859713</v>
      </c>
    </row>
    <row r="1409" spans="1:14" ht="15">
      <c r="A1409" s="2218"/>
      <c r="B1409" s="2251">
        <v>44917</v>
      </c>
      <c r="C1409">
        <v>16.0749</v>
      </c>
      <c r="D1409" s="2527">
        <v>7.2276999999999996</v>
      </c>
      <c r="E1409" s="2523">
        <f t="shared" si="106"/>
        <v>20.496540945512795</v>
      </c>
      <c r="F1409" s="2261">
        <f t="shared" si="105"/>
        <v>24.033050394191257</v>
      </c>
      <c r="G1409" s="2524">
        <f t="shared" si="107"/>
        <v>27.569559842869719</v>
      </c>
      <c r="H1409" s="2524">
        <f t="shared" si="108"/>
        <v>16.960031496834333</v>
      </c>
      <c r="I1409" s="2524">
        <f t="shared" si="109"/>
        <v>13.423522048155872</v>
      </c>
      <c r="J1409" s="2525">
        <f t="shared" si="91"/>
        <v>4.9423217303822922</v>
      </c>
      <c r="K1409" s="2261">
        <f t="shared" si="101"/>
        <v>5.919604026580453</v>
      </c>
      <c r="L1409" s="2524">
        <f t="shared" si="102"/>
        <v>6.8968863227786139</v>
      </c>
      <c r="M1409" s="2524">
        <f t="shared" si="103"/>
        <v>3.9650394341841317</v>
      </c>
      <c r="N1409" s="2524">
        <f t="shared" si="104"/>
        <v>2.9877571379859713</v>
      </c>
    </row>
    <row r="1410" spans="1:14" ht="15">
      <c r="A1410" s="2218"/>
      <c r="B1410" s="2251">
        <v>44918</v>
      </c>
      <c r="C1410">
        <v>16.241499999999998</v>
      </c>
      <c r="D1410" s="2527">
        <v>6.9339000000000004</v>
      </c>
      <c r="E1410" s="2523">
        <f t="shared" si="106"/>
        <v>20.496540945512795</v>
      </c>
      <c r="F1410" s="2261">
        <f t="shared" si="105"/>
        <v>24.033050394191257</v>
      </c>
      <c r="G1410" s="2524">
        <f t="shared" si="107"/>
        <v>27.569559842869719</v>
      </c>
      <c r="H1410" s="2524">
        <f t="shared" si="108"/>
        <v>16.960031496834333</v>
      </c>
      <c r="I1410" s="2524">
        <f t="shared" si="109"/>
        <v>13.423522048155872</v>
      </c>
      <c r="J1410" s="2525">
        <f t="shared" si="91"/>
        <v>4.9423217303822922</v>
      </c>
      <c r="K1410" s="2261">
        <f t="shared" si="101"/>
        <v>5.919604026580453</v>
      </c>
      <c r="L1410" s="2524">
        <f t="shared" si="102"/>
        <v>6.8968863227786139</v>
      </c>
      <c r="M1410" s="2524">
        <f t="shared" si="103"/>
        <v>3.9650394341841317</v>
      </c>
      <c r="N1410" s="2524">
        <f t="shared" si="104"/>
        <v>2.9877571379859713</v>
      </c>
    </row>
    <row r="1411" spans="1:14" ht="15">
      <c r="A1411" s="2218"/>
      <c r="B1411" s="2251">
        <v>44921</v>
      </c>
      <c r="C1411">
        <v>15.9084</v>
      </c>
      <c r="D1411" s="2527">
        <v>6.8330000000000002</v>
      </c>
      <c r="E1411" s="2523">
        <f t="shared" si="106"/>
        <v>20.496540945512795</v>
      </c>
      <c r="F1411" s="2261">
        <f t="shared" si="105"/>
        <v>24.033050394191257</v>
      </c>
      <c r="G1411" s="2524">
        <f t="shared" si="107"/>
        <v>27.569559842869719</v>
      </c>
      <c r="H1411" s="2524">
        <f t="shared" si="108"/>
        <v>16.960031496834333</v>
      </c>
      <c r="I1411" s="2524">
        <f t="shared" si="109"/>
        <v>13.423522048155872</v>
      </c>
      <c r="J1411" s="2525">
        <f t="shared" si="91"/>
        <v>4.9423217303822922</v>
      </c>
      <c r="K1411" s="2261">
        <f t="shared" si="101"/>
        <v>5.919604026580453</v>
      </c>
      <c r="L1411" s="2524">
        <f t="shared" si="102"/>
        <v>6.8968863227786139</v>
      </c>
      <c r="M1411" s="2524">
        <f t="shared" si="103"/>
        <v>3.9650394341841317</v>
      </c>
      <c r="N1411" s="2524">
        <f t="shared" si="104"/>
        <v>2.9877571379859713</v>
      </c>
    </row>
    <row r="1412" spans="1:14" ht="15">
      <c r="A1412" s="2218"/>
      <c r="B1412" s="2251">
        <v>44922</v>
      </c>
      <c r="C1412">
        <v>15.9292</v>
      </c>
      <c r="D1412" s="2527">
        <v>6.8010999999999999</v>
      </c>
      <c r="E1412" s="2523">
        <f t="shared" si="106"/>
        <v>20.496540945512795</v>
      </c>
      <c r="F1412" s="2261">
        <f t="shared" si="105"/>
        <v>24.033050394191257</v>
      </c>
      <c r="G1412" s="2524">
        <f t="shared" si="107"/>
        <v>27.569559842869719</v>
      </c>
      <c r="H1412" s="2524">
        <f t="shared" si="108"/>
        <v>16.960031496834333</v>
      </c>
      <c r="I1412" s="2524">
        <f t="shared" si="109"/>
        <v>13.423522048155872</v>
      </c>
      <c r="J1412" s="2525">
        <f t="shared" si="91"/>
        <v>4.9423217303822922</v>
      </c>
      <c r="K1412" s="2261">
        <f t="shared" si="101"/>
        <v>5.919604026580453</v>
      </c>
      <c r="L1412" s="2524">
        <f t="shared" si="102"/>
        <v>6.8968863227786139</v>
      </c>
      <c r="M1412" s="2524">
        <f t="shared" si="103"/>
        <v>3.9650394341841317</v>
      </c>
      <c r="N1412" s="2524">
        <f t="shared" si="104"/>
        <v>2.9877571379859713</v>
      </c>
    </row>
    <row r="1413" spans="1:14" ht="15">
      <c r="A1413" s="2218"/>
      <c r="B1413" s="2251">
        <v>44923</v>
      </c>
      <c r="C1413">
        <v>15.970800000000001</v>
      </c>
      <c r="D1413" s="2527">
        <v>6.9604999999999997</v>
      </c>
      <c r="E1413" s="2523">
        <f t="shared" si="106"/>
        <v>20.496540945512795</v>
      </c>
      <c r="F1413" s="2261">
        <f t="shared" si="105"/>
        <v>24.033050394191257</v>
      </c>
      <c r="G1413" s="2524">
        <f t="shared" si="107"/>
        <v>27.569559842869719</v>
      </c>
      <c r="H1413" s="2524">
        <f t="shared" si="108"/>
        <v>16.960031496834333</v>
      </c>
      <c r="I1413" s="2524">
        <f t="shared" si="109"/>
        <v>13.423522048155872</v>
      </c>
      <c r="J1413" s="2525">
        <f t="shared" si="91"/>
        <v>4.9423217303822922</v>
      </c>
      <c r="K1413" s="2261">
        <f t="shared" si="101"/>
        <v>5.919604026580453</v>
      </c>
      <c r="L1413" s="2524">
        <f t="shared" si="102"/>
        <v>6.8968863227786139</v>
      </c>
      <c r="M1413" s="2524">
        <f t="shared" si="103"/>
        <v>3.9650394341841317</v>
      </c>
      <c r="N1413" s="2524">
        <f t="shared" si="104"/>
        <v>2.9877571379859713</v>
      </c>
    </row>
    <row r="1414" spans="1:14" ht="15">
      <c r="A1414" s="2218"/>
      <c r="B1414" s="2251">
        <v>44924</v>
      </c>
      <c r="C1414">
        <v>15.8667</v>
      </c>
      <c r="D1414" s="2527">
        <v>7.2154999999999996</v>
      </c>
      <c r="E1414" s="2523">
        <f t="shared" si="106"/>
        <v>20.496540945512795</v>
      </c>
      <c r="F1414" s="2261">
        <f t="shared" si="105"/>
        <v>24.033050394191257</v>
      </c>
      <c r="G1414" s="2524">
        <f t="shared" si="107"/>
        <v>27.569559842869719</v>
      </c>
      <c r="H1414" s="2524">
        <f t="shared" si="108"/>
        <v>16.960031496834333</v>
      </c>
      <c r="I1414" s="2524">
        <f t="shared" si="109"/>
        <v>13.423522048155872</v>
      </c>
      <c r="J1414" s="2525">
        <f t="shared" si="91"/>
        <v>4.9423217303822922</v>
      </c>
      <c r="K1414" s="2261">
        <f t="shared" si="101"/>
        <v>5.919604026580453</v>
      </c>
      <c r="L1414" s="2524">
        <f t="shared" si="102"/>
        <v>6.8968863227786139</v>
      </c>
      <c r="M1414" s="2524">
        <f t="shared" si="103"/>
        <v>3.9650394341841317</v>
      </c>
      <c r="N1414" s="2524">
        <f t="shared" si="104"/>
        <v>2.9877571379859713</v>
      </c>
    </row>
    <row r="1415" spans="1:14" ht="15">
      <c r="A1415" s="2218"/>
      <c r="B1415" s="2251">
        <v>44925</v>
      </c>
      <c r="C1415">
        <v>15.860099999999999</v>
      </c>
      <c r="D1415" s="2527">
        <v>7.3696000000000002</v>
      </c>
      <c r="E1415" s="2523">
        <f t="shared" si="106"/>
        <v>20.496540945512795</v>
      </c>
      <c r="F1415" s="2261">
        <f t="shared" si="105"/>
        <v>24.033050394191257</v>
      </c>
      <c r="G1415" s="2524">
        <f t="shared" si="107"/>
        <v>27.569559842869719</v>
      </c>
      <c r="H1415" s="2524">
        <f t="shared" si="108"/>
        <v>16.960031496834333</v>
      </c>
      <c r="I1415" s="2524">
        <f t="shared" si="109"/>
        <v>13.423522048155872</v>
      </c>
      <c r="J1415" s="2525">
        <f t="shared" si="91"/>
        <v>4.9423217303822922</v>
      </c>
      <c r="K1415" s="2261">
        <f t="shared" si="101"/>
        <v>5.919604026580453</v>
      </c>
      <c r="L1415" s="2524">
        <f t="shared" si="102"/>
        <v>6.8968863227786139</v>
      </c>
      <c r="M1415" s="2524">
        <f t="shared" si="103"/>
        <v>3.9650394341841317</v>
      </c>
      <c r="N1415" s="2524">
        <f t="shared" si="104"/>
        <v>2.9877571379859713</v>
      </c>
    </row>
    <row r="1416" spans="1:14" ht="15">
      <c r="A1416" s="2218"/>
      <c r="B1416" s="2251">
        <v>44929</v>
      </c>
      <c r="C1416">
        <v>16.499400000000001</v>
      </c>
      <c r="D1416" s="2527">
        <v>7.4175000000000004</v>
      </c>
      <c r="E1416" s="2523">
        <f t="shared" si="106"/>
        <v>20.496540945512795</v>
      </c>
      <c r="F1416" s="2261">
        <f t="shared" si="105"/>
        <v>24.033050394191257</v>
      </c>
      <c r="G1416" s="2524">
        <f t="shared" si="107"/>
        <v>27.569559842869719</v>
      </c>
      <c r="H1416" s="2524">
        <f t="shared" si="108"/>
        <v>16.960031496834333</v>
      </c>
      <c r="I1416" s="2524">
        <f t="shared" si="109"/>
        <v>13.423522048155872</v>
      </c>
      <c r="J1416" s="2525">
        <f t="shared" si="91"/>
        <v>4.9423217303822922</v>
      </c>
      <c r="K1416" s="2261">
        <f t="shared" si="101"/>
        <v>5.919604026580453</v>
      </c>
      <c r="L1416" s="2524">
        <f t="shared" si="102"/>
        <v>6.8968863227786139</v>
      </c>
      <c r="M1416" s="2524">
        <f t="shared" si="103"/>
        <v>3.9650394341841317</v>
      </c>
      <c r="N1416" s="2524">
        <f t="shared" si="104"/>
        <v>2.9877571379859713</v>
      </c>
    </row>
    <row r="1417" spans="1:14" ht="15">
      <c r="A1417" s="2218"/>
      <c r="B1417" s="2251">
        <v>44930</v>
      </c>
      <c r="C1417">
        <v>16.499400000000001</v>
      </c>
      <c r="D1417" s="2527">
        <v>7.3059000000000003</v>
      </c>
      <c r="E1417" s="2523">
        <f t="shared" si="106"/>
        <v>20.496540945512795</v>
      </c>
      <c r="F1417" s="2261">
        <f t="shared" si="105"/>
        <v>24.033050394191257</v>
      </c>
      <c r="G1417" s="2524">
        <f t="shared" si="107"/>
        <v>27.569559842869719</v>
      </c>
      <c r="H1417" s="2524">
        <f t="shared" si="108"/>
        <v>16.960031496834333</v>
      </c>
      <c r="I1417" s="2524">
        <f t="shared" si="109"/>
        <v>13.423522048155872</v>
      </c>
      <c r="J1417" s="2525">
        <f t="shared" si="91"/>
        <v>4.9423217303822922</v>
      </c>
      <c r="K1417" s="2261">
        <f t="shared" si="101"/>
        <v>5.919604026580453</v>
      </c>
      <c r="L1417" s="2524">
        <f t="shared" si="102"/>
        <v>6.8968863227786139</v>
      </c>
      <c r="M1417" s="2524">
        <f t="shared" si="103"/>
        <v>3.9650394341841317</v>
      </c>
      <c r="N1417" s="2524">
        <f t="shared" si="104"/>
        <v>2.9877571379859713</v>
      </c>
    </row>
    <row r="1418" spans="1:14" ht="15">
      <c r="A1418" s="2218"/>
      <c r="B1418" s="2251">
        <v>44931</v>
      </c>
      <c r="C1418">
        <v>16.623200000000001</v>
      </c>
      <c r="D1418" s="2527">
        <v>7.1199000000000003</v>
      </c>
      <c r="E1418" s="2523">
        <f t="shared" si="106"/>
        <v>20.496540945512795</v>
      </c>
      <c r="F1418" s="2261">
        <f t="shared" si="105"/>
        <v>24.033050394191257</v>
      </c>
      <c r="G1418" s="2524">
        <f t="shared" si="107"/>
        <v>27.569559842869719</v>
      </c>
      <c r="H1418" s="2524">
        <f t="shared" si="108"/>
        <v>16.960031496834333</v>
      </c>
      <c r="I1418" s="2524">
        <f t="shared" si="109"/>
        <v>13.423522048155872</v>
      </c>
      <c r="J1418" s="2525">
        <f t="shared" si="91"/>
        <v>4.9423217303822922</v>
      </c>
      <c r="K1418" s="2261">
        <f t="shared" si="101"/>
        <v>5.919604026580453</v>
      </c>
      <c r="L1418" s="2524">
        <f t="shared" si="102"/>
        <v>6.8968863227786139</v>
      </c>
      <c r="M1418" s="2524">
        <f t="shared" si="103"/>
        <v>3.9650394341841317</v>
      </c>
      <c r="N1418" s="2524">
        <f t="shared" si="104"/>
        <v>2.9877571379859713</v>
      </c>
    </row>
    <row r="1419" spans="1:14" ht="15">
      <c r="A1419" s="2218"/>
      <c r="B1419" s="2251">
        <v>44932</v>
      </c>
      <c r="C1419">
        <v>16.561299999999999</v>
      </c>
      <c r="D1419" s="2527">
        <v>7.0667999999999997</v>
      </c>
      <c r="E1419" s="2523">
        <f t="shared" si="106"/>
        <v>20.496540945512795</v>
      </c>
      <c r="F1419" s="2261">
        <f t="shared" si="105"/>
        <v>24.033050394191257</v>
      </c>
      <c r="G1419" s="2524">
        <f t="shared" si="107"/>
        <v>27.569559842869719</v>
      </c>
      <c r="H1419" s="2524">
        <f t="shared" si="108"/>
        <v>16.960031496834333</v>
      </c>
      <c r="I1419" s="2524">
        <f t="shared" si="109"/>
        <v>13.423522048155872</v>
      </c>
      <c r="J1419" s="2525">
        <f t="shared" si="91"/>
        <v>4.9423217303822922</v>
      </c>
      <c r="K1419" s="2261">
        <f t="shared" si="101"/>
        <v>5.919604026580453</v>
      </c>
      <c r="L1419" s="2524">
        <f t="shared" si="102"/>
        <v>6.8968863227786139</v>
      </c>
      <c r="M1419" s="2524">
        <f t="shared" si="103"/>
        <v>3.9650394341841317</v>
      </c>
      <c r="N1419" s="2524">
        <f t="shared" si="104"/>
        <v>2.9877571379859713</v>
      </c>
    </row>
    <row r="1420" spans="1:14" ht="15">
      <c r="A1420" s="2218"/>
      <c r="B1420" s="2251">
        <v>44935</v>
      </c>
      <c r="C1420">
        <v>16.561299999999999</v>
      </c>
      <c r="D1420" s="2527">
        <v>7.1093000000000002</v>
      </c>
      <c r="E1420" s="2523">
        <f t="shared" si="106"/>
        <v>20.496540945512795</v>
      </c>
      <c r="F1420" s="2261">
        <f t="shared" si="105"/>
        <v>24.033050394191257</v>
      </c>
      <c r="G1420" s="2524">
        <f t="shared" si="107"/>
        <v>27.569559842869719</v>
      </c>
      <c r="H1420" s="2524">
        <f t="shared" si="108"/>
        <v>16.960031496834333</v>
      </c>
      <c r="I1420" s="2524">
        <f t="shared" si="109"/>
        <v>13.423522048155872</v>
      </c>
      <c r="J1420" s="2525">
        <f t="shared" si="91"/>
        <v>4.9423217303822922</v>
      </c>
      <c r="K1420" s="2261">
        <f t="shared" si="101"/>
        <v>5.919604026580453</v>
      </c>
      <c r="L1420" s="2524">
        <f t="shared" si="102"/>
        <v>6.8968863227786139</v>
      </c>
      <c r="M1420" s="2524">
        <f t="shared" si="103"/>
        <v>3.9650394341841317</v>
      </c>
      <c r="N1420" s="2524">
        <f t="shared" si="104"/>
        <v>2.9877571379859713</v>
      </c>
    </row>
    <row r="1421" spans="1:14" ht="15">
      <c r="A1421" s="2218"/>
      <c r="B1421" s="2251">
        <v>44936</v>
      </c>
      <c r="C1421">
        <v>16.581900000000001</v>
      </c>
      <c r="D1421" s="2527">
        <v>7.0507999999999997</v>
      </c>
      <c r="E1421" s="2523">
        <f t="shared" si="106"/>
        <v>20.496540945512795</v>
      </c>
      <c r="F1421" s="2261">
        <f t="shared" si="105"/>
        <v>24.033050394191257</v>
      </c>
      <c r="G1421" s="2524">
        <f t="shared" si="107"/>
        <v>27.569559842869719</v>
      </c>
      <c r="H1421" s="2524">
        <f t="shared" si="108"/>
        <v>16.960031496834333</v>
      </c>
      <c r="I1421" s="2524">
        <f t="shared" si="109"/>
        <v>13.423522048155872</v>
      </c>
      <c r="J1421" s="2525">
        <f t="shared" si="91"/>
        <v>4.9423217303822922</v>
      </c>
      <c r="K1421" s="2261">
        <f t="shared" si="101"/>
        <v>5.919604026580453</v>
      </c>
      <c r="L1421" s="2524">
        <f t="shared" si="102"/>
        <v>6.8968863227786139</v>
      </c>
      <c r="M1421" s="2524">
        <f t="shared" si="103"/>
        <v>3.9650394341841317</v>
      </c>
      <c r="N1421" s="2524">
        <f t="shared" si="104"/>
        <v>2.9877571379859713</v>
      </c>
    </row>
    <row r="1422" spans="1:14" ht="15">
      <c r="A1422" s="2218"/>
      <c r="B1422" s="2251">
        <v>44937</v>
      </c>
      <c r="C1422">
        <v>16.685099999999998</v>
      </c>
      <c r="D1422" s="2527">
        <v>7.1199000000000003</v>
      </c>
      <c r="E1422" s="2523">
        <f t="shared" si="106"/>
        <v>20.496540945512795</v>
      </c>
      <c r="F1422" s="2261">
        <f t="shared" si="105"/>
        <v>24.033050394191257</v>
      </c>
      <c r="G1422" s="2524">
        <f t="shared" si="107"/>
        <v>27.569559842869719</v>
      </c>
      <c r="H1422" s="2524">
        <f t="shared" si="108"/>
        <v>16.960031496834333</v>
      </c>
      <c r="I1422" s="2524">
        <f t="shared" si="109"/>
        <v>13.423522048155872</v>
      </c>
      <c r="J1422" s="2525">
        <f t="shared" si="91"/>
        <v>4.9423217303822922</v>
      </c>
      <c r="K1422" s="2261">
        <f t="shared" si="101"/>
        <v>5.919604026580453</v>
      </c>
      <c r="L1422" s="2524">
        <f t="shared" si="102"/>
        <v>6.8968863227786139</v>
      </c>
      <c r="M1422" s="2524">
        <f t="shared" si="103"/>
        <v>3.9650394341841317</v>
      </c>
      <c r="N1422" s="2524">
        <f t="shared" si="104"/>
        <v>2.9877571379859713</v>
      </c>
    </row>
    <row r="1423" spans="1:14" ht="15">
      <c r="A1423" s="2218"/>
      <c r="B1423" s="2251">
        <v>44938</v>
      </c>
      <c r="C1423">
        <v>16.643799999999999</v>
      </c>
      <c r="D1423" s="2527">
        <v>7.0083000000000002</v>
      </c>
      <c r="E1423" s="2523">
        <f t="shared" si="106"/>
        <v>20.496540945512795</v>
      </c>
      <c r="F1423" s="2261">
        <f t="shared" si="105"/>
        <v>24.033050394191257</v>
      </c>
      <c r="G1423" s="2524">
        <f t="shared" si="107"/>
        <v>27.569559842869719</v>
      </c>
      <c r="H1423" s="2524">
        <f t="shared" si="108"/>
        <v>16.960031496834333</v>
      </c>
      <c r="I1423" s="2524">
        <f t="shared" si="109"/>
        <v>13.423522048155872</v>
      </c>
      <c r="J1423" s="2525">
        <f t="shared" si="91"/>
        <v>4.9423217303822922</v>
      </c>
      <c r="K1423" s="2261">
        <f t="shared" si="101"/>
        <v>5.919604026580453</v>
      </c>
      <c r="L1423" s="2524">
        <f t="shared" si="102"/>
        <v>6.8968863227786139</v>
      </c>
      <c r="M1423" s="2524">
        <f t="shared" si="103"/>
        <v>3.9650394341841317</v>
      </c>
      <c r="N1423" s="2524">
        <f t="shared" si="104"/>
        <v>2.9877571379859713</v>
      </c>
    </row>
    <row r="1424" spans="1:14" ht="15">
      <c r="A1424" s="2218"/>
      <c r="B1424" s="2251">
        <v>44939</v>
      </c>
      <c r="C1424">
        <v>16.499400000000001</v>
      </c>
      <c r="D1424" s="2527">
        <v>6.7957999999999998</v>
      </c>
      <c r="E1424" s="2523">
        <f t="shared" si="106"/>
        <v>20.496540945512795</v>
      </c>
      <c r="F1424" s="2261">
        <f t="shared" si="105"/>
        <v>24.033050394191257</v>
      </c>
      <c r="G1424" s="2524">
        <f t="shared" si="107"/>
        <v>27.569559842869719</v>
      </c>
      <c r="H1424" s="2524">
        <f t="shared" si="108"/>
        <v>16.960031496834333</v>
      </c>
      <c r="I1424" s="2524">
        <f t="shared" si="109"/>
        <v>13.423522048155872</v>
      </c>
      <c r="J1424" s="2525">
        <f t="shared" si="91"/>
        <v>4.9423217303822922</v>
      </c>
      <c r="K1424" s="2261">
        <f t="shared" si="101"/>
        <v>5.919604026580453</v>
      </c>
      <c r="L1424" s="2524">
        <f t="shared" si="102"/>
        <v>6.8968863227786139</v>
      </c>
      <c r="M1424" s="2524">
        <f t="shared" si="103"/>
        <v>3.9650394341841317</v>
      </c>
      <c r="N1424" s="2524">
        <f t="shared" si="104"/>
        <v>2.9877571379859713</v>
      </c>
    </row>
    <row r="1425" spans="1:14" ht="15">
      <c r="A1425" s="2218"/>
      <c r="B1425" s="2251">
        <v>44942</v>
      </c>
      <c r="C1425">
        <v>16.664400000000001</v>
      </c>
      <c r="D1425" s="2527">
        <v>6.6947999999999999</v>
      </c>
      <c r="E1425" s="2523">
        <f t="shared" si="106"/>
        <v>20.496540945512795</v>
      </c>
      <c r="F1425" s="2261">
        <f t="shared" si="105"/>
        <v>24.033050394191257</v>
      </c>
      <c r="G1425" s="2524">
        <f t="shared" si="107"/>
        <v>27.569559842869719</v>
      </c>
      <c r="H1425" s="2524">
        <f t="shared" si="108"/>
        <v>16.960031496834333</v>
      </c>
      <c r="I1425" s="2524">
        <f t="shared" si="109"/>
        <v>13.423522048155872</v>
      </c>
      <c r="J1425" s="2525">
        <f t="shared" si="91"/>
        <v>4.9423217303822922</v>
      </c>
      <c r="K1425" s="2261">
        <f t="shared" si="101"/>
        <v>5.919604026580453</v>
      </c>
      <c r="L1425" s="2524">
        <f t="shared" si="102"/>
        <v>6.8968863227786139</v>
      </c>
      <c r="M1425" s="2524">
        <f t="shared" si="103"/>
        <v>3.9650394341841317</v>
      </c>
      <c r="N1425" s="2524">
        <f t="shared" si="104"/>
        <v>2.9877571379859713</v>
      </c>
    </row>
    <row r="1426" spans="1:14" ht="15">
      <c r="A1426" s="2218"/>
      <c r="B1426" s="2251">
        <v>44943</v>
      </c>
      <c r="C1426">
        <v>16.911899999999999</v>
      </c>
      <c r="D1426" s="2527">
        <v>6.5938999999999997</v>
      </c>
      <c r="E1426" s="2523">
        <f t="shared" si="106"/>
        <v>20.496540945512795</v>
      </c>
      <c r="F1426" s="2261">
        <f t="shared" si="105"/>
        <v>24.033050394191257</v>
      </c>
      <c r="G1426" s="2524">
        <f t="shared" si="107"/>
        <v>27.569559842869719</v>
      </c>
      <c r="H1426" s="2524">
        <f t="shared" si="108"/>
        <v>16.960031496834333</v>
      </c>
      <c r="I1426" s="2524">
        <f t="shared" si="109"/>
        <v>13.423522048155872</v>
      </c>
      <c r="J1426" s="2525">
        <f t="shared" si="91"/>
        <v>4.9423217303822922</v>
      </c>
      <c r="K1426" s="2261">
        <f t="shared" si="101"/>
        <v>5.919604026580453</v>
      </c>
      <c r="L1426" s="2524">
        <f t="shared" si="102"/>
        <v>6.8968863227786139</v>
      </c>
      <c r="M1426" s="2524">
        <f t="shared" si="103"/>
        <v>3.9650394341841317</v>
      </c>
      <c r="N1426" s="2524">
        <f t="shared" si="104"/>
        <v>2.9877571379859713</v>
      </c>
    </row>
    <row r="1427" spans="1:14" ht="15">
      <c r="A1427" s="2218"/>
      <c r="B1427" s="2251">
        <v>44944</v>
      </c>
      <c r="C1427">
        <v>17.200700000000001</v>
      </c>
      <c r="D1427" s="2527">
        <v>6.6683000000000003</v>
      </c>
      <c r="E1427" s="2523">
        <f t="shared" si="106"/>
        <v>20.496540945512795</v>
      </c>
      <c r="F1427" s="2261">
        <f t="shared" si="105"/>
        <v>24.033050394191257</v>
      </c>
      <c r="G1427" s="2524">
        <f t="shared" si="107"/>
        <v>27.569559842869719</v>
      </c>
      <c r="H1427" s="2524">
        <f t="shared" si="108"/>
        <v>16.960031496834333</v>
      </c>
      <c r="I1427" s="2524">
        <f t="shared" si="109"/>
        <v>13.423522048155872</v>
      </c>
      <c r="J1427" s="2525">
        <f t="shared" si="91"/>
        <v>4.9423217303822922</v>
      </c>
      <c r="K1427" s="2261">
        <f t="shared" si="101"/>
        <v>5.919604026580453</v>
      </c>
      <c r="L1427" s="2524">
        <f t="shared" si="102"/>
        <v>6.8968863227786139</v>
      </c>
      <c r="M1427" s="2524">
        <f t="shared" si="103"/>
        <v>3.9650394341841317</v>
      </c>
      <c r="N1427" s="2524">
        <f t="shared" si="104"/>
        <v>2.9877571379859713</v>
      </c>
    </row>
    <row r="1428" spans="1:14" ht="15">
      <c r="A1428" s="2218"/>
      <c r="B1428" s="2251">
        <v>44945</v>
      </c>
      <c r="C1428">
        <v>17.303799999999999</v>
      </c>
      <c r="D1428" s="2527">
        <v>6.6947999999999999</v>
      </c>
      <c r="E1428" s="2523">
        <f t="shared" si="106"/>
        <v>20.496540945512795</v>
      </c>
      <c r="F1428" s="2261">
        <f t="shared" si="105"/>
        <v>24.033050394191257</v>
      </c>
      <c r="G1428" s="2524">
        <f t="shared" si="107"/>
        <v>27.569559842869719</v>
      </c>
      <c r="H1428" s="2524">
        <f t="shared" si="108"/>
        <v>16.960031496834333</v>
      </c>
      <c r="I1428" s="2524">
        <f t="shared" si="109"/>
        <v>13.423522048155872</v>
      </c>
      <c r="J1428" s="2525">
        <f t="shared" si="91"/>
        <v>4.9423217303822922</v>
      </c>
      <c r="K1428" s="2261">
        <f t="shared" si="101"/>
        <v>5.919604026580453</v>
      </c>
      <c r="L1428" s="2524">
        <f t="shared" si="102"/>
        <v>6.8968863227786139</v>
      </c>
      <c r="M1428" s="2524">
        <f t="shared" si="103"/>
        <v>3.9650394341841317</v>
      </c>
      <c r="N1428" s="2524">
        <f t="shared" si="104"/>
        <v>2.9877571379859713</v>
      </c>
    </row>
    <row r="1429" spans="1:14" ht="15">
      <c r="A1429" s="2218"/>
      <c r="B1429" s="2251">
        <v>44953</v>
      </c>
      <c r="C1429">
        <v>17.324400000000001</v>
      </c>
      <c r="D1429" s="2527">
        <v>6.6417000000000002</v>
      </c>
      <c r="E1429" s="2523">
        <f t="shared" si="106"/>
        <v>20.496540945512795</v>
      </c>
      <c r="F1429" s="2261">
        <f t="shared" si="105"/>
        <v>24.033050394191257</v>
      </c>
      <c r="G1429" s="2524">
        <f t="shared" si="107"/>
        <v>27.569559842869719</v>
      </c>
      <c r="H1429" s="2524">
        <f t="shared" si="108"/>
        <v>16.960031496834333</v>
      </c>
      <c r="I1429" s="2524">
        <f t="shared" si="109"/>
        <v>13.423522048155872</v>
      </c>
      <c r="J1429" s="2525">
        <f t="shared" si="91"/>
        <v>4.9423217303822922</v>
      </c>
      <c r="K1429" s="2261">
        <f t="shared" si="101"/>
        <v>5.919604026580453</v>
      </c>
      <c r="L1429" s="2524">
        <f t="shared" si="102"/>
        <v>6.8968863227786139</v>
      </c>
      <c r="M1429" s="2524">
        <f t="shared" si="103"/>
        <v>3.9650394341841317</v>
      </c>
      <c r="N1429" s="2524">
        <f t="shared" si="104"/>
        <v>2.9877571379859713</v>
      </c>
    </row>
    <row r="1430" spans="1:14" ht="15">
      <c r="A1430" s="2218"/>
      <c r="B1430" s="2251">
        <v>44956</v>
      </c>
      <c r="C1430">
        <v>17.262499999999999</v>
      </c>
      <c r="D1430" s="2527">
        <v>6.8010999999999999</v>
      </c>
      <c r="E1430" s="2523">
        <f t="shared" si="106"/>
        <v>20.496540945512795</v>
      </c>
      <c r="F1430" s="2261">
        <f t="shared" si="105"/>
        <v>24.033050394191257</v>
      </c>
      <c r="G1430" s="2524">
        <f t="shared" si="107"/>
        <v>27.569559842869719</v>
      </c>
      <c r="H1430" s="2524">
        <f t="shared" si="108"/>
        <v>16.960031496834333</v>
      </c>
      <c r="I1430" s="2524">
        <f t="shared" si="109"/>
        <v>13.423522048155872</v>
      </c>
      <c r="J1430" s="2525">
        <f t="shared" si="91"/>
        <v>4.9423217303822922</v>
      </c>
      <c r="K1430" s="2261">
        <f t="shared" si="101"/>
        <v>5.919604026580453</v>
      </c>
      <c r="L1430" s="2524">
        <f t="shared" si="102"/>
        <v>6.8968863227786139</v>
      </c>
      <c r="M1430" s="2524">
        <f t="shared" si="103"/>
        <v>3.9650394341841317</v>
      </c>
      <c r="N1430" s="2524">
        <f t="shared" si="104"/>
        <v>2.9877571379859713</v>
      </c>
    </row>
    <row r="1431" spans="1:14" ht="15">
      <c r="A1431" s="2218"/>
      <c r="B1431" s="2251">
        <v>44957</v>
      </c>
      <c r="C1431">
        <v>17.221299999999999</v>
      </c>
      <c r="D1431" s="2527">
        <v>6.8541999999999996</v>
      </c>
      <c r="E1431" s="2523">
        <f t="shared" si="106"/>
        <v>20.496540945512795</v>
      </c>
      <c r="F1431" s="2261">
        <f t="shared" si="105"/>
        <v>24.033050394191257</v>
      </c>
      <c r="G1431" s="2524">
        <f t="shared" si="107"/>
        <v>27.569559842869719</v>
      </c>
      <c r="H1431" s="2524">
        <f t="shared" si="108"/>
        <v>16.960031496834333</v>
      </c>
      <c r="I1431" s="2524">
        <f t="shared" si="109"/>
        <v>13.423522048155872</v>
      </c>
      <c r="J1431" s="2525">
        <f t="shared" si="91"/>
        <v>4.9423217303822922</v>
      </c>
      <c r="K1431" s="2261">
        <f t="shared" si="101"/>
        <v>5.919604026580453</v>
      </c>
      <c r="L1431" s="2524">
        <f t="shared" si="102"/>
        <v>6.8968863227786139</v>
      </c>
      <c r="M1431" s="2524">
        <f t="shared" si="103"/>
        <v>3.9650394341841317</v>
      </c>
      <c r="N1431" s="2524">
        <f t="shared" si="104"/>
        <v>2.9877571379859713</v>
      </c>
    </row>
    <row r="1432" spans="1:14" ht="15">
      <c r="A1432" s="2218"/>
      <c r="B1432" s="2251">
        <v>44958</v>
      </c>
      <c r="C1432">
        <v>16.911899999999999</v>
      </c>
      <c r="D1432" s="2527">
        <v>6.8010999999999999</v>
      </c>
      <c r="E1432" s="2523">
        <f t="shared" si="106"/>
        <v>20.496540945512795</v>
      </c>
      <c r="F1432" s="2261">
        <f t="shared" si="105"/>
        <v>24.033050394191257</v>
      </c>
      <c r="G1432" s="2524">
        <f t="shared" si="107"/>
        <v>27.569559842869719</v>
      </c>
      <c r="H1432" s="2524">
        <f t="shared" si="108"/>
        <v>16.960031496834333</v>
      </c>
      <c r="I1432" s="2524">
        <f t="shared" si="109"/>
        <v>13.423522048155872</v>
      </c>
      <c r="J1432" s="2525">
        <f t="shared" si="91"/>
        <v>4.9423217303822922</v>
      </c>
      <c r="K1432" s="2261">
        <f t="shared" si="101"/>
        <v>5.919604026580453</v>
      </c>
      <c r="L1432" s="2524">
        <f t="shared" si="102"/>
        <v>6.8968863227786139</v>
      </c>
      <c r="M1432" s="2524">
        <f t="shared" si="103"/>
        <v>3.9650394341841317</v>
      </c>
      <c r="N1432" s="2524">
        <f t="shared" si="104"/>
        <v>2.9877571379859713</v>
      </c>
    </row>
    <row r="1433" spans="1:14" ht="15">
      <c r="A1433" s="2218"/>
      <c r="B1433" s="2251">
        <v>44959</v>
      </c>
      <c r="C1433">
        <v>16.891300000000001</v>
      </c>
      <c r="D1433" s="2527">
        <v>6.8330000000000002</v>
      </c>
      <c r="E1433" s="2523">
        <f t="shared" si="106"/>
        <v>20.496540945512795</v>
      </c>
      <c r="F1433" s="2261">
        <f t="shared" si="105"/>
        <v>24.033050394191257</v>
      </c>
      <c r="G1433" s="2524">
        <f t="shared" si="107"/>
        <v>27.569559842869719</v>
      </c>
      <c r="H1433" s="2524">
        <f t="shared" si="108"/>
        <v>16.960031496834333</v>
      </c>
      <c r="I1433" s="2524">
        <f t="shared" si="109"/>
        <v>13.423522048155872</v>
      </c>
      <c r="J1433" s="2525">
        <f t="shared" si="91"/>
        <v>4.9423217303822922</v>
      </c>
      <c r="K1433" s="2261">
        <f t="shared" si="101"/>
        <v>5.919604026580453</v>
      </c>
      <c r="L1433" s="2524">
        <f t="shared" si="102"/>
        <v>6.8968863227786139</v>
      </c>
      <c r="M1433" s="2524">
        <f t="shared" si="103"/>
        <v>3.9650394341841317</v>
      </c>
      <c r="N1433" s="2524">
        <f t="shared" si="104"/>
        <v>2.9877571379859713</v>
      </c>
    </row>
    <row r="1434" spans="1:14" ht="15">
      <c r="A1434" s="2218"/>
      <c r="B1434" s="2251">
        <v>44960</v>
      </c>
      <c r="C1434">
        <v>16.520099999999999</v>
      </c>
      <c r="D1434" s="2527">
        <v>6.6311</v>
      </c>
      <c r="E1434" s="2523">
        <f t="shared" si="106"/>
        <v>20.496540945512795</v>
      </c>
      <c r="F1434" s="2261">
        <f t="shared" si="105"/>
        <v>24.033050394191257</v>
      </c>
      <c r="G1434" s="2524">
        <f t="shared" si="107"/>
        <v>27.569559842869719</v>
      </c>
      <c r="H1434" s="2524">
        <f t="shared" si="108"/>
        <v>16.960031496834333</v>
      </c>
      <c r="I1434" s="2524">
        <f t="shared" si="109"/>
        <v>13.423522048155872</v>
      </c>
      <c r="J1434" s="2525">
        <f t="shared" si="91"/>
        <v>4.9423217303822922</v>
      </c>
      <c r="K1434" s="2261">
        <f t="shared" si="101"/>
        <v>5.919604026580453</v>
      </c>
      <c r="L1434" s="2524">
        <f t="shared" si="102"/>
        <v>6.8968863227786139</v>
      </c>
      <c r="M1434" s="2524">
        <f t="shared" si="103"/>
        <v>3.9650394341841317</v>
      </c>
      <c r="N1434" s="2524">
        <f t="shared" si="104"/>
        <v>2.9877571379859713</v>
      </c>
    </row>
    <row r="1435" spans="1:14" ht="15">
      <c r="A1435" s="2218"/>
      <c r="B1435" s="2251">
        <v>44963</v>
      </c>
      <c r="C1435">
        <v>16.602599999999999</v>
      </c>
      <c r="D1435" s="2527">
        <v>6.5461</v>
      </c>
      <c r="E1435" s="2523">
        <f t="shared" si="106"/>
        <v>20.496540945512795</v>
      </c>
      <c r="F1435" s="2261">
        <f t="shared" si="105"/>
        <v>24.033050394191257</v>
      </c>
      <c r="G1435" s="2524">
        <f t="shared" si="107"/>
        <v>27.569559842869719</v>
      </c>
      <c r="H1435" s="2524">
        <f t="shared" si="108"/>
        <v>16.960031496834333</v>
      </c>
      <c r="I1435" s="2524">
        <f t="shared" si="109"/>
        <v>13.423522048155872</v>
      </c>
      <c r="J1435" s="2525">
        <f t="shared" si="91"/>
        <v>4.9423217303822922</v>
      </c>
      <c r="K1435" s="2261">
        <f t="shared" si="101"/>
        <v>5.919604026580453</v>
      </c>
      <c r="L1435" s="2524">
        <f t="shared" si="102"/>
        <v>6.8968863227786139</v>
      </c>
      <c r="M1435" s="2524">
        <f t="shared" si="103"/>
        <v>3.9650394341841317</v>
      </c>
      <c r="N1435" s="2524">
        <f t="shared" si="104"/>
        <v>2.9877571379859713</v>
      </c>
    </row>
    <row r="1436" spans="1:14" ht="15">
      <c r="A1436" s="2218"/>
      <c r="B1436" s="2251">
        <v>44964</v>
      </c>
      <c r="C1436">
        <v>16.643799999999999</v>
      </c>
      <c r="D1436" s="2527">
        <v>6.3015999999999996</v>
      </c>
      <c r="E1436" s="2523">
        <f t="shared" si="106"/>
        <v>20.496540945512795</v>
      </c>
      <c r="F1436" s="2261">
        <f t="shared" si="105"/>
        <v>24.033050394191257</v>
      </c>
      <c r="G1436" s="2524">
        <f t="shared" si="107"/>
        <v>27.569559842869719</v>
      </c>
      <c r="H1436" s="2524">
        <f t="shared" si="108"/>
        <v>16.960031496834333</v>
      </c>
      <c r="I1436" s="2524">
        <f t="shared" si="109"/>
        <v>13.423522048155872</v>
      </c>
      <c r="J1436" s="2525">
        <f t="shared" si="91"/>
        <v>4.9423217303822922</v>
      </c>
      <c r="K1436" s="2261">
        <f t="shared" si="101"/>
        <v>5.919604026580453</v>
      </c>
      <c r="L1436" s="2524">
        <f t="shared" si="102"/>
        <v>6.8968863227786139</v>
      </c>
      <c r="M1436" s="2524">
        <f t="shared" si="103"/>
        <v>3.9650394341841317</v>
      </c>
      <c r="N1436" s="2524">
        <f t="shared" si="104"/>
        <v>2.9877571379859713</v>
      </c>
    </row>
    <row r="1437" spans="1:14" ht="15">
      <c r="A1437" s="2218"/>
      <c r="B1437" s="2251">
        <v>44965</v>
      </c>
      <c r="C1437">
        <v>16.7469</v>
      </c>
      <c r="D1437" s="2527">
        <v>6.4184999999999999</v>
      </c>
      <c r="E1437" s="2523">
        <f t="shared" si="106"/>
        <v>20.496540945512795</v>
      </c>
      <c r="F1437" s="2261">
        <f t="shared" si="105"/>
        <v>24.033050394191257</v>
      </c>
      <c r="G1437" s="2524">
        <f t="shared" si="107"/>
        <v>27.569559842869719</v>
      </c>
      <c r="H1437" s="2524">
        <f t="shared" si="108"/>
        <v>16.960031496834333</v>
      </c>
      <c r="I1437" s="2524">
        <f t="shared" si="109"/>
        <v>13.423522048155872</v>
      </c>
      <c r="J1437" s="2525">
        <f t="shared" si="91"/>
        <v>4.9423217303822922</v>
      </c>
      <c r="K1437" s="2261">
        <f t="shared" si="101"/>
        <v>5.919604026580453</v>
      </c>
      <c r="L1437" s="2524">
        <f t="shared" si="102"/>
        <v>6.8968863227786139</v>
      </c>
      <c r="M1437" s="2524">
        <f t="shared" si="103"/>
        <v>3.9650394341841317</v>
      </c>
      <c r="N1437" s="2524">
        <f t="shared" si="104"/>
        <v>2.9877571379859713</v>
      </c>
    </row>
    <row r="1438" spans="1:14" ht="15">
      <c r="A1438" s="2218"/>
      <c r="B1438" s="2251">
        <v>44966</v>
      </c>
      <c r="C1438">
        <v>16.643799999999999</v>
      </c>
      <c r="D1438" s="2527">
        <v>6.4823000000000004</v>
      </c>
      <c r="E1438" s="2523">
        <f t="shared" si="106"/>
        <v>20.496540945512795</v>
      </c>
      <c r="F1438" s="2261">
        <f t="shared" si="105"/>
        <v>24.033050394191257</v>
      </c>
      <c r="G1438" s="2524">
        <f t="shared" si="107"/>
        <v>27.569559842869719</v>
      </c>
      <c r="H1438" s="2524">
        <f t="shared" si="108"/>
        <v>16.960031496834333</v>
      </c>
      <c r="I1438" s="2524">
        <f t="shared" si="109"/>
        <v>13.423522048155872</v>
      </c>
      <c r="J1438" s="2525">
        <f t="shared" si="91"/>
        <v>4.9423217303822922</v>
      </c>
      <c r="K1438" s="2261">
        <f t="shared" si="101"/>
        <v>5.919604026580453</v>
      </c>
      <c r="L1438" s="2524">
        <f t="shared" si="102"/>
        <v>6.8968863227786139</v>
      </c>
      <c r="M1438" s="2524">
        <f t="shared" si="103"/>
        <v>3.9650394341841317</v>
      </c>
      <c r="N1438" s="2524">
        <f t="shared" si="104"/>
        <v>2.9877571379859713</v>
      </c>
    </row>
    <row r="1439" spans="1:14" ht="15">
      <c r="A1439" s="2218"/>
      <c r="B1439" s="2251">
        <v>44967</v>
      </c>
      <c r="C1439">
        <v>16.643799999999999</v>
      </c>
      <c r="D1439" s="2527">
        <v>6.4504000000000001</v>
      </c>
      <c r="E1439" s="2523">
        <f t="shared" si="106"/>
        <v>20.496540945512795</v>
      </c>
      <c r="F1439" s="2261">
        <f t="shared" si="105"/>
        <v>24.033050394191257</v>
      </c>
      <c r="G1439" s="2524">
        <f t="shared" si="107"/>
        <v>27.569559842869719</v>
      </c>
      <c r="H1439" s="2524">
        <f t="shared" si="108"/>
        <v>16.960031496834333</v>
      </c>
      <c r="I1439" s="2524">
        <f t="shared" si="109"/>
        <v>13.423522048155872</v>
      </c>
      <c r="J1439" s="2525">
        <f t="shared" si="91"/>
        <v>4.9423217303822922</v>
      </c>
      <c r="K1439" s="2261">
        <f t="shared" si="101"/>
        <v>5.919604026580453</v>
      </c>
      <c r="L1439" s="2524">
        <f t="shared" si="102"/>
        <v>6.8968863227786139</v>
      </c>
      <c r="M1439" s="2524">
        <f t="shared" si="103"/>
        <v>3.9650394341841317</v>
      </c>
      <c r="N1439" s="2524">
        <f t="shared" si="104"/>
        <v>2.9877571379859713</v>
      </c>
    </row>
    <row r="1440" spans="1:14" ht="15">
      <c r="A1440" s="2218"/>
      <c r="B1440" s="2251">
        <v>44970</v>
      </c>
      <c r="C1440">
        <v>16.643799999999999</v>
      </c>
      <c r="D1440" s="2527">
        <v>6.7427000000000001</v>
      </c>
      <c r="E1440" s="2523">
        <f t="shared" si="106"/>
        <v>20.496540945512795</v>
      </c>
      <c r="F1440" s="2261">
        <f t="shared" si="105"/>
        <v>24.033050394191257</v>
      </c>
      <c r="G1440" s="2524">
        <f t="shared" si="107"/>
        <v>27.569559842869719</v>
      </c>
      <c r="H1440" s="2524">
        <f t="shared" si="108"/>
        <v>16.960031496834333</v>
      </c>
      <c r="I1440" s="2524">
        <f t="shared" si="109"/>
        <v>13.423522048155872</v>
      </c>
      <c r="J1440" s="2525">
        <f t="shared" si="91"/>
        <v>4.9423217303822922</v>
      </c>
      <c r="K1440" s="2261">
        <f t="shared" ref="K1440:K1453" si="110">J$953+G$953</f>
        <v>5.919604026580453</v>
      </c>
      <c r="L1440" s="2524">
        <f t="shared" ref="L1440:L1453" si="111">J$953+G$953+G$953</f>
        <v>6.8968863227786139</v>
      </c>
      <c r="M1440" s="2524">
        <f t="shared" ref="M1440:M1453" si="112">J$953-G$953</f>
        <v>3.9650394341841317</v>
      </c>
      <c r="N1440" s="2524">
        <f t="shared" ref="N1440:N1453" si="113">J$953-G$953-G$953</f>
        <v>2.9877571379859713</v>
      </c>
    </row>
    <row r="1441" spans="1:14" ht="15">
      <c r="A1441" s="2218"/>
      <c r="B1441" s="2251">
        <v>44971</v>
      </c>
      <c r="C1441">
        <v>16.664400000000001</v>
      </c>
      <c r="D1441" s="2527">
        <v>6.9074</v>
      </c>
      <c r="E1441" s="2523">
        <f t="shared" si="106"/>
        <v>20.496540945512795</v>
      </c>
      <c r="F1441" s="2261">
        <f t="shared" si="105"/>
        <v>24.033050394191257</v>
      </c>
      <c r="G1441" s="2524">
        <f t="shared" si="107"/>
        <v>27.569559842869719</v>
      </c>
      <c r="H1441" s="2524">
        <f t="shared" si="108"/>
        <v>16.960031496834333</v>
      </c>
      <c r="I1441" s="2524">
        <f t="shared" si="109"/>
        <v>13.423522048155872</v>
      </c>
      <c r="J1441" s="2525">
        <f t="shared" si="91"/>
        <v>4.9423217303822922</v>
      </c>
      <c r="K1441" s="2261">
        <f t="shared" si="110"/>
        <v>5.919604026580453</v>
      </c>
      <c r="L1441" s="2524">
        <f t="shared" si="111"/>
        <v>6.8968863227786139</v>
      </c>
      <c r="M1441" s="2524">
        <f t="shared" si="112"/>
        <v>3.9650394341841317</v>
      </c>
      <c r="N1441" s="2524">
        <f t="shared" si="113"/>
        <v>2.9877571379859713</v>
      </c>
    </row>
    <row r="1442" spans="1:14" ht="15">
      <c r="A1442" s="2218"/>
      <c r="B1442" s="2251">
        <v>44972</v>
      </c>
      <c r="C1442">
        <v>16.8294</v>
      </c>
      <c r="D1442" s="2527">
        <v>6.8914</v>
      </c>
      <c r="E1442" s="2523">
        <f t="shared" si="106"/>
        <v>20.496540945512795</v>
      </c>
      <c r="F1442" s="2261">
        <f t="shared" si="105"/>
        <v>24.033050394191257</v>
      </c>
      <c r="G1442" s="2524">
        <f t="shared" si="107"/>
        <v>27.569559842869719</v>
      </c>
      <c r="H1442" s="2524">
        <f t="shared" si="108"/>
        <v>16.960031496834333</v>
      </c>
      <c r="I1442" s="2524">
        <f t="shared" si="109"/>
        <v>13.423522048155872</v>
      </c>
      <c r="J1442" s="2525">
        <f t="shared" si="91"/>
        <v>4.9423217303822922</v>
      </c>
      <c r="K1442" s="2261">
        <f t="shared" si="110"/>
        <v>5.919604026580453</v>
      </c>
      <c r="L1442" s="2524">
        <f t="shared" si="111"/>
        <v>6.8968863227786139</v>
      </c>
      <c r="M1442" s="2524">
        <f t="shared" si="112"/>
        <v>3.9650394341841317</v>
      </c>
      <c r="N1442" s="2524">
        <f t="shared" si="113"/>
        <v>2.9877571379859713</v>
      </c>
    </row>
    <row r="1443" spans="1:14" ht="15">
      <c r="A1443" s="2218"/>
      <c r="B1443" s="2251">
        <v>44973</v>
      </c>
      <c r="C1443">
        <v>16.8294</v>
      </c>
      <c r="D1443" s="2527">
        <v>6.8807999999999998</v>
      </c>
      <c r="E1443" s="2523">
        <f t="shared" si="106"/>
        <v>20.496540945512795</v>
      </c>
      <c r="F1443" s="2261">
        <f t="shared" si="105"/>
        <v>24.033050394191257</v>
      </c>
      <c r="G1443" s="2524">
        <f t="shared" si="107"/>
        <v>27.569559842869719</v>
      </c>
      <c r="H1443" s="2524">
        <f t="shared" si="108"/>
        <v>16.960031496834333</v>
      </c>
      <c r="I1443" s="2524">
        <f t="shared" si="109"/>
        <v>13.423522048155872</v>
      </c>
      <c r="J1443" s="2525">
        <f t="shared" si="91"/>
        <v>4.9423217303822922</v>
      </c>
      <c r="K1443" s="2261">
        <f t="shared" si="110"/>
        <v>5.919604026580453</v>
      </c>
      <c r="L1443" s="2524">
        <f t="shared" si="111"/>
        <v>6.8968863227786139</v>
      </c>
      <c r="M1443" s="2524">
        <f t="shared" si="112"/>
        <v>3.9650394341841317</v>
      </c>
      <c r="N1443" s="2524">
        <f t="shared" si="113"/>
        <v>2.9877571379859713</v>
      </c>
    </row>
    <row r="1444" spans="1:14" ht="15">
      <c r="A1444" s="2218"/>
      <c r="B1444" s="2251">
        <v>44974</v>
      </c>
      <c r="C1444">
        <v>16.8294</v>
      </c>
      <c r="D1444" s="2527">
        <v>6.8383000000000003</v>
      </c>
      <c r="E1444" s="2523">
        <f t="shared" si="106"/>
        <v>20.496540945512795</v>
      </c>
      <c r="F1444" s="2261">
        <f t="shared" si="105"/>
        <v>24.033050394191257</v>
      </c>
      <c r="G1444" s="2524">
        <f t="shared" si="107"/>
        <v>27.569559842869719</v>
      </c>
      <c r="H1444" s="2524">
        <f t="shared" si="108"/>
        <v>16.960031496834333</v>
      </c>
      <c r="I1444" s="2524">
        <f t="shared" si="109"/>
        <v>13.423522048155872</v>
      </c>
      <c r="J1444" s="2525">
        <f t="shared" si="91"/>
        <v>4.9423217303822922</v>
      </c>
      <c r="K1444" s="2261">
        <f t="shared" si="110"/>
        <v>5.919604026580453</v>
      </c>
      <c r="L1444" s="2524">
        <f t="shared" si="111"/>
        <v>6.8968863227786139</v>
      </c>
      <c r="M1444" s="2524">
        <f t="shared" si="112"/>
        <v>3.9650394341841317</v>
      </c>
      <c r="N1444" s="2524">
        <f t="shared" si="113"/>
        <v>2.9877571379859713</v>
      </c>
    </row>
    <row r="1445" spans="1:14" ht="15">
      <c r="A1445" s="2218"/>
      <c r="B1445" s="2251">
        <v>44977</v>
      </c>
      <c r="C1445">
        <v>17.076899999999998</v>
      </c>
      <c r="D1445" s="2527">
        <v>6.9391999999999996</v>
      </c>
      <c r="E1445" s="2523">
        <f t="shared" si="106"/>
        <v>20.496540945512795</v>
      </c>
      <c r="F1445" s="2261">
        <f t="shared" si="105"/>
        <v>24.033050394191257</v>
      </c>
      <c r="G1445" s="2524">
        <f t="shared" si="107"/>
        <v>27.569559842869719</v>
      </c>
      <c r="H1445" s="2524">
        <f t="shared" si="108"/>
        <v>16.960031496834333</v>
      </c>
      <c r="I1445" s="2524">
        <f t="shared" si="109"/>
        <v>13.423522048155872</v>
      </c>
      <c r="J1445" s="2525">
        <f t="shared" si="91"/>
        <v>4.9423217303822922</v>
      </c>
      <c r="K1445" s="2261">
        <f t="shared" si="110"/>
        <v>5.919604026580453</v>
      </c>
      <c r="L1445" s="2524">
        <f t="shared" si="111"/>
        <v>6.8968863227786139</v>
      </c>
      <c r="M1445" s="2524">
        <f t="shared" si="112"/>
        <v>3.9650394341841317</v>
      </c>
      <c r="N1445" s="2524">
        <f t="shared" si="113"/>
        <v>2.9877571379859713</v>
      </c>
    </row>
    <row r="1446" spans="1:14" ht="15">
      <c r="A1446" s="2218"/>
      <c r="B1446" s="2251">
        <v>44978</v>
      </c>
      <c r="C1446">
        <v>17.076899999999998</v>
      </c>
      <c r="D1446" s="2527">
        <v>6.9339000000000004</v>
      </c>
      <c r="E1446" s="2523">
        <f t="shared" si="106"/>
        <v>20.496540945512795</v>
      </c>
      <c r="F1446" s="2261">
        <f t="shared" si="105"/>
        <v>24.033050394191257</v>
      </c>
      <c r="G1446" s="2524">
        <f t="shared" si="107"/>
        <v>27.569559842869719</v>
      </c>
      <c r="H1446" s="2524">
        <f t="shared" si="108"/>
        <v>16.960031496834333</v>
      </c>
      <c r="I1446" s="2524">
        <f t="shared" si="109"/>
        <v>13.423522048155872</v>
      </c>
      <c r="J1446" s="2525">
        <f t="shared" si="91"/>
        <v>4.9423217303822922</v>
      </c>
      <c r="K1446" s="2261">
        <f t="shared" si="110"/>
        <v>5.919604026580453</v>
      </c>
      <c r="L1446" s="2524">
        <f t="shared" si="111"/>
        <v>6.8968863227786139</v>
      </c>
      <c r="M1446" s="2524">
        <f t="shared" si="112"/>
        <v>3.9650394341841317</v>
      </c>
      <c r="N1446" s="2524">
        <f t="shared" si="113"/>
        <v>2.9877571379859713</v>
      </c>
    </row>
    <row r="1447" spans="1:14" ht="15">
      <c r="A1447" s="2218"/>
      <c r="B1447" s="2251">
        <v>44979</v>
      </c>
      <c r="C1447">
        <v>16.870699999999999</v>
      </c>
      <c r="D1447" s="2527">
        <v>6.9870999999999999</v>
      </c>
      <c r="E1447" s="2523">
        <f t="shared" si="106"/>
        <v>20.496540945512795</v>
      </c>
      <c r="F1447" s="2261">
        <f t="shared" si="105"/>
        <v>24.033050394191257</v>
      </c>
      <c r="G1447" s="2524">
        <f t="shared" si="107"/>
        <v>27.569559842869719</v>
      </c>
      <c r="H1447" s="2524">
        <f t="shared" si="108"/>
        <v>16.960031496834333</v>
      </c>
      <c r="I1447" s="2524">
        <f t="shared" si="109"/>
        <v>13.423522048155872</v>
      </c>
      <c r="J1447" s="2525">
        <f t="shared" si="91"/>
        <v>4.9423217303822922</v>
      </c>
      <c r="K1447" s="2261">
        <f t="shared" si="110"/>
        <v>5.919604026580453</v>
      </c>
      <c r="L1447" s="2524">
        <f t="shared" si="111"/>
        <v>6.8968863227786139</v>
      </c>
      <c r="M1447" s="2524">
        <f t="shared" si="112"/>
        <v>3.9650394341841317</v>
      </c>
      <c r="N1447" s="2524">
        <f t="shared" si="113"/>
        <v>2.9877571379859713</v>
      </c>
    </row>
    <row r="1448" spans="1:14" ht="15">
      <c r="A1448" s="2218"/>
      <c r="B1448" s="2251">
        <v>44980</v>
      </c>
      <c r="C1448">
        <v>16.7882</v>
      </c>
      <c r="D1448" s="2527">
        <v>7.0933000000000002</v>
      </c>
      <c r="E1448" s="2523">
        <f t="shared" si="106"/>
        <v>20.496540945512795</v>
      </c>
      <c r="F1448" s="2261">
        <f t="shared" si="105"/>
        <v>24.033050394191257</v>
      </c>
      <c r="G1448" s="2524">
        <f t="shared" si="107"/>
        <v>27.569559842869719</v>
      </c>
      <c r="H1448" s="2524">
        <f t="shared" si="108"/>
        <v>16.960031496834333</v>
      </c>
      <c r="I1448" s="2524">
        <f t="shared" si="109"/>
        <v>13.423522048155872</v>
      </c>
      <c r="J1448" s="2525">
        <f t="shared" si="91"/>
        <v>4.9423217303822922</v>
      </c>
      <c r="K1448" s="2261">
        <f t="shared" si="110"/>
        <v>5.919604026580453</v>
      </c>
      <c r="L1448" s="2524">
        <f t="shared" si="111"/>
        <v>6.8968863227786139</v>
      </c>
      <c r="M1448" s="2524">
        <f t="shared" si="112"/>
        <v>3.9650394341841317</v>
      </c>
      <c r="N1448" s="2524">
        <f t="shared" si="113"/>
        <v>2.9877571379859713</v>
      </c>
    </row>
    <row r="1449" spans="1:14" ht="15">
      <c r="A1449" s="2218"/>
      <c r="B1449" s="2251">
        <v>44981</v>
      </c>
      <c r="C1449">
        <v>16.664400000000001</v>
      </c>
      <c r="D1449" s="2527">
        <v>7.1093000000000002</v>
      </c>
      <c r="E1449" s="2523">
        <f t="shared" si="106"/>
        <v>20.496540945512795</v>
      </c>
      <c r="F1449" s="2261">
        <f t="shared" si="105"/>
        <v>24.033050394191257</v>
      </c>
      <c r="G1449" s="2524">
        <f t="shared" si="107"/>
        <v>27.569559842869719</v>
      </c>
      <c r="H1449" s="2524">
        <f t="shared" si="108"/>
        <v>16.960031496834333</v>
      </c>
      <c r="I1449" s="2524">
        <f t="shared" si="109"/>
        <v>13.423522048155872</v>
      </c>
      <c r="J1449" s="2525">
        <f t="shared" si="91"/>
        <v>4.9423217303822922</v>
      </c>
      <c r="K1449" s="2261">
        <f t="shared" si="110"/>
        <v>5.919604026580453</v>
      </c>
      <c r="L1449" s="2524">
        <f t="shared" si="111"/>
        <v>6.8968863227786139</v>
      </c>
      <c r="M1449" s="2524">
        <f t="shared" si="112"/>
        <v>3.9650394341841317</v>
      </c>
      <c r="N1449" s="2524">
        <f t="shared" si="113"/>
        <v>2.9877571379859713</v>
      </c>
    </row>
    <row r="1450" spans="1:14" ht="15">
      <c r="A1450" s="2218"/>
      <c r="B1450" s="2251">
        <v>44984</v>
      </c>
      <c r="C1450">
        <v>16.561299999999999</v>
      </c>
      <c r="D1450" s="2527">
        <v>7.0720999999999998</v>
      </c>
      <c r="E1450" s="2523">
        <f t="shared" si="106"/>
        <v>20.496540945512795</v>
      </c>
      <c r="F1450" s="2261">
        <f t="shared" si="105"/>
        <v>24.033050394191257</v>
      </c>
      <c r="G1450" s="2524">
        <f t="shared" si="107"/>
        <v>27.569559842869719</v>
      </c>
      <c r="H1450" s="2524">
        <f t="shared" si="108"/>
        <v>16.960031496834333</v>
      </c>
      <c r="I1450" s="2524">
        <f t="shared" si="109"/>
        <v>13.423522048155872</v>
      </c>
      <c r="J1450" s="2525">
        <f t="shared" si="91"/>
        <v>4.9423217303822922</v>
      </c>
      <c r="K1450" s="2261">
        <f t="shared" si="110"/>
        <v>5.919604026580453</v>
      </c>
      <c r="L1450" s="2524">
        <f t="shared" si="111"/>
        <v>6.8968863227786139</v>
      </c>
      <c r="M1450" s="2524">
        <f t="shared" si="112"/>
        <v>3.9650394341841317</v>
      </c>
      <c r="N1450" s="2524">
        <f t="shared" si="113"/>
        <v>2.9877571379859713</v>
      </c>
    </row>
    <row r="1451" spans="1:14" ht="15">
      <c r="A1451" s="2218"/>
      <c r="B1451" s="2251">
        <v>44985</v>
      </c>
      <c r="C1451">
        <v>16.602599999999999</v>
      </c>
      <c r="D1451" s="2527">
        <v>6.9870999999999999</v>
      </c>
      <c r="E1451" s="2523">
        <f t="shared" si="106"/>
        <v>20.496540945512795</v>
      </c>
      <c r="F1451" s="2261">
        <f t="shared" si="105"/>
        <v>24.033050394191257</v>
      </c>
      <c r="G1451" s="2524">
        <f t="shared" si="107"/>
        <v>27.569559842869719</v>
      </c>
      <c r="H1451" s="2524">
        <f t="shared" si="108"/>
        <v>16.960031496834333</v>
      </c>
      <c r="I1451" s="2524">
        <f t="shared" si="109"/>
        <v>13.423522048155872</v>
      </c>
      <c r="J1451" s="2525">
        <f t="shared" si="91"/>
        <v>4.9423217303822922</v>
      </c>
      <c r="K1451" s="2261">
        <f t="shared" si="110"/>
        <v>5.919604026580453</v>
      </c>
      <c r="L1451" s="2524">
        <f t="shared" si="111"/>
        <v>6.8968863227786139</v>
      </c>
      <c r="M1451" s="2524">
        <f t="shared" si="112"/>
        <v>3.9650394341841317</v>
      </c>
      <c r="N1451" s="2524">
        <f t="shared" si="113"/>
        <v>2.9877571379859713</v>
      </c>
    </row>
    <row r="1452" spans="1:14" ht="15">
      <c r="A1452" s="2218"/>
      <c r="B1452" s="2251">
        <v>44986</v>
      </c>
      <c r="C1452">
        <v>16.602599999999999</v>
      </c>
      <c r="D1452" s="2527">
        <v>7.0401999999999996</v>
      </c>
      <c r="E1452" s="2523">
        <f t="shared" si="106"/>
        <v>20.496540945512795</v>
      </c>
      <c r="F1452" s="2261">
        <f t="shared" si="105"/>
        <v>24.033050394191257</v>
      </c>
      <c r="G1452" s="2524">
        <f t="shared" si="107"/>
        <v>27.569559842869719</v>
      </c>
      <c r="H1452" s="2524">
        <f t="shared" si="108"/>
        <v>16.960031496834333</v>
      </c>
      <c r="I1452" s="2524">
        <f t="shared" si="109"/>
        <v>13.423522048155872</v>
      </c>
      <c r="J1452" s="2525">
        <f t="shared" si="91"/>
        <v>4.9423217303822922</v>
      </c>
      <c r="K1452" s="2261">
        <f t="shared" si="110"/>
        <v>5.919604026580453</v>
      </c>
      <c r="L1452" s="2524">
        <f t="shared" si="111"/>
        <v>6.8968863227786139</v>
      </c>
      <c r="M1452" s="2524">
        <f t="shared" si="112"/>
        <v>3.9650394341841317</v>
      </c>
      <c r="N1452" s="2524">
        <f t="shared" si="113"/>
        <v>2.9877571379859713</v>
      </c>
    </row>
    <row r="1453" spans="1:14" ht="15">
      <c r="A1453" s="2218"/>
      <c r="B1453" s="2251">
        <v>44987</v>
      </c>
      <c r="C1453">
        <v>16.499400000000001</v>
      </c>
      <c r="D1453" s="2527">
        <v>7.0827</v>
      </c>
      <c r="E1453" s="2523">
        <f t="shared" si="106"/>
        <v>20.496540945512795</v>
      </c>
      <c r="F1453" s="2261">
        <f t="shared" si="105"/>
        <v>24.033050394191257</v>
      </c>
      <c r="G1453" s="2524">
        <f t="shared" si="107"/>
        <v>27.569559842869719</v>
      </c>
      <c r="H1453" s="2524">
        <f t="shared" si="108"/>
        <v>16.960031496834333</v>
      </c>
      <c r="I1453" s="2524">
        <f t="shared" si="109"/>
        <v>13.423522048155872</v>
      </c>
      <c r="J1453" s="2525">
        <f t="shared" si="91"/>
        <v>4.9423217303822922</v>
      </c>
      <c r="K1453" s="2261">
        <f t="shared" si="110"/>
        <v>5.919604026580453</v>
      </c>
      <c r="L1453" s="2524">
        <f t="shared" si="111"/>
        <v>6.8968863227786139</v>
      </c>
      <c r="M1453" s="2524">
        <f t="shared" si="112"/>
        <v>3.9650394341841317</v>
      </c>
      <c r="N1453" s="2524">
        <f t="shared" si="113"/>
        <v>2.9877571379859713</v>
      </c>
    </row>
    <row r="1454" spans="1:14">
      <c r="A1454" s="2218"/>
      <c r="B1454" s="2251">
        <v>44988</v>
      </c>
      <c r="C1454">
        <v>16.190100000000001</v>
      </c>
      <c r="D1454" s="2527">
        <v>8.0827000000000009</v>
      </c>
      <c r="E1454" s="2523">
        <f t="shared" si="106"/>
        <v>20.496540945512795</v>
      </c>
      <c r="F1454" s="2261">
        <f t="shared" si="105"/>
        <v>24.033050394191257</v>
      </c>
      <c r="G1454" s="2524">
        <f t="shared" si="107"/>
        <v>27.569559842869719</v>
      </c>
      <c r="H1454" s="2524">
        <f t="shared" si="108"/>
        <v>16.960031496834333</v>
      </c>
      <c r="I1454" s="2524">
        <f t="shared" si="109"/>
        <v>13.423522048155872</v>
      </c>
    </row>
    <row r="1455" spans="1:14">
      <c r="A1455" s="2218"/>
      <c r="B1455" s="2251">
        <v>44991</v>
      </c>
      <c r="C1455">
        <v>16.1282</v>
      </c>
      <c r="D1455" s="2527">
        <v>9.0827000000000009</v>
      </c>
      <c r="E1455" s="2523">
        <f t="shared" si="106"/>
        <v>20.496540945512795</v>
      </c>
      <c r="F1455" s="2261">
        <f t="shared" si="105"/>
        <v>24.033050394191257</v>
      </c>
      <c r="G1455" s="2524">
        <f t="shared" si="107"/>
        <v>27.569559842869719</v>
      </c>
      <c r="H1455" s="2524">
        <f t="shared" si="108"/>
        <v>16.960031496834333</v>
      </c>
      <c r="I1455" s="2524">
        <f t="shared" si="109"/>
        <v>13.423522048155872</v>
      </c>
    </row>
    <row r="1456" spans="1:14">
      <c r="A1456" s="2218"/>
      <c r="B1456" s="2251">
        <v>44992</v>
      </c>
      <c r="C1456">
        <v>16.251899999999999</v>
      </c>
      <c r="D1456" s="2527">
        <v>10.082700000000001</v>
      </c>
      <c r="E1456" s="2523">
        <f t="shared" si="106"/>
        <v>20.496540945512795</v>
      </c>
      <c r="F1456" s="2261">
        <f t="shared" si="105"/>
        <v>24.033050394191257</v>
      </c>
      <c r="G1456" s="2524">
        <f t="shared" si="107"/>
        <v>27.569559842869719</v>
      </c>
      <c r="H1456" s="2524">
        <f t="shared" si="108"/>
        <v>16.960031496834333</v>
      </c>
      <c r="I1456" s="2524">
        <f t="shared" si="109"/>
        <v>13.423522048155872</v>
      </c>
    </row>
    <row r="1457" spans="1:9">
      <c r="A1457" s="2218"/>
      <c r="B1457" s="2251">
        <v>44993</v>
      </c>
      <c r="C1457">
        <v>16.3963</v>
      </c>
      <c r="D1457" s="2527">
        <v>11.082700000000001</v>
      </c>
      <c r="E1457" s="2523">
        <f t="shared" si="106"/>
        <v>20.496540945512795</v>
      </c>
      <c r="F1457" s="2261">
        <f t="shared" si="105"/>
        <v>24.033050394191257</v>
      </c>
      <c r="G1457" s="2524">
        <f t="shared" si="107"/>
        <v>27.569559842869719</v>
      </c>
      <c r="H1457" s="2524">
        <f t="shared" si="108"/>
        <v>16.960031496834333</v>
      </c>
      <c r="I1457" s="2524">
        <f t="shared" si="109"/>
        <v>13.423522048155872</v>
      </c>
    </row>
    <row r="1458" spans="1:9">
      <c r="A1458" s="2218"/>
      <c r="B1458" s="2251">
        <v>44994</v>
      </c>
      <c r="C1458">
        <v>16.623200000000001</v>
      </c>
      <c r="D1458" s="2527">
        <v>12.082700000000001</v>
      </c>
      <c r="E1458" s="2523">
        <f t="shared" si="106"/>
        <v>20.496540945512795</v>
      </c>
      <c r="F1458" s="2261">
        <f t="shared" si="105"/>
        <v>24.033050394191257</v>
      </c>
      <c r="G1458" s="2524">
        <f t="shared" si="107"/>
        <v>27.569559842869719</v>
      </c>
      <c r="H1458" s="2524">
        <f t="shared" si="108"/>
        <v>16.960031496834333</v>
      </c>
      <c r="I1458" s="2524">
        <f t="shared" si="109"/>
        <v>13.423522048155872</v>
      </c>
    </row>
    <row r="1459" spans="1:9">
      <c r="A1459" s="2218"/>
      <c r="B1459" s="2251">
        <v>44995</v>
      </c>
      <c r="C1459">
        <v>16.3963</v>
      </c>
      <c r="D1459" s="2527">
        <v>13.082700000000001</v>
      </c>
      <c r="E1459" s="2523">
        <f t="shared" si="106"/>
        <v>20.496540945512795</v>
      </c>
      <c r="F1459" s="2261">
        <f t="shared" si="105"/>
        <v>24.033050394191257</v>
      </c>
      <c r="G1459" s="2524">
        <f t="shared" si="107"/>
        <v>27.569559842869719</v>
      </c>
      <c r="H1459" s="2524">
        <f t="shared" si="108"/>
        <v>16.960031496834333</v>
      </c>
      <c r="I1459" s="2524">
        <f t="shared" si="109"/>
        <v>13.423522048155872</v>
      </c>
    </row>
    <row r="1460" spans="1:9">
      <c r="A1460" s="2218"/>
      <c r="B1460" s="2251">
        <v>44998</v>
      </c>
      <c r="C1460">
        <v>16.272600000000001</v>
      </c>
      <c r="D1460" s="2527">
        <v>14.082700000000001</v>
      </c>
      <c r="E1460" s="2523">
        <f t="shared" si="106"/>
        <v>20.496540945512795</v>
      </c>
      <c r="F1460" s="2261">
        <f t="shared" si="105"/>
        <v>24.033050394191257</v>
      </c>
      <c r="G1460" s="2524">
        <f t="shared" si="107"/>
        <v>27.569559842869719</v>
      </c>
      <c r="H1460" s="2524">
        <f t="shared" si="108"/>
        <v>16.960031496834333</v>
      </c>
      <c r="I1460" s="2524">
        <f t="shared" si="109"/>
        <v>13.423522048155872</v>
      </c>
    </row>
    <row r="1461" spans="1:9">
      <c r="A1461" s="2218"/>
      <c r="B1461" s="2251">
        <v>44999</v>
      </c>
      <c r="C1461">
        <v>16.231300000000001</v>
      </c>
      <c r="D1461" s="2527">
        <v>15.082700000000001</v>
      </c>
      <c r="E1461" s="2523">
        <f t="shared" si="106"/>
        <v>20.496540945512795</v>
      </c>
      <c r="F1461" s="2261">
        <f t="shared" si="105"/>
        <v>24.033050394191257</v>
      </c>
      <c r="G1461" s="2524">
        <f t="shared" si="107"/>
        <v>27.569559842869719</v>
      </c>
      <c r="H1461" s="2524">
        <f t="shared" si="108"/>
        <v>16.960031496834333</v>
      </c>
      <c r="I1461" s="2524">
        <f t="shared" si="109"/>
        <v>13.423522048155872</v>
      </c>
    </row>
    <row r="1462" spans="1:9">
      <c r="A1462" s="2218"/>
      <c r="B1462" s="2251">
        <v>45000</v>
      </c>
      <c r="C1462">
        <v>16.602599999999999</v>
      </c>
      <c r="D1462" s="2527">
        <v>16.082699999999999</v>
      </c>
      <c r="E1462" s="2523">
        <f t="shared" si="106"/>
        <v>20.496540945512795</v>
      </c>
      <c r="F1462" s="2261">
        <f t="shared" si="105"/>
        <v>24.033050394191257</v>
      </c>
      <c r="G1462" s="2524">
        <f t="shared" si="107"/>
        <v>27.569559842869719</v>
      </c>
      <c r="H1462" s="2524">
        <f t="shared" si="108"/>
        <v>16.960031496834333</v>
      </c>
      <c r="I1462" s="2524">
        <f t="shared" si="109"/>
        <v>13.423522048155872</v>
      </c>
    </row>
    <row r="1463" spans="1:9">
      <c r="A1463" s="2218"/>
      <c r="B1463" s="2251">
        <v>45001</v>
      </c>
      <c r="C1463">
        <v>16.334399999999999</v>
      </c>
      <c r="D1463" s="2527">
        <v>17.082699999999999</v>
      </c>
      <c r="E1463" s="2523">
        <f t="shared" si="106"/>
        <v>20.496540945512795</v>
      </c>
      <c r="F1463" s="2261">
        <f t="shared" si="105"/>
        <v>24.033050394191257</v>
      </c>
      <c r="G1463" s="2524">
        <f t="shared" si="107"/>
        <v>27.569559842869719</v>
      </c>
      <c r="H1463" s="2524">
        <f t="shared" si="108"/>
        <v>16.960031496834333</v>
      </c>
      <c r="I1463" s="2524">
        <f t="shared" si="109"/>
        <v>13.423522048155872</v>
      </c>
    </row>
    <row r="1464" spans="1:9">
      <c r="A1464" s="2218"/>
      <c r="B1464" s="2251">
        <v>45002</v>
      </c>
      <c r="C1464">
        <v>16.293199999999999</v>
      </c>
      <c r="D1464" s="2527">
        <v>18.082699999999999</v>
      </c>
      <c r="E1464" s="2523">
        <f t="shared" si="106"/>
        <v>20.496540945512795</v>
      </c>
      <c r="F1464" s="2261">
        <f t="shared" si="105"/>
        <v>24.033050394191257</v>
      </c>
      <c r="G1464" s="2524">
        <f t="shared" si="107"/>
        <v>27.569559842869719</v>
      </c>
      <c r="H1464" s="2524">
        <f t="shared" si="108"/>
        <v>16.960031496834333</v>
      </c>
      <c r="I1464" s="2524">
        <f t="shared" si="109"/>
        <v>13.423522048155872</v>
      </c>
    </row>
    <row r="1465" spans="1:9">
      <c r="A1465" s="2218"/>
      <c r="B1465" s="2251">
        <v>45005</v>
      </c>
      <c r="C1465">
        <v>16.0045</v>
      </c>
      <c r="D1465" s="2527">
        <v>19.082699999999999</v>
      </c>
      <c r="E1465" s="2523">
        <f t="shared" si="106"/>
        <v>20.496540945512795</v>
      </c>
      <c r="F1465" s="2261">
        <f t="shared" si="105"/>
        <v>24.033050394191257</v>
      </c>
      <c r="G1465" s="2524">
        <f t="shared" si="107"/>
        <v>27.569559842869719</v>
      </c>
      <c r="H1465" s="2524">
        <f t="shared" si="108"/>
        <v>16.960031496834333</v>
      </c>
      <c r="I1465" s="2524">
        <f t="shared" si="109"/>
        <v>13.423522048155872</v>
      </c>
    </row>
    <row r="1466" spans="1:9">
      <c r="A1466" s="2218"/>
      <c r="B1466" s="2251">
        <v>45006</v>
      </c>
      <c r="C1466">
        <v>16.107600000000001</v>
      </c>
      <c r="D1466" s="2527">
        <v>20.082699999999999</v>
      </c>
      <c r="E1466" s="2523">
        <f t="shared" si="106"/>
        <v>20.496540945512795</v>
      </c>
      <c r="F1466" s="2261">
        <f t="shared" si="105"/>
        <v>24.033050394191257</v>
      </c>
      <c r="G1466" s="2524">
        <f t="shared" si="107"/>
        <v>27.569559842869719</v>
      </c>
      <c r="H1466" s="2524">
        <f t="shared" si="108"/>
        <v>16.960031496834333</v>
      </c>
      <c r="I1466" s="2524">
        <f t="shared" si="109"/>
        <v>13.423522048155872</v>
      </c>
    </row>
    <row r="1467" spans="1:9">
      <c r="A1467" s="2218"/>
      <c r="B1467" s="2251">
        <v>45007</v>
      </c>
      <c r="C1467">
        <v>16.190100000000001</v>
      </c>
      <c r="D1467" s="2527">
        <v>21.082699999999999</v>
      </c>
      <c r="E1467" s="2523">
        <f t="shared" si="106"/>
        <v>20.496540945512795</v>
      </c>
      <c r="F1467" s="2261">
        <f t="shared" si="105"/>
        <v>24.033050394191257</v>
      </c>
      <c r="G1467" s="2524">
        <f t="shared" si="107"/>
        <v>27.569559842869719</v>
      </c>
      <c r="H1467" s="2524">
        <f t="shared" si="108"/>
        <v>16.960031496834333</v>
      </c>
      <c r="I1467" s="2524">
        <f t="shared" si="109"/>
        <v>13.423522048155872</v>
      </c>
    </row>
    <row r="1468" spans="1:9">
      <c r="A1468" s="2218"/>
      <c r="B1468" s="2251">
        <v>45008</v>
      </c>
      <c r="C1468">
        <v>16.087</v>
      </c>
      <c r="D1468" s="2527">
        <v>22.082699999999999</v>
      </c>
      <c r="E1468" s="2523">
        <f t="shared" si="106"/>
        <v>20.496540945512795</v>
      </c>
      <c r="F1468" s="2261">
        <f t="shared" si="105"/>
        <v>24.033050394191257</v>
      </c>
      <c r="G1468" s="2524">
        <f t="shared" si="107"/>
        <v>27.569559842869719</v>
      </c>
      <c r="H1468" s="2524">
        <f t="shared" si="108"/>
        <v>16.960031496834333</v>
      </c>
      <c r="I1468" s="2524">
        <f t="shared" si="109"/>
        <v>13.423522048155872</v>
      </c>
    </row>
    <row r="1469" spans="1:9">
      <c r="A1469" s="2218"/>
      <c r="B1469" s="2251">
        <v>45009</v>
      </c>
      <c r="C1469">
        <v>16.210699999999999</v>
      </c>
      <c r="D1469" s="2527">
        <v>23.082699999999999</v>
      </c>
      <c r="E1469" s="2523">
        <f t="shared" si="106"/>
        <v>20.496540945512795</v>
      </c>
      <c r="F1469" s="2261">
        <f t="shared" ref="F1469:F1532" si="114">I$953+F$953</f>
        <v>24.033050394191257</v>
      </c>
      <c r="G1469" s="2524">
        <f t="shared" si="107"/>
        <v>27.569559842869719</v>
      </c>
      <c r="H1469" s="2524">
        <f t="shared" si="108"/>
        <v>16.960031496834333</v>
      </c>
      <c r="I1469" s="2524">
        <f t="shared" si="109"/>
        <v>13.423522048155872</v>
      </c>
    </row>
    <row r="1470" spans="1:9">
      <c r="A1470" s="2218"/>
      <c r="B1470" s="2251">
        <v>45012</v>
      </c>
      <c r="C1470">
        <v>16.313800000000001</v>
      </c>
      <c r="D1470" s="2527">
        <v>24.082699999999999</v>
      </c>
      <c r="E1470" s="2523">
        <f t="shared" ref="E1470:E1533" si="115">I$953</f>
        <v>20.496540945512795</v>
      </c>
      <c r="F1470" s="2261">
        <f t="shared" si="114"/>
        <v>24.033050394191257</v>
      </c>
      <c r="G1470" s="2524">
        <f t="shared" ref="G1470:G1533" si="116">I$953+F$953+F$953</f>
        <v>27.569559842869719</v>
      </c>
      <c r="H1470" s="2524">
        <f t="shared" ref="H1470:H1533" si="117">I$953-F$953</f>
        <v>16.960031496834333</v>
      </c>
      <c r="I1470" s="2524">
        <f t="shared" ref="I1470:I1533" si="118">I$953-F$953-F$953</f>
        <v>13.423522048155872</v>
      </c>
    </row>
    <row r="1471" spans="1:9">
      <c r="A1471" s="2218"/>
      <c r="B1471" s="2251">
        <v>45013</v>
      </c>
      <c r="C1471">
        <v>16.334399999999999</v>
      </c>
      <c r="D1471" s="2527">
        <v>25.082699999999999</v>
      </c>
      <c r="E1471" s="2523">
        <f t="shared" si="115"/>
        <v>20.496540945512795</v>
      </c>
      <c r="F1471" s="2261">
        <f t="shared" si="114"/>
        <v>24.033050394191257</v>
      </c>
      <c r="G1471" s="2524">
        <f t="shared" si="116"/>
        <v>27.569559842869719</v>
      </c>
      <c r="H1471" s="2524">
        <f t="shared" si="117"/>
        <v>16.960031496834333</v>
      </c>
      <c r="I1471" s="2524">
        <f t="shared" si="118"/>
        <v>13.423522048155872</v>
      </c>
    </row>
    <row r="1472" spans="1:9">
      <c r="A1472" s="2218"/>
      <c r="B1472" s="2251">
        <v>45014</v>
      </c>
      <c r="C1472">
        <v>16.293199999999999</v>
      </c>
      <c r="D1472" s="2527">
        <v>26.082699999999999</v>
      </c>
      <c r="E1472" s="2523">
        <f t="shared" si="115"/>
        <v>20.496540945512795</v>
      </c>
      <c r="F1472" s="2261">
        <f t="shared" si="114"/>
        <v>24.033050394191257</v>
      </c>
      <c r="G1472" s="2524">
        <f t="shared" si="116"/>
        <v>27.569559842869719</v>
      </c>
      <c r="H1472" s="2524">
        <f t="shared" si="117"/>
        <v>16.960031496834333</v>
      </c>
      <c r="I1472" s="2524">
        <f t="shared" si="118"/>
        <v>13.423522048155872</v>
      </c>
    </row>
    <row r="1473" spans="1:9">
      <c r="A1473" s="2218"/>
      <c r="B1473" s="2251">
        <v>45015</v>
      </c>
      <c r="C1473">
        <v>16.313800000000001</v>
      </c>
      <c r="D1473" s="2527">
        <v>27.082699999999999</v>
      </c>
      <c r="E1473" s="2523">
        <f t="shared" si="115"/>
        <v>20.496540945512795</v>
      </c>
      <c r="F1473" s="2261">
        <f t="shared" si="114"/>
        <v>24.033050394191257</v>
      </c>
      <c r="G1473" s="2524">
        <f t="shared" si="116"/>
        <v>27.569559842869719</v>
      </c>
      <c r="H1473" s="2524">
        <f t="shared" si="117"/>
        <v>16.960031496834333</v>
      </c>
      <c r="I1473" s="2524">
        <f t="shared" si="118"/>
        <v>13.423522048155872</v>
      </c>
    </row>
    <row r="1474" spans="1:9">
      <c r="A1474" s="2218"/>
      <c r="B1474" s="2251">
        <v>45016</v>
      </c>
      <c r="C1474">
        <v>15.595000000000001</v>
      </c>
      <c r="D1474" s="2527">
        <v>28.082699999999999</v>
      </c>
      <c r="E1474" s="2523">
        <f t="shared" si="115"/>
        <v>20.496540945512795</v>
      </c>
      <c r="F1474" s="2261">
        <f t="shared" si="114"/>
        <v>24.033050394191257</v>
      </c>
      <c r="G1474" s="2524">
        <f t="shared" si="116"/>
        <v>27.569559842869719</v>
      </c>
      <c r="H1474" s="2524">
        <f t="shared" si="117"/>
        <v>16.960031496834333</v>
      </c>
      <c r="I1474" s="2524">
        <f t="shared" si="118"/>
        <v>13.423522048155872</v>
      </c>
    </row>
    <row r="1475" spans="1:9">
      <c r="A1475" s="2218"/>
      <c r="B1475" s="2251">
        <v>45019</v>
      </c>
      <c r="C1475">
        <v>15.9498</v>
      </c>
      <c r="D1475" s="2527">
        <v>29.082699999999999</v>
      </c>
      <c r="E1475" s="2523">
        <f t="shared" si="115"/>
        <v>20.496540945512795</v>
      </c>
      <c r="F1475" s="2261">
        <f t="shared" si="114"/>
        <v>24.033050394191257</v>
      </c>
      <c r="G1475" s="2524">
        <f t="shared" si="116"/>
        <v>27.569559842869719</v>
      </c>
      <c r="H1475" s="2524">
        <f t="shared" si="117"/>
        <v>16.960031496834333</v>
      </c>
      <c r="I1475" s="2524">
        <f t="shared" si="118"/>
        <v>13.423522048155872</v>
      </c>
    </row>
    <row r="1476" spans="1:9">
      <c r="A1476" s="2218"/>
      <c r="B1476" s="2251">
        <v>45020</v>
      </c>
      <c r="C1476">
        <v>15.871</v>
      </c>
      <c r="D1476" s="2527">
        <v>30.082699999999999</v>
      </c>
      <c r="E1476" s="2523">
        <f t="shared" si="115"/>
        <v>20.496540945512795</v>
      </c>
      <c r="F1476" s="2261">
        <f t="shared" si="114"/>
        <v>24.033050394191257</v>
      </c>
      <c r="G1476" s="2524">
        <f t="shared" si="116"/>
        <v>27.569559842869719</v>
      </c>
      <c r="H1476" s="2524">
        <f t="shared" si="117"/>
        <v>16.960031496834333</v>
      </c>
      <c r="I1476" s="2524">
        <f t="shared" si="118"/>
        <v>13.423522048155872</v>
      </c>
    </row>
    <row r="1477" spans="1:9">
      <c r="A1477" s="2218"/>
      <c r="B1477" s="2251">
        <v>45021</v>
      </c>
      <c r="C1477">
        <v>15.890700000000001</v>
      </c>
      <c r="D1477" s="2527">
        <v>31.082699999999999</v>
      </c>
      <c r="E1477" s="2523">
        <f t="shared" si="115"/>
        <v>20.496540945512795</v>
      </c>
      <c r="F1477" s="2261">
        <f t="shared" si="114"/>
        <v>24.033050394191257</v>
      </c>
      <c r="G1477" s="2524">
        <f t="shared" si="116"/>
        <v>27.569559842869719</v>
      </c>
      <c r="H1477" s="2524">
        <f t="shared" si="117"/>
        <v>16.960031496834333</v>
      </c>
      <c r="I1477" s="2524">
        <f t="shared" si="118"/>
        <v>13.423522048155872</v>
      </c>
    </row>
    <row r="1478" spans="1:9">
      <c r="A1478" s="2218"/>
      <c r="B1478" s="2251">
        <v>45022</v>
      </c>
      <c r="C1478">
        <v>15.8316</v>
      </c>
      <c r="D1478" s="2527">
        <v>32.082700000000003</v>
      </c>
      <c r="E1478" s="2523">
        <f t="shared" si="115"/>
        <v>20.496540945512795</v>
      </c>
      <c r="F1478" s="2261">
        <f t="shared" si="114"/>
        <v>24.033050394191257</v>
      </c>
      <c r="G1478" s="2524">
        <f t="shared" si="116"/>
        <v>27.569559842869719</v>
      </c>
      <c r="H1478" s="2524">
        <f t="shared" si="117"/>
        <v>16.960031496834333</v>
      </c>
      <c r="I1478" s="2524">
        <f t="shared" si="118"/>
        <v>13.423522048155872</v>
      </c>
    </row>
    <row r="1479" spans="1:9">
      <c r="A1479" s="2218"/>
      <c r="B1479" s="2251">
        <v>45023</v>
      </c>
      <c r="C1479">
        <v>15.871</v>
      </c>
      <c r="D1479" s="2527">
        <v>33.082700000000003</v>
      </c>
      <c r="E1479" s="2523">
        <f t="shared" si="115"/>
        <v>20.496540945512795</v>
      </c>
      <c r="F1479" s="2261">
        <f t="shared" si="114"/>
        <v>24.033050394191257</v>
      </c>
      <c r="G1479" s="2524">
        <f t="shared" si="116"/>
        <v>27.569559842869719</v>
      </c>
      <c r="H1479" s="2524">
        <f t="shared" si="117"/>
        <v>16.960031496834333</v>
      </c>
      <c r="I1479" s="2524">
        <f t="shared" si="118"/>
        <v>13.423522048155872</v>
      </c>
    </row>
    <row r="1480" spans="1:9">
      <c r="A1480" s="2218"/>
      <c r="B1480" s="2251">
        <v>45026</v>
      </c>
      <c r="C1480">
        <v>15.8316</v>
      </c>
      <c r="D1480" s="2527">
        <v>34.082700000000003</v>
      </c>
      <c r="E1480" s="2523">
        <f t="shared" si="115"/>
        <v>20.496540945512795</v>
      </c>
      <c r="F1480" s="2261">
        <f t="shared" si="114"/>
        <v>24.033050394191257</v>
      </c>
      <c r="G1480" s="2524">
        <f t="shared" si="116"/>
        <v>27.569559842869719</v>
      </c>
      <c r="H1480" s="2524">
        <f t="shared" si="117"/>
        <v>16.960031496834333</v>
      </c>
      <c r="I1480" s="2524">
        <f t="shared" si="118"/>
        <v>13.423522048155872</v>
      </c>
    </row>
    <row r="1481" spans="1:9">
      <c r="A1481" s="2218"/>
      <c r="B1481" s="2251">
        <v>45027</v>
      </c>
      <c r="C1481">
        <v>15.8316</v>
      </c>
      <c r="D1481" s="2527">
        <v>35.082700000000003</v>
      </c>
      <c r="E1481" s="2523">
        <f t="shared" si="115"/>
        <v>20.496540945512795</v>
      </c>
      <c r="F1481" s="2261">
        <f t="shared" si="114"/>
        <v>24.033050394191257</v>
      </c>
      <c r="G1481" s="2524">
        <f t="shared" si="116"/>
        <v>27.569559842869719</v>
      </c>
      <c r="H1481" s="2524">
        <f t="shared" si="117"/>
        <v>16.960031496834333</v>
      </c>
      <c r="I1481" s="2524">
        <f t="shared" si="118"/>
        <v>13.423522048155872</v>
      </c>
    </row>
    <row r="1482" spans="1:9">
      <c r="A1482" s="2218"/>
      <c r="B1482" s="2251">
        <v>45028</v>
      </c>
      <c r="C1482">
        <v>15.8316</v>
      </c>
      <c r="D1482" s="2527">
        <v>36.082700000000003</v>
      </c>
      <c r="E1482" s="2523">
        <f t="shared" si="115"/>
        <v>20.496540945512795</v>
      </c>
      <c r="F1482" s="2261">
        <f t="shared" si="114"/>
        <v>24.033050394191257</v>
      </c>
      <c r="G1482" s="2524">
        <f t="shared" si="116"/>
        <v>27.569559842869719</v>
      </c>
      <c r="H1482" s="2524">
        <f t="shared" si="117"/>
        <v>16.960031496834333</v>
      </c>
      <c r="I1482" s="2524">
        <f t="shared" si="118"/>
        <v>13.423522048155872</v>
      </c>
    </row>
    <row r="1483" spans="1:9">
      <c r="A1483" s="2218"/>
      <c r="B1483" s="2251">
        <v>45029</v>
      </c>
      <c r="C1483">
        <v>15.6935</v>
      </c>
      <c r="D1483" s="2527">
        <v>37.082700000000003</v>
      </c>
      <c r="E1483" s="2523">
        <f t="shared" si="115"/>
        <v>20.496540945512795</v>
      </c>
      <c r="F1483" s="2261">
        <f t="shared" si="114"/>
        <v>24.033050394191257</v>
      </c>
      <c r="G1483" s="2524">
        <f t="shared" si="116"/>
        <v>27.569559842869719</v>
      </c>
      <c r="H1483" s="2524">
        <f t="shared" si="117"/>
        <v>16.960031496834333</v>
      </c>
      <c r="I1483" s="2524">
        <f t="shared" si="118"/>
        <v>13.423522048155872</v>
      </c>
    </row>
    <row r="1484" spans="1:9">
      <c r="A1484" s="2218"/>
      <c r="B1484" s="2251">
        <v>45030</v>
      </c>
      <c r="C1484">
        <v>15.6935</v>
      </c>
      <c r="D1484" s="2527">
        <v>38.082700000000003</v>
      </c>
      <c r="E1484" s="2523">
        <f t="shared" si="115"/>
        <v>20.496540945512795</v>
      </c>
      <c r="F1484" s="2261">
        <f t="shared" si="114"/>
        <v>24.033050394191257</v>
      </c>
      <c r="G1484" s="2524">
        <f t="shared" si="116"/>
        <v>27.569559842869719</v>
      </c>
      <c r="H1484" s="2524">
        <f t="shared" si="117"/>
        <v>16.960031496834333</v>
      </c>
      <c r="I1484" s="2524">
        <f t="shared" si="118"/>
        <v>13.423522048155872</v>
      </c>
    </row>
    <row r="1485" spans="1:9">
      <c r="A1485" s="2218"/>
      <c r="B1485" s="2251">
        <v>45033</v>
      </c>
      <c r="C1485">
        <v>15.6935</v>
      </c>
      <c r="D1485" s="2527">
        <v>39.082700000000003</v>
      </c>
      <c r="E1485" s="2523">
        <f t="shared" si="115"/>
        <v>20.496540945512795</v>
      </c>
      <c r="F1485" s="2261">
        <f t="shared" si="114"/>
        <v>24.033050394191257</v>
      </c>
      <c r="G1485" s="2524">
        <f t="shared" si="116"/>
        <v>27.569559842869719</v>
      </c>
      <c r="H1485" s="2524">
        <f t="shared" si="117"/>
        <v>16.960031496834333</v>
      </c>
      <c r="I1485" s="2524">
        <f t="shared" si="118"/>
        <v>13.423522048155872</v>
      </c>
    </row>
    <row r="1486" spans="1:9">
      <c r="A1486" s="2218"/>
      <c r="B1486" s="2251">
        <v>45034</v>
      </c>
      <c r="C1486">
        <v>15.6541</v>
      </c>
      <c r="D1486" s="2527">
        <v>40.082700000000003</v>
      </c>
      <c r="E1486" s="2523">
        <f t="shared" si="115"/>
        <v>20.496540945512795</v>
      </c>
      <c r="F1486" s="2261">
        <f t="shared" si="114"/>
        <v>24.033050394191257</v>
      </c>
      <c r="G1486" s="2524">
        <f t="shared" si="116"/>
        <v>27.569559842869719</v>
      </c>
      <c r="H1486" s="2524">
        <f t="shared" si="117"/>
        <v>16.960031496834333</v>
      </c>
      <c r="I1486" s="2524">
        <f t="shared" si="118"/>
        <v>13.423522048155872</v>
      </c>
    </row>
    <row r="1487" spans="1:9">
      <c r="A1487" s="2218"/>
      <c r="B1487" s="2251">
        <v>45035</v>
      </c>
      <c r="C1487">
        <v>15.634399999999999</v>
      </c>
      <c r="D1487" s="2527">
        <v>41.082700000000003</v>
      </c>
      <c r="E1487" s="2523">
        <f t="shared" si="115"/>
        <v>20.496540945512795</v>
      </c>
      <c r="F1487" s="2261">
        <f t="shared" si="114"/>
        <v>24.033050394191257</v>
      </c>
      <c r="G1487" s="2524">
        <f t="shared" si="116"/>
        <v>27.569559842869719</v>
      </c>
      <c r="H1487" s="2524">
        <f t="shared" si="117"/>
        <v>16.960031496834333</v>
      </c>
      <c r="I1487" s="2524">
        <f t="shared" si="118"/>
        <v>13.423522048155872</v>
      </c>
    </row>
    <row r="1488" spans="1:9">
      <c r="A1488" s="2218"/>
      <c r="B1488" s="2251">
        <v>45036</v>
      </c>
      <c r="C1488">
        <v>15.6541</v>
      </c>
      <c r="D1488" s="2527">
        <v>42.082700000000003</v>
      </c>
      <c r="E1488" s="2523">
        <f t="shared" si="115"/>
        <v>20.496540945512795</v>
      </c>
      <c r="F1488" s="2261">
        <f t="shared" si="114"/>
        <v>24.033050394191257</v>
      </c>
      <c r="G1488" s="2524">
        <f t="shared" si="116"/>
        <v>27.569559842869719</v>
      </c>
      <c r="H1488" s="2524">
        <f t="shared" si="117"/>
        <v>16.960031496834333</v>
      </c>
      <c r="I1488" s="2524">
        <f t="shared" si="118"/>
        <v>13.423522048155872</v>
      </c>
    </row>
    <row r="1489" spans="1:9">
      <c r="A1489" s="2218"/>
      <c r="B1489" s="2251">
        <v>45037</v>
      </c>
      <c r="C1489">
        <v>15.634399999999999</v>
      </c>
      <c r="D1489" s="2527">
        <v>43.082700000000003</v>
      </c>
      <c r="E1489" s="2523">
        <f t="shared" si="115"/>
        <v>20.496540945512795</v>
      </c>
      <c r="F1489" s="2261">
        <f t="shared" si="114"/>
        <v>24.033050394191257</v>
      </c>
      <c r="G1489" s="2524">
        <f t="shared" si="116"/>
        <v>27.569559842869719</v>
      </c>
      <c r="H1489" s="2524">
        <f t="shared" si="117"/>
        <v>16.960031496834333</v>
      </c>
      <c r="I1489" s="2524">
        <f t="shared" si="118"/>
        <v>13.423522048155872</v>
      </c>
    </row>
    <row r="1490" spans="1:9">
      <c r="A1490" s="2218"/>
      <c r="B1490" s="2251">
        <v>45040</v>
      </c>
      <c r="C1490">
        <v>15.595000000000001</v>
      </c>
      <c r="D1490" s="2527">
        <v>44.082700000000003</v>
      </c>
      <c r="E1490" s="2523">
        <f t="shared" si="115"/>
        <v>20.496540945512795</v>
      </c>
      <c r="F1490" s="2261">
        <f t="shared" si="114"/>
        <v>24.033050394191257</v>
      </c>
      <c r="G1490" s="2524">
        <f t="shared" si="116"/>
        <v>27.569559842869719</v>
      </c>
      <c r="H1490" s="2524">
        <f t="shared" si="117"/>
        <v>16.960031496834333</v>
      </c>
      <c r="I1490" s="2524">
        <f t="shared" si="118"/>
        <v>13.423522048155872</v>
      </c>
    </row>
    <row r="1491" spans="1:9">
      <c r="A1491" s="2218"/>
      <c r="B1491" s="2251">
        <v>45041</v>
      </c>
      <c r="C1491">
        <v>15.457000000000001</v>
      </c>
      <c r="D1491" s="2527">
        <v>45.082700000000003</v>
      </c>
      <c r="E1491" s="2523">
        <f t="shared" si="115"/>
        <v>20.496540945512795</v>
      </c>
      <c r="F1491" s="2261">
        <f t="shared" si="114"/>
        <v>24.033050394191257</v>
      </c>
      <c r="G1491" s="2524">
        <f t="shared" si="116"/>
        <v>27.569559842869719</v>
      </c>
      <c r="H1491" s="2524">
        <f t="shared" si="117"/>
        <v>16.960031496834333</v>
      </c>
      <c r="I1491" s="2524">
        <f t="shared" si="118"/>
        <v>13.423522048155872</v>
      </c>
    </row>
    <row r="1492" spans="1:9">
      <c r="A1492" s="2218"/>
      <c r="B1492" s="2251">
        <v>45042</v>
      </c>
      <c r="C1492">
        <v>15.437200000000001</v>
      </c>
      <c r="D1492" s="2527">
        <v>46.082700000000003</v>
      </c>
      <c r="E1492" s="2523">
        <f t="shared" si="115"/>
        <v>20.496540945512795</v>
      </c>
      <c r="F1492" s="2261">
        <f t="shared" si="114"/>
        <v>24.033050394191257</v>
      </c>
      <c r="G1492" s="2524">
        <f t="shared" si="116"/>
        <v>27.569559842869719</v>
      </c>
      <c r="H1492" s="2524">
        <f t="shared" si="117"/>
        <v>16.960031496834333</v>
      </c>
      <c r="I1492" s="2524">
        <f t="shared" si="118"/>
        <v>13.423522048155872</v>
      </c>
    </row>
    <row r="1493" spans="1:9">
      <c r="A1493" s="2218"/>
      <c r="B1493" s="2251">
        <v>45043</v>
      </c>
      <c r="C1493">
        <v>15.437200000000001</v>
      </c>
      <c r="D1493" s="2527">
        <v>47.082700000000003</v>
      </c>
      <c r="E1493" s="2523">
        <f t="shared" si="115"/>
        <v>20.496540945512795</v>
      </c>
      <c r="F1493" s="2261">
        <f t="shared" si="114"/>
        <v>24.033050394191257</v>
      </c>
      <c r="G1493" s="2524">
        <f t="shared" si="116"/>
        <v>27.569559842869719</v>
      </c>
      <c r="H1493" s="2524">
        <f t="shared" si="117"/>
        <v>16.960031496834333</v>
      </c>
      <c r="I1493" s="2524">
        <f t="shared" si="118"/>
        <v>13.423522048155872</v>
      </c>
    </row>
    <row r="1494" spans="1:9">
      <c r="A1494" s="2218"/>
      <c r="B1494" s="2251">
        <v>45044</v>
      </c>
      <c r="C1494">
        <v>15.279500000000001</v>
      </c>
      <c r="D1494" s="2527">
        <v>48.082700000000003</v>
      </c>
      <c r="E1494" s="2523">
        <f t="shared" si="115"/>
        <v>20.496540945512795</v>
      </c>
      <c r="F1494" s="2261">
        <f t="shared" si="114"/>
        <v>24.033050394191257</v>
      </c>
      <c r="G1494" s="2524">
        <f t="shared" si="116"/>
        <v>27.569559842869719</v>
      </c>
      <c r="H1494" s="2524">
        <f t="shared" si="117"/>
        <v>16.960031496834333</v>
      </c>
      <c r="I1494" s="2524">
        <f t="shared" si="118"/>
        <v>13.423522048155872</v>
      </c>
    </row>
    <row r="1495" spans="1:9">
      <c r="A1495" s="2218"/>
      <c r="B1495" s="2251">
        <v>45050</v>
      </c>
      <c r="C1495">
        <v>15.476699999999999</v>
      </c>
      <c r="D1495" s="2527">
        <v>49.082700000000003</v>
      </c>
      <c r="E1495" s="2523">
        <f t="shared" si="115"/>
        <v>20.496540945512795</v>
      </c>
      <c r="F1495" s="2261">
        <f t="shared" si="114"/>
        <v>24.033050394191257</v>
      </c>
      <c r="G1495" s="2524">
        <f t="shared" si="116"/>
        <v>27.569559842869719</v>
      </c>
      <c r="H1495" s="2524">
        <f t="shared" si="117"/>
        <v>16.960031496834333</v>
      </c>
      <c r="I1495" s="2524">
        <f t="shared" si="118"/>
        <v>13.423522048155872</v>
      </c>
    </row>
    <row r="1496" spans="1:9">
      <c r="A1496" s="2218"/>
      <c r="B1496" s="2251">
        <v>45051</v>
      </c>
      <c r="C1496">
        <v>15.457000000000001</v>
      </c>
      <c r="D1496" s="2527">
        <v>50.082700000000003</v>
      </c>
      <c r="E1496" s="2523">
        <f t="shared" si="115"/>
        <v>20.496540945512795</v>
      </c>
      <c r="F1496" s="2261">
        <f t="shared" si="114"/>
        <v>24.033050394191257</v>
      </c>
      <c r="G1496" s="2524">
        <f t="shared" si="116"/>
        <v>27.569559842869719</v>
      </c>
      <c r="H1496" s="2524">
        <f t="shared" si="117"/>
        <v>16.960031496834333</v>
      </c>
      <c r="I1496" s="2524">
        <f t="shared" si="118"/>
        <v>13.423522048155872</v>
      </c>
    </row>
    <row r="1497" spans="1:9">
      <c r="A1497" s="2218"/>
      <c r="B1497" s="2251">
        <v>45054</v>
      </c>
      <c r="C1497">
        <v>15.476699999999999</v>
      </c>
      <c r="D1497" s="2527">
        <v>51.082700000000003</v>
      </c>
      <c r="E1497" s="2523">
        <f t="shared" si="115"/>
        <v>20.496540945512795</v>
      </c>
      <c r="F1497" s="2261">
        <f t="shared" si="114"/>
        <v>24.033050394191257</v>
      </c>
      <c r="G1497" s="2524">
        <f t="shared" si="116"/>
        <v>27.569559842869719</v>
      </c>
      <c r="H1497" s="2524">
        <f t="shared" si="117"/>
        <v>16.960031496834333</v>
      </c>
      <c r="I1497" s="2524">
        <f t="shared" si="118"/>
        <v>13.423522048155872</v>
      </c>
    </row>
    <row r="1498" spans="1:9">
      <c r="A1498" s="2218"/>
      <c r="B1498" s="2251">
        <v>45055</v>
      </c>
      <c r="C1498">
        <v>15.5555</v>
      </c>
      <c r="D1498" s="2527">
        <v>52.082700000000003</v>
      </c>
      <c r="E1498" s="2523">
        <f t="shared" si="115"/>
        <v>20.496540945512795</v>
      </c>
      <c r="F1498" s="2261">
        <f t="shared" si="114"/>
        <v>24.033050394191257</v>
      </c>
      <c r="G1498" s="2524">
        <f t="shared" si="116"/>
        <v>27.569559842869719</v>
      </c>
      <c r="H1498" s="2524">
        <f t="shared" si="117"/>
        <v>16.960031496834333</v>
      </c>
      <c r="I1498" s="2524">
        <f t="shared" si="118"/>
        <v>13.423522048155872</v>
      </c>
    </row>
    <row r="1499" spans="1:9">
      <c r="A1499" s="2218"/>
      <c r="B1499" s="2251">
        <v>45056</v>
      </c>
      <c r="C1499">
        <v>15.5753</v>
      </c>
      <c r="D1499" s="2527">
        <v>53.082700000000003</v>
      </c>
      <c r="E1499" s="2523">
        <f t="shared" si="115"/>
        <v>20.496540945512795</v>
      </c>
      <c r="F1499" s="2261">
        <f t="shared" si="114"/>
        <v>24.033050394191257</v>
      </c>
      <c r="G1499" s="2524">
        <f t="shared" si="116"/>
        <v>27.569559842869719</v>
      </c>
      <c r="H1499" s="2524">
        <f t="shared" si="117"/>
        <v>16.960031496834333</v>
      </c>
      <c r="I1499" s="2524">
        <f t="shared" si="118"/>
        <v>13.423522048155872</v>
      </c>
    </row>
    <row r="1500" spans="1:9">
      <c r="A1500" s="2218"/>
      <c r="B1500" s="2251">
        <v>45057</v>
      </c>
      <c r="C1500">
        <v>15.595000000000001</v>
      </c>
      <c r="D1500" s="2527">
        <v>54.082700000000003</v>
      </c>
      <c r="E1500" s="2523">
        <f t="shared" si="115"/>
        <v>20.496540945512795</v>
      </c>
      <c r="F1500" s="2261">
        <f t="shared" si="114"/>
        <v>24.033050394191257</v>
      </c>
      <c r="G1500" s="2524">
        <f t="shared" si="116"/>
        <v>27.569559842869719</v>
      </c>
      <c r="H1500" s="2524">
        <f t="shared" si="117"/>
        <v>16.960031496834333</v>
      </c>
      <c r="I1500" s="2524">
        <f t="shared" si="118"/>
        <v>13.423522048155872</v>
      </c>
    </row>
    <row r="1501" spans="1:9">
      <c r="A1501" s="2218"/>
      <c r="B1501" s="2251">
        <v>45058</v>
      </c>
      <c r="C1501">
        <v>15.871</v>
      </c>
      <c r="D1501" s="2527">
        <v>55.082700000000003</v>
      </c>
      <c r="E1501" s="2523">
        <f t="shared" si="115"/>
        <v>20.496540945512795</v>
      </c>
      <c r="F1501" s="2261">
        <f t="shared" si="114"/>
        <v>24.033050394191257</v>
      </c>
      <c r="G1501" s="2524">
        <f t="shared" si="116"/>
        <v>27.569559842869719</v>
      </c>
      <c r="H1501" s="2524">
        <f t="shared" si="117"/>
        <v>16.960031496834333</v>
      </c>
      <c r="I1501" s="2524">
        <f t="shared" si="118"/>
        <v>13.423522048155872</v>
      </c>
    </row>
    <row r="1502" spans="1:9">
      <c r="A1502" s="2218"/>
      <c r="B1502" s="2251">
        <v>45061</v>
      </c>
      <c r="C1502">
        <v>15.9696</v>
      </c>
      <c r="D1502" s="2527">
        <v>56.082700000000003</v>
      </c>
      <c r="E1502" s="2523">
        <f t="shared" si="115"/>
        <v>20.496540945512795</v>
      </c>
      <c r="F1502" s="2261">
        <f t="shared" si="114"/>
        <v>24.033050394191257</v>
      </c>
      <c r="G1502" s="2524">
        <f t="shared" si="116"/>
        <v>27.569559842869719</v>
      </c>
      <c r="H1502" s="2524">
        <f t="shared" si="117"/>
        <v>16.960031496834333</v>
      </c>
      <c r="I1502" s="2524">
        <f t="shared" si="118"/>
        <v>13.423522048155872</v>
      </c>
    </row>
    <row r="1503" spans="1:9">
      <c r="A1503" s="2218"/>
      <c r="B1503" s="2251">
        <v>45062</v>
      </c>
      <c r="C1503">
        <v>16.068100000000001</v>
      </c>
      <c r="D1503" s="2527">
        <v>57.082700000000003</v>
      </c>
      <c r="E1503" s="2523">
        <f t="shared" si="115"/>
        <v>20.496540945512795</v>
      </c>
      <c r="F1503" s="2261">
        <f t="shared" si="114"/>
        <v>24.033050394191257</v>
      </c>
      <c r="G1503" s="2524">
        <f t="shared" si="116"/>
        <v>27.569559842869719</v>
      </c>
      <c r="H1503" s="2524">
        <f t="shared" si="117"/>
        <v>16.960031496834333</v>
      </c>
      <c r="I1503" s="2524">
        <f t="shared" si="118"/>
        <v>13.423522048155872</v>
      </c>
    </row>
    <row r="1504" spans="1:9">
      <c r="A1504" s="2218"/>
      <c r="B1504" s="2251">
        <v>45063</v>
      </c>
      <c r="C1504">
        <v>16.068100000000001</v>
      </c>
      <c r="D1504" s="2527">
        <v>58.082700000000003</v>
      </c>
      <c r="E1504" s="2523">
        <f t="shared" si="115"/>
        <v>20.496540945512795</v>
      </c>
      <c r="F1504" s="2261">
        <f t="shared" si="114"/>
        <v>24.033050394191257</v>
      </c>
      <c r="G1504" s="2524">
        <f t="shared" si="116"/>
        <v>27.569559842869719</v>
      </c>
      <c r="H1504" s="2524">
        <f t="shared" si="117"/>
        <v>16.960031496834333</v>
      </c>
      <c r="I1504" s="2524">
        <f t="shared" si="118"/>
        <v>13.423522048155872</v>
      </c>
    </row>
    <row r="1505" spans="1:9">
      <c r="A1505" s="2218"/>
      <c r="B1505" s="2251">
        <v>45064</v>
      </c>
      <c r="C1505">
        <v>16.344200000000001</v>
      </c>
      <c r="D1505" s="2527">
        <v>59.082700000000003</v>
      </c>
      <c r="E1505" s="2523">
        <f t="shared" si="115"/>
        <v>20.496540945512795</v>
      </c>
      <c r="F1505" s="2261">
        <f t="shared" si="114"/>
        <v>24.033050394191257</v>
      </c>
      <c r="G1505" s="2524">
        <f t="shared" si="116"/>
        <v>27.569559842869719</v>
      </c>
      <c r="H1505" s="2524">
        <f t="shared" si="117"/>
        <v>16.960031496834333</v>
      </c>
      <c r="I1505" s="2524">
        <f t="shared" si="118"/>
        <v>13.423522048155872</v>
      </c>
    </row>
    <row r="1506" spans="1:9">
      <c r="A1506" s="2218"/>
      <c r="B1506" s="2251">
        <v>45065</v>
      </c>
      <c r="C1506">
        <v>16.324400000000001</v>
      </c>
      <c r="D1506" s="2527">
        <v>60.082700000000003</v>
      </c>
      <c r="E1506" s="2523">
        <f t="shared" si="115"/>
        <v>20.496540945512795</v>
      </c>
      <c r="F1506" s="2261">
        <f t="shared" si="114"/>
        <v>24.033050394191257</v>
      </c>
      <c r="G1506" s="2524">
        <f t="shared" si="116"/>
        <v>27.569559842869719</v>
      </c>
      <c r="H1506" s="2524">
        <f t="shared" si="117"/>
        <v>16.960031496834333</v>
      </c>
      <c r="I1506" s="2524">
        <f t="shared" si="118"/>
        <v>13.423522048155872</v>
      </c>
    </row>
    <row r="1507" spans="1:9">
      <c r="A1507" s="2218"/>
      <c r="B1507" s="2251">
        <v>45068</v>
      </c>
      <c r="C1507">
        <v>16.2653</v>
      </c>
      <c r="D1507" s="2527">
        <v>61.082700000000003</v>
      </c>
      <c r="E1507" s="2523">
        <f t="shared" si="115"/>
        <v>20.496540945512795</v>
      </c>
      <c r="F1507" s="2261">
        <f t="shared" si="114"/>
        <v>24.033050394191257</v>
      </c>
      <c r="G1507" s="2524">
        <f t="shared" si="116"/>
        <v>27.569559842869719</v>
      </c>
      <c r="H1507" s="2524">
        <f t="shared" si="117"/>
        <v>16.960031496834333</v>
      </c>
      <c r="I1507" s="2524">
        <f t="shared" si="118"/>
        <v>13.423522048155872</v>
      </c>
    </row>
    <row r="1508" spans="1:9">
      <c r="A1508" s="2218"/>
      <c r="B1508" s="2251">
        <v>45069</v>
      </c>
      <c r="C1508">
        <v>16.166699999999999</v>
      </c>
      <c r="D1508" s="2527">
        <v>62.082700000000003</v>
      </c>
      <c r="E1508" s="2523">
        <f t="shared" si="115"/>
        <v>20.496540945512795</v>
      </c>
      <c r="F1508" s="2261">
        <f t="shared" si="114"/>
        <v>24.033050394191257</v>
      </c>
      <c r="G1508" s="2524">
        <f t="shared" si="116"/>
        <v>27.569559842869719</v>
      </c>
      <c r="H1508" s="2524">
        <f t="shared" si="117"/>
        <v>16.960031496834333</v>
      </c>
      <c r="I1508" s="2524">
        <f t="shared" si="118"/>
        <v>13.423522048155872</v>
      </c>
    </row>
    <row r="1509" spans="1:9">
      <c r="A1509" s="2218"/>
      <c r="B1509" s="2251">
        <v>45070</v>
      </c>
      <c r="C1509">
        <v>16.028700000000001</v>
      </c>
      <c r="D1509" s="2527">
        <v>63.082700000000003</v>
      </c>
      <c r="E1509" s="2523">
        <f t="shared" si="115"/>
        <v>20.496540945512795</v>
      </c>
      <c r="F1509" s="2261">
        <f t="shared" si="114"/>
        <v>24.033050394191257</v>
      </c>
      <c r="G1509" s="2524">
        <f t="shared" si="116"/>
        <v>27.569559842869719</v>
      </c>
      <c r="H1509" s="2524">
        <f t="shared" si="117"/>
        <v>16.960031496834333</v>
      </c>
      <c r="I1509" s="2524">
        <f t="shared" si="118"/>
        <v>13.423522048155872</v>
      </c>
    </row>
    <row r="1510" spans="1:9">
      <c r="A1510" s="2218"/>
      <c r="B1510" s="2251">
        <v>45071</v>
      </c>
      <c r="C1510">
        <v>16.403300000000002</v>
      </c>
      <c r="D1510" s="2527">
        <v>64.082700000000003</v>
      </c>
      <c r="E1510" s="2523">
        <f t="shared" si="115"/>
        <v>20.496540945512795</v>
      </c>
      <c r="F1510" s="2261">
        <f t="shared" si="114"/>
        <v>24.033050394191257</v>
      </c>
      <c r="G1510" s="2524">
        <f t="shared" si="116"/>
        <v>27.569559842869719</v>
      </c>
      <c r="H1510" s="2524">
        <f t="shared" si="117"/>
        <v>16.960031496834333</v>
      </c>
      <c r="I1510" s="2524">
        <f t="shared" si="118"/>
        <v>13.423522048155872</v>
      </c>
    </row>
    <row r="1511" spans="1:9">
      <c r="A1511" s="2218"/>
      <c r="B1511" s="2251">
        <v>45072</v>
      </c>
      <c r="C1511">
        <v>16.383600000000001</v>
      </c>
      <c r="D1511" s="2527">
        <v>65.082700000000003</v>
      </c>
      <c r="E1511" s="2523">
        <f t="shared" si="115"/>
        <v>20.496540945512795</v>
      </c>
      <c r="F1511" s="2261">
        <f t="shared" si="114"/>
        <v>24.033050394191257</v>
      </c>
      <c r="G1511" s="2524">
        <f t="shared" si="116"/>
        <v>27.569559842869719</v>
      </c>
      <c r="H1511" s="2524">
        <f t="shared" si="117"/>
        <v>16.960031496834333</v>
      </c>
      <c r="I1511" s="2524">
        <f t="shared" si="118"/>
        <v>13.423522048155872</v>
      </c>
    </row>
    <row r="1512" spans="1:9">
      <c r="A1512" s="2218"/>
      <c r="B1512" s="2251">
        <v>45075</v>
      </c>
      <c r="C1512">
        <v>16.383600000000001</v>
      </c>
      <c r="D1512" s="2527">
        <v>66.082700000000003</v>
      </c>
      <c r="E1512" s="2523">
        <f t="shared" si="115"/>
        <v>20.496540945512795</v>
      </c>
      <c r="F1512" s="2261">
        <f t="shared" si="114"/>
        <v>24.033050394191257</v>
      </c>
      <c r="G1512" s="2524">
        <f t="shared" si="116"/>
        <v>27.569559842869719</v>
      </c>
      <c r="H1512" s="2524">
        <f t="shared" si="117"/>
        <v>16.960031496834333</v>
      </c>
      <c r="I1512" s="2524">
        <f t="shared" si="118"/>
        <v>13.423522048155872</v>
      </c>
    </row>
    <row r="1513" spans="1:9">
      <c r="A1513" s="2218"/>
      <c r="B1513" s="2251">
        <v>45076</v>
      </c>
      <c r="C1513">
        <v>16.561</v>
      </c>
      <c r="D1513" s="2527">
        <v>67.082700000000003</v>
      </c>
      <c r="E1513" s="2523">
        <f t="shared" si="115"/>
        <v>20.496540945512795</v>
      </c>
      <c r="F1513" s="2261">
        <f t="shared" si="114"/>
        <v>24.033050394191257</v>
      </c>
      <c r="G1513" s="2524">
        <f t="shared" si="116"/>
        <v>27.569559842869719</v>
      </c>
      <c r="H1513" s="2524">
        <f t="shared" si="117"/>
        <v>16.960031496834333</v>
      </c>
      <c r="I1513" s="2524">
        <f t="shared" si="118"/>
        <v>13.423522048155872</v>
      </c>
    </row>
    <row r="1514" spans="1:9">
      <c r="A1514" s="2218"/>
      <c r="B1514" s="2251">
        <v>45077</v>
      </c>
      <c r="C1514">
        <v>16.5807</v>
      </c>
      <c r="D1514" s="2527">
        <v>68.082700000000003</v>
      </c>
      <c r="E1514" s="2523">
        <f t="shared" si="115"/>
        <v>20.496540945512795</v>
      </c>
      <c r="F1514" s="2261">
        <f t="shared" si="114"/>
        <v>24.033050394191257</v>
      </c>
      <c r="G1514" s="2524">
        <f t="shared" si="116"/>
        <v>27.569559842869719</v>
      </c>
      <c r="H1514" s="2524">
        <f t="shared" si="117"/>
        <v>16.960031496834333</v>
      </c>
      <c r="I1514" s="2524">
        <f t="shared" si="118"/>
        <v>13.423522048155872</v>
      </c>
    </row>
    <row r="1515" spans="1:9">
      <c r="A1515" s="2218"/>
      <c r="B1515" s="2251">
        <v>45078</v>
      </c>
      <c r="C1515">
        <v>16.462399999999999</v>
      </c>
      <c r="D1515" s="2527">
        <v>69.082700000000003</v>
      </c>
      <c r="E1515" s="2523">
        <f t="shared" si="115"/>
        <v>20.496540945512795</v>
      </c>
      <c r="F1515" s="2261">
        <f t="shared" si="114"/>
        <v>24.033050394191257</v>
      </c>
      <c r="G1515" s="2524">
        <f t="shared" si="116"/>
        <v>27.569559842869719</v>
      </c>
      <c r="H1515" s="2524">
        <f t="shared" si="117"/>
        <v>16.960031496834333</v>
      </c>
      <c r="I1515" s="2524">
        <f t="shared" si="118"/>
        <v>13.423522048155872</v>
      </c>
    </row>
    <row r="1516" spans="1:9">
      <c r="A1516" s="2218"/>
      <c r="B1516" s="2251">
        <v>45079</v>
      </c>
      <c r="C1516">
        <v>16.521599999999999</v>
      </c>
      <c r="D1516" s="2527">
        <v>70.082700000000003</v>
      </c>
      <c r="E1516" s="2523">
        <f t="shared" si="115"/>
        <v>20.496540945512795</v>
      </c>
      <c r="F1516" s="2261">
        <f t="shared" si="114"/>
        <v>24.033050394191257</v>
      </c>
      <c r="G1516" s="2524">
        <f t="shared" si="116"/>
        <v>27.569559842869719</v>
      </c>
      <c r="H1516" s="2524">
        <f t="shared" si="117"/>
        <v>16.960031496834333</v>
      </c>
      <c r="I1516" s="2524">
        <f t="shared" si="118"/>
        <v>13.423522048155872</v>
      </c>
    </row>
    <row r="1517" spans="1:9">
      <c r="A1517" s="2218"/>
      <c r="B1517" s="2251">
        <v>45082</v>
      </c>
      <c r="C1517">
        <v>16.758199999999999</v>
      </c>
      <c r="D1517" s="2527">
        <v>71.082700000000003</v>
      </c>
      <c r="E1517" s="2523">
        <f t="shared" si="115"/>
        <v>20.496540945512795</v>
      </c>
      <c r="F1517" s="2261">
        <f t="shared" si="114"/>
        <v>24.033050394191257</v>
      </c>
      <c r="G1517" s="2524">
        <f t="shared" si="116"/>
        <v>27.569559842869719</v>
      </c>
      <c r="H1517" s="2524">
        <f t="shared" si="117"/>
        <v>16.960031496834333</v>
      </c>
      <c r="I1517" s="2524">
        <f t="shared" si="118"/>
        <v>13.423522048155872</v>
      </c>
    </row>
    <row r="1518" spans="1:9">
      <c r="A1518" s="2218"/>
      <c r="B1518" s="2251">
        <v>45083</v>
      </c>
      <c r="C1518">
        <v>16.817299999999999</v>
      </c>
      <c r="D1518" s="2527">
        <v>72.082700000000003</v>
      </c>
      <c r="E1518" s="2523">
        <f t="shared" si="115"/>
        <v>20.496540945512795</v>
      </c>
      <c r="F1518" s="2261">
        <f t="shared" si="114"/>
        <v>24.033050394191257</v>
      </c>
      <c r="G1518" s="2524">
        <f t="shared" si="116"/>
        <v>27.569559842869719</v>
      </c>
      <c r="H1518" s="2524">
        <f t="shared" si="117"/>
        <v>16.960031496834333</v>
      </c>
      <c r="I1518" s="2524">
        <f t="shared" si="118"/>
        <v>13.423522048155872</v>
      </c>
    </row>
    <row r="1519" spans="1:9">
      <c r="A1519" s="2218"/>
      <c r="B1519" s="2251">
        <v>45084</v>
      </c>
      <c r="C1519">
        <v>16.758199999999999</v>
      </c>
      <c r="D1519" s="2527">
        <v>73.082700000000003</v>
      </c>
      <c r="E1519" s="2523">
        <f t="shared" si="115"/>
        <v>20.496540945512795</v>
      </c>
      <c r="F1519" s="2261">
        <f t="shared" si="114"/>
        <v>24.033050394191257</v>
      </c>
      <c r="G1519" s="2524">
        <f t="shared" si="116"/>
        <v>27.569559842869719</v>
      </c>
      <c r="H1519" s="2524">
        <f t="shared" si="117"/>
        <v>16.960031496834333</v>
      </c>
      <c r="I1519" s="2524">
        <f t="shared" si="118"/>
        <v>13.423522048155872</v>
      </c>
    </row>
    <row r="1520" spans="1:9">
      <c r="A1520" s="2218"/>
      <c r="B1520" s="2251">
        <v>45085</v>
      </c>
      <c r="C1520">
        <v>16.482199999999999</v>
      </c>
      <c r="D1520" s="2527">
        <v>74.082700000000003</v>
      </c>
      <c r="E1520" s="2523">
        <f t="shared" si="115"/>
        <v>20.496540945512795</v>
      </c>
      <c r="F1520" s="2261">
        <f t="shared" si="114"/>
        <v>24.033050394191257</v>
      </c>
      <c r="G1520" s="2524">
        <f t="shared" si="116"/>
        <v>27.569559842869719</v>
      </c>
      <c r="H1520" s="2524">
        <f t="shared" si="117"/>
        <v>16.960031496834333</v>
      </c>
      <c r="I1520" s="2524">
        <f t="shared" si="118"/>
        <v>13.423522048155872</v>
      </c>
    </row>
    <row r="1521" spans="1:14">
      <c r="A1521" s="2218"/>
      <c r="B1521" s="2251">
        <v>45086</v>
      </c>
      <c r="C1521">
        <v>16.679300000000001</v>
      </c>
      <c r="D1521" s="2527">
        <v>75.082700000000003</v>
      </c>
      <c r="E1521" s="2523">
        <f t="shared" si="115"/>
        <v>20.496540945512795</v>
      </c>
      <c r="F1521" s="2261">
        <f t="shared" si="114"/>
        <v>24.033050394191257</v>
      </c>
      <c r="G1521" s="2524">
        <f t="shared" si="116"/>
        <v>27.569559842869719</v>
      </c>
      <c r="H1521" s="2524">
        <f t="shared" si="117"/>
        <v>16.960031496834333</v>
      </c>
      <c r="I1521" s="2524">
        <f t="shared" si="118"/>
        <v>13.423522048155872</v>
      </c>
    </row>
    <row r="1522" spans="1:14">
      <c r="A1522" s="2218"/>
      <c r="B1522" s="2251">
        <v>45089</v>
      </c>
      <c r="C1522">
        <v>16.738499999999998</v>
      </c>
      <c r="D1522" s="2527">
        <v>76.082700000000003</v>
      </c>
      <c r="E1522" s="2523">
        <f t="shared" si="115"/>
        <v>20.496540945512795</v>
      </c>
      <c r="F1522" s="2261">
        <f t="shared" si="114"/>
        <v>24.033050394191257</v>
      </c>
      <c r="G1522" s="2524">
        <f t="shared" si="116"/>
        <v>27.569559842869719</v>
      </c>
      <c r="H1522" s="2524">
        <f t="shared" si="117"/>
        <v>16.960031496834333</v>
      </c>
      <c r="I1522" s="2524">
        <f t="shared" si="118"/>
        <v>13.423522048155872</v>
      </c>
    </row>
    <row r="1523" spans="1:14">
      <c r="A1523" s="2218"/>
      <c r="B1523" s="2251">
        <v>45090</v>
      </c>
      <c r="C1523">
        <v>16.639900000000001</v>
      </c>
      <c r="D1523" s="2527">
        <v>77.082700000000003</v>
      </c>
      <c r="E1523" s="2523">
        <f t="shared" si="115"/>
        <v>20.496540945512795</v>
      </c>
      <c r="F1523" s="2261">
        <f t="shared" si="114"/>
        <v>24.033050394191257</v>
      </c>
      <c r="G1523" s="2524">
        <f t="shared" si="116"/>
        <v>27.569559842869719</v>
      </c>
      <c r="H1523" s="2524">
        <f t="shared" si="117"/>
        <v>16.960031496834333</v>
      </c>
      <c r="I1523" s="2524">
        <f t="shared" si="118"/>
        <v>13.423522048155872</v>
      </c>
    </row>
    <row r="1524" spans="1:14">
      <c r="A1524" s="2218"/>
      <c r="B1524" s="2251">
        <v>45091</v>
      </c>
      <c r="C1524">
        <v>16.6005</v>
      </c>
      <c r="D1524" s="2527">
        <v>78.082700000000003</v>
      </c>
      <c r="E1524" s="2523">
        <f t="shared" si="115"/>
        <v>20.496540945512795</v>
      </c>
      <c r="F1524" s="2261">
        <f t="shared" si="114"/>
        <v>24.033050394191257</v>
      </c>
      <c r="G1524" s="2524">
        <f t="shared" si="116"/>
        <v>27.569559842869719</v>
      </c>
      <c r="H1524" s="2524">
        <f t="shared" si="117"/>
        <v>16.960031496834333</v>
      </c>
      <c r="I1524" s="2524">
        <f t="shared" si="118"/>
        <v>13.423522048155872</v>
      </c>
    </row>
    <row r="1525" spans="1:14">
      <c r="A1525" s="2218"/>
      <c r="B1525" s="2251">
        <v>45092</v>
      </c>
      <c r="C1525">
        <v>16.5807</v>
      </c>
      <c r="D1525" s="2527">
        <v>79.082700000000003</v>
      </c>
      <c r="E1525" s="2523">
        <f t="shared" si="115"/>
        <v>20.496540945512795</v>
      </c>
      <c r="F1525" s="2261">
        <f t="shared" si="114"/>
        <v>24.033050394191257</v>
      </c>
      <c r="G1525" s="2524">
        <f t="shared" si="116"/>
        <v>27.569559842869719</v>
      </c>
      <c r="H1525" s="2524">
        <f t="shared" si="117"/>
        <v>16.960031496834333</v>
      </c>
      <c r="I1525" s="2524">
        <f t="shared" si="118"/>
        <v>13.423522048155872</v>
      </c>
    </row>
    <row r="1526" spans="1:14">
      <c r="A1526" s="2218"/>
      <c r="B1526" s="2251">
        <v>45093</v>
      </c>
      <c r="C1526">
        <v>16.659600000000001</v>
      </c>
      <c r="D1526" s="2527">
        <v>80.082700000000003</v>
      </c>
      <c r="E1526" s="2523">
        <f t="shared" si="115"/>
        <v>20.496540945512795</v>
      </c>
      <c r="F1526" s="2261">
        <f t="shared" si="114"/>
        <v>24.033050394191257</v>
      </c>
      <c r="G1526" s="2524">
        <f t="shared" si="116"/>
        <v>27.569559842869719</v>
      </c>
      <c r="H1526" s="2524">
        <f t="shared" si="117"/>
        <v>16.960031496834333</v>
      </c>
      <c r="I1526" s="2524">
        <f t="shared" si="118"/>
        <v>13.423522048155872</v>
      </c>
    </row>
    <row r="1527" spans="1:14">
      <c r="A1527" s="2218"/>
      <c r="B1527" s="2251">
        <v>45096</v>
      </c>
      <c r="C1527">
        <v>16.699000000000002</v>
      </c>
      <c r="D1527" s="2527">
        <v>81.082700000000003</v>
      </c>
      <c r="E1527" s="2523">
        <f t="shared" si="115"/>
        <v>20.496540945512795</v>
      </c>
      <c r="F1527" s="2261">
        <f t="shared" si="114"/>
        <v>24.033050394191257</v>
      </c>
      <c r="G1527" s="2524">
        <f t="shared" si="116"/>
        <v>27.569559842869719</v>
      </c>
      <c r="H1527" s="2524">
        <f t="shared" si="117"/>
        <v>16.960031496834333</v>
      </c>
      <c r="I1527" s="2524">
        <f t="shared" si="118"/>
        <v>13.423522048155872</v>
      </c>
    </row>
    <row r="1528" spans="1:14">
      <c r="A1528" s="2218"/>
      <c r="B1528" s="2251">
        <v>45097</v>
      </c>
      <c r="C1528">
        <v>16.8568</v>
      </c>
      <c r="D1528" s="2527">
        <v>82.082700000000003</v>
      </c>
      <c r="E1528" s="2523">
        <f t="shared" si="115"/>
        <v>20.496540945512795</v>
      </c>
      <c r="F1528" s="2261">
        <f t="shared" si="114"/>
        <v>24.033050394191257</v>
      </c>
      <c r="G1528" s="2524">
        <f t="shared" si="116"/>
        <v>27.569559842869719</v>
      </c>
      <c r="H1528" s="2524">
        <f t="shared" si="117"/>
        <v>16.960031496834333</v>
      </c>
      <c r="I1528" s="2524">
        <f t="shared" si="118"/>
        <v>13.423522048155872</v>
      </c>
    </row>
    <row r="1529" spans="1:14">
      <c r="A1529" s="2218"/>
      <c r="B1529" s="2251">
        <v>45098</v>
      </c>
      <c r="C1529">
        <v>16.915900000000001</v>
      </c>
      <c r="D1529" s="2527">
        <v>83.082700000000003</v>
      </c>
      <c r="E1529" s="2523">
        <f t="shared" si="115"/>
        <v>20.496540945512795</v>
      </c>
      <c r="F1529" s="2261">
        <f t="shared" si="114"/>
        <v>24.033050394191257</v>
      </c>
      <c r="G1529" s="2524">
        <f t="shared" si="116"/>
        <v>27.569559842869719</v>
      </c>
      <c r="H1529" s="2524">
        <f t="shared" si="117"/>
        <v>16.960031496834333</v>
      </c>
      <c r="I1529" s="2524">
        <f t="shared" si="118"/>
        <v>13.423522048155872</v>
      </c>
    </row>
    <row r="1530" spans="1:14">
      <c r="A1530" s="2218"/>
      <c r="B1530" s="2251">
        <v>45099</v>
      </c>
      <c r="C1530">
        <v>16.8568</v>
      </c>
      <c r="D1530" s="2527">
        <v>84.082700000000003</v>
      </c>
      <c r="E1530" s="2523">
        <f t="shared" si="115"/>
        <v>20.496540945512795</v>
      </c>
      <c r="F1530" s="2261">
        <f t="shared" si="114"/>
        <v>24.033050394191257</v>
      </c>
      <c r="G1530" s="2524">
        <f t="shared" si="116"/>
        <v>27.569559842869719</v>
      </c>
      <c r="H1530" s="2524">
        <f t="shared" si="117"/>
        <v>16.960031496834333</v>
      </c>
      <c r="I1530" s="2524">
        <f t="shared" si="118"/>
        <v>13.423522048155872</v>
      </c>
    </row>
    <row r="1531" spans="1:14">
      <c r="A1531" s="2218"/>
      <c r="B1531" s="2251">
        <v>45100</v>
      </c>
      <c r="C1531">
        <v>16.777899999999999</v>
      </c>
      <c r="D1531" s="2527">
        <v>85.082700000000003</v>
      </c>
      <c r="E1531" s="2523">
        <f t="shared" si="115"/>
        <v>20.496540945512795</v>
      </c>
      <c r="F1531" s="2261">
        <f t="shared" si="114"/>
        <v>24.033050394191257</v>
      </c>
      <c r="G1531" s="2524">
        <f t="shared" si="116"/>
        <v>27.569559842869719</v>
      </c>
      <c r="H1531" s="2524">
        <f t="shared" si="117"/>
        <v>16.960031496834333</v>
      </c>
      <c r="I1531" s="2524">
        <f t="shared" si="118"/>
        <v>13.423522048155872</v>
      </c>
    </row>
    <row r="1532" spans="1:14">
      <c r="A1532" s="2218"/>
      <c r="B1532" s="2251">
        <v>45103</v>
      </c>
      <c r="C1532">
        <v>16.915900000000001</v>
      </c>
      <c r="D1532" s="2527">
        <v>86.082700000000003</v>
      </c>
      <c r="E1532" s="2523">
        <f t="shared" si="115"/>
        <v>20.496540945512795</v>
      </c>
      <c r="F1532" s="2261">
        <f t="shared" si="114"/>
        <v>24.033050394191257</v>
      </c>
      <c r="G1532" s="2524">
        <f t="shared" si="116"/>
        <v>27.569559842869719</v>
      </c>
      <c r="H1532" s="2524">
        <f t="shared" si="117"/>
        <v>16.960031496834333</v>
      </c>
      <c r="I1532" s="2524">
        <f t="shared" si="118"/>
        <v>13.423522048155872</v>
      </c>
    </row>
    <row r="1533" spans="1:14">
      <c r="A1533" s="2218"/>
      <c r="B1533" s="2251">
        <v>45104</v>
      </c>
      <c r="C1533">
        <v>17.211600000000001</v>
      </c>
      <c r="D1533" s="2527">
        <v>87.082700000000003</v>
      </c>
      <c r="E1533" s="2523">
        <f t="shared" si="115"/>
        <v>20.496540945512795</v>
      </c>
      <c r="F1533" s="2261">
        <f t="shared" ref="F1533:F1596" si="119">I$953+F$953</f>
        <v>24.033050394191257</v>
      </c>
      <c r="G1533" s="2524">
        <f t="shared" si="116"/>
        <v>27.569559842869719</v>
      </c>
      <c r="H1533" s="2524">
        <f t="shared" si="117"/>
        <v>16.960031496834333</v>
      </c>
      <c r="I1533" s="2524">
        <f t="shared" si="118"/>
        <v>13.423522048155872</v>
      </c>
    </row>
    <row r="1534" spans="1:14">
      <c r="A1534" s="2218"/>
      <c r="B1534" s="2251">
        <v>45105</v>
      </c>
      <c r="C1534">
        <v>17.1525</v>
      </c>
      <c r="D1534" s="2527">
        <v>88.082700000000003</v>
      </c>
      <c r="E1534" s="2523">
        <f t="shared" ref="E1534:E1597" si="120">I$953</f>
        <v>20.496540945512795</v>
      </c>
      <c r="F1534" s="2261">
        <f t="shared" si="119"/>
        <v>24.033050394191257</v>
      </c>
      <c r="G1534" s="2524">
        <f t="shared" ref="G1534:G1597" si="121">I$953+F$953+F$953</f>
        <v>27.569559842869719</v>
      </c>
      <c r="H1534" s="2524">
        <f t="shared" ref="H1534:H1597" si="122">I$953-F$953</f>
        <v>16.960031496834333</v>
      </c>
      <c r="I1534" s="2524">
        <f t="shared" ref="I1534:I1597" si="123">I$953-F$953-F$953</f>
        <v>13.423522048155872</v>
      </c>
    </row>
    <row r="1535" spans="1:14">
      <c r="A1535" s="2218"/>
      <c r="B1535" s="2251">
        <v>45106</v>
      </c>
      <c r="C1535">
        <v>17.053899999999999</v>
      </c>
      <c r="D1535" s="2527">
        <v>89.082700000000003</v>
      </c>
      <c r="E1535" s="2523">
        <f t="shared" si="120"/>
        <v>20.496540945512795</v>
      </c>
      <c r="F1535" s="2261">
        <f t="shared" si="119"/>
        <v>24.033050394191257</v>
      </c>
      <c r="G1535" s="2524">
        <f t="shared" si="121"/>
        <v>27.569559842869719</v>
      </c>
      <c r="H1535" s="2524">
        <f t="shared" si="122"/>
        <v>16.960031496834333</v>
      </c>
      <c r="I1535" s="2524">
        <f t="shared" si="123"/>
        <v>13.423522048155872</v>
      </c>
    </row>
    <row r="1536" spans="1:14" ht="15">
      <c r="A1536" s="2218"/>
      <c r="B1536" s="2251">
        <v>45107</v>
      </c>
      <c r="C1536">
        <v>16.211300000000001</v>
      </c>
      <c r="D1536" s="2527">
        <v>90.082700000000003</v>
      </c>
      <c r="E1536" s="2523">
        <f t="shared" si="120"/>
        <v>20.496540945512795</v>
      </c>
      <c r="F1536" s="2261">
        <f t="shared" si="119"/>
        <v>24.033050394191257</v>
      </c>
      <c r="G1536" s="2524">
        <f t="shared" si="121"/>
        <v>27.569559842869719</v>
      </c>
      <c r="H1536" s="2524">
        <f t="shared" si="122"/>
        <v>16.960031496834333</v>
      </c>
      <c r="I1536" s="2524">
        <f t="shared" si="123"/>
        <v>13.423522048155872</v>
      </c>
      <c r="J1536" s="2447"/>
      <c r="K1536" s="2293"/>
      <c r="L1536" s="2294"/>
      <c r="M1536" s="2294"/>
      <c r="N1536" s="2294"/>
    </row>
    <row r="1537" spans="1:14" ht="15">
      <c r="A1537" s="2218"/>
      <c r="B1537" s="2251">
        <v>45110</v>
      </c>
      <c r="C1537">
        <v>16.2867</v>
      </c>
      <c r="D1537" s="2527">
        <v>91.082700000000003</v>
      </c>
      <c r="E1537" s="2523">
        <f t="shared" si="120"/>
        <v>20.496540945512795</v>
      </c>
      <c r="F1537" s="2261">
        <f t="shared" si="119"/>
        <v>24.033050394191257</v>
      </c>
      <c r="G1537" s="2524">
        <f t="shared" si="121"/>
        <v>27.569559842869719</v>
      </c>
      <c r="H1537" s="2524">
        <f t="shared" si="122"/>
        <v>16.960031496834333</v>
      </c>
      <c r="I1537" s="2524">
        <f t="shared" si="123"/>
        <v>13.423522048155872</v>
      </c>
      <c r="J1537" s="2447"/>
      <c r="K1537" s="2293"/>
      <c r="L1537" s="2294"/>
      <c r="M1537" s="2294"/>
      <c r="N1537" s="2294"/>
    </row>
    <row r="1538" spans="1:14" ht="15">
      <c r="A1538" s="2218"/>
      <c r="B1538" s="2251">
        <v>45111</v>
      </c>
      <c r="C1538">
        <v>16.399799999999999</v>
      </c>
      <c r="D1538" s="2527">
        <v>92.082700000000003</v>
      </c>
      <c r="E1538" s="2523">
        <f t="shared" si="120"/>
        <v>20.496540945512795</v>
      </c>
      <c r="F1538" s="2261">
        <f t="shared" si="119"/>
        <v>24.033050394191257</v>
      </c>
      <c r="G1538" s="2524">
        <f t="shared" si="121"/>
        <v>27.569559842869719</v>
      </c>
      <c r="H1538" s="2524">
        <f t="shared" si="122"/>
        <v>16.960031496834333</v>
      </c>
      <c r="I1538" s="2524">
        <f t="shared" si="123"/>
        <v>13.423522048155872</v>
      </c>
      <c r="J1538" s="2447"/>
      <c r="K1538" s="2293"/>
      <c r="L1538" s="2294"/>
      <c r="M1538" s="2294"/>
      <c r="N1538" s="2294"/>
    </row>
    <row r="1539" spans="1:14" ht="15">
      <c r="A1539" s="2218"/>
      <c r="B1539" s="2251">
        <v>45112</v>
      </c>
      <c r="C1539">
        <v>16.215</v>
      </c>
      <c r="D1539" s="2527">
        <v>93.082700000000003</v>
      </c>
      <c r="E1539" s="2523">
        <f t="shared" si="120"/>
        <v>20.496540945512795</v>
      </c>
      <c r="F1539" s="2261">
        <f t="shared" si="119"/>
        <v>24.033050394191257</v>
      </c>
      <c r="G1539" s="2524">
        <f t="shared" si="121"/>
        <v>27.569559842869719</v>
      </c>
      <c r="H1539" s="2524">
        <f t="shared" si="122"/>
        <v>16.960031496834333</v>
      </c>
      <c r="I1539" s="2524">
        <f t="shared" si="123"/>
        <v>13.423522048155872</v>
      </c>
      <c r="J1539" s="2447"/>
      <c r="K1539" s="2293"/>
      <c r="L1539" s="2294"/>
      <c r="M1539" s="2294"/>
      <c r="N1539" s="2294"/>
    </row>
    <row r="1540" spans="1:14" ht="15">
      <c r="A1540" s="2218"/>
      <c r="B1540" s="2251">
        <v>45113</v>
      </c>
      <c r="C1540">
        <v>16.171700000000001</v>
      </c>
      <c r="D1540" s="2527">
        <v>94.082700000000003</v>
      </c>
      <c r="E1540" s="2523">
        <f t="shared" si="120"/>
        <v>20.496540945512795</v>
      </c>
      <c r="F1540" s="2261">
        <f t="shared" si="119"/>
        <v>24.033050394191257</v>
      </c>
      <c r="G1540" s="2524">
        <f t="shared" si="121"/>
        <v>27.569559842869719</v>
      </c>
      <c r="H1540" s="2524">
        <f t="shared" si="122"/>
        <v>16.960031496834333</v>
      </c>
      <c r="I1540" s="2524">
        <f t="shared" si="123"/>
        <v>13.423522048155872</v>
      </c>
      <c r="J1540" s="2447"/>
      <c r="K1540" s="2293"/>
      <c r="L1540" s="2294"/>
      <c r="M1540" s="2294"/>
      <c r="N1540" s="2294"/>
    </row>
    <row r="1541" spans="1:14" ht="15">
      <c r="A1541" s="2218"/>
      <c r="B1541" s="2251">
        <v>45114</v>
      </c>
      <c r="C1541">
        <v>16.323399999999999</v>
      </c>
      <c r="D1541" s="2527">
        <v>95.082700000000003</v>
      </c>
      <c r="E1541" s="2523">
        <f t="shared" si="120"/>
        <v>20.496540945512795</v>
      </c>
      <c r="F1541" s="2261">
        <f t="shared" si="119"/>
        <v>24.033050394191257</v>
      </c>
      <c r="G1541" s="2524">
        <f t="shared" si="121"/>
        <v>27.569559842869719</v>
      </c>
      <c r="H1541" s="2524">
        <f t="shared" si="122"/>
        <v>16.960031496834333</v>
      </c>
      <c r="I1541" s="2524">
        <f t="shared" si="123"/>
        <v>13.423522048155872</v>
      </c>
      <c r="J1541" s="2447"/>
      <c r="K1541" s="2293"/>
      <c r="L1541" s="2294"/>
      <c r="M1541" s="2294"/>
      <c r="N1541" s="2294"/>
    </row>
    <row r="1542" spans="1:14" ht="15">
      <c r="A1542" s="2218"/>
      <c r="B1542" s="2251">
        <v>45117</v>
      </c>
      <c r="C1542">
        <v>16.323399999999999</v>
      </c>
      <c r="D1542" s="2527">
        <v>96.082700000000003</v>
      </c>
      <c r="E1542" s="2523">
        <f t="shared" si="120"/>
        <v>20.496540945512795</v>
      </c>
      <c r="F1542" s="2261">
        <f t="shared" si="119"/>
        <v>24.033050394191257</v>
      </c>
      <c r="G1542" s="2524">
        <f t="shared" si="121"/>
        <v>27.569559842869719</v>
      </c>
      <c r="H1542" s="2524">
        <f t="shared" si="122"/>
        <v>16.960031496834333</v>
      </c>
      <c r="I1542" s="2524">
        <f t="shared" si="123"/>
        <v>13.423522048155872</v>
      </c>
      <c r="J1542" s="2447"/>
      <c r="K1542" s="2293"/>
      <c r="L1542" s="2294"/>
      <c r="M1542" s="2294"/>
      <c r="N1542" s="2294"/>
    </row>
    <row r="1543" spans="1:14" ht="15">
      <c r="A1543" s="2218"/>
      <c r="B1543" s="2251">
        <v>45118</v>
      </c>
      <c r="C1543">
        <v>16.258400000000002</v>
      </c>
      <c r="D1543" s="2527">
        <v>97.082700000000003</v>
      </c>
      <c r="E1543" s="2523">
        <f t="shared" si="120"/>
        <v>20.496540945512795</v>
      </c>
      <c r="F1543" s="2261">
        <f t="shared" si="119"/>
        <v>24.033050394191257</v>
      </c>
      <c r="G1543" s="2524">
        <f t="shared" si="121"/>
        <v>27.569559842869719</v>
      </c>
      <c r="H1543" s="2524">
        <f t="shared" si="122"/>
        <v>16.960031496834333</v>
      </c>
      <c r="I1543" s="2524">
        <f t="shared" si="123"/>
        <v>13.423522048155872</v>
      </c>
      <c r="J1543" s="2447"/>
      <c r="K1543" s="2293"/>
      <c r="L1543" s="2294"/>
      <c r="M1543" s="2294"/>
      <c r="N1543" s="2294"/>
    </row>
    <row r="1544" spans="1:14" ht="15">
      <c r="A1544" s="2218"/>
      <c r="B1544" s="2251">
        <v>45119</v>
      </c>
      <c r="C1544">
        <v>16.323399999999999</v>
      </c>
      <c r="D1544" s="2527">
        <v>98.082700000000003</v>
      </c>
      <c r="E1544" s="2523">
        <f t="shared" si="120"/>
        <v>20.496540945512795</v>
      </c>
      <c r="F1544" s="2261">
        <f t="shared" si="119"/>
        <v>24.033050394191257</v>
      </c>
      <c r="G1544" s="2524">
        <f t="shared" si="121"/>
        <v>27.569559842869719</v>
      </c>
      <c r="H1544" s="2524">
        <f t="shared" si="122"/>
        <v>16.960031496834333</v>
      </c>
      <c r="I1544" s="2524">
        <f t="shared" si="123"/>
        <v>13.423522048155872</v>
      </c>
      <c r="J1544" s="2447"/>
      <c r="K1544" s="2293"/>
      <c r="L1544" s="2294"/>
      <c r="M1544" s="2294"/>
      <c r="N1544" s="2294"/>
    </row>
    <row r="1545" spans="1:14" ht="15">
      <c r="A1545" s="2218"/>
      <c r="B1545" s="2251">
        <v>45120</v>
      </c>
      <c r="C1545">
        <v>16.431799999999999</v>
      </c>
      <c r="D1545" s="2527">
        <v>99.082700000000003</v>
      </c>
      <c r="E1545" s="2523">
        <f t="shared" si="120"/>
        <v>20.496540945512795</v>
      </c>
      <c r="F1545" s="2261">
        <f t="shared" si="119"/>
        <v>24.033050394191257</v>
      </c>
      <c r="G1545" s="2524">
        <f t="shared" si="121"/>
        <v>27.569559842869719</v>
      </c>
      <c r="H1545" s="2524">
        <f t="shared" si="122"/>
        <v>16.960031496834333</v>
      </c>
      <c r="I1545" s="2524">
        <f t="shared" si="123"/>
        <v>13.423522048155872</v>
      </c>
      <c r="J1545" s="2447"/>
      <c r="K1545" s="2293"/>
      <c r="L1545" s="2294"/>
      <c r="M1545" s="2294"/>
      <c r="N1545" s="2294"/>
    </row>
    <row r="1546" spans="1:14" ht="15">
      <c r="A1546" s="2218"/>
      <c r="B1546" s="2251">
        <v>45121</v>
      </c>
      <c r="C1546">
        <v>16.973700000000001</v>
      </c>
      <c r="D1546" s="2527">
        <v>100.0827</v>
      </c>
      <c r="E1546" s="2523">
        <f t="shared" si="120"/>
        <v>20.496540945512795</v>
      </c>
      <c r="F1546" s="2261">
        <f t="shared" si="119"/>
        <v>24.033050394191257</v>
      </c>
      <c r="G1546" s="2524">
        <f t="shared" si="121"/>
        <v>27.569559842869719</v>
      </c>
      <c r="H1546" s="2524">
        <f t="shared" si="122"/>
        <v>16.960031496834333</v>
      </c>
      <c r="I1546" s="2524">
        <f t="shared" si="123"/>
        <v>13.423522048155872</v>
      </c>
      <c r="J1546" s="2447"/>
      <c r="K1546" s="2293"/>
      <c r="L1546" s="2294"/>
      <c r="M1546" s="2294"/>
      <c r="N1546" s="2294"/>
    </row>
    <row r="1547" spans="1:14" ht="15">
      <c r="A1547" s="2218"/>
      <c r="B1547" s="2251">
        <v>45124</v>
      </c>
      <c r="C1547">
        <v>17.125499999999999</v>
      </c>
      <c r="D1547" s="2527">
        <v>101.0827</v>
      </c>
      <c r="E1547" s="2523">
        <f t="shared" si="120"/>
        <v>20.496540945512795</v>
      </c>
      <c r="F1547" s="2261">
        <f t="shared" si="119"/>
        <v>24.033050394191257</v>
      </c>
      <c r="G1547" s="2524">
        <f t="shared" si="121"/>
        <v>27.569559842869719</v>
      </c>
      <c r="H1547" s="2524">
        <f t="shared" si="122"/>
        <v>16.960031496834333</v>
      </c>
      <c r="I1547" s="2524">
        <f t="shared" si="123"/>
        <v>13.423522048155872</v>
      </c>
      <c r="J1547" s="2447"/>
      <c r="K1547" s="2293"/>
      <c r="L1547" s="2294"/>
      <c r="M1547" s="2294"/>
      <c r="N1547" s="2294"/>
    </row>
    <row r="1548" spans="1:14" ht="15">
      <c r="A1548" s="2218"/>
      <c r="B1548" s="2251">
        <v>45125</v>
      </c>
      <c r="C1548">
        <v>17.060500000000001</v>
      </c>
      <c r="D1548" s="2527">
        <v>102.0827</v>
      </c>
      <c r="E1548" s="2523">
        <f t="shared" si="120"/>
        <v>20.496540945512795</v>
      </c>
      <c r="F1548" s="2261">
        <f t="shared" si="119"/>
        <v>24.033050394191257</v>
      </c>
      <c r="G1548" s="2524">
        <f t="shared" si="121"/>
        <v>27.569559842869719</v>
      </c>
      <c r="H1548" s="2524">
        <f t="shared" si="122"/>
        <v>16.960031496834333</v>
      </c>
      <c r="I1548" s="2524">
        <f t="shared" si="123"/>
        <v>13.423522048155872</v>
      </c>
      <c r="J1548" s="2447"/>
      <c r="K1548" s="2293"/>
      <c r="L1548" s="2294"/>
      <c r="M1548" s="2294"/>
      <c r="N1548" s="2294"/>
    </row>
    <row r="1549" spans="1:14" ht="15">
      <c r="A1549" s="2218"/>
      <c r="B1549" s="2251">
        <v>45126</v>
      </c>
      <c r="C1549">
        <v>17.017099999999999</v>
      </c>
      <c r="D1549" s="2527">
        <v>103.0827</v>
      </c>
      <c r="E1549" s="2523">
        <f t="shared" si="120"/>
        <v>20.496540945512795</v>
      </c>
      <c r="F1549" s="2261">
        <f t="shared" si="119"/>
        <v>24.033050394191257</v>
      </c>
      <c r="G1549" s="2524">
        <f t="shared" si="121"/>
        <v>27.569559842869719</v>
      </c>
      <c r="H1549" s="2524">
        <f t="shared" si="122"/>
        <v>16.960031496834333</v>
      </c>
      <c r="I1549" s="2524">
        <f t="shared" si="123"/>
        <v>13.423522048155872</v>
      </c>
      <c r="J1549" s="2447"/>
      <c r="K1549" s="2293"/>
      <c r="L1549" s="2294"/>
      <c r="M1549" s="2294"/>
      <c r="N1549" s="2294"/>
    </row>
    <row r="1550" spans="1:14" ht="15">
      <c r="A1550" s="2218"/>
      <c r="B1550" s="2251">
        <v>45127</v>
      </c>
      <c r="C1550">
        <v>17.407299999999999</v>
      </c>
      <c r="D1550" s="2527">
        <v>104.0827</v>
      </c>
      <c r="E1550" s="2523">
        <f t="shared" si="120"/>
        <v>20.496540945512795</v>
      </c>
      <c r="F1550" s="2261">
        <f t="shared" si="119"/>
        <v>24.033050394191257</v>
      </c>
      <c r="G1550" s="2524">
        <f t="shared" si="121"/>
        <v>27.569559842869719</v>
      </c>
      <c r="H1550" s="2524">
        <f t="shared" si="122"/>
        <v>16.960031496834333</v>
      </c>
      <c r="I1550" s="2524">
        <f t="shared" si="123"/>
        <v>13.423522048155872</v>
      </c>
      <c r="J1550" s="2447"/>
      <c r="K1550" s="2293"/>
      <c r="L1550" s="2294"/>
      <c r="M1550" s="2294"/>
      <c r="N1550" s="2294"/>
    </row>
    <row r="1551" spans="1:14" ht="15">
      <c r="A1551" s="2218"/>
      <c r="B1551" s="2251">
        <v>45128</v>
      </c>
      <c r="C1551">
        <v>17.559000000000001</v>
      </c>
      <c r="D1551" s="2527">
        <v>105.0827</v>
      </c>
      <c r="E1551" s="2523">
        <f t="shared" si="120"/>
        <v>20.496540945512795</v>
      </c>
      <c r="F1551" s="2261">
        <f t="shared" si="119"/>
        <v>24.033050394191257</v>
      </c>
      <c r="G1551" s="2524">
        <f t="shared" si="121"/>
        <v>27.569559842869719</v>
      </c>
      <c r="H1551" s="2524">
        <f t="shared" si="122"/>
        <v>16.960031496834333</v>
      </c>
      <c r="I1551" s="2524">
        <f t="shared" si="123"/>
        <v>13.423522048155872</v>
      </c>
      <c r="J1551" s="2447"/>
      <c r="K1551" s="2293"/>
      <c r="L1551" s="2294"/>
      <c r="M1551" s="2294"/>
      <c r="N1551" s="2294"/>
    </row>
    <row r="1552" spans="1:14" ht="15">
      <c r="A1552" s="2218"/>
      <c r="B1552" s="2251">
        <v>45131</v>
      </c>
      <c r="C1552">
        <v>17.559000000000001</v>
      </c>
      <c r="D1552" s="2527">
        <v>106.0827</v>
      </c>
      <c r="E1552" s="2523">
        <f t="shared" si="120"/>
        <v>20.496540945512795</v>
      </c>
      <c r="F1552" s="2261">
        <f t="shared" si="119"/>
        <v>24.033050394191257</v>
      </c>
      <c r="G1552" s="2524">
        <f t="shared" si="121"/>
        <v>27.569559842869719</v>
      </c>
      <c r="H1552" s="2524">
        <f t="shared" si="122"/>
        <v>16.960031496834333</v>
      </c>
      <c r="I1552" s="2524">
        <f t="shared" si="123"/>
        <v>13.423522048155872</v>
      </c>
      <c r="J1552" s="2447"/>
      <c r="K1552" s="2293"/>
      <c r="L1552" s="2294"/>
      <c r="M1552" s="2294"/>
      <c r="N1552" s="2294"/>
    </row>
    <row r="1553" spans="1:14" ht="15">
      <c r="A1553" s="2218"/>
      <c r="B1553" s="2251">
        <v>45132</v>
      </c>
      <c r="C1553">
        <v>17.624099999999999</v>
      </c>
      <c r="D1553" s="2527">
        <v>107.0827</v>
      </c>
      <c r="E1553" s="2523">
        <f t="shared" si="120"/>
        <v>20.496540945512795</v>
      </c>
      <c r="F1553" s="2261">
        <f t="shared" si="119"/>
        <v>24.033050394191257</v>
      </c>
      <c r="G1553" s="2524">
        <f t="shared" si="121"/>
        <v>27.569559842869719</v>
      </c>
      <c r="H1553" s="2524">
        <f t="shared" si="122"/>
        <v>16.960031496834333</v>
      </c>
      <c r="I1553" s="2524">
        <f t="shared" si="123"/>
        <v>13.423522048155872</v>
      </c>
      <c r="J1553" s="2447"/>
      <c r="K1553" s="2293"/>
      <c r="L1553" s="2294"/>
      <c r="M1553" s="2294"/>
      <c r="N1553" s="2294"/>
    </row>
    <row r="1554" spans="1:14" ht="15">
      <c r="A1554" s="2218"/>
      <c r="B1554" s="2251">
        <v>45133</v>
      </c>
      <c r="C1554">
        <v>17.927600000000002</v>
      </c>
      <c r="D1554" s="2527">
        <v>108.0827</v>
      </c>
      <c r="E1554" s="2523">
        <f t="shared" si="120"/>
        <v>20.496540945512795</v>
      </c>
      <c r="F1554" s="2261">
        <f t="shared" si="119"/>
        <v>24.033050394191257</v>
      </c>
      <c r="G1554" s="2524">
        <f t="shared" si="121"/>
        <v>27.569559842869719</v>
      </c>
      <c r="H1554" s="2524">
        <f t="shared" si="122"/>
        <v>16.960031496834333</v>
      </c>
      <c r="I1554" s="2524">
        <f t="shared" si="123"/>
        <v>13.423522048155872</v>
      </c>
      <c r="J1554" s="2447"/>
      <c r="K1554" s="2293"/>
      <c r="L1554" s="2294"/>
      <c r="M1554" s="2294"/>
      <c r="N1554" s="2294"/>
    </row>
    <row r="1555" spans="1:14" ht="15">
      <c r="A1555" s="2218"/>
      <c r="B1555" s="2251">
        <v>45134</v>
      </c>
      <c r="C1555">
        <v>18.144300000000001</v>
      </c>
      <c r="D1555" s="2527">
        <v>109.0827</v>
      </c>
      <c r="E1555" s="2523">
        <f t="shared" si="120"/>
        <v>20.496540945512795</v>
      </c>
      <c r="F1555" s="2261">
        <f t="shared" si="119"/>
        <v>24.033050394191257</v>
      </c>
      <c r="G1555" s="2524">
        <f t="shared" si="121"/>
        <v>27.569559842869719</v>
      </c>
      <c r="H1555" s="2524">
        <f t="shared" si="122"/>
        <v>16.960031496834333</v>
      </c>
      <c r="I1555" s="2524">
        <f t="shared" si="123"/>
        <v>13.423522048155872</v>
      </c>
      <c r="J1555" s="2447"/>
      <c r="K1555" s="2293"/>
      <c r="L1555" s="2294"/>
      <c r="M1555" s="2294"/>
      <c r="N1555" s="2294"/>
    </row>
    <row r="1556" spans="1:14" ht="15">
      <c r="A1556" s="2218"/>
      <c r="B1556" s="2251">
        <v>45135</v>
      </c>
      <c r="C1556">
        <v>18.296099999999999</v>
      </c>
      <c r="D1556" s="2527">
        <v>110.0827</v>
      </c>
      <c r="E1556" s="2523">
        <f t="shared" si="120"/>
        <v>20.496540945512795</v>
      </c>
      <c r="F1556" s="2261">
        <f t="shared" si="119"/>
        <v>24.033050394191257</v>
      </c>
      <c r="G1556" s="2524">
        <f t="shared" si="121"/>
        <v>27.569559842869719</v>
      </c>
      <c r="H1556" s="2524">
        <f t="shared" si="122"/>
        <v>16.960031496834333</v>
      </c>
      <c r="I1556" s="2524">
        <f t="shared" si="123"/>
        <v>13.423522048155872</v>
      </c>
      <c r="J1556" s="2447"/>
      <c r="K1556" s="2293"/>
      <c r="L1556" s="2294"/>
      <c r="M1556" s="2294"/>
      <c r="N1556" s="2294"/>
    </row>
    <row r="1557" spans="1:14" ht="15">
      <c r="A1557" s="2218"/>
      <c r="B1557" s="2251">
        <v>45138</v>
      </c>
      <c r="C1557">
        <v>18.5562</v>
      </c>
      <c r="D1557" s="2527">
        <v>111.0827</v>
      </c>
      <c r="E1557" s="2523">
        <f t="shared" si="120"/>
        <v>20.496540945512795</v>
      </c>
      <c r="F1557" s="2261">
        <f t="shared" si="119"/>
        <v>24.033050394191257</v>
      </c>
      <c r="G1557" s="2524">
        <f t="shared" si="121"/>
        <v>27.569559842869719</v>
      </c>
      <c r="H1557" s="2524">
        <f t="shared" si="122"/>
        <v>16.960031496834333</v>
      </c>
      <c r="I1557" s="2524">
        <f t="shared" si="123"/>
        <v>13.423522048155872</v>
      </c>
      <c r="J1557" s="2447"/>
      <c r="K1557" s="2293"/>
      <c r="L1557" s="2294"/>
      <c r="M1557" s="2294"/>
      <c r="N1557" s="2294"/>
    </row>
    <row r="1558" spans="1:14" ht="15">
      <c r="A1558" s="2218"/>
      <c r="B1558" s="2251">
        <v>45139</v>
      </c>
      <c r="C1558">
        <v>18.317799999999998</v>
      </c>
      <c r="D1558" s="2527">
        <v>112.0827</v>
      </c>
      <c r="E1558" s="2523">
        <f t="shared" si="120"/>
        <v>20.496540945512795</v>
      </c>
      <c r="F1558" s="2261">
        <f t="shared" si="119"/>
        <v>24.033050394191257</v>
      </c>
      <c r="G1558" s="2524">
        <f t="shared" si="121"/>
        <v>27.569559842869719</v>
      </c>
      <c r="H1558" s="2524">
        <f t="shared" si="122"/>
        <v>16.960031496834333</v>
      </c>
      <c r="I1558" s="2524">
        <f t="shared" si="123"/>
        <v>13.423522048155872</v>
      </c>
      <c r="J1558" s="2447"/>
      <c r="K1558" s="2293"/>
      <c r="L1558" s="2294"/>
      <c r="M1558" s="2294"/>
      <c r="N1558" s="2294"/>
    </row>
    <row r="1559" spans="1:14" ht="15">
      <c r="A1559" s="2218"/>
      <c r="B1559" s="2251">
        <v>45140</v>
      </c>
      <c r="C1559">
        <v>18.100999999999999</v>
      </c>
      <c r="D1559" s="2527">
        <v>113.0827</v>
      </c>
      <c r="E1559" s="2523">
        <f t="shared" si="120"/>
        <v>20.496540945512795</v>
      </c>
      <c r="F1559" s="2261">
        <f t="shared" si="119"/>
        <v>24.033050394191257</v>
      </c>
      <c r="G1559" s="2524">
        <f t="shared" si="121"/>
        <v>27.569559842869719</v>
      </c>
      <c r="H1559" s="2524">
        <f t="shared" si="122"/>
        <v>16.960031496834333</v>
      </c>
      <c r="I1559" s="2524">
        <f t="shared" si="123"/>
        <v>13.423522048155872</v>
      </c>
      <c r="J1559" s="2447"/>
      <c r="K1559" s="2293"/>
      <c r="L1559" s="2294"/>
      <c r="M1559" s="2294"/>
      <c r="N1559" s="2294"/>
    </row>
    <row r="1560" spans="1:14" ht="15">
      <c r="A1560" s="2218"/>
      <c r="B1560" s="2251">
        <v>45141</v>
      </c>
      <c r="C1560">
        <v>18.144300000000001</v>
      </c>
      <c r="D1560" s="2527">
        <v>114.0827</v>
      </c>
      <c r="E1560" s="2523">
        <f t="shared" si="120"/>
        <v>20.496540945512795</v>
      </c>
      <c r="F1560" s="2261">
        <f t="shared" si="119"/>
        <v>24.033050394191257</v>
      </c>
      <c r="G1560" s="2524">
        <f t="shared" si="121"/>
        <v>27.569559842869719</v>
      </c>
      <c r="H1560" s="2524">
        <f t="shared" si="122"/>
        <v>16.960031496834333</v>
      </c>
      <c r="I1560" s="2524">
        <f t="shared" si="123"/>
        <v>13.423522048155872</v>
      </c>
      <c r="J1560" s="2447"/>
      <c r="K1560" s="2293"/>
      <c r="L1560" s="2294"/>
      <c r="M1560" s="2294"/>
      <c r="N1560" s="2294"/>
    </row>
    <row r="1561" spans="1:14" ht="15">
      <c r="A1561" s="2218"/>
      <c r="B1561" s="2251">
        <v>45142</v>
      </c>
      <c r="C1561">
        <v>18.057600000000001</v>
      </c>
      <c r="D1561" s="2527">
        <v>115.0827</v>
      </c>
      <c r="E1561" s="2523">
        <f t="shared" si="120"/>
        <v>20.496540945512795</v>
      </c>
      <c r="F1561" s="2261">
        <f t="shared" si="119"/>
        <v>24.033050394191257</v>
      </c>
      <c r="G1561" s="2524">
        <f t="shared" si="121"/>
        <v>27.569559842869719</v>
      </c>
      <c r="H1561" s="2524">
        <f t="shared" si="122"/>
        <v>16.960031496834333</v>
      </c>
      <c r="I1561" s="2524">
        <f t="shared" si="123"/>
        <v>13.423522048155872</v>
      </c>
      <c r="J1561" s="2447"/>
      <c r="K1561" s="2293"/>
      <c r="L1561" s="2294"/>
      <c r="M1561" s="2294"/>
      <c r="N1561" s="2294"/>
    </row>
    <row r="1562" spans="1:14" ht="15">
      <c r="A1562" s="2218"/>
      <c r="B1562" s="2251">
        <v>45145</v>
      </c>
      <c r="C1562">
        <v>18.317799999999998</v>
      </c>
      <c r="D1562" s="2527">
        <v>116.0827</v>
      </c>
      <c r="E1562" s="2523">
        <f t="shared" si="120"/>
        <v>20.496540945512795</v>
      </c>
      <c r="F1562" s="2261">
        <f t="shared" si="119"/>
        <v>24.033050394191257</v>
      </c>
      <c r="G1562" s="2524">
        <f t="shared" si="121"/>
        <v>27.569559842869719</v>
      </c>
      <c r="H1562" s="2524">
        <f t="shared" si="122"/>
        <v>16.960031496834333</v>
      </c>
      <c r="I1562" s="2524">
        <f t="shared" si="123"/>
        <v>13.423522048155872</v>
      </c>
      <c r="J1562" s="2447"/>
      <c r="K1562" s="2293"/>
      <c r="L1562" s="2294"/>
      <c r="M1562" s="2294"/>
      <c r="N1562" s="2294"/>
    </row>
    <row r="1563" spans="1:14" ht="15">
      <c r="A1563" s="2218"/>
      <c r="B1563" s="2251">
        <v>45146</v>
      </c>
      <c r="C1563">
        <v>18.252700000000001</v>
      </c>
      <c r="D1563" s="2527">
        <v>117.0827</v>
      </c>
      <c r="E1563" s="2523">
        <f t="shared" si="120"/>
        <v>20.496540945512795</v>
      </c>
      <c r="F1563" s="2261">
        <f t="shared" si="119"/>
        <v>24.033050394191257</v>
      </c>
      <c r="G1563" s="2524">
        <f t="shared" si="121"/>
        <v>27.569559842869719</v>
      </c>
      <c r="H1563" s="2524">
        <f t="shared" si="122"/>
        <v>16.960031496834333</v>
      </c>
      <c r="I1563" s="2524">
        <f t="shared" si="123"/>
        <v>13.423522048155872</v>
      </c>
      <c r="J1563" s="2447"/>
      <c r="K1563" s="2293"/>
      <c r="L1563" s="2294"/>
      <c r="M1563" s="2294"/>
      <c r="N1563" s="2294"/>
    </row>
    <row r="1564" spans="1:14" ht="15">
      <c r="A1564" s="2218"/>
      <c r="B1564" s="2251">
        <v>45147</v>
      </c>
      <c r="C1564">
        <v>18.014299999999999</v>
      </c>
      <c r="D1564" s="2527">
        <v>118.0827</v>
      </c>
      <c r="E1564" s="2523">
        <f t="shared" si="120"/>
        <v>20.496540945512795</v>
      </c>
      <c r="F1564" s="2261">
        <f t="shared" si="119"/>
        <v>24.033050394191257</v>
      </c>
      <c r="G1564" s="2524">
        <f t="shared" si="121"/>
        <v>27.569559842869719</v>
      </c>
      <c r="H1564" s="2524">
        <f t="shared" si="122"/>
        <v>16.960031496834333</v>
      </c>
      <c r="I1564" s="2524">
        <f t="shared" si="123"/>
        <v>13.423522048155872</v>
      </c>
      <c r="J1564" s="2447"/>
      <c r="K1564" s="2293"/>
      <c r="L1564" s="2294"/>
      <c r="M1564" s="2294"/>
      <c r="N1564" s="2294"/>
    </row>
    <row r="1565" spans="1:14" ht="15">
      <c r="A1565" s="2218"/>
      <c r="B1565" s="2251">
        <v>45148</v>
      </c>
      <c r="C1565">
        <v>17.819199999999999</v>
      </c>
      <c r="D1565" s="2527">
        <v>119.0827</v>
      </c>
      <c r="E1565" s="2523">
        <f t="shared" si="120"/>
        <v>20.496540945512795</v>
      </c>
      <c r="F1565" s="2261">
        <f t="shared" si="119"/>
        <v>24.033050394191257</v>
      </c>
      <c r="G1565" s="2524">
        <f t="shared" si="121"/>
        <v>27.569559842869719</v>
      </c>
      <c r="H1565" s="2524">
        <f t="shared" si="122"/>
        <v>16.960031496834333</v>
      </c>
      <c r="I1565" s="2524">
        <f t="shared" si="123"/>
        <v>13.423522048155872</v>
      </c>
      <c r="J1565" s="2447"/>
      <c r="K1565" s="2293"/>
      <c r="L1565" s="2294"/>
      <c r="M1565" s="2294"/>
      <c r="N1565" s="2294"/>
    </row>
    <row r="1566" spans="1:14" ht="15">
      <c r="A1566" s="2218"/>
      <c r="B1566" s="2251">
        <v>45149</v>
      </c>
      <c r="C1566">
        <v>17.7758</v>
      </c>
      <c r="D1566" s="2527">
        <v>120.0827</v>
      </c>
      <c r="E1566" s="2523">
        <f t="shared" si="120"/>
        <v>20.496540945512795</v>
      </c>
      <c r="F1566" s="2261">
        <f t="shared" si="119"/>
        <v>24.033050394191257</v>
      </c>
      <c r="G1566" s="2524">
        <f t="shared" si="121"/>
        <v>27.569559842869719</v>
      </c>
      <c r="H1566" s="2524">
        <f t="shared" si="122"/>
        <v>16.960031496834333</v>
      </c>
      <c r="I1566" s="2524">
        <f t="shared" si="123"/>
        <v>13.423522048155872</v>
      </c>
      <c r="J1566" s="2447"/>
      <c r="K1566" s="2293"/>
      <c r="L1566" s="2294"/>
      <c r="M1566" s="2294"/>
      <c r="N1566" s="2294"/>
    </row>
    <row r="1567" spans="1:14" ht="15">
      <c r="A1567" s="2218"/>
      <c r="B1567" s="2251">
        <v>45152</v>
      </c>
      <c r="C1567">
        <v>17.905899999999999</v>
      </c>
      <c r="D1567" s="2527">
        <v>121.0827</v>
      </c>
      <c r="E1567" s="2523">
        <f t="shared" si="120"/>
        <v>20.496540945512795</v>
      </c>
      <c r="F1567" s="2261">
        <f t="shared" si="119"/>
        <v>24.033050394191257</v>
      </c>
      <c r="G1567" s="2524">
        <f t="shared" si="121"/>
        <v>27.569559842869719</v>
      </c>
      <c r="H1567" s="2524">
        <f t="shared" si="122"/>
        <v>16.960031496834333</v>
      </c>
      <c r="I1567" s="2524">
        <f t="shared" si="123"/>
        <v>13.423522048155872</v>
      </c>
      <c r="J1567" s="2447"/>
      <c r="K1567" s="2293"/>
      <c r="L1567" s="2294"/>
      <c r="M1567" s="2294"/>
      <c r="N1567" s="2294"/>
    </row>
    <row r="1568" spans="1:14" ht="15">
      <c r="A1568" s="2218"/>
      <c r="B1568" s="2251">
        <v>45153</v>
      </c>
      <c r="C1568">
        <v>18.209399999999999</v>
      </c>
      <c r="D1568" s="2527">
        <v>122.0827</v>
      </c>
      <c r="E1568" s="2523">
        <f t="shared" si="120"/>
        <v>20.496540945512795</v>
      </c>
      <c r="F1568" s="2261">
        <f t="shared" si="119"/>
        <v>24.033050394191257</v>
      </c>
      <c r="G1568" s="2524">
        <f t="shared" si="121"/>
        <v>27.569559842869719</v>
      </c>
      <c r="H1568" s="2524">
        <f t="shared" si="122"/>
        <v>16.960031496834333</v>
      </c>
      <c r="I1568" s="2524">
        <f t="shared" si="123"/>
        <v>13.423522048155872</v>
      </c>
      <c r="J1568" s="2447"/>
      <c r="K1568" s="2293"/>
      <c r="L1568" s="2294"/>
      <c r="M1568" s="2294"/>
      <c r="N1568" s="2294"/>
    </row>
    <row r="1569" spans="1:14" ht="15">
      <c r="A1569" s="2218"/>
      <c r="B1569" s="2251">
        <v>45154</v>
      </c>
      <c r="C1569">
        <v>18.447800000000001</v>
      </c>
      <c r="D1569" s="2527">
        <v>123.0827</v>
      </c>
      <c r="E1569" s="2523">
        <f t="shared" si="120"/>
        <v>20.496540945512795</v>
      </c>
      <c r="F1569" s="2261">
        <f t="shared" si="119"/>
        <v>24.033050394191257</v>
      </c>
      <c r="G1569" s="2524">
        <f t="shared" si="121"/>
        <v>27.569559842869719</v>
      </c>
      <c r="H1569" s="2524">
        <f t="shared" si="122"/>
        <v>16.960031496834333</v>
      </c>
      <c r="I1569" s="2524">
        <f t="shared" si="123"/>
        <v>13.423522048155872</v>
      </c>
      <c r="J1569" s="2447"/>
      <c r="K1569" s="2293"/>
      <c r="L1569" s="2294"/>
      <c r="M1569" s="2294"/>
      <c r="N1569" s="2294"/>
    </row>
    <row r="1570" spans="1:14" ht="15">
      <c r="A1570" s="2218"/>
      <c r="B1570" s="2251">
        <v>45155</v>
      </c>
      <c r="C1570">
        <v>18.642900000000001</v>
      </c>
      <c r="D1570" s="2527">
        <v>124.0827</v>
      </c>
      <c r="E1570" s="2523">
        <f t="shared" si="120"/>
        <v>20.496540945512795</v>
      </c>
      <c r="F1570" s="2261">
        <f t="shared" si="119"/>
        <v>24.033050394191257</v>
      </c>
      <c r="G1570" s="2524">
        <f t="shared" si="121"/>
        <v>27.569559842869719</v>
      </c>
      <c r="H1570" s="2524">
        <f t="shared" si="122"/>
        <v>16.960031496834333</v>
      </c>
      <c r="I1570" s="2524">
        <f t="shared" si="123"/>
        <v>13.423522048155872</v>
      </c>
      <c r="J1570" s="2447"/>
      <c r="K1570" s="2293"/>
      <c r="L1570" s="2294"/>
      <c r="M1570" s="2294"/>
      <c r="N1570" s="2294"/>
    </row>
    <row r="1571" spans="1:14" ht="15">
      <c r="A1571" s="2218"/>
      <c r="B1571" s="2251">
        <v>45156</v>
      </c>
      <c r="C1571">
        <v>18.534600000000001</v>
      </c>
      <c r="D1571" s="2527">
        <v>125.0827</v>
      </c>
      <c r="E1571" s="2523">
        <f t="shared" si="120"/>
        <v>20.496540945512795</v>
      </c>
      <c r="F1571" s="2261">
        <f t="shared" si="119"/>
        <v>24.033050394191257</v>
      </c>
      <c r="G1571" s="2524">
        <f t="shared" si="121"/>
        <v>27.569559842869719</v>
      </c>
      <c r="H1571" s="2524">
        <f t="shared" si="122"/>
        <v>16.960031496834333</v>
      </c>
      <c r="I1571" s="2524">
        <f t="shared" si="123"/>
        <v>13.423522048155872</v>
      </c>
      <c r="J1571" s="2447"/>
      <c r="K1571" s="2293"/>
      <c r="L1571" s="2294"/>
      <c r="M1571" s="2294"/>
      <c r="N1571" s="2294"/>
    </row>
    <row r="1572" spans="1:14" ht="15">
      <c r="A1572" s="2218"/>
      <c r="B1572" s="2251">
        <v>45159</v>
      </c>
      <c r="C1572">
        <v>18.621300000000002</v>
      </c>
      <c r="D1572" s="2527">
        <v>126.0827</v>
      </c>
      <c r="E1572" s="2523">
        <f t="shared" si="120"/>
        <v>20.496540945512795</v>
      </c>
      <c r="F1572" s="2261">
        <f t="shared" si="119"/>
        <v>24.033050394191257</v>
      </c>
      <c r="G1572" s="2524">
        <f t="shared" si="121"/>
        <v>27.569559842869719</v>
      </c>
      <c r="H1572" s="2524">
        <f t="shared" si="122"/>
        <v>16.960031496834333</v>
      </c>
      <c r="I1572" s="2524">
        <f t="shared" si="123"/>
        <v>13.423522048155872</v>
      </c>
      <c r="J1572" s="2447"/>
      <c r="K1572" s="2293"/>
      <c r="L1572" s="2294"/>
      <c r="M1572" s="2294"/>
      <c r="N1572" s="2294"/>
    </row>
    <row r="1573" spans="1:14" ht="15">
      <c r="A1573" s="2218"/>
      <c r="B1573" s="2251">
        <v>45160</v>
      </c>
      <c r="C1573">
        <v>18.751300000000001</v>
      </c>
      <c r="D1573" s="2527">
        <v>127.0827</v>
      </c>
      <c r="E1573" s="2523">
        <f t="shared" si="120"/>
        <v>20.496540945512795</v>
      </c>
      <c r="F1573" s="2261">
        <f t="shared" si="119"/>
        <v>24.033050394191257</v>
      </c>
      <c r="G1573" s="2524">
        <f t="shared" si="121"/>
        <v>27.569559842869719</v>
      </c>
      <c r="H1573" s="2524">
        <f t="shared" si="122"/>
        <v>16.960031496834333</v>
      </c>
      <c r="I1573" s="2524">
        <f t="shared" si="123"/>
        <v>13.423522048155872</v>
      </c>
      <c r="J1573" s="2447"/>
      <c r="K1573" s="2293"/>
      <c r="L1573" s="2294"/>
      <c r="M1573" s="2294"/>
      <c r="N1573" s="2294"/>
    </row>
    <row r="1574" spans="1:14" ht="15">
      <c r="A1574" s="2218"/>
      <c r="B1574" s="2251">
        <v>45161</v>
      </c>
      <c r="C1574">
        <v>18.751300000000001</v>
      </c>
      <c r="D1574" s="2527">
        <v>128.08269999999999</v>
      </c>
      <c r="E1574" s="2523">
        <f t="shared" si="120"/>
        <v>20.496540945512795</v>
      </c>
      <c r="F1574" s="2261">
        <f t="shared" si="119"/>
        <v>24.033050394191257</v>
      </c>
      <c r="G1574" s="2524">
        <f t="shared" si="121"/>
        <v>27.569559842869719</v>
      </c>
      <c r="H1574" s="2524">
        <f t="shared" si="122"/>
        <v>16.960031496834333</v>
      </c>
      <c r="I1574" s="2524">
        <f t="shared" si="123"/>
        <v>13.423522048155872</v>
      </c>
      <c r="J1574" s="2447"/>
      <c r="K1574" s="2293"/>
      <c r="L1574" s="2294"/>
      <c r="M1574" s="2294"/>
      <c r="N1574" s="2294"/>
    </row>
    <row r="1575" spans="1:14" ht="15">
      <c r="A1575" s="2218"/>
      <c r="B1575" s="2251">
        <v>45162</v>
      </c>
      <c r="C1575">
        <v>19.510100000000001</v>
      </c>
      <c r="D1575" s="2527">
        <v>129.08269999999999</v>
      </c>
      <c r="E1575" s="2523">
        <f t="shared" si="120"/>
        <v>20.496540945512795</v>
      </c>
      <c r="F1575" s="2261">
        <f t="shared" si="119"/>
        <v>24.033050394191257</v>
      </c>
      <c r="G1575" s="2524">
        <f t="shared" si="121"/>
        <v>27.569559842869719</v>
      </c>
      <c r="H1575" s="2524">
        <f t="shared" si="122"/>
        <v>16.960031496834333</v>
      </c>
      <c r="I1575" s="2524">
        <f t="shared" si="123"/>
        <v>13.423522048155872</v>
      </c>
      <c r="J1575" s="2447"/>
      <c r="K1575" s="2293"/>
      <c r="L1575" s="2294"/>
      <c r="M1575" s="2294"/>
      <c r="N1575" s="2294"/>
    </row>
    <row r="1576" spans="1:14" ht="15">
      <c r="A1576" s="2218"/>
      <c r="B1576" s="2251">
        <v>45163</v>
      </c>
      <c r="C1576">
        <v>19.6401</v>
      </c>
      <c r="D1576" s="2527">
        <v>130.08269999999999</v>
      </c>
      <c r="E1576" s="2523">
        <f t="shared" si="120"/>
        <v>20.496540945512795</v>
      </c>
      <c r="F1576" s="2261">
        <f t="shared" si="119"/>
        <v>24.033050394191257</v>
      </c>
      <c r="G1576" s="2524">
        <f t="shared" si="121"/>
        <v>27.569559842869719</v>
      </c>
      <c r="H1576" s="2524">
        <f t="shared" si="122"/>
        <v>16.960031496834333</v>
      </c>
      <c r="I1576" s="2524">
        <f t="shared" si="123"/>
        <v>13.423522048155872</v>
      </c>
      <c r="J1576" s="2447"/>
      <c r="K1576" s="2293"/>
      <c r="L1576" s="2294"/>
      <c r="M1576" s="2294"/>
      <c r="N1576" s="2294"/>
    </row>
    <row r="1577" spans="1:14" ht="15">
      <c r="A1577" s="2218"/>
      <c r="B1577" s="2251">
        <v>45166</v>
      </c>
      <c r="C1577">
        <v>20.377199999999998</v>
      </c>
      <c r="D1577" s="2527">
        <v>131.08269999999999</v>
      </c>
      <c r="E1577" s="2523">
        <f t="shared" si="120"/>
        <v>20.496540945512795</v>
      </c>
      <c r="F1577" s="2261">
        <f t="shared" si="119"/>
        <v>24.033050394191257</v>
      </c>
      <c r="G1577" s="2524">
        <f t="shared" si="121"/>
        <v>27.569559842869719</v>
      </c>
      <c r="H1577" s="2524">
        <f t="shared" si="122"/>
        <v>16.960031496834333</v>
      </c>
      <c r="I1577" s="2524">
        <f t="shared" si="123"/>
        <v>13.423522048155872</v>
      </c>
      <c r="J1577" s="2447"/>
      <c r="K1577" s="2293"/>
      <c r="L1577" s="2294"/>
      <c r="M1577" s="2294"/>
      <c r="N1577" s="2294"/>
    </row>
    <row r="1578" spans="1:14" ht="15">
      <c r="A1578" s="2218"/>
      <c r="B1578" s="2251">
        <v>45167</v>
      </c>
      <c r="C1578">
        <v>20.290500000000002</v>
      </c>
      <c r="D1578" s="2527">
        <v>132.08269999999999</v>
      </c>
      <c r="E1578" s="2523">
        <f t="shared" si="120"/>
        <v>20.496540945512795</v>
      </c>
      <c r="F1578" s="2261">
        <f t="shared" si="119"/>
        <v>24.033050394191257</v>
      </c>
      <c r="G1578" s="2524">
        <f t="shared" si="121"/>
        <v>27.569559842869719</v>
      </c>
      <c r="H1578" s="2524">
        <f t="shared" si="122"/>
        <v>16.960031496834333</v>
      </c>
      <c r="I1578" s="2524">
        <f t="shared" si="123"/>
        <v>13.423522048155872</v>
      </c>
      <c r="J1578" s="2447"/>
      <c r="K1578" s="2293"/>
      <c r="L1578" s="2294"/>
      <c r="M1578" s="2294"/>
      <c r="N1578" s="2294"/>
    </row>
    <row r="1579" spans="1:14" ht="15">
      <c r="A1579" s="2218"/>
      <c r="B1579" s="2251">
        <v>45168</v>
      </c>
      <c r="C1579">
        <v>20.940799999999999</v>
      </c>
      <c r="D1579" s="2527">
        <v>133.08269999999999</v>
      </c>
      <c r="E1579" s="2523">
        <f t="shared" si="120"/>
        <v>20.496540945512795</v>
      </c>
      <c r="F1579" s="2261">
        <f t="shared" si="119"/>
        <v>24.033050394191257</v>
      </c>
      <c r="G1579" s="2524">
        <f t="shared" si="121"/>
        <v>27.569559842869719</v>
      </c>
      <c r="H1579" s="2524">
        <f t="shared" si="122"/>
        <v>16.960031496834333</v>
      </c>
      <c r="I1579" s="2524">
        <f t="shared" si="123"/>
        <v>13.423522048155872</v>
      </c>
      <c r="J1579" s="2447"/>
      <c r="K1579" s="2293"/>
      <c r="L1579" s="2294"/>
      <c r="M1579" s="2294"/>
      <c r="N1579" s="2294"/>
    </row>
    <row r="1580" spans="1:14" ht="15">
      <c r="A1580" s="2218"/>
      <c r="B1580" s="2251">
        <v>45169</v>
      </c>
      <c r="C1580">
        <v>20.962499999999999</v>
      </c>
      <c r="D1580" s="2527">
        <v>134.08269999999999</v>
      </c>
      <c r="E1580" s="2523">
        <f t="shared" si="120"/>
        <v>20.496540945512795</v>
      </c>
      <c r="F1580" s="2261">
        <f t="shared" si="119"/>
        <v>24.033050394191257</v>
      </c>
      <c r="G1580" s="2524">
        <f t="shared" si="121"/>
        <v>27.569559842869719</v>
      </c>
      <c r="H1580" s="2524">
        <f t="shared" si="122"/>
        <v>16.960031496834333</v>
      </c>
      <c r="I1580" s="2524">
        <f t="shared" si="123"/>
        <v>13.423522048155872</v>
      </c>
      <c r="J1580" s="2447"/>
      <c r="K1580" s="2293"/>
      <c r="L1580" s="2294"/>
      <c r="M1580" s="2294"/>
      <c r="N1580" s="2294"/>
    </row>
    <row r="1581" spans="1:14" ht="15">
      <c r="A1581" s="2218"/>
      <c r="B1581" s="2251">
        <v>45174</v>
      </c>
      <c r="C1581">
        <v>20.984100000000002</v>
      </c>
      <c r="D1581" s="2527">
        <v>135.08269999999999</v>
      </c>
      <c r="E1581" s="2523">
        <f t="shared" si="120"/>
        <v>20.496540945512795</v>
      </c>
      <c r="F1581" s="2261">
        <f t="shared" si="119"/>
        <v>24.033050394191257</v>
      </c>
      <c r="G1581" s="2524">
        <f t="shared" si="121"/>
        <v>27.569559842869719</v>
      </c>
      <c r="H1581" s="2524">
        <f t="shared" si="122"/>
        <v>16.960031496834333</v>
      </c>
      <c r="I1581" s="2524">
        <f t="shared" si="123"/>
        <v>13.423522048155872</v>
      </c>
      <c r="J1581" s="2447"/>
      <c r="K1581" s="2293"/>
      <c r="L1581" s="2294"/>
      <c r="M1581" s="2294"/>
      <c r="N1581" s="2294"/>
    </row>
    <row r="1582" spans="1:14" ht="15">
      <c r="A1582" s="2218"/>
      <c r="B1582" s="2251">
        <v>45175</v>
      </c>
      <c r="C1582">
        <v>21.461099999999998</v>
      </c>
      <c r="D1582" s="2527">
        <v>136.08269999999999</v>
      </c>
      <c r="E1582" s="2523">
        <f t="shared" si="120"/>
        <v>20.496540945512795</v>
      </c>
      <c r="F1582" s="2261">
        <f t="shared" si="119"/>
        <v>24.033050394191257</v>
      </c>
      <c r="G1582" s="2524">
        <f t="shared" si="121"/>
        <v>27.569559842869719</v>
      </c>
      <c r="H1582" s="2524">
        <f t="shared" si="122"/>
        <v>16.960031496834333</v>
      </c>
      <c r="I1582" s="2524">
        <f t="shared" si="123"/>
        <v>13.423522048155872</v>
      </c>
      <c r="J1582" s="2447"/>
      <c r="K1582" s="2293"/>
      <c r="L1582" s="2294"/>
      <c r="M1582" s="2294"/>
      <c r="N1582" s="2294"/>
    </row>
    <row r="1583" spans="1:14" ht="15">
      <c r="A1583" s="2218"/>
      <c r="B1583" s="2251">
        <v>45176</v>
      </c>
      <c r="C1583">
        <v>21.2226</v>
      </c>
      <c r="D1583" s="2527">
        <v>137.08269999999999</v>
      </c>
      <c r="E1583" s="2523">
        <f t="shared" si="120"/>
        <v>20.496540945512795</v>
      </c>
      <c r="F1583" s="2261">
        <f t="shared" si="119"/>
        <v>24.033050394191257</v>
      </c>
      <c r="G1583" s="2524">
        <f t="shared" si="121"/>
        <v>27.569559842869719</v>
      </c>
      <c r="H1583" s="2524">
        <f t="shared" si="122"/>
        <v>16.960031496834333</v>
      </c>
      <c r="I1583" s="2524">
        <f t="shared" si="123"/>
        <v>13.423522048155872</v>
      </c>
      <c r="J1583" s="2447"/>
      <c r="K1583" s="2293"/>
      <c r="L1583" s="2294"/>
      <c r="M1583" s="2294"/>
      <c r="N1583" s="2294"/>
    </row>
    <row r="1584" spans="1:14" ht="15">
      <c r="A1584" s="2218"/>
      <c r="B1584" s="2251">
        <v>45177</v>
      </c>
      <c r="C1584">
        <v>21.157599999999999</v>
      </c>
      <c r="D1584" s="2527">
        <v>138.08269999999999</v>
      </c>
      <c r="E1584" s="2523">
        <f t="shared" si="120"/>
        <v>20.496540945512795</v>
      </c>
      <c r="F1584" s="2261">
        <f t="shared" si="119"/>
        <v>24.033050394191257</v>
      </c>
      <c r="G1584" s="2524">
        <f t="shared" si="121"/>
        <v>27.569559842869719</v>
      </c>
      <c r="H1584" s="2524">
        <f t="shared" si="122"/>
        <v>16.960031496834333</v>
      </c>
      <c r="I1584" s="2524">
        <f t="shared" si="123"/>
        <v>13.423522048155872</v>
      </c>
      <c r="J1584" s="2447"/>
      <c r="K1584" s="2293"/>
      <c r="L1584" s="2294"/>
      <c r="M1584" s="2294"/>
      <c r="N1584" s="2294"/>
    </row>
    <row r="1585" spans="1:14" ht="15">
      <c r="A1585" s="2218"/>
      <c r="B1585" s="2251">
        <v>45180</v>
      </c>
      <c r="C1585">
        <v>21.1142</v>
      </c>
      <c r="D1585" s="2527">
        <v>139.08269999999999</v>
      </c>
      <c r="E1585" s="2523">
        <f t="shared" si="120"/>
        <v>20.496540945512795</v>
      </c>
      <c r="F1585" s="2261">
        <f t="shared" si="119"/>
        <v>24.033050394191257</v>
      </c>
      <c r="G1585" s="2524">
        <f t="shared" si="121"/>
        <v>27.569559842869719</v>
      </c>
      <c r="H1585" s="2524">
        <f t="shared" si="122"/>
        <v>16.960031496834333</v>
      </c>
      <c r="I1585" s="2524">
        <f t="shared" si="123"/>
        <v>13.423522048155872</v>
      </c>
      <c r="J1585" s="2447"/>
      <c r="K1585" s="2293"/>
      <c r="L1585" s="2294"/>
      <c r="M1585" s="2294"/>
      <c r="N1585" s="2294"/>
    </row>
    <row r="1586" spans="1:14" ht="15">
      <c r="A1586" s="2218"/>
      <c r="B1586" s="2251">
        <v>45181</v>
      </c>
      <c r="C1586">
        <v>21.439399999999999</v>
      </c>
      <c r="D1586" s="2527">
        <v>140.08269999999999</v>
      </c>
      <c r="E1586" s="2523">
        <f t="shared" si="120"/>
        <v>20.496540945512795</v>
      </c>
      <c r="F1586" s="2261">
        <f t="shared" si="119"/>
        <v>24.033050394191257</v>
      </c>
      <c r="G1586" s="2524">
        <f t="shared" si="121"/>
        <v>27.569559842869719</v>
      </c>
      <c r="H1586" s="2524">
        <f t="shared" si="122"/>
        <v>16.960031496834333</v>
      </c>
      <c r="I1586" s="2524">
        <f t="shared" si="123"/>
        <v>13.423522048155872</v>
      </c>
      <c r="J1586" s="2447"/>
      <c r="K1586" s="2293"/>
      <c r="L1586" s="2294"/>
      <c r="M1586" s="2294"/>
      <c r="N1586" s="2294"/>
    </row>
    <row r="1587" spans="1:14" ht="15">
      <c r="A1587" s="2218"/>
      <c r="B1587" s="2251">
        <v>45182</v>
      </c>
      <c r="C1587">
        <v>21.244299999999999</v>
      </c>
      <c r="D1587" s="2527">
        <v>141.08269999999999</v>
      </c>
      <c r="E1587" s="2523">
        <f t="shared" si="120"/>
        <v>20.496540945512795</v>
      </c>
      <c r="F1587" s="2261">
        <f t="shared" si="119"/>
        <v>24.033050394191257</v>
      </c>
      <c r="G1587" s="2524">
        <f t="shared" si="121"/>
        <v>27.569559842869719</v>
      </c>
      <c r="H1587" s="2524">
        <f t="shared" si="122"/>
        <v>16.960031496834333</v>
      </c>
      <c r="I1587" s="2524">
        <f t="shared" si="123"/>
        <v>13.423522048155872</v>
      </c>
      <c r="J1587" s="2447"/>
      <c r="K1587" s="2293"/>
      <c r="L1587" s="2294"/>
      <c r="M1587" s="2294"/>
      <c r="N1587" s="2294"/>
    </row>
    <row r="1588" spans="1:14" ht="15">
      <c r="A1588" s="2218"/>
      <c r="B1588" s="2251">
        <v>45183</v>
      </c>
      <c r="C1588">
        <v>20.789000000000001</v>
      </c>
      <c r="D1588" s="2527">
        <v>142.08269999999999</v>
      </c>
      <c r="E1588" s="2523">
        <f t="shared" si="120"/>
        <v>20.496540945512795</v>
      </c>
      <c r="F1588" s="2261">
        <f t="shared" si="119"/>
        <v>24.033050394191257</v>
      </c>
      <c r="G1588" s="2524">
        <f t="shared" si="121"/>
        <v>27.569559842869719</v>
      </c>
      <c r="H1588" s="2524">
        <f t="shared" si="122"/>
        <v>16.960031496834333</v>
      </c>
      <c r="I1588" s="2524">
        <f t="shared" si="123"/>
        <v>13.423522048155872</v>
      </c>
      <c r="J1588" s="2447"/>
      <c r="K1588" s="2293"/>
      <c r="L1588" s="2294"/>
      <c r="M1588" s="2294"/>
      <c r="N1588" s="2294"/>
    </row>
    <row r="1589" spans="1:14" ht="15">
      <c r="A1589" s="2218"/>
      <c r="B1589" s="2251">
        <v>45184</v>
      </c>
      <c r="C1589">
        <v>21.135899999999999</v>
      </c>
      <c r="D1589" s="2527">
        <v>143.08269999999999</v>
      </c>
      <c r="E1589" s="2523">
        <f t="shared" si="120"/>
        <v>20.496540945512795</v>
      </c>
      <c r="F1589" s="2261">
        <f t="shared" si="119"/>
        <v>24.033050394191257</v>
      </c>
      <c r="G1589" s="2524">
        <f t="shared" si="121"/>
        <v>27.569559842869719</v>
      </c>
      <c r="H1589" s="2524">
        <f t="shared" si="122"/>
        <v>16.960031496834333</v>
      </c>
      <c r="I1589" s="2524">
        <f t="shared" si="123"/>
        <v>13.423522048155872</v>
      </c>
      <c r="J1589" s="2447"/>
      <c r="K1589" s="2293"/>
      <c r="L1589" s="2294"/>
      <c r="M1589" s="2294"/>
      <c r="N1589" s="2294"/>
    </row>
    <row r="1590" spans="1:14" ht="15">
      <c r="A1590" s="2218"/>
      <c r="B1590" s="2251">
        <v>45187</v>
      </c>
      <c r="C1590">
        <v>21.005800000000001</v>
      </c>
      <c r="D1590" s="2527">
        <v>144.08269999999999</v>
      </c>
      <c r="E1590" s="2523">
        <f t="shared" si="120"/>
        <v>20.496540945512795</v>
      </c>
      <c r="F1590" s="2261">
        <f t="shared" si="119"/>
        <v>24.033050394191257</v>
      </c>
      <c r="G1590" s="2524">
        <f t="shared" si="121"/>
        <v>27.569559842869719</v>
      </c>
      <c r="H1590" s="2524">
        <f t="shared" si="122"/>
        <v>16.960031496834333</v>
      </c>
      <c r="I1590" s="2524">
        <f t="shared" si="123"/>
        <v>13.423522048155872</v>
      </c>
      <c r="J1590" s="2447"/>
      <c r="K1590" s="2293"/>
      <c r="L1590" s="2294"/>
      <c r="M1590" s="2294"/>
      <c r="N1590" s="2294"/>
    </row>
    <row r="1591" spans="1:14" ht="15">
      <c r="A1591" s="2218"/>
      <c r="B1591" s="2251">
        <v>45188</v>
      </c>
      <c r="C1591">
        <v>21.331</v>
      </c>
      <c r="D1591" s="2527">
        <v>145.08269999999999</v>
      </c>
      <c r="E1591" s="2523">
        <f t="shared" si="120"/>
        <v>20.496540945512795</v>
      </c>
      <c r="F1591" s="2261">
        <f t="shared" si="119"/>
        <v>24.033050394191257</v>
      </c>
      <c r="G1591" s="2524">
        <f t="shared" si="121"/>
        <v>27.569559842869719</v>
      </c>
      <c r="H1591" s="2524">
        <f t="shared" si="122"/>
        <v>16.960031496834333</v>
      </c>
      <c r="I1591" s="2524">
        <f t="shared" si="123"/>
        <v>13.423522048155872</v>
      </c>
      <c r="J1591" s="2447"/>
      <c r="K1591" s="2293"/>
      <c r="L1591" s="2294"/>
      <c r="M1591" s="2294"/>
      <c r="N1591" s="2294"/>
    </row>
    <row r="1592" spans="1:14" ht="15">
      <c r="A1592" s="2218"/>
      <c r="B1592" s="2251">
        <v>45189</v>
      </c>
      <c r="C1592">
        <v>21.352699999999999</v>
      </c>
      <c r="D1592" s="2527">
        <v>146.08269999999999</v>
      </c>
      <c r="E1592" s="2523">
        <f t="shared" si="120"/>
        <v>20.496540945512795</v>
      </c>
      <c r="F1592" s="2261">
        <f t="shared" si="119"/>
        <v>24.033050394191257</v>
      </c>
      <c r="G1592" s="2524">
        <f t="shared" si="121"/>
        <v>27.569559842869719</v>
      </c>
      <c r="H1592" s="2524">
        <f t="shared" si="122"/>
        <v>16.960031496834333</v>
      </c>
      <c r="I1592" s="2524">
        <f t="shared" si="123"/>
        <v>13.423522048155872</v>
      </c>
      <c r="J1592" s="2447"/>
      <c r="K1592" s="2293"/>
      <c r="L1592" s="2294"/>
      <c r="M1592" s="2294"/>
      <c r="N1592" s="2294"/>
    </row>
    <row r="1593" spans="1:14" ht="15">
      <c r="A1593" s="2218"/>
      <c r="B1593" s="2251">
        <v>45190</v>
      </c>
      <c r="C1593">
        <v>20.984100000000002</v>
      </c>
      <c r="D1593" s="2527">
        <v>147.08269999999999</v>
      </c>
      <c r="E1593" s="2523">
        <f t="shared" si="120"/>
        <v>20.496540945512795</v>
      </c>
      <c r="F1593" s="2261">
        <f t="shared" si="119"/>
        <v>24.033050394191257</v>
      </c>
      <c r="G1593" s="2524">
        <f t="shared" si="121"/>
        <v>27.569559842869719</v>
      </c>
      <c r="H1593" s="2524">
        <f t="shared" si="122"/>
        <v>16.960031496834333</v>
      </c>
      <c r="I1593" s="2524">
        <f t="shared" si="123"/>
        <v>13.423522048155872</v>
      </c>
      <c r="J1593" s="2447"/>
      <c r="K1593" s="2293"/>
      <c r="L1593" s="2294"/>
      <c r="M1593" s="2294"/>
      <c r="N1593" s="2294"/>
    </row>
    <row r="1594" spans="1:14" ht="15">
      <c r="A1594" s="2218"/>
      <c r="B1594" s="2251">
        <v>45191</v>
      </c>
      <c r="C1594">
        <v>20.962499999999999</v>
      </c>
      <c r="D1594" s="2527">
        <v>148.08269999999999</v>
      </c>
      <c r="E1594" s="2523">
        <f t="shared" si="120"/>
        <v>20.496540945512795</v>
      </c>
      <c r="F1594" s="2261">
        <f t="shared" si="119"/>
        <v>24.033050394191257</v>
      </c>
      <c r="G1594" s="2524">
        <f t="shared" si="121"/>
        <v>27.569559842869719</v>
      </c>
      <c r="H1594" s="2524">
        <f t="shared" si="122"/>
        <v>16.960031496834333</v>
      </c>
      <c r="I1594" s="2524">
        <f t="shared" si="123"/>
        <v>13.423522048155872</v>
      </c>
      <c r="J1594" s="2447"/>
      <c r="K1594" s="2293"/>
      <c r="L1594" s="2294"/>
      <c r="M1594" s="2294"/>
      <c r="N1594" s="2294"/>
    </row>
    <row r="1595" spans="1:14" ht="15">
      <c r="A1595" s="2218"/>
      <c r="B1595" s="2251">
        <v>45194</v>
      </c>
      <c r="C1595">
        <v>20.4422</v>
      </c>
      <c r="D1595" s="2527">
        <v>149.08269999999999</v>
      </c>
      <c r="E1595" s="2523">
        <f t="shared" si="120"/>
        <v>20.496540945512795</v>
      </c>
      <c r="F1595" s="2261">
        <f t="shared" si="119"/>
        <v>24.033050394191257</v>
      </c>
      <c r="G1595" s="2524">
        <f t="shared" si="121"/>
        <v>27.569559842869719</v>
      </c>
      <c r="H1595" s="2524">
        <f t="shared" si="122"/>
        <v>16.960031496834333</v>
      </c>
      <c r="I1595" s="2524">
        <f t="shared" si="123"/>
        <v>13.423522048155872</v>
      </c>
      <c r="J1595" s="2447"/>
      <c r="K1595" s="2293"/>
      <c r="L1595" s="2294"/>
      <c r="M1595" s="2294"/>
      <c r="N1595" s="2294"/>
    </row>
    <row r="1596" spans="1:14" ht="15">
      <c r="A1596" s="2218"/>
      <c r="B1596" s="2251">
        <v>45195</v>
      </c>
      <c r="C1596">
        <v>20.268799999999999</v>
      </c>
      <c r="D1596" s="2527">
        <v>150.08269999999999</v>
      </c>
      <c r="E1596" s="2523">
        <f t="shared" si="120"/>
        <v>20.496540945512795</v>
      </c>
      <c r="F1596" s="2261">
        <f t="shared" si="119"/>
        <v>24.033050394191257</v>
      </c>
      <c r="G1596" s="2524">
        <f t="shared" si="121"/>
        <v>27.569559842869719</v>
      </c>
      <c r="H1596" s="2524">
        <f t="shared" si="122"/>
        <v>16.960031496834333</v>
      </c>
      <c r="I1596" s="2524">
        <f t="shared" si="123"/>
        <v>13.423522048155872</v>
      </c>
      <c r="J1596" s="2447"/>
      <c r="K1596" s="2293"/>
      <c r="L1596" s="2294"/>
      <c r="M1596" s="2294"/>
      <c r="N1596" s="2294"/>
    </row>
    <row r="1597" spans="1:14" ht="15">
      <c r="A1597" s="2218"/>
      <c r="B1597" s="2251">
        <v>45196</v>
      </c>
      <c r="C1597">
        <v>20.4422</v>
      </c>
      <c r="D1597" s="2527">
        <v>151.08269999999999</v>
      </c>
      <c r="E1597" s="2523">
        <f t="shared" si="120"/>
        <v>20.496540945512795</v>
      </c>
      <c r="F1597" s="2261">
        <f t="shared" ref="F1597:F1660" si="124">I$953+F$953</f>
        <v>24.033050394191257</v>
      </c>
      <c r="G1597" s="2524">
        <f t="shared" si="121"/>
        <v>27.569559842869719</v>
      </c>
      <c r="H1597" s="2524">
        <f t="shared" si="122"/>
        <v>16.960031496834333</v>
      </c>
      <c r="I1597" s="2524">
        <f t="shared" si="123"/>
        <v>13.423522048155872</v>
      </c>
      <c r="J1597" s="2447"/>
      <c r="K1597" s="2293"/>
      <c r="L1597" s="2294"/>
      <c r="M1597" s="2294"/>
      <c r="N1597" s="2294"/>
    </row>
    <row r="1598" spans="1:14" ht="15">
      <c r="A1598" s="2218"/>
      <c r="B1598" s="2251">
        <v>45197</v>
      </c>
      <c r="C1598">
        <v>20.377199999999998</v>
      </c>
      <c r="D1598" s="2527">
        <v>152.08269999999999</v>
      </c>
      <c r="E1598" s="2523">
        <f t="shared" ref="E1598:E1661" si="125">I$953</f>
        <v>20.496540945512795</v>
      </c>
      <c r="F1598" s="2261">
        <f t="shared" si="124"/>
        <v>24.033050394191257</v>
      </c>
      <c r="G1598" s="2524">
        <f t="shared" ref="G1598:G1661" si="126">I$953+F$953+F$953</f>
        <v>27.569559842869719</v>
      </c>
      <c r="H1598" s="2524">
        <f t="shared" ref="H1598:H1661" si="127">I$953-F$953</f>
        <v>16.960031496834333</v>
      </c>
      <c r="I1598" s="2524">
        <f t="shared" ref="I1598:I1661" si="128">I$953-F$953-F$953</f>
        <v>13.423522048155872</v>
      </c>
      <c r="J1598" s="2447"/>
      <c r="K1598" s="2293"/>
      <c r="L1598" s="2294"/>
      <c r="M1598" s="2294"/>
      <c r="N1598" s="2294"/>
    </row>
    <row r="1599" spans="1:14" ht="15">
      <c r="A1599" s="2218"/>
      <c r="B1599" s="2251">
        <v>45198</v>
      </c>
      <c r="C1599">
        <v>19.2121</v>
      </c>
      <c r="D1599" s="2527">
        <v>153.08269999999999</v>
      </c>
      <c r="E1599" s="2523">
        <f t="shared" si="125"/>
        <v>20.496540945512795</v>
      </c>
      <c r="F1599" s="2261">
        <f t="shared" si="124"/>
        <v>24.033050394191257</v>
      </c>
      <c r="G1599" s="2524">
        <f t="shared" si="126"/>
        <v>27.569559842869719</v>
      </c>
      <c r="H1599" s="2524">
        <f t="shared" si="127"/>
        <v>16.960031496834333</v>
      </c>
      <c r="I1599" s="2524">
        <f t="shared" si="128"/>
        <v>13.423522048155872</v>
      </c>
      <c r="J1599" s="2447"/>
      <c r="K1599" s="2293"/>
      <c r="L1599" s="2294"/>
      <c r="M1599" s="2294"/>
      <c r="N1599" s="2294"/>
    </row>
    <row r="1600" spans="1:14" ht="15">
      <c r="A1600" s="2218"/>
      <c r="B1600" s="2251">
        <v>45201</v>
      </c>
      <c r="C1600">
        <v>19.294899999999998</v>
      </c>
      <c r="D1600" s="2527">
        <v>154.08269999999999</v>
      </c>
      <c r="E1600" s="2523">
        <f t="shared" si="125"/>
        <v>20.496540945512795</v>
      </c>
      <c r="F1600" s="2261">
        <f t="shared" si="124"/>
        <v>24.033050394191257</v>
      </c>
      <c r="G1600" s="2524">
        <f t="shared" si="126"/>
        <v>27.569559842869719</v>
      </c>
      <c r="H1600" s="2524">
        <f t="shared" si="127"/>
        <v>16.960031496834333</v>
      </c>
      <c r="I1600" s="2524">
        <f t="shared" si="128"/>
        <v>13.423522048155872</v>
      </c>
      <c r="J1600" s="2447"/>
      <c r="K1600" s="2293"/>
      <c r="L1600" s="2294"/>
      <c r="M1600" s="2294"/>
      <c r="N1600" s="2294"/>
    </row>
    <row r="1601" spans="1:14" ht="15">
      <c r="A1601" s="2218"/>
      <c r="B1601" s="2251">
        <v>45202</v>
      </c>
      <c r="C1601">
        <v>19.087800000000001</v>
      </c>
      <c r="D1601" s="2527">
        <v>155.08269999999999</v>
      </c>
      <c r="E1601" s="2523">
        <f t="shared" si="125"/>
        <v>20.496540945512795</v>
      </c>
      <c r="F1601" s="2261">
        <f t="shared" si="124"/>
        <v>24.033050394191257</v>
      </c>
      <c r="G1601" s="2524">
        <f t="shared" si="126"/>
        <v>27.569559842869719</v>
      </c>
      <c r="H1601" s="2524">
        <f t="shared" si="127"/>
        <v>16.960031496834333</v>
      </c>
      <c r="I1601" s="2524">
        <f t="shared" si="128"/>
        <v>13.423522048155872</v>
      </c>
      <c r="J1601" s="2447"/>
      <c r="K1601" s="2293"/>
      <c r="L1601" s="2294"/>
      <c r="M1601" s="2294"/>
      <c r="N1601" s="2294"/>
    </row>
    <row r="1602" spans="1:14" ht="15">
      <c r="A1602" s="2218"/>
      <c r="B1602" s="2251">
        <v>45203</v>
      </c>
      <c r="C1602">
        <v>19.149899999999999</v>
      </c>
      <c r="D1602" s="2527">
        <v>156.08269999999999</v>
      </c>
      <c r="E1602" s="2523">
        <f t="shared" si="125"/>
        <v>20.496540945512795</v>
      </c>
      <c r="F1602" s="2261">
        <f t="shared" si="124"/>
        <v>24.033050394191257</v>
      </c>
      <c r="G1602" s="2524">
        <f t="shared" si="126"/>
        <v>27.569559842869719</v>
      </c>
      <c r="H1602" s="2524">
        <f t="shared" si="127"/>
        <v>16.960031496834333</v>
      </c>
      <c r="I1602" s="2524">
        <f t="shared" si="128"/>
        <v>13.423522048155872</v>
      </c>
      <c r="J1602" s="2447"/>
      <c r="K1602" s="2293"/>
      <c r="L1602" s="2294"/>
      <c r="M1602" s="2294"/>
      <c r="N1602" s="2294"/>
    </row>
    <row r="1603" spans="1:14" ht="15">
      <c r="A1603" s="2218"/>
      <c r="B1603" s="2251">
        <v>45204</v>
      </c>
      <c r="C1603">
        <v>18.9636</v>
      </c>
      <c r="D1603" s="2527">
        <v>157.08269999999999</v>
      </c>
      <c r="E1603" s="2523">
        <f t="shared" si="125"/>
        <v>20.496540945512795</v>
      </c>
      <c r="F1603" s="2261">
        <f t="shared" si="124"/>
        <v>24.033050394191257</v>
      </c>
      <c r="G1603" s="2524">
        <f t="shared" si="126"/>
        <v>27.569559842869719</v>
      </c>
      <c r="H1603" s="2524">
        <f t="shared" si="127"/>
        <v>16.960031496834333</v>
      </c>
      <c r="I1603" s="2524">
        <f t="shared" si="128"/>
        <v>13.423522048155872</v>
      </c>
      <c r="J1603" s="2447"/>
      <c r="K1603" s="2293"/>
      <c r="L1603" s="2294"/>
      <c r="M1603" s="2294"/>
      <c r="N1603" s="2294"/>
    </row>
    <row r="1604" spans="1:14" ht="15">
      <c r="A1604" s="2218"/>
      <c r="B1604" s="2251">
        <v>45205</v>
      </c>
      <c r="C1604">
        <v>19.191299999999998</v>
      </c>
      <c r="D1604" s="2527">
        <v>158.08269999999999</v>
      </c>
      <c r="E1604" s="2523">
        <f t="shared" si="125"/>
        <v>20.496540945512795</v>
      </c>
      <c r="F1604" s="2261">
        <f t="shared" si="124"/>
        <v>24.033050394191257</v>
      </c>
      <c r="G1604" s="2524">
        <f t="shared" si="126"/>
        <v>27.569559842869719</v>
      </c>
      <c r="H1604" s="2524">
        <f t="shared" si="127"/>
        <v>16.960031496834333</v>
      </c>
      <c r="I1604" s="2524">
        <f t="shared" si="128"/>
        <v>13.423522048155872</v>
      </c>
      <c r="J1604" s="2447"/>
      <c r="K1604" s="2293"/>
      <c r="L1604" s="2294"/>
      <c r="M1604" s="2294"/>
      <c r="N1604" s="2294"/>
    </row>
    <row r="1605" spans="1:14" ht="15">
      <c r="A1605" s="2218"/>
      <c r="B1605" s="2251">
        <v>45208</v>
      </c>
      <c r="C1605">
        <v>19.791699999999999</v>
      </c>
      <c r="D1605" s="2527">
        <v>159.08269999999999</v>
      </c>
      <c r="E1605" s="2523">
        <f t="shared" si="125"/>
        <v>20.496540945512795</v>
      </c>
      <c r="F1605" s="2261">
        <f t="shared" si="124"/>
        <v>24.033050394191257</v>
      </c>
      <c r="G1605" s="2524">
        <f t="shared" si="126"/>
        <v>27.569559842869719</v>
      </c>
      <c r="H1605" s="2524">
        <f t="shared" si="127"/>
        <v>16.960031496834333</v>
      </c>
      <c r="I1605" s="2524">
        <f t="shared" si="128"/>
        <v>13.423522048155872</v>
      </c>
      <c r="J1605" s="2447"/>
      <c r="K1605" s="2293"/>
      <c r="L1605" s="2294"/>
      <c r="M1605" s="2294"/>
      <c r="N1605" s="2294"/>
    </row>
    <row r="1606" spans="1:14" ht="15">
      <c r="A1606" s="2218"/>
      <c r="B1606" s="2251">
        <v>45209</v>
      </c>
      <c r="C1606">
        <v>19.936599999999999</v>
      </c>
      <c r="D1606" s="2527">
        <v>160.08269999999999</v>
      </c>
      <c r="E1606" s="2523">
        <f t="shared" si="125"/>
        <v>20.496540945512795</v>
      </c>
      <c r="F1606" s="2261">
        <f t="shared" si="124"/>
        <v>24.033050394191257</v>
      </c>
      <c r="G1606" s="2524">
        <f t="shared" si="126"/>
        <v>27.569559842869719</v>
      </c>
      <c r="H1606" s="2524">
        <f t="shared" si="127"/>
        <v>16.960031496834333</v>
      </c>
      <c r="I1606" s="2524">
        <f t="shared" si="128"/>
        <v>13.423522048155872</v>
      </c>
      <c r="J1606" s="2447"/>
      <c r="K1606" s="2293"/>
      <c r="L1606" s="2294"/>
      <c r="M1606" s="2294"/>
      <c r="N1606" s="2294"/>
    </row>
    <row r="1607" spans="1:14" ht="15">
      <c r="A1607" s="2218"/>
      <c r="B1607" s="2251">
        <v>45210</v>
      </c>
      <c r="C1607">
        <v>20.081600000000002</v>
      </c>
      <c r="D1607" s="2527">
        <v>161.08269999999999</v>
      </c>
      <c r="E1607" s="2523">
        <f t="shared" si="125"/>
        <v>20.496540945512795</v>
      </c>
      <c r="F1607" s="2261">
        <f t="shared" si="124"/>
        <v>24.033050394191257</v>
      </c>
      <c r="G1607" s="2524">
        <f t="shared" si="126"/>
        <v>27.569559842869719</v>
      </c>
      <c r="H1607" s="2524">
        <f t="shared" si="127"/>
        <v>16.960031496834333</v>
      </c>
      <c r="I1607" s="2524">
        <f t="shared" si="128"/>
        <v>13.423522048155872</v>
      </c>
      <c r="J1607" s="2447"/>
      <c r="K1607" s="2293"/>
      <c r="L1607" s="2294"/>
      <c r="M1607" s="2294"/>
      <c r="N1607" s="2294"/>
    </row>
    <row r="1608" spans="1:14" ht="15">
      <c r="A1608" s="2218"/>
      <c r="B1608" s="2251">
        <v>45211</v>
      </c>
      <c r="C1608">
        <v>19.9573</v>
      </c>
      <c r="D1608" s="2527">
        <v>162.08269999999999</v>
      </c>
      <c r="E1608" s="2523">
        <f t="shared" si="125"/>
        <v>20.496540945512795</v>
      </c>
      <c r="F1608" s="2261">
        <f t="shared" si="124"/>
        <v>24.033050394191257</v>
      </c>
      <c r="G1608" s="2524">
        <f t="shared" si="126"/>
        <v>27.569559842869719</v>
      </c>
      <c r="H1608" s="2524">
        <f t="shared" si="127"/>
        <v>16.960031496834333</v>
      </c>
      <c r="I1608" s="2524">
        <f t="shared" si="128"/>
        <v>13.423522048155872</v>
      </c>
      <c r="J1608" s="2447"/>
      <c r="K1608" s="2293"/>
      <c r="L1608" s="2294"/>
      <c r="M1608" s="2294"/>
      <c r="N1608" s="2294"/>
    </row>
    <row r="1609" spans="1:14" ht="15">
      <c r="A1609" s="2218"/>
      <c r="B1609" s="2251">
        <v>45212</v>
      </c>
      <c r="C1609">
        <v>19.895199999999999</v>
      </c>
      <c r="D1609" s="2527">
        <v>163.08269999999999</v>
      </c>
      <c r="E1609" s="2523">
        <f t="shared" si="125"/>
        <v>20.496540945512795</v>
      </c>
      <c r="F1609" s="2261">
        <f t="shared" si="124"/>
        <v>24.033050394191257</v>
      </c>
      <c r="G1609" s="2524">
        <f t="shared" si="126"/>
        <v>27.569559842869719</v>
      </c>
      <c r="H1609" s="2524">
        <f t="shared" si="127"/>
        <v>16.960031496834333</v>
      </c>
      <c r="I1609" s="2524">
        <f t="shared" si="128"/>
        <v>13.423522048155872</v>
      </c>
      <c r="J1609" s="2447"/>
      <c r="K1609" s="2293"/>
      <c r="L1609" s="2294"/>
      <c r="M1609" s="2294"/>
      <c r="N1609" s="2294"/>
    </row>
    <row r="1610" spans="1:14" ht="15">
      <c r="A1610" s="2218"/>
      <c r="B1610" s="2251">
        <v>45215</v>
      </c>
      <c r="C1610">
        <v>20.040199999999999</v>
      </c>
      <c r="D1610" s="2527">
        <v>164.08269999999999</v>
      </c>
      <c r="E1610" s="2523">
        <f t="shared" si="125"/>
        <v>20.496540945512795</v>
      </c>
      <c r="F1610" s="2261">
        <f t="shared" si="124"/>
        <v>24.033050394191257</v>
      </c>
      <c r="G1610" s="2524">
        <f t="shared" si="126"/>
        <v>27.569559842869719</v>
      </c>
      <c r="H1610" s="2524">
        <f t="shared" si="127"/>
        <v>16.960031496834333</v>
      </c>
      <c r="I1610" s="2524">
        <f t="shared" si="128"/>
        <v>13.423522048155872</v>
      </c>
      <c r="J1610" s="2447"/>
      <c r="K1610" s="2293"/>
      <c r="L1610" s="2294"/>
      <c r="M1610" s="2294"/>
      <c r="N1610" s="2294"/>
    </row>
    <row r="1611" spans="1:14" ht="15">
      <c r="A1611" s="2218"/>
      <c r="B1611" s="2251">
        <v>45216</v>
      </c>
      <c r="C1611">
        <v>19.2742</v>
      </c>
      <c r="D1611" s="2527">
        <v>165.08269999999999</v>
      </c>
      <c r="E1611" s="2523">
        <f t="shared" si="125"/>
        <v>20.496540945512795</v>
      </c>
      <c r="F1611" s="2261">
        <f t="shared" si="124"/>
        <v>24.033050394191257</v>
      </c>
      <c r="G1611" s="2524">
        <f t="shared" si="126"/>
        <v>27.569559842869719</v>
      </c>
      <c r="H1611" s="2524">
        <f t="shared" si="127"/>
        <v>16.960031496834333</v>
      </c>
      <c r="I1611" s="2524">
        <f t="shared" si="128"/>
        <v>13.423522048155872</v>
      </c>
      <c r="J1611" s="2447"/>
      <c r="K1611" s="2293"/>
      <c r="L1611" s="2294"/>
      <c r="M1611" s="2294"/>
      <c r="N1611" s="2294"/>
    </row>
    <row r="1612" spans="1:14" ht="15">
      <c r="A1612" s="2218"/>
      <c r="B1612" s="2251">
        <v>45217</v>
      </c>
      <c r="C1612">
        <v>19.253499999999999</v>
      </c>
      <c r="D1612" s="2527">
        <v>166.08269999999999</v>
      </c>
      <c r="E1612" s="2523">
        <f t="shared" si="125"/>
        <v>20.496540945512795</v>
      </c>
      <c r="F1612" s="2261">
        <f t="shared" si="124"/>
        <v>24.033050394191257</v>
      </c>
      <c r="G1612" s="2524">
        <f t="shared" si="126"/>
        <v>27.569559842869719</v>
      </c>
      <c r="H1612" s="2524">
        <f t="shared" si="127"/>
        <v>16.960031496834333</v>
      </c>
      <c r="I1612" s="2524">
        <f t="shared" si="128"/>
        <v>13.423522048155872</v>
      </c>
      <c r="J1612" s="2447"/>
      <c r="K1612" s="2293"/>
      <c r="L1612" s="2294"/>
      <c r="M1612" s="2294"/>
      <c r="N1612" s="2294"/>
    </row>
    <row r="1613" spans="1:14" ht="15">
      <c r="A1613" s="2218"/>
      <c r="B1613" s="2251">
        <v>45218</v>
      </c>
      <c r="C1613">
        <v>19.046399999999998</v>
      </c>
      <c r="D1613" s="2527">
        <v>167.08269999999999</v>
      </c>
      <c r="E1613" s="2523">
        <f t="shared" si="125"/>
        <v>20.496540945512795</v>
      </c>
      <c r="F1613" s="2261">
        <f t="shared" si="124"/>
        <v>24.033050394191257</v>
      </c>
      <c r="G1613" s="2524">
        <f t="shared" si="126"/>
        <v>27.569559842869719</v>
      </c>
      <c r="H1613" s="2524">
        <f t="shared" si="127"/>
        <v>16.960031496834333</v>
      </c>
      <c r="I1613" s="2524">
        <f t="shared" si="128"/>
        <v>13.423522048155872</v>
      </c>
      <c r="J1613" s="2447"/>
      <c r="K1613" s="2293"/>
      <c r="L1613" s="2294"/>
      <c r="M1613" s="2294"/>
      <c r="N1613" s="2294"/>
    </row>
    <row r="1614" spans="1:14" ht="15">
      <c r="A1614" s="2218"/>
      <c r="B1614" s="2251">
        <v>45219</v>
      </c>
      <c r="C1614">
        <v>19.232800000000001</v>
      </c>
      <c r="D1614" s="2527">
        <v>168.08269999999999</v>
      </c>
      <c r="E1614" s="2523">
        <f t="shared" si="125"/>
        <v>20.496540945512795</v>
      </c>
      <c r="F1614" s="2261">
        <f t="shared" si="124"/>
        <v>24.033050394191257</v>
      </c>
      <c r="G1614" s="2524">
        <f t="shared" si="126"/>
        <v>27.569559842869719</v>
      </c>
      <c r="H1614" s="2524">
        <f t="shared" si="127"/>
        <v>16.960031496834333</v>
      </c>
      <c r="I1614" s="2524">
        <f t="shared" si="128"/>
        <v>13.423522048155872</v>
      </c>
      <c r="J1614" s="2447"/>
      <c r="K1614" s="2293"/>
      <c r="L1614" s="2294"/>
      <c r="M1614" s="2294"/>
      <c r="N1614" s="2294"/>
    </row>
    <row r="1615" spans="1:14" ht="15">
      <c r="A1615" s="2218"/>
      <c r="B1615" s="2251">
        <v>45222</v>
      </c>
      <c r="C1615">
        <v>18.839400000000001</v>
      </c>
      <c r="D1615" s="2527">
        <v>169.08269999999999</v>
      </c>
      <c r="E1615" s="2523">
        <f t="shared" si="125"/>
        <v>20.496540945512795</v>
      </c>
      <c r="F1615" s="2261">
        <f t="shared" si="124"/>
        <v>24.033050394191257</v>
      </c>
      <c r="G1615" s="2524">
        <f t="shared" si="126"/>
        <v>27.569559842869719</v>
      </c>
      <c r="H1615" s="2524">
        <f t="shared" si="127"/>
        <v>16.960031496834333</v>
      </c>
      <c r="I1615" s="2524">
        <f t="shared" si="128"/>
        <v>13.423522048155872</v>
      </c>
      <c r="J1615" s="2447"/>
      <c r="K1615" s="2293"/>
      <c r="L1615" s="2294"/>
      <c r="M1615" s="2294"/>
      <c r="N1615" s="2294"/>
    </row>
    <row r="1616" spans="1:14" ht="15">
      <c r="A1616" s="2218"/>
      <c r="B1616" s="2251">
        <v>45223</v>
      </c>
      <c r="C1616">
        <v>19.046399999999998</v>
      </c>
      <c r="D1616" s="2527">
        <v>170.08269999999999</v>
      </c>
      <c r="E1616" s="2523">
        <f t="shared" si="125"/>
        <v>20.496540945512795</v>
      </c>
      <c r="F1616" s="2261">
        <f t="shared" si="124"/>
        <v>24.033050394191257</v>
      </c>
      <c r="G1616" s="2524">
        <f t="shared" si="126"/>
        <v>27.569559842869719</v>
      </c>
      <c r="H1616" s="2524">
        <f t="shared" si="127"/>
        <v>16.960031496834333</v>
      </c>
      <c r="I1616" s="2524">
        <f t="shared" si="128"/>
        <v>13.423522048155872</v>
      </c>
      <c r="J1616" s="2447"/>
      <c r="K1616" s="2293"/>
      <c r="L1616" s="2294"/>
      <c r="M1616" s="2294"/>
      <c r="N1616" s="2294"/>
    </row>
    <row r="1617" spans="1:14" ht="15">
      <c r="A1617" s="2218"/>
      <c r="B1617" s="2251">
        <v>45224</v>
      </c>
      <c r="C1617">
        <v>18.8187</v>
      </c>
      <c r="D1617" s="2527">
        <v>171.08269999999999</v>
      </c>
      <c r="E1617" s="2523">
        <f t="shared" si="125"/>
        <v>20.496540945512795</v>
      </c>
      <c r="F1617" s="2261">
        <f t="shared" si="124"/>
        <v>24.033050394191257</v>
      </c>
      <c r="G1617" s="2524">
        <f t="shared" si="126"/>
        <v>27.569559842869719</v>
      </c>
      <c r="H1617" s="2524">
        <f t="shared" si="127"/>
        <v>16.960031496834333</v>
      </c>
      <c r="I1617" s="2524">
        <f t="shared" si="128"/>
        <v>13.423522048155872</v>
      </c>
      <c r="J1617" s="2447"/>
      <c r="K1617" s="2293"/>
      <c r="L1617" s="2294"/>
      <c r="M1617" s="2294"/>
      <c r="N1617" s="2294"/>
    </row>
    <row r="1618" spans="1:14" ht="15">
      <c r="A1618" s="2218"/>
      <c r="B1618" s="2251">
        <v>45225</v>
      </c>
      <c r="C1618">
        <v>17.969899999999999</v>
      </c>
      <c r="D1618" s="2527">
        <v>172.08269999999999</v>
      </c>
      <c r="E1618" s="2523">
        <f t="shared" si="125"/>
        <v>20.496540945512795</v>
      </c>
      <c r="F1618" s="2261">
        <f t="shared" si="124"/>
        <v>24.033050394191257</v>
      </c>
      <c r="G1618" s="2524">
        <f t="shared" si="126"/>
        <v>27.569559842869719</v>
      </c>
      <c r="H1618" s="2524">
        <f t="shared" si="127"/>
        <v>16.960031496834333</v>
      </c>
      <c r="I1618" s="2524">
        <f t="shared" si="128"/>
        <v>13.423522048155872</v>
      </c>
      <c r="J1618" s="2447"/>
      <c r="K1618" s="2293"/>
      <c r="L1618" s="2294"/>
      <c r="M1618" s="2294"/>
      <c r="N1618" s="2294"/>
    </row>
    <row r="1619" spans="1:14" ht="15">
      <c r="A1619" s="2218"/>
      <c r="B1619" s="2251">
        <v>45226</v>
      </c>
      <c r="C1619">
        <v>18.011299999999999</v>
      </c>
      <c r="D1619" s="2527">
        <v>173.08269999999999</v>
      </c>
      <c r="E1619" s="2523">
        <f t="shared" si="125"/>
        <v>20.496540945512795</v>
      </c>
      <c r="F1619" s="2261">
        <f t="shared" si="124"/>
        <v>24.033050394191257</v>
      </c>
      <c r="G1619" s="2524">
        <f t="shared" si="126"/>
        <v>27.569559842869719</v>
      </c>
      <c r="H1619" s="2524">
        <f t="shared" si="127"/>
        <v>16.960031496834333</v>
      </c>
      <c r="I1619" s="2524">
        <f t="shared" si="128"/>
        <v>13.423522048155872</v>
      </c>
      <c r="J1619" s="2447"/>
      <c r="K1619" s="2293"/>
      <c r="L1619" s="2294"/>
      <c r="M1619" s="2294"/>
      <c r="N1619" s="2294"/>
    </row>
    <row r="1620" spans="1:14" ht="15">
      <c r="A1620" s="2218"/>
      <c r="B1620" s="2251">
        <v>45229</v>
      </c>
      <c r="C1620">
        <v>17.597200000000001</v>
      </c>
      <c r="D1620" s="2527">
        <v>174.08269999999999</v>
      </c>
      <c r="E1620" s="2523">
        <f t="shared" si="125"/>
        <v>20.496540945512795</v>
      </c>
      <c r="F1620" s="2261">
        <f t="shared" si="124"/>
        <v>24.033050394191257</v>
      </c>
      <c r="G1620" s="2524">
        <f t="shared" si="126"/>
        <v>27.569559842869719</v>
      </c>
      <c r="H1620" s="2524">
        <f t="shared" si="127"/>
        <v>16.960031496834333</v>
      </c>
      <c r="I1620" s="2524">
        <f t="shared" si="128"/>
        <v>13.423522048155872</v>
      </c>
      <c r="J1620" s="2447"/>
      <c r="K1620" s="2293"/>
      <c r="L1620" s="2294"/>
      <c r="M1620" s="2294"/>
      <c r="N1620" s="2294"/>
    </row>
    <row r="1621" spans="1:14" ht="15">
      <c r="A1621" s="2218"/>
      <c r="B1621" s="2251">
        <v>45230</v>
      </c>
      <c r="C1621">
        <v>17.183199999999999</v>
      </c>
      <c r="D1621" s="2527">
        <v>175.08269999999999</v>
      </c>
      <c r="E1621" s="2523">
        <f t="shared" si="125"/>
        <v>20.496540945512795</v>
      </c>
      <c r="F1621" s="2261">
        <f t="shared" si="124"/>
        <v>24.033050394191257</v>
      </c>
      <c r="G1621" s="2524">
        <f t="shared" si="126"/>
        <v>27.569559842869719</v>
      </c>
      <c r="H1621" s="2524">
        <f t="shared" si="127"/>
        <v>16.960031496834333</v>
      </c>
      <c r="I1621" s="2524">
        <f t="shared" si="128"/>
        <v>13.423522048155872</v>
      </c>
      <c r="J1621" s="2447"/>
      <c r="K1621" s="2293"/>
      <c r="L1621" s="2294"/>
      <c r="M1621" s="2294"/>
      <c r="N1621" s="2294"/>
    </row>
    <row r="1622" spans="1:14" ht="15">
      <c r="A1622" s="2218"/>
      <c r="B1622" s="2251">
        <v>45231</v>
      </c>
      <c r="C1622">
        <v>17.680099999999999</v>
      </c>
      <c r="D1622" s="2527">
        <v>176.08269999999999</v>
      </c>
      <c r="E1622" s="2523">
        <f t="shared" si="125"/>
        <v>20.496540945512795</v>
      </c>
      <c r="F1622" s="2261">
        <f t="shared" si="124"/>
        <v>24.033050394191257</v>
      </c>
      <c r="G1622" s="2524">
        <f t="shared" si="126"/>
        <v>27.569559842869719</v>
      </c>
      <c r="H1622" s="2524">
        <f t="shared" si="127"/>
        <v>16.960031496834333</v>
      </c>
      <c r="I1622" s="2524">
        <f t="shared" si="128"/>
        <v>13.423522048155872</v>
      </c>
      <c r="J1622" s="2447"/>
      <c r="K1622" s="2293"/>
      <c r="L1622" s="2294"/>
      <c r="M1622" s="2294"/>
      <c r="N1622" s="2294"/>
    </row>
    <row r="1623" spans="1:14" ht="15">
      <c r="A1623" s="2218"/>
      <c r="B1623" s="2251">
        <v>45232</v>
      </c>
      <c r="C1623">
        <v>18.4253</v>
      </c>
      <c r="D1623" s="2527">
        <v>177.08269999999999</v>
      </c>
      <c r="E1623" s="2523">
        <f t="shared" si="125"/>
        <v>20.496540945512795</v>
      </c>
      <c r="F1623" s="2261">
        <f t="shared" si="124"/>
        <v>24.033050394191257</v>
      </c>
      <c r="G1623" s="2524">
        <f t="shared" si="126"/>
        <v>27.569559842869719</v>
      </c>
      <c r="H1623" s="2524">
        <f t="shared" si="127"/>
        <v>16.960031496834333</v>
      </c>
      <c r="I1623" s="2524">
        <f t="shared" si="128"/>
        <v>13.423522048155872</v>
      </c>
      <c r="J1623" s="2447"/>
      <c r="K1623" s="2293"/>
      <c r="L1623" s="2294"/>
      <c r="M1623" s="2294"/>
      <c r="N1623" s="2294"/>
    </row>
    <row r="1624" spans="1:14" ht="15">
      <c r="A1624" s="2218"/>
      <c r="B1624" s="2251">
        <v>45233</v>
      </c>
      <c r="C1624">
        <v>18.011299999999999</v>
      </c>
      <c r="D1624" s="2527">
        <v>178.08269999999999</v>
      </c>
      <c r="E1624" s="2523">
        <f t="shared" si="125"/>
        <v>20.496540945512795</v>
      </c>
      <c r="F1624" s="2261">
        <f t="shared" si="124"/>
        <v>24.033050394191257</v>
      </c>
      <c r="G1624" s="2524">
        <f t="shared" si="126"/>
        <v>27.569559842869719</v>
      </c>
      <c r="H1624" s="2524">
        <f t="shared" si="127"/>
        <v>16.960031496834333</v>
      </c>
      <c r="I1624" s="2524">
        <f t="shared" si="128"/>
        <v>13.423522048155872</v>
      </c>
      <c r="J1624" s="2447"/>
      <c r="K1624" s="2293"/>
      <c r="L1624" s="2294"/>
      <c r="M1624" s="2294"/>
      <c r="N1624" s="2294"/>
    </row>
    <row r="1625" spans="1:14" ht="15">
      <c r="A1625" s="2218"/>
      <c r="B1625" s="2251">
        <v>45236</v>
      </c>
      <c r="C1625">
        <v>18.3218</v>
      </c>
      <c r="D1625" s="2527">
        <v>179.08269999999999</v>
      </c>
      <c r="E1625" s="2523">
        <f t="shared" si="125"/>
        <v>20.496540945512795</v>
      </c>
      <c r="F1625" s="2261">
        <f t="shared" si="124"/>
        <v>24.033050394191257</v>
      </c>
      <c r="G1625" s="2524">
        <f t="shared" si="126"/>
        <v>27.569559842869719</v>
      </c>
      <c r="H1625" s="2524">
        <f t="shared" si="127"/>
        <v>16.960031496834333</v>
      </c>
      <c r="I1625" s="2524">
        <f t="shared" si="128"/>
        <v>13.423522048155872</v>
      </c>
      <c r="J1625" s="2447"/>
      <c r="K1625" s="2293"/>
      <c r="L1625" s="2294"/>
      <c r="M1625" s="2294"/>
      <c r="N1625" s="2294"/>
    </row>
    <row r="1626" spans="1:14" ht="15">
      <c r="A1626" s="2218"/>
      <c r="B1626" s="2251">
        <v>45237</v>
      </c>
      <c r="C1626">
        <v>18.2804</v>
      </c>
      <c r="D1626" s="2527">
        <v>180.08269999999999</v>
      </c>
      <c r="E1626" s="2523">
        <f t="shared" si="125"/>
        <v>20.496540945512795</v>
      </c>
      <c r="F1626" s="2261">
        <f t="shared" si="124"/>
        <v>24.033050394191257</v>
      </c>
      <c r="G1626" s="2524">
        <f t="shared" si="126"/>
        <v>27.569559842869719</v>
      </c>
      <c r="H1626" s="2524">
        <f t="shared" si="127"/>
        <v>16.960031496834333</v>
      </c>
      <c r="I1626" s="2524">
        <f t="shared" si="128"/>
        <v>13.423522048155872</v>
      </c>
      <c r="J1626" s="2447"/>
      <c r="K1626" s="2293"/>
      <c r="L1626" s="2294"/>
      <c r="M1626" s="2294"/>
      <c r="N1626" s="2294"/>
    </row>
    <row r="1627" spans="1:14" ht="15">
      <c r="A1627" s="2218"/>
      <c r="B1627" s="2251">
        <v>45238</v>
      </c>
      <c r="C1627">
        <v>19.1706</v>
      </c>
      <c r="D1627" s="2527">
        <v>181.08269999999999</v>
      </c>
      <c r="E1627" s="2523">
        <f t="shared" si="125"/>
        <v>20.496540945512795</v>
      </c>
      <c r="F1627" s="2261">
        <f t="shared" si="124"/>
        <v>24.033050394191257</v>
      </c>
      <c r="G1627" s="2524">
        <f t="shared" si="126"/>
        <v>27.569559842869719</v>
      </c>
      <c r="H1627" s="2524">
        <f t="shared" si="127"/>
        <v>16.960031496834333</v>
      </c>
      <c r="I1627" s="2524">
        <f t="shared" si="128"/>
        <v>13.423522048155872</v>
      </c>
      <c r="J1627" s="2447"/>
      <c r="K1627" s="2293"/>
      <c r="L1627" s="2294"/>
      <c r="M1627" s="2294"/>
      <c r="N1627" s="2294"/>
    </row>
    <row r="1628" spans="1:14" ht="15">
      <c r="A1628" s="2218"/>
      <c r="B1628" s="2251">
        <v>45239</v>
      </c>
      <c r="C1628">
        <v>19.149899999999999</v>
      </c>
      <c r="D1628" s="2527">
        <v>182.08269999999999</v>
      </c>
      <c r="E1628" s="2523">
        <f t="shared" si="125"/>
        <v>20.496540945512795</v>
      </c>
      <c r="F1628" s="2261">
        <f t="shared" si="124"/>
        <v>24.033050394191257</v>
      </c>
      <c r="G1628" s="2524">
        <f t="shared" si="126"/>
        <v>27.569559842869719</v>
      </c>
      <c r="H1628" s="2524">
        <f t="shared" si="127"/>
        <v>16.960031496834333</v>
      </c>
      <c r="I1628" s="2524">
        <f t="shared" si="128"/>
        <v>13.423522048155872</v>
      </c>
      <c r="J1628" s="2447"/>
      <c r="K1628" s="2293"/>
      <c r="L1628" s="2294"/>
      <c r="M1628" s="2294"/>
      <c r="N1628" s="2294"/>
    </row>
    <row r="1629" spans="1:14" ht="15">
      <c r="A1629" s="2218"/>
      <c r="B1629" s="2251">
        <v>45240</v>
      </c>
      <c r="C1629">
        <v>18.942900000000002</v>
      </c>
      <c r="D1629" s="2527">
        <v>183.08269999999999</v>
      </c>
      <c r="E1629" s="2523">
        <f t="shared" si="125"/>
        <v>20.496540945512795</v>
      </c>
      <c r="F1629" s="2261">
        <f t="shared" si="124"/>
        <v>24.033050394191257</v>
      </c>
      <c r="G1629" s="2524">
        <f t="shared" si="126"/>
        <v>27.569559842869719</v>
      </c>
      <c r="H1629" s="2524">
        <f t="shared" si="127"/>
        <v>16.960031496834333</v>
      </c>
      <c r="I1629" s="2524">
        <f t="shared" si="128"/>
        <v>13.423522048155872</v>
      </c>
      <c r="J1629" s="2447"/>
      <c r="K1629" s="2293"/>
      <c r="L1629" s="2294"/>
      <c r="M1629" s="2294"/>
      <c r="N1629" s="2294"/>
    </row>
    <row r="1630" spans="1:14" ht="15">
      <c r="A1630" s="2218"/>
      <c r="B1630" s="2251">
        <v>45243</v>
      </c>
      <c r="C1630">
        <v>18.9222</v>
      </c>
      <c r="D1630" s="2527">
        <v>184.08269999999999</v>
      </c>
      <c r="E1630" s="2523">
        <f t="shared" si="125"/>
        <v>20.496540945512795</v>
      </c>
      <c r="F1630" s="2261">
        <f t="shared" si="124"/>
        <v>24.033050394191257</v>
      </c>
      <c r="G1630" s="2524">
        <f t="shared" si="126"/>
        <v>27.569559842869719</v>
      </c>
      <c r="H1630" s="2524">
        <f t="shared" si="127"/>
        <v>16.960031496834333</v>
      </c>
      <c r="I1630" s="2524">
        <f t="shared" si="128"/>
        <v>13.423522048155872</v>
      </c>
      <c r="J1630" s="2447"/>
      <c r="K1630" s="2293"/>
      <c r="L1630" s="2294"/>
      <c r="M1630" s="2294"/>
      <c r="N1630" s="2294"/>
    </row>
    <row r="1631" spans="1:14" ht="15">
      <c r="A1631" s="2218"/>
      <c r="B1631" s="2251">
        <v>45244</v>
      </c>
      <c r="C1631">
        <v>19.1706</v>
      </c>
      <c r="D1631" s="2527">
        <v>185.08269999999999</v>
      </c>
      <c r="E1631" s="2523">
        <f t="shared" si="125"/>
        <v>20.496540945512795</v>
      </c>
      <c r="F1631" s="2261">
        <f t="shared" si="124"/>
        <v>24.033050394191257</v>
      </c>
      <c r="G1631" s="2524">
        <f t="shared" si="126"/>
        <v>27.569559842869719</v>
      </c>
      <c r="H1631" s="2524">
        <f t="shared" si="127"/>
        <v>16.960031496834333</v>
      </c>
      <c r="I1631" s="2524">
        <f t="shared" si="128"/>
        <v>13.423522048155872</v>
      </c>
      <c r="J1631" s="2447"/>
      <c r="K1631" s="2293"/>
      <c r="L1631" s="2294"/>
      <c r="M1631" s="2294"/>
      <c r="N1631" s="2294"/>
    </row>
    <row r="1632" spans="1:14" ht="15">
      <c r="A1632" s="2218"/>
      <c r="B1632" s="2251">
        <v>45245</v>
      </c>
      <c r="C1632">
        <v>19.129200000000001</v>
      </c>
      <c r="D1632" s="2527">
        <v>186.08269999999999</v>
      </c>
      <c r="E1632" s="2523">
        <f t="shared" si="125"/>
        <v>20.496540945512795</v>
      </c>
      <c r="F1632" s="2261">
        <f t="shared" si="124"/>
        <v>24.033050394191257</v>
      </c>
      <c r="G1632" s="2524">
        <f t="shared" si="126"/>
        <v>27.569559842869719</v>
      </c>
      <c r="H1632" s="2524">
        <f t="shared" si="127"/>
        <v>16.960031496834333</v>
      </c>
      <c r="I1632" s="2524">
        <f t="shared" si="128"/>
        <v>13.423522048155872</v>
      </c>
      <c r="J1632" s="2447"/>
      <c r="K1632" s="2293"/>
      <c r="L1632" s="2294"/>
      <c r="M1632" s="2294"/>
      <c r="N1632" s="2294"/>
    </row>
    <row r="1633" spans="1:14" ht="15">
      <c r="A1633" s="2218"/>
      <c r="B1633" s="2251">
        <v>45246</v>
      </c>
      <c r="C1633">
        <v>19.253499999999999</v>
      </c>
      <c r="D1633" s="2527">
        <v>187.08269999999999</v>
      </c>
      <c r="E1633" s="2523">
        <f t="shared" si="125"/>
        <v>20.496540945512795</v>
      </c>
      <c r="F1633" s="2261">
        <f t="shared" si="124"/>
        <v>24.033050394191257</v>
      </c>
      <c r="G1633" s="2524">
        <f t="shared" si="126"/>
        <v>27.569559842869719</v>
      </c>
      <c r="H1633" s="2524">
        <f t="shared" si="127"/>
        <v>16.960031496834333</v>
      </c>
      <c r="I1633" s="2524">
        <f t="shared" si="128"/>
        <v>13.423522048155872</v>
      </c>
      <c r="J1633" s="2447"/>
      <c r="K1633" s="2293"/>
      <c r="L1633" s="2294"/>
      <c r="M1633" s="2294"/>
      <c r="N1633" s="2294"/>
    </row>
    <row r="1634" spans="1:14" ht="15">
      <c r="A1634" s="2218"/>
      <c r="B1634" s="2251">
        <v>45247</v>
      </c>
      <c r="C1634">
        <v>18.839400000000001</v>
      </c>
      <c r="D1634" s="2527">
        <v>188.08269999999999</v>
      </c>
      <c r="E1634" s="2523">
        <f t="shared" si="125"/>
        <v>20.496540945512795</v>
      </c>
      <c r="F1634" s="2261">
        <f t="shared" si="124"/>
        <v>24.033050394191257</v>
      </c>
      <c r="G1634" s="2524">
        <f t="shared" si="126"/>
        <v>27.569559842869719</v>
      </c>
      <c r="H1634" s="2524">
        <f t="shared" si="127"/>
        <v>16.960031496834333</v>
      </c>
      <c r="I1634" s="2524">
        <f t="shared" si="128"/>
        <v>13.423522048155872</v>
      </c>
      <c r="J1634" s="2447"/>
      <c r="K1634" s="2293"/>
      <c r="L1634" s="2294"/>
      <c r="M1634" s="2294"/>
      <c r="N1634" s="2294"/>
    </row>
    <row r="1635" spans="1:14" ht="15">
      <c r="A1635" s="2218"/>
      <c r="B1635" s="2251">
        <v>45250</v>
      </c>
      <c r="C1635">
        <v>18.7773</v>
      </c>
      <c r="D1635" s="2527">
        <v>189.08269999999999</v>
      </c>
      <c r="E1635" s="2523">
        <f t="shared" si="125"/>
        <v>20.496540945512795</v>
      </c>
      <c r="F1635" s="2261">
        <f t="shared" si="124"/>
        <v>24.033050394191257</v>
      </c>
      <c r="G1635" s="2524">
        <f t="shared" si="126"/>
        <v>27.569559842869719</v>
      </c>
      <c r="H1635" s="2524">
        <f t="shared" si="127"/>
        <v>16.960031496834333</v>
      </c>
      <c r="I1635" s="2524">
        <f t="shared" si="128"/>
        <v>13.423522048155872</v>
      </c>
      <c r="J1635" s="2447"/>
      <c r="K1635" s="2293"/>
      <c r="L1635" s="2294"/>
      <c r="M1635" s="2294"/>
      <c r="N1635" s="2294"/>
    </row>
    <row r="1636" spans="1:14" ht="15">
      <c r="A1636" s="2218"/>
      <c r="B1636" s="2251">
        <v>45251</v>
      </c>
      <c r="C1636">
        <v>19.025700000000001</v>
      </c>
      <c r="D1636" s="2527">
        <v>190.08269999999999</v>
      </c>
      <c r="E1636" s="2523">
        <f t="shared" si="125"/>
        <v>20.496540945512795</v>
      </c>
      <c r="F1636" s="2261">
        <f t="shared" si="124"/>
        <v>24.033050394191257</v>
      </c>
      <c r="G1636" s="2524">
        <f t="shared" si="126"/>
        <v>27.569559842869719</v>
      </c>
      <c r="H1636" s="2524">
        <f t="shared" si="127"/>
        <v>16.960031496834333</v>
      </c>
      <c r="I1636" s="2524">
        <f t="shared" si="128"/>
        <v>13.423522048155872</v>
      </c>
      <c r="J1636" s="2447"/>
      <c r="K1636" s="2293"/>
      <c r="L1636" s="2294"/>
      <c r="M1636" s="2294"/>
      <c r="N1636" s="2294"/>
    </row>
    <row r="1637" spans="1:14" ht="15">
      <c r="A1637" s="2218"/>
      <c r="B1637" s="2251">
        <v>45252</v>
      </c>
      <c r="C1637">
        <v>19.253499999999999</v>
      </c>
      <c r="D1637" s="2527">
        <v>191.08269999999999</v>
      </c>
      <c r="E1637" s="2523">
        <f t="shared" si="125"/>
        <v>20.496540945512795</v>
      </c>
      <c r="F1637" s="2261">
        <f t="shared" si="124"/>
        <v>24.033050394191257</v>
      </c>
      <c r="G1637" s="2524">
        <f t="shared" si="126"/>
        <v>27.569559842869719</v>
      </c>
      <c r="H1637" s="2524">
        <f t="shared" si="127"/>
        <v>16.960031496834333</v>
      </c>
      <c r="I1637" s="2524">
        <f t="shared" si="128"/>
        <v>13.423522048155872</v>
      </c>
      <c r="J1637" s="2447"/>
      <c r="K1637" s="2293"/>
      <c r="L1637" s="2294"/>
      <c r="M1637" s="2294"/>
      <c r="N1637" s="2294"/>
    </row>
    <row r="1638" spans="1:14" ht="15">
      <c r="A1638" s="2218"/>
      <c r="B1638" s="2251">
        <v>45253</v>
      </c>
      <c r="C1638">
        <v>18.797999999999998</v>
      </c>
      <c r="D1638" s="2527">
        <v>192.08269999999999</v>
      </c>
      <c r="E1638" s="2523">
        <f t="shared" si="125"/>
        <v>20.496540945512795</v>
      </c>
      <c r="F1638" s="2261">
        <f t="shared" si="124"/>
        <v>24.033050394191257</v>
      </c>
      <c r="G1638" s="2524">
        <f t="shared" si="126"/>
        <v>27.569559842869719</v>
      </c>
      <c r="H1638" s="2524">
        <f t="shared" si="127"/>
        <v>16.960031496834333</v>
      </c>
      <c r="I1638" s="2524">
        <f t="shared" si="128"/>
        <v>13.423522048155872</v>
      </c>
      <c r="J1638" s="2447"/>
      <c r="K1638" s="2293"/>
      <c r="L1638" s="2294"/>
      <c r="M1638" s="2294"/>
      <c r="N1638" s="2294"/>
    </row>
    <row r="1639" spans="1:14" ht="15">
      <c r="A1639" s="2218"/>
      <c r="B1639" s="2251">
        <v>45254</v>
      </c>
      <c r="C1639">
        <v>18.880800000000001</v>
      </c>
      <c r="D1639" s="2527">
        <v>193.08269999999999</v>
      </c>
      <c r="E1639" s="2523">
        <f t="shared" si="125"/>
        <v>20.496540945512795</v>
      </c>
      <c r="F1639" s="2261">
        <f t="shared" si="124"/>
        <v>24.033050394191257</v>
      </c>
      <c r="G1639" s="2524">
        <f t="shared" si="126"/>
        <v>27.569559842869719</v>
      </c>
      <c r="H1639" s="2524">
        <f t="shared" si="127"/>
        <v>16.960031496834333</v>
      </c>
      <c r="I1639" s="2524">
        <f t="shared" si="128"/>
        <v>13.423522048155872</v>
      </c>
      <c r="J1639" s="2447"/>
      <c r="K1639" s="2293"/>
      <c r="L1639" s="2294"/>
      <c r="M1639" s="2294"/>
      <c r="N1639" s="2294"/>
    </row>
    <row r="1640" spans="1:14" ht="15">
      <c r="A1640" s="2218"/>
      <c r="B1640" s="2251">
        <v>45257</v>
      </c>
      <c r="C1640">
        <v>18.7773</v>
      </c>
      <c r="D1640" s="2527">
        <v>194.08269999999999</v>
      </c>
      <c r="E1640" s="2523">
        <f t="shared" si="125"/>
        <v>20.496540945512795</v>
      </c>
      <c r="F1640" s="2261">
        <f t="shared" si="124"/>
        <v>24.033050394191257</v>
      </c>
      <c r="G1640" s="2524">
        <f t="shared" si="126"/>
        <v>27.569559842869719</v>
      </c>
      <c r="H1640" s="2524">
        <f t="shared" si="127"/>
        <v>16.960031496834333</v>
      </c>
      <c r="I1640" s="2524">
        <f t="shared" si="128"/>
        <v>13.423522048155872</v>
      </c>
      <c r="J1640" s="2447"/>
      <c r="K1640" s="2293"/>
      <c r="L1640" s="2294"/>
      <c r="M1640" s="2294"/>
      <c r="N1640" s="2294"/>
    </row>
    <row r="1641" spans="1:14" ht="15">
      <c r="A1641" s="2218"/>
      <c r="B1641" s="2251">
        <v>45258</v>
      </c>
      <c r="C1641">
        <v>18.860099999999999</v>
      </c>
      <c r="D1641" s="2527">
        <v>195.08269999999999</v>
      </c>
      <c r="E1641" s="2523">
        <f t="shared" si="125"/>
        <v>20.496540945512795</v>
      </c>
      <c r="F1641" s="2261">
        <f t="shared" si="124"/>
        <v>24.033050394191257</v>
      </c>
      <c r="G1641" s="2524">
        <f t="shared" si="126"/>
        <v>27.569559842869719</v>
      </c>
      <c r="H1641" s="2524">
        <f t="shared" si="127"/>
        <v>16.960031496834333</v>
      </c>
      <c r="I1641" s="2524">
        <f t="shared" si="128"/>
        <v>13.423522048155872</v>
      </c>
      <c r="J1641" s="2447"/>
      <c r="K1641" s="2293"/>
      <c r="L1641" s="2294"/>
      <c r="M1641" s="2294"/>
      <c r="N1641" s="2294"/>
    </row>
    <row r="1642" spans="1:14" ht="15">
      <c r="A1642" s="2218"/>
      <c r="B1642" s="2251">
        <v>45259</v>
      </c>
      <c r="C1642">
        <v>18.984300000000001</v>
      </c>
      <c r="D1642" s="2527">
        <v>196.08269999999999</v>
      </c>
      <c r="E1642" s="2523">
        <f t="shared" si="125"/>
        <v>20.496540945512795</v>
      </c>
      <c r="F1642" s="2261">
        <f t="shared" si="124"/>
        <v>24.033050394191257</v>
      </c>
      <c r="G1642" s="2524">
        <f t="shared" si="126"/>
        <v>27.569559842869719</v>
      </c>
      <c r="H1642" s="2524">
        <f t="shared" si="127"/>
        <v>16.960031496834333</v>
      </c>
      <c r="I1642" s="2524">
        <f t="shared" si="128"/>
        <v>13.423522048155872</v>
      </c>
      <c r="J1642" s="2447"/>
      <c r="K1642" s="2293"/>
      <c r="L1642" s="2294"/>
      <c r="M1642" s="2294"/>
      <c r="N1642" s="2294"/>
    </row>
    <row r="1643" spans="1:14" ht="15">
      <c r="A1643" s="2218"/>
      <c r="B1643" s="2251">
        <v>45260</v>
      </c>
      <c r="C1643">
        <v>19.025700000000001</v>
      </c>
      <c r="D1643" s="2527">
        <v>197.08269999999999</v>
      </c>
      <c r="E1643" s="2523">
        <f t="shared" si="125"/>
        <v>20.496540945512795</v>
      </c>
      <c r="F1643" s="2261">
        <f t="shared" si="124"/>
        <v>24.033050394191257</v>
      </c>
      <c r="G1643" s="2524">
        <f t="shared" si="126"/>
        <v>27.569559842869719</v>
      </c>
      <c r="H1643" s="2524">
        <f t="shared" si="127"/>
        <v>16.960031496834333</v>
      </c>
      <c r="I1643" s="2524">
        <f t="shared" si="128"/>
        <v>13.423522048155872</v>
      </c>
      <c r="J1643" s="2447"/>
      <c r="K1643" s="2293"/>
      <c r="L1643" s="2294"/>
      <c r="M1643" s="2294"/>
      <c r="N1643" s="2294"/>
    </row>
    <row r="1644" spans="1:14" ht="15">
      <c r="A1644" s="2218"/>
      <c r="B1644" s="2251">
        <v>45261</v>
      </c>
      <c r="C1644">
        <v>19.129200000000001</v>
      </c>
      <c r="D1644" s="2527">
        <v>198.08269999999999</v>
      </c>
      <c r="E1644" s="2523">
        <f t="shared" si="125"/>
        <v>20.496540945512795</v>
      </c>
      <c r="F1644" s="2261">
        <f t="shared" si="124"/>
        <v>24.033050394191257</v>
      </c>
      <c r="G1644" s="2524">
        <f t="shared" si="126"/>
        <v>27.569559842869719</v>
      </c>
      <c r="H1644" s="2524">
        <f t="shared" si="127"/>
        <v>16.960031496834333</v>
      </c>
      <c r="I1644" s="2524">
        <f t="shared" si="128"/>
        <v>13.423522048155872</v>
      </c>
      <c r="J1644" s="2447"/>
      <c r="K1644" s="2293"/>
      <c r="L1644" s="2294"/>
      <c r="M1644" s="2294"/>
      <c r="N1644" s="2294"/>
    </row>
    <row r="1645" spans="1:14" ht="15">
      <c r="A1645" s="2218"/>
      <c r="B1645" s="2251">
        <v>45264</v>
      </c>
      <c r="C1645">
        <v>19.377700000000001</v>
      </c>
      <c r="D1645" s="2527">
        <v>199.08269999999999</v>
      </c>
      <c r="E1645" s="2523">
        <f t="shared" si="125"/>
        <v>20.496540945512795</v>
      </c>
      <c r="F1645" s="2261">
        <f t="shared" si="124"/>
        <v>24.033050394191257</v>
      </c>
      <c r="G1645" s="2524">
        <f t="shared" si="126"/>
        <v>27.569559842869719</v>
      </c>
      <c r="H1645" s="2524">
        <f t="shared" si="127"/>
        <v>16.960031496834333</v>
      </c>
      <c r="I1645" s="2524">
        <f t="shared" si="128"/>
        <v>13.423522048155872</v>
      </c>
      <c r="J1645" s="2447"/>
      <c r="K1645" s="2293"/>
      <c r="L1645" s="2294"/>
      <c r="M1645" s="2294"/>
      <c r="N1645" s="2294"/>
    </row>
    <row r="1646" spans="1:14" ht="15">
      <c r="A1646" s="2218"/>
      <c r="B1646" s="2251">
        <v>45265</v>
      </c>
      <c r="C1646">
        <v>19.626100000000001</v>
      </c>
      <c r="D1646" s="2527">
        <v>200.08269999999999</v>
      </c>
      <c r="E1646" s="2523">
        <f t="shared" si="125"/>
        <v>20.496540945512795</v>
      </c>
      <c r="F1646" s="2261">
        <f t="shared" si="124"/>
        <v>24.033050394191257</v>
      </c>
      <c r="G1646" s="2524">
        <f t="shared" si="126"/>
        <v>27.569559842869719</v>
      </c>
      <c r="H1646" s="2524">
        <f t="shared" si="127"/>
        <v>16.960031496834333</v>
      </c>
      <c r="I1646" s="2524">
        <f t="shared" si="128"/>
        <v>13.423522048155872</v>
      </c>
      <c r="J1646" s="2447"/>
      <c r="K1646" s="2293"/>
      <c r="L1646" s="2294"/>
      <c r="M1646" s="2294"/>
      <c r="N1646" s="2294"/>
    </row>
    <row r="1647" spans="1:14" ht="15">
      <c r="A1647" s="2218"/>
      <c r="B1647" s="2251">
        <v>45266</v>
      </c>
      <c r="C1647">
        <v>19.6675</v>
      </c>
      <c r="D1647" s="2527">
        <v>201.08269999999999</v>
      </c>
      <c r="E1647" s="2523">
        <f t="shared" si="125"/>
        <v>20.496540945512795</v>
      </c>
      <c r="F1647" s="2261">
        <f t="shared" si="124"/>
        <v>24.033050394191257</v>
      </c>
      <c r="G1647" s="2524">
        <f t="shared" si="126"/>
        <v>27.569559842869719</v>
      </c>
      <c r="H1647" s="2524">
        <f t="shared" si="127"/>
        <v>16.960031496834333</v>
      </c>
      <c r="I1647" s="2524">
        <f t="shared" si="128"/>
        <v>13.423522048155872</v>
      </c>
      <c r="J1647" s="2447"/>
      <c r="K1647" s="2293"/>
      <c r="L1647" s="2294"/>
      <c r="M1647" s="2294"/>
      <c r="N1647" s="2294"/>
    </row>
    <row r="1648" spans="1:14" ht="15">
      <c r="A1648" s="2218"/>
      <c r="B1648" s="2251">
        <v>45267</v>
      </c>
      <c r="C1648">
        <v>19.522600000000001</v>
      </c>
      <c r="D1648" s="2527">
        <v>202.08269999999999</v>
      </c>
      <c r="E1648" s="2523">
        <f t="shared" si="125"/>
        <v>20.496540945512795</v>
      </c>
      <c r="F1648" s="2261">
        <f t="shared" si="124"/>
        <v>24.033050394191257</v>
      </c>
      <c r="G1648" s="2524">
        <f t="shared" si="126"/>
        <v>27.569559842869719</v>
      </c>
      <c r="H1648" s="2524">
        <f t="shared" si="127"/>
        <v>16.960031496834333</v>
      </c>
      <c r="I1648" s="2524">
        <f t="shared" si="128"/>
        <v>13.423522048155872</v>
      </c>
      <c r="J1648" s="2447"/>
      <c r="K1648" s="2293"/>
      <c r="L1648" s="2294"/>
      <c r="M1648" s="2294"/>
      <c r="N1648" s="2294"/>
    </row>
    <row r="1649" spans="1:14" ht="15">
      <c r="A1649" s="2218"/>
      <c r="B1649" s="2251">
        <v>45268</v>
      </c>
      <c r="C1649">
        <v>19.501899999999999</v>
      </c>
      <c r="D1649" s="2527">
        <v>203.08269999999999</v>
      </c>
      <c r="E1649" s="2523">
        <f t="shared" si="125"/>
        <v>20.496540945512795</v>
      </c>
      <c r="F1649" s="2261">
        <f t="shared" si="124"/>
        <v>24.033050394191257</v>
      </c>
      <c r="G1649" s="2524">
        <f t="shared" si="126"/>
        <v>27.569559842869719</v>
      </c>
      <c r="H1649" s="2524">
        <f t="shared" si="127"/>
        <v>16.960031496834333</v>
      </c>
      <c r="I1649" s="2524">
        <f t="shared" si="128"/>
        <v>13.423522048155872</v>
      </c>
      <c r="J1649" s="2447"/>
      <c r="K1649" s="2293"/>
      <c r="L1649" s="2294"/>
      <c r="M1649" s="2294"/>
      <c r="N1649" s="2294"/>
    </row>
    <row r="1650" spans="1:14" ht="15">
      <c r="A1650" s="2218"/>
      <c r="B1650" s="2251">
        <v>45271</v>
      </c>
      <c r="C1650">
        <v>19.6675</v>
      </c>
      <c r="D1650" s="2527">
        <v>204.08269999999999</v>
      </c>
      <c r="E1650" s="2523">
        <f t="shared" si="125"/>
        <v>20.496540945512795</v>
      </c>
      <c r="F1650" s="2261">
        <f t="shared" si="124"/>
        <v>24.033050394191257</v>
      </c>
      <c r="G1650" s="2524">
        <f t="shared" si="126"/>
        <v>27.569559842869719</v>
      </c>
      <c r="H1650" s="2524">
        <f t="shared" si="127"/>
        <v>16.960031496834333</v>
      </c>
      <c r="I1650" s="2524">
        <f t="shared" si="128"/>
        <v>13.423522048155872</v>
      </c>
      <c r="J1650" s="2447"/>
      <c r="K1650" s="2293"/>
      <c r="L1650" s="2294"/>
      <c r="M1650" s="2294"/>
      <c r="N1650" s="2294"/>
    </row>
    <row r="1651" spans="1:14" ht="15">
      <c r="A1651" s="2218"/>
      <c r="B1651" s="2251">
        <v>45272</v>
      </c>
      <c r="C1651">
        <v>20.040199999999999</v>
      </c>
      <c r="D1651" s="2527">
        <v>205.08269999999999</v>
      </c>
      <c r="E1651" s="2523">
        <f t="shared" si="125"/>
        <v>20.496540945512795</v>
      </c>
      <c r="F1651" s="2261">
        <f t="shared" si="124"/>
        <v>24.033050394191257</v>
      </c>
      <c r="G1651" s="2524">
        <f t="shared" si="126"/>
        <v>27.569559842869719</v>
      </c>
      <c r="H1651" s="2524">
        <f t="shared" si="127"/>
        <v>16.960031496834333</v>
      </c>
      <c r="I1651" s="2524">
        <f t="shared" si="128"/>
        <v>13.423522048155872</v>
      </c>
      <c r="J1651" s="2447"/>
      <c r="K1651" s="2293"/>
      <c r="L1651" s="2294"/>
      <c r="M1651" s="2294"/>
      <c r="N1651" s="2294"/>
    </row>
    <row r="1652" spans="1:14" ht="15">
      <c r="A1652" s="2218"/>
      <c r="B1652" s="2251">
        <v>45273</v>
      </c>
      <c r="C1652">
        <v>19.7089</v>
      </c>
      <c r="D1652" s="2527">
        <v>206.08269999999999</v>
      </c>
      <c r="E1652" s="2523">
        <f t="shared" si="125"/>
        <v>20.496540945512795</v>
      </c>
      <c r="F1652" s="2261">
        <f t="shared" si="124"/>
        <v>24.033050394191257</v>
      </c>
      <c r="G1652" s="2524">
        <f t="shared" si="126"/>
        <v>27.569559842869719</v>
      </c>
      <c r="H1652" s="2524">
        <f t="shared" si="127"/>
        <v>16.960031496834333</v>
      </c>
      <c r="I1652" s="2524">
        <f t="shared" si="128"/>
        <v>13.423522048155872</v>
      </c>
      <c r="J1652" s="2447"/>
      <c r="K1652" s="2293"/>
      <c r="L1652" s="2294"/>
      <c r="M1652" s="2294"/>
      <c r="N1652" s="2294"/>
    </row>
    <row r="1653" spans="1:14" ht="15">
      <c r="A1653" s="2218"/>
      <c r="B1653" s="2251">
        <v>45274</v>
      </c>
      <c r="C1653">
        <v>19.915900000000001</v>
      </c>
      <c r="D1653" s="2527">
        <v>207.08269999999999</v>
      </c>
      <c r="E1653" s="2523">
        <f t="shared" si="125"/>
        <v>20.496540945512795</v>
      </c>
      <c r="F1653" s="2261">
        <f t="shared" si="124"/>
        <v>24.033050394191257</v>
      </c>
      <c r="G1653" s="2524">
        <f t="shared" si="126"/>
        <v>27.569559842869719</v>
      </c>
      <c r="H1653" s="2524">
        <f t="shared" si="127"/>
        <v>16.960031496834333</v>
      </c>
      <c r="I1653" s="2524">
        <f t="shared" si="128"/>
        <v>13.423522048155872</v>
      </c>
      <c r="J1653" s="2447"/>
      <c r="K1653" s="2293"/>
      <c r="L1653" s="2294"/>
      <c r="M1653" s="2294"/>
      <c r="N1653" s="2294"/>
    </row>
    <row r="1654" spans="1:14" ht="15">
      <c r="A1654" s="2218"/>
      <c r="B1654" s="2251">
        <v>45275</v>
      </c>
      <c r="C1654">
        <v>19.915900000000001</v>
      </c>
      <c r="D1654" s="2527">
        <v>208.08269999999999</v>
      </c>
      <c r="E1654" s="2523">
        <f t="shared" si="125"/>
        <v>20.496540945512795</v>
      </c>
      <c r="F1654" s="2261">
        <f t="shared" si="124"/>
        <v>24.033050394191257</v>
      </c>
      <c r="G1654" s="2524">
        <f t="shared" si="126"/>
        <v>27.569559842869719</v>
      </c>
      <c r="H1654" s="2524">
        <f t="shared" si="127"/>
        <v>16.960031496834333</v>
      </c>
      <c r="I1654" s="2524">
        <f t="shared" si="128"/>
        <v>13.423522048155872</v>
      </c>
      <c r="J1654" s="2447"/>
      <c r="K1654" s="2293"/>
      <c r="L1654" s="2294"/>
      <c r="M1654" s="2294"/>
      <c r="N1654" s="2294"/>
    </row>
    <row r="1655" spans="1:14" ht="15">
      <c r="A1655" s="2218"/>
      <c r="B1655" s="2251">
        <v>45278</v>
      </c>
      <c r="C1655">
        <v>19.4605</v>
      </c>
      <c r="D1655" s="2527">
        <v>209.08269999999999</v>
      </c>
      <c r="E1655" s="2523">
        <f t="shared" si="125"/>
        <v>20.496540945512795</v>
      </c>
      <c r="F1655" s="2261">
        <f t="shared" si="124"/>
        <v>24.033050394191257</v>
      </c>
      <c r="G1655" s="2524">
        <f t="shared" si="126"/>
        <v>27.569559842869719</v>
      </c>
      <c r="H1655" s="2524">
        <f t="shared" si="127"/>
        <v>16.960031496834333</v>
      </c>
      <c r="I1655" s="2524">
        <f t="shared" si="128"/>
        <v>13.423522048155872</v>
      </c>
      <c r="J1655" s="2447"/>
      <c r="K1655" s="2293"/>
      <c r="L1655" s="2294"/>
      <c r="M1655" s="2294"/>
      <c r="N1655" s="2294"/>
    </row>
    <row r="1656" spans="1:14" ht="15">
      <c r="A1656" s="2218"/>
      <c r="B1656" s="2251">
        <v>45279</v>
      </c>
      <c r="C1656">
        <v>19.584700000000002</v>
      </c>
      <c r="D1656" s="2527">
        <v>210.08269999999999</v>
      </c>
      <c r="E1656" s="2523">
        <f t="shared" si="125"/>
        <v>20.496540945512795</v>
      </c>
      <c r="F1656" s="2261">
        <f t="shared" si="124"/>
        <v>24.033050394191257</v>
      </c>
      <c r="G1656" s="2524">
        <f t="shared" si="126"/>
        <v>27.569559842869719</v>
      </c>
      <c r="H1656" s="2524">
        <f t="shared" si="127"/>
        <v>16.960031496834333</v>
      </c>
      <c r="I1656" s="2524">
        <f t="shared" si="128"/>
        <v>13.423522048155872</v>
      </c>
      <c r="J1656" s="2447"/>
      <c r="K1656" s="2293"/>
      <c r="L1656" s="2294"/>
      <c r="M1656" s="2294"/>
      <c r="N1656" s="2294"/>
    </row>
    <row r="1657" spans="1:14" ht="15">
      <c r="A1657" s="2218"/>
      <c r="B1657" s="2251">
        <v>45280</v>
      </c>
      <c r="C1657">
        <v>19.605399999999999</v>
      </c>
      <c r="D1657" s="2527">
        <v>211.08269999999999</v>
      </c>
      <c r="E1657" s="2523">
        <f t="shared" si="125"/>
        <v>20.496540945512795</v>
      </c>
      <c r="F1657" s="2261">
        <f t="shared" si="124"/>
        <v>24.033050394191257</v>
      </c>
      <c r="G1657" s="2524">
        <f t="shared" si="126"/>
        <v>27.569559842869719</v>
      </c>
      <c r="H1657" s="2524">
        <f t="shared" si="127"/>
        <v>16.960031496834333</v>
      </c>
      <c r="I1657" s="2524">
        <f t="shared" si="128"/>
        <v>13.423522048155872</v>
      </c>
      <c r="J1657" s="2447"/>
      <c r="K1657" s="2293"/>
      <c r="L1657" s="2294"/>
      <c r="M1657" s="2294"/>
      <c r="N1657" s="2294"/>
    </row>
    <row r="1658" spans="1:14" ht="15">
      <c r="A1658" s="2218"/>
      <c r="B1658" s="2251">
        <v>45281</v>
      </c>
      <c r="C1658">
        <v>19.688199999999998</v>
      </c>
      <c r="D1658" s="2527">
        <v>212.08269999999999</v>
      </c>
      <c r="E1658" s="2523">
        <f t="shared" si="125"/>
        <v>20.496540945512795</v>
      </c>
      <c r="F1658" s="2261">
        <f t="shared" si="124"/>
        <v>24.033050394191257</v>
      </c>
      <c r="G1658" s="2524">
        <f t="shared" si="126"/>
        <v>27.569559842869719</v>
      </c>
      <c r="H1658" s="2524">
        <f t="shared" si="127"/>
        <v>16.960031496834333</v>
      </c>
      <c r="I1658" s="2524">
        <f t="shared" si="128"/>
        <v>13.423522048155872</v>
      </c>
      <c r="J1658" s="2447"/>
      <c r="K1658" s="2293"/>
      <c r="L1658" s="2294"/>
      <c r="M1658" s="2294"/>
      <c r="N1658" s="2294"/>
    </row>
    <row r="1659" spans="1:14" ht="15">
      <c r="A1659" s="2218"/>
      <c r="B1659" s="2251">
        <v>45282</v>
      </c>
      <c r="C1659">
        <v>19.584700000000002</v>
      </c>
      <c r="D1659" s="2527">
        <v>213.08269999999999</v>
      </c>
      <c r="E1659" s="2523">
        <f t="shared" si="125"/>
        <v>20.496540945512795</v>
      </c>
      <c r="F1659" s="2261">
        <f t="shared" si="124"/>
        <v>24.033050394191257</v>
      </c>
      <c r="G1659" s="2524">
        <f t="shared" si="126"/>
        <v>27.569559842869719</v>
      </c>
      <c r="H1659" s="2524">
        <f t="shared" si="127"/>
        <v>16.960031496834333</v>
      </c>
      <c r="I1659" s="2524">
        <f t="shared" si="128"/>
        <v>13.423522048155872</v>
      </c>
      <c r="J1659" s="2447"/>
      <c r="K1659" s="2293"/>
      <c r="L1659" s="2294"/>
      <c r="M1659" s="2294"/>
      <c r="N1659" s="2294"/>
    </row>
    <row r="1660" spans="1:14" ht="15">
      <c r="A1660" s="2218"/>
      <c r="B1660" s="2251">
        <v>45285</v>
      </c>
      <c r="C1660">
        <v>19.874500000000001</v>
      </c>
      <c r="D1660" s="2527">
        <v>214.08269999999999</v>
      </c>
      <c r="E1660" s="2523">
        <f t="shared" si="125"/>
        <v>20.496540945512795</v>
      </c>
      <c r="F1660" s="2261">
        <f t="shared" si="124"/>
        <v>24.033050394191257</v>
      </c>
      <c r="G1660" s="2524">
        <f t="shared" si="126"/>
        <v>27.569559842869719</v>
      </c>
      <c r="H1660" s="2524">
        <f t="shared" si="127"/>
        <v>16.960031496834333</v>
      </c>
      <c r="I1660" s="2524">
        <f t="shared" si="128"/>
        <v>13.423522048155872</v>
      </c>
      <c r="J1660" s="2447"/>
      <c r="K1660" s="2293"/>
      <c r="L1660" s="2294"/>
      <c r="M1660" s="2294"/>
      <c r="N1660" s="2294"/>
    </row>
    <row r="1661" spans="1:14" ht="15">
      <c r="A1661" s="2218"/>
      <c r="B1661" s="2251">
        <v>45286</v>
      </c>
      <c r="C1661">
        <v>20.123000000000001</v>
      </c>
      <c r="D1661" s="2527">
        <v>215.08269999999999</v>
      </c>
      <c r="E1661" s="2523">
        <f t="shared" si="125"/>
        <v>20.496540945512795</v>
      </c>
      <c r="F1661" s="2261">
        <f t="shared" ref="F1661:F1724" si="129">I$953+F$953</f>
        <v>24.033050394191257</v>
      </c>
      <c r="G1661" s="2524">
        <f t="shared" si="126"/>
        <v>27.569559842869719</v>
      </c>
      <c r="H1661" s="2524">
        <f t="shared" si="127"/>
        <v>16.960031496834333</v>
      </c>
      <c r="I1661" s="2524">
        <f t="shared" si="128"/>
        <v>13.423522048155872</v>
      </c>
      <c r="J1661" s="2447"/>
      <c r="K1661" s="2293"/>
      <c r="L1661" s="2294"/>
      <c r="M1661" s="2294"/>
      <c r="N1661" s="2294"/>
    </row>
    <row r="1662" spans="1:14" ht="15">
      <c r="A1662" s="2218"/>
      <c r="B1662" s="2251">
        <v>45287</v>
      </c>
      <c r="C1662">
        <v>20.0609</v>
      </c>
      <c r="D1662" s="2527">
        <v>216.08269999999999</v>
      </c>
      <c r="E1662" s="2523">
        <f t="shared" ref="E1662:E1725" si="130">I$953</f>
        <v>20.496540945512795</v>
      </c>
      <c r="F1662" s="2261">
        <f t="shared" si="129"/>
        <v>24.033050394191257</v>
      </c>
      <c r="G1662" s="2524">
        <f t="shared" ref="G1662:G1725" si="131">I$953+F$953+F$953</f>
        <v>27.569559842869719</v>
      </c>
      <c r="H1662" s="2524">
        <f t="shared" ref="H1662:H1725" si="132">I$953-F$953</f>
        <v>16.960031496834333</v>
      </c>
      <c r="I1662" s="2524">
        <f t="shared" ref="I1662:I1725" si="133">I$953-F$953-F$953</f>
        <v>13.423522048155872</v>
      </c>
      <c r="J1662" s="2447"/>
      <c r="K1662" s="2293"/>
      <c r="L1662" s="2294"/>
      <c r="M1662" s="2294"/>
      <c r="N1662" s="2294"/>
    </row>
    <row r="1663" spans="1:14" ht="15">
      <c r="A1663" s="2218"/>
      <c r="B1663" s="2251">
        <v>45288</v>
      </c>
      <c r="C1663">
        <v>19.998799999999999</v>
      </c>
      <c r="D1663" s="2527">
        <v>217.08269999999999</v>
      </c>
      <c r="E1663" s="2523">
        <f t="shared" si="130"/>
        <v>20.496540945512795</v>
      </c>
      <c r="F1663" s="2261">
        <f t="shared" si="129"/>
        <v>24.033050394191257</v>
      </c>
      <c r="G1663" s="2524">
        <f t="shared" si="131"/>
        <v>27.569559842869719</v>
      </c>
      <c r="H1663" s="2524">
        <f t="shared" si="132"/>
        <v>16.960031496834333</v>
      </c>
      <c r="I1663" s="2524">
        <f t="shared" si="133"/>
        <v>13.423522048155872</v>
      </c>
      <c r="J1663" s="2447"/>
      <c r="K1663" s="2293"/>
      <c r="L1663" s="2294"/>
      <c r="M1663" s="2294"/>
      <c r="N1663" s="2294"/>
    </row>
    <row r="1664" spans="1:14" ht="15">
      <c r="A1664" s="2218"/>
      <c r="B1664" s="2251">
        <v>45289</v>
      </c>
      <c r="C1664">
        <v>18.8292</v>
      </c>
      <c r="D1664" s="2527">
        <v>218.08269999999999</v>
      </c>
      <c r="E1664" s="2523">
        <f t="shared" si="130"/>
        <v>20.496540945512795</v>
      </c>
      <c r="F1664" s="2261">
        <f t="shared" si="129"/>
        <v>24.033050394191257</v>
      </c>
      <c r="G1664" s="2524">
        <f t="shared" si="131"/>
        <v>27.569559842869719</v>
      </c>
      <c r="H1664" s="2524">
        <f t="shared" si="132"/>
        <v>16.960031496834333</v>
      </c>
      <c r="I1664" s="2524">
        <f t="shared" si="133"/>
        <v>13.423522048155872</v>
      </c>
      <c r="J1664" s="2447"/>
      <c r="K1664" s="2293"/>
      <c r="L1664" s="2294"/>
      <c r="M1664" s="2294"/>
      <c r="N1664" s="2294"/>
    </row>
    <row r="1665" spans="1:14" ht="15">
      <c r="A1665" s="2218"/>
      <c r="B1665" s="2251">
        <v>45293</v>
      </c>
      <c r="C1665">
        <v>18.790099999999999</v>
      </c>
      <c r="D1665" s="2527">
        <v>219.08269999999999</v>
      </c>
      <c r="E1665" s="2523">
        <f t="shared" si="130"/>
        <v>20.496540945512795</v>
      </c>
      <c r="F1665" s="2261">
        <f t="shared" si="129"/>
        <v>24.033050394191257</v>
      </c>
      <c r="G1665" s="2524">
        <f t="shared" si="131"/>
        <v>27.569559842869719</v>
      </c>
      <c r="H1665" s="2524">
        <f t="shared" si="132"/>
        <v>16.960031496834333</v>
      </c>
      <c r="I1665" s="2524">
        <f t="shared" si="133"/>
        <v>13.423522048155872</v>
      </c>
      <c r="J1665" s="2447"/>
      <c r="K1665" s="2293"/>
      <c r="L1665" s="2294"/>
      <c r="M1665" s="2294"/>
      <c r="N1665" s="2294"/>
    </row>
    <row r="1666" spans="1:14" ht="15">
      <c r="A1666" s="2218"/>
      <c r="B1666" s="2251">
        <v>45294</v>
      </c>
      <c r="C1666">
        <v>18.868400000000001</v>
      </c>
      <c r="D1666" s="2527">
        <v>220.08269999999999</v>
      </c>
      <c r="E1666" s="2523">
        <f t="shared" si="130"/>
        <v>20.496540945512795</v>
      </c>
      <c r="F1666" s="2261">
        <f t="shared" si="129"/>
        <v>24.033050394191257</v>
      </c>
      <c r="G1666" s="2524">
        <f t="shared" si="131"/>
        <v>27.569559842869719</v>
      </c>
      <c r="H1666" s="2524">
        <f t="shared" si="132"/>
        <v>16.960031496834333</v>
      </c>
      <c r="I1666" s="2524">
        <f t="shared" si="133"/>
        <v>13.423522048155872</v>
      </c>
      <c r="J1666" s="2447"/>
      <c r="K1666" s="2293"/>
      <c r="L1666" s="2294"/>
      <c r="M1666" s="2294"/>
      <c r="N1666" s="2294"/>
    </row>
    <row r="1667" spans="1:14" ht="15">
      <c r="A1667" s="2218"/>
      <c r="B1667" s="2251">
        <v>45295</v>
      </c>
      <c r="C1667">
        <v>19.044799999999999</v>
      </c>
      <c r="D1667" s="2527">
        <v>221.08269999999999</v>
      </c>
      <c r="E1667" s="2523">
        <f t="shared" si="130"/>
        <v>20.496540945512795</v>
      </c>
      <c r="F1667" s="2261">
        <f t="shared" si="129"/>
        <v>24.033050394191257</v>
      </c>
      <c r="G1667" s="2524">
        <f t="shared" si="131"/>
        <v>27.569559842869719</v>
      </c>
      <c r="H1667" s="2524">
        <f t="shared" si="132"/>
        <v>16.960031496834333</v>
      </c>
      <c r="I1667" s="2524">
        <f t="shared" si="133"/>
        <v>13.423522048155872</v>
      </c>
      <c r="J1667" s="2447"/>
      <c r="K1667" s="2293"/>
      <c r="L1667" s="2294"/>
      <c r="M1667" s="2294"/>
      <c r="N1667" s="2294"/>
    </row>
    <row r="1668" spans="1:14" ht="15">
      <c r="A1668" s="2218"/>
      <c r="B1668" s="2251">
        <v>45296</v>
      </c>
      <c r="C1668">
        <v>19.084</v>
      </c>
      <c r="D1668" s="2527">
        <v>222.08269999999999</v>
      </c>
      <c r="E1668" s="2523">
        <f t="shared" si="130"/>
        <v>20.496540945512795</v>
      </c>
      <c r="F1668" s="2261">
        <f t="shared" si="129"/>
        <v>24.033050394191257</v>
      </c>
      <c r="G1668" s="2524">
        <f t="shared" si="131"/>
        <v>27.569559842869719</v>
      </c>
      <c r="H1668" s="2524">
        <f t="shared" si="132"/>
        <v>16.960031496834333</v>
      </c>
      <c r="I1668" s="2524">
        <f t="shared" si="133"/>
        <v>13.423522048155872</v>
      </c>
      <c r="J1668" s="2447"/>
      <c r="K1668" s="2293"/>
      <c r="L1668" s="2294"/>
      <c r="M1668" s="2294"/>
      <c r="N1668" s="2294"/>
    </row>
    <row r="1669" spans="1:14" ht="15">
      <c r="A1669" s="2218"/>
      <c r="B1669" s="2251">
        <v>45299</v>
      </c>
      <c r="C1669">
        <v>19.064399999999999</v>
      </c>
      <c r="D1669" s="2527">
        <v>223.08269999999999</v>
      </c>
      <c r="E1669" s="2523">
        <f t="shared" si="130"/>
        <v>20.496540945512795</v>
      </c>
      <c r="F1669" s="2261">
        <f t="shared" si="129"/>
        <v>24.033050394191257</v>
      </c>
      <c r="G1669" s="2524">
        <f t="shared" si="131"/>
        <v>27.569559842869719</v>
      </c>
      <c r="H1669" s="2524">
        <f t="shared" si="132"/>
        <v>16.960031496834333</v>
      </c>
      <c r="I1669" s="2524">
        <f t="shared" si="133"/>
        <v>13.423522048155872</v>
      </c>
      <c r="J1669" s="2447"/>
      <c r="K1669" s="2293"/>
      <c r="L1669" s="2294"/>
      <c r="M1669" s="2294"/>
      <c r="N1669" s="2294"/>
    </row>
    <row r="1670" spans="1:14" ht="15">
      <c r="A1670" s="2218"/>
      <c r="B1670" s="2251">
        <v>45300</v>
      </c>
      <c r="C1670">
        <v>18.927199999999999</v>
      </c>
      <c r="D1670" s="2527">
        <v>224.08269999999999</v>
      </c>
      <c r="E1670" s="2523">
        <f t="shared" si="130"/>
        <v>20.496540945512795</v>
      </c>
      <c r="F1670" s="2261">
        <f t="shared" si="129"/>
        <v>24.033050394191257</v>
      </c>
      <c r="G1670" s="2524">
        <f t="shared" si="131"/>
        <v>27.569559842869719</v>
      </c>
      <c r="H1670" s="2524">
        <f t="shared" si="132"/>
        <v>16.960031496834333</v>
      </c>
      <c r="I1670" s="2524">
        <f t="shared" si="133"/>
        <v>13.423522048155872</v>
      </c>
      <c r="J1670" s="2447"/>
      <c r="K1670" s="2293"/>
      <c r="L1670" s="2294"/>
      <c r="M1670" s="2294"/>
      <c r="N1670" s="2294"/>
    </row>
    <row r="1671" spans="1:14" ht="15">
      <c r="A1671" s="2218"/>
      <c r="B1671" s="2251">
        <v>45301</v>
      </c>
      <c r="C1671">
        <v>18.5549</v>
      </c>
      <c r="D1671" s="2527">
        <v>225.08269999999999</v>
      </c>
      <c r="E1671" s="2523">
        <f t="shared" si="130"/>
        <v>20.496540945512795</v>
      </c>
      <c r="F1671" s="2261">
        <f t="shared" si="129"/>
        <v>24.033050394191257</v>
      </c>
      <c r="G1671" s="2524">
        <f t="shared" si="131"/>
        <v>27.569559842869719</v>
      </c>
      <c r="H1671" s="2524">
        <f t="shared" si="132"/>
        <v>16.960031496834333</v>
      </c>
      <c r="I1671" s="2524">
        <f t="shared" si="133"/>
        <v>13.423522048155872</v>
      </c>
      <c r="J1671" s="2447"/>
      <c r="K1671" s="2293"/>
      <c r="L1671" s="2294"/>
      <c r="M1671" s="2294"/>
      <c r="N1671" s="2294"/>
    </row>
    <row r="1672" spans="1:14" ht="15">
      <c r="A1672" s="2218"/>
      <c r="B1672" s="2251">
        <v>45302</v>
      </c>
      <c r="C1672">
        <v>18.613700000000001</v>
      </c>
      <c r="D1672" s="2527">
        <v>226.08269999999999</v>
      </c>
      <c r="E1672" s="2523">
        <f t="shared" si="130"/>
        <v>20.496540945512795</v>
      </c>
      <c r="F1672" s="2261">
        <f t="shared" si="129"/>
        <v>24.033050394191257</v>
      </c>
      <c r="G1672" s="2524">
        <f t="shared" si="131"/>
        <v>27.569559842869719</v>
      </c>
      <c r="H1672" s="2524">
        <f t="shared" si="132"/>
        <v>16.960031496834333</v>
      </c>
      <c r="I1672" s="2524">
        <f t="shared" si="133"/>
        <v>13.423522048155872</v>
      </c>
      <c r="J1672" s="2447"/>
      <c r="K1672" s="2293"/>
      <c r="L1672" s="2294"/>
      <c r="M1672" s="2294"/>
      <c r="N1672" s="2294"/>
    </row>
    <row r="1673" spans="1:14" ht="15">
      <c r="A1673" s="2218"/>
      <c r="B1673" s="2251">
        <v>45303</v>
      </c>
      <c r="C1673">
        <v>18.5549</v>
      </c>
      <c r="D1673" s="2527">
        <v>227.08269999999999</v>
      </c>
      <c r="E1673" s="2523">
        <f t="shared" si="130"/>
        <v>20.496540945512795</v>
      </c>
      <c r="F1673" s="2261">
        <f t="shared" si="129"/>
        <v>24.033050394191257</v>
      </c>
      <c r="G1673" s="2524">
        <f t="shared" si="131"/>
        <v>27.569559842869719</v>
      </c>
      <c r="H1673" s="2524">
        <f t="shared" si="132"/>
        <v>16.960031496834333</v>
      </c>
      <c r="I1673" s="2524">
        <f t="shared" si="133"/>
        <v>13.423522048155872</v>
      </c>
      <c r="J1673" s="2447"/>
      <c r="K1673" s="2293"/>
      <c r="L1673" s="2294"/>
      <c r="M1673" s="2294"/>
      <c r="N1673" s="2294"/>
    </row>
    <row r="1674" spans="1:14" ht="15">
      <c r="A1674" s="2218"/>
      <c r="B1674" s="2251">
        <v>45306</v>
      </c>
      <c r="C1674">
        <v>18.6921</v>
      </c>
      <c r="D1674" s="2527">
        <v>228.08269999999999</v>
      </c>
      <c r="E1674" s="2523">
        <f t="shared" si="130"/>
        <v>20.496540945512795</v>
      </c>
      <c r="F1674" s="2261">
        <f t="shared" si="129"/>
        <v>24.033050394191257</v>
      </c>
      <c r="G1674" s="2524">
        <f t="shared" si="131"/>
        <v>27.569559842869719</v>
      </c>
      <c r="H1674" s="2524">
        <f t="shared" si="132"/>
        <v>16.960031496834333</v>
      </c>
      <c r="I1674" s="2524">
        <f t="shared" si="133"/>
        <v>13.423522048155872</v>
      </c>
      <c r="J1674" s="2447"/>
      <c r="K1674" s="2293"/>
      <c r="L1674" s="2294"/>
      <c r="M1674" s="2294"/>
      <c r="N1674" s="2294"/>
    </row>
    <row r="1675" spans="1:14" ht="15">
      <c r="A1675" s="2218"/>
      <c r="B1675" s="2251">
        <v>45307</v>
      </c>
      <c r="C1675">
        <v>18.750900000000001</v>
      </c>
      <c r="D1675" s="2527">
        <v>229.08269999999999</v>
      </c>
      <c r="E1675" s="2523">
        <f t="shared" si="130"/>
        <v>20.496540945512795</v>
      </c>
      <c r="F1675" s="2261">
        <f t="shared" si="129"/>
        <v>24.033050394191257</v>
      </c>
      <c r="G1675" s="2524">
        <f t="shared" si="131"/>
        <v>27.569559842869719</v>
      </c>
      <c r="H1675" s="2524">
        <f t="shared" si="132"/>
        <v>16.960031496834333</v>
      </c>
      <c r="I1675" s="2524">
        <f t="shared" si="133"/>
        <v>13.423522048155872</v>
      </c>
      <c r="J1675" s="2447"/>
      <c r="K1675" s="2293"/>
      <c r="L1675" s="2294"/>
      <c r="M1675" s="2294"/>
      <c r="N1675" s="2294"/>
    </row>
    <row r="1676" spans="1:14" ht="15">
      <c r="A1676" s="2218"/>
      <c r="B1676" s="2251">
        <v>45308</v>
      </c>
      <c r="C1676">
        <v>18.750900000000001</v>
      </c>
      <c r="D1676" s="2527">
        <v>230.08269999999999</v>
      </c>
      <c r="E1676" s="2523">
        <f t="shared" si="130"/>
        <v>20.496540945512795</v>
      </c>
      <c r="F1676" s="2261">
        <f t="shared" si="129"/>
        <v>24.033050394191257</v>
      </c>
      <c r="G1676" s="2524">
        <f t="shared" si="131"/>
        <v>27.569559842869719</v>
      </c>
      <c r="H1676" s="2524">
        <f t="shared" si="132"/>
        <v>16.960031496834333</v>
      </c>
      <c r="I1676" s="2524">
        <f t="shared" si="133"/>
        <v>13.423522048155872</v>
      </c>
      <c r="J1676" s="2447"/>
      <c r="K1676" s="2293"/>
      <c r="L1676" s="2294"/>
      <c r="M1676" s="2294"/>
      <c r="N1676" s="2294"/>
    </row>
    <row r="1677" spans="1:14" ht="15">
      <c r="A1677" s="2218"/>
      <c r="B1677" s="2251">
        <v>45309</v>
      </c>
      <c r="C1677">
        <v>18.731300000000001</v>
      </c>
      <c r="D1677" s="2527">
        <v>231.08269999999999</v>
      </c>
      <c r="E1677" s="2523">
        <f t="shared" si="130"/>
        <v>20.496540945512795</v>
      </c>
      <c r="F1677" s="2261">
        <f t="shared" si="129"/>
        <v>24.033050394191257</v>
      </c>
      <c r="G1677" s="2524">
        <f t="shared" si="131"/>
        <v>27.569559842869719</v>
      </c>
      <c r="H1677" s="2524">
        <f t="shared" si="132"/>
        <v>16.960031496834333</v>
      </c>
      <c r="I1677" s="2524">
        <f t="shared" si="133"/>
        <v>13.423522048155872</v>
      </c>
      <c r="J1677" s="2447"/>
      <c r="K1677" s="2293"/>
      <c r="L1677" s="2294"/>
      <c r="M1677" s="2294"/>
      <c r="N1677" s="2294"/>
    </row>
    <row r="1678" spans="1:14" ht="15">
      <c r="A1678" s="2218"/>
      <c r="B1678" s="2251">
        <v>45310</v>
      </c>
      <c r="C1678">
        <v>18.868400000000001</v>
      </c>
      <c r="D1678" s="2527">
        <v>232.08269999999999</v>
      </c>
      <c r="E1678" s="2523">
        <f t="shared" si="130"/>
        <v>20.496540945512795</v>
      </c>
      <c r="F1678" s="2261">
        <f t="shared" si="129"/>
        <v>24.033050394191257</v>
      </c>
      <c r="G1678" s="2524">
        <f t="shared" si="131"/>
        <v>27.569559842869719</v>
      </c>
      <c r="H1678" s="2524">
        <f t="shared" si="132"/>
        <v>16.960031496834333</v>
      </c>
      <c r="I1678" s="2524">
        <f t="shared" si="133"/>
        <v>13.423522048155872</v>
      </c>
      <c r="J1678" s="2447"/>
      <c r="K1678" s="2293"/>
      <c r="L1678" s="2294"/>
      <c r="M1678" s="2294"/>
      <c r="N1678" s="2294"/>
    </row>
    <row r="1679" spans="1:14" ht="15">
      <c r="A1679" s="2218"/>
      <c r="B1679" s="2251">
        <v>45313</v>
      </c>
      <c r="C1679">
        <v>18.888000000000002</v>
      </c>
      <c r="D1679" s="2527">
        <v>233.08269999999999</v>
      </c>
      <c r="E1679" s="2523">
        <f t="shared" si="130"/>
        <v>20.496540945512795</v>
      </c>
      <c r="F1679" s="2261">
        <f t="shared" si="129"/>
        <v>24.033050394191257</v>
      </c>
      <c r="G1679" s="2524">
        <f t="shared" si="131"/>
        <v>27.569559842869719</v>
      </c>
      <c r="H1679" s="2524">
        <f t="shared" si="132"/>
        <v>16.960031496834333</v>
      </c>
      <c r="I1679" s="2524">
        <f t="shared" si="133"/>
        <v>13.423522048155872</v>
      </c>
      <c r="J1679" s="2447"/>
      <c r="K1679" s="2293"/>
      <c r="L1679" s="2294"/>
      <c r="M1679" s="2294"/>
      <c r="N1679" s="2294"/>
    </row>
    <row r="1680" spans="1:14" ht="15">
      <c r="A1680" s="2218"/>
      <c r="B1680" s="2251">
        <v>45314</v>
      </c>
      <c r="C1680">
        <v>18.731300000000001</v>
      </c>
      <c r="D1680" s="2527">
        <v>234.08269999999999</v>
      </c>
      <c r="E1680" s="2523">
        <f t="shared" si="130"/>
        <v>20.496540945512795</v>
      </c>
      <c r="F1680" s="2261">
        <f t="shared" si="129"/>
        <v>24.033050394191257</v>
      </c>
      <c r="G1680" s="2524">
        <f t="shared" si="131"/>
        <v>27.569559842869719</v>
      </c>
      <c r="H1680" s="2524">
        <f t="shared" si="132"/>
        <v>16.960031496834333</v>
      </c>
      <c r="I1680" s="2524">
        <f t="shared" si="133"/>
        <v>13.423522048155872</v>
      </c>
      <c r="J1680" s="2447"/>
      <c r="K1680" s="2293"/>
      <c r="L1680" s="2294"/>
      <c r="M1680" s="2294"/>
      <c r="N1680" s="2294"/>
    </row>
    <row r="1681" spans="1:14" ht="15">
      <c r="A1681" s="2218"/>
      <c r="B1681" s="2251">
        <v>45315</v>
      </c>
      <c r="C1681">
        <v>18.613700000000001</v>
      </c>
      <c r="D1681" s="2527">
        <v>235.08269999999999</v>
      </c>
      <c r="E1681" s="2523">
        <f t="shared" si="130"/>
        <v>20.496540945512795</v>
      </c>
      <c r="F1681" s="2261">
        <f t="shared" si="129"/>
        <v>24.033050394191257</v>
      </c>
      <c r="G1681" s="2524">
        <f t="shared" si="131"/>
        <v>27.569559842869719</v>
      </c>
      <c r="H1681" s="2524">
        <f t="shared" si="132"/>
        <v>16.960031496834333</v>
      </c>
      <c r="I1681" s="2524">
        <f t="shared" si="133"/>
        <v>13.423522048155872</v>
      </c>
      <c r="J1681" s="2447"/>
      <c r="K1681" s="2293"/>
      <c r="L1681" s="2294"/>
      <c r="M1681" s="2294"/>
      <c r="N1681" s="2294"/>
    </row>
    <row r="1682" spans="1:14" ht="15">
      <c r="A1682" s="2218"/>
      <c r="B1682" s="2251">
        <v>45316</v>
      </c>
      <c r="C1682">
        <v>18.633299999999998</v>
      </c>
      <c r="D1682" s="2527">
        <v>236.08269999999999</v>
      </c>
      <c r="E1682" s="2523">
        <f t="shared" si="130"/>
        <v>20.496540945512795</v>
      </c>
      <c r="F1682" s="2261">
        <f t="shared" si="129"/>
        <v>24.033050394191257</v>
      </c>
      <c r="G1682" s="2524">
        <f t="shared" si="131"/>
        <v>27.569559842869719</v>
      </c>
      <c r="H1682" s="2524">
        <f t="shared" si="132"/>
        <v>16.960031496834333</v>
      </c>
      <c r="I1682" s="2524">
        <f t="shared" si="133"/>
        <v>13.423522048155872</v>
      </c>
      <c r="J1682" s="2447"/>
      <c r="K1682" s="2293"/>
      <c r="L1682" s="2294"/>
      <c r="M1682" s="2294"/>
      <c r="N1682" s="2294"/>
    </row>
    <row r="1683" spans="1:14" ht="15">
      <c r="A1683" s="2218"/>
      <c r="B1683" s="2251">
        <v>45317</v>
      </c>
      <c r="C1683">
        <v>18.790099999999999</v>
      </c>
      <c r="D1683" s="2527">
        <v>237.08269999999999</v>
      </c>
      <c r="E1683" s="2523">
        <f t="shared" si="130"/>
        <v>20.496540945512795</v>
      </c>
      <c r="F1683" s="2261">
        <f t="shared" si="129"/>
        <v>24.033050394191257</v>
      </c>
      <c r="G1683" s="2524">
        <f t="shared" si="131"/>
        <v>27.569559842869719</v>
      </c>
      <c r="H1683" s="2524">
        <f t="shared" si="132"/>
        <v>16.960031496834333</v>
      </c>
      <c r="I1683" s="2524">
        <f t="shared" si="133"/>
        <v>13.423522048155872</v>
      </c>
      <c r="J1683" s="2447"/>
      <c r="K1683" s="2293"/>
      <c r="L1683" s="2294"/>
      <c r="M1683" s="2294"/>
      <c r="N1683" s="2294"/>
    </row>
    <row r="1684" spans="1:14" ht="15">
      <c r="A1684" s="2218"/>
      <c r="B1684" s="2251">
        <v>45320</v>
      </c>
      <c r="C1684">
        <v>18.790099999999999</v>
      </c>
      <c r="D1684" s="2527">
        <v>238.08269999999999</v>
      </c>
      <c r="E1684" s="2523">
        <f t="shared" si="130"/>
        <v>20.496540945512795</v>
      </c>
      <c r="F1684" s="2261">
        <f t="shared" si="129"/>
        <v>24.033050394191257</v>
      </c>
      <c r="G1684" s="2524">
        <f t="shared" si="131"/>
        <v>27.569559842869719</v>
      </c>
      <c r="H1684" s="2524">
        <f t="shared" si="132"/>
        <v>16.960031496834333</v>
      </c>
      <c r="I1684" s="2524">
        <f t="shared" si="133"/>
        <v>13.423522048155872</v>
      </c>
      <c r="J1684" s="2447"/>
      <c r="K1684" s="2293"/>
      <c r="L1684" s="2294"/>
      <c r="M1684" s="2294"/>
      <c r="N1684" s="2294"/>
    </row>
    <row r="1685" spans="1:14" ht="15">
      <c r="A1685" s="2218"/>
      <c r="B1685" s="2251">
        <v>45321</v>
      </c>
      <c r="C1685">
        <v>18.731300000000001</v>
      </c>
      <c r="D1685" s="2527">
        <v>239.08269999999999</v>
      </c>
      <c r="E1685" s="2523">
        <f t="shared" si="130"/>
        <v>20.496540945512795</v>
      </c>
      <c r="F1685" s="2261">
        <f t="shared" si="129"/>
        <v>24.033050394191257</v>
      </c>
      <c r="G1685" s="2524">
        <f t="shared" si="131"/>
        <v>27.569559842869719</v>
      </c>
      <c r="H1685" s="2524">
        <f t="shared" si="132"/>
        <v>16.960031496834333</v>
      </c>
      <c r="I1685" s="2524">
        <f t="shared" si="133"/>
        <v>13.423522048155872</v>
      </c>
      <c r="J1685" s="2447"/>
      <c r="K1685" s="2293"/>
      <c r="L1685" s="2294"/>
      <c r="M1685" s="2294"/>
      <c r="N1685" s="2294"/>
    </row>
    <row r="1686" spans="1:14" ht="15">
      <c r="A1686" s="2218"/>
      <c r="B1686" s="2251">
        <v>45322</v>
      </c>
      <c r="C1686">
        <v>18.750900000000001</v>
      </c>
      <c r="D1686" s="2527">
        <v>240.08269999999999</v>
      </c>
      <c r="E1686" s="2523">
        <f t="shared" si="130"/>
        <v>20.496540945512795</v>
      </c>
      <c r="F1686" s="2261">
        <f t="shared" si="129"/>
        <v>24.033050394191257</v>
      </c>
      <c r="G1686" s="2524">
        <f t="shared" si="131"/>
        <v>27.569559842869719</v>
      </c>
      <c r="H1686" s="2524">
        <f t="shared" si="132"/>
        <v>16.960031496834333</v>
      </c>
      <c r="I1686" s="2524">
        <f t="shared" si="133"/>
        <v>13.423522048155872</v>
      </c>
      <c r="J1686" s="2447"/>
      <c r="K1686" s="2293"/>
      <c r="L1686" s="2294"/>
      <c r="M1686" s="2294"/>
      <c r="N1686" s="2294"/>
    </row>
    <row r="1687" spans="1:14" ht="15">
      <c r="A1687" s="2218"/>
      <c r="B1687" s="2251">
        <v>45323</v>
      </c>
      <c r="C1687">
        <v>19.573799999999999</v>
      </c>
      <c r="D1687" s="2527">
        <v>241.08269999999999</v>
      </c>
      <c r="E1687" s="2523">
        <f t="shared" si="130"/>
        <v>20.496540945512795</v>
      </c>
      <c r="F1687" s="2261">
        <f t="shared" si="129"/>
        <v>24.033050394191257</v>
      </c>
      <c r="G1687" s="2524">
        <f t="shared" si="131"/>
        <v>27.569559842869719</v>
      </c>
      <c r="H1687" s="2524">
        <f t="shared" si="132"/>
        <v>16.960031496834333</v>
      </c>
      <c r="I1687" s="2524">
        <f t="shared" si="133"/>
        <v>13.423522048155872</v>
      </c>
      <c r="J1687" s="2447"/>
      <c r="K1687" s="2293"/>
      <c r="L1687" s="2294"/>
      <c r="M1687" s="2294"/>
      <c r="N1687" s="2294"/>
    </row>
    <row r="1688" spans="1:14" ht="15">
      <c r="A1688" s="2218"/>
      <c r="B1688" s="2251">
        <v>45324</v>
      </c>
      <c r="C1688">
        <v>19.985299999999999</v>
      </c>
      <c r="D1688" s="2527">
        <v>242.08269999999999</v>
      </c>
      <c r="E1688" s="2523">
        <f t="shared" si="130"/>
        <v>20.496540945512795</v>
      </c>
      <c r="F1688" s="2261">
        <f t="shared" si="129"/>
        <v>24.033050394191257</v>
      </c>
      <c r="G1688" s="2524">
        <f t="shared" si="131"/>
        <v>27.569559842869719</v>
      </c>
      <c r="H1688" s="2524">
        <f t="shared" si="132"/>
        <v>16.960031496834333</v>
      </c>
      <c r="I1688" s="2524">
        <f t="shared" si="133"/>
        <v>13.423522048155872</v>
      </c>
      <c r="J1688" s="2447"/>
      <c r="K1688" s="2293"/>
      <c r="L1688" s="2294"/>
      <c r="M1688" s="2294"/>
      <c r="N1688" s="2294"/>
    </row>
    <row r="1689" spans="1:14" ht="15">
      <c r="A1689" s="2218"/>
      <c r="B1689" s="2251">
        <v>45327</v>
      </c>
      <c r="C1689">
        <v>20.279199999999999</v>
      </c>
      <c r="D1689" s="2527">
        <v>243.08269999999999</v>
      </c>
      <c r="E1689" s="2523">
        <f t="shared" si="130"/>
        <v>20.496540945512795</v>
      </c>
      <c r="F1689" s="2261">
        <f t="shared" si="129"/>
        <v>24.033050394191257</v>
      </c>
      <c r="G1689" s="2524">
        <f t="shared" si="131"/>
        <v>27.569559842869719</v>
      </c>
      <c r="H1689" s="2524">
        <f t="shared" si="132"/>
        <v>16.960031496834333</v>
      </c>
      <c r="I1689" s="2524">
        <f t="shared" si="133"/>
        <v>13.423522048155872</v>
      </c>
      <c r="J1689" s="2447"/>
      <c r="K1689" s="2293"/>
      <c r="L1689" s="2294"/>
      <c r="M1689" s="2294"/>
      <c r="N1689" s="2294"/>
    </row>
    <row r="1690" spans="1:14" ht="15">
      <c r="A1690" s="2218"/>
      <c r="B1690" s="2251">
        <v>45328</v>
      </c>
      <c r="C1690">
        <v>20.396699999999999</v>
      </c>
      <c r="D1690" s="2527">
        <v>244.08269999999999</v>
      </c>
      <c r="E1690" s="2523">
        <f t="shared" si="130"/>
        <v>20.496540945512795</v>
      </c>
      <c r="F1690" s="2261">
        <f t="shared" si="129"/>
        <v>24.033050394191257</v>
      </c>
      <c r="G1690" s="2524">
        <f t="shared" si="131"/>
        <v>27.569559842869719</v>
      </c>
      <c r="H1690" s="2524">
        <f t="shared" si="132"/>
        <v>16.960031496834333</v>
      </c>
      <c r="I1690" s="2524">
        <f t="shared" si="133"/>
        <v>13.423522048155872</v>
      </c>
      <c r="J1690" s="2447"/>
      <c r="K1690" s="2293"/>
      <c r="L1690" s="2294"/>
      <c r="M1690" s="2294"/>
      <c r="N1690" s="2294"/>
    </row>
    <row r="1691" spans="1:14" ht="15">
      <c r="A1691" s="2218"/>
      <c r="B1691" s="2251">
        <v>45329</v>
      </c>
      <c r="C1691">
        <v>20.5535</v>
      </c>
      <c r="D1691" s="2527">
        <v>245.08269999999999</v>
      </c>
      <c r="E1691" s="2523">
        <f t="shared" si="130"/>
        <v>20.496540945512795</v>
      </c>
      <c r="F1691" s="2261">
        <f t="shared" si="129"/>
        <v>24.033050394191257</v>
      </c>
      <c r="G1691" s="2524">
        <f t="shared" si="131"/>
        <v>27.569559842869719</v>
      </c>
      <c r="H1691" s="2524">
        <f t="shared" si="132"/>
        <v>16.960031496834333</v>
      </c>
      <c r="I1691" s="2524">
        <f t="shared" si="133"/>
        <v>13.423522048155872</v>
      </c>
      <c r="J1691" s="2447"/>
      <c r="K1691" s="2293"/>
      <c r="L1691" s="2294"/>
      <c r="M1691" s="2294"/>
      <c r="N1691" s="2294"/>
    </row>
    <row r="1692" spans="1:14" ht="15">
      <c r="A1692" s="2218"/>
      <c r="B1692" s="2251">
        <v>45337</v>
      </c>
      <c r="C1692">
        <v>20.377099999999999</v>
      </c>
      <c r="D1692" s="2527">
        <v>246.08269999999999</v>
      </c>
      <c r="E1692" s="2523">
        <f t="shared" si="130"/>
        <v>20.496540945512795</v>
      </c>
      <c r="F1692" s="2261">
        <f t="shared" si="129"/>
        <v>24.033050394191257</v>
      </c>
      <c r="G1692" s="2524">
        <f t="shared" si="131"/>
        <v>27.569559842869719</v>
      </c>
      <c r="H1692" s="2524">
        <f t="shared" si="132"/>
        <v>16.960031496834333</v>
      </c>
      <c r="I1692" s="2524">
        <f t="shared" si="133"/>
        <v>13.423522048155872</v>
      </c>
      <c r="J1692" s="2447"/>
      <c r="K1692" s="2293"/>
      <c r="L1692" s="2294"/>
      <c r="M1692" s="2294"/>
      <c r="N1692" s="2294"/>
    </row>
    <row r="1693" spans="1:14" ht="15">
      <c r="A1693" s="2218"/>
      <c r="B1693" s="2251">
        <v>45338</v>
      </c>
      <c r="C1693">
        <v>20.592600000000001</v>
      </c>
      <c r="D1693" s="2527">
        <v>247.08269999999999</v>
      </c>
      <c r="E1693" s="2523">
        <f t="shared" si="130"/>
        <v>20.496540945512795</v>
      </c>
      <c r="F1693" s="2261">
        <f t="shared" si="129"/>
        <v>24.033050394191257</v>
      </c>
      <c r="G1693" s="2524">
        <f t="shared" si="131"/>
        <v>27.569559842869719</v>
      </c>
      <c r="H1693" s="2524">
        <f t="shared" si="132"/>
        <v>16.960031496834333</v>
      </c>
      <c r="I1693" s="2524">
        <f t="shared" si="133"/>
        <v>13.423522048155872</v>
      </c>
      <c r="J1693" s="2447"/>
      <c r="K1693" s="2293"/>
      <c r="L1693" s="2294"/>
      <c r="M1693" s="2294"/>
      <c r="N1693" s="2294"/>
    </row>
    <row r="1694" spans="1:14" ht="15">
      <c r="A1694" s="2218"/>
      <c r="B1694" s="2251">
        <v>45341</v>
      </c>
      <c r="C1694">
        <v>20.5731</v>
      </c>
      <c r="D1694" s="2527">
        <v>248.08269999999999</v>
      </c>
      <c r="E1694" s="2523">
        <f t="shared" si="130"/>
        <v>20.496540945512795</v>
      </c>
      <c r="F1694" s="2261">
        <f t="shared" si="129"/>
        <v>24.033050394191257</v>
      </c>
      <c r="G1694" s="2524">
        <f t="shared" si="131"/>
        <v>27.569559842869719</v>
      </c>
      <c r="H1694" s="2524">
        <f t="shared" si="132"/>
        <v>16.960031496834333</v>
      </c>
      <c r="I1694" s="2524">
        <f t="shared" si="133"/>
        <v>13.423522048155872</v>
      </c>
      <c r="J1694" s="2447"/>
      <c r="K1694" s="2293"/>
      <c r="L1694" s="2294"/>
      <c r="M1694" s="2294"/>
      <c r="N1694" s="2294"/>
    </row>
    <row r="1695" spans="1:14" ht="15">
      <c r="A1695" s="2218"/>
      <c r="B1695" s="2251">
        <v>45342</v>
      </c>
      <c r="C1695">
        <v>20.4359</v>
      </c>
      <c r="D1695" s="2527">
        <v>249.08269999999999</v>
      </c>
      <c r="E1695" s="2523">
        <f t="shared" si="130"/>
        <v>20.496540945512795</v>
      </c>
      <c r="F1695" s="2261">
        <f t="shared" si="129"/>
        <v>24.033050394191257</v>
      </c>
      <c r="G1695" s="2524">
        <f t="shared" si="131"/>
        <v>27.569559842869719</v>
      </c>
      <c r="H1695" s="2524">
        <f t="shared" si="132"/>
        <v>16.960031496834333</v>
      </c>
      <c r="I1695" s="2524">
        <f t="shared" si="133"/>
        <v>13.423522048155872</v>
      </c>
      <c r="J1695" s="2447"/>
      <c r="K1695" s="2293"/>
      <c r="L1695" s="2294"/>
      <c r="M1695" s="2294"/>
      <c r="N1695" s="2294"/>
    </row>
    <row r="1696" spans="1:14" ht="15">
      <c r="A1696" s="2218"/>
      <c r="B1696" s="2251">
        <v>45343</v>
      </c>
      <c r="C1696">
        <v>20.749400000000001</v>
      </c>
      <c r="D1696" s="2527">
        <v>250.08269999999999</v>
      </c>
      <c r="E1696" s="2523">
        <f t="shared" si="130"/>
        <v>20.496540945512795</v>
      </c>
      <c r="F1696" s="2261">
        <f t="shared" si="129"/>
        <v>24.033050394191257</v>
      </c>
      <c r="G1696" s="2524">
        <f t="shared" si="131"/>
        <v>27.569559842869719</v>
      </c>
      <c r="H1696" s="2524">
        <f t="shared" si="132"/>
        <v>16.960031496834333</v>
      </c>
      <c r="I1696" s="2524">
        <f t="shared" si="133"/>
        <v>13.423522048155872</v>
      </c>
      <c r="J1696" s="2447"/>
      <c r="K1696" s="2293"/>
      <c r="L1696" s="2294"/>
      <c r="M1696" s="2294"/>
      <c r="N1696" s="2294"/>
    </row>
    <row r="1697" spans="1:14" ht="15">
      <c r="A1697" s="2218"/>
      <c r="B1697" s="2251">
        <v>45344</v>
      </c>
      <c r="C1697">
        <v>20.494700000000002</v>
      </c>
      <c r="D1697" s="2527">
        <v>251.08269999999999</v>
      </c>
      <c r="E1697" s="2523">
        <f t="shared" si="130"/>
        <v>20.496540945512795</v>
      </c>
      <c r="F1697" s="2261">
        <f t="shared" si="129"/>
        <v>24.033050394191257</v>
      </c>
      <c r="G1697" s="2524">
        <f t="shared" si="131"/>
        <v>27.569559842869719</v>
      </c>
      <c r="H1697" s="2524">
        <f t="shared" si="132"/>
        <v>16.960031496834333</v>
      </c>
      <c r="I1697" s="2524">
        <f t="shared" si="133"/>
        <v>13.423522048155872</v>
      </c>
      <c r="J1697" s="2447"/>
      <c r="K1697" s="2293"/>
      <c r="L1697" s="2294"/>
      <c r="M1697" s="2294"/>
      <c r="N1697" s="2294"/>
    </row>
    <row r="1698" spans="1:14" ht="15">
      <c r="A1698" s="2218"/>
      <c r="B1698" s="2251">
        <v>45345</v>
      </c>
      <c r="C1698">
        <v>20.357500000000002</v>
      </c>
      <c r="D1698" s="2527">
        <v>252.08269999999999</v>
      </c>
      <c r="E1698" s="2523">
        <f t="shared" si="130"/>
        <v>20.496540945512795</v>
      </c>
      <c r="F1698" s="2261">
        <f t="shared" si="129"/>
        <v>24.033050394191257</v>
      </c>
      <c r="G1698" s="2524">
        <f t="shared" si="131"/>
        <v>27.569559842869719</v>
      </c>
      <c r="H1698" s="2524">
        <f t="shared" si="132"/>
        <v>16.960031496834333</v>
      </c>
      <c r="I1698" s="2524">
        <f t="shared" si="133"/>
        <v>13.423522048155872</v>
      </c>
      <c r="J1698" s="2447"/>
      <c r="K1698" s="2293"/>
      <c r="L1698" s="2294"/>
      <c r="M1698" s="2294"/>
      <c r="N1698" s="2294"/>
    </row>
    <row r="1699" spans="1:14" ht="15">
      <c r="A1699" s="2218"/>
      <c r="B1699" s="2251">
        <v>45348</v>
      </c>
      <c r="C1699">
        <v>21.160900000000002</v>
      </c>
      <c r="D1699" s="2527">
        <v>253.08269999999999</v>
      </c>
      <c r="E1699" s="2523">
        <f t="shared" si="130"/>
        <v>20.496540945512795</v>
      </c>
      <c r="F1699" s="2261">
        <f t="shared" si="129"/>
        <v>24.033050394191257</v>
      </c>
      <c r="G1699" s="2524">
        <f t="shared" si="131"/>
        <v>27.569559842869719</v>
      </c>
      <c r="H1699" s="2524">
        <f t="shared" si="132"/>
        <v>16.960031496834333</v>
      </c>
      <c r="I1699" s="2524">
        <f t="shared" si="133"/>
        <v>13.423522048155872</v>
      </c>
      <c r="J1699" s="2447"/>
      <c r="K1699" s="2293"/>
      <c r="L1699" s="2294"/>
      <c r="M1699" s="2294"/>
      <c r="N1699" s="2294"/>
    </row>
    <row r="1700" spans="1:14" ht="15">
      <c r="A1700" s="2218"/>
      <c r="B1700" s="2251">
        <v>45349</v>
      </c>
      <c r="C1700">
        <v>21.141300000000001</v>
      </c>
      <c r="D1700" s="2527">
        <v>254.08269999999999</v>
      </c>
      <c r="E1700" s="2523">
        <f t="shared" si="130"/>
        <v>20.496540945512795</v>
      </c>
      <c r="F1700" s="2261">
        <f t="shared" si="129"/>
        <v>24.033050394191257</v>
      </c>
      <c r="G1700" s="2524">
        <f t="shared" si="131"/>
        <v>27.569559842869719</v>
      </c>
      <c r="H1700" s="2524">
        <f t="shared" si="132"/>
        <v>16.960031496834333</v>
      </c>
      <c r="I1700" s="2524">
        <f t="shared" si="133"/>
        <v>13.423522048155872</v>
      </c>
      <c r="J1700" s="2447"/>
      <c r="K1700" s="2293"/>
      <c r="L1700" s="2294"/>
      <c r="M1700" s="2294"/>
      <c r="N1700" s="2294"/>
    </row>
    <row r="1701" spans="1:14" ht="15">
      <c r="A1701" s="2218"/>
      <c r="B1701" s="2251">
        <v>45350</v>
      </c>
      <c r="C1701">
        <v>21.258800000000001</v>
      </c>
      <c r="D1701" s="2527">
        <v>255.08269999999999</v>
      </c>
      <c r="E1701" s="2523">
        <f t="shared" si="130"/>
        <v>20.496540945512795</v>
      </c>
      <c r="F1701" s="2261">
        <f t="shared" si="129"/>
        <v>24.033050394191257</v>
      </c>
      <c r="G1701" s="2524">
        <f t="shared" si="131"/>
        <v>27.569559842869719</v>
      </c>
      <c r="H1701" s="2524">
        <f t="shared" si="132"/>
        <v>16.960031496834333</v>
      </c>
      <c r="I1701" s="2524">
        <f t="shared" si="133"/>
        <v>13.423522048155872</v>
      </c>
      <c r="J1701" s="2447"/>
      <c r="K1701" s="2293"/>
      <c r="L1701" s="2294"/>
      <c r="M1701" s="2294"/>
      <c r="N1701" s="2294"/>
    </row>
    <row r="1702" spans="1:14" ht="15">
      <c r="A1702" s="2218"/>
      <c r="B1702" s="2251">
        <v>45351</v>
      </c>
      <c r="C1702">
        <v>21.3568</v>
      </c>
      <c r="D1702" s="2527">
        <v>256.08269999999999</v>
      </c>
      <c r="E1702" s="2523">
        <f t="shared" si="130"/>
        <v>20.496540945512795</v>
      </c>
      <c r="F1702" s="2261">
        <f t="shared" si="129"/>
        <v>24.033050394191257</v>
      </c>
      <c r="G1702" s="2524">
        <f t="shared" si="131"/>
        <v>27.569559842869719</v>
      </c>
      <c r="H1702" s="2524">
        <f t="shared" si="132"/>
        <v>16.960031496834333</v>
      </c>
      <c r="I1702" s="2524">
        <f t="shared" si="133"/>
        <v>13.423522048155872</v>
      </c>
      <c r="J1702" s="2447"/>
      <c r="K1702" s="2293"/>
      <c r="L1702" s="2294"/>
      <c r="M1702" s="2294"/>
      <c r="N1702" s="2294"/>
    </row>
    <row r="1703" spans="1:14">
      <c r="B1703" s="2251">
        <v>45352</v>
      </c>
      <c r="C1703">
        <v>21.709499999999998</v>
      </c>
      <c r="D1703" s="2527">
        <v>257.08269999999999</v>
      </c>
      <c r="E1703" s="2523">
        <f t="shared" si="130"/>
        <v>20.496540945512795</v>
      </c>
      <c r="F1703" s="2261">
        <f t="shared" si="129"/>
        <v>24.033050394191257</v>
      </c>
      <c r="G1703" s="2524">
        <f t="shared" si="131"/>
        <v>27.569559842869719</v>
      </c>
      <c r="H1703" s="2524">
        <f t="shared" si="132"/>
        <v>16.960031496834333</v>
      </c>
      <c r="I1703" s="2524">
        <f t="shared" si="133"/>
        <v>13.423522048155872</v>
      </c>
      <c r="J1703" s="2268"/>
    </row>
    <row r="1704" spans="1:14">
      <c r="B1704" s="2251">
        <v>45355</v>
      </c>
      <c r="C1704">
        <v>21.827000000000002</v>
      </c>
      <c r="D1704" s="2527">
        <v>258.08269999999999</v>
      </c>
      <c r="E1704" s="2523">
        <f t="shared" si="130"/>
        <v>20.496540945512795</v>
      </c>
      <c r="F1704" s="2261">
        <f t="shared" si="129"/>
        <v>24.033050394191257</v>
      </c>
      <c r="G1704" s="2524">
        <f t="shared" si="131"/>
        <v>27.569559842869719</v>
      </c>
      <c r="H1704" s="2524">
        <f t="shared" si="132"/>
        <v>16.960031496834333</v>
      </c>
      <c r="I1704" s="2524">
        <f t="shared" si="133"/>
        <v>13.423522048155872</v>
      </c>
    </row>
    <row r="1705" spans="1:14">
      <c r="B1705" s="2251">
        <v>45356</v>
      </c>
      <c r="C1705">
        <v>21.689900000000002</v>
      </c>
      <c r="D1705" s="2527">
        <v>259.08269999999999</v>
      </c>
      <c r="E1705" s="2523">
        <f t="shared" si="130"/>
        <v>20.496540945512795</v>
      </c>
      <c r="F1705" s="2261">
        <f t="shared" si="129"/>
        <v>24.033050394191257</v>
      </c>
      <c r="G1705" s="2524">
        <f t="shared" si="131"/>
        <v>27.569559842869719</v>
      </c>
      <c r="H1705" s="2524">
        <f t="shared" si="132"/>
        <v>16.960031496834333</v>
      </c>
      <c r="I1705" s="2524">
        <f t="shared" si="133"/>
        <v>13.423522048155872</v>
      </c>
    </row>
    <row r="1706" spans="1:14">
      <c r="B1706" s="2251">
        <v>45357</v>
      </c>
      <c r="C1706">
        <v>21.3764</v>
      </c>
      <c r="D1706" s="2527">
        <v>260.08269999999999</v>
      </c>
      <c r="E1706" s="2523">
        <f t="shared" si="130"/>
        <v>20.496540945512795</v>
      </c>
      <c r="F1706" s="2261">
        <f t="shared" si="129"/>
        <v>24.033050394191257</v>
      </c>
      <c r="G1706" s="2524">
        <f t="shared" si="131"/>
        <v>27.569559842869719</v>
      </c>
      <c r="H1706" s="2524">
        <f t="shared" si="132"/>
        <v>16.960031496834333</v>
      </c>
      <c r="I1706" s="2524">
        <f t="shared" si="133"/>
        <v>13.423522048155872</v>
      </c>
    </row>
    <row r="1707" spans="1:14">
      <c r="B1707" s="2251">
        <v>45358</v>
      </c>
      <c r="C1707">
        <v>21.807400000000001</v>
      </c>
      <c r="D1707" s="2527">
        <v>261.08269999999999</v>
      </c>
      <c r="E1707" s="2523">
        <f t="shared" si="130"/>
        <v>20.496540945512795</v>
      </c>
      <c r="F1707" s="2261">
        <f t="shared" si="129"/>
        <v>24.033050394191257</v>
      </c>
      <c r="G1707" s="2524">
        <f t="shared" si="131"/>
        <v>27.569559842869719</v>
      </c>
      <c r="H1707" s="2524">
        <f t="shared" si="132"/>
        <v>16.960031496834333</v>
      </c>
      <c r="I1707" s="2524">
        <f t="shared" si="133"/>
        <v>13.423522048155872</v>
      </c>
    </row>
    <row r="1708" spans="1:14">
      <c r="B1708" s="2251">
        <v>45359</v>
      </c>
      <c r="C1708">
        <v>21.552700000000002</v>
      </c>
      <c r="D1708" s="2527">
        <v>262.08269999999999</v>
      </c>
      <c r="E1708" s="2523">
        <f t="shared" si="130"/>
        <v>20.496540945512795</v>
      </c>
      <c r="F1708" s="2261">
        <f t="shared" si="129"/>
        <v>24.033050394191257</v>
      </c>
      <c r="G1708" s="2524">
        <f t="shared" si="131"/>
        <v>27.569559842869719</v>
      </c>
      <c r="H1708" s="2524">
        <f t="shared" si="132"/>
        <v>16.960031496834333</v>
      </c>
      <c r="I1708" s="2524">
        <f t="shared" si="133"/>
        <v>13.423522048155872</v>
      </c>
    </row>
    <row r="1709" spans="1:14">
      <c r="B1709" s="2251">
        <v>45362</v>
      </c>
      <c r="C1709">
        <v>21.552700000000002</v>
      </c>
      <c r="D1709" s="2527">
        <v>263.08269999999999</v>
      </c>
      <c r="E1709" s="2523">
        <f t="shared" si="130"/>
        <v>20.496540945512795</v>
      </c>
      <c r="F1709" s="2261">
        <f t="shared" si="129"/>
        <v>24.033050394191257</v>
      </c>
      <c r="G1709" s="2524">
        <f t="shared" si="131"/>
        <v>27.569559842869719</v>
      </c>
      <c r="H1709" s="2524">
        <f t="shared" si="132"/>
        <v>16.960031496834333</v>
      </c>
      <c r="I1709" s="2524">
        <f t="shared" si="133"/>
        <v>13.423522048155872</v>
      </c>
    </row>
    <row r="1710" spans="1:14">
      <c r="B1710" s="2251">
        <v>45363</v>
      </c>
      <c r="C1710">
        <v>21.925000000000001</v>
      </c>
      <c r="D1710" s="2527">
        <v>264.08269999999999</v>
      </c>
      <c r="E1710" s="2523">
        <f t="shared" si="130"/>
        <v>20.496540945512795</v>
      </c>
      <c r="F1710" s="2261">
        <f t="shared" si="129"/>
        <v>24.033050394191257</v>
      </c>
      <c r="G1710" s="2524">
        <f t="shared" si="131"/>
        <v>27.569559842869719</v>
      </c>
      <c r="H1710" s="2524">
        <f t="shared" si="132"/>
        <v>16.960031496834333</v>
      </c>
      <c r="I1710" s="2524">
        <f t="shared" si="133"/>
        <v>13.423522048155872</v>
      </c>
    </row>
    <row r="1711" spans="1:14">
      <c r="B1711" s="2251">
        <v>45364</v>
      </c>
      <c r="C1711">
        <v>22.924299999999999</v>
      </c>
      <c r="D1711" s="2527">
        <v>265.08269999999999</v>
      </c>
      <c r="E1711" s="2523">
        <f t="shared" si="130"/>
        <v>20.496540945512795</v>
      </c>
      <c r="F1711" s="2261">
        <f t="shared" si="129"/>
        <v>24.033050394191257</v>
      </c>
      <c r="G1711" s="2524">
        <f t="shared" si="131"/>
        <v>27.569559842869719</v>
      </c>
      <c r="H1711" s="2524">
        <f t="shared" si="132"/>
        <v>16.960031496834333</v>
      </c>
      <c r="I1711" s="2524">
        <f t="shared" si="133"/>
        <v>13.423522048155872</v>
      </c>
    </row>
    <row r="1712" spans="1:14">
      <c r="B1712" s="2251">
        <v>45365</v>
      </c>
      <c r="C1712">
        <v>22.924299999999999</v>
      </c>
      <c r="D1712" s="2527">
        <v>266.08269999999999</v>
      </c>
      <c r="E1712" s="2523">
        <f t="shared" si="130"/>
        <v>20.496540945512795</v>
      </c>
      <c r="F1712" s="2261">
        <f t="shared" si="129"/>
        <v>24.033050394191257</v>
      </c>
      <c r="G1712" s="2524">
        <f t="shared" si="131"/>
        <v>27.569559842869719</v>
      </c>
      <c r="H1712" s="2524">
        <f t="shared" si="132"/>
        <v>16.960031496834333</v>
      </c>
      <c r="I1712" s="2524">
        <f t="shared" si="133"/>
        <v>13.423522048155872</v>
      </c>
    </row>
    <row r="1713" spans="2:9">
      <c r="B1713" s="2251">
        <v>45366</v>
      </c>
      <c r="C1713">
        <v>22.728300000000001</v>
      </c>
      <c r="D1713" s="2527">
        <v>267.08269999999999</v>
      </c>
      <c r="E1713" s="2523">
        <f t="shared" si="130"/>
        <v>20.496540945512795</v>
      </c>
      <c r="F1713" s="2261">
        <f t="shared" si="129"/>
        <v>24.033050394191257</v>
      </c>
      <c r="G1713" s="2524">
        <f t="shared" si="131"/>
        <v>27.569559842869719</v>
      </c>
      <c r="H1713" s="2524">
        <f t="shared" si="132"/>
        <v>16.960031496834333</v>
      </c>
      <c r="I1713" s="2524">
        <f t="shared" si="133"/>
        <v>13.423522048155872</v>
      </c>
    </row>
    <row r="1714" spans="2:9">
      <c r="B1714" s="2251">
        <v>45369</v>
      </c>
      <c r="C1714">
        <v>22.140499999999999</v>
      </c>
      <c r="D1714" s="2527">
        <v>268.08269999999999</v>
      </c>
      <c r="E1714" s="2523">
        <f t="shared" si="130"/>
        <v>20.496540945512795</v>
      </c>
      <c r="F1714" s="2261">
        <f t="shared" si="129"/>
        <v>24.033050394191257</v>
      </c>
      <c r="G1714" s="2524">
        <f t="shared" si="131"/>
        <v>27.569559842869719</v>
      </c>
      <c r="H1714" s="2524">
        <f t="shared" si="132"/>
        <v>16.960031496834333</v>
      </c>
      <c r="I1714" s="2524">
        <f t="shared" si="133"/>
        <v>13.423522048155872</v>
      </c>
    </row>
    <row r="1715" spans="2:9">
      <c r="B1715" s="2251">
        <v>45370</v>
      </c>
      <c r="C1715">
        <v>21.944600000000001</v>
      </c>
      <c r="D1715" s="2527">
        <v>269.08269999999999</v>
      </c>
      <c r="E1715" s="2523">
        <f t="shared" si="130"/>
        <v>20.496540945512795</v>
      </c>
      <c r="F1715" s="2261">
        <f t="shared" si="129"/>
        <v>24.033050394191257</v>
      </c>
      <c r="G1715" s="2524">
        <f t="shared" si="131"/>
        <v>27.569559842869719</v>
      </c>
      <c r="H1715" s="2524">
        <f t="shared" si="132"/>
        <v>16.960031496834333</v>
      </c>
      <c r="I1715" s="2524">
        <f t="shared" si="133"/>
        <v>13.423522048155872</v>
      </c>
    </row>
    <row r="1716" spans="2:9">
      <c r="B1716" s="2251">
        <v>45371</v>
      </c>
      <c r="C1716">
        <v>22.4344</v>
      </c>
      <c r="D1716" s="2527">
        <v>270.08269999999999</v>
      </c>
      <c r="E1716" s="2523">
        <f t="shared" si="130"/>
        <v>20.496540945512795</v>
      </c>
      <c r="F1716" s="2261">
        <f t="shared" si="129"/>
        <v>24.033050394191257</v>
      </c>
      <c r="G1716" s="2524">
        <f t="shared" si="131"/>
        <v>27.569559842869719</v>
      </c>
      <c r="H1716" s="2524">
        <f t="shared" si="132"/>
        <v>16.960031496834333</v>
      </c>
      <c r="I1716" s="2524">
        <f t="shared" si="133"/>
        <v>13.423522048155872</v>
      </c>
    </row>
    <row r="1717" spans="2:9">
      <c r="B1717" s="2251">
        <v>45372</v>
      </c>
      <c r="C1717">
        <v>22.767499999999998</v>
      </c>
      <c r="D1717" s="2527">
        <v>271.08269999999999</v>
      </c>
      <c r="E1717" s="2523">
        <f t="shared" si="130"/>
        <v>20.496540945512795</v>
      </c>
      <c r="F1717" s="2261">
        <f t="shared" si="129"/>
        <v>24.033050394191257</v>
      </c>
      <c r="G1717" s="2524">
        <f t="shared" si="131"/>
        <v>27.569559842869719</v>
      </c>
      <c r="H1717" s="2524">
        <f t="shared" si="132"/>
        <v>16.960031496834333</v>
      </c>
      <c r="I1717" s="2524">
        <f t="shared" si="133"/>
        <v>13.423522048155872</v>
      </c>
    </row>
    <row r="1718" spans="2:9">
      <c r="B1718" s="2251">
        <v>45373</v>
      </c>
      <c r="C1718">
        <v>22.512799999999999</v>
      </c>
      <c r="D1718" s="2527">
        <v>272.08269999999999</v>
      </c>
      <c r="E1718" s="2523">
        <f t="shared" si="130"/>
        <v>20.496540945512795</v>
      </c>
      <c r="F1718" s="2261">
        <f t="shared" si="129"/>
        <v>24.033050394191257</v>
      </c>
      <c r="G1718" s="2524">
        <f t="shared" si="131"/>
        <v>27.569559842869719</v>
      </c>
      <c r="H1718" s="2524">
        <f t="shared" si="132"/>
        <v>16.960031496834333</v>
      </c>
      <c r="I1718" s="2524">
        <f t="shared" si="133"/>
        <v>13.423522048155872</v>
      </c>
    </row>
    <row r="1719" spans="2:9">
      <c r="B1719" s="2251">
        <v>45376</v>
      </c>
      <c r="C1719">
        <v>22.336500000000001</v>
      </c>
      <c r="D1719" s="2527">
        <v>273.08269999999999</v>
      </c>
      <c r="E1719" s="2523">
        <f t="shared" si="130"/>
        <v>20.496540945512795</v>
      </c>
      <c r="F1719" s="2261">
        <f t="shared" si="129"/>
        <v>24.033050394191257</v>
      </c>
      <c r="G1719" s="2524">
        <f t="shared" si="131"/>
        <v>27.569559842869719</v>
      </c>
      <c r="H1719" s="2524">
        <f t="shared" si="132"/>
        <v>16.960031496834333</v>
      </c>
      <c r="I1719" s="2524">
        <f t="shared" si="133"/>
        <v>13.423522048155872</v>
      </c>
    </row>
    <row r="1720" spans="2:9">
      <c r="B1720" s="2251">
        <v>45377</v>
      </c>
      <c r="C1720">
        <v>22.532399999999999</v>
      </c>
      <c r="D1720" s="2527">
        <v>274.08269999999999</v>
      </c>
      <c r="E1720" s="2523">
        <f t="shared" si="130"/>
        <v>20.496540945512795</v>
      </c>
      <c r="F1720" s="2261">
        <f t="shared" si="129"/>
        <v>24.033050394191257</v>
      </c>
      <c r="G1720" s="2524">
        <f t="shared" si="131"/>
        <v>27.569559842869719</v>
      </c>
      <c r="H1720" s="2524">
        <f t="shared" si="132"/>
        <v>16.960031496834333</v>
      </c>
      <c r="I1720" s="2524">
        <f t="shared" si="133"/>
        <v>13.423522048155872</v>
      </c>
    </row>
    <row r="1721" spans="2:9">
      <c r="B1721" s="2251">
        <v>45378</v>
      </c>
      <c r="C1721">
        <v>22.5716</v>
      </c>
      <c r="D1721" s="2527">
        <v>275.08269999999999</v>
      </c>
      <c r="E1721" s="2523">
        <f t="shared" si="130"/>
        <v>20.496540945512795</v>
      </c>
      <c r="F1721" s="2261">
        <f t="shared" si="129"/>
        <v>24.033050394191257</v>
      </c>
      <c r="G1721" s="2524">
        <f t="shared" si="131"/>
        <v>27.569559842869719</v>
      </c>
      <c r="H1721" s="2524">
        <f t="shared" si="132"/>
        <v>16.960031496834333</v>
      </c>
      <c r="I1721" s="2524">
        <f t="shared" si="133"/>
        <v>13.423522048155872</v>
      </c>
    </row>
    <row r="1722" spans="2:9">
      <c r="B1722" s="2251">
        <v>45379</v>
      </c>
      <c r="C1722">
        <v>22.943899999999999</v>
      </c>
      <c r="D1722" s="2527">
        <v>276.08269999999999</v>
      </c>
      <c r="E1722" s="2523">
        <f t="shared" si="130"/>
        <v>20.496540945512795</v>
      </c>
      <c r="F1722" s="2261">
        <f t="shared" si="129"/>
        <v>24.033050394191257</v>
      </c>
      <c r="G1722" s="2524">
        <f t="shared" si="131"/>
        <v>27.569559842869719</v>
      </c>
      <c r="H1722" s="2524">
        <f t="shared" si="132"/>
        <v>16.960031496834333</v>
      </c>
      <c r="I1722" s="2524">
        <f t="shared" si="133"/>
        <v>13.423522048155872</v>
      </c>
    </row>
    <row r="1723" spans="2:9">
      <c r="B1723" s="2251">
        <v>45380</v>
      </c>
      <c r="C1723">
        <v>21.831700000000001</v>
      </c>
      <c r="D1723" s="2527">
        <v>277.08269999999999</v>
      </c>
      <c r="E1723" s="2523">
        <f t="shared" si="130"/>
        <v>20.496540945512795</v>
      </c>
      <c r="F1723" s="2261">
        <f t="shared" si="129"/>
        <v>24.033050394191257</v>
      </c>
      <c r="G1723" s="2524">
        <f t="shared" si="131"/>
        <v>27.569559842869719</v>
      </c>
      <c r="H1723" s="2524">
        <f t="shared" si="132"/>
        <v>16.960031496834333</v>
      </c>
      <c r="I1723" s="2524">
        <f t="shared" si="133"/>
        <v>13.423522048155872</v>
      </c>
    </row>
    <row r="1724" spans="2:9">
      <c r="B1724" s="2251">
        <v>45383</v>
      </c>
      <c r="C1724">
        <v>21.887899999999998</v>
      </c>
      <c r="D1724" s="2527">
        <v>278.08269999999999</v>
      </c>
      <c r="E1724" s="2523">
        <f t="shared" si="130"/>
        <v>20.496540945512795</v>
      </c>
      <c r="F1724" s="2261">
        <f t="shared" si="129"/>
        <v>24.033050394191257</v>
      </c>
      <c r="G1724" s="2524">
        <f t="shared" si="131"/>
        <v>27.569559842869719</v>
      </c>
      <c r="H1724" s="2524">
        <f t="shared" si="132"/>
        <v>16.960031496834333</v>
      </c>
      <c r="I1724" s="2524">
        <f t="shared" si="133"/>
        <v>13.423522048155872</v>
      </c>
    </row>
    <row r="1725" spans="2:9">
      <c r="B1725" s="2251">
        <v>45384</v>
      </c>
      <c r="C1725">
        <v>21.9254</v>
      </c>
      <c r="D1725" s="2527">
        <v>279.08269999999999</v>
      </c>
      <c r="E1725" s="2523">
        <f t="shared" si="130"/>
        <v>20.496540945512795</v>
      </c>
      <c r="F1725" s="2261">
        <f t="shared" ref="F1725:F1788" si="134">I$953+F$953</f>
        <v>24.033050394191257</v>
      </c>
      <c r="G1725" s="2524">
        <f t="shared" si="131"/>
        <v>27.569559842869719</v>
      </c>
      <c r="H1725" s="2524">
        <f t="shared" si="132"/>
        <v>16.960031496834333</v>
      </c>
      <c r="I1725" s="2524">
        <f t="shared" si="133"/>
        <v>13.423522048155872</v>
      </c>
    </row>
    <row r="1726" spans="2:9">
      <c r="B1726" s="2251">
        <v>45385</v>
      </c>
      <c r="C1726">
        <v>21.569299999999998</v>
      </c>
      <c r="D1726" s="2527">
        <v>280.08269999999999</v>
      </c>
      <c r="E1726" s="2523">
        <f t="shared" ref="E1726:E1789" si="135">I$953</f>
        <v>20.496540945512795</v>
      </c>
      <c r="F1726" s="2261">
        <f t="shared" si="134"/>
        <v>24.033050394191257</v>
      </c>
      <c r="G1726" s="2524">
        <f t="shared" ref="G1726:G1789" si="136">I$953+F$953+F$953</f>
        <v>27.569559842869719</v>
      </c>
      <c r="H1726" s="2524">
        <f t="shared" ref="H1726:H1789" si="137">I$953-F$953</f>
        <v>16.960031496834333</v>
      </c>
      <c r="I1726" s="2524">
        <f t="shared" ref="I1726:I1789" si="138">I$953-F$953-F$953</f>
        <v>13.423522048155872</v>
      </c>
    </row>
    <row r="1727" spans="2:9">
      <c r="B1727" s="2251">
        <v>45386</v>
      </c>
      <c r="C1727">
        <v>21.363199999999999</v>
      </c>
      <c r="D1727" s="2527">
        <v>281.08269999999999</v>
      </c>
      <c r="E1727" s="2523">
        <f t="shared" si="135"/>
        <v>20.496540945512795</v>
      </c>
      <c r="F1727" s="2261">
        <f t="shared" si="134"/>
        <v>24.033050394191257</v>
      </c>
      <c r="G1727" s="2524">
        <f t="shared" si="136"/>
        <v>27.569559842869719</v>
      </c>
      <c r="H1727" s="2524">
        <f t="shared" si="137"/>
        <v>16.960031496834333</v>
      </c>
      <c r="I1727" s="2524">
        <f t="shared" si="138"/>
        <v>13.423522048155872</v>
      </c>
    </row>
    <row r="1728" spans="2:9">
      <c r="B1728" s="2251">
        <v>45387</v>
      </c>
      <c r="C1728">
        <v>21.306999999999999</v>
      </c>
      <c r="D1728" s="2935"/>
      <c r="E1728" s="2523">
        <f t="shared" si="135"/>
        <v>20.496540945512795</v>
      </c>
      <c r="F1728" s="2261">
        <f t="shared" si="134"/>
        <v>24.033050394191257</v>
      </c>
      <c r="G1728" s="2524">
        <f t="shared" si="136"/>
        <v>27.569559842869719</v>
      </c>
      <c r="H1728" s="2524">
        <f t="shared" si="137"/>
        <v>16.960031496834333</v>
      </c>
      <c r="I1728" s="2524">
        <f t="shared" si="138"/>
        <v>13.423522048155872</v>
      </c>
    </row>
    <row r="1729" spans="2:9">
      <c r="B1729" s="2251">
        <v>45390</v>
      </c>
      <c r="C1729">
        <v>21.1008</v>
      </c>
      <c r="D1729" s="2935"/>
      <c r="E1729" s="2523">
        <f t="shared" si="135"/>
        <v>20.496540945512795</v>
      </c>
      <c r="F1729" s="2261">
        <f t="shared" si="134"/>
        <v>24.033050394191257</v>
      </c>
      <c r="G1729" s="2524">
        <f t="shared" si="136"/>
        <v>27.569559842869719</v>
      </c>
      <c r="H1729" s="2524">
        <f t="shared" si="137"/>
        <v>16.960031496834333</v>
      </c>
      <c r="I1729" s="2524">
        <f t="shared" si="138"/>
        <v>13.423522048155872</v>
      </c>
    </row>
    <row r="1730" spans="2:9">
      <c r="B1730" s="2251">
        <v>45391</v>
      </c>
      <c r="C1730">
        <v>21.175799999999999</v>
      </c>
      <c r="D1730" s="2935"/>
      <c r="E1730" s="2523">
        <f t="shared" si="135"/>
        <v>20.496540945512795</v>
      </c>
      <c r="F1730" s="2261">
        <f t="shared" si="134"/>
        <v>24.033050394191257</v>
      </c>
      <c r="G1730" s="2524">
        <f t="shared" si="136"/>
        <v>27.569559842869719</v>
      </c>
      <c r="H1730" s="2524">
        <f t="shared" si="137"/>
        <v>16.960031496834333</v>
      </c>
      <c r="I1730" s="2524">
        <f t="shared" si="138"/>
        <v>13.423522048155872</v>
      </c>
    </row>
    <row r="1731" spans="2:9">
      <c r="B1731" s="2251">
        <v>45392</v>
      </c>
      <c r="C1731">
        <v>21.325700000000001</v>
      </c>
      <c r="D1731" s="2935"/>
      <c r="E1731" s="2523">
        <f t="shared" si="135"/>
        <v>20.496540945512795</v>
      </c>
      <c r="F1731" s="2261">
        <f t="shared" si="134"/>
        <v>24.033050394191257</v>
      </c>
      <c r="G1731" s="2524">
        <f t="shared" si="136"/>
        <v>27.569559842869719</v>
      </c>
      <c r="H1731" s="2524">
        <f t="shared" si="137"/>
        <v>16.960031496834333</v>
      </c>
      <c r="I1731" s="2524">
        <f t="shared" si="138"/>
        <v>13.423522048155872</v>
      </c>
    </row>
    <row r="1732" spans="2:9">
      <c r="B1732" s="2251">
        <v>45393</v>
      </c>
      <c r="C1732">
        <v>21.5318</v>
      </c>
      <c r="D1732" s="2935"/>
      <c r="E1732" s="2523">
        <f t="shared" si="135"/>
        <v>20.496540945512795</v>
      </c>
      <c r="F1732" s="2261">
        <f t="shared" si="134"/>
        <v>24.033050394191257</v>
      </c>
      <c r="G1732" s="2524">
        <f t="shared" si="136"/>
        <v>27.569559842869719</v>
      </c>
      <c r="H1732" s="2524">
        <f t="shared" si="137"/>
        <v>16.960031496834333</v>
      </c>
      <c r="I1732" s="2524">
        <f t="shared" si="138"/>
        <v>13.423522048155872</v>
      </c>
    </row>
    <row r="1733" spans="2:9">
      <c r="B1733" s="2251">
        <v>45394</v>
      </c>
      <c r="C1733">
        <v>21.644300000000001</v>
      </c>
      <c r="D1733" s="2935"/>
      <c r="E1733" s="2523">
        <f t="shared" si="135"/>
        <v>20.496540945512795</v>
      </c>
      <c r="F1733" s="2261">
        <f t="shared" si="134"/>
        <v>24.033050394191257</v>
      </c>
      <c r="G1733" s="2524">
        <f t="shared" si="136"/>
        <v>27.569559842869719</v>
      </c>
      <c r="H1733" s="2524">
        <f t="shared" si="137"/>
        <v>16.960031496834333</v>
      </c>
      <c r="I1733" s="2524">
        <f t="shared" si="138"/>
        <v>13.423522048155872</v>
      </c>
    </row>
    <row r="1734" spans="2:9">
      <c r="B1734" s="2251">
        <v>45397</v>
      </c>
      <c r="C1734">
        <v>20.913399999999999</v>
      </c>
      <c r="D1734" s="2935"/>
      <c r="E1734" s="2523">
        <f t="shared" si="135"/>
        <v>20.496540945512795</v>
      </c>
      <c r="F1734" s="2261">
        <f t="shared" si="134"/>
        <v>24.033050394191257</v>
      </c>
      <c r="G1734" s="2524">
        <f t="shared" si="136"/>
        <v>27.569559842869719</v>
      </c>
      <c r="H1734" s="2524">
        <f t="shared" si="137"/>
        <v>16.960031496834333</v>
      </c>
      <c r="I1734" s="2524">
        <f t="shared" si="138"/>
        <v>13.423522048155872</v>
      </c>
    </row>
    <row r="1735" spans="2:9">
      <c r="B1735" s="2251">
        <v>45398</v>
      </c>
      <c r="C1735">
        <v>21.175799999999999</v>
      </c>
      <c r="D1735" s="2935"/>
      <c r="E1735" s="2523">
        <f t="shared" si="135"/>
        <v>20.496540945512795</v>
      </c>
      <c r="F1735" s="2261">
        <f t="shared" si="134"/>
        <v>24.033050394191257</v>
      </c>
      <c r="G1735" s="2524">
        <f t="shared" si="136"/>
        <v>27.569559842869719</v>
      </c>
      <c r="H1735" s="2524">
        <f t="shared" si="137"/>
        <v>16.960031496834333</v>
      </c>
      <c r="I1735" s="2524">
        <f t="shared" si="138"/>
        <v>13.423522048155872</v>
      </c>
    </row>
    <row r="1736" spans="2:9">
      <c r="B1736" s="2251">
        <v>45399</v>
      </c>
      <c r="C1736">
        <v>20.950900000000001</v>
      </c>
      <c r="D1736" s="2935"/>
      <c r="E1736" s="2523">
        <f t="shared" si="135"/>
        <v>20.496540945512795</v>
      </c>
      <c r="F1736" s="2261">
        <f t="shared" si="134"/>
        <v>24.033050394191257</v>
      </c>
      <c r="G1736" s="2524">
        <f t="shared" si="136"/>
        <v>27.569559842869719</v>
      </c>
      <c r="H1736" s="2524">
        <f t="shared" si="137"/>
        <v>16.960031496834333</v>
      </c>
      <c r="I1736" s="2524">
        <f t="shared" si="138"/>
        <v>13.423522048155872</v>
      </c>
    </row>
    <row r="1737" spans="2:9">
      <c r="B1737" s="2251">
        <v>45401</v>
      </c>
      <c r="C1737">
        <v>20.426200000000001</v>
      </c>
      <c r="D1737" s="2935"/>
      <c r="E1737" s="2523">
        <f t="shared" si="135"/>
        <v>20.496540945512795</v>
      </c>
      <c r="F1737" s="2261">
        <f t="shared" si="134"/>
        <v>24.033050394191257</v>
      </c>
      <c r="G1737" s="2524">
        <f t="shared" si="136"/>
        <v>27.569559842869719</v>
      </c>
      <c r="H1737" s="2524">
        <f t="shared" si="137"/>
        <v>16.960031496834333</v>
      </c>
      <c r="I1737" s="2524">
        <f t="shared" si="138"/>
        <v>13.423522048155872</v>
      </c>
    </row>
    <row r="1738" spans="2:9">
      <c r="B1738" s="2251">
        <v>45404</v>
      </c>
      <c r="C1738">
        <v>20.669799999999999</v>
      </c>
      <c r="D1738" s="2935"/>
      <c r="E1738" s="2523">
        <f t="shared" si="135"/>
        <v>20.496540945512795</v>
      </c>
      <c r="F1738" s="2261">
        <f t="shared" si="134"/>
        <v>24.033050394191257</v>
      </c>
      <c r="G1738" s="2524">
        <f t="shared" si="136"/>
        <v>27.569559842869719</v>
      </c>
      <c r="H1738" s="2524">
        <f t="shared" si="137"/>
        <v>16.960031496834333</v>
      </c>
      <c r="I1738" s="2524">
        <f t="shared" si="138"/>
        <v>13.423522048155872</v>
      </c>
    </row>
    <row r="1739" spans="2:9">
      <c r="B1739" s="2251">
        <v>45405</v>
      </c>
      <c r="C1739">
        <v>21.044599999999999</v>
      </c>
      <c r="D1739" s="2935"/>
      <c r="E1739" s="2523">
        <f t="shared" si="135"/>
        <v>20.496540945512795</v>
      </c>
      <c r="F1739" s="2261">
        <f t="shared" si="134"/>
        <v>24.033050394191257</v>
      </c>
      <c r="G1739" s="2524">
        <f t="shared" si="136"/>
        <v>27.569559842869719</v>
      </c>
      <c r="H1739" s="2524">
        <f t="shared" si="137"/>
        <v>16.960031496834333</v>
      </c>
      <c r="I1739" s="2524">
        <f t="shared" si="138"/>
        <v>13.423522048155872</v>
      </c>
    </row>
    <row r="1740" spans="2:9">
      <c r="B1740" s="2251">
        <v>45406</v>
      </c>
      <c r="C1740">
        <v>22.5063</v>
      </c>
      <c r="D1740" s="2935"/>
      <c r="E1740" s="2523">
        <f t="shared" si="135"/>
        <v>20.496540945512795</v>
      </c>
      <c r="F1740" s="2261">
        <f t="shared" si="134"/>
        <v>24.033050394191257</v>
      </c>
      <c r="G1740" s="2524">
        <f t="shared" si="136"/>
        <v>27.569559842869719</v>
      </c>
      <c r="H1740" s="2524">
        <f t="shared" si="137"/>
        <v>16.960031496834333</v>
      </c>
      <c r="I1740" s="2524">
        <f t="shared" si="138"/>
        <v>13.423522048155872</v>
      </c>
    </row>
    <row r="1741" spans="2:9">
      <c r="B1741" s="2251">
        <v>45407</v>
      </c>
      <c r="C1741">
        <v>23.087199999999999</v>
      </c>
      <c r="D1741" s="2935"/>
      <c r="E1741" s="2523">
        <f t="shared" si="135"/>
        <v>20.496540945512795</v>
      </c>
      <c r="F1741" s="2261">
        <f t="shared" si="134"/>
        <v>24.033050394191257</v>
      </c>
      <c r="G1741" s="2524">
        <f t="shared" si="136"/>
        <v>27.569559842869719</v>
      </c>
      <c r="H1741" s="2524">
        <f t="shared" si="137"/>
        <v>16.960031496834333</v>
      </c>
      <c r="I1741" s="2524">
        <f t="shared" si="138"/>
        <v>13.423522048155872</v>
      </c>
    </row>
    <row r="1742" spans="2:9">
      <c r="B1742" s="2251">
        <v>45408</v>
      </c>
      <c r="C1742">
        <v>23.087199999999999</v>
      </c>
      <c r="D1742" s="2935"/>
      <c r="E1742" s="2523">
        <f t="shared" si="135"/>
        <v>20.496540945512795</v>
      </c>
      <c r="F1742" s="2261">
        <f t="shared" si="134"/>
        <v>24.033050394191257</v>
      </c>
      <c r="G1742" s="2524">
        <f t="shared" si="136"/>
        <v>27.569559842869719</v>
      </c>
      <c r="H1742" s="2524">
        <f t="shared" si="137"/>
        <v>16.960031496834333</v>
      </c>
      <c r="I1742" s="2524">
        <f t="shared" si="138"/>
        <v>13.423522048155872</v>
      </c>
    </row>
    <row r="1743" spans="2:9">
      <c r="B1743" s="2251">
        <v>45414</v>
      </c>
      <c r="C1743">
        <v>23.855499999999999</v>
      </c>
      <c r="D1743" s="2935"/>
      <c r="E1743" s="2523">
        <f t="shared" si="135"/>
        <v>20.496540945512795</v>
      </c>
      <c r="F1743" s="2261">
        <f t="shared" si="134"/>
        <v>24.033050394191257</v>
      </c>
      <c r="G1743" s="2524">
        <f t="shared" si="136"/>
        <v>27.569559842869719</v>
      </c>
      <c r="H1743" s="2524">
        <f t="shared" si="137"/>
        <v>16.960031496834333</v>
      </c>
      <c r="I1743" s="2524">
        <f t="shared" si="138"/>
        <v>13.423522048155872</v>
      </c>
    </row>
    <row r="1744" spans="2:9">
      <c r="B1744" s="2251">
        <v>45415</v>
      </c>
      <c r="C1744">
        <v>23.5932</v>
      </c>
      <c r="D1744" s="2935"/>
      <c r="E1744" s="2523">
        <f t="shared" si="135"/>
        <v>20.496540945512795</v>
      </c>
      <c r="F1744" s="2261">
        <f t="shared" si="134"/>
        <v>24.033050394191257</v>
      </c>
      <c r="G1744" s="2524">
        <f t="shared" si="136"/>
        <v>27.569559842869719</v>
      </c>
      <c r="H1744" s="2524">
        <f t="shared" si="137"/>
        <v>16.960031496834333</v>
      </c>
      <c r="I1744" s="2524">
        <f t="shared" si="138"/>
        <v>13.423522048155872</v>
      </c>
    </row>
    <row r="1745" spans="1:9">
      <c r="B1745" s="2251">
        <v>45418</v>
      </c>
      <c r="C1745">
        <v>23.911799999999999</v>
      </c>
      <c r="D1745" s="2935"/>
      <c r="E1745" s="2523">
        <f t="shared" si="135"/>
        <v>20.496540945512795</v>
      </c>
      <c r="F1745" s="2261">
        <f t="shared" si="134"/>
        <v>24.033050394191257</v>
      </c>
      <c r="G1745" s="2524">
        <f t="shared" si="136"/>
        <v>27.569559842869719</v>
      </c>
      <c r="H1745" s="2524">
        <f t="shared" si="137"/>
        <v>16.960031496834333</v>
      </c>
      <c r="I1745" s="2524">
        <f t="shared" si="138"/>
        <v>13.423522048155872</v>
      </c>
    </row>
    <row r="1746" spans="1:9">
      <c r="B1746" s="2251">
        <v>45419</v>
      </c>
      <c r="C1746">
        <v>24.6051</v>
      </c>
      <c r="D1746" s="2935"/>
      <c r="E1746" s="2523">
        <f t="shared" si="135"/>
        <v>20.496540945512795</v>
      </c>
      <c r="F1746" s="2261">
        <f t="shared" si="134"/>
        <v>24.033050394191257</v>
      </c>
      <c r="G1746" s="2524">
        <f t="shared" si="136"/>
        <v>27.569559842869719</v>
      </c>
      <c r="H1746" s="2524">
        <f t="shared" si="137"/>
        <v>16.960031496834333</v>
      </c>
      <c r="I1746" s="2524">
        <f t="shared" si="138"/>
        <v>13.423522048155872</v>
      </c>
    </row>
    <row r="1747" spans="1:9">
      <c r="B1747" s="2251">
        <v>45420</v>
      </c>
      <c r="C1747">
        <v>24.5489</v>
      </c>
      <c r="D1747" s="2935"/>
      <c r="E1747" s="2523">
        <f t="shared" si="135"/>
        <v>20.496540945512795</v>
      </c>
      <c r="F1747" s="2261">
        <f t="shared" si="134"/>
        <v>24.033050394191257</v>
      </c>
      <c r="G1747" s="2524">
        <f t="shared" si="136"/>
        <v>27.569559842869719</v>
      </c>
      <c r="H1747" s="2524">
        <f t="shared" si="137"/>
        <v>16.960031496834333</v>
      </c>
      <c r="I1747" s="2524">
        <f t="shared" si="138"/>
        <v>13.423522048155872</v>
      </c>
    </row>
    <row r="1748" spans="1:9">
      <c r="B1748" s="2251">
        <v>45421</v>
      </c>
      <c r="C1748">
        <v>24.4177</v>
      </c>
      <c r="D1748" s="2935"/>
      <c r="E1748" s="2523">
        <f t="shared" si="135"/>
        <v>20.496540945512795</v>
      </c>
      <c r="F1748" s="2261">
        <f t="shared" si="134"/>
        <v>24.033050394191257</v>
      </c>
      <c r="G1748" s="2524">
        <f t="shared" si="136"/>
        <v>27.569559842869719</v>
      </c>
      <c r="H1748" s="2524">
        <f t="shared" si="137"/>
        <v>16.960031496834333</v>
      </c>
      <c r="I1748" s="2524">
        <f t="shared" si="138"/>
        <v>13.423522048155872</v>
      </c>
    </row>
    <row r="1749" spans="1:9">
      <c r="B1749" s="2251">
        <v>45422</v>
      </c>
      <c r="C1749">
        <v>24.5489</v>
      </c>
      <c r="D1749" s="2935"/>
      <c r="E1749" s="2523">
        <f t="shared" si="135"/>
        <v>20.496540945512795</v>
      </c>
      <c r="F1749" s="2261">
        <f t="shared" si="134"/>
        <v>24.033050394191257</v>
      </c>
      <c r="G1749" s="2524">
        <f t="shared" si="136"/>
        <v>27.569559842869719</v>
      </c>
      <c r="H1749" s="2524">
        <f t="shared" si="137"/>
        <v>16.960031496834333</v>
      </c>
      <c r="I1749" s="2524">
        <f t="shared" si="138"/>
        <v>13.423522048155872</v>
      </c>
    </row>
    <row r="1750" spans="1:9">
      <c r="B1750" s="2251">
        <v>45425</v>
      </c>
      <c r="C1750">
        <v>24.305299999999999</v>
      </c>
      <c r="D1750" s="2935"/>
      <c r="E1750" s="2523">
        <f t="shared" si="135"/>
        <v>20.496540945512795</v>
      </c>
      <c r="F1750" s="2261">
        <f t="shared" si="134"/>
        <v>24.033050394191257</v>
      </c>
      <c r="G1750" s="2524">
        <f t="shared" si="136"/>
        <v>27.569559842869719</v>
      </c>
      <c r="H1750" s="2524">
        <f t="shared" si="137"/>
        <v>16.960031496834333</v>
      </c>
      <c r="I1750" s="2524">
        <f t="shared" si="138"/>
        <v>13.423522048155872</v>
      </c>
    </row>
    <row r="1751" spans="1:9">
      <c r="B1751" s="2251">
        <v>45426</v>
      </c>
      <c r="C1751">
        <v>24.455200000000001</v>
      </c>
      <c r="D1751" s="2935"/>
      <c r="E1751" s="2523">
        <f t="shared" si="135"/>
        <v>20.496540945512795</v>
      </c>
      <c r="F1751" s="2261">
        <f t="shared" si="134"/>
        <v>24.033050394191257</v>
      </c>
      <c r="G1751" s="2524">
        <f t="shared" si="136"/>
        <v>27.569559842869719</v>
      </c>
      <c r="H1751" s="2524">
        <f t="shared" si="137"/>
        <v>16.960031496834333</v>
      </c>
      <c r="I1751" s="2524">
        <f t="shared" si="138"/>
        <v>13.423522048155872</v>
      </c>
    </row>
    <row r="1752" spans="1:9">
      <c r="A1752" s="2267" t="s">
        <v>1344</v>
      </c>
      <c r="B1752" s="2251">
        <v>45427</v>
      </c>
      <c r="C1752">
        <v>25.129799999999999</v>
      </c>
      <c r="D1752" s="2935"/>
      <c r="E1752" s="2523">
        <f t="shared" si="135"/>
        <v>20.496540945512795</v>
      </c>
      <c r="F1752" s="2261">
        <f t="shared" si="134"/>
        <v>24.033050394191257</v>
      </c>
      <c r="G1752" s="2524">
        <f t="shared" si="136"/>
        <v>27.569559842869719</v>
      </c>
      <c r="H1752" s="2524">
        <f t="shared" si="137"/>
        <v>16.960031496834333</v>
      </c>
      <c r="I1752" s="2524">
        <f t="shared" si="138"/>
        <v>13.423522048155872</v>
      </c>
    </row>
    <row r="1753" spans="1:9" ht="15" thickBot="1">
      <c r="B1753" s="2251">
        <v>45428</v>
      </c>
      <c r="C1753">
        <v>25.3735</v>
      </c>
      <c r="D1753" s="2935"/>
      <c r="E1753" s="2523">
        <f t="shared" si="135"/>
        <v>20.496540945512795</v>
      </c>
      <c r="F1753" s="2261">
        <f t="shared" si="134"/>
        <v>24.033050394191257</v>
      </c>
      <c r="G1753" s="2524">
        <f t="shared" si="136"/>
        <v>27.569559842869719</v>
      </c>
      <c r="H1753" s="2524">
        <f t="shared" si="137"/>
        <v>16.960031496834333</v>
      </c>
      <c r="I1753" s="2524">
        <f t="shared" si="138"/>
        <v>13.423522048155872</v>
      </c>
    </row>
    <row r="1754" spans="1:9" ht="15" thickBot="1">
      <c r="A1754" s="2295" t="s">
        <v>462</v>
      </c>
      <c r="B1754" s="2251">
        <v>45429</v>
      </c>
      <c r="C1754">
        <v>25.204799999999999</v>
      </c>
      <c r="D1754" s="2935"/>
      <c r="E1754" s="2523">
        <f t="shared" si="135"/>
        <v>20.496540945512795</v>
      </c>
      <c r="F1754" s="2261">
        <f t="shared" si="134"/>
        <v>24.033050394191257</v>
      </c>
      <c r="G1754" s="2524">
        <f t="shared" si="136"/>
        <v>27.569559842869719</v>
      </c>
      <c r="H1754" s="2524">
        <f t="shared" si="137"/>
        <v>16.960031496834333</v>
      </c>
      <c r="I1754" s="2524">
        <f t="shared" si="138"/>
        <v>13.423522048155872</v>
      </c>
    </row>
    <row r="1755" spans="1:9">
      <c r="A1755" s="2296" t="s">
        <v>163</v>
      </c>
      <c r="B1755" s="2251">
        <v>45432</v>
      </c>
      <c r="C1755">
        <v>24.9237</v>
      </c>
      <c r="D1755" s="2935"/>
      <c r="E1755" s="2523">
        <f t="shared" si="135"/>
        <v>20.496540945512795</v>
      </c>
      <c r="F1755" s="2261">
        <f t="shared" si="134"/>
        <v>24.033050394191257</v>
      </c>
      <c r="G1755" s="2524">
        <f t="shared" si="136"/>
        <v>27.569559842869719</v>
      </c>
      <c r="H1755" s="2524">
        <f t="shared" si="137"/>
        <v>16.960031496834333</v>
      </c>
      <c r="I1755" s="2524">
        <f t="shared" si="138"/>
        <v>13.423522048155872</v>
      </c>
    </row>
    <row r="1756" spans="1:9">
      <c r="A1756" s="2297" t="s">
        <v>921</v>
      </c>
      <c r="B1756" s="2251">
        <v>45433</v>
      </c>
      <c r="C1756">
        <v>25.485900000000001</v>
      </c>
      <c r="D1756" s="2935"/>
      <c r="E1756" s="2523">
        <f t="shared" si="135"/>
        <v>20.496540945512795</v>
      </c>
      <c r="F1756" s="2261">
        <f t="shared" si="134"/>
        <v>24.033050394191257</v>
      </c>
      <c r="G1756" s="2524">
        <f t="shared" si="136"/>
        <v>27.569559842869719</v>
      </c>
      <c r="H1756" s="2524">
        <f t="shared" si="137"/>
        <v>16.960031496834333</v>
      </c>
      <c r="I1756" s="2524">
        <f t="shared" si="138"/>
        <v>13.423522048155872</v>
      </c>
    </row>
    <row r="1757" spans="1:9">
      <c r="A1757" s="2297" t="s">
        <v>897</v>
      </c>
      <c r="B1757" s="2251">
        <v>45434</v>
      </c>
      <c r="C1757">
        <v>25.860700000000001</v>
      </c>
      <c r="D1757" s="2935"/>
      <c r="E1757" s="2523">
        <f t="shared" si="135"/>
        <v>20.496540945512795</v>
      </c>
      <c r="F1757" s="2261">
        <f t="shared" si="134"/>
        <v>24.033050394191257</v>
      </c>
      <c r="G1757" s="2524">
        <f t="shared" si="136"/>
        <v>27.569559842869719</v>
      </c>
      <c r="H1757" s="2524">
        <f t="shared" si="137"/>
        <v>16.960031496834333</v>
      </c>
      <c r="I1757" s="2524">
        <f t="shared" si="138"/>
        <v>13.423522048155872</v>
      </c>
    </row>
    <row r="1758" spans="1:9">
      <c r="A1758" s="2297" t="s">
        <v>882</v>
      </c>
      <c r="B1758" s="2251">
        <v>45435</v>
      </c>
      <c r="C1758">
        <v>25.766999999999999</v>
      </c>
      <c r="D1758" s="2935"/>
      <c r="E1758" s="2523">
        <f t="shared" si="135"/>
        <v>20.496540945512795</v>
      </c>
      <c r="F1758" s="2261">
        <f t="shared" si="134"/>
        <v>24.033050394191257</v>
      </c>
      <c r="G1758" s="2524">
        <f t="shared" si="136"/>
        <v>27.569559842869719</v>
      </c>
      <c r="H1758" s="2524">
        <f t="shared" si="137"/>
        <v>16.960031496834333</v>
      </c>
      <c r="I1758" s="2524">
        <f t="shared" si="138"/>
        <v>13.423522048155872</v>
      </c>
    </row>
    <row r="1759" spans="1:9">
      <c r="A1759" s="2296" t="s">
        <v>147</v>
      </c>
      <c r="B1759" s="2251">
        <v>45436</v>
      </c>
      <c r="C1759">
        <v>24.717600000000001</v>
      </c>
      <c r="D1759" s="2935"/>
      <c r="E1759" s="2523">
        <f t="shared" si="135"/>
        <v>20.496540945512795</v>
      </c>
      <c r="F1759" s="2261">
        <f t="shared" si="134"/>
        <v>24.033050394191257</v>
      </c>
      <c r="G1759" s="2524">
        <f t="shared" si="136"/>
        <v>27.569559842869719</v>
      </c>
      <c r="H1759" s="2524">
        <f t="shared" si="137"/>
        <v>16.960031496834333</v>
      </c>
      <c r="I1759" s="2524">
        <f t="shared" si="138"/>
        <v>13.423522048155872</v>
      </c>
    </row>
    <row r="1760" spans="1:9">
      <c r="A1760" s="2296" t="s">
        <v>148</v>
      </c>
      <c r="B1760" s="2251">
        <v>45439</v>
      </c>
      <c r="C1760">
        <v>24.886199999999999</v>
      </c>
      <c r="D1760" s="2935"/>
      <c r="E1760" s="2523">
        <f t="shared" si="135"/>
        <v>20.496540945512795</v>
      </c>
      <c r="F1760" s="2261">
        <f t="shared" si="134"/>
        <v>24.033050394191257</v>
      </c>
      <c r="G1760" s="2524">
        <f t="shared" si="136"/>
        <v>27.569559842869719</v>
      </c>
      <c r="H1760" s="2524">
        <f t="shared" si="137"/>
        <v>16.960031496834333</v>
      </c>
      <c r="I1760" s="2524">
        <f t="shared" si="138"/>
        <v>13.423522048155872</v>
      </c>
    </row>
    <row r="1761" spans="1:9">
      <c r="A1761" s="2298" t="s">
        <v>165</v>
      </c>
      <c r="B1761" s="2251">
        <v>45440</v>
      </c>
      <c r="C1761">
        <v>25.673300000000001</v>
      </c>
      <c r="D1761" s="2935"/>
      <c r="E1761" s="2523">
        <f t="shared" si="135"/>
        <v>20.496540945512795</v>
      </c>
      <c r="F1761" s="2261">
        <f t="shared" si="134"/>
        <v>24.033050394191257</v>
      </c>
      <c r="G1761" s="2524">
        <f t="shared" si="136"/>
        <v>27.569559842869719</v>
      </c>
      <c r="H1761" s="2524">
        <f t="shared" si="137"/>
        <v>16.960031496834333</v>
      </c>
      <c r="I1761" s="2524">
        <f t="shared" si="138"/>
        <v>13.423522048155872</v>
      </c>
    </row>
    <row r="1762" spans="1:9">
      <c r="A1762" s="2296" t="s">
        <v>16</v>
      </c>
      <c r="B1762" s="2251">
        <v>45441</v>
      </c>
      <c r="C1762">
        <v>25.4297</v>
      </c>
      <c r="D1762" s="2935"/>
      <c r="E1762" s="2523">
        <f t="shared" si="135"/>
        <v>20.496540945512795</v>
      </c>
      <c r="F1762" s="2261">
        <f t="shared" si="134"/>
        <v>24.033050394191257</v>
      </c>
      <c r="G1762" s="2524">
        <f t="shared" si="136"/>
        <v>27.569559842869719</v>
      </c>
      <c r="H1762" s="2524">
        <f t="shared" si="137"/>
        <v>16.960031496834333</v>
      </c>
      <c r="I1762" s="2524">
        <f t="shared" si="138"/>
        <v>13.423522048155872</v>
      </c>
    </row>
    <row r="1763" spans="1:9">
      <c r="A1763" s="2296" t="s">
        <v>1343</v>
      </c>
      <c r="B1763" s="2251">
        <v>45442</v>
      </c>
      <c r="C1763">
        <v>25.298500000000001</v>
      </c>
      <c r="D1763" s="2935"/>
      <c r="E1763" s="2523">
        <f t="shared" si="135"/>
        <v>20.496540945512795</v>
      </c>
      <c r="F1763" s="2261">
        <f t="shared" si="134"/>
        <v>24.033050394191257</v>
      </c>
      <c r="G1763" s="2524">
        <f t="shared" si="136"/>
        <v>27.569559842869719</v>
      </c>
      <c r="H1763" s="2524">
        <f t="shared" si="137"/>
        <v>16.960031496834333</v>
      </c>
      <c r="I1763" s="2524">
        <f t="shared" si="138"/>
        <v>13.423522048155872</v>
      </c>
    </row>
    <row r="1764" spans="1:9">
      <c r="A1764" s="2298" t="s">
        <v>166</v>
      </c>
      <c r="B1764" s="2251">
        <v>45443</v>
      </c>
      <c r="C1764">
        <v>25.223500000000001</v>
      </c>
      <c r="D1764" s="2935"/>
      <c r="E1764" s="2523">
        <f t="shared" si="135"/>
        <v>20.496540945512795</v>
      </c>
      <c r="F1764" s="2261">
        <f t="shared" si="134"/>
        <v>24.033050394191257</v>
      </c>
      <c r="G1764" s="2524">
        <f t="shared" si="136"/>
        <v>27.569559842869719</v>
      </c>
      <c r="H1764" s="2524">
        <f t="shared" si="137"/>
        <v>16.960031496834333</v>
      </c>
      <c r="I1764" s="2524">
        <f t="shared" si="138"/>
        <v>13.423522048155872</v>
      </c>
    </row>
    <row r="1765" spans="1:9">
      <c r="A1765" s="2296" t="s">
        <v>149</v>
      </c>
      <c r="B1765" s="2251">
        <v>45446</v>
      </c>
      <c r="C1765">
        <v>25.654499999999999</v>
      </c>
      <c r="D1765" s="2935"/>
      <c r="E1765" s="2523">
        <f t="shared" si="135"/>
        <v>20.496540945512795</v>
      </c>
      <c r="F1765" s="2261">
        <f t="shared" si="134"/>
        <v>24.033050394191257</v>
      </c>
      <c r="G1765" s="2524">
        <f t="shared" si="136"/>
        <v>27.569559842869719</v>
      </c>
      <c r="H1765" s="2524">
        <f t="shared" si="137"/>
        <v>16.960031496834333</v>
      </c>
      <c r="I1765" s="2524">
        <f t="shared" si="138"/>
        <v>13.423522048155872</v>
      </c>
    </row>
    <row r="1766" spans="1:9">
      <c r="A1766" s="2298" t="s">
        <v>167</v>
      </c>
      <c r="B1766" s="2251">
        <v>45447</v>
      </c>
      <c r="C1766">
        <v>26.066800000000001</v>
      </c>
      <c r="D1766" s="2935"/>
      <c r="E1766" s="2523">
        <f t="shared" si="135"/>
        <v>20.496540945512795</v>
      </c>
      <c r="F1766" s="2261">
        <f t="shared" si="134"/>
        <v>24.033050394191257</v>
      </c>
      <c r="G1766" s="2524">
        <f t="shared" si="136"/>
        <v>27.569559842869719</v>
      </c>
      <c r="H1766" s="2524">
        <f t="shared" si="137"/>
        <v>16.960031496834333</v>
      </c>
      <c r="I1766" s="2524">
        <f t="shared" si="138"/>
        <v>13.423522048155872</v>
      </c>
    </row>
    <row r="1767" spans="1:9">
      <c r="A1767" s="2296" t="s">
        <v>198</v>
      </c>
      <c r="B1767" s="2251">
        <v>45448</v>
      </c>
      <c r="C1767">
        <v>26.254200000000001</v>
      </c>
      <c r="D1767" s="2935"/>
      <c r="E1767" s="2523">
        <f t="shared" si="135"/>
        <v>20.496540945512795</v>
      </c>
      <c r="F1767" s="2261">
        <f t="shared" si="134"/>
        <v>24.033050394191257</v>
      </c>
      <c r="G1767" s="2524">
        <f t="shared" si="136"/>
        <v>27.569559842869719</v>
      </c>
      <c r="H1767" s="2524">
        <f t="shared" si="137"/>
        <v>16.960031496834333</v>
      </c>
      <c r="I1767" s="2524">
        <f t="shared" si="138"/>
        <v>13.423522048155872</v>
      </c>
    </row>
    <row r="1768" spans="1:9">
      <c r="A1768" s="2298" t="s">
        <v>199</v>
      </c>
      <c r="B1768" s="2251">
        <v>45449</v>
      </c>
      <c r="C1768">
        <v>26.160499999999999</v>
      </c>
      <c r="D1768" s="2935"/>
      <c r="E1768" s="2523">
        <f t="shared" si="135"/>
        <v>20.496540945512795</v>
      </c>
      <c r="F1768" s="2261">
        <f t="shared" si="134"/>
        <v>24.033050394191257</v>
      </c>
      <c r="G1768" s="2524">
        <f t="shared" si="136"/>
        <v>27.569559842869719</v>
      </c>
      <c r="H1768" s="2524">
        <f t="shared" si="137"/>
        <v>16.960031496834333</v>
      </c>
      <c r="I1768" s="2524">
        <f t="shared" si="138"/>
        <v>13.423522048155872</v>
      </c>
    </row>
    <row r="1769" spans="1:9">
      <c r="A1769" s="2296" t="s">
        <v>230</v>
      </c>
      <c r="B1769" s="2251">
        <v>45450</v>
      </c>
      <c r="C1769">
        <v>26.610299999999999</v>
      </c>
      <c r="D1769" s="2935"/>
      <c r="E1769" s="2523">
        <f t="shared" si="135"/>
        <v>20.496540945512795</v>
      </c>
      <c r="F1769" s="2261">
        <f t="shared" si="134"/>
        <v>24.033050394191257</v>
      </c>
      <c r="G1769" s="2524">
        <f t="shared" si="136"/>
        <v>27.569559842869719</v>
      </c>
      <c r="H1769" s="2524">
        <f t="shared" si="137"/>
        <v>16.960031496834333</v>
      </c>
      <c r="I1769" s="2524">
        <f t="shared" si="138"/>
        <v>13.423522048155872</v>
      </c>
    </row>
    <row r="1770" spans="1:9">
      <c r="A1770" s="2296" t="s">
        <v>231</v>
      </c>
      <c r="B1770" s="2251">
        <v>45453</v>
      </c>
      <c r="C1770">
        <v>26.985099999999999</v>
      </c>
      <c r="D1770" s="2935"/>
      <c r="E1770" s="2523">
        <f t="shared" si="135"/>
        <v>20.496540945512795</v>
      </c>
      <c r="F1770" s="2261">
        <f t="shared" si="134"/>
        <v>24.033050394191257</v>
      </c>
      <c r="G1770" s="2524">
        <f t="shared" si="136"/>
        <v>27.569559842869719</v>
      </c>
      <c r="H1770" s="2524">
        <f t="shared" si="137"/>
        <v>16.960031496834333</v>
      </c>
      <c r="I1770" s="2524">
        <f t="shared" si="138"/>
        <v>13.423522048155872</v>
      </c>
    </row>
    <row r="1771" spans="1:9">
      <c r="A1771" s="2296" t="s">
        <v>22</v>
      </c>
      <c r="B1771" s="2251">
        <v>45454</v>
      </c>
      <c r="C1771">
        <v>27.453600000000002</v>
      </c>
      <c r="D1771" s="2935"/>
      <c r="E1771" s="2523">
        <f t="shared" si="135"/>
        <v>20.496540945512795</v>
      </c>
      <c r="F1771" s="2261">
        <f t="shared" si="134"/>
        <v>24.033050394191257</v>
      </c>
      <c r="G1771" s="2524">
        <f t="shared" si="136"/>
        <v>27.569559842869719</v>
      </c>
      <c r="H1771" s="2524">
        <f t="shared" si="137"/>
        <v>16.960031496834333</v>
      </c>
      <c r="I1771" s="2524">
        <f t="shared" si="138"/>
        <v>13.423522048155872</v>
      </c>
    </row>
    <row r="1772" spans="1:9">
      <c r="A1772" s="2296" t="s">
        <v>624</v>
      </c>
      <c r="B1772" s="2251">
        <v>45455</v>
      </c>
      <c r="C1772">
        <v>28.4468</v>
      </c>
      <c r="D1772" s="2935"/>
      <c r="E1772" s="2523">
        <f t="shared" si="135"/>
        <v>20.496540945512795</v>
      </c>
      <c r="F1772" s="2261">
        <f t="shared" si="134"/>
        <v>24.033050394191257</v>
      </c>
      <c r="G1772" s="2524">
        <f t="shared" si="136"/>
        <v>27.569559842869719</v>
      </c>
      <c r="H1772" s="2524">
        <f t="shared" si="137"/>
        <v>16.960031496834333</v>
      </c>
      <c r="I1772" s="2524">
        <f t="shared" si="138"/>
        <v>13.423522048155872</v>
      </c>
    </row>
    <row r="1773" spans="1:9">
      <c r="A1773" s="2296" t="s">
        <v>806</v>
      </c>
      <c r="B1773" s="2251">
        <v>45456</v>
      </c>
      <c r="C1773">
        <v>28.015699999999999</v>
      </c>
      <c r="D1773" s="2935"/>
      <c r="E1773" s="2523">
        <f t="shared" si="135"/>
        <v>20.496540945512795</v>
      </c>
      <c r="F1773" s="2261">
        <f t="shared" si="134"/>
        <v>24.033050394191257</v>
      </c>
      <c r="G1773" s="2524">
        <f t="shared" si="136"/>
        <v>27.569559842869719</v>
      </c>
      <c r="H1773" s="2524">
        <f t="shared" si="137"/>
        <v>16.960031496834333</v>
      </c>
      <c r="I1773" s="2524">
        <f t="shared" si="138"/>
        <v>13.423522048155872</v>
      </c>
    </row>
    <row r="1774" spans="1:9" ht="15" thickBot="1">
      <c r="A1774" s="2299" t="s">
        <v>168</v>
      </c>
      <c r="B1774" s="2251">
        <v>45457</v>
      </c>
      <c r="C1774">
        <v>28.231200000000001</v>
      </c>
      <c r="D1774" s="2935"/>
      <c r="E1774" s="2523">
        <f t="shared" si="135"/>
        <v>20.496540945512795</v>
      </c>
      <c r="F1774" s="2261">
        <f t="shared" si="134"/>
        <v>24.033050394191257</v>
      </c>
      <c r="G1774" s="2524">
        <f t="shared" si="136"/>
        <v>27.569559842869719</v>
      </c>
      <c r="H1774" s="2524">
        <f t="shared" si="137"/>
        <v>16.960031496834333</v>
      </c>
      <c r="I1774" s="2524">
        <f t="shared" si="138"/>
        <v>13.423522048155872</v>
      </c>
    </row>
    <row r="1775" spans="1:9">
      <c r="B1775" s="2251">
        <v>45460</v>
      </c>
      <c r="C1775">
        <v>27.757100000000001</v>
      </c>
      <c r="D1775" s="2935"/>
      <c r="E1775" s="2523">
        <f t="shared" si="135"/>
        <v>20.496540945512795</v>
      </c>
      <c r="F1775" s="2261">
        <f t="shared" si="134"/>
        <v>24.033050394191257</v>
      </c>
      <c r="G1775" s="2524">
        <f t="shared" si="136"/>
        <v>27.569559842869719</v>
      </c>
      <c r="H1775" s="2524">
        <f t="shared" si="137"/>
        <v>16.960031496834333</v>
      </c>
      <c r="I1775" s="2524">
        <f t="shared" si="138"/>
        <v>13.423522048155872</v>
      </c>
    </row>
    <row r="1776" spans="1:9">
      <c r="B1776" s="2251">
        <v>45461</v>
      </c>
      <c r="C1776">
        <v>27.584700000000002</v>
      </c>
      <c r="D1776" s="2935"/>
      <c r="E1776" s="2523">
        <f t="shared" si="135"/>
        <v>20.496540945512795</v>
      </c>
      <c r="F1776" s="2261">
        <f t="shared" si="134"/>
        <v>24.033050394191257</v>
      </c>
      <c r="G1776" s="2524">
        <f t="shared" si="136"/>
        <v>27.569559842869719</v>
      </c>
      <c r="H1776" s="2524">
        <f t="shared" si="137"/>
        <v>16.960031496834333</v>
      </c>
      <c r="I1776" s="2524">
        <f t="shared" si="138"/>
        <v>13.423522048155872</v>
      </c>
    </row>
    <row r="1777" spans="2:9">
      <c r="B1777" s="2251">
        <v>45462</v>
      </c>
      <c r="C1777">
        <v>28.338999999999999</v>
      </c>
      <c r="D1777" s="2935"/>
      <c r="E1777" s="2523">
        <f t="shared" si="135"/>
        <v>20.496540945512795</v>
      </c>
      <c r="F1777" s="2261">
        <f t="shared" si="134"/>
        <v>24.033050394191257</v>
      </c>
      <c r="G1777" s="2524">
        <f t="shared" si="136"/>
        <v>27.569559842869719</v>
      </c>
      <c r="H1777" s="2524">
        <f t="shared" si="137"/>
        <v>16.960031496834333</v>
      </c>
      <c r="I1777" s="2524">
        <f t="shared" si="138"/>
        <v>13.423522048155872</v>
      </c>
    </row>
    <row r="1778" spans="2:9">
      <c r="B1778" s="2251">
        <v>45463</v>
      </c>
      <c r="C1778">
        <v>28.726900000000001</v>
      </c>
      <c r="D1778" s="2935"/>
      <c r="E1778" s="2523">
        <f t="shared" si="135"/>
        <v>20.496540945512795</v>
      </c>
      <c r="F1778" s="2261">
        <f t="shared" si="134"/>
        <v>24.033050394191257</v>
      </c>
      <c r="G1778" s="2524">
        <f t="shared" si="136"/>
        <v>27.569559842869719</v>
      </c>
      <c r="H1778" s="2524">
        <f t="shared" si="137"/>
        <v>16.960031496834333</v>
      </c>
      <c r="I1778" s="2524">
        <f t="shared" si="138"/>
        <v>13.423522048155872</v>
      </c>
    </row>
    <row r="1779" spans="2:9">
      <c r="B1779" s="2251">
        <v>45464</v>
      </c>
      <c r="C1779">
        <v>29.330300000000001</v>
      </c>
      <c r="D1779" s="2935"/>
      <c r="E1779" s="2523">
        <f t="shared" si="135"/>
        <v>20.496540945512795</v>
      </c>
      <c r="F1779" s="2261">
        <f t="shared" si="134"/>
        <v>24.033050394191257</v>
      </c>
      <c r="G1779" s="2524">
        <f t="shared" si="136"/>
        <v>27.569559842869719</v>
      </c>
      <c r="H1779" s="2524">
        <f t="shared" si="137"/>
        <v>16.960031496834333</v>
      </c>
      <c r="I1779" s="2524">
        <f t="shared" si="138"/>
        <v>13.423522048155872</v>
      </c>
    </row>
    <row r="1780" spans="2:9">
      <c r="B1780" s="2251">
        <v>45467</v>
      </c>
      <c r="C1780">
        <v>28.468299999999999</v>
      </c>
      <c r="D1780" s="2935"/>
      <c r="E1780" s="2523">
        <f t="shared" si="135"/>
        <v>20.496540945512795</v>
      </c>
      <c r="F1780" s="2261">
        <f t="shared" si="134"/>
        <v>24.033050394191257</v>
      </c>
      <c r="G1780" s="2524">
        <f t="shared" si="136"/>
        <v>27.569559842869719</v>
      </c>
      <c r="H1780" s="2524">
        <f t="shared" si="137"/>
        <v>16.960031496834333</v>
      </c>
      <c r="I1780" s="2524">
        <f t="shared" si="138"/>
        <v>13.423522048155872</v>
      </c>
    </row>
    <row r="1781" spans="2:9">
      <c r="B1781" s="2251">
        <v>45468</v>
      </c>
      <c r="C1781">
        <v>28.015699999999999</v>
      </c>
      <c r="D1781" s="2935"/>
      <c r="E1781" s="2523">
        <f t="shared" si="135"/>
        <v>20.496540945512795</v>
      </c>
      <c r="F1781" s="2261">
        <f t="shared" si="134"/>
        <v>24.033050394191257</v>
      </c>
      <c r="G1781" s="2524">
        <f t="shared" si="136"/>
        <v>27.569559842869719</v>
      </c>
      <c r="H1781" s="2524">
        <f t="shared" si="137"/>
        <v>16.960031496834333</v>
      </c>
      <c r="I1781" s="2524">
        <f t="shared" si="138"/>
        <v>13.423522048155872</v>
      </c>
    </row>
    <row r="1782" spans="2:9">
      <c r="B1782" s="2251">
        <v>45469</v>
      </c>
      <c r="C1782">
        <v>28.403700000000001</v>
      </c>
      <c r="D1782" s="2935"/>
      <c r="E1782" s="2523">
        <f t="shared" si="135"/>
        <v>20.496540945512795</v>
      </c>
      <c r="F1782" s="2261">
        <f t="shared" si="134"/>
        <v>24.033050394191257</v>
      </c>
      <c r="G1782" s="2524">
        <f t="shared" si="136"/>
        <v>27.569559842869719</v>
      </c>
      <c r="H1782" s="2524">
        <f t="shared" si="137"/>
        <v>16.960031496834333</v>
      </c>
      <c r="I1782" s="2524">
        <f t="shared" si="138"/>
        <v>13.423522048155872</v>
      </c>
    </row>
    <row r="1783" spans="2:9">
      <c r="B1783" s="2251">
        <v>45470</v>
      </c>
      <c r="C1783">
        <v>28.619199999999999</v>
      </c>
      <c r="D1783" s="2935"/>
      <c r="E1783" s="2523">
        <f t="shared" si="135"/>
        <v>20.496540945512795</v>
      </c>
      <c r="F1783" s="2261">
        <f t="shared" si="134"/>
        <v>24.033050394191257</v>
      </c>
      <c r="G1783" s="2524">
        <f t="shared" si="136"/>
        <v>27.569559842869719</v>
      </c>
      <c r="H1783" s="2524">
        <f t="shared" si="137"/>
        <v>16.960031496834333</v>
      </c>
      <c r="I1783" s="2524">
        <f t="shared" si="138"/>
        <v>13.423522048155872</v>
      </c>
    </row>
    <row r="1784" spans="2:9">
      <c r="B1784" s="2251">
        <v>45471</v>
      </c>
      <c r="C1784">
        <v>26.7088</v>
      </c>
      <c r="D1784" s="2935"/>
      <c r="E1784" s="2523">
        <f t="shared" si="135"/>
        <v>20.496540945512795</v>
      </c>
      <c r="F1784" s="2261">
        <f t="shared" si="134"/>
        <v>24.033050394191257</v>
      </c>
      <c r="G1784" s="2524">
        <f t="shared" si="136"/>
        <v>27.569559842869719</v>
      </c>
      <c r="H1784" s="2524">
        <f t="shared" si="137"/>
        <v>16.960031496834333</v>
      </c>
      <c r="I1784" s="2524">
        <f t="shared" si="138"/>
        <v>13.423522048155872</v>
      </c>
    </row>
    <row r="1785" spans="2:9">
      <c r="B1785" s="2251">
        <v>45474</v>
      </c>
      <c r="C1785">
        <v>26.32</v>
      </c>
      <c r="D1785" s="2935"/>
      <c r="E1785" s="2523">
        <f t="shared" si="135"/>
        <v>20.496540945512795</v>
      </c>
      <c r="F1785" s="2261">
        <f t="shared" si="134"/>
        <v>24.033050394191257</v>
      </c>
      <c r="G1785" s="2524">
        <f t="shared" si="136"/>
        <v>27.569559842869719</v>
      </c>
      <c r="H1785" s="2524">
        <f t="shared" si="137"/>
        <v>16.960031496834333</v>
      </c>
      <c r="I1785" s="2524">
        <f t="shared" si="138"/>
        <v>13.423522048155872</v>
      </c>
    </row>
    <row r="1786" spans="2:9">
      <c r="B1786" s="2251">
        <v>45475</v>
      </c>
      <c r="C1786">
        <v>26.197199999999999</v>
      </c>
      <c r="D1786" s="2935"/>
      <c r="E1786" s="2523">
        <f t="shared" si="135"/>
        <v>20.496540945512795</v>
      </c>
      <c r="F1786" s="2261">
        <f t="shared" si="134"/>
        <v>24.033050394191257</v>
      </c>
      <c r="G1786" s="2524">
        <f t="shared" si="136"/>
        <v>27.569559842869719</v>
      </c>
      <c r="H1786" s="2524">
        <f t="shared" si="137"/>
        <v>16.960031496834333</v>
      </c>
      <c r="I1786" s="2524">
        <f t="shared" si="138"/>
        <v>13.423522048155872</v>
      </c>
    </row>
    <row r="1787" spans="2:9">
      <c r="B1787" s="2251">
        <v>45476</v>
      </c>
      <c r="C1787">
        <v>26.811199999999999</v>
      </c>
      <c r="D1787" s="2935"/>
      <c r="E1787" s="2523">
        <f t="shared" si="135"/>
        <v>20.496540945512795</v>
      </c>
      <c r="F1787" s="2261">
        <f t="shared" si="134"/>
        <v>24.033050394191257</v>
      </c>
      <c r="G1787" s="2524">
        <f t="shared" si="136"/>
        <v>27.569559842869719</v>
      </c>
      <c r="H1787" s="2524">
        <f t="shared" si="137"/>
        <v>16.960031496834333</v>
      </c>
      <c r="I1787" s="2524">
        <f t="shared" si="138"/>
        <v>13.423522048155872</v>
      </c>
    </row>
    <row r="1788" spans="2:9">
      <c r="B1788" s="2251">
        <v>45477</v>
      </c>
      <c r="C1788">
        <v>27.793600000000001</v>
      </c>
      <c r="D1788" s="2935"/>
      <c r="E1788" s="2523">
        <f t="shared" si="135"/>
        <v>20.496540945512795</v>
      </c>
      <c r="F1788" s="2261">
        <f t="shared" si="134"/>
        <v>24.033050394191257</v>
      </c>
      <c r="G1788" s="2524">
        <f t="shared" si="136"/>
        <v>27.569559842869719</v>
      </c>
      <c r="H1788" s="2524">
        <f t="shared" si="137"/>
        <v>16.960031496834333</v>
      </c>
      <c r="I1788" s="2524">
        <f t="shared" si="138"/>
        <v>13.423522048155872</v>
      </c>
    </row>
    <row r="1789" spans="2:9">
      <c r="B1789" s="2251">
        <v>45478</v>
      </c>
      <c r="C1789">
        <v>28.3871</v>
      </c>
      <c r="D1789" s="2935"/>
      <c r="E1789" s="2523">
        <f t="shared" si="135"/>
        <v>20.496540945512795</v>
      </c>
      <c r="F1789" s="2261">
        <f t="shared" ref="F1789:F1852" si="139">I$953+F$953</f>
        <v>24.033050394191257</v>
      </c>
      <c r="G1789" s="2524">
        <f t="shared" si="136"/>
        <v>27.569559842869719</v>
      </c>
      <c r="H1789" s="2524">
        <f t="shared" si="137"/>
        <v>16.960031496834333</v>
      </c>
      <c r="I1789" s="2524">
        <f t="shared" si="138"/>
        <v>13.423522048155872</v>
      </c>
    </row>
    <row r="1790" spans="2:9">
      <c r="B1790" s="2251">
        <v>45481</v>
      </c>
      <c r="C1790">
        <v>28.571300000000001</v>
      </c>
      <c r="D1790" s="2935"/>
      <c r="E1790" s="2523">
        <f t="shared" ref="E1790:E1853" si="140">I$953</f>
        <v>20.496540945512795</v>
      </c>
      <c r="F1790" s="2261">
        <f t="shared" si="139"/>
        <v>24.033050394191257</v>
      </c>
      <c r="G1790" s="2524">
        <f t="shared" ref="G1790:G1853" si="141">I$953+F$953+F$953</f>
        <v>27.569559842869719</v>
      </c>
      <c r="H1790" s="2524">
        <f t="shared" ref="H1790:H1853" si="142">I$953-F$953</f>
        <v>16.960031496834333</v>
      </c>
      <c r="I1790" s="2524">
        <f t="shared" ref="I1790:I1853" si="143">I$953-F$953-F$953</f>
        <v>13.423522048155872</v>
      </c>
    </row>
    <row r="1791" spans="2:9">
      <c r="B1791" s="2251">
        <v>45482</v>
      </c>
      <c r="C1791">
        <v>28.141500000000001</v>
      </c>
      <c r="D1791" s="2935"/>
      <c r="E1791" s="2523">
        <f t="shared" si="140"/>
        <v>20.496540945512795</v>
      </c>
      <c r="F1791" s="2261">
        <f t="shared" si="139"/>
        <v>24.033050394191257</v>
      </c>
      <c r="G1791" s="2524">
        <f t="shared" si="141"/>
        <v>27.569559842869719</v>
      </c>
      <c r="H1791" s="2524">
        <f t="shared" si="142"/>
        <v>16.960031496834333</v>
      </c>
      <c r="I1791" s="2524">
        <f t="shared" si="143"/>
        <v>13.423522048155872</v>
      </c>
    </row>
    <row r="1792" spans="2:9">
      <c r="B1792" s="2251">
        <v>45483</v>
      </c>
      <c r="C1792">
        <v>27.4252</v>
      </c>
      <c r="D1792" s="2935"/>
      <c r="E1792" s="2523">
        <f t="shared" si="140"/>
        <v>20.496540945512795</v>
      </c>
      <c r="F1792" s="2261">
        <f t="shared" si="139"/>
        <v>24.033050394191257</v>
      </c>
      <c r="G1792" s="2524">
        <f t="shared" si="141"/>
        <v>27.569559842869719</v>
      </c>
      <c r="H1792" s="2524">
        <f t="shared" si="142"/>
        <v>16.960031496834333</v>
      </c>
      <c r="I1792" s="2524">
        <f t="shared" si="143"/>
        <v>13.423522048155872</v>
      </c>
    </row>
    <row r="1793" spans="2:9">
      <c r="B1793" s="2251">
        <v>45484</v>
      </c>
      <c r="C1793">
        <v>27.220500000000001</v>
      </c>
      <c r="D1793" s="2935"/>
      <c r="E1793" s="2523">
        <f t="shared" si="140"/>
        <v>20.496540945512795</v>
      </c>
      <c r="F1793" s="2261">
        <f t="shared" si="139"/>
        <v>24.033050394191257</v>
      </c>
      <c r="G1793" s="2524">
        <f t="shared" si="141"/>
        <v>27.569559842869719</v>
      </c>
      <c r="H1793" s="2524">
        <f t="shared" si="142"/>
        <v>16.960031496834333</v>
      </c>
      <c r="I1793" s="2524">
        <f t="shared" si="143"/>
        <v>13.423522048155872</v>
      </c>
    </row>
    <row r="1794" spans="2:9">
      <c r="B1794" s="2251">
        <v>45485</v>
      </c>
      <c r="C1794">
        <v>27.3842</v>
      </c>
      <c r="D1794" s="2935"/>
      <c r="E1794" s="2523">
        <f t="shared" si="140"/>
        <v>20.496540945512795</v>
      </c>
      <c r="F1794" s="2261">
        <f t="shared" si="139"/>
        <v>24.033050394191257</v>
      </c>
      <c r="G1794" s="2524">
        <f t="shared" si="141"/>
        <v>27.569559842869719</v>
      </c>
      <c r="H1794" s="2524">
        <f t="shared" si="142"/>
        <v>16.960031496834333</v>
      </c>
      <c r="I1794" s="2524">
        <f t="shared" si="143"/>
        <v>13.423522048155872</v>
      </c>
    </row>
    <row r="1795" spans="2:9">
      <c r="B1795" s="2251">
        <v>45488</v>
      </c>
      <c r="C1795">
        <v>27.159099999999999</v>
      </c>
      <c r="D1795" s="2935"/>
      <c r="E1795" s="2523">
        <f t="shared" si="140"/>
        <v>20.496540945512795</v>
      </c>
      <c r="F1795" s="2261">
        <f t="shared" si="139"/>
        <v>24.033050394191257</v>
      </c>
      <c r="G1795" s="2524">
        <f t="shared" si="141"/>
        <v>27.569559842869719</v>
      </c>
      <c r="H1795" s="2524">
        <f t="shared" si="142"/>
        <v>16.960031496834333</v>
      </c>
      <c r="I1795" s="2524">
        <f t="shared" si="143"/>
        <v>13.423522048155872</v>
      </c>
    </row>
    <row r="1796" spans="2:9">
      <c r="B1796" s="2251">
        <v>45489</v>
      </c>
      <c r="C1796">
        <v>27.4252</v>
      </c>
      <c r="D1796" s="2935"/>
      <c r="E1796" s="2523">
        <f t="shared" si="140"/>
        <v>20.496540945512795</v>
      </c>
      <c r="F1796" s="2261">
        <f t="shared" si="139"/>
        <v>24.033050394191257</v>
      </c>
      <c r="G1796" s="2524">
        <f t="shared" si="141"/>
        <v>27.569559842869719</v>
      </c>
      <c r="H1796" s="2524">
        <f t="shared" si="142"/>
        <v>16.960031496834333</v>
      </c>
      <c r="I1796" s="2524">
        <f t="shared" si="143"/>
        <v>13.423522048155872</v>
      </c>
    </row>
    <row r="1797" spans="2:9">
      <c r="B1797" s="2251">
        <v>45490</v>
      </c>
      <c r="C1797">
        <v>26.9954</v>
      </c>
      <c r="D1797" s="2935"/>
      <c r="E1797" s="2523">
        <f t="shared" si="140"/>
        <v>20.496540945512795</v>
      </c>
      <c r="F1797" s="2261">
        <f t="shared" si="139"/>
        <v>24.033050394191257</v>
      </c>
      <c r="G1797" s="2524">
        <f t="shared" si="141"/>
        <v>27.569559842869719</v>
      </c>
      <c r="H1797" s="2524">
        <f t="shared" si="142"/>
        <v>16.960031496834333</v>
      </c>
      <c r="I1797" s="2524">
        <f t="shared" si="143"/>
        <v>13.423522048155872</v>
      </c>
    </row>
    <row r="1798" spans="2:9">
      <c r="B1798" s="2251">
        <v>45491</v>
      </c>
      <c r="C1798">
        <v>26.1767</v>
      </c>
      <c r="D1798" s="2935"/>
      <c r="E1798" s="2523">
        <f t="shared" si="140"/>
        <v>20.496540945512795</v>
      </c>
      <c r="F1798" s="2261">
        <f t="shared" si="139"/>
        <v>24.033050394191257</v>
      </c>
      <c r="G1798" s="2524">
        <f t="shared" si="141"/>
        <v>27.569559842869719</v>
      </c>
      <c r="H1798" s="2524">
        <f t="shared" si="142"/>
        <v>16.960031496834333</v>
      </c>
      <c r="I1798" s="2524">
        <f t="shared" si="143"/>
        <v>13.423522048155872</v>
      </c>
    </row>
    <row r="1799" spans="2:9">
      <c r="B1799" s="2251">
        <v>45492</v>
      </c>
      <c r="C1799">
        <v>25.787800000000001</v>
      </c>
      <c r="D1799" s="2935"/>
      <c r="E1799" s="2523">
        <f t="shared" si="140"/>
        <v>20.496540945512795</v>
      </c>
      <c r="F1799" s="2261">
        <f t="shared" si="139"/>
        <v>24.033050394191257</v>
      </c>
      <c r="G1799" s="2524">
        <f t="shared" si="141"/>
        <v>27.569559842869719</v>
      </c>
      <c r="H1799" s="2524">
        <f t="shared" si="142"/>
        <v>16.960031496834333</v>
      </c>
      <c r="I1799" s="2524">
        <f t="shared" si="143"/>
        <v>13.423522048155872</v>
      </c>
    </row>
    <row r="1800" spans="2:9">
      <c r="B1800" s="2251">
        <v>45495</v>
      </c>
      <c r="C1800">
        <v>25.399000000000001</v>
      </c>
      <c r="D1800" s="2935"/>
      <c r="E1800" s="2523">
        <f t="shared" si="140"/>
        <v>20.496540945512795</v>
      </c>
      <c r="F1800" s="2261">
        <f t="shared" si="139"/>
        <v>24.033050394191257</v>
      </c>
      <c r="G1800" s="2524">
        <f t="shared" si="141"/>
        <v>27.569559842869719</v>
      </c>
      <c r="H1800" s="2524">
        <f t="shared" si="142"/>
        <v>16.960031496834333</v>
      </c>
      <c r="I1800" s="2524">
        <f t="shared" si="143"/>
        <v>13.423522048155872</v>
      </c>
    </row>
    <row r="1801" spans="2:9">
      <c r="B1801" s="2251">
        <v>45496</v>
      </c>
      <c r="C1801">
        <v>25.685500000000001</v>
      </c>
      <c r="D1801" s="2935"/>
      <c r="E1801" s="2523">
        <f t="shared" si="140"/>
        <v>20.496540945512795</v>
      </c>
      <c r="F1801" s="2261">
        <f t="shared" si="139"/>
        <v>24.033050394191257</v>
      </c>
      <c r="G1801" s="2524">
        <f t="shared" si="141"/>
        <v>27.569559842869719</v>
      </c>
      <c r="H1801" s="2524">
        <f t="shared" si="142"/>
        <v>16.960031496834333</v>
      </c>
      <c r="I1801" s="2524">
        <f t="shared" si="143"/>
        <v>13.423522048155872</v>
      </c>
    </row>
    <row r="1802" spans="2:9">
      <c r="B1802" s="2251">
        <v>45497</v>
      </c>
      <c r="C1802">
        <v>25.787800000000001</v>
      </c>
      <c r="D1802" s="2935"/>
      <c r="E1802" s="2523">
        <f t="shared" si="140"/>
        <v>20.496540945512795</v>
      </c>
      <c r="F1802" s="2261">
        <f t="shared" si="139"/>
        <v>24.033050394191257</v>
      </c>
      <c r="G1802" s="2524">
        <f t="shared" si="141"/>
        <v>27.569559842869719</v>
      </c>
      <c r="H1802" s="2524">
        <f t="shared" si="142"/>
        <v>16.960031496834333</v>
      </c>
      <c r="I1802" s="2524">
        <f t="shared" si="143"/>
        <v>13.423522048155872</v>
      </c>
    </row>
    <row r="1803" spans="2:9">
      <c r="B1803" s="2251">
        <v>45498</v>
      </c>
      <c r="C1803">
        <v>25.583200000000001</v>
      </c>
      <c r="D1803" s="2935"/>
      <c r="E1803" s="2523">
        <f t="shared" si="140"/>
        <v>20.496540945512795</v>
      </c>
      <c r="F1803" s="2261">
        <f t="shared" si="139"/>
        <v>24.033050394191257</v>
      </c>
      <c r="G1803" s="2524">
        <f t="shared" si="141"/>
        <v>27.569559842869719</v>
      </c>
      <c r="H1803" s="2524">
        <f t="shared" si="142"/>
        <v>16.960031496834333</v>
      </c>
      <c r="I1803" s="2524">
        <f t="shared" si="143"/>
        <v>13.423522048155872</v>
      </c>
    </row>
    <row r="1804" spans="2:9">
      <c r="B1804" s="2251">
        <v>45499</v>
      </c>
      <c r="C1804">
        <v>26.197199999999999</v>
      </c>
      <c r="D1804" s="2935"/>
      <c r="E1804" s="2523">
        <f t="shared" si="140"/>
        <v>20.496540945512795</v>
      </c>
      <c r="F1804" s="2261">
        <f t="shared" si="139"/>
        <v>24.033050394191257</v>
      </c>
      <c r="G1804" s="2524">
        <f t="shared" si="141"/>
        <v>27.569559842869719</v>
      </c>
      <c r="H1804" s="2524">
        <f t="shared" si="142"/>
        <v>16.960031496834333</v>
      </c>
      <c r="I1804" s="2524">
        <f t="shared" si="143"/>
        <v>13.423522048155872</v>
      </c>
    </row>
    <row r="1805" spans="2:9">
      <c r="B1805" s="2251">
        <v>45502</v>
      </c>
      <c r="C1805">
        <v>26.401800000000001</v>
      </c>
      <c r="D1805" s="2935"/>
      <c r="E1805" s="2523">
        <f t="shared" si="140"/>
        <v>20.496540945512795</v>
      </c>
      <c r="F1805" s="2261">
        <f t="shared" si="139"/>
        <v>24.033050394191257</v>
      </c>
      <c r="G1805" s="2524">
        <f t="shared" si="141"/>
        <v>27.569559842869719</v>
      </c>
      <c r="H1805" s="2524">
        <f t="shared" si="142"/>
        <v>16.960031496834333</v>
      </c>
      <c r="I1805" s="2524">
        <f t="shared" si="143"/>
        <v>13.423522048155872</v>
      </c>
    </row>
    <row r="1806" spans="2:9">
      <c r="B1806" s="2251">
        <v>45503</v>
      </c>
      <c r="C1806">
        <v>26.197199999999999</v>
      </c>
      <c r="D1806" s="2935"/>
      <c r="E1806" s="2523">
        <f t="shared" si="140"/>
        <v>20.496540945512795</v>
      </c>
      <c r="F1806" s="2261">
        <f t="shared" si="139"/>
        <v>24.033050394191257</v>
      </c>
      <c r="G1806" s="2524">
        <f t="shared" si="141"/>
        <v>27.569559842869719</v>
      </c>
      <c r="H1806" s="2524">
        <f t="shared" si="142"/>
        <v>16.960031496834333</v>
      </c>
      <c r="I1806" s="2524">
        <f t="shared" si="143"/>
        <v>13.423522048155872</v>
      </c>
    </row>
    <row r="1807" spans="2:9">
      <c r="B1807" s="2251">
        <v>45504</v>
      </c>
      <c r="C1807">
        <v>26.32</v>
      </c>
      <c r="D1807" s="2935"/>
      <c r="E1807" s="2523">
        <f t="shared" si="140"/>
        <v>20.496540945512795</v>
      </c>
      <c r="F1807" s="2261">
        <f t="shared" si="139"/>
        <v>24.033050394191257</v>
      </c>
      <c r="G1807" s="2524">
        <f t="shared" si="141"/>
        <v>27.569559842869719</v>
      </c>
      <c r="H1807" s="2524">
        <f t="shared" si="142"/>
        <v>16.960031496834333</v>
      </c>
      <c r="I1807" s="2524">
        <f t="shared" si="143"/>
        <v>13.423522048155872</v>
      </c>
    </row>
    <row r="1808" spans="2:9">
      <c r="B1808" s="2251">
        <v>45505</v>
      </c>
      <c r="C1808">
        <v>25.542200000000001</v>
      </c>
      <c r="D1808" s="2935"/>
      <c r="E1808" s="2523">
        <f t="shared" si="140"/>
        <v>20.496540945512795</v>
      </c>
      <c r="F1808" s="2261">
        <f t="shared" si="139"/>
        <v>24.033050394191257</v>
      </c>
      <c r="G1808" s="2524">
        <f t="shared" si="141"/>
        <v>27.569559842869719</v>
      </c>
      <c r="H1808" s="2524">
        <f t="shared" si="142"/>
        <v>16.960031496834333</v>
      </c>
      <c r="I1808" s="2524">
        <f t="shared" si="143"/>
        <v>13.423522048155872</v>
      </c>
    </row>
    <row r="1809" spans="2:9">
      <c r="B1809" s="2251">
        <v>45506</v>
      </c>
      <c r="C1809">
        <v>25.2148</v>
      </c>
      <c r="D1809" s="2935"/>
      <c r="E1809" s="2523">
        <f t="shared" si="140"/>
        <v>20.496540945512795</v>
      </c>
      <c r="F1809" s="2261">
        <f t="shared" si="139"/>
        <v>24.033050394191257</v>
      </c>
      <c r="G1809" s="2524">
        <f t="shared" si="141"/>
        <v>27.569559842869719</v>
      </c>
      <c r="H1809" s="2524">
        <f t="shared" si="142"/>
        <v>16.960031496834333</v>
      </c>
      <c r="I1809" s="2524">
        <f t="shared" si="143"/>
        <v>13.423522048155872</v>
      </c>
    </row>
    <row r="1810" spans="2:9">
      <c r="B1810" s="2251">
        <v>45509</v>
      </c>
      <c r="C1810">
        <v>24.273299999999999</v>
      </c>
      <c r="D1810" s="2935"/>
      <c r="E1810" s="2523">
        <f t="shared" si="140"/>
        <v>20.496540945512795</v>
      </c>
      <c r="F1810" s="2261">
        <f t="shared" si="139"/>
        <v>24.033050394191257</v>
      </c>
      <c r="G1810" s="2524">
        <f t="shared" si="141"/>
        <v>27.569559842869719</v>
      </c>
      <c r="H1810" s="2524">
        <f t="shared" si="142"/>
        <v>16.960031496834333</v>
      </c>
      <c r="I1810" s="2524">
        <f t="shared" si="143"/>
        <v>13.423522048155872</v>
      </c>
    </row>
    <row r="1811" spans="2:9">
      <c r="B1811" s="2251">
        <v>45510</v>
      </c>
      <c r="C1811">
        <v>24.723600000000001</v>
      </c>
      <c r="D1811" s="2935"/>
      <c r="E1811" s="2523">
        <f t="shared" si="140"/>
        <v>20.496540945512795</v>
      </c>
      <c r="F1811" s="2261">
        <f t="shared" si="139"/>
        <v>24.033050394191257</v>
      </c>
      <c r="G1811" s="2524">
        <f t="shared" si="141"/>
        <v>27.569559842869719</v>
      </c>
      <c r="H1811" s="2524">
        <f t="shared" si="142"/>
        <v>16.960031496834333</v>
      </c>
      <c r="I1811" s="2524">
        <f t="shared" si="143"/>
        <v>13.423522048155872</v>
      </c>
    </row>
    <row r="1812" spans="2:9">
      <c r="B1812" s="2251">
        <v>45511</v>
      </c>
      <c r="C1812">
        <v>24.969200000000001</v>
      </c>
      <c r="D1812" s="2935"/>
      <c r="E1812" s="2523">
        <f t="shared" si="140"/>
        <v>20.496540945512795</v>
      </c>
      <c r="F1812" s="2261">
        <f t="shared" si="139"/>
        <v>24.033050394191257</v>
      </c>
      <c r="G1812" s="2524">
        <f t="shared" si="141"/>
        <v>27.569559842869719</v>
      </c>
      <c r="H1812" s="2524">
        <f t="shared" si="142"/>
        <v>16.960031496834333</v>
      </c>
      <c r="I1812" s="2524">
        <f t="shared" si="143"/>
        <v>13.423522048155872</v>
      </c>
    </row>
    <row r="1813" spans="2:9">
      <c r="B1813" s="2251">
        <v>45512</v>
      </c>
      <c r="C1813">
        <v>24.846399999999999</v>
      </c>
      <c r="D1813" s="2935"/>
      <c r="E1813" s="2523">
        <f t="shared" si="140"/>
        <v>20.496540945512795</v>
      </c>
      <c r="F1813" s="2261">
        <f t="shared" si="139"/>
        <v>24.033050394191257</v>
      </c>
      <c r="G1813" s="2524">
        <f t="shared" si="141"/>
        <v>27.569559842869719</v>
      </c>
      <c r="H1813" s="2524">
        <f t="shared" si="142"/>
        <v>16.960031496834333</v>
      </c>
      <c r="I1813" s="2524">
        <f t="shared" si="143"/>
        <v>13.423522048155872</v>
      </c>
    </row>
    <row r="1814" spans="2:9">
      <c r="B1814" s="2251">
        <v>45513</v>
      </c>
      <c r="C1814">
        <v>25.972000000000001</v>
      </c>
      <c r="D1814" s="2935"/>
      <c r="E1814" s="2523">
        <f t="shared" si="140"/>
        <v>20.496540945512795</v>
      </c>
      <c r="F1814" s="2261">
        <f t="shared" si="139"/>
        <v>24.033050394191257</v>
      </c>
      <c r="G1814" s="2524">
        <f t="shared" si="141"/>
        <v>27.569559842869719</v>
      </c>
      <c r="H1814" s="2524">
        <f t="shared" si="142"/>
        <v>16.960031496834333</v>
      </c>
      <c r="I1814" s="2524">
        <f t="shared" si="143"/>
        <v>13.423522048155872</v>
      </c>
    </row>
    <row r="1815" spans="2:9">
      <c r="B1815" s="2251">
        <v>45516</v>
      </c>
      <c r="C1815">
        <v>26.6065</v>
      </c>
      <c r="D1815" s="2935"/>
      <c r="E1815" s="2523">
        <f t="shared" si="140"/>
        <v>20.496540945512795</v>
      </c>
      <c r="F1815" s="2261">
        <f t="shared" si="139"/>
        <v>24.033050394191257</v>
      </c>
      <c r="G1815" s="2524">
        <f t="shared" si="141"/>
        <v>27.569559842869719</v>
      </c>
      <c r="H1815" s="2524">
        <f t="shared" si="142"/>
        <v>16.960031496834333</v>
      </c>
      <c r="I1815" s="2524">
        <f t="shared" si="143"/>
        <v>13.423522048155872</v>
      </c>
    </row>
    <row r="1816" spans="2:9">
      <c r="B1816" s="2251">
        <v>45517</v>
      </c>
      <c r="C1816">
        <v>26.545100000000001</v>
      </c>
      <c r="D1816" s="2935"/>
      <c r="E1816" s="2523">
        <f t="shared" si="140"/>
        <v>20.496540945512795</v>
      </c>
      <c r="F1816" s="2261">
        <f t="shared" si="139"/>
        <v>24.033050394191257</v>
      </c>
      <c r="G1816" s="2524">
        <f t="shared" si="141"/>
        <v>27.569559842869719</v>
      </c>
      <c r="H1816" s="2524">
        <f t="shared" si="142"/>
        <v>16.960031496834333</v>
      </c>
      <c r="I1816" s="2524">
        <f t="shared" si="143"/>
        <v>13.423522048155872</v>
      </c>
    </row>
    <row r="1817" spans="2:9">
      <c r="B1817" s="2251">
        <v>45518</v>
      </c>
      <c r="C1817">
        <v>26.504200000000001</v>
      </c>
      <c r="D1817" s="2935"/>
      <c r="E1817" s="2523">
        <f t="shared" si="140"/>
        <v>20.496540945512795</v>
      </c>
      <c r="F1817" s="2261">
        <f t="shared" si="139"/>
        <v>24.033050394191257</v>
      </c>
      <c r="G1817" s="2524">
        <f t="shared" si="141"/>
        <v>27.569559842869719</v>
      </c>
      <c r="H1817" s="2524">
        <f t="shared" si="142"/>
        <v>16.960031496834333</v>
      </c>
      <c r="I1817" s="2524">
        <f t="shared" si="143"/>
        <v>13.423522048155872</v>
      </c>
    </row>
    <row r="1818" spans="2:9">
      <c r="B1818" s="2251">
        <v>45519</v>
      </c>
      <c r="C1818">
        <v>26.340399999999999</v>
      </c>
      <c r="D1818" s="2935"/>
      <c r="E1818" s="2523">
        <f t="shared" si="140"/>
        <v>20.496540945512795</v>
      </c>
      <c r="F1818" s="2261">
        <f t="shared" si="139"/>
        <v>24.033050394191257</v>
      </c>
      <c r="G1818" s="2524">
        <f t="shared" si="141"/>
        <v>27.569559842869719</v>
      </c>
      <c r="H1818" s="2524">
        <f t="shared" si="142"/>
        <v>16.960031496834333</v>
      </c>
      <c r="I1818" s="2524">
        <f t="shared" si="143"/>
        <v>13.423522048155872</v>
      </c>
    </row>
    <row r="1819" spans="2:9">
      <c r="B1819" s="2251">
        <v>45520</v>
      </c>
      <c r="C1819">
        <v>26.729299999999999</v>
      </c>
      <c r="D1819" s="2935"/>
      <c r="E1819" s="2523">
        <f t="shared" si="140"/>
        <v>20.496540945512795</v>
      </c>
      <c r="F1819" s="2261">
        <f t="shared" si="139"/>
        <v>24.033050394191257</v>
      </c>
      <c r="G1819" s="2524">
        <f t="shared" si="141"/>
        <v>27.569559842869719</v>
      </c>
      <c r="H1819" s="2524">
        <f t="shared" si="142"/>
        <v>16.960031496834333</v>
      </c>
      <c r="I1819" s="2524">
        <f t="shared" si="143"/>
        <v>13.423522048155872</v>
      </c>
    </row>
    <row r="1820" spans="2:9">
      <c r="B1820" s="2251">
        <v>45523</v>
      </c>
      <c r="C1820">
        <v>26.7088</v>
      </c>
      <c r="D1820" s="2935"/>
      <c r="E1820" s="2523">
        <f t="shared" si="140"/>
        <v>20.496540945512795</v>
      </c>
      <c r="F1820" s="2261">
        <f t="shared" si="139"/>
        <v>24.033050394191257</v>
      </c>
      <c r="G1820" s="2524">
        <f t="shared" si="141"/>
        <v>27.569559842869719</v>
      </c>
      <c r="H1820" s="2524">
        <f t="shared" si="142"/>
        <v>16.960031496834333</v>
      </c>
      <c r="I1820" s="2524">
        <f t="shared" si="143"/>
        <v>13.423522048155872</v>
      </c>
    </row>
    <row r="1821" spans="2:9">
      <c r="B1821" s="2251">
        <v>45524</v>
      </c>
      <c r="C1821">
        <v>26.913499999999999</v>
      </c>
      <c r="D1821" s="2935"/>
      <c r="E1821" s="2523">
        <f t="shared" si="140"/>
        <v>20.496540945512795</v>
      </c>
      <c r="F1821" s="2261">
        <f t="shared" si="139"/>
        <v>24.033050394191257</v>
      </c>
      <c r="G1821" s="2524">
        <f t="shared" si="141"/>
        <v>27.569559842869719</v>
      </c>
      <c r="H1821" s="2524">
        <f t="shared" si="142"/>
        <v>16.960031496834333</v>
      </c>
      <c r="I1821" s="2524">
        <f t="shared" si="143"/>
        <v>13.423522048155872</v>
      </c>
    </row>
    <row r="1822" spans="2:9">
      <c r="B1822" s="2251">
        <v>45525</v>
      </c>
      <c r="C1822">
        <v>27.322800000000001</v>
      </c>
      <c r="D1822" s="2935"/>
      <c r="E1822" s="2523">
        <f t="shared" si="140"/>
        <v>20.496540945512795</v>
      </c>
      <c r="F1822" s="2261">
        <f t="shared" si="139"/>
        <v>24.033050394191257</v>
      </c>
      <c r="G1822" s="2524">
        <f t="shared" si="141"/>
        <v>27.569559842869719</v>
      </c>
      <c r="H1822" s="2524">
        <f t="shared" si="142"/>
        <v>16.960031496834333</v>
      </c>
      <c r="I1822" s="2524">
        <f t="shared" si="143"/>
        <v>13.423522048155872</v>
      </c>
    </row>
    <row r="1823" spans="2:9">
      <c r="B1823" s="2251">
        <v>45526</v>
      </c>
      <c r="C1823">
        <v>27.3842</v>
      </c>
      <c r="D1823" s="2935"/>
      <c r="E1823" s="2523">
        <f t="shared" si="140"/>
        <v>20.496540945512795</v>
      </c>
      <c r="F1823" s="2261">
        <f t="shared" si="139"/>
        <v>24.033050394191257</v>
      </c>
      <c r="G1823" s="2524">
        <f t="shared" si="141"/>
        <v>27.569559842869719</v>
      </c>
      <c r="H1823" s="2524">
        <f t="shared" si="142"/>
        <v>16.960031496834333</v>
      </c>
      <c r="I1823" s="2524">
        <f t="shared" si="143"/>
        <v>13.423522048155872</v>
      </c>
    </row>
    <row r="1824" spans="2:9">
      <c r="B1824" s="2251">
        <v>45527</v>
      </c>
      <c r="C1824">
        <v>27.241</v>
      </c>
      <c r="D1824" s="2935"/>
      <c r="E1824" s="2523">
        <f t="shared" si="140"/>
        <v>20.496540945512795</v>
      </c>
      <c r="F1824" s="2261">
        <f t="shared" si="139"/>
        <v>24.033050394191257</v>
      </c>
      <c r="G1824" s="2524">
        <f t="shared" si="141"/>
        <v>27.569559842869719</v>
      </c>
      <c r="H1824" s="2524">
        <f t="shared" si="142"/>
        <v>16.960031496834333</v>
      </c>
      <c r="I1824" s="2524">
        <f t="shared" si="143"/>
        <v>13.423522048155872</v>
      </c>
    </row>
    <row r="1825" spans="2:9">
      <c r="B1825" s="2251">
        <v>45530</v>
      </c>
      <c r="C1825">
        <v>26.913499999999999</v>
      </c>
      <c r="D1825" s="2935"/>
      <c r="E1825" s="2523">
        <f t="shared" si="140"/>
        <v>20.496540945512795</v>
      </c>
      <c r="F1825" s="2261">
        <f t="shared" si="139"/>
        <v>24.033050394191257</v>
      </c>
      <c r="G1825" s="2524">
        <f t="shared" si="141"/>
        <v>27.569559842869719</v>
      </c>
      <c r="H1825" s="2524">
        <f t="shared" si="142"/>
        <v>16.960031496834333</v>
      </c>
      <c r="I1825" s="2524">
        <f t="shared" si="143"/>
        <v>13.423522048155872</v>
      </c>
    </row>
    <row r="1826" spans="2:9">
      <c r="B1826" s="2251">
        <v>45531</v>
      </c>
      <c r="C1826">
        <v>27.118200000000002</v>
      </c>
      <c r="D1826" s="2935"/>
      <c r="E1826" s="2523">
        <f t="shared" si="140"/>
        <v>20.496540945512795</v>
      </c>
      <c r="F1826" s="2261">
        <f t="shared" si="139"/>
        <v>24.033050394191257</v>
      </c>
      <c r="G1826" s="2524">
        <f t="shared" si="141"/>
        <v>27.569559842869719</v>
      </c>
      <c r="H1826" s="2524">
        <f t="shared" si="142"/>
        <v>16.960031496834333</v>
      </c>
      <c r="I1826" s="2524">
        <f t="shared" si="143"/>
        <v>13.423522048155872</v>
      </c>
    </row>
    <row r="1827" spans="2:9">
      <c r="B1827" s="2251">
        <v>45532</v>
      </c>
      <c r="C1827">
        <v>27.2819</v>
      </c>
      <c r="D1827" s="2935"/>
      <c r="E1827" s="2523">
        <f t="shared" si="140"/>
        <v>20.496540945512795</v>
      </c>
      <c r="F1827" s="2261">
        <f t="shared" si="139"/>
        <v>24.033050394191257</v>
      </c>
      <c r="G1827" s="2524">
        <f t="shared" si="141"/>
        <v>27.569559842869719</v>
      </c>
      <c r="H1827" s="2524">
        <f t="shared" si="142"/>
        <v>16.960031496834333</v>
      </c>
      <c r="I1827" s="2524">
        <f t="shared" si="143"/>
        <v>13.423522048155872</v>
      </c>
    </row>
    <row r="1828" spans="2:9">
      <c r="B1828" s="2251">
        <v>45533</v>
      </c>
      <c r="C1828">
        <v>27.363800000000001</v>
      </c>
      <c r="D1828" s="2935"/>
      <c r="E1828" s="2523">
        <f t="shared" si="140"/>
        <v>20.496540945512795</v>
      </c>
      <c r="F1828" s="2261">
        <f t="shared" si="139"/>
        <v>24.033050394191257</v>
      </c>
      <c r="G1828" s="2524">
        <f t="shared" si="141"/>
        <v>27.569559842869719</v>
      </c>
      <c r="H1828" s="2524">
        <f t="shared" si="142"/>
        <v>16.960031496834333</v>
      </c>
      <c r="I1828" s="2524">
        <f t="shared" si="143"/>
        <v>13.423522048155872</v>
      </c>
    </row>
    <row r="1829" spans="2:9">
      <c r="B1829" s="2251">
        <v>45534</v>
      </c>
      <c r="C1829">
        <v>27.588899999999999</v>
      </c>
      <c r="D1829" s="2935"/>
      <c r="E1829" s="2523">
        <f t="shared" si="140"/>
        <v>20.496540945512795</v>
      </c>
      <c r="F1829" s="2261">
        <f t="shared" si="139"/>
        <v>24.033050394191257</v>
      </c>
      <c r="G1829" s="2524">
        <f t="shared" si="141"/>
        <v>27.569559842869719</v>
      </c>
      <c r="H1829" s="2524">
        <f t="shared" si="142"/>
        <v>16.960031496834333</v>
      </c>
      <c r="I1829" s="2524">
        <f t="shared" si="143"/>
        <v>13.423522048155872</v>
      </c>
    </row>
    <row r="1830" spans="2:9">
      <c r="B1830" s="2251">
        <v>45539</v>
      </c>
      <c r="C1830">
        <v>27.220500000000001</v>
      </c>
      <c r="D1830" s="2935"/>
      <c r="E1830" s="2523">
        <f t="shared" si="140"/>
        <v>20.496540945512795</v>
      </c>
      <c r="F1830" s="2261">
        <f t="shared" si="139"/>
        <v>24.033050394191257</v>
      </c>
      <c r="G1830" s="2524">
        <f t="shared" si="141"/>
        <v>27.569559842869719</v>
      </c>
      <c r="H1830" s="2524">
        <f t="shared" si="142"/>
        <v>16.960031496834333</v>
      </c>
      <c r="I1830" s="2524">
        <f t="shared" si="143"/>
        <v>13.423522048155872</v>
      </c>
    </row>
    <row r="1831" spans="2:9">
      <c r="B1831" s="2251">
        <v>45540</v>
      </c>
      <c r="C1831">
        <v>26.729299999999999</v>
      </c>
      <c r="D1831" s="2935"/>
      <c r="E1831" s="2523">
        <f t="shared" si="140"/>
        <v>20.496540945512795</v>
      </c>
      <c r="F1831" s="2261">
        <f t="shared" si="139"/>
        <v>24.033050394191257</v>
      </c>
      <c r="G1831" s="2524">
        <f t="shared" si="141"/>
        <v>27.569559842869719</v>
      </c>
      <c r="H1831" s="2524">
        <f t="shared" si="142"/>
        <v>16.960031496834333</v>
      </c>
      <c r="I1831" s="2524">
        <f t="shared" si="143"/>
        <v>13.423522048155872</v>
      </c>
    </row>
    <row r="1832" spans="2:9">
      <c r="B1832" s="2251">
        <v>45541</v>
      </c>
      <c r="C1832">
        <v>27.036300000000001</v>
      </c>
      <c r="D1832" s="2935"/>
      <c r="E1832" s="2523">
        <f t="shared" si="140"/>
        <v>20.496540945512795</v>
      </c>
      <c r="F1832" s="2261">
        <f t="shared" si="139"/>
        <v>24.033050394191257</v>
      </c>
      <c r="G1832" s="2524">
        <f t="shared" si="141"/>
        <v>27.569559842869719</v>
      </c>
      <c r="H1832" s="2524">
        <f t="shared" si="142"/>
        <v>16.960031496834333</v>
      </c>
      <c r="I1832" s="2524">
        <f t="shared" si="143"/>
        <v>13.423522048155872</v>
      </c>
    </row>
    <row r="1833" spans="2:9">
      <c r="B1833" s="2251">
        <v>45544</v>
      </c>
      <c r="C1833">
        <v>26.872599999999998</v>
      </c>
      <c r="D1833" s="2935"/>
      <c r="E1833" s="2523">
        <f t="shared" si="140"/>
        <v>20.496540945512795</v>
      </c>
      <c r="F1833" s="2261">
        <f t="shared" si="139"/>
        <v>24.033050394191257</v>
      </c>
      <c r="G1833" s="2524">
        <f t="shared" si="141"/>
        <v>27.569559842869719</v>
      </c>
      <c r="H1833" s="2524">
        <f t="shared" si="142"/>
        <v>16.960031496834333</v>
      </c>
      <c r="I1833" s="2524">
        <f t="shared" si="143"/>
        <v>13.423522048155872</v>
      </c>
    </row>
    <row r="1834" spans="2:9">
      <c r="B1834" s="2251">
        <v>45545</v>
      </c>
      <c r="C1834">
        <v>26.6065</v>
      </c>
      <c r="D1834" s="2935"/>
      <c r="E1834" s="2523">
        <f t="shared" si="140"/>
        <v>20.496540945512795</v>
      </c>
      <c r="F1834" s="2261">
        <f t="shared" si="139"/>
        <v>24.033050394191257</v>
      </c>
      <c r="G1834" s="2524">
        <f t="shared" si="141"/>
        <v>27.569559842869719</v>
      </c>
      <c r="H1834" s="2524">
        <f t="shared" si="142"/>
        <v>16.960031496834333</v>
      </c>
      <c r="I1834" s="2524">
        <f t="shared" si="143"/>
        <v>13.423522048155872</v>
      </c>
    </row>
    <row r="1835" spans="2:9">
      <c r="B1835" s="2251">
        <v>45546</v>
      </c>
      <c r="C1835">
        <v>26.729299999999999</v>
      </c>
      <c r="D1835" s="2935"/>
      <c r="E1835" s="2523">
        <f t="shared" si="140"/>
        <v>20.496540945512795</v>
      </c>
      <c r="F1835" s="2261">
        <f t="shared" si="139"/>
        <v>24.033050394191257</v>
      </c>
      <c r="G1835" s="2524">
        <f t="shared" si="141"/>
        <v>27.569559842869719</v>
      </c>
      <c r="H1835" s="2524">
        <f t="shared" si="142"/>
        <v>16.960031496834333</v>
      </c>
      <c r="I1835" s="2524">
        <f t="shared" si="143"/>
        <v>13.423522048155872</v>
      </c>
    </row>
    <row r="1836" spans="2:9">
      <c r="B1836" s="2251">
        <v>45547</v>
      </c>
      <c r="C1836">
        <v>27.077200000000001</v>
      </c>
      <c r="D1836" s="2935"/>
      <c r="E1836" s="2523">
        <f t="shared" si="140"/>
        <v>20.496540945512795</v>
      </c>
      <c r="F1836" s="2261">
        <f t="shared" si="139"/>
        <v>24.033050394191257</v>
      </c>
      <c r="G1836" s="2524">
        <f t="shared" si="141"/>
        <v>27.569559842869719</v>
      </c>
      <c r="H1836" s="2524">
        <f t="shared" si="142"/>
        <v>16.960031496834333</v>
      </c>
      <c r="I1836" s="2524">
        <f t="shared" si="143"/>
        <v>13.423522048155872</v>
      </c>
    </row>
    <row r="1837" spans="2:9">
      <c r="B1837" s="2251">
        <v>45548</v>
      </c>
      <c r="C1837">
        <v>27.220500000000001</v>
      </c>
      <c r="D1837" s="2935"/>
      <c r="E1837" s="2523">
        <f t="shared" si="140"/>
        <v>20.496540945512795</v>
      </c>
      <c r="F1837" s="2261">
        <f t="shared" si="139"/>
        <v>24.033050394191257</v>
      </c>
      <c r="G1837" s="2524">
        <f t="shared" si="141"/>
        <v>27.569559842869719</v>
      </c>
      <c r="H1837" s="2524">
        <f t="shared" si="142"/>
        <v>16.960031496834333</v>
      </c>
      <c r="I1837" s="2524">
        <f t="shared" si="143"/>
        <v>13.423522048155872</v>
      </c>
    </row>
    <row r="1838" spans="2:9">
      <c r="B1838" s="2251">
        <v>45551</v>
      </c>
      <c r="C1838">
        <v>26.831600000000002</v>
      </c>
      <c r="D1838" s="2935"/>
      <c r="E1838" s="2523">
        <f t="shared" si="140"/>
        <v>20.496540945512795</v>
      </c>
      <c r="F1838" s="2261">
        <f t="shared" si="139"/>
        <v>24.033050394191257</v>
      </c>
      <c r="G1838" s="2524">
        <f t="shared" si="141"/>
        <v>27.569559842869719</v>
      </c>
      <c r="H1838" s="2524">
        <f t="shared" si="142"/>
        <v>16.960031496834333</v>
      </c>
      <c r="I1838" s="2524">
        <f t="shared" si="143"/>
        <v>13.423522048155872</v>
      </c>
    </row>
    <row r="1839" spans="2:9">
      <c r="B1839" s="2251">
        <v>45552</v>
      </c>
      <c r="C1839">
        <v>27.2</v>
      </c>
      <c r="D1839" s="2935"/>
      <c r="E1839" s="2523">
        <f t="shared" si="140"/>
        <v>20.496540945512795</v>
      </c>
      <c r="F1839" s="2261">
        <f t="shared" si="139"/>
        <v>24.033050394191257</v>
      </c>
      <c r="G1839" s="2524">
        <f t="shared" si="141"/>
        <v>27.569559842869719</v>
      </c>
      <c r="H1839" s="2524">
        <f t="shared" si="142"/>
        <v>16.960031496834333</v>
      </c>
      <c r="I1839" s="2524">
        <f t="shared" si="143"/>
        <v>13.423522048155872</v>
      </c>
    </row>
    <row r="1840" spans="2:9">
      <c r="B1840" s="2251">
        <v>45553</v>
      </c>
      <c r="C1840">
        <v>27.547999999999998</v>
      </c>
      <c r="D1840" s="2935"/>
      <c r="E1840" s="2523">
        <f t="shared" si="140"/>
        <v>20.496540945512795</v>
      </c>
      <c r="F1840" s="2261">
        <f t="shared" si="139"/>
        <v>24.033050394191257</v>
      </c>
      <c r="G1840" s="2524">
        <f t="shared" si="141"/>
        <v>27.569559842869719</v>
      </c>
      <c r="H1840" s="2524">
        <f t="shared" si="142"/>
        <v>16.960031496834333</v>
      </c>
      <c r="I1840" s="2524">
        <f t="shared" si="143"/>
        <v>13.423522048155872</v>
      </c>
    </row>
    <row r="1841" spans="2:9">
      <c r="B1841" s="2251">
        <v>45554</v>
      </c>
      <c r="C1841">
        <v>27.6708</v>
      </c>
      <c r="D1841" s="2935"/>
      <c r="E1841" s="2523">
        <f t="shared" si="140"/>
        <v>20.496540945512795</v>
      </c>
      <c r="F1841" s="2261">
        <f t="shared" si="139"/>
        <v>24.033050394191257</v>
      </c>
      <c r="G1841" s="2524">
        <f t="shared" si="141"/>
        <v>27.569559842869719</v>
      </c>
      <c r="H1841" s="2524">
        <f t="shared" si="142"/>
        <v>16.960031496834333</v>
      </c>
      <c r="I1841" s="2524">
        <f t="shared" si="143"/>
        <v>13.423522048155872</v>
      </c>
    </row>
    <row r="1842" spans="2:9">
      <c r="B1842" s="2251">
        <v>45555</v>
      </c>
      <c r="C1842">
        <v>27.691199999999998</v>
      </c>
      <c r="D1842" s="2935"/>
      <c r="E1842" s="2523">
        <f t="shared" si="140"/>
        <v>20.496540945512795</v>
      </c>
      <c r="F1842" s="2261">
        <f t="shared" si="139"/>
        <v>24.033050394191257</v>
      </c>
      <c r="G1842" s="2524">
        <f t="shared" si="141"/>
        <v>27.569559842869719</v>
      </c>
      <c r="H1842" s="2524">
        <f t="shared" si="142"/>
        <v>16.960031496834333</v>
      </c>
      <c r="I1842" s="2524">
        <f t="shared" si="143"/>
        <v>13.423522048155872</v>
      </c>
    </row>
    <row r="1843" spans="2:9">
      <c r="B1843" s="2251">
        <v>45558</v>
      </c>
      <c r="C1843">
        <v>27.4252</v>
      </c>
      <c r="D1843" s="2935"/>
      <c r="E1843" s="2523">
        <f t="shared" si="140"/>
        <v>20.496540945512795</v>
      </c>
      <c r="F1843" s="2261">
        <f t="shared" si="139"/>
        <v>24.033050394191257</v>
      </c>
      <c r="G1843" s="2524">
        <f t="shared" si="141"/>
        <v>27.569559842869719</v>
      </c>
      <c r="H1843" s="2524">
        <f t="shared" si="142"/>
        <v>16.960031496834333</v>
      </c>
      <c r="I1843" s="2524">
        <f t="shared" si="143"/>
        <v>13.423522048155872</v>
      </c>
    </row>
    <row r="1844" spans="2:9">
      <c r="B1844" s="2251">
        <v>45559</v>
      </c>
      <c r="C1844">
        <v>27.5275</v>
      </c>
      <c r="D1844" s="2935"/>
      <c r="E1844" s="2523">
        <f t="shared" si="140"/>
        <v>20.496540945512795</v>
      </c>
      <c r="F1844" s="2261">
        <f t="shared" si="139"/>
        <v>24.033050394191257</v>
      </c>
      <c r="G1844" s="2524">
        <f t="shared" si="141"/>
        <v>27.569559842869719</v>
      </c>
      <c r="H1844" s="2524">
        <f t="shared" si="142"/>
        <v>16.960031496834333</v>
      </c>
      <c r="I1844" s="2524">
        <f t="shared" si="143"/>
        <v>13.423522048155872</v>
      </c>
    </row>
    <row r="1845" spans="2:9">
      <c r="B1845" s="2251">
        <v>45560</v>
      </c>
      <c r="C1845">
        <v>27.588899999999999</v>
      </c>
      <c r="D1845" s="2935"/>
      <c r="E1845" s="2523">
        <f t="shared" si="140"/>
        <v>20.496540945512795</v>
      </c>
      <c r="F1845" s="2261">
        <f t="shared" si="139"/>
        <v>24.033050394191257</v>
      </c>
      <c r="G1845" s="2524">
        <f t="shared" si="141"/>
        <v>27.569559842869719</v>
      </c>
      <c r="H1845" s="2524">
        <f t="shared" si="142"/>
        <v>16.960031496834333</v>
      </c>
      <c r="I1845" s="2524">
        <f t="shared" si="143"/>
        <v>13.423522048155872</v>
      </c>
    </row>
    <row r="1846" spans="2:9">
      <c r="B1846" s="2251">
        <v>45561</v>
      </c>
      <c r="C1846">
        <v>27.486599999999999</v>
      </c>
      <c r="D1846" s="2935"/>
      <c r="E1846" s="2523">
        <f t="shared" si="140"/>
        <v>20.496540945512795</v>
      </c>
      <c r="F1846" s="2261">
        <f t="shared" si="139"/>
        <v>24.033050394191257</v>
      </c>
      <c r="G1846" s="2524">
        <f t="shared" si="141"/>
        <v>27.569559842869719</v>
      </c>
      <c r="H1846" s="2524">
        <f t="shared" si="142"/>
        <v>16.960031496834333</v>
      </c>
      <c r="I1846" s="2524">
        <f t="shared" si="143"/>
        <v>13.423522048155872</v>
      </c>
    </row>
    <row r="1847" spans="2:9">
      <c r="B1847" s="2251">
        <v>45562</v>
      </c>
      <c r="C1847">
        <v>27.466100000000001</v>
      </c>
      <c r="D1847" s="2935"/>
      <c r="E1847" s="2523">
        <f t="shared" si="140"/>
        <v>20.496540945512795</v>
      </c>
      <c r="F1847" s="2261">
        <f t="shared" si="139"/>
        <v>24.033050394191257</v>
      </c>
      <c r="G1847" s="2524">
        <f t="shared" si="141"/>
        <v>27.569559842869719</v>
      </c>
      <c r="H1847" s="2524">
        <f t="shared" si="142"/>
        <v>16.960031496834333</v>
      </c>
      <c r="I1847" s="2524">
        <f t="shared" si="143"/>
        <v>13.423522048155872</v>
      </c>
    </row>
    <row r="1848" spans="2:9">
      <c r="B1848" s="2251">
        <v>45565</v>
      </c>
      <c r="C1848">
        <v>26.243500000000001</v>
      </c>
      <c r="D1848" s="2935"/>
      <c r="E1848" s="2523">
        <f t="shared" si="140"/>
        <v>20.496540945512795</v>
      </c>
      <c r="F1848" s="2261">
        <f t="shared" si="139"/>
        <v>24.033050394191257</v>
      </c>
      <c r="G1848" s="2524">
        <f t="shared" si="141"/>
        <v>27.569559842869719</v>
      </c>
      <c r="H1848" s="2524">
        <f t="shared" si="142"/>
        <v>16.960031496834333</v>
      </c>
      <c r="I1848" s="2524">
        <f t="shared" si="143"/>
        <v>13.423522048155872</v>
      </c>
    </row>
    <row r="1849" spans="2:9">
      <c r="B1849" s="2251">
        <v>45566</v>
      </c>
      <c r="C1849">
        <v>26.5167</v>
      </c>
      <c r="D1849" s="2935"/>
      <c r="E1849" s="2523">
        <f t="shared" si="140"/>
        <v>20.496540945512795</v>
      </c>
      <c r="F1849" s="2261">
        <f t="shared" si="139"/>
        <v>24.033050394191257</v>
      </c>
      <c r="G1849" s="2524">
        <f t="shared" si="141"/>
        <v>27.569559842869719</v>
      </c>
      <c r="H1849" s="2524">
        <f t="shared" si="142"/>
        <v>16.960031496834333</v>
      </c>
      <c r="I1849" s="2524">
        <f t="shared" si="143"/>
        <v>13.423522048155872</v>
      </c>
    </row>
    <row r="1850" spans="2:9">
      <c r="B1850" s="2251">
        <v>45567</v>
      </c>
      <c r="C1850">
        <v>26.4191</v>
      </c>
      <c r="D1850" s="2935"/>
      <c r="E1850" s="2523">
        <f t="shared" si="140"/>
        <v>20.496540945512795</v>
      </c>
      <c r="F1850" s="2261">
        <f t="shared" si="139"/>
        <v>24.033050394191257</v>
      </c>
      <c r="G1850" s="2524">
        <f t="shared" si="141"/>
        <v>27.569559842869719</v>
      </c>
      <c r="H1850" s="2524">
        <f t="shared" si="142"/>
        <v>16.960031496834333</v>
      </c>
      <c r="I1850" s="2524">
        <f t="shared" si="143"/>
        <v>13.423522048155872</v>
      </c>
    </row>
    <row r="1851" spans="2:9">
      <c r="B1851" s="2251">
        <v>45568</v>
      </c>
      <c r="C1851">
        <v>26.146000000000001</v>
      </c>
      <c r="D1851" s="2935"/>
      <c r="E1851" s="2523">
        <f t="shared" si="140"/>
        <v>20.496540945512795</v>
      </c>
      <c r="F1851" s="2261">
        <f t="shared" si="139"/>
        <v>24.033050394191257</v>
      </c>
      <c r="G1851" s="2524">
        <f t="shared" si="141"/>
        <v>27.569559842869719</v>
      </c>
      <c r="H1851" s="2524">
        <f t="shared" si="142"/>
        <v>16.960031496834333</v>
      </c>
      <c r="I1851" s="2524">
        <f t="shared" si="143"/>
        <v>13.423522048155872</v>
      </c>
    </row>
    <row r="1852" spans="2:9">
      <c r="B1852" s="2251">
        <v>45569</v>
      </c>
      <c r="C1852">
        <v>26.165500000000002</v>
      </c>
      <c r="D1852" s="2935"/>
      <c r="E1852" s="2523">
        <f t="shared" si="140"/>
        <v>20.496540945512795</v>
      </c>
      <c r="F1852" s="2261">
        <f t="shared" si="139"/>
        <v>24.033050394191257</v>
      </c>
      <c r="G1852" s="2524">
        <f t="shared" si="141"/>
        <v>27.569559842869719</v>
      </c>
      <c r="H1852" s="2524">
        <f t="shared" si="142"/>
        <v>16.960031496834333</v>
      </c>
      <c r="I1852" s="2524">
        <f t="shared" si="143"/>
        <v>13.423522048155872</v>
      </c>
    </row>
    <row r="1853" spans="2:9">
      <c r="B1853" s="2251">
        <v>45572</v>
      </c>
      <c r="C1853">
        <v>26.165500000000002</v>
      </c>
      <c r="D1853" s="2935"/>
      <c r="E1853" s="2523">
        <f t="shared" si="140"/>
        <v>20.496540945512795</v>
      </c>
      <c r="F1853" s="2261">
        <f t="shared" ref="F1853:F1916" si="144">I$953+F$953</f>
        <v>24.033050394191257</v>
      </c>
      <c r="G1853" s="2524">
        <f t="shared" si="141"/>
        <v>27.569559842869719</v>
      </c>
      <c r="H1853" s="2524">
        <f t="shared" si="142"/>
        <v>16.960031496834333</v>
      </c>
      <c r="I1853" s="2524">
        <f t="shared" si="143"/>
        <v>13.423522048155872</v>
      </c>
    </row>
    <row r="1854" spans="2:9">
      <c r="B1854" s="2251">
        <v>45573</v>
      </c>
      <c r="C1854">
        <v>26.1069</v>
      </c>
      <c r="D1854" s="2935"/>
      <c r="E1854" s="2523">
        <f t="shared" ref="E1854:E1917" si="145">I$953</f>
        <v>20.496540945512795</v>
      </c>
      <c r="F1854" s="2261">
        <f t="shared" si="144"/>
        <v>24.033050394191257</v>
      </c>
      <c r="G1854" s="2524">
        <f t="shared" ref="G1854:G1917" si="146">I$953+F$953+F$953</f>
        <v>27.569559842869719</v>
      </c>
      <c r="H1854" s="2524">
        <f t="shared" ref="H1854:H1917" si="147">I$953-F$953</f>
        <v>16.960031496834333</v>
      </c>
      <c r="I1854" s="2524">
        <f t="shared" ref="I1854:I1917" si="148">I$953-F$953-F$953</f>
        <v>13.423522048155872</v>
      </c>
    </row>
    <row r="1855" spans="2:9">
      <c r="B1855" s="2251">
        <v>45574</v>
      </c>
      <c r="C1855">
        <v>26.4191</v>
      </c>
      <c r="D1855" s="2935"/>
      <c r="E1855" s="2523">
        <f t="shared" si="145"/>
        <v>20.496540945512795</v>
      </c>
      <c r="F1855" s="2261">
        <f t="shared" si="144"/>
        <v>24.033050394191257</v>
      </c>
      <c r="G1855" s="2524">
        <f t="shared" si="146"/>
        <v>27.569559842869719</v>
      </c>
      <c r="H1855" s="2524">
        <f t="shared" si="147"/>
        <v>16.960031496834333</v>
      </c>
      <c r="I1855" s="2524">
        <f t="shared" si="148"/>
        <v>13.423522048155872</v>
      </c>
    </row>
    <row r="1856" spans="2:9">
      <c r="B1856" s="2251">
        <v>45575</v>
      </c>
      <c r="C1856">
        <v>27.648399999999999</v>
      </c>
      <c r="D1856" s="2935"/>
      <c r="E1856" s="2523">
        <f t="shared" si="145"/>
        <v>20.496540945512795</v>
      </c>
      <c r="F1856" s="2261">
        <f t="shared" si="144"/>
        <v>24.033050394191257</v>
      </c>
      <c r="G1856" s="2524">
        <f t="shared" si="146"/>
        <v>27.569559842869719</v>
      </c>
      <c r="H1856" s="2524">
        <f t="shared" si="147"/>
        <v>16.960031496834333</v>
      </c>
      <c r="I1856" s="2524">
        <f t="shared" si="148"/>
        <v>13.423522048155872</v>
      </c>
    </row>
    <row r="1857" spans="2:9">
      <c r="B1857" s="2251">
        <v>45576</v>
      </c>
      <c r="C1857">
        <v>27.238600000000002</v>
      </c>
      <c r="D1857" s="2935"/>
      <c r="E1857" s="2523">
        <f t="shared" si="145"/>
        <v>20.496540945512795</v>
      </c>
      <c r="F1857" s="2261">
        <f t="shared" si="144"/>
        <v>24.033050394191257</v>
      </c>
      <c r="G1857" s="2524">
        <f t="shared" si="146"/>
        <v>27.569559842869719</v>
      </c>
      <c r="H1857" s="2524">
        <f t="shared" si="147"/>
        <v>16.960031496834333</v>
      </c>
      <c r="I1857" s="2524">
        <f t="shared" si="148"/>
        <v>13.423522048155872</v>
      </c>
    </row>
    <row r="1858" spans="2:9">
      <c r="B1858" s="2251">
        <v>45579</v>
      </c>
      <c r="C1858">
        <v>26.848400000000002</v>
      </c>
      <c r="D1858" s="2935"/>
      <c r="E1858" s="2523">
        <f t="shared" si="145"/>
        <v>20.496540945512795</v>
      </c>
      <c r="F1858" s="2261">
        <f t="shared" si="144"/>
        <v>24.033050394191257</v>
      </c>
      <c r="G1858" s="2524">
        <f t="shared" si="146"/>
        <v>27.569559842869719</v>
      </c>
      <c r="H1858" s="2524">
        <f t="shared" si="147"/>
        <v>16.960031496834333</v>
      </c>
      <c r="I1858" s="2524">
        <f t="shared" si="148"/>
        <v>13.423522048155872</v>
      </c>
    </row>
    <row r="1859" spans="2:9">
      <c r="B1859" s="2251">
        <v>45580</v>
      </c>
      <c r="C1859">
        <v>26.731300000000001</v>
      </c>
      <c r="D1859" s="2935"/>
      <c r="E1859" s="2523">
        <f t="shared" si="145"/>
        <v>20.496540945512795</v>
      </c>
      <c r="F1859" s="2261">
        <f t="shared" si="144"/>
        <v>24.033050394191257</v>
      </c>
      <c r="G1859" s="2524">
        <f t="shared" si="146"/>
        <v>27.569559842869719</v>
      </c>
      <c r="H1859" s="2524">
        <f t="shared" si="147"/>
        <v>16.960031496834333</v>
      </c>
      <c r="I1859" s="2524">
        <f t="shared" si="148"/>
        <v>13.423522048155872</v>
      </c>
    </row>
    <row r="1860" spans="2:9">
      <c r="B1860" s="2251">
        <v>45581</v>
      </c>
      <c r="C1860">
        <v>26.5947</v>
      </c>
      <c r="D1860" s="2935"/>
      <c r="E1860" s="2523">
        <f t="shared" si="145"/>
        <v>20.496540945512795</v>
      </c>
      <c r="F1860" s="2261">
        <f t="shared" si="144"/>
        <v>24.033050394191257</v>
      </c>
      <c r="G1860" s="2524">
        <f t="shared" si="146"/>
        <v>27.569559842869719</v>
      </c>
      <c r="H1860" s="2524">
        <f t="shared" si="147"/>
        <v>16.960031496834333</v>
      </c>
      <c r="I1860" s="2524">
        <f t="shared" si="148"/>
        <v>13.423522048155872</v>
      </c>
    </row>
    <row r="1861" spans="2:9">
      <c r="B1861" s="2251">
        <v>45582</v>
      </c>
      <c r="C1861">
        <v>26.731300000000001</v>
      </c>
      <c r="D1861" s="2935"/>
      <c r="E1861" s="2523">
        <f t="shared" si="145"/>
        <v>20.496540945512795</v>
      </c>
      <c r="F1861" s="2261">
        <f t="shared" si="144"/>
        <v>24.033050394191257</v>
      </c>
      <c r="G1861" s="2524">
        <f t="shared" si="146"/>
        <v>27.569559842869719</v>
      </c>
      <c r="H1861" s="2524">
        <f t="shared" si="147"/>
        <v>16.960031496834333</v>
      </c>
      <c r="I1861" s="2524">
        <f t="shared" si="148"/>
        <v>13.423522048155872</v>
      </c>
    </row>
    <row r="1862" spans="2:9">
      <c r="B1862" s="2251">
        <v>45583</v>
      </c>
      <c r="C1862">
        <v>26.731300000000001</v>
      </c>
      <c r="D1862" s="2935"/>
      <c r="E1862" s="2523">
        <f t="shared" si="145"/>
        <v>20.496540945512795</v>
      </c>
      <c r="F1862" s="2261">
        <f t="shared" si="144"/>
        <v>24.033050394191257</v>
      </c>
      <c r="G1862" s="2524">
        <f t="shared" si="146"/>
        <v>27.569559842869719</v>
      </c>
      <c r="H1862" s="2524">
        <f t="shared" si="147"/>
        <v>16.960031496834333</v>
      </c>
      <c r="I1862" s="2524">
        <f t="shared" si="148"/>
        <v>13.423522048155872</v>
      </c>
    </row>
    <row r="1863" spans="2:9">
      <c r="B1863" s="2251">
        <v>45586</v>
      </c>
      <c r="C1863">
        <v>26.438600000000001</v>
      </c>
      <c r="D1863" s="2935"/>
      <c r="E1863" s="2523">
        <f t="shared" si="145"/>
        <v>20.496540945512795</v>
      </c>
      <c r="F1863" s="2261">
        <f t="shared" si="144"/>
        <v>24.033050394191257</v>
      </c>
      <c r="G1863" s="2524">
        <f t="shared" si="146"/>
        <v>27.569559842869719</v>
      </c>
      <c r="H1863" s="2524">
        <f t="shared" si="147"/>
        <v>16.960031496834333</v>
      </c>
      <c r="I1863" s="2524">
        <f t="shared" si="148"/>
        <v>13.423522048155872</v>
      </c>
    </row>
    <row r="1864" spans="2:9">
      <c r="B1864" s="2251">
        <v>45587</v>
      </c>
      <c r="C1864">
        <v>25.970400000000001</v>
      </c>
      <c r="D1864" s="2935"/>
      <c r="E1864" s="2523">
        <f t="shared" si="145"/>
        <v>20.496540945512795</v>
      </c>
      <c r="F1864" s="2261">
        <f t="shared" si="144"/>
        <v>24.033050394191257</v>
      </c>
      <c r="G1864" s="2524">
        <f t="shared" si="146"/>
        <v>27.569559842869719</v>
      </c>
      <c r="H1864" s="2524">
        <f t="shared" si="147"/>
        <v>16.960031496834333</v>
      </c>
      <c r="I1864" s="2524">
        <f t="shared" si="148"/>
        <v>13.423522048155872</v>
      </c>
    </row>
    <row r="1865" spans="2:9">
      <c r="B1865" s="2251">
        <v>45588</v>
      </c>
      <c r="C1865">
        <v>26.184999999999999</v>
      </c>
      <c r="D1865" s="2935"/>
      <c r="E1865" s="2523">
        <f t="shared" si="145"/>
        <v>20.496540945512795</v>
      </c>
      <c r="F1865" s="2261">
        <f t="shared" si="144"/>
        <v>24.033050394191257</v>
      </c>
      <c r="G1865" s="2524">
        <f t="shared" si="146"/>
        <v>27.569559842869719</v>
      </c>
      <c r="H1865" s="2524">
        <f t="shared" si="147"/>
        <v>16.960031496834333</v>
      </c>
      <c r="I1865" s="2524">
        <f t="shared" si="148"/>
        <v>13.423522048155872</v>
      </c>
    </row>
    <row r="1866" spans="2:9">
      <c r="B1866" s="2251">
        <v>45589</v>
      </c>
      <c r="C1866">
        <v>26.204499999999999</v>
      </c>
      <c r="D1866" s="2935"/>
      <c r="E1866" s="2523">
        <f t="shared" si="145"/>
        <v>20.496540945512795</v>
      </c>
      <c r="F1866" s="2261">
        <f t="shared" si="144"/>
        <v>24.033050394191257</v>
      </c>
      <c r="G1866" s="2524">
        <f t="shared" si="146"/>
        <v>27.569559842869719</v>
      </c>
      <c r="H1866" s="2524">
        <f t="shared" si="147"/>
        <v>16.960031496834333</v>
      </c>
      <c r="I1866" s="2524">
        <f t="shared" si="148"/>
        <v>13.423522048155872</v>
      </c>
    </row>
    <row r="1867" spans="2:9">
      <c r="B1867" s="2251">
        <v>45590</v>
      </c>
      <c r="C1867">
        <v>26.146000000000001</v>
      </c>
      <c r="D1867" s="2935"/>
      <c r="E1867" s="2523">
        <f t="shared" si="145"/>
        <v>20.496540945512795</v>
      </c>
      <c r="F1867" s="2261">
        <f t="shared" si="144"/>
        <v>24.033050394191257</v>
      </c>
      <c r="G1867" s="2524">
        <f t="shared" si="146"/>
        <v>27.569559842869719</v>
      </c>
      <c r="H1867" s="2524">
        <f t="shared" si="147"/>
        <v>16.960031496834333</v>
      </c>
      <c r="I1867" s="2524">
        <f t="shared" si="148"/>
        <v>13.423522048155872</v>
      </c>
    </row>
    <row r="1868" spans="2:9">
      <c r="B1868" s="2251">
        <v>45593</v>
      </c>
      <c r="C1868">
        <v>26.3216</v>
      </c>
      <c r="D1868" s="2935"/>
      <c r="E1868" s="2523">
        <f t="shared" si="145"/>
        <v>20.496540945512795</v>
      </c>
      <c r="F1868" s="2261">
        <f t="shared" si="144"/>
        <v>24.033050394191257</v>
      </c>
      <c r="G1868" s="2524">
        <f t="shared" si="146"/>
        <v>27.569559842869719</v>
      </c>
      <c r="H1868" s="2524">
        <f t="shared" si="147"/>
        <v>16.960031496834333</v>
      </c>
      <c r="I1868" s="2524">
        <f t="shared" si="148"/>
        <v>13.423522048155872</v>
      </c>
    </row>
    <row r="1869" spans="2:9">
      <c r="B1869" s="2251">
        <v>45594</v>
      </c>
      <c r="C1869">
        <v>26.4191</v>
      </c>
      <c r="D1869" s="2935"/>
      <c r="E1869" s="2523">
        <f t="shared" si="145"/>
        <v>20.496540945512795</v>
      </c>
      <c r="F1869" s="2261">
        <f t="shared" si="144"/>
        <v>24.033050394191257</v>
      </c>
      <c r="G1869" s="2524">
        <f t="shared" si="146"/>
        <v>27.569559842869719</v>
      </c>
      <c r="H1869" s="2524">
        <f t="shared" si="147"/>
        <v>16.960031496834333</v>
      </c>
      <c r="I1869" s="2524">
        <f t="shared" si="148"/>
        <v>13.423522048155872</v>
      </c>
    </row>
    <row r="1870" spans="2:9">
      <c r="B1870" s="2251">
        <v>45595</v>
      </c>
      <c r="C1870">
        <v>26.5167</v>
      </c>
      <c r="D1870" s="2935"/>
      <c r="E1870" s="2523">
        <f t="shared" si="145"/>
        <v>20.496540945512795</v>
      </c>
      <c r="F1870" s="2261">
        <f t="shared" si="144"/>
        <v>24.033050394191257</v>
      </c>
      <c r="G1870" s="2524">
        <f t="shared" si="146"/>
        <v>27.569559842869719</v>
      </c>
      <c r="H1870" s="2524">
        <f t="shared" si="147"/>
        <v>16.960031496834333</v>
      </c>
      <c r="I1870" s="2524">
        <f t="shared" si="148"/>
        <v>13.423522048155872</v>
      </c>
    </row>
    <row r="1871" spans="2:9">
      <c r="B1871" s="2251">
        <v>45596</v>
      </c>
      <c r="C1871">
        <v>26.5167</v>
      </c>
      <c r="D1871" s="2935"/>
      <c r="E1871" s="2523">
        <f t="shared" si="145"/>
        <v>20.496540945512795</v>
      </c>
      <c r="F1871" s="2261">
        <f t="shared" si="144"/>
        <v>24.033050394191257</v>
      </c>
      <c r="G1871" s="2524">
        <f t="shared" si="146"/>
        <v>27.569559842869719</v>
      </c>
      <c r="H1871" s="2524">
        <f t="shared" si="147"/>
        <v>16.960031496834333</v>
      </c>
      <c r="I1871" s="2524">
        <f t="shared" si="148"/>
        <v>13.423522048155872</v>
      </c>
    </row>
    <row r="1872" spans="2:9">
      <c r="B1872" s="2251">
        <v>45597</v>
      </c>
      <c r="C1872">
        <v>26.263000000000002</v>
      </c>
      <c r="D1872" s="2935"/>
      <c r="E1872" s="2523">
        <f t="shared" si="145"/>
        <v>20.496540945512795</v>
      </c>
      <c r="F1872" s="2261">
        <f t="shared" si="144"/>
        <v>24.033050394191257</v>
      </c>
      <c r="G1872" s="2524">
        <f t="shared" si="146"/>
        <v>27.569559842869719</v>
      </c>
      <c r="H1872" s="2524">
        <f t="shared" si="147"/>
        <v>16.960031496834333</v>
      </c>
      <c r="I1872" s="2524">
        <f t="shared" si="148"/>
        <v>13.423522048155872</v>
      </c>
    </row>
    <row r="1873" spans="2:9">
      <c r="B1873" s="2251">
        <v>45600</v>
      </c>
      <c r="C1873">
        <v>25.911799999999999</v>
      </c>
      <c r="D1873" s="2935"/>
      <c r="E1873" s="2523">
        <f t="shared" si="145"/>
        <v>20.496540945512795</v>
      </c>
      <c r="F1873" s="2261">
        <f t="shared" si="144"/>
        <v>24.033050394191257</v>
      </c>
      <c r="G1873" s="2524">
        <f t="shared" si="146"/>
        <v>27.569559842869719</v>
      </c>
      <c r="H1873" s="2524">
        <f t="shared" si="147"/>
        <v>16.960031496834333</v>
      </c>
      <c r="I1873" s="2524">
        <f t="shared" si="148"/>
        <v>13.423522048155872</v>
      </c>
    </row>
    <row r="1874" spans="2:9">
      <c r="B1874" s="2251">
        <v>45601</v>
      </c>
      <c r="C1874">
        <v>25.872800000000002</v>
      </c>
      <c r="D1874" s="2935"/>
      <c r="E1874" s="2523">
        <f t="shared" si="145"/>
        <v>20.496540945512795</v>
      </c>
      <c r="F1874" s="2261">
        <f t="shared" si="144"/>
        <v>24.033050394191257</v>
      </c>
      <c r="G1874" s="2524">
        <f t="shared" si="146"/>
        <v>27.569559842869719</v>
      </c>
      <c r="H1874" s="2524">
        <f t="shared" si="147"/>
        <v>16.960031496834333</v>
      </c>
      <c r="I1874" s="2524">
        <f t="shared" si="148"/>
        <v>13.423522048155872</v>
      </c>
    </row>
    <row r="1875" spans="2:9">
      <c r="B1875" s="2251">
        <v>45602</v>
      </c>
      <c r="C1875">
        <v>26.263000000000002</v>
      </c>
      <c r="D1875" s="2935"/>
      <c r="E1875" s="2523">
        <f t="shared" si="145"/>
        <v>20.496540945512795</v>
      </c>
      <c r="F1875" s="2261">
        <f t="shared" si="144"/>
        <v>24.033050394191257</v>
      </c>
      <c r="G1875" s="2524">
        <f t="shared" si="146"/>
        <v>27.569559842869719</v>
      </c>
      <c r="H1875" s="2524">
        <f t="shared" si="147"/>
        <v>16.960031496834333</v>
      </c>
      <c r="I1875" s="2524">
        <f t="shared" si="148"/>
        <v>13.423522048155872</v>
      </c>
    </row>
    <row r="1876" spans="2:9">
      <c r="B1876" s="2251">
        <v>45603</v>
      </c>
      <c r="C1876">
        <v>26.360600000000002</v>
      </c>
      <c r="D1876" s="2935"/>
      <c r="E1876" s="2523">
        <f t="shared" si="145"/>
        <v>20.496540945512795</v>
      </c>
      <c r="F1876" s="2261">
        <f t="shared" si="144"/>
        <v>24.033050394191257</v>
      </c>
      <c r="G1876" s="2524">
        <f t="shared" si="146"/>
        <v>27.569559842869719</v>
      </c>
      <c r="H1876" s="2524">
        <f t="shared" si="147"/>
        <v>16.960031496834333</v>
      </c>
      <c r="I1876" s="2524">
        <f t="shared" si="148"/>
        <v>13.423522048155872</v>
      </c>
    </row>
    <row r="1877" spans="2:9">
      <c r="B1877" s="2251">
        <v>45604</v>
      </c>
      <c r="C1877">
        <v>26.497199999999999</v>
      </c>
      <c r="D1877" s="2935"/>
      <c r="E1877" s="2523">
        <f t="shared" si="145"/>
        <v>20.496540945512795</v>
      </c>
      <c r="F1877" s="2261">
        <f t="shared" si="144"/>
        <v>24.033050394191257</v>
      </c>
      <c r="G1877" s="2524">
        <f t="shared" si="146"/>
        <v>27.569559842869719</v>
      </c>
      <c r="H1877" s="2524">
        <f t="shared" si="147"/>
        <v>16.960031496834333</v>
      </c>
      <c r="I1877" s="2524">
        <f t="shared" si="148"/>
        <v>13.423522048155872</v>
      </c>
    </row>
    <row r="1878" spans="2:9">
      <c r="B1878" s="2251">
        <v>45607</v>
      </c>
      <c r="C1878">
        <v>26.984999999999999</v>
      </c>
      <c r="D1878" s="2935"/>
      <c r="E1878" s="2523">
        <f t="shared" si="145"/>
        <v>20.496540945512795</v>
      </c>
      <c r="F1878" s="2261">
        <f t="shared" si="144"/>
        <v>24.033050394191257</v>
      </c>
      <c r="G1878" s="2524">
        <f t="shared" si="146"/>
        <v>27.569559842869719</v>
      </c>
      <c r="H1878" s="2524">
        <f t="shared" si="147"/>
        <v>16.960031496834333</v>
      </c>
      <c r="I1878" s="2524">
        <f t="shared" si="148"/>
        <v>13.423522048155872</v>
      </c>
    </row>
    <row r="1879" spans="2:9">
      <c r="B1879" s="2251">
        <v>45608</v>
      </c>
      <c r="C1879">
        <v>26.692299999999999</v>
      </c>
      <c r="D1879" s="2935"/>
      <c r="E1879" s="2523">
        <f t="shared" si="145"/>
        <v>20.496540945512795</v>
      </c>
      <c r="F1879" s="2261">
        <f t="shared" si="144"/>
        <v>24.033050394191257</v>
      </c>
      <c r="G1879" s="2524">
        <f t="shared" si="146"/>
        <v>27.569559842869719</v>
      </c>
      <c r="H1879" s="2524">
        <f t="shared" si="147"/>
        <v>16.960031496834333</v>
      </c>
      <c r="I1879" s="2524">
        <f t="shared" si="148"/>
        <v>13.423522048155872</v>
      </c>
    </row>
    <row r="1880" spans="2:9">
      <c r="B1880" s="2251">
        <v>45609</v>
      </c>
      <c r="C1880">
        <v>26.8874</v>
      </c>
      <c r="D1880" s="2935"/>
      <c r="E1880" s="2523">
        <f t="shared" si="145"/>
        <v>20.496540945512795</v>
      </c>
      <c r="F1880" s="2261">
        <f t="shared" si="144"/>
        <v>24.033050394191257</v>
      </c>
      <c r="G1880" s="2524">
        <f t="shared" si="146"/>
        <v>27.569559842869719</v>
      </c>
      <c r="H1880" s="2524">
        <f t="shared" si="147"/>
        <v>16.960031496834333</v>
      </c>
      <c r="I1880" s="2524">
        <f t="shared" si="148"/>
        <v>13.423522048155872</v>
      </c>
    </row>
    <row r="1881" spans="2:9">
      <c r="B1881" s="2251">
        <v>45610</v>
      </c>
      <c r="C1881">
        <v>26.536200000000001</v>
      </c>
      <c r="D1881" s="2935"/>
      <c r="E1881" s="2523">
        <f t="shared" si="145"/>
        <v>20.496540945512795</v>
      </c>
      <c r="F1881" s="2261">
        <f t="shared" si="144"/>
        <v>24.033050394191257</v>
      </c>
      <c r="G1881" s="2524">
        <f t="shared" si="146"/>
        <v>27.569559842869719</v>
      </c>
      <c r="H1881" s="2524">
        <f t="shared" si="147"/>
        <v>16.960031496834333</v>
      </c>
      <c r="I1881" s="2524">
        <f t="shared" si="148"/>
        <v>13.423522048155872</v>
      </c>
    </row>
    <row r="1882" spans="2:9">
      <c r="B1882" s="2251">
        <v>45611</v>
      </c>
      <c r="C1882">
        <v>26.1265</v>
      </c>
      <c r="D1882" s="2935"/>
      <c r="E1882" s="2523">
        <f t="shared" si="145"/>
        <v>20.496540945512795</v>
      </c>
      <c r="F1882" s="2261">
        <f t="shared" si="144"/>
        <v>24.033050394191257</v>
      </c>
      <c r="G1882" s="2524">
        <f t="shared" si="146"/>
        <v>27.569559842869719</v>
      </c>
      <c r="H1882" s="2524">
        <f t="shared" si="147"/>
        <v>16.960031496834333</v>
      </c>
      <c r="I1882" s="2524">
        <f t="shared" si="148"/>
        <v>13.423522048155872</v>
      </c>
    </row>
    <row r="1883" spans="2:9">
      <c r="B1883" s="2251">
        <v>45614</v>
      </c>
      <c r="C1883">
        <v>26.146000000000001</v>
      </c>
      <c r="D1883" s="2935"/>
      <c r="E1883" s="2523">
        <f t="shared" si="145"/>
        <v>20.496540945512795</v>
      </c>
      <c r="F1883" s="2261">
        <f t="shared" si="144"/>
        <v>24.033050394191257</v>
      </c>
      <c r="G1883" s="2524">
        <f t="shared" si="146"/>
        <v>27.569559842869719</v>
      </c>
      <c r="H1883" s="2524">
        <f t="shared" si="147"/>
        <v>16.960031496834333</v>
      </c>
      <c r="I1883" s="2524">
        <f t="shared" si="148"/>
        <v>13.423522048155872</v>
      </c>
    </row>
    <row r="1884" spans="2:9">
      <c r="B1884" s="2251">
        <v>45615</v>
      </c>
      <c r="C1884">
        <v>25.365500000000001</v>
      </c>
      <c r="D1884" s="2935"/>
      <c r="E1884" s="2523">
        <f t="shared" si="145"/>
        <v>20.496540945512795</v>
      </c>
      <c r="F1884" s="2261">
        <f t="shared" si="144"/>
        <v>24.033050394191257</v>
      </c>
      <c r="G1884" s="2524">
        <f t="shared" si="146"/>
        <v>27.569559842869719</v>
      </c>
      <c r="H1884" s="2524">
        <f t="shared" si="147"/>
        <v>16.960031496834333</v>
      </c>
      <c r="I1884" s="2524">
        <f t="shared" si="148"/>
        <v>13.423522048155872</v>
      </c>
    </row>
    <row r="1885" spans="2:9">
      <c r="B1885" s="2251">
        <v>45616</v>
      </c>
      <c r="C1885">
        <v>25.8338</v>
      </c>
      <c r="D1885" s="2935"/>
      <c r="E1885" s="2523">
        <f t="shared" si="145"/>
        <v>20.496540945512795</v>
      </c>
      <c r="F1885" s="2261">
        <f t="shared" si="144"/>
        <v>24.033050394191257</v>
      </c>
      <c r="G1885" s="2524">
        <f t="shared" si="146"/>
        <v>27.569559842869719</v>
      </c>
      <c r="H1885" s="2524">
        <f t="shared" si="147"/>
        <v>16.960031496834333</v>
      </c>
      <c r="I1885" s="2524">
        <f t="shared" si="148"/>
        <v>13.423522048155872</v>
      </c>
    </row>
    <row r="1886" spans="2:9">
      <c r="B1886" s="2251">
        <v>45617</v>
      </c>
      <c r="C1886">
        <v>25.950800000000001</v>
      </c>
      <c r="D1886" s="2935"/>
      <c r="E1886" s="2523">
        <f t="shared" si="145"/>
        <v>20.496540945512795</v>
      </c>
      <c r="F1886" s="2261">
        <f t="shared" si="144"/>
        <v>24.033050394191257</v>
      </c>
      <c r="G1886" s="2524">
        <f t="shared" si="146"/>
        <v>27.569559842869719</v>
      </c>
      <c r="H1886" s="2524">
        <f t="shared" si="147"/>
        <v>16.960031496834333</v>
      </c>
      <c r="I1886" s="2524">
        <f t="shared" si="148"/>
        <v>13.423522048155872</v>
      </c>
    </row>
    <row r="1887" spans="2:9">
      <c r="B1887" s="2251">
        <v>45618</v>
      </c>
      <c r="C1887">
        <v>26.1265</v>
      </c>
      <c r="D1887" s="2935"/>
      <c r="E1887" s="2523">
        <f t="shared" si="145"/>
        <v>20.496540945512795</v>
      </c>
      <c r="F1887" s="2261">
        <f t="shared" si="144"/>
        <v>24.033050394191257</v>
      </c>
      <c r="G1887" s="2524">
        <f t="shared" si="146"/>
        <v>27.569559842869719</v>
      </c>
      <c r="H1887" s="2524">
        <f t="shared" si="147"/>
        <v>16.960031496834333</v>
      </c>
      <c r="I1887" s="2524">
        <f t="shared" si="148"/>
        <v>13.423522048155872</v>
      </c>
    </row>
    <row r="1888" spans="2:9">
      <c r="B1888" s="2251">
        <v>45621</v>
      </c>
      <c r="C1888">
        <v>26.1265</v>
      </c>
      <c r="D1888" s="2935"/>
      <c r="E1888" s="2523">
        <f t="shared" si="145"/>
        <v>20.496540945512795</v>
      </c>
      <c r="F1888" s="2261">
        <f t="shared" si="144"/>
        <v>24.033050394191257</v>
      </c>
      <c r="G1888" s="2524">
        <f t="shared" si="146"/>
        <v>27.569559842869719</v>
      </c>
      <c r="H1888" s="2524">
        <f t="shared" si="147"/>
        <v>16.960031496834333</v>
      </c>
      <c r="I1888" s="2524">
        <f t="shared" si="148"/>
        <v>13.423522048155872</v>
      </c>
    </row>
    <row r="1889" spans="2:9">
      <c r="B1889" s="2251">
        <v>45622</v>
      </c>
      <c r="C1889">
        <v>26.380099999999999</v>
      </c>
      <c r="D1889" s="2935"/>
      <c r="E1889" s="2523">
        <f t="shared" si="145"/>
        <v>20.496540945512795</v>
      </c>
      <c r="F1889" s="2261">
        <f t="shared" si="144"/>
        <v>24.033050394191257</v>
      </c>
      <c r="G1889" s="2524">
        <f t="shared" si="146"/>
        <v>27.569559842869719</v>
      </c>
      <c r="H1889" s="2524">
        <f t="shared" si="147"/>
        <v>16.960031496834333</v>
      </c>
      <c r="I1889" s="2524">
        <f t="shared" si="148"/>
        <v>13.423522048155872</v>
      </c>
    </row>
    <row r="1890" spans="2:9">
      <c r="B1890" s="2251">
        <v>45623</v>
      </c>
      <c r="C1890">
        <v>27.102</v>
      </c>
      <c r="D1890" s="2935"/>
      <c r="E1890" s="2523">
        <f t="shared" si="145"/>
        <v>20.496540945512795</v>
      </c>
      <c r="F1890" s="2261">
        <f t="shared" si="144"/>
        <v>24.033050394191257</v>
      </c>
      <c r="G1890" s="2524">
        <f t="shared" si="146"/>
        <v>27.569559842869719</v>
      </c>
      <c r="H1890" s="2524">
        <f t="shared" si="147"/>
        <v>16.960031496834333</v>
      </c>
      <c r="I1890" s="2524">
        <f t="shared" si="148"/>
        <v>13.423522048155872</v>
      </c>
    </row>
    <row r="1891" spans="2:9">
      <c r="B1891" s="2251">
        <v>45624</v>
      </c>
      <c r="C1891">
        <v>27.1996</v>
      </c>
      <c r="D1891" s="2935"/>
      <c r="E1891" s="2523">
        <f t="shared" si="145"/>
        <v>20.496540945512795</v>
      </c>
      <c r="F1891" s="2261">
        <f t="shared" si="144"/>
        <v>24.033050394191257</v>
      </c>
      <c r="G1891" s="2524">
        <f t="shared" si="146"/>
        <v>27.569559842869719</v>
      </c>
      <c r="H1891" s="2524">
        <f t="shared" si="147"/>
        <v>16.960031496834333</v>
      </c>
      <c r="I1891" s="2524">
        <f t="shared" si="148"/>
        <v>13.423522048155872</v>
      </c>
    </row>
    <row r="1892" spans="2:9">
      <c r="B1892" s="2251">
        <v>45625</v>
      </c>
      <c r="C1892">
        <v>28.1557</v>
      </c>
      <c r="D1892" s="2935"/>
      <c r="E1892" s="2523">
        <f t="shared" si="145"/>
        <v>20.496540945512795</v>
      </c>
      <c r="F1892" s="2261">
        <f t="shared" si="144"/>
        <v>24.033050394191257</v>
      </c>
      <c r="G1892" s="2524">
        <f t="shared" si="146"/>
        <v>27.569559842869719</v>
      </c>
      <c r="H1892" s="2524">
        <f t="shared" si="147"/>
        <v>16.960031496834333</v>
      </c>
      <c r="I1892" s="2524">
        <f t="shared" si="148"/>
        <v>13.423522048155872</v>
      </c>
    </row>
    <row r="1893" spans="2:9">
      <c r="B1893" s="2251">
        <v>45628</v>
      </c>
      <c r="C1893">
        <v>27.745899999999999</v>
      </c>
      <c r="D1893" s="2935"/>
      <c r="E1893" s="2523">
        <f t="shared" si="145"/>
        <v>20.496540945512795</v>
      </c>
      <c r="F1893" s="2261">
        <f t="shared" si="144"/>
        <v>24.033050394191257</v>
      </c>
      <c r="G1893" s="2524">
        <f t="shared" si="146"/>
        <v>27.569559842869719</v>
      </c>
      <c r="H1893" s="2524">
        <f t="shared" si="147"/>
        <v>16.960031496834333</v>
      </c>
      <c r="I1893" s="2524">
        <f t="shared" si="148"/>
        <v>13.423522048155872</v>
      </c>
    </row>
    <row r="1894" spans="2:9">
      <c r="B1894" s="2251">
        <v>45629</v>
      </c>
      <c r="C1894">
        <v>28.292300000000001</v>
      </c>
      <c r="D1894" s="2935"/>
      <c r="E1894" s="2523">
        <f t="shared" si="145"/>
        <v>20.496540945512795</v>
      </c>
      <c r="F1894" s="2261">
        <f t="shared" si="144"/>
        <v>24.033050394191257</v>
      </c>
      <c r="G1894" s="2524">
        <f t="shared" si="146"/>
        <v>27.569559842869719</v>
      </c>
      <c r="H1894" s="2524">
        <f t="shared" si="147"/>
        <v>16.960031496834333</v>
      </c>
      <c r="I1894" s="2524">
        <f t="shared" si="148"/>
        <v>13.423522048155872</v>
      </c>
    </row>
    <row r="1895" spans="2:9">
      <c r="B1895" s="2251">
        <v>45630</v>
      </c>
      <c r="C1895">
        <v>27.999600000000001</v>
      </c>
      <c r="D1895" s="2935"/>
      <c r="E1895" s="2523">
        <f t="shared" si="145"/>
        <v>20.496540945512795</v>
      </c>
      <c r="F1895" s="2261">
        <f t="shared" si="144"/>
        <v>24.033050394191257</v>
      </c>
      <c r="G1895" s="2524">
        <f t="shared" si="146"/>
        <v>27.569559842869719</v>
      </c>
      <c r="H1895" s="2524">
        <f t="shared" si="147"/>
        <v>16.960031496834333</v>
      </c>
      <c r="I1895" s="2524">
        <f t="shared" si="148"/>
        <v>13.423522048155872</v>
      </c>
    </row>
    <row r="1896" spans="2:9">
      <c r="B1896" s="2251">
        <v>45631</v>
      </c>
      <c r="C1896">
        <v>28.975200000000001</v>
      </c>
      <c r="D1896" s="2935"/>
      <c r="E1896" s="2523">
        <f t="shared" si="145"/>
        <v>20.496540945512795</v>
      </c>
      <c r="F1896" s="2261">
        <f t="shared" si="144"/>
        <v>24.033050394191257</v>
      </c>
      <c r="G1896" s="2524">
        <f t="shared" si="146"/>
        <v>27.569559842869719</v>
      </c>
      <c r="H1896" s="2524">
        <f t="shared" si="147"/>
        <v>16.960031496834333</v>
      </c>
      <c r="I1896" s="2524">
        <f t="shared" si="148"/>
        <v>13.423522048155872</v>
      </c>
    </row>
    <row r="1897" spans="2:9">
      <c r="B1897" s="2251">
        <v>45632</v>
      </c>
      <c r="C1897">
        <v>29.170300000000001</v>
      </c>
      <c r="D1897" s="2935"/>
      <c r="E1897" s="2523">
        <f t="shared" si="145"/>
        <v>20.496540945512795</v>
      </c>
      <c r="F1897" s="2261">
        <f t="shared" si="144"/>
        <v>24.033050394191257</v>
      </c>
      <c r="G1897" s="2524">
        <f t="shared" si="146"/>
        <v>27.569559842869719</v>
      </c>
      <c r="H1897" s="2524">
        <f t="shared" si="147"/>
        <v>16.960031496834333</v>
      </c>
      <c r="I1897" s="2524">
        <f t="shared" si="148"/>
        <v>13.423522048155872</v>
      </c>
    </row>
    <row r="1898" spans="2:9">
      <c r="B1898" s="2251">
        <v>45635</v>
      </c>
      <c r="C1898">
        <v>28.682500000000001</v>
      </c>
      <c r="D1898" s="2935"/>
      <c r="E1898" s="2523">
        <f t="shared" si="145"/>
        <v>20.496540945512795</v>
      </c>
      <c r="F1898" s="2261">
        <f t="shared" si="144"/>
        <v>24.033050394191257</v>
      </c>
      <c r="G1898" s="2524">
        <f t="shared" si="146"/>
        <v>27.569559842869719</v>
      </c>
      <c r="H1898" s="2524">
        <f t="shared" si="147"/>
        <v>16.960031496834333</v>
      </c>
      <c r="I1898" s="2524">
        <f t="shared" si="148"/>
        <v>13.423522048155872</v>
      </c>
    </row>
    <row r="1899" spans="2:9">
      <c r="B1899" s="2251">
        <v>45636</v>
      </c>
      <c r="C1899">
        <v>29.170300000000001</v>
      </c>
      <c r="D1899" s="2935"/>
      <c r="E1899" s="2523">
        <f t="shared" si="145"/>
        <v>20.496540945512795</v>
      </c>
      <c r="F1899" s="2261">
        <f t="shared" si="144"/>
        <v>24.033050394191257</v>
      </c>
      <c r="G1899" s="2524">
        <f t="shared" si="146"/>
        <v>27.569559842869719</v>
      </c>
      <c r="H1899" s="2524">
        <f t="shared" si="147"/>
        <v>16.960031496834333</v>
      </c>
      <c r="I1899" s="2524">
        <f t="shared" si="148"/>
        <v>13.423522048155872</v>
      </c>
    </row>
    <row r="1900" spans="2:9">
      <c r="B1900" s="2251">
        <v>45637</v>
      </c>
      <c r="C1900">
        <v>29.365400000000001</v>
      </c>
      <c r="D1900" s="2935"/>
      <c r="E1900" s="2523">
        <f t="shared" si="145"/>
        <v>20.496540945512795</v>
      </c>
      <c r="F1900" s="2261">
        <f t="shared" si="144"/>
        <v>24.033050394191257</v>
      </c>
      <c r="G1900" s="2524">
        <f t="shared" si="146"/>
        <v>27.569559842869719</v>
      </c>
      <c r="H1900" s="2524">
        <f t="shared" si="147"/>
        <v>16.960031496834333</v>
      </c>
      <c r="I1900" s="2524">
        <f t="shared" si="148"/>
        <v>13.423522048155872</v>
      </c>
    </row>
    <row r="1901" spans="2:9">
      <c r="B1901" s="2251">
        <v>45638</v>
      </c>
      <c r="C1901">
        <v>29.306899999999999</v>
      </c>
      <c r="D1901" s="2935"/>
      <c r="E1901" s="2523">
        <f t="shared" si="145"/>
        <v>20.496540945512795</v>
      </c>
      <c r="F1901" s="2261">
        <f t="shared" si="144"/>
        <v>24.033050394191257</v>
      </c>
      <c r="G1901" s="2524">
        <f t="shared" si="146"/>
        <v>27.569559842869719</v>
      </c>
      <c r="H1901" s="2524">
        <f t="shared" si="147"/>
        <v>16.960031496834333</v>
      </c>
      <c r="I1901" s="2524">
        <f t="shared" si="148"/>
        <v>13.423522048155872</v>
      </c>
    </row>
    <row r="1902" spans="2:9">
      <c r="B1902" s="2251">
        <v>45639</v>
      </c>
      <c r="C1902">
        <v>29.170300000000001</v>
      </c>
      <c r="D1902" s="2935"/>
      <c r="E1902" s="2523">
        <f t="shared" si="145"/>
        <v>20.496540945512795</v>
      </c>
      <c r="F1902" s="2261">
        <f t="shared" si="144"/>
        <v>24.033050394191257</v>
      </c>
      <c r="G1902" s="2524">
        <f t="shared" si="146"/>
        <v>27.569559842869719</v>
      </c>
      <c r="H1902" s="2524">
        <f t="shared" si="147"/>
        <v>16.960031496834333</v>
      </c>
      <c r="I1902" s="2524">
        <f t="shared" si="148"/>
        <v>13.423522048155872</v>
      </c>
    </row>
    <row r="1903" spans="2:9">
      <c r="B1903" s="2251">
        <v>45642</v>
      </c>
      <c r="C1903">
        <v>29.2484</v>
      </c>
      <c r="D1903" s="2935"/>
      <c r="E1903" s="2523">
        <f t="shared" si="145"/>
        <v>20.496540945512795</v>
      </c>
      <c r="F1903" s="2261">
        <f t="shared" si="144"/>
        <v>24.033050394191257</v>
      </c>
      <c r="G1903" s="2524">
        <f t="shared" si="146"/>
        <v>27.569559842869719</v>
      </c>
      <c r="H1903" s="2524">
        <f t="shared" si="147"/>
        <v>16.960031496834333</v>
      </c>
      <c r="I1903" s="2524">
        <f t="shared" si="148"/>
        <v>13.423522048155872</v>
      </c>
    </row>
    <row r="1904" spans="2:9">
      <c r="B1904" s="2251">
        <v>45643</v>
      </c>
      <c r="C1904">
        <v>28.877600000000001</v>
      </c>
      <c r="D1904" s="2935"/>
      <c r="E1904" s="2523">
        <f t="shared" si="145"/>
        <v>20.496540945512795</v>
      </c>
      <c r="F1904" s="2261">
        <f t="shared" si="144"/>
        <v>24.033050394191257</v>
      </c>
      <c r="G1904" s="2524">
        <f t="shared" si="146"/>
        <v>27.569559842869719</v>
      </c>
      <c r="H1904" s="2524">
        <f t="shared" si="147"/>
        <v>16.960031496834333</v>
      </c>
      <c r="I1904" s="2524">
        <f t="shared" si="148"/>
        <v>13.423522048155872</v>
      </c>
    </row>
    <row r="1905" spans="2:9">
      <c r="B1905" s="2251">
        <v>45644</v>
      </c>
      <c r="C1905">
        <v>29.014199999999999</v>
      </c>
      <c r="D1905" s="2935"/>
      <c r="E1905" s="2523">
        <f t="shared" si="145"/>
        <v>20.496540945512795</v>
      </c>
      <c r="F1905" s="2261">
        <f t="shared" si="144"/>
        <v>24.033050394191257</v>
      </c>
      <c r="G1905" s="2524">
        <f t="shared" si="146"/>
        <v>27.569559842869719</v>
      </c>
      <c r="H1905" s="2524">
        <f t="shared" si="147"/>
        <v>16.960031496834333</v>
      </c>
      <c r="I1905" s="2524">
        <f t="shared" si="148"/>
        <v>13.423522048155872</v>
      </c>
    </row>
    <row r="1906" spans="2:9">
      <c r="B1906" s="2251">
        <v>45645</v>
      </c>
      <c r="C1906">
        <v>28.897099999999998</v>
      </c>
      <c r="D1906" s="2935"/>
      <c r="E1906" s="2523">
        <f t="shared" si="145"/>
        <v>20.496540945512795</v>
      </c>
      <c r="F1906" s="2261">
        <f t="shared" si="144"/>
        <v>24.033050394191257</v>
      </c>
      <c r="G1906" s="2524">
        <f t="shared" si="146"/>
        <v>27.569559842869719</v>
      </c>
      <c r="H1906" s="2524">
        <f t="shared" si="147"/>
        <v>16.960031496834333</v>
      </c>
      <c r="I1906" s="2524">
        <f t="shared" si="148"/>
        <v>13.423522048155872</v>
      </c>
    </row>
    <row r="1907" spans="2:9">
      <c r="B1907" s="2251">
        <v>45646</v>
      </c>
      <c r="C1907">
        <v>29.170300000000001</v>
      </c>
      <c r="D1907" s="2935"/>
      <c r="E1907" s="2523">
        <f t="shared" si="145"/>
        <v>20.496540945512795</v>
      </c>
      <c r="F1907" s="2261">
        <f t="shared" si="144"/>
        <v>24.033050394191257</v>
      </c>
      <c r="G1907" s="2524">
        <f t="shared" si="146"/>
        <v>27.569559842869719</v>
      </c>
      <c r="H1907" s="2524">
        <f t="shared" si="147"/>
        <v>16.960031496834333</v>
      </c>
      <c r="I1907" s="2524">
        <f t="shared" si="148"/>
        <v>13.423522048155872</v>
      </c>
    </row>
    <row r="1908" spans="2:9">
      <c r="B1908" s="2251">
        <v>45649</v>
      </c>
      <c r="C1908">
        <v>29.2288</v>
      </c>
      <c r="D1908" s="2935"/>
      <c r="E1908" s="2523">
        <f t="shared" si="145"/>
        <v>20.496540945512795</v>
      </c>
      <c r="F1908" s="2261">
        <f t="shared" si="144"/>
        <v>24.033050394191257</v>
      </c>
      <c r="G1908" s="2524">
        <f t="shared" si="146"/>
        <v>27.569559842869719</v>
      </c>
      <c r="H1908" s="2524">
        <f t="shared" si="147"/>
        <v>16.960031496834333</v>
      </c>
      <c r="I1908" s="2524">
        <f t="shared" si="148"/>
        <v>13.423522048155872</v>
      </c>
    </row>
    <row r="1909" spans="2:9">
      <c r="B1909" s="2251">
        <v>45650</v>
      </c>
      <c r="C1909">
        <v>29.3459</v>
      </c>
      <c r="D1909" s="2935"/>
      <c r="E1909" s="2523">
        <f t="shared" si="145"/>
        <v>20.496540945512795</v>
      </c>
      <c r="F1909" s="2261">
        <f t="shared" si="144"/>
        <v>24.033050394191257</v>
      </c>
      <c r="G1909" s="2524">
        <f t="shared" si="146"/>
        <v>27.569559842869719</v>
      </c>
      <c r="H1909" s="2524">
        <f t="shared" si="147"/>
        <v>16.960031496834333</v>
      </c>
      <c r="I1909" s="2524">
        <f t="shared" si="148"/>
        <v>13.423522048155872</v>
      </c>
    </row>
    <row r="1910" spans="2:9">
      <c r="B1910" s="2251">
        <v>45651</v>
      </c>
      <c r="C1910">
        <v>29.423999999999999</v>
      </c>
      <c r="D1910" s="2935"/>
      <c r="E1910" s="2523">
        <f t="shared" si="145"/>
        <v>20.496540945512795</v>
      </c>
      <c r="F1910" s="2261">
        <f t="shared" si="144"/>
        <v>24.033050394191257</v>
      </c>
      <c r="G1910" s="2524">
        <f t="shared" si="146"/>
        <v>27.569559842869719</v>
      </c>
      <c r="H1910" s="2524">
        <f t="shared" si="147"/>
        <v>16.960031496834333</v>
      </c>
      <c r="I1910" s="2524">
        <f t="shared" si="148"/>
        <v>13.423522048155872</v>
      </c>
    </row>
    <row r="1911" spans="2:9">
      <c r="B1911" s="2251">
        <v>45652</v>
      </c>
      <c r="C1911">
        <v>29.2288</v>
      </c>
      <c r="D1911" s="2935"/>
      <c r="E1911" s="2523">
        <f t="shared" si="145"/>
        <v>20.496540945512795</v>
      </c>
      <c r="F1911" s="2261">
        <f t="shared" si="144"/>
        <v>24.033050394191257</v>
      </c>
      <c r="G1911" s="2524">
        <f t="shared" si="146"/>
        <v>27.569559842869719</v>
      </c>
      <c r="H1911" s="2524">
        <f t="shared" si="147"/>
        <v>16.960031496834333</v>
      </c>
      <c r="I1911" s="2524">
        <f t="shared" si="148"/>
        <v>13.423522048155872</v>
      </c>
    </row>
    <row r="1912" spans="2:9">
      <c r="B1912" s="2251">
        <v>45653</v>
      </c>
      <c r="C1912">
        <v>29.189800000000002</v>
      </c>
      <c r="D1912" s="2935"/>
      <c r="E1912" s="2523">
        <f t="shared" si="145"/>
        <v>20.496540945512795</v>
      </c>
      <c r="F1912" s="2261">
        <f t="shared" si="144"/>
        <v>24.033050394191257</v>
      </c>
      <c r="G1912" s="2524">
        <f t="shared" si="146"/>
        <v>27.569559842869719</v>
      </c>
      <c r="H1912" s="2524">
        <f t="shared" si="147"/>
        <v>16.960031496834333</v>
      </c>
      <c r="I1912" s="2524">
        <f t="shared" si="148"/>
        <v>13.423522048155872</v>
      </c>
    </row>
    <row r="1913" spans="2:9">
      <c r="B1913" s="2251">
        <v>45656</v>
      </c>
      <c r="C1913">
        <v>29.365400000000001</v>
      </c>
      <c r="D1913" s="2935"/>
      <c r="E1913" s="2523">
        <f t="shared" si="145"/>
        <v>20.496540945512795</v>
      </c>
      <c r="F1913" s="2261">
        <f t="shared" si="144"/>
        <v>24.033050394191257</v>
      </c>
      <c r="G1913" s="2524">
        <f t="shared" si="146"/>
        <v>27.569559842869719</v>
      </c>
      <c r="H1913" s="2524">
        <f t="shared" si="147"/>
        <v>16.960031496834333</v>
      </c>
      <c r="I1913" s="2524">
        <f t="shared" si="148"/>
        <v>13.423522048155872</v>
      </c>
    </row>
    <row r="1914" spans="2:9">
      <c r="B1914" s="2251">
        <v>45657</v>
      </c>
      <c r="C1914">
        <v>28.3934</v>
      </c>
      <c r="D1914" s="2935"/>
      <c r="E1914" s="2523">
        <f t="shared" si="145"/>
        <v>20.496540945512795</v>
      </c>
      <c r="F1914" s="2261">
        <f t="shared" si="144"/>
        <v>24.033050394191257</v>
      </c>
      <c r="G1914" s="2524">
        <f t="shared" si="146"/>
        <v>27.569559842869719</v>
      </c>
      <c r="H1914" s="2524">
        <f t="shared" si="147"/>
        <v>16.960031496834333</v>
      </c>
      <c r="I1914" s="2524">
        <f t="shared" si="148"/>
        <v>13.423522048155872</v>
      </c>
    </row>
    <row r="1915" spans="2:9">
      <c r="B1915" s="2251">
        <v>45659</v>
      </c>
      <c r="C1915">
        <v>28.3004</v>
      </c>
      <c r="D1915" s="2935"/>
      <c r="E1915" s="2523">
        <f t="shared" si="145"/>
        <v>20.496540945512795</v>
      </c>
      <c r="F1915" s="2261">
        <f t="shared" si="144"/>
        <v>24.033050394191257</v>
      </c>
      <c r="G1915" s="2524">
        <f t="shared" si="146"/>
        <v>27.569559842869719</v>
      </c>
      <c r="H1915" s="2524">
        <f t="shared" si="147"/>
        <v>16.960031496834333</v>
      </c>
      <c r="I1915" s="2524">
        <f t="shared" si="148"/>
        <v>13.423522048155872</v>
      </c>
    </row>
    <row r="1916" spans="2:9">
      <c r="B1916" s="2251">
        <v>45660</v>
      </c>
      <c r="C1916">
        <v>27.741800000000001</v>
      </c>
      <c r="D1916" s="2935"/>
      <c r="E1916" s="2523">
        <f t="shared" si="145"/>
        <v>20.496540945512795</v>
      </c>
      <c r="F1916" s="2261">
        <f t="shared" si="144"/>
        <v>24.033050394191257</v>
      </c>
      <c r="G1916" s="2524">
        <f t="shared" si="146"/>
        <v>27.569559842869719</v>
      </c>
      <c r="H1916" s="2524">
        <f t="shared" si="147"/>
        <v>16.960031496834333</v>
      </c>
      <c r="I1916" s="2524">
        <f t="shared" si="148"/>
        <v>13.423522048155872</v>
      </c>
    </row>
    <row r="1917" spans="2:9">
      <c r="B1917" s="2251">
        <v>45663</v>
      </c>
      <c r="C1917">
        <v>27.797699999999999</v>
      </c>
      <c r="D1917" s="2935"/>
      <c r="E1917" s="2523">
        <f t="shared" si="145"/>
        <v>20.496540945512795</v>
      </c>
      <c r="F1917" s="2261">
        <f t="shared" ref="F1917:F1980" si="149">I$953+F$953</f>
        <v>24.033050394191257</v>
      </c>
      <c r="G1917" s="2524">
        <f t="shared" si="146"/>
        <v>27.569559842869719</v>
      </c>
      <c r="H1917" s="2524">
        <f t="shared" si="147"/>
        <v>16.960031496834333</v>
      </c>
      <c r="I1917" s="2524">
        <f t="shared" si="148"/>
        <v>13.423522048155872</v>
      </c>
    </row>
    <row r="1918" spans="2:9">
      <c r="B1918" s="2251">
        <v>45664</v>
      </c>
      <c r="C1918">
        <v>27.9466</v>
      </c>
      <c r="D1918" s="2935"/>
      <c r="E1918" s="2523">
        <f t="shared" ref="E1918:E1981" si="150">I$953</f>
        <v>20.496540945512795</v>
      </c>
      <c r="F1918" s="2261">
        <f t="shared" si="149"/>
        <v>24.033050394191257</v>
      </c>
      <c r="G1918" s="2524">
        <f t="shared" ref="G1918:G1981" si="151">I$953+F$953+F$953</f>
        <v>27.569559842869719</v>
      </c>
      <c r="H1918" s="2524">
        <f t="shared" ref="H1918:H1981" si="152">I$953-F$953</f>
        <v>16.960031496834333</v>
      </c>
      <c r="I1918" s="2524">
        <f t="shared" ref="I1918:I1981" si="153">I$953-F$953-F$953</f>
        <v>13.423522048155872</v>
      </c>
    </row>
    <row r="1919" spans="2:9">
      <c r="B1919" s="2251">
        <v>45665</v>
      </c>
      <c r="C1919">
        <v>27.611499999999999</v>
      </c>
      <c r="D1919" s="2935"/>
      <c r="E1919" s="2523">
        <f t="shared" si="150"/>
        <v>20.496540945512795</v>
      </c>
      <c r="F1919" s="2261">
        <f t="shared" si="149"/>
        <v>24.033050394191257</v>
      </c>
      <c r="G1919" s="2524">
        <f t="shared" si="151"/>
        <v>27.569559842869719</v>
      </c>
      <c r="H1919" s="2524">
        <f t="shared" si="152"/>
        <v>16.960031496834333</v>
      </c>
      <c r="I1919" s="2524">
        <f t="shared" si="153"/>
        <v>13.423522048155872</v>
      </c>
    </row>
    <row r="1920" spans="2:9">
      <c r="B1920" s="2251">
        <v>45666</v>
      </c>
      <c r="C1920">
        <v>27.704599999999999</v>
      </c>
      <c r="D1920" s="2935"/>
      <c r="E1920" s="2523">
        <f t="shared" si="150"/>
        <v>20.496540945512795</v>
      </c>
      <c r="F1920" s="2261">
        <f t="shared" si="149"/>
        <v>24.033050394191257</v>
      </c>
      <c r="G1920" s="2524">
        <f t="shared" si="151"/>
        <v>27.569559842869719</v>
      </c>
      <c r="H1920" s="2524">
        <f t="shared" si="152"/>
        <v>16.960031496834333</v>
      </c>
      <c r="I1920" s="2524">
        <f t="shared" si="153"/>
        <v>13.423522048155872</v>
      </c>
    </row>
    <row r="1921" spans="2:9">
      <c r="B1921" s="2251">
        <v>45667</v>
      </c>
      <c r="C1921">
        <v>27.4253</v>
      </c>
      <c r="D1921" s="2935"/>
      <c r="E1921" s="2523">
        <f t="shared" si="150"/>
        <v>20.496540945512795</v>
      </c>
      <c r="F1921" s="2261">
        <f t="shared" si="149"/>
        <v>24.033050394191257</v>
      </c>
      <c r="G1921" s="2524">
        <f t="shared" si="151"/>
        <v>27.569559842869719</v>
      </c>
      <c r="H1921" s="2524">
        <f t="shared" si="152"/>
        <v>16.960031496834333</v>
      </c>
      <c r="I1921" s="2524">
        <f t="shared" si="153"/>
        <v>13.423522048155872</v>
      </c>
    </row>
    <row r="1922" spans="2:9">
      <c r="B1922" s="2251">
        <v>45670</v>
      </c>
      <c r="C1922">
        <v>27.481100000000001</v>
      </c>
      <c r="D1922" s="2935"/>
      <c r="E1922" s="2523">
        <f t="shared" si="150"/>
        <v>20.496540945512795</v>
      </c>
      <c r="F1922" s="2261">
        <f t="shared" si="149"/>
        <v>24.033050394191257</v>
      </c>
      <c r="G1922" s="2524">
        <f t="shared" si="151"/>
        <v>27.569559842869719</v>
      </c>
      <c r="H1922" s="2524">
        <f t="shared" si="152"/>
        <v>16.960031496834333</v>
      </c>
      <c r="I1922" s="2524">
        <f t="shared" si="153"/>
        <v>13.423522048155872</v>
      </c>
    </row>
    <row r="1923" spans="2:9">
      <c r="B1923" s="2251">
        <v>45671</v>
      </c>
      <c r="C1923">
        <v>27.015699999999999</v>
      </c>
      <c r="D1923" s="2935"/>
      <c r="E1923" s="2523">
        <f t="shared" si="150"/>
        <v>20.496540945512795</v>
      </c>
      <c r="F1923" s="2261">
        <f t="shared" si="149"/>
        <v>24.033050394191257</v>
      </c>
      <c r="G1923" s="2524">
        <f t="shared" si="151"/>
        <v>27.569559842869719</v>
      </c>
      <c r="H1923" s="2524">
        <f t="shared" si="152"/>
        <v>16.960031496834333</v>
      </c>
      <c r="I1923" s="2524">
        <f t="shared" si="153"/>
        <v>13.423522048155872</v>
      </c>
    </row>
    <row r="1924" spans="2:9">
      <c r="B1924" s="2251">
        <v>45672</v>
      </c>
      <c r="C1924">
        <v>27.0901</v>
      </c>
      <c r="D1924" s="2935"/>
      <c r="E1924" s="2523">
        <f t="shared" si="150"/>
        <v>20.496540945512795</v>
      </c>
      <c r="F1924" s="2261">
        <f t="shared" si="149"/>
        <v>24.033050394191257</v>
      </c>
      <c r="G1924" s="2524">
        <f t="shared" si="151"/>
        <v>27.569559842869719</v>
      </c>
      <c r="H1924" s="2524">
        <f t="shared" si="152"/>
        <v>16.960031496834333</v>
      </c>
      <c r="I1924" s="2524">
        <f t="shared" si="153"/>
        <v>13.423522048155872</v>
      </c>
    </row>
    <row r="1925" spans="2:9">
      <c r="B1925" s="2251">
        <v>45673</v>
      </c>
      <c r="C1925">
        <v>27.276299999999999</v>
      </c>
      <c r="D1925" s="2935"/>
      <c r="E1925" s="2523">
        <f t="shared" si="150"/>
        <v>20.496540945512795</v>
      </c>
      <c r="F1925" s="2261">
        <f t="shared" si="149"/>
        <v>24.033050394191257</v>
      </c>
      <c r="G1925" s="2524">
        <f t="shared" si="151"/>
        <v>27.569559842869719</v>
      </c>
      <c r="H1925" s="2524">
        <f t="shared" si="152"/>
        <v>16.960031496834333</v>
      </c>
      <c r="I1925" s="2524">
        <f t="shared" si="153"/>
        <v>13.423522048155872</v>
      </c>
    </row>
    <row r="1926" spans="2:9">
      <c r="B1926" s="2251">
        <v>45674</v>
      </c>
      <c r="C1926">
        <v>27.741800000000001</v>
      </c>
      <c r="D1926" s="2935"/>
      <c r="E1926" s="2523">
        <f t="shared" si="150"/>
        <v>20.496540945512795</v>
      </c>
      <c r="F1926" s="2261">
        <f t="shared" si="149"/>
        <v>24.033050394191257</v>
      </c>
      <c r="G1926" s="2524">
        <f t="shared" si="151"/>
        <v>27.569559842869719</v>
      </c>
      <c r="H1926" s="2524">
        <f t="shared" si="152"/>
        <v>16.960031496834333</v>
      </c>
      <c r="I1926" s="2524">
        <f t="shared" si="153"/>
        <v>13.423522048155872</v>
      </c>
    </row>
    <row r="1927" spans="2:9">
      <c r="B1927" s="2251">
        <v>45677</v>
      </c>
      <c r="C1927">
        <v>27.928000000000001</v>
      </c>
      <c r="D1927" s="2935"/>
      <c r="E1927" s="2523">
        <f t="shared" si="150"/>
        <v>20.496540945512795</v>
      </c>
      <c r="F1927" s="2261">
        <f t="shared" si="149"/>
        <v>24.033050394191257</v>
      </c>
      <c r="G1927" s="2524">
        <f t="shared" si="151"/>
        <v>27.569559842869719</v>
      </c>
      <c r="H1927" s="2524">
        <f t="shared" si="152"/>
        <v>16.960031496834333</v>
      </c>
      <c r="I1927" s="2524">
        <f t="shared" si="153"/>
        <v>13.423522048155872</v>
      </c>
    </row>
    <row r="1928" spans="2:9">
      <c r="B1928" s="2251">
        <v>45678</v>
      </c>
      <c r="C1928">
        <v>27.909400000000002</v>
      </c>
      <c r="D1928" s="2935"/>
      <c r="E1928" s="2523">
        <f t="shared" si="150"/>
        <v>20.496540945512795</v>
      </c>
      <c r="F1928" s="2261">
        <f t="shared" si="149"/>
        <v>24.033050394191257</v>
      </c>
      <c r="G1928" s="2524">
        <f t="shared" si="151"/>
        <v>27.569559842869719</v>
      </c>
      <c r="H1928" s="2524">
        <f t="shared" si="152"/>
        <v>16.960031496834333</v>
      </c>
      <c r="I1928" s="2524">
        <f t="shared" si="153"/>
        <v>13.423522048155872</v>
      </c>
    </row>
    <row r="1929" spans="2:9">
      <c r="B1929" s="2251">
        <v>45679</v>
      </c>
      <c r="C1929">
        <v>27.8721</v>
      </c>
      <c r="D1929" s="2935"/>
      <c r="E1929" s="2523">
        <f t="shared" si="150"/>
        <v>20.496540945512795</v>
      </c>
      <c r="F1929" s="2261">
        <f t="shared" si="149"/>
        <v>24.033050394191257</v>
      </c>
      <c r="G1929" s="2524">
        <f t="shared" si="151"/>
        <v>27.569559842869719</v>
      </c>
      <c r="H1929" s="2524">
        <f t="shared" si="152"/>
        <v>16.960031496834333</v>
      </c>
      <c r="I1929" s="2524">
        <f t="shared" si="153"/>
        <v>13.423522048155872</v>
      </c>
    </row>
    <row r="1930" spans="2:9">
      <c r="B1930" s="2251">
        <v>45680</v>
      </c>
      <c r="C1930">
        <v>28.7286</v>
      </c>
      <c r="D1930" s="2935"/>
      <c r="E1930" s="2523">
        <f t="shared" si="150"/>
        <v>20.496540945512795</v>
      </c>
      <c r="F1930" s="2261">
        <f t="shared" si="149"/>
        <v>24.033050394191257</v>
      </c>
      <c r="G1930" s="2524">
        <f t="shared" si="151"/>
        <v>27.569559842869719</v>
      </c>
      <c r="H1930" s="2524">
        <f t="shared" si="152"/>
        <v>16.960031496834333</v>
      </c>
      <c r="I1930" s="2524">
        <f t="shared" si="153"/>
        <v>13.423522048155872</v>
      </c>
    </row>
    <row r="1931" spans="2:9">
      <c r="B1931" s="2251">
        <v>45681</v>
      </c>
      <c r="C1931">
        <v>28.561</v>
      </c>
      <c r="D1931" s="2935"/>
      <c r="E1931" s="2523">
        <f t="shared" si="150"/>
        <v>20.496540945512795</v>
      </c>
      <c r="F1931" s="2261">
        <f t="shared" si="149"/>
        <v>24.033050394191257</v>
      </c>
      <c r="G1931" s="2524">
        <f t="shared" si="151"/>
        <v>27.569559842869719</v>
      </c>
      <c r="H1931" s="2524">
        <f t="shared" si="152"/>
        <v>16.960031496834333</v>
      </c>
      <c r="I1931" s="2524">
        <f t="shared" si="153"/>
        <v>13.423522048155872</v>
      </c>
    </row>
    <row r="1932" spans="2:9">
      <c r="B1932" s="2251">
        <v>45691</v>
      </c>
      <c r="C1932">
        <v>27.0901</v>
      </c>
      <c r="D1932" s="2935"/>
      <c r="E1932" s="2523">
        <f t="shared" si="150"/>
        <v>20.496540945512795</v>
      </c>
      <c r="F1932" s="2261">
        <f t="shared" si="149"/>
        <v>24.033050394191257</v>
      </c>
      <c r="G1932" s="2524">
        <f t="shared" si="151"/>
        <v>27.569559842869719</v>
      </c>
      <c r="H1932" s="2524">
        <f t="shared" si="152"/>
        <v>16.960031496834333</v>
      </c>
      <c r="I1932" s="2524">
        <f t="shared" si="153"/>
        <v>13.423522048155872</v>
      </c>
    </row>
    <row r="1933" spans="2:9">
      <c r="B1933" s="2251">
        <v>45692</v>
      </c>
      <c r="C1933">
        <v>27.220500000000001</v>
      </c>
      <c r="D1933" s="2935"/>
      <c r="E1933" s="2523">
        <f t="shared" si="150"/>
        <v>20.496540945512795</v>
      </c>
      <c r="F1933" s="2261">
        <f t="shared" si="149"/>
        <v>24.033050394191257</v>
      </c>
      <c r="G1933" s="2524">
        <f t="shared" si="151"/>
        <v>27.569559842869719</v>
      </c>
      <c r="H1933" s="2524">
        <f t="shared" si="152"/>
        <v>16.960031496834333</v>
      </c>
      <c r="I1933" s="2524">
        <f t="shared" si="153"/>
        <v>13.423522048155872</v>
      </c>
    </row>
    <row r="1934" spans="2:9">
      <c r="B1934" s="2251">
        <v>45693</v>
      </c>
      <c r="C1934">
        <v>27.239100000000001</v>
      </c>
      <c r="D1934" s="2935"/>
      <c r="E1934" s="2523">
        <f t="shared" si="150"/>
        <v>20.496540945512795</v>
      </c>
      <c r="F1934" s="2261">
        <f t="shared" si="149"/>
        <v>24.033050394191257</v>
      </c>
      <c r="G1934" s="2524">
        <f t="shared" si="151"/>
        <v>27.569559842869719</v>
      </c>
      <c r="H1934" s="2524">
        <f t="shared" si="152"/>
        <v>16.960031496834333</v>
      </c>
      <c r="I1934" s="2524">
        <f t="shared" si="153"/>
        <v>13.423522048155872</v>
      </c>
    </row>
    <row r="1935" spans="2:9">
      <c r="B1935" s="2251">
        <v>45694</v>
      </c>
      <c r="C1935">
        <v>27.276299999999999</v>
      </c>
      <c r="D1935" s="2935"/>
      <c r="E1935" s="2523">
        <f t="shared" si="150"/>
        <v>20.496540945512795</v>
      </c>
      <c r="F1935" s="2261">
        <f t="shared" si="149"/>
        <v>24.033050394191257</v>
      </c>
      <c r="G1935" s="2524">
        <f t="shared" si="151"/>
        <v>27.569559842869719</v>
      </c>
      <c r="H1935" s="2524">
        <f t="shared" si="152"/>
        <v>16.960031496834333</v>
      </c>
      <c r="I1935" s="2524">
        <f t="shared" si="153"/>
        <v>13.423522048155872</v>
      </c>
    </row>
    <row r="1936" spans="2:9">
      <c r="B1936" s="2251">
        <v>45695</v>
      </c>
      <c r="C1936">
        <v>27.201899999999998</v>
      </c>
      <c r="D1936" s="2935"/>
      <c r="E1936" s="2523">
        <f t="shared" si="150"/>
        <v>20.496540945512795</v>
      </c>
      <c r="F1936" s="2261">
        <f t="shared" si="149"/>
        <v>24.033050394191257</v>
      </c>
      <c r="G1936" s="2524">
        <f t="shared" si="151"/>
        <v>27.569559842869719</v>
      </c>
      <c r="H1936" s="2524">
        <f t="shared" si="152"/>
        <v>16.960031496834333</v>
      </c>
      <c r="I1936" s="2524">
        <f t="shared" si="153"/>
        <v>13.423522048155872</v>
      </c>
    </row>
    <row r="1937" spans="2:9">
      <c r="B1937" s="2251">
        <v>45698</v>
      </c>
      <c r="C1937">
        <v>26.438500000000001</v>
      </c>
      <c r="D1937" s="2935"/>
      <c r="E1937" s="2523">
        <f t="shared" si="150"/>
        <v>20.496540945512795</v>
      </c>
      <c r="F1937" s="2261">
        <f t="shared" si="149"/>
        <v>24.033050394191257</v>
      </c>
      <c r="G1937" s="2524">
        <f t="shared" si="151"/>
        <v>27.569559842869719</v>
      </c>
      <c r="H1937" s="2524">
        <f t="shared" si="152"/>
        <v>16.960031496834333</v>
      </c>
      <c r="I1937" s="2524">
        <f t="shared" si="153"/>
        <v>13.423522048155872</v>
      </c>
    </row>
    <row r="1938" spans="2:9">
      <c r="B1938" s="2251">
        <v>45699</v>
      </c>
      <c r="C1938">
        <v>27.0715</v>
      </c>
      <c r="D1938" s="2935"/>
      <c r="E1938" s="2523">
        <f t="shared" si="150"/>
        <v>20.496540945512795</v>
      </c>
      <c r="F1938" s="2261">
        <f t="shared" si="149"/>
        <v>24.033050394191257</v>
      </c>
      <c r="G1938" s="2524">
        <f t="shared" si="151"/>
        <v>27.569559842869719</v>
      </c>
      <c r="H1938" s="2524">
        <f t="shared" si="152"/>
        <v>16.960031496834333</v>
      </c>
      <c r="I1938" s="2524">
        <f t="shared" si="153"/>
        <v>13.423522048155872</v>
      </c>
    </row>
    <row r="1939" spans="2:9">
      <c r="B1939" s="2251">
        <v>45700</v>
      </c>
      <c r="C1939">
        <v>26.997</v>
      </c>
      <c r="D1939" s="2935"/>
      <c r="E1939" s="2523">
        <f t="shared" si="150"/>
        <v>20.496540945512795</v>
      </c>
      <c r="F1939" s="2261">
        <f t="shared" si="149"/>
        <v>24.033050394191257</v>
      </c>
      <c r="G1939" s="2524">
        <f t="shared" si="151"/>
        <v>27.569559842869719</v>
      </c>
      <c r="H1939" s="2524">
        <f t="shared" si="152"/>
        <v>16.960031496834333</v>
      </c>
      <c r="I1939" s="2524">
        <f t="shared" si="153"/>
        <v>13.423522048155872</v>
      </c>
    </row>
    <row r="1940" spans="2:9">
      <c r="B1940" s="2251">
        <v>45701</v>
      </c>
      <c r="C1940">
        <v>26.6433</v>
      </c>
      <c r="D1940" s="2935"/>
      <c r="E1940" s="2523">
        <f t="shared" si="150"/>
        <v>20.496540945512795</v>
      </c>
      <c r="F1940" s="2261">
        <f t="shared" si="149"/>
        <v>24.033050394191257</v>
      </c>
      <c r="G1940" s="2524">
        <f t="shared" si="151"/>
        <v>27.569559842869719</v>
      </c>
      <c r="H1940" s="2524">
        <f t="shared" si="152"/>
        <v>16.960031496834333</v>
      </c>
      <c r="I1940" s="2524">
        <f t="shared" si="153"/>
        <v>13.423522048155872</v>
      </c>
    </row>
    <row r="1941" spans="2:9">
      <c r="B1941" s="2251">
        <v>45702</v>
      </c>
      <c r="C1941">
        <v>26.978400000000001</v>
      </c>
      <c r="D1941" s="2935"/>
      <c r="E1941" s="2523">
        <f t="shared" si="150"/>
        <v>20.496540945512795</v>
      </c>
      <c r="F1941" s="2261">
        <f t="shared" si="149"/>
        <v>24.033050394191257</v>
      </c>
      <c r="G1941" s="2524">
        <f t="shared" si="151"/>
        <v>27.569559842869719</v>
      </c>
      <c r="H1941" s="2524">
        <f t="shared" si="152"/>
        <v>16.960031496834333</v>
      </c>
      <c r="I1941" s="2524">
        <f t="shared" si="153"/>
        <v>13.423522048155872</v>
      </c>
    </row>
    <row r="1942" spans="2:9">
      <c r="B1942" s="2251">
        <v>45705</v>
      </c>
      <c r="C1942">
        <v>26.7364</v>
      </c>
      <c r="D1942" s="2935"/>
      <c r="E1942" s="2523">
        <f t="shared" si="150"/>
        <v>20.496540945512795</v>
      </c>
      <c r="F1942" s="2261">
        <f t="shared" si="149"/>
        <v>24.033050394191257</v>
      </c>
      <c r="G1942" s="2524">
        <f t="shared" si="151"/>
        <v>27.569559842869719</v>
      </c>
      <c r="H1942" s="2524">
        <f t="shared" si="152"/>
        <v>16.960031496834333</v>
      </c>
      <c r="I1942" s="2524">
        <f t="shared" si="153"/>
        <v>13.423522048155872</v>
      </c>
    </row>
    <row r="1943" spans="2:9">
      <c r="B1943" s="2251">
        <v>45706</v>
      </c>
      <c r="C1943">
        <v>26.792200000000001</v>
      </c>
      <c r="D1943" s="2935"/>
      <c r="E1943" s="2523">
        <f t="shared" si="150"/>
        <v>20.496540945512795</v>
      </c>
      <c r="F1943" s="2261">
        <f t="shared" si="149"/>
        <v>24.033050394191257</v>
      </c>
      <c r="G1943" s="2524">
        <f t="shared" si="151"/>
        <v>27.569559842869719</v>
      </c>
      <c r="H1943" s="2524">
        <f t="shared" si="152"/>
        <v>16.960031496834333</v>
      </c>
      <c r="I1943" s="2524">
        <f t="shared" si="153"/>
        <v>13.423522048155872</v>
      </c>
    </row>
    <row r="1944" spans="2:9">
      <c r="B1944" s="2251">
        <v>45707</v>
      </c>
      <c r="C1944">
        <v>26.8109</v>
      </c>
      <c r="D1944" s="2935"/>
      <c r="E1944" s="2523">
        <f t="shared" si="150"/>
        <v>20.496540945512795</v>
      </c>
      <c r="F1944" s="2261">
        <f t="shared" si="149"/>
        <v>24.033050394191257</v>
      </c>
      <c r="G1944" s="2524">
        <f t="shared" si="151"/>
        <v>27.569559842869719</v>
      </c>
      <c r="H1944" s="2524">
        <f t="shared" si="152"/>
        <v>16.960031496834333</v>
      </c>
      <c r="I1944" s="2524">
        <f t="shared" si="153"/>
        <v>13.423522048155872</v>
      </c>
    </row>
    <row r="1945" spans="2:9">
      <c r="B1945" s="2251">
        <v>45708</v>
      </c>
      <c r="C1945">
        <v>26.624700000000001</v>
      </c>
      <c r="D1945" s="2935"/>
      <c r="E1945" s="2523">
        <f t="shared" si="150"/>
        <v>20.496540945512795</v>
      </c>
      <c r="F1945" s="2261">
        <f t="shared" si="149"/>
        <v>24.033050394191257</v>
      </c>
      <c r="G1945" s="2524">
        <f t="shared" si="151"/>
        <v>27.569559842869719</v>
      </c>
      <c r="H1945" s="2524">
        <f t="shared" si="152"/>
        <v>16.960031496834333</v>
      </c>
      <c r="I1945" s="2524">
        <f t="shared" si="153"/>
        <v>13.423522048155872</v>
      </c>
    </row>
    <row r="1946" spans="2:9">
      <c r="B1946" s="2251">
        <v>45709</v>
      </c>
      <c r="C1946">
        <v>26.438500000000001</v>
      </c>
      <c r="D1946" s="2935"/>
      <c r="E1946" s="2523">
        <f t="shared" si="150"/>
        <v>20.496540945512795</v>
      </c>
      <c r="F1946" s="2261">
        <f t="shared" si="149"/>
        <v>24.033050394191257</v>
      </c>
      <c r="G1946" s="2524">
        <f t="shared" si="151"/>
        <v>27.569559842869719</v>
      </c>
      <c r="H1946" s="2524">
        <f t="shared" si="152"/>
        <v>16.960031496834333</v>
      </c>
      <c r="I1946" s="2524">
        <f t="shared" si="153"/>
        <v>13.423522048155872</v>
      </c>
    </row>
    <row r="1947" spans="2:9">
      <c r="B1947" s="2251">
        <v>45712</v>
      </c>
      <c r="C1947">
        <v>26.159199999999998</v>
      </c>
      <c r="D1947" s="2935"/>
      <c r="E1947" s="2523">
        <f t="shared" si="150"/>
        <v>20.496540945512795</v>
      </c>
      <c r="F1947" s="2261">
        <f t="shared" si="149"/>
        <v>24.033050394191257</v>
      </c>
      <c r="G1947" s="2524">
        <f t="shared" si="151"/>
        <v>27.569559842869719</v>
      </c>
      <c r="H1947" s="2524">
        <f t="shared" si="152"/>
        <v>16.960031496834333</v>
      </c>
      <c r="I1947" s="2524">
        <f t="shared" si="153"/>
        <v>13.423522048155872</v>
      </c>
    </row>
    <row r="1948" spans="2:9">
      <c r="B1948" s="2251">
        <v>45713</v>
      </c>
      <c r="C1948">
        <v>25.879899999999999</v>
      </c>
      <c r="D1948" s="2935"/>
      <c r="E1948" s="2523">
        <f t="shared" si="150"/>
        <v>20.496540945512795</v>
      </c>
      <c r="F1948" s="2261">
        <f t="shared" si="149"/>
        <v>24.033050394191257</v>
      </c>
      <c r="G1948" s="2524">
        <f t="shared" si="151"/>
        <v>27.569559842869719</v>
      </c>
      <c r="H1948" s="2524">
        <f t="shared" si="152"/>
        <v>16.960031496834333</v>
      </c>
      <c r="I1948" s="2524">
        <f t="shared" si="153"/>
        <v>13.423522048155872</v>
      </c>
    </row>
    <row r="1949" spans="2:9">
      <c r="B1949" s="2251">
        <v>45714</v>
      </c>
      <c r="C1949">
        <v>26.401299999999999</v>
      </c>
      <c r="D1949" s="2935"/>
      <c r="E1949" s="2523">
        <f t="shared" si="150"/>
        <v>20.496540945512795</v>
      </c>
      <c r="F1949" s="2261">
        <f t="shared" si="149"/>
        <v>24.033050394191257</v>
      </c>
      <c r="G1949" s="2524">
        <f t="shared" si="151"/>
        <v>27.569559842869719</v>
      </c>
      <c r="H1949" s="2524">
        <f t="shared" si="152"/>
        <v>16.960031496834333</v>
      </c>
      <c r="I1949" s="2524">
        <f t="shared" si="153"/>
        <v>13.423522048155872</v>
      </c>
    </row>
    <row r="1950" spans="2:9">
      <c r="B1950" s="2251">
        <v>45715</v>
      </c>
      <c r="C1950">
        <v>26.308199999999999</v>
      </c>
      <c r="D1950" s="2935"/>
      <c r="E1950" s="2523">
        <f t="shared" si="150"/>
        <v>20.496540945512795</v>
      </c>
      <c r="F1950" s="2261">
        <f t="shared" si="149"/>
        <v>24.033050394191257</v>
      </c>
      <c r="G1950" s="2524">
        <f t="shared" si="151"/>
        <v>27.569559842869719</v>
      </c>
      <c r="H1950" s="2524">
        <f t="shared" si="152"/>
        <v>16.960031496834333</v>
      </c>
      <c r="I1950" s="2524">
        <f t="shared" si="153"/>
        <v>13.423522048155872</v>
      </c>
    </row>
    <row r="1951" spans="2:9">
      <c r="B1951" s="2251">
        <v>45716</v>
      </c>
      <c r="C1951">
        <v>26.122</v>
      </c>
      <c r="D1951" s="2935"/>
      <c r="E1951" s="2523">
        <f t="shared" si="150"/>
        <v>20.496540945512795</v>
      </c>
      <c r="F1951" s="2261">
        <f t="shared" si="149"/>
        <v>24.033050394191257</v>
      </c>
      <c r="G1951" s="2524">
        <f t="shared" si="151"/>
        <v>27.569559842869719</v>
      </c>
      <c r="H1951" s="2524">
        <f t="shared" si="152"/>
        <v>16.960031496834333</v>
      </c>
      <c r="I1951" s="2524">
        <f t="shared" si="153"/>
        <v>13.423522048155872</v>
      </c>
    </row>
    <row r="1952" spans="2:9">
      <c r="B1952" s="2251">
        <v>45719</v>
      </c>
      <c r="C1952">
        <v>26.159199999999998</v>
      </c>
      <c r="D1952" s="2935"/>
      <c r="E1952" s="2523">
        <f t="shared" si="150"/>
        <v>20.496540945512795</v>
      </c>
      <c r="F1952" s="2261">
        <f t="shared" si="149"/>
        <v>24.033050394191257</v>
      </c>
      <c r="G1952" s="2524">
        <f t="shared" si="151"/>
        <v>27.569559842869719</v>
      </c>
      <c r="H1952" s="2524">
        <f t="shared" si="152"/>
        <v>16.960031496834333</v>
      </c>
      <c r="I1952" s="2524">
        <f t="shared" si="153"/>
        <v>13.423522048155872</v>
      </c>
    </row>
    <row r="1953" spans="2:9">
      <c r="B1953" s="2251">
        <v>45720</v>
      </c>
      <c r="C1953">
        <v>26.066099999999999</v>
      </c>
      <c r="D1953" s="2935"/>
      <c r="E1953" s="2523">
        <f t="shared" si="150"/>
        <v>20.496540945512795</v>
      </c>
      <c r="F1953" s="2261">
        <f t="shared" si="149"/>
        <v>24.033050394191257</v>
      </c>
      <c r="G1953" s="2524">
        <f t="shared" si="151"/>
        <v>27.569559842869719</v>
      </c>
      <c r="H1953" s="2524">
        <f t="shared" si="152"/>
        <v>16.960031496834333</v>
      </c>
      <c r="I1953" s="2524">
        <f t="shared" si="153"/>
        <v>13.423522048155872</v>
      </c>
    </row>
    <row r="1954" spans="2:9">
      <c r="B1954" s="2251">
        <v>45721</v>
      </c>
      <c r="C1954">
        <v>25.898499999999999</v>
      </c>
      <c r="D1954" s="2935"/>
      <c r="E1954" s="2523">
        <f t="shared" si="150"/>
        <v>20.496540945512795</v>
      </c>
      <c r="F1954" s="2261">
        <f t="shared" si="149"/>
        <v>24.033050394191257</v>
      </c>
      <c r="G1954" s="2524">
        <f t="shared" si="151"/>
        <v>27.569559842869719</v>
      </c>
      <c r="H1954" s="2524">
        <f t="shared" si="152"/>
        <v>16.960031496834333</v>
      </c>
      <c r="I1954" s="2524">
        <f t="shared" si="153"/>
        <v>13.423522048155872</v>
      </c>
    </row>
    <row r="1955" spans="2:9">
      <c r="B1955" s="2251">
        <v>45722</v>
      </c>
      <c r="C1955">
        <v>26.364000000000001</v>
      </c>
      <c r="D1955" s="2935"/>
      <c r="E1955" s="2523">
        <f t="shared" si="150"/>
        <v>20.496540945512795</v>
      </c>
      <c r="F1955" s="2261">
        <f t="shared" si="149"/>
        <v>24.033050394191257</v>
      </c>
      <c r="G1955" s="2524">
        <f t="shared" si="151"/>
        <v>27.569559842869719</v>
      </c>
      <c r="H1955" s="2524">
        <f t="shared" si="152"/>
        <v>16.960031496834333</v>
      </c>
      <c r="I1955" s="2524">
        <f t="shared" si="153"/>
        <v>13.423522048155872</v>
      </c>
    </row>
    <row r="1956" spans="2:9">
      <c r="B1956" s="2251">
        <v>45723</v>
      </c>
      <c r="C1956">
        <v>26.326799999999999</v>
      </c>
      <c r="D1956" s="2935"/>
      <c r="E1956" s="2523">
        <f t="shared" si="150"/>
        <v>20.496540945512795</v>
      </c>
      <c r="F1956" s="2261">
        <f t="shared" si="149"/>
        <v>24.033050394191257</v>
      </c>
      <c r="G1956" s="2524">
        <f t="shared" si="151"/>
        <v>27.569559842869719</v>
      </c>
      <c r="H1956" s="2524">
        <f t="shared" si="152"/>
        <v>16.960031496834333</v>
      </c>
      <c r="I1956" s="2524">
        <f t="shared" si="153"/>
        <v>13.423522048155872</v>
      </c>
    </row>
    <row r="1957" spans="2:9">
      <c r="B1957" s="2251">
        <v>45726</v>
      </c>
      <c r="C1957">
        <v>25.9358</v>
      </c>
      <c r="D1957" s="2935"/>
      <c r="E1957" s="2523">
        <f t="shared" si="150"/>
        <v>20.496540945512795</v>
      </c>
      <c r="F1957" s="2261">
        <f t="shared" si="149"/>
        <v>24.033050394191257</v>
      </c>
      <c r="G1957" s="2524">
        <f t="shared" si="151"/>
        <v>27.569559842869719</v>
      </c>
      <c r="H1957" s="2524">
        <f t="shared" si="152"/>
        <v>16.960031496834333</v>
      </c>
      <c r="I1957" s="2524">
        <f t="shared" si="153"/>
        <v>13.423522048155872</v>
      </c>
    </row>
    <row r="1958" spans="2:9">
      <c r="B1958" s="2251">
        <v>45727</v>
      </c>
      <c r="C1958">
        <v>25.6007</v>
      </c>
      <c r="D1958" s="2935"/>
      <c r="E1958" s="2523">
        <f t="shared" si="150"/>
        <v>20.496540945512795</v>
      </c>
      <c r="F1958" s="2261">
        <f t="shared" si="149"/>
        <v>24.033050394191257</v>
      </c>
      <c r="G1958" s="2524">
        <f t="shared" si="151"/>
        <v>27.569559842869719</v>
      </c>
      <c r="H1958" s="2524">
        <f t="shared" si="152"/>
        <v>16.960031496834333</v>
      </c>
      <c r="I1958" s="2524">
        <f t="shared" si="153"/>
        <v>13.423522048155872</v>
      </c>
    </row>
    <row r="1959" spans="2:9">
      <c r="B1959" s="2251">
        <v>45728</v>
      </c>
      <c r="C1959">
        <v>25.302800000000001</v>
      </c>
      <c r="D1959" s="2935"/>
      <c r="E1959" s="2523">
        <f t="shared" si="150"/>
        <v>20.496540945512795</v>
      </c>
      <c r="F1959" s="2261">
        <f t="shared" si="149"/>
        <v>24.033050394191257</v>
      </c>
      <c r="G1959" s="2524">
        <f t="shared" si="151"/>
        <v>27.569559842869719</v>
      </c>
      <c r="H1959" s="2524">
        <f t="shared" si="152"/>
        <v>16.960031496834333</v>
      </c>
      <c r="I1959" s="2524">
        <f t="shared" si="153"/>
        <v>13.423522048155872</v>
      </c>
    </row>
    <row r="1960" spans="2:9">
      <c r="B1960" s="2251">
        <v>45729</v>
      </c>
      <c r="C1960">
        <v>25.4145</v>
      </c>
      <c r="D1960" s="2935"/>
      <c r="E1960" s="2523">
        <f t="shared" si="150"/>
        <v>20.496540945512795</v>
      </c>
      <c r="F1960" s="2261">
        <f t="shared" si="149"/>
        <v>24.033050394191257</v>
      </c>
      <c r="G1960" s="2524">
        <f t="shared" si="151"/>
        <v>27.569559842869719</v>
      </c>
      <c r="H1960" s="2524">
        <f t="shared" si="152"/>
        <v>16.960031496834333</v>
      </c>
      <c r="I1960" s="2524">
        <f t="shared" si="153"/>
        <v>13.423522048155872</v>
      </c>
    </row>
    <row r="1961" spans="2:9">
      <c r="B1961" s="2251">
        <v>45730</v>
      </c>
      <c r="C1961">
        <v>24.4649</v>
      </c>
      <c r="D1961" s="2935"/>
      <c r="E1961" s="2523">
        <f t="shared" si="150"/>
        <v>20.496540945512795</v>
      </c>
      <c r="F1961" s="2261">
        <f t="shared" si="149"/>
        <v>24.033050394191257</v>
      </c>
      <c r="G1961" s="2524">
        <f t="shared" si="151"/>
        <v>27.569559842869719</v>
      </c>
      <c r="H1961" s="2524">
        <f t="shared" si="152"/>
        <v>16.960031496834333</v>
      </c>
      <c r="I1961" s="2524">
        <f t="shared" si="153"/>
        <v>13.423522048155872</v>
      </c>
    </row>
    <row r="1962" spans="2:9">
      <c r="B1962" s="2251">
        <v>45733</v>
      </c>
      <c r="C1962">
        <v>24.2043</v>
      </c>
      <c r="D1962" s="2935"/>
      <c r="E1962" s="2523">
        <f t="shared" si="150"/>
        <v>20.496540945512795</v>
      </c>
      <c r="F1962" s="2261">
        <f t="shared" si="149"/>
        <v>24.033050394191257</v>
      </c>
      <c r="G1962" s="2524">
        <f t="shared" si="151"/>
        <v>27.569559842869719</v>
      </c>
      <c r="H1962" s="2524">
        <f t="shared" si="152"/>
        <v>16.960031496834333</v>
      </c>
      <c r="I1962" s="2524">
        <f t="shared" si="153"/>
        <v>13.423522048155872</v>
      </c>
    </row>
    <row r="1963" spans="2:9">
      <c r="B1963" s="2251">
        <v>45734</v>
      </c>
      <c r="C1963">
        <v>24.2043</v>
      </c>
      <c r="D1963" s="2935"/>
      <c r="E1963" s="2523">
        <f t="shared" si="150"/>
        <v>20.496540945512795</v>
      </c>
      <c r="F1963" s="2261">
        <f t="shared" si="149"/>
        <v>24.033050394191257</v>
      </c>
      <c r="G1963" s="2524">
        <f t="shared" si="151"/>
        <v>27.569559842869719</v>
      </c>
      <c r="H1963" s="2524">
        <f t="shared" si="152"/>
        <v>16.960031496834333</v>
      </c>
      <c r="I1963" s="2524">
        <f t="shared" si="153"/>
        <v>13.423522048155872</v>
      </c>
    </row>
    <row r="1964" spans="2:9">
      <c r="B1964" s="2251">
        <v>45735</v>
      </c>
      <c r="C1964">
        <v>23.198799999999999</v>
      </c>
      <c r="D1964" s="2935"/>
      <c r="E1964" s="2523">
        <f t="shared" si="150"/>
        <v>20.496540945512795</v>
      </c>
      <c r="F1964" s="2261">
        <f t="shared" si="149"/>
        <v>24.033050394191257</v>
      </c>
      <c r="G1964" s="2524">
        <f t="shared" si="151"/>
        <v>27.569559842869719</v>
      </c>
      <c r="H1964" s="2524">
        <f t="shared" si="152"/>
        <v>16.960031496834333</v>
      </c>
      <c r="I1964" s="2524">
        <f t="shared" si="153"/>
        <v>13.423522048155872</v>
      </c>
    </row>
    <row r="1965" spans="2:9">
      <c r="B1965" s="2251">
        <v>45736</v>
      </c>
      <c r="C1965">
        <v>23.273299999999999</v>
      </c>
      <c r="D1965" s="2935"/>
      <c r="E1965" s="2523">
        <f t="shared" si="150"/>
        <v>20.496540945512795</v>
      </c>
      <c r="F1965" s="2261">
        <f t="shared" si="149"/>
        <v>24.033050394191257</v>
      </c>
      <c r="G1965" s="2524">
        <f t="shared" si="151"/>
        <v>27.569559842869719</v>
      </c>
      <c r="H1965" s="2524">
        <f t="shared" si="152"/>
        <v>16.960031496834333</v>
      </c>
      <c r="I1965" s="2524">
        <f t="shared" si="153"/>
        <v>13.423522048155872</v>
      </c>
    </row>
    <row r="1966" spans="2:9">
      <c r="B1966" s="2251">
        <v>45737</v>
      </c>
      <c r="C1966">
        <v>23.831900000000001</v>
      </c>
      <c r="D1966" s="2935"/>
      <c r="E1966" s="2523">
        <f t="shared" si="150"/>
        <v>20.496540945512795</v>
      </c>
      <c r="F1966" s="2261">
        <f t="shared" si="149"/>
        <v>24.033050394191257</v>
      </c>
      <c r="G1966" s="2524">
        <f t="shared" si="151"/>
        <v>27.569559842869719</v>
      </c>
      <c r="H1966" s="2524">
        <f t="shared" si="152"/>
        <v>16.960031496834333</v>
      </c>
      <c r="I1966" s="2524">
        <f t="shared" si="153"/>
        <v>13.423522048155872</v>
      </c>
    </row>
    <row r="1967" spans="2:9">
      <c r="B1967" s="2251">
        <v>45740</v>
      </c>
      <c r="C1967">
        <v>24.0181</v>
      </c>
      <c r="D1967" s="2935"/>
      <c r="E1967" s="2523">
        <f t="shared" si="150"/>
        <v>20.496540945512795</v>
      </c>
      <c r="F1967" s="2261">
        <f t="shared" si="149"/>
        <v>24.033050394191257</v>
      </c>
      <c r="G1967" s="2524">
        <f t="shared" si="151"/>
        <v>27.569559842869719</v>
      </c>
      <c r="H1967" s="2524">
        <f t="shared" si="152"/>
        <v>16.960031496834333</v>
      </c>
      <c r="I1967" s="2524">
        <f t="shared" si="153"/>
        <v>13.423522048155872</v>
      </c>
    </row>
    <row r="1968" spans="2:9">
      <c r="B1968" s="2251">
        <v>45741</v>
      </c>
      <c r="C1968">
        <v>23.552600000000002</v>
      </c>
      <c r="D1968" s="2935"/>
      <c r="E1968" s="2523">
        <f t="shared" si="150"/>
        <v>20.496540945512795</v>
      </c>
      <c r="F1968" s="2261">
        <f t="shared" si="149"/>
        <v>24.033050394191257</v>
      </c>
      <c r="G1968" s="2524">
        <f t="shared" si="151"/>
        <v>27.569559842869719</v>
      </c>
      <c r="H1968" s="2524">
        <f t="shared" si="152"/>
        <v>16.960031496834333</v>
      </c>
      <c r="I1968" s="2524">
        <f t="shared" si="153"/>
        <v>13.423522048155872</v>
      </c>
    </row>
    <row r="1969" spans="2:9">
      <c r="B1969" s="2251">
        <v>45742</v>
      </c>
      <c r="C1969">
        <v>22.9009</v>
      </c>
      <c r="D1969" s="2935"/>
      <c r="E1969" s="2523">
        <f t="shared" si="150"/>
        <v>20.496540945512795</v>
      </c>
      <c r="F1969" s="2261">
        <f t="shared" si="149"/>
        <v>24.033050394191257</v>
      </c>
      <c r="G1969" s="2524">
        <f t="shared" si="151"/>
        <v>27.569559842869719</v>
      </c>
      <c r="H1969" s="2524">
        <f t="shared" si="152"/>
        <v>16.960031496834333</v>
      </c>
      <c r="I1969" s="2524">
        <f t="shared" si="153"/>
        <v>13.423522048155872</v>
      </c>
    </row>
    <row r="1970" spans="2:9">
      <c r="B1970" s="2251">
        <v>45743</v>
      </c>
      <c r="C1970">
        <v>23.496700000000001</v>
      </c>
      <c r="D1970" s="2935"/>
      <c r="E1970" s="2523">
        <f t="shared" si="150"/>
        <v>20.496540945512795</v>
      </c>
      <c r="F1970" s="2261">
        <f t="shared" si="149"/>
        <v>24.033050394191257</v>
      </c>
      <c r="G1970" s="2524">
        <f t="shared" si="151"/>
        <v>27.569559842869719</v>
      </c>
      <c r="H1970" s="2524">
        <f t="shared" si="152"/>
        <v>16.960031496834333</v>
      </c>
      <c r="I1970" s="2524">
        <f t="shared" si="153"/>
        <v>13.423522048155872</v>
      </c>
    </row>
    <row r="1971" spans="2:9">
      <c r="B1971" s="2251">
        <v>45744</v>
      </c>
      <c r="C1971">
        <v>23.0871</v>
      </c>
      <c r="D1971" s="2935"/>
      <c r="E1971" s="2523">
        <f t="shared" si="150"/>
        <v>20.496540945512795</v>
      </c>
      <c r="F1971" s="2261">
        <f t="shared" si="149"/>
        <v>24.033050394191257</v>
      </c>
      <c r="G1971" s="2524">
        <f t="shared" si="151"/>
        <v>27.569559842869719</v>
      </c>
      <c r="H1971" s="2524">
        <f t="shared" si="152"/>
        <v>16.960031496834333</v>
      </c>
      <c r="I1971" s="2524">
        <f t="shared" si="153"/>
        <v>13.423522048155872</v>
      </c>
    </row>
    <row r="1972" spans="2:9">
      <c r="B1972" s="2251">
        <v>45747</v>
      </c>
      <c r="C1972">
        <v>21.539200000000001</v>
      </c>
      <c r="D1972" s="2935"/>
      <c r="E1972" s="2523">
        <f t="shared" si="150"/>
        <v>20.496540945512795</v>
      </c>
      <c r="F1972" s="2261">
        <f t="shared" si="149"/>
        <v>24.033050394191257</v>
      </c>
      <c r="G1972" s="2524">
        <f t="shared" si="151"/>
        <v>27.569559842869719</v>
      </c>
      <c r="H1972" s="2524">
        <f t="shared" si="152"/>
        <v>16.960031496834333</v>
      </c>
      <c r="I1972" s="2524">
        <f t="shared" si="153"/>
        <v>13.423522048155872</v>
      </c>
    </row>
    <row r="1973" spans="2:9">
      <c r="B1973" s="2251">
        <v>45748</v>
      </c>
      <c r="C1973">
        <v>21.450199999999999</v>
      </c>
      <c r="D1973" s="2935"/>
      <c r="E1973" s="2523">
        <f t="shared" si="150"/>
        <v>20.496540945512795</v>
      </c>
      <c r="F1973" s="2261">
        <f t="shared" si="149"/>
        <v>24.033050394191257</v>
      </c>
      <c r="G1973" s="2524">
        <f t="shared" si="151"/>
        <v>27.569559842869719</v>
      </c>
      <c r="H1973" s="2524">
        <f t="shared" si="152"/>
        <v>16.960031496834333</v>
      </c>
      <c r="I1973" s="2524">
        <f t="shared" si="153"/>
        <v>13.423522048155872</v>
      </c>
    </row>
    <row r="1974" spans="2:9">
      <c r="B1974" s="2251">
        <v>45749</v>
      </c>
      <c r="C1974">
        <v>21.717300000000002</v>
      </c>
      <c r="D1974" s="2935"/>
      <c r="E1974" s="2523">
        <f t="shared" si="150"/>
        <v>20.496540945512795</v>
      </c>
      <c r="F1974" s="2261">
        <f t="shared" si="149"/>
        <v>24.033050394191257</v>
      </c>
      <c r="G1974" s="2524">
        <f t="shared" si="151"/>
        <v>27.569559842869719</v>
      </c>
      <c r="H1974" s="2524">
        <f t="shared" si="152"/>
        <v>16.960031496834333</v>
      </c>
      <c r="I1974" s="2524">
        <f t="shared" si="153"/>
        <v>13.423522048155872</v>
      </c>
    </row>
    <row r="1975" spans="2:9">
      <c r="B1975" s="2251">
        <v>45750</v>
      </c>
      <c r="C1975">
        <v>20.2042</v>
      </c>
      <c r="D1975" s="2935"/>
      <c r="E1975" s="2523">
        <f t="shared" si="150"/>
        <v>20.496540945512795</v>
      </c>
      <c r="F1975" s="2261">
        <f t="shared" si="149"/>
        <v>24.033050394191257</v>
      </c>
      <c r="G1975" s="2524">
        <f t="shared" si="151"/>
        <v>27.569559842869719</v>
      </c>
      <c r="H1975" s="2524">
        <f t="shared" si="152"/>
        <v>16.960031496834333</v>
      </c>
      <c r="I1975" s="2524">
        <f t="shared" si="153"/>
        <v>13.423522048155872</v>
      </c>
    </row>
    <row r="1976" spans="2:9">
      <c r="B1976" s="2251">
        <v>45751</v>
      </c>
      <c r="C1976">
        <v>20.115200000000002</v>
      </c>
      <c r="D1976" s="2935"/>
      <c r="E1976" s="2523">
        <f t="shared" si="150"/>
        <v>20.496540945512795</v>
      </c>
      <c r="F1976" s="2261">
        <f t="shared" si="149"/>
        <v>24.033050394191257</v>
      </c>
      <c r="G1976" s="2524">
        <f t="shared" si="151"/>
        <v>27.569559842869719</v>
      </c>
      <c r="H1976" s="2524">
        <f t="shared" si="152"/>
        <v>16.960031496834333</v>
      </c>
      <c r="I1976" s="2524">
        <f t="shared" si="153"/>
        <v>13.423522048155872</v>
      </c>
    </row>
    <row r="1977" spans="2:9">
      <c r="B1977" s="2251">
        <v>45755</v>
      </c>
      <c r="C1977">
        <v>18.7089</v>
      </c>
      <c r="D1977" s="2935"/>
      <c r="E1977" s="2523">
        <f t="shared" si="150"/>
        <v>20.496540945512795</v>
      </c>
      <c r="F1977" s="2261">
        <f t="shared" si="149"/>
        <v>24.033050394191257</v>
      </c>
      <c r="G1977" s="2524">
        <f t="shared" si="151"/>
        <v>27.569559842869719</v>
      </c>
      <c r="H1977" s="2524">
        <f t="shared" si="152"/>
        <v>16.960031496834333</v>
      </c>
      <c r="I1977" s="2524">
        <f t="shared" si="153"/>
        <v>13.423522048155872</v>
      </c>
    </row>
    <row r="1978" spans="2:9">
      <c r="B1978" s="2251">
        <v>45756</v>
      </c>
      <c r="C1978">
        <v>18.744499999999999</v>
      </c>
      <c r="D1978" s="2935"/>
      <c r="E1978" s="2523">
        <f t="shared" si="150"/>
        <v>20.496540945512795</v>
      </c>
      <c r="F1978" s="2261">
        <f t="shared" si="149"/>
        <v>24.033050394191257</v>
      </c>
      <c r="G1978" s="2524">
        <f t="shared" si="151"/>
        <v>27.569559842869719</v>
      </c>
      <c r="H1978" s="2524">
        <f t="shared" si="152"/>
        <v>16.960031496834333</v>
      </c>
      <c r="I1978" s="2524">
        <f t="shared" si="153"/>
        <v>13.423522048155872</v>
      </c>
    </row>
    <row r="1979" spans="2:9">
      <c r="B1979" s="2251">
        <v>45757</v>
      </c>
      <c r="C1979">
        <v>20.044</v>
      </c>
      <c r="D1979" s="2935"/>
      <c r="E1979" s="2523">
        <f t="shared" si="150"/>
        <v>20.496540945512795</v>
      </c>
      <c r="F1979" s="2261">
        <f t="shared" si="149"/>
        <v>24.033050394191257</v>
      </c>
      <c r="G1979" s="2524">
        <f t="shared" si="151"/>
        <v>27.569559842869719</v>
      </c>
      <c r="H1979" s="2524">
        <f t="shared" si="152"/>
        <v>16.960031496834333</v>
      </c>
      <c r="I1979" s="2524">
        <f t="shared" si="153"/>
        <v>13.423522048155872</v>
      </c>
    </row>
    <row r="1980" spans="2:9">
      <c r="B1980" s="2251">
        <v>45758</v>
      </c>
      <c r="C1980">
        <v>21.094200000000001</v>
      </c>
      <c r="D1980" s="2935"/>
      <c r="E1980" s="2523">
        <f t="shared" si="150"/>
        <v>20.496540945512795</v>
      </c>
      <c r="F1980" s="2261">
        <f t="shared" si="149"/>
        <v>24.033050394191257</v>
      </c>
      <c r="G1980" s="2524">
        <f t="shared" si="151"/>
        <v>27.569559842869719</v>
      </c>
      <c r="H1980" s="2524">
        <f t="shared" si="152"/>
        <v>16.960031496834333</v>
      </c>
      <c r="I1980" s="2524">
        <f t="shared" si="153"/>
        <v>13.423522048155872</v>
      </c>
    </row>
    <row r="1981" spans="2:9">
      <c r="B1981" s="2251">
        <v>45761</v>
      </c>
      <c r="C1981">
        <v>21.094200000000001</v>
      </c>
      <c r="D1981" s="2935"/>
      <c r="E1981" s="2523">
        <f t="shared" si="150"/>
        <v>20.496540945512795</v>
      </c>
      <c r="F1981" s="2261">
        <f t="shared" ref="F1981:F2044" si="154">I$953+F$953</f>
        <v>24.033050394191257</v>
      </c>
      <c r="G1981" s="2524">
        <f t="shared" si="151"/>
        <v>27.569559842869719</v>
      </c>
      <c r="H1981" s="2524">
        <f t="shared" si="152"/>
        <v>16.960031496834333</v>
      </c>
      <c r="I1981" s="2524">
        <f t="shared" si="153"/>
        <v>13.423522048155872</v>
      </c>
    </row>
    <row r="1982" spans="2:9">
      <c r="B1982" s="2251">
        <v>45762</v>
      </c>
      <c r="C1982">
        <v>20.6492</v>
      </c>
      <c r="D1982" s="2935"/>
      <c r="E1982" s="2523">
        <f t="shared" ref="E1982:E2045" si="155">I$953</f>
        <v>20.496540945512795</v>
      </c>
      <c r="F1982" s="2261">
        <f t="shared" si="154"/>
        <v>24.033050394191257</v>
      </c>
      <c r="G1982" s="2524">
        <f t="shared" ref="G1982:G2045" si="156">I$953+F$953+F$953</f>
        <v>27.569559842869719</v>
      </c>
      <c r="H1982" s="2524">
        <f t="shared" ref="H1982:H2045" si="157">I$953-F$953</f>
        <v>16.960031496834333</v>
      </c>
      <c r="I1982" s="2524">
        <f t="shared" ref="I1982:I2045" si="158">I$953-F$953-F$953</f>
        <v>13.423522048155872</v>
      </c>
    </row>
    <row r="1983" spans="2:9">
      <c r="B1983" s="2251">
        <v>45763</v>
      </c>
      <c r="C1983">
        <v>19.2073</v>
      </c>
      <c r="D1983" s="2935"/>
      <c r="E1983" s="2523">
        <f t="shared" si="155"/>
        <v>20.496540945512795</v>
      </c>
      <c r="F1983" s="2261">
        <f t="shared" si="154"/>
        <v>24.033050394191257</v>
      </c>
      <c r="G1983" s="2524">
        <f t="shared" si="156"/>
        <v>27.569559842869719</v>
      </c>
      <c r="H1983" s="2524">
        <f t="shared" si="157"/>
        <v>16.960031496834333</v>
      </c>
      <c r="I1983" s="2524">
        <f t="shared" si="158"/>
        <v>13.423522048155872</v>
      </c>
    </row>
    <row r="1984" spans="2:9">
      <c r="B1984" s="2251">
        <v>45764</v>
      </c>
      <c r="C1984">
        <v>19.474299999999999</v>
      </c>
      <c r="D1984" s="2935"/>
      <c r="E1984" s="2523">
        <f t="shared" si="155"/>
        <v>20.496540945512795</v>
      </c>
      <c r="F1984" s="2261">
        <f t="shared" si="154"/>
        <v>24.033050394191257</v>
      </c>
      <c r="G1984" s="2524">
        <f t="shared" si="156"/>
        <v>27.569559842869719</v>
      </c>
      <c r="H1984" s="2524">
        <f t="shared" si="157"/>
        <v>16.960031496834333</v>
      </c>
      <c r="I1984" s="2524">
        <f t="shared" si="158"/>
        <v>13.423522048155872</v>
      </c>
    </row>
    <row r="1985" spans="2:9">
      <c r="B1985" s="2251">
        <v>45765</v>
      </c>
      <c r="C1985">
        <v>19.8659</v>
      </c>
      <c r="D1985" s="2935"/>
      <c r="E1985" s="2523">
        <f t="shared" si="155"/>
        <v>20.496540945512795</v>
      </c>
      <c r="F1985" s="2261">
        <f t="shared" si="154"/>
        <v>24.033050394191257</v>
      </c>
      <c r="G1985" s="2524">
        <f t="shared" si="156"/>
        <v>27.569559842869719</v>
      </c>
      <c r="H1985" s="2524">
        <f t="shared" si="157"/>
        <v>16.960031496834333</v>
      </c>
      <c r="I1985" s="2524">
        <f t="shared" si="158"/>
        <v>13.423522048155872</v>
      </c>
    </row>
    <row r="1986" spans="2:9">
      <c r="B1986" s="2251">
        <v>45768</v>
      </c>
      <c r="C1986">
        <v>19.883700000000001</v>
      </c>
      <c r="D1986" s="2935"/>
      <c r="E1986" s="2523">
        <f t="shared" si="155"/>
        <v>20.496540945512795</v>
      </c>
      <c r="F1986" s="2261">
        <f t="shared" si="154"/>
        <v>24.033050394191257</v>
      </c>
      <c r="G1986" s="2524">
        <f t="shared" si="156"/>
        <v>27.569559842869719</v>
      </c>
      <c r="H1986" s="2524">
        <f t="shared" si="157"/>
        <v>16.960031496834333</v>
      </c>
      <c r="I1986" s="2524">
        <f t="shared" si="158"/>
        <v>13.423522048155872</v>
      </c>
    </row>
    <row r="1987" spans="2:9">
      <c r="B1987" s="2251">
        <v>45769</v>
      </c>
      <c r="C1987">
        <v>19.6523</v>
      </c>
      <c r="D1987" s="2935"/>
      <c r="E1987" s="2523">
        <f t="shared" si="155"/>
        <v>20.496540945512795</v>
      </c>
      <c r="F1987" s="2261">
        <f t="shared" si="154"/>
        <v>24.033050394191257</v>
      </c>
      <c r="G1987" s="2524">
        <f t="shared" si="156"/>
        <v>27.569559842869719</v>
      </c>
      <c r="H1987" s="2524">
        <f t="shared" si="157"/>
        <v>16.960031496834333</v>
      </c>
      <c r="I1987" s="2524">
        <f t="shared" si="158"/>
        <v>13.423522048155872</v>
      </c>
    </row>
    <row r="1988" spans="2:9">
      <c r="B1988" s="2251">
        <v>45770</v>
      </c>
      <c r="C1988">
        <v>19.6523</v>
      </c>
      <c r="D1988" s="2935"/>
      <c r="E1988" s="2523">
        <f t="shared" si="155"/>
        <v>20.496540945512795</v>
      </c>
      <c r="F1988" s="2261">
        <f t="shared" si="154"/>
        <v>24.033050394191257</v>
      </c>
      <c r="G1988" s="2524">
        <f t="shared" si="156"/>
        <v>27.569559842869719</v>
      </c>
      <c r="H1988" s="2524">
        <f t="shared" si="157"/>
        <v>16.960031496834333</v>
      </c>
      <c r="I1988" s="2524">
        <f t="shared" si="158"/>
        <v>13.423522048155872</v>
      </c>
    </row>
    <row r="1989" spans="2:9">
      <c r="B1989" s="2251">
        <v>45771</v>
      </c>
      <c r="C1989">
        <v>19.937200000000001</v>
      </c>
      <c r="D1989" s="2935"/>
      <c r="E1989" s="2523">
        <f t="shared" si="155"/>
        <v>20.496540945512795</v>
      </c>
      <c r="F1989" s="2261">
        <f t="shared" si="154"/>
        <v>24.033050394191257</v>
      </c>
      <c r="G1989" s="2524">
        <f t="shared" si="156"/>
        <v>27.569559842869719</v>
      </c>
      <c r="H1989" s="2524">
        <f t="shared" si="157"/>
        <v>16.960031496834333</v>
      </c>
      <c r="I1989" s="2524">
        <f t="shared" si="158"/>
        <v>13.423522048155872</v>
      </c>
    </row>
    <row r="1990" spans="2:9">
      <c r="B1990" s="2251">
        <v>45772</v>
      </c>
      <c r="C1990">
        <v>20.008400000000002</v>
      </c>
      <c r="D1990" s="2935"/>
      <c r="E1990" s="2523">
        <f t="shared" si="155"/>
        <v>20.496540945512795</v>
      </c>
      <c r="F1990" s="2261">
        <f t="shared" si="154"/>
        <v>24.033050394191257</v>
      </c>
      <c r="G1990" s="2524">
        <f t="shared" si="156"/>
        <v>27.569559842869719</v>
      </c>
      <c r="H1990" s="2524">
        <f t="shared" si="157"/>
        <v>16.960031496834333</v>
      </c>
      <c r="I1990" s="2524">
        <f t="shared" si="158"/>
        <v>13.423522048155872</v>
      </c>
    </row>
    <row r="1991" spans="2:9">
      <c r="B1991" s="2251">
        <v>45775</v>
      </c>
      <c r="C1991">
        <v>19.492100000000001</v>
      </c>
      <c r="D1991" s="2935"/>
      <c r="E1991" s="2523">
        <f t="shared" si="155"/>
        <v>20.496540945512795</v>
      </c>
      <c r="F1991" s="2261">
        <f t="shared" si="154"/>
        <v>24.033050394191257</v>
      </c>
      <c r="G1991" s="2524">
        <f t="shared" si="156"/>
        <v>27.569559842869719</v>
      </c>
      <c r="H1991" s="2524">
        <f t="shared" si="157"/>
        <v>16.960031496834333</v>
      </c>
      <c r="I1991" s="2524">
        <f t="shared" si="158"/>
        <v>13.423522048155872</v>
      </c>
    </row>
    <row r="1992" spans="2:9">
      <c r="B1992" s="2251">
        <v>45776</v>
      </c>
      <c r="C1992">
        <v>19.474299999999999</v>
      </c>
      <c r="D1992" s="2935"/>
      <c r="E1992" s="2523">
        <f t="shared" si="155"/>
        <v>20.496540945512795</v>
      </c>
      <c r="F1992" s="2261">
        <f t="shared" si="154"/>
        <v>24.033050394191257</v>
      </c>
      <c r="G1992" s="2524">
        <f t="shared" si="156"/>
        <v>27.569559842869719</v>
      </c>
      <c r="H1992" s="2524">
        <f t="shared" si="157"/>
        <v>16.960031496834333</v>
      </c>
      <c r="I1992" s="2524">
        <f t="shared" si="158"/>
        <v>13.423522048155872</v>
      </c>
    </row>
    <row r="1993" spans="2:9">
      <c r="B1993" s="2251">
        <v>45782</v>
      </c>
      <c r="C1993">
        <v>19.331900000000001</v>
      </c>
      <c r="D1993" s="2935"/>
      <c r="E1993" s="2523">
        <f t="shared" si="155"/>
        <v>20.496540945512795</v>
      </c>
      <c r="F1993" s="2261">
        <f t="shared" si="154"/>
        <v>24.033050394191257</v>
      </c>
      <c r="G1993" s="2524">
        <f t="shared" si="156"/>
        <v>27.569559842869719</v>
      </c>
      <c r="H1993" s="2524">
        <f t="shared" si="157"/>
        <v>16.960031496834333</v>
      </c>
      <c r="I1993" s="2524">
        <f t="shared" si="158"/>
        <v>13.423522048155872</v>
      </c>
    </row>
    <row r="1994" spans="2:9">
      <c r="B1994" s="2251">
        <v>45783</v>
      </c>
      <c r="C1994">
        <v>19.527699999999999</v>
      </c>
      <c r="D1994" s="2935"/>
      <c r="E1994" s="2523">
        <f t="shared" si="155"/>
        <v>20.496540945512795</v>
      </c>
      <c r="F1994" s="2261">
        <f t="shared" si="154"/>
        <v>24.033050394191257</v>
      </c>
      <c r="G1994" s="2524">
        <f t="shared" si="156"/>
        <v>27.569559842869719</v>
      </c>
      <c r="H1994" s="2524">
        <f t="shared" si="157"/>
        <v>16.960031496834333</v>
      </c>
      <c r="I1994" s="2524">
        <f t="shared" si="158"/>
        <v>13.423522048155872</v>
      </c>
    </row>
    <row r="1995" spans="2:9">
      <c r="B1995" s="2251">
        <v>45784</v>
      </c>
      <c r="C1995">
        <v>19.527699999999999</v>
      </c>
      <c r="D1995" s="2935"/>
      <c r="E1995" s="2523">
        <f t="shared" si="155"/>
        <v>20.496540945512795</v>
      </c>
      <c r="F1995" s="2261">
        <f t="shared" si="154"/>
        <v>24.033050394191257</v>
      </c>
      <c r="G1995" s="2524">
        <f t="shared" si="156"/>
        <v>27.569559842869719</v>
      </c>
      <c r="H1995" s="2524">
        <f t="shared" si="157"/>
        <v>16.960031496834333</v>
      </c>
      <c r="I1995" s="2524">
        <f t="shared" si="158"/>
        <v>13.423522048155872</v>
      </c>
    </row>
    <row r="1996" spans="2:9">
      <c r="B1996" s="2251">
        <v>45785</v>
      </c>
      <c r="C1996">
        <v>20.346599999999999</v>
      </c>
      <c r="D1996" s="2935"/>
      <c r="E1996" s="2523">
        <f t="shared" si="155"/>
        <v>20.496540945512795</v>
      </c>
      <c r="F1996" s="2261">
        <f t="shared" si="154"/>
        <v>24.033050394191257</v>
      </c>
      <c r="G1996" s="2524">
        <f t="shared" si="156"/>
        <v>27.569559842869719</v>
      </c>
      <c r="H1996" s="2524">
        <f t="shared" si="157"/>
        <v>16.960031496834333</v>
      </c>
      <c r="I1996" s="2524">
        <f t="shared" si="158"/>
        <v>13.423522048155872</v>
      </c>
    </row>
    <row r="1997" spans="2:9">
      <c r="B1997" s="2251">
        <v>45786</v>
      </c>
      <c r="C1997">
        <v>20.6492</v>
      </c>
      <c r="D1997" s="2935"/>
      <c r="E1997" s="2523">
        <f t="shared" si="155"/>
        <v>20.496540945512795</v>
      </c>
      <c r="F1997" s="2261">
        <f t="shared" si="154"/>
        <v>24.033050394191257</v>
      </c>
      <c r="G1997" s="2524">
        <f t="shared" si="156"/>
        <v>27.569559842869719</v>
      </c>
      <c r="H1997" s="2524">
        <f t="shared" si="157"/>
        <v>16.960031496834333</v>
      </c>
      <c r="I1997" s="2524">
        <f t="shared" si="158"/>
        <v>13.423522048155872</v>
      </c>
    </row>
    <row r="1998" spans="2:9">
      <c r="B1998" s="2251">
        <v>45789</v>
      </c>
      <c r="C1998">
        <v>21.058599999999998</v>
      </c>
      <c r="D1998" s="2935"/>
      <c r="E1998" s="2523">
        <f t="shared" si="155"/>
        <v>20.496540945512795</v>
      </c>
      <c r="F1998" s="2261">
        <f t="shared" si="154"/>
        <v>24.033050394191257</v>
      </c>
      <c r="G1998" s="2524">
        <f t="shared" si="156"/>
        <v>27.569559842869719</v>
      </c>
      <c r="H1998" s="2524">
        <f t="shared" si="157"/>
        <v>16.960031496834333</v>
      </c>
      <c r="I1998" s="2524">
        <f t="shared" si="158"/>
        <v>13.423522048155872</v>
      </c>
    </row>
    <row r="1999" spans="2:9">
      <c r="B1999" s="2251">
        <v>45790</v>
      </c>
      <c r="C1999">
        <v>21.272200000000002</v>
      </c>
      <c r="D1999" s="2935"/>
      <c r="E1999" s="2523">
        <f t="shared" si="155"/>
        <v>20.496540945512795</v>
      </c>
      <c r="F1999" s="2261">
        <f t="shared" si="154"/>
        <v>24.033050394191257</v>
      </c>
      <c r="G1999" s="2524">
        <f t="shared" si="156"/>
        <v>27.569559842869719</v>
      </c>
      <c r="H1999" s="2524">
        <f t="shared" si="157"/>
        <v>16.960031496834333</v>
      </c>
      <c r="I1999" s="2524">
        <f t="shared" si="158"/>
        <v>13.423522048155872</v>
      </c>
    </row>
    <row r="2000" spans="2:9">
      <c r="B2000" s="2251">
        <v>45791</v>
      </c>
      <c r="C2000">
        <v>22.482700000000001</v>
      </c>
      <c r="D2000" s="2935"/>
      <c r="E2000" s="2523">
        <f t="shared" si="155"/>
        <v>20.496540945512795</v>
      </c>
      <c r="F2000" s="2261">
        <f t="shared" si="154"/>
        <v>24.033050394191257</v>
      </c>
      <c r="G2000" s="2524">
        <f t="shared" si="156"/>
        <v>27.569559842869719</v>
      </c>
      <c r="H2000" s="2524">
        <f t="shared" si="157"/>
        <v>16.960031496834333</v>
      </c>
      <c r="I2000" s="2524">
        <f t="shared" si="158"/>
        <v>13.423522048155872</v>
      </c>
    </row>
    <row r="2001" spans="2:9">
      <c r="B2001" s="2251">
        <v>45792</v>
      </c>
      <c r="C2001">
        <v>22.251300000000001</v>
      </c>
      <c r="D2001" s="2935"/>
      <c r="E2001" s="2523">
        <f t="shared" si="155"/>
        <v>20.496540945512795</v>
      </c>
      <c r="F2001" s="2261">
        <f t="shared" si="154"/>
        <v>24.033050394191257</v>
      </c>
      <c r="G2001" s="2524">
        <f t="shared" si="156"/>
        <v>27.569559842869719</v>
      </c>
      <c r="H2001" s="2524">
        <f t="shared" si="157"/>
        <v>16.960031496834333</v>
      </c>
      <c r="I2001" s="2524">
        <f t="shared" si="158"/>
        <v>13.423522048155872</v>
      </c>
    </row>
    <row r="2002" spans="2:9">
      <c r="B2002" s="2251">
        <v>45793</v>
      </c>
      <c r="C2002">
        <v>21.539200000000001</v>
      </c>
      <c r="D2002" s="2935"/>
      <c r="E2002" s="2523">
        <f t="shared" si="155"/>
        <v>20.496540945512795</v>
      </c>
      <c r="F2002" s="2261">
        <f t="shared" si="154"/>
        <v>24.033050394191257</v>
      </c>
      <c r="G2002" s="2524">
        <f t="shared" si="156"/>
        <v>27.569559842869719</v>
      </c>
      <c r="H2002" s="2524">
        <f t="shared" si="157"/>
        <v>16.960031496834333</v>
      </c>
      <c r="I2002" s="2524">
        <f t="shared" si="158"/>
        <v>13.423522048155872</v>
      </c>
    </row>
    <row r="2003" spans="2:9">
      <c r="B2003" s="2251">
        <v>45796</v>
      </c>
      <c r="C2003">
        <v>21.040800000000001</v>
      </c>
      <c r="D2003" s="2935"/>
      <c r="E2003" s="2523">
        <f t="shared" si="155"/>
        <v>20.496540945512795</v>
      </c>
      <c r="F2003" s="2261">
        <f t="shared" si="154"/>
        <v>24.033050394191257</v>
      </c>
      <c r="G2003" s="2524">
        <f t="shared" si="156"/>
        <v>27.569559842869719</v>
      </c>
      <c r="H2003" s="2524">
        <f t="shared" si="157"/>
        <v>16.960031496834333</v>
      </c>
      <c r="I2003" s="2524">
        <f t="shared" si="158"/>
        <v>13.423522048155872</v>
      </c>
    </row>
    <row r="2004" spans="2:9">
      <c r="B2004" s="2251">
        <v>45797</v>
      </c>
      <c r="C2004">
        <v>21.218800000000002</v>
      </c>
      <c r="D2004" s="2935"/>
      <c r="E2004" s="2523">
        <f t="shared" si="155"/>
        <v>20.496540945512795</v>
      </c>
      <c r="F2004" s="2261">
        <f t="shared" si="154"/>
        <v>24.033050394191257</v>
      </c>
      <c r="G2004" s="2524">
        <f t="shared" si="156"/>
        <v>27.569559842869719</v>
      </c>
      <c r="H2004" s="2524">
        <f t="shared" si="157"/>
        <v>16.960031496834333</v>
      </c>
      <c r="I2004" s="2524">
        <f t="shared" si="158"/>
        <v>13.423522048155872</v>
      </c>
    </row>
    <row r="2005" spans="2:9">
      <c r="B2005" s="2251">
        <v>45798</v>
      </c>
      <c r="C2005">
        <v>21.058599999999998</v>
      </c>
      <c r="D2005" s="2935"/>
      <c r="E2005" s="2523">
        <f t="shared" si="155"/>
        <v>20.496540945512795</v>
      </c>
      <c r="F2005" s="2261">
        <f t="shared" si="154"/>
        <v>24.033050394191257</v>
      </c>
      <c r="G2005" s="2524">
        <f t="shared" si="156"/>
        <v>27.569559842869719</v>
      </c>
      <c r="H2005" s="2524">
        <f t="shared" si="157"/>
        <v>16.960031496834333</v>
      </c>
      <c r="I2005" s="2524">
        <f t="shared" si="158"/>
        <v>13.423522048155872</v>
      </c>
    </row>
    <row r="2006" spans="2:9">
      <c r="B2006" s="2251">
        <v>45799</v>
      </c>
      <c r="C2006">
        <v>20.791599999999999</v>
      </c>
      <c r="D2006" s="2935"/>
      <c r="E2006" s="2523">
        <f t="shared" si="155"/>
        <v>20.496540945512795</v>
      </c>
      <c r="F2006" s="2261">
        <f t="shared" si="154"/>
        <v>24.033050394191257</v>
      </c>
      <c r="G2006" s="2524">
        <f t="shared" si="156"/>
        <v>27.569559842869719</v>
      </c>
      <c r="H2006" s="2524">
        <f t="shared" si="157"/>
        <v>16.960031496834333</v>
      </c>
      <c r="I2006" s="2524">
        <f t="shared" si="158"/>
        <v>13.423522048155872</v>
      </c>
    </row>
    <row r="2007" spans="2:9">
      <c r="B2007" s="2251">
        <v>45800</v>
      </c>
      <c r="C2007">
        <v>20.844999999999999</v>
      </c>
      <c r="D2007" s="2935"/>
      <c r="E2007" s="2523">
        <f t="shared" si="155"/>
        <v>20.496540945512795</v>
      </c>
      <c r="F2007" s="2261">
        <f t="shared" si="154"/>
        <v>24.033050394191257</v>
      </c>
      <c r="G2007" s="2524">
        <f t="shared" si="156"/>
        <v>27.569559842869719</v>
      </c>
      <c r="H2007" s="2524">
        <f t="shared" si="157"/>
        <v>16.960031496834333</v>
      </c>
      <c r="I2007" s="2524">
        <f t="shared" si="158"/>
        <v>13.423522048155872</v>
      </c>
    </row>
    <row r="2008" spans="2:9">
      <c r="B2008" s="2251">
        <v>45803</v>
      </c>
      <c r="C2008">
        <v>20.880600000000001</v>
      </c>
      <c r="D2008" s="2935"/>
      <c r="E2008" s="2523">
        <f t="shared" si="155"/>
        <v>20.496540945512795</v>
      </c>
      <c r="F2008" s="2261">
        <f t="shared" si="154"/>
        <v>24.033050394191257</v>
      </c>
      <c r="G2008" s="2524">
        <f t="shared" si="156"/>
        <v>27.569559842869719</v>
      </c>
      <c r="H2008" s="2524">
        <f t="shared" si="157"/>
        <v>16.960031496834333</v>
      </c>
      <c r="I2008" s="2524">
        <f t="shared" si="158"/>
        <v>13.423522048155872</v>
      </c>
    </row>
    <row r="2009" spans="2:9">
      <c r="B2009" s="2251">
        <v>45804</v>
      </c>
      <c r="C2009">
        <v>21.183199999999999</v>
      </c>
      <c r="D2009" s="2935"/>
      <c r="E2009" s="2523">
        <f t="shared" si="155"/>
        <v>20.496540945512795</v>
      </c>
      <c r="F2009" s="2261">
        <f t="shared" si="154"/>
        <v>24.033050394191257</v>
      </c>
      <c r="G2009" s="2524">
        <f t="shared" si="156"/>
        <v>27.569559842869719</v>
      </c>
      <c r="H2009" s="2524">
        <f t="shared" si="157"/>
        <v>16.960031496834333</v>
      </c>
      <c r="I2009" s="2524">
        <f t="shared" si="158"/>
        <v>13.423522048155872</v>
      </c>
    </row>
    <row r="2010" spans="2:9">
      <c r="B2010" s="2251">
        <v>45805</v>
      </c>
      <c r="C2010">
        <v>21.0764</v>
      </c>
      <c r="D2010" s="2935"/>
      <c r="E2010" s="2523">
        <f t="shared" si="155"/>
        <v>20.496540945512795</v>
      </c>
      <c r="F2010" s="2261">
        <f t="shared" si="154"/>
        <v>24.033050394191257</v>
      </c>
      <c r="G2010" s="2524">
        <f t="shared" si="156"/>
        <v>27.569559842869719</v>
      </c>
      <c r="H2010" s="2524">
        <f t="shared" si="157"/>
        <v>16.960031496834333</v>
      </c>
      <c r="I2010" s="2524">
        <f t="shared" si="158"/>
        <v>13.423522048155872</v>
      </c>
    </row>
    <row r="2011" spans="2:9">
      <c r="B2011" s="2251">
        <v>45806</v>
      </c>
      <c r="C2011">
        <v>20.844999999999999</v>
      </c>
      <c r="D2011" s="2935"/>
      <c r="E2011" s="2523">
        <f t="shared" si="155"/>
        <v>20.496540945512795</v>
      </c>
      <c r="F2011" s="2261">
        <f t="shared" si="154"/>
        <v>24.033050394191257</v>
      </c>
      <c r="G2011" s="2524">
        <f t="shared" si="156"/>
        <v>27.569559842869719</v>
      </c>
      <c r="H2011" s="2524">
        <f t="shared" si="157"/>
        <v>16.960031496834333</v>
      </c>
      <c r="I2011" s="2524">
        <f t="shared" si="158"/>
        <v>13.423522048155872</v>
      </c>
    </row>
    <row r="2012" spans="2:9">
      <c r="B2012" s="2251">
        <v>45807</v>
      </c>
      <c r="C2012">
        <v>20.738199999999999</v>
      </c>
      <c r="D2012" s="2935"/>
      <c r="E2012" s="2523">
        <f t="shared" si="155"/>
        <v>20.496540945512795</v>
      </c>
      <c r="F2012" s="2261">
        <f t="shared" si="154"/>
        <v>24.033050394191257</v>
      </c>
      <c r="G2012" s="2524">
        <f t="shared" si="156"/>
        <v>27.569559842869719</v>
      </c>
      <c r="H2012" s="2524">
        <f t="shared" si="157"/>
        <v>16.960031496834333</v>
      </c>
      <c r="I2012" s="2524">
        <f t="shared" si="158"/>
        <v>13.423522048155872</v>
      </c>
    </row>
    <row r="2013" spans="2:9">
      <c r="B2013" s="2251">
        <v>45810</v>
      </c>
      <c r="C2013">
        <v>20.667000000000002</v>
      </c>
      <c r="D2013" s="2935"/>
      <c r="E2013" s="2523">
        <f t="shared" si="155"/>
        <v>20.496540945512795</v>
      </c>
      <c r="F2013" s="2261">
        <f t="shared" si="154"/>
        <v>24.033050394191257</v>
      </c>
      <c r="G2013" s="2524">
        <f t="shared" si="156"/>
        <v>27.569559842869719</v>
      </c>
      <c r="H2013" s="2524">
        <f t="shared" si="157"/>
        <v>16.960031496834333</v>
      </c>
      <c r="I2013" s="2524">
        <f t="shared" si="158"/>
        <v>13.423522048155872</v>
      </c>
    </row>
    <row r="2014" spans="2:9">
      <c r="B2014" s="2251">
        <v>45811</v>
      </c>
      <c r="C2014">
        <v>20.898399999999999</v>
      </c>
      <c r="D2014" s="2935"/>
      <c r="E2014" s="2523">
        <f t="shared" si="155"/>
        <v>20.496540945512795</v>
      </c>
      <c r="F2014" s="2261">
        <f t="shared" si="154"/>
        <v>24.033050394191257</v>
      </c>
      <c r="G2014" s="2524">
        <f t="shared" si="156"/>
        <v>27.569559842869719</v>
      </c>
      <c r="H2014" s="2524">
        <f t="shared" si="157"/>
        <v>16.960031496834333</v>
      </c>
      <c r="I2014" s="2524">
        <f t="shared" si="158"/>
        <v>13.423522048155872</v>
      </c>
    </row>
    <row r="2015" spans="2:9">
      <c r="B2015" s="2251">
        <v>45812</v>
      </c>
      <c r="C2015">
        <v>20.844999999999999</v>
      </c>
      <c r="D2015" s="2935"/>
      <c r="E2015" s="2523">
        <f t="shared" si="155"/>
        <v>20.496540945512795</v>
      </c>
      <c r="F2015" s="2261">
        <f t="shared" si="154"/>
        <v>24.033050394191257</v>
      </c>
      <c r="G2015" s="2524">
        <f t="shared" si="156"/>
        <v>27.569559842869719</v>
      </c>
      <c r="H2015" s="2524">
        <f t="shared" si="157"/>
        <v>16.960031496834333</v>
      </c>
      <c r="I2015" s="2524">
        <f t="shared" si="158"/>
        <v>13.423522048155872</v>
      </c>
    </row>
    <row r="2016" spans="2:9">
      <c r="B2016" s="2251">
        <v>45813</v>
      </c>
      <c r="C2016">
        <v>20.791599999999999</v>
      </c>
      <c r="D2016" s="2935"/>
      <c r="E2016" s="2523">
        <f t="shared" si="155"/>
        <v>20.496540945512795</v>
      </c>
      <c r="F2016" s="2261">
        <f t="shared" si="154"/>
        <v>24.033050394191257</v>
      </c>
      <c r="G2016" s="2524">
        <f t="shared" si="156"/>
        <v>27.569559842869719</v>
      </c>
      <c r="H2016" s="2524">
        <f t="shared" si="157"/>
        <v>16.960031496834333</v>
      </c>
      <c r="I2016" s="2524">
        <f t="shared" si="158"/>
        <v>13.423522048155872</v>
      </c>
    </row>
    <row r="2017" spans="2:9">
      <c r="B2017" s="2251">
        <v>45814</v>
      </c>
      <c r="C2017">
        <v>20.4712</v>
      </c>
      <c r="D2017" s="2935"/>
      <c r="E2017" s="2523">
        <f t="shared" si="155"/>
        <v>20.496540945512795</v>
      </c>
      <c r="F2017" s="2261">
        <f t="shared" si="154"/>
        <v>24.033050394191257</v>
      </c>
      <c r="G2017" s="2524">
        <f t="shared" si="156"/>
        <v>27.569559842869719</v>
      </c>
      <c r="H2017" s="2524">
        <f t="shared" si="157"/>
        <v>16.960031496834333</v>
      </c>
      <c r="I2017" s="2524">
        <f t="shared" si="158"/>
        <v>13.423522048155872</v>
      </c>
    </row>
    <row r="2018" spans="2:9">
      <c r="B2018" s="2251">
        <v>45817</v>
      </c>
      <c r="C2018">
        <v>20.684799999999999</v>
      </c>
      <c r="D2018" s="2935"/>
      <c r="E2018" s="2523">
        <f t="shared" si="155"/>
        <v>20.496540945512795</v>
      </c>
      <c r="F2018" s="2261">
        <f t="shared" si="154"/>
        <v>24.033050394191257</v>
      </c>
      <c r="G2018" s="2524">
        <f t="shared" si="156"/>
        <v>27.569559842869719</v>
      </c>
      <c r="H2018" s="2524">
        <f t="shared" si="157"/>
        <v>16.960031496834333</v>
      </c>
      <c r="I2018" s="2524">
        <f t="shared" si="158"/>
        <v>13.423522048155872</v>
      </c>
    </row>
    <row r="2019" spans="2:9">
      <c r="B2019" s="2251">
        <v>45818</v>
      </c>
      <c r="C2019">
        <v>20.595800000000001</v>
      </c>
      <c r="D2019" s="2935"/>
      <c r="E2019" s="2523">
        <f t="shared" si="155"/>
        <v>20.496540945512795</v>
      </c>
      <c r="F2019" s="2261">
        <f t="shared" si="154"/>
        <v>24.033050394191257</v>
      </c>
      <c r="G2019" s="2524">
        <f t="shared" si="156"/>
        <v>27.569559842869719</v>
      </c>
      <c r="H2019" s="2524">
        <f t="shared" si="157"/>
        <v>16.960031496834333</v>
      </c>
      <c r="I2019" s="2524">
        <f t="shared" si="158"/>
        <v>13.423522048155872</v>
      </c>
    </row>
    <row r="2020" spans="2:9">
      <c r="B2020" s="2251">
        <v>45819</v>
      </c>
      <c r="C2020">
        <v>20.987400000000001</v>
      </c>
      <c r="D2020" s="2935"/>
      <c r="E2020" s="2523">
        <f t="shared" si="155"/>
        <v>20.496540945512795</v>
      </c>
      <c r="F2020" s="2261">
        <f t="shared" si="154"/>
        <v>24.033050394191257</v>
      </c>
      <c r="G2020" s="2524">
        <f t="shared" si="156"/>
        <v>27.569559842869719</v>
      </c>
      <c r="H2020" s="2524">
        <f t="shared" si="157"/>
        <v>16.960031496834333</v>
      </c>
      <c r="I2020" s="2524">
        <f t="shared" si="158"/>
        <v>13.423522048155872</v>
      </c>
    </row>
    <row r="2021" spans="2:9">
      <c r="B2021" s="2251">
        <v>45820</v>
      </c>
      <c r="C2021">
        <v>20.827200000000001</v>
      </c>
      <c r="D2021" s="2935"/>
      <c r="E2021" s="2523">
        <f t="shared" si="155"/>
        <v>20.496540945512795</v>
      </c>
      <c r="F2021" s="2261">
        <f t="shared" si="154"/>
        <v>24.033050394191257</v>
      </c>
      <c r="G2021" s="2524">
        <f t="shared" si="156"/>
        <v>27.569559842869719</v>
      </c>
      <c r="H2021" s="2524">
        <f t="shared" si="157"/>
        <v>16.960031496834333</v>
      </c>
      <c r="I2021" s="2524">
        <f t="shared" si="158"/>
        <v>13.423522048155872</v>
      </c>
    </row>
    <row r="2022" spans="2:9">
      <c r="B2022" s="2251">
        <v>45821</v>
      </c>
      <c r="C2022">
        <v>20.542400000000001</v>
      </c>
      <c r="D2022" s="2935"/>
      <c r="E2022" s="2523">
        <f t="shared" si="155"/>
        <v>20.496540945512795</v>
      </c>
      <c r="F2022" s="2261">
        <f t="shared" si="154"/>
        <v>24.033050394191257</v>
      </c>
      <c r="G2022" s="2524">
        <f t="shared" si="156"/>
        <v>27.569559842869719</v>
      </c>
      <c r="H2022" s="2524">
        <f t="shared" si="157"/>
        <v>16.960031496834333</v>
      </c>
      <c r="I2022" s="2524">
        <f t="shared" si="158"/>
        <v>13.423522048155872</v>
      </c>
    </row>
    <row r="2023" spans="2:9">
      <c r="B2023" s="2251">
        <v>45824</v>
      </c>
      <c r="C2023">
        <v>21.183199999999999</v>
      </c>
      <c r="D2023" s="2935"/>
      <c r="E2023" s="2523">
        <f t="shared" si="155"/>
        <v>20.496540945512795</v>
      </c>
      <c r="F2023" s="2261">
        <f t="shared" si="154"/>
        <v>24.033050394191257</v>
      </c>
      <c r="G2023" s="2524">
        <f t="shared" si="156"/>
        <v>27.569559842869719</v>
      </c>
      <c r="H2023" s="2524">
        <f t="shared" si="157"/>
        <v>16.960031496834333</v>
      </c>
      <c r="I2023" s="2524">
        <f t="shared" si="158"/>
        <v>13.423522048155872</v>
      </c>
    </row>
    <row r="2024" spans="2:9">
      <c r="B2024" s="2251">
        <v>45825</v>
      </c>
      <c r="C2024">
        <v>21.147600000000001</v>
      </c>
      <c r="D2024" s="2935"/>
      <c r="E2024" s="2523">
        <f t="shared" si="155"/>
        <v>20.496540945512795</v>
      </c>
      <c r="F2024" s="2261">
        <f t="shared" si="154"/>
        <v>24.033050394191257</v>
      </c>
      <c r="G2024" s="2524">
        <f t="shared" si="156"/>
        <v>27.569559842869719</v>
      </c>
      <c r="H2024" s="2524">
        <f t="shared" si="157"/>
        <v>16.960031496834333</v>
      </c>
      <c r="I2024" s="2524">
        <f t="shared" si="158"/>
        <v>13.423522048155872</v>
      </c>
    </row>
    <row r="2025" spans="2:9">
      <c r="B2025" s="2251">
        <v>45826</v>
      </c>
      <c r="C2025">
        <v>20.827200000000001</v>
      </c>
      <c r="D2025" s="2935"/>
      <c r="E2025" s="2523">
        <f t="shared" si="155"/>
        <v>20.496540945512795</v>
      </c>
      <c r="F2025" s="2261">
        <f t="shared" si="154"/>
        <v>24.033050394191257</v>
      </c>
      <c r="G2025" s="2524">
        <f t="shared" si="156"/>
        <v>27.569559842869719</v>
      </c>
      <c r="H2025" s="2524">
        <f t="shared" si="157"/>
        <v>16.960031496834333</v>
      </c>
      <c r="I2025" s="2524">
        <f t="shared" si="158"/>
        <v>13.423522048155872</v>
      </c>
    </row>
    <row r="2026" spans="2:9">
      <c r="B2026" s="2251">
        <v>45827</v>
      </c>
      <c r="C2026">
        <v>20.6492</v>
      </c>
      <c r="D2026" s="2935"/>
      <c r="E2026" s="2523">
        <f t="shared" si="155"/>
        <v>20.496540945512795</v>
      </c>
      <c r="F2026" s="2261">
        <f t="shared" si="154"/>
        <v>24.033050394191257</v>
      </c>
      <c r="G2026" s="2524">
        <f t="shared" si="156"/>
        <v>27.569559842869719</v>
      </c>
      <c r="H2026" s="2524">
        <f t="shared" si="157"/>
        <v>16.960031496834333</v>
      </c>
      <c r="I2026" s="2524">
        <f t="shared" si="158"/>
        <v>13.423522048155872</v>
      </c>
    </row>
    <row r="2027" spans="2:9">
      <c r="B2027" s="2251">
        <v>45828</v>
      </c>
      <c r="C2027">
        <v>20.667000000000002</v>
      </c>
      <c r="D2027" s="2935"/>
      <c r="E2027" s="2523">
        <f t="shared" si="155"/>
        <v>20.496540945512795</v>
      </c>
      <c r="F2027" s="2261">
        <f t="shared" si="154"/>
        <v>24.033050394191257</v>
      </c>
      <c r="G2027" s="2524">
        <f t="shared" si="156"/>
        <v>27.569559842869719</v>
      </c>
      <c r="H2027" s="2524">
        <f t="shared" si="157"/>
        <v>16.960031496834333</v>
      </c>
      <c r="I2027" s="2524">
        <f t="shared" si="158"/>
        <v>13.423522048155872</v>
      </c>
    </row>
    <row r="2028" spans="2:9">
      <c r="B2028" s="2251">
        <v>45831</v>
      </c>
      <c r="C2028">
        <v>20.631399999999999</v>
      </c>
      <c r="D2028" s="2935"/>
      <c r="E2028" s="2523">
        <f t="shared" si="155"/>
        <v>20.496540945512795</v>
      </c>
      <c r="F2028" s="2261">
        <f t="shared" si="154"/>
        <v>24.033050394191257</v>
      </c>
      <c r="G2028" s="2524">
        <f t="shared" si="156"/>
        <v>27.569559842869719</v>
      </c>
      <c r="H2028" s="2524">
        <f t="shared" si="157"/>
        <v>16.960031496834333</v>
      </c>
      <c r="I2028" s="2524">
        <f t="shared" si="158"/>
        <v>13.423522048155872</v>
      </c>
    </row>
    <row r="2029" spans="2:9">
      <c r="B2029" s="2251">
        <v>45832</v>
      </c>
      <c r="C2029">
        <v>20.738199999999999</v>
      </c>
      <c r="D2029" s="2935"/>
      <c r="E2029" s="2523">
        <f t="shared" si="155"/>
        <v>20.496540945512795</v>
      </c>
      <c r="F2029" s="2261">
        <f t="shared" si="154"/>
        <v>24.033050394191257</v>
      </c>
      <c r="G2029" s="2524">
        <f t="shared" si="156"/>
        <v>27.569559842869719</v>
      </c>
      <c r="H2029" s="2524">
        <f t="shared" si="157"/>
        <v>16.960031496834333</v>
      </c>
      <c r="I2029" s="2524">
        <f t="shared" si="158"/>
        <v>13.423522048155872</v>
      </c>
    </row>
    <row r="2030" spans="2:9">
      <c r="B2030" s="2251">
        <v>45833</v>
      </c>
      <c r="C2030">
        <v>20.844999999999999</v>
      </c>
      <c r="D2030" s="2935"/>
      <c r="E2030" s="2523">
        <f t="shared" si="155"/>
        <v>20.496540945512795</v>
      </c>
      <c r="F2030" s="2261">
        <f t="shared" si="154"/>
        <v>24.033050394191257</v>
      </c>
      <c r="G2030" s="2524">
        <f t="shared" si="156"/>
        <v>27.569559842869719</v>
      </c>
      <c r="H2030" s="2524">
        <f t="shared" si="157"/>
        <v>16.960031496834333</v>
      </c>
      <c r="I2030" s="2524">
        <f t="shared" si="158"/>
        <v>13.423522048155872</v>
      </c>
    </row>
    <row r="2031" spans="2:9">
      <c r="B2031" s="2251">
        <v>45834</v>
      </c>
      <c r="C2031">
        <v>20.827200000000001</v>
      </c>
      <c r="D2031" s="2935"/>
      <c r="E2031" s="2523">
        <f t="shared" si="155"/>
        <v>20.496540945512795</v>
      </c>
      <c r="F2031" s="2261">
        <f t="shared" si="154"/>
        <v>24.033050394191257</v>
      </c>
      <c r="G2031" s="2524">
        <f t="shared" si="156"/>
        <v>27.569559842869719</v>
      </c>
      <c r="H2031" s="2524">
        <f t="shared" si="157"/>
        <v>16.960031496834333</v>
      </c>
      <c r="I2031" s="2524">
        <f t="shared" si="158"/>
        <v>13.423522048155872</v>
      </c>
    </row>
    <row r="2032" spans="2:9">
      <c r="B2032" s="2251">
        <v>45835</v>
      </c>
      <c r="C2032">
        <v>20.880600000000001</v>
      </c>
      <c r="D2032" s="2935"/>
      <c r="E2032" s="2523">
        <f t="shared" si="155"/>
        <v>20.496540945512795</v>
      </c>
      <c r="F2032" s="2261">
        <f t="shared" si="154"/>
        <v>24.033050394191257</v>
      </c>
      <c r="G2032" s="2524">
        <f t="shared" si="156"/>
        <v>27.569559842869719</v>
      </c>
      <c r="H2032" s="2524">
        <f t="shared" si="157"/>
        <v>16.960031496834333</v>
      </c>
      <c r="I2032" s="2524">
        <f t="shared" si="158"/>
        <v>13.423522048155872</v>
      </c>
    </row>
    <row r="2033" spans="2:9">
      <c r="B2033" s="2251">
        <v>45838</v>
      </c>
      <c r="C2033">
        <v>20.178799999999999</v>
      </c>
      <c r="D2033" s="2935"/>
      <c r="E2033" s="2523">
        <f t="shared" si="155"/>
        <v>20.496540945512795</v>
      </c>
      <c r="F2033" s="2261">
        <f t="shared" si="154"/>
        <v>24.033050394191257</v>
      </c>
      <c r="G2033" s="2524">
        <f t="shared" si="156"/>
        <v>27.569559842869719</v>
      </c>
      <c r="H2033" s="2524">
        <f t="shared" si="157"/>
        <v>16.960031496834333</v>
      </c>
      <c r="I2033" s="2524">
        <f t="shared" si="158"/>
        <v>13.423522048155872</v>
      </c>
    </row>
    <row r="2034" spans="2:9">
      <c r="B2034" s="2251">
        <v>45839</v>
      </c>
      <c r="C2034">
        <v>20.281199999999998</v>
      </c>
      <c r="D2034" s="2935"/>
      <c r="E2034" s="2523">
        <f t="shared" si="155"/>
        <v>20.496540945512795</v>
      </c>
      <c r="F2034" s="2261">
        <f t="shared" si="154"/>
        <v>24.033050394191257</v>
      </c>
      <c r="G2034" s="2524">
        <f t="shared" si="156"/>
        <v>27.569559842869719</v>
      </c>
      <c r="H2034" s="2524">
        <f t="shared" si="157"/>
        <v>16.960031496834333</v>
      </c>
      <c r="I2034" s="2524">
        <f t="shared" si="158"/>
        <v>13.423522048155872</v>
      </c>
    </row>
    <row r="2035" spans="2:9">
      <c r="B2035" s="2251">
        <v>45840</v>
      </c>
      <c r="C2035">
        <v>20.2471</v>
      </c>
      <c r="D2035" s="2935"/>
      <c r="E2035" s="2523">
        <f t="shared" si="155"/>
        <v>20.496540945512795</v>
      </c>
      <c r="F2035" s="2261">
        <f t="shared" si="154"/>
        <v>24.033050394191257</v>
      </c>
      <c r="G2035" s="2524">
        <f t="shared" si="156"/>
        <v>27.569559842869719</v>
      </c>
      <c r="H2035" s="2524">
        <f t="shared" si="157"/>
        <v>16.960031496834333</v>
      </c>
      <c r="I2035" s="2524">
        <f t="shared" si="158"/>
        <v>13.423522048155872</v>
      </c>
    </row>
    <row r="2036" spans="2:9">
      <c r="B2036" s="2251">
        <v>45841</v>
      </c>
      <c r="C2036">
        <v>20.1447</v>
      </c>
      <c r="D2036" s="2935"/>
      <c r="E2036" s="2523">
        <f t="shared" si="155"/>
        <v>20.496540945512795</v>
      </c>
      <c r="F2036" s="2261">
        <f t="shared" si="154"/>
        <v>24.033050394191257</v>
      </c>
      <c r="G2036" s="2524">
        <f t="shared" si="156"/>
        <v>27.569559842869719</v>
      </c>
      <c r="H2036" s="2524">
        <f t="shared" si="157"/>
        <v>16.960031496834333</v>
      </c>
      <c r="I2036" s="2524">
        <f t="shared" si="158"/>
        <v>13.423522048155872</v>
      </c>
    </row>
    <row r="2037" spans="2:9">
      <c r="B2037" s="2251">
        <v>45842</v>
      </c>
      <c r="C2037">
        <v>20.9129</v>
      </c>
      <c r="D2037" s="2935"/>
      <c r="E2037" s="2523">
        <f t="shared" si="155"/>
        <v>20.496540945512795</v>
      </c>
      <c r="F2037" s="2261">
        <f t="shared" si="154"/>
        <v>24.033050394191257</v>
      </c>
      <c r="G2037" s="2524">
        <f t="shared" si="156"/>
        <v>27.569559842869719</v>
      </c>
      <c r="H2037" s="2524">
        <f t="shared" si="157"/>
        <v>16.960031496834333</v>
      </c>
      <c r="I2037" s="2524">
        <f t="shared" si="158"/>
        <v>13.423522048155872</v>
      </c>
    </row>
    <row r="2038" spans="2:9">
      <c r="B2038" s="2251">
        <v>45845</v>
      </c>
      <c r="C2038">
        <v>21.134799999999998</v>
      </c>
      <c r="D2038" s="2935"/>
      <c r="E2038" s="2523">
        <f t="shared" si="155"/>
        <v>20.496540945512795</v>
      </c>
      <c r="F2038" s="2261">
        <f t="shared" si="154"/>
        <v>24.033050394191257</v>
      </c>
      <c r="G2038" s="2524">
        <f t="shared" si="156"/>
        <v>27.569559842869719</v>
      </c>
      <c r="H2038" s="2524">
        <f t="shared" si="157"/>
        <v>16.960031496834333</v>
      </c>
      <c r="I2038" s="2524">
        <f t="shared" si="158"/>
        <v>13.423522048155872</v>
      </c>
    </row>
    <row r="2039" spans="2:9">
      <c r="B2039" s="2251">
        <v>45846</v>
      </c>
      <c r="C2039">
        <v>21.254300000000001</v>
      </c>
      <c r="D2039" s="2935"/>
      <c r="E2039" s="2523">
        <f t="shared" si="155"/>
        <v>20.496540945512795</v>
      </c>
      <c r="F2039" s="2261">
        <f t="shared" si="154"/>
        <v>24.033050394191257</v>
      </c>
      <c r="G2039" s="2524">
        <f t="shared" si="156"/>
        <v>27.569559842869719</v>
      </c>
      <c r="H2039" s="2524">
        <f t="shared" si="157"/>
        <v>16.960031496834333</v>
      </c>
      <c r="I2039" s="2524">
        <f t="shared" si="158"/>
        <v>13.423522048155872</v>
      </c>
    </row>
    <row r="2040" spans="2:9">
      <c r="B2040" s="2251">
        <v>45847</v>
      </c>
      <c r="C2040">
        <v>20.964099999999998</v>
      </c>
      <c r="D2040" s="2935"/>
      <c r="E2040" s="2523">
        <f t="shared" si="155"/>
        <v>20.496540945512795</v>
      </c>
      <c r="F2040" s="2261">
        <f t="shared" si="154"/>
        <v>24.033050394191257</v>
      </c>
      <c r="G2040" s="2524">
        <f t="shared" si="156"/>
        <v>27.569559842869719</v>
      </c>
      <c r="H2040" s="2524">
        <f t="shared" si="157"/>
        <v>16.960031496834333</v>
      </c>
      <c r="I2040" s="2524">
        <f t="shared" si="158"/>
        <v>13.423522048155872</v>
      </c>
    </row>
    <row r="2041" spans="2:9">
      <c r="B2041" s="2251">
        <v>45848</v>
      </c>
      <c r="C2041">
        <v>21.151900000000001</v>
      </c>
      <c r="D2041" s="2935"/>
      <c r="E2041" s="2523">
        <f t="shared" si="155"/>
        <v>20.496540945512795</v>
      </c>
      <c r="F2041" s="2261">
        <f t="shared" si="154"/>
        <v>24.033050394191257</v>
      </c>
      <c r="G2041" s="2524">
        <f t="shared" si="156"/>
        <v>27.569559842869719</v>
      </c>
      <c r="H2041" s="2524">
        <f t="shared" si="157"/>
        <v>16.960031496834333</v>
      </c>
      <c r="I2041" s="2524">
        <f t="shared" si="158"/>
        <v>13.423522048155872</v>
      </c>
    </row>
    <row r="2042" spans="2:9">
      <c r="B2042" s="2251">
        <v>45849</v>
      </c>
      <c r="C2042">
        <v>21.6128</v>
      </c>
      <c r="D2042" s="2935"/>
      <c r="E2042" s="2523">
        <f t="shared" si="155"/>
        <v>20.496540945512795</v>
      </c>
      <c r="F2042" s="2261">
        <f t="shared" si="154"/>
        <v>24.033050394191257</v>
      </c>
      <c r="G2042" s="2524">
        <f t="shared" si="156"/>
        <v>27.569559842869719</v>
      </c>
      <c r="H2042" s="2524">
        <f t="shared" si="157"/>
        <v>16.960031496834333</v>
      </c>
      <c r="I2042" s="2524">
        <f t="shared" si="158"/>
        <v>13.423522048155872</v>
      </c>
    </row>
    <row r="2043" spans="2:9">
      <c r="B2043" s="2251">
        <v>45852</v>
      </c>
      <c r="C2043">
        <v>21.6982</v>
      </c>
      <c r="D2043" s="2935"/>
      <c r="E2043" s="2523">
        <f t="shared" si="155"/>
        <v>20.496540945512795</v>
      </c>
      <c r="F2043" s="2261">
        <f t="shared" si="154"/>
        <v>24.033050394191257</v>
      </c>
      <c r="G2043" s="2524">
        <f t="shared" si="156"/>
        <v>27.569559842869719</v>
      </c>
      <c r="H2043" s="2524">
        <f t="shared" si="157"/>
        <v>16.960031496834333</v>
      </c>
      <c r="I2043" s="2524">
        <f t="shared" si="158"/>
        <v>13.423522048155872</v>
      </c>
    </row>
    <row r="2044" spans="2:9">
      <c r="B2044" s="2251">
        <v>45853</v>
      </c>
      <c r="C2044">
        <v>21.510400000000001</v>
      </c>
      <c r="D2044" s="2935"/>
      <c r="E2044" s="2523">
        <f t="shared" si="155"/>
        <v>20.496540945512795</v>
      </c>
      <c r="F2044" s="2261">
        <f t="shared" si="154"/>
        <v>24.033050394191257</v>
      </c>
      <c r="G2044" s="2524">
        <f t="shared" si="156"/>
        <v>27.569559842869719</v>
      </c>
      <c r="H2044" s="2524">
        <f t="shared" si="157"/>
        <v>16.960031496834333</v>
      </c>
      <c r="I2044" s="2524">
        <f t="shared" si="158"/>
        <v>13.423522048155872</v>
      </c>
    </row>
    <row r="2045" spans="2:9">
      <c r="B2045" s="2251">
        <v>45854</v>
      </c>
      <c r="C2045">
        <v>21.561599999999999</v>
      </c>
      <c r="D2045" s="2935"/>
      <c r="E2045" s="2523">
        <f t="shared" si="155"/>
        <v>20.496540945512795</v>
      </c>
      <c r="F2045" s="2261">
        <f t="shared" ref="F2045:F2108" si="159">I$953+F$953</f>
        <v>24.033050394191257</v>
      </c>
      <c r="G2045" s="2524">
        <f t="shared" si="156"/>
        <v>27.569559842869719</v>
      </c>
      <c r="H2045" s="2524">
        <f t="shared" si="157"/>
        <v>16.960031496834333</v>
      </c>
      <c r="I2045" s="2524">
        <f t="shared" si="158"/>
        <v>13.423522048155872</v>
      </c>
    </row>
    <row r="2046" spans="2:9">
      <c r="B2046" s="2251">
        <v>45855</v>
      </c>
      <c r="C2046">
        <v>21.681100000000001</v>
      </c>
      <c r="D2046" s="2935"/>
      <c r="E2046" s="2523">
        <f t="shared" ref="E2046:E2109" si="160">I$953</f>
        <v>20.496540945512795</v>
      </c>
      <c r="F2046" s="2261">
        <f t="shared" si="159"/>
        <v>24.033050394191257</v>
      </c>
      <c r="G2046" s="2524">
        <f t="shared" ref="G2046:G2109" si="161">I$953+F$953+F$953</f>
        <v>27.569559842869719</v>
      </c>
      <c r="H2046" s="2524">
        <f t="shared" ref="H2046:H2109" si="162">I$953-F$953</f>
        <v>16.960031496834333</v>
      </c>
      <c r="I2046" s="2524">
        <f t="shared" ref="I2046:I2109" si="163">I$953-F$953-F$953</f>
        <v>13.423522048155872</v>
      </c>
    </row>
    <row r="2047" spans="2:9">
      <c r="B2047" s="2251">
        <v>45856</v>
      </c>
      <c r="C2047">
        <v>21.510400000000001</v>
      </c>
      <c r="D2047" s="2935"/>
      <c r="E2047" s="2523">
        <f t="shared" si="160"/>
        <v>20.496540945512795</v>
      </c>
      <c r="F2047" s="2261">
        <f t="shared" si="159"/>
        <v>24.033050394191257</v>
      </c>
      <c r="G2047" s="2524">
        <f t="shared" si="161"/>
        <v>27.569559842869719</v>
      </c>
      <c r="H2047" s="2524">
        <f t="shared" si="162"/>
        <v>16.960031496834333</v>
      </c>
      <c r="I2047" s="2524">
        <f t="shared" si="163"/>
        <v>13.423522048155872</v>
      </c>
    </row>
    <row r="2048" spans="2:9">
      <c r="B2048" s="2251">
        <v>45859</v>
      </c>
      <c r="C2048">
        <v>21.654599999999999</v>
      </c>
      <c r="D2048" s="2935"/>
      <c r="E2048" s="2523">
        <f t="shared" si="160"/>
        <v>20.496540945512795</v>
      </c>
      <c r="F2048" s="2261">
        <f t="shared" si="159"/>
        <v>24.033050394191257</v>
      </c>
      <c r="G2048" s="2524">
        <f t="shared" si="161"/>
        <v>27.569559842869719</v>
      </c>
      <c r="H2048" s="2524">
        <f t="shared" si="162"/>
        <v>16.960031496834333</v>
      </c>
      <c r="I2048" s="2524">
        <f t="shared" si="163"/>
        <v>13.423522048155872</v>
      </c>
    </row>
    <row r="2049" spans="2:9">
      <c r="B2049" s="2251">
        <v>45860</v>
      </c>
      <c r="C2049">
        <v>22.007999999999999</v>
      </c>
      <c r="D2049" s="2935"/>
      <c r="E2049" s="2523">
        <f t="shared" si="160"/>
        <v>20.496540945512795</v>
      </c>
      <c r="F2049" s="2261">
        <f t="shared" si="159"/>
        <v>24.033050394191257</v>
      </c>
      <c r="G2049" s="2524">
        <f t="shared" si="161"/>
        <v>27.569559842869719</v>
      </c>
      <c r="H2049" s="2524">
        <f t="shared" si="162"/>
        <v>16.960031496834333</v>
      </c>
      <c r="I2049" s="2524">
        <f t="shared" si="163"/>
        <v>13.423522048155872</v>
      </c>
    </row>
    <row r="2050" spans="2:9">
      <c r="B2050" s="2251">
        <v>45861</v>
      </c>
      <c r="C2050">
        <v>21.949100000000001</v>
      </c>
      <c r="D2050" s="2935"/>
      <c r="E2050" s="2523">
        <f t="shared" si="160"/>
        <v>20.496540945512795</v>
      </c>
      <c r="F2050" s="2261">
        <f t="shared" si="159"/>
        <v>24.033050394191257</v>
      </c>
      <c r="G2050" s="2524">
        <f t="shared" si="161"/>
        <v>27.569559842869719</v>
      </c>
      <c r="H2050" s="2524">
        <f t="shared" si="162"/>
        <v>16.960031496834333</v>
      </c>
      <c r="I2050" s="2524">
        <f t="shared" si="163"/>
        <v>13.423522048155872</v>
      </c>
    </row>
    <row r="2051" spans="2:9">
      <c r="B2051" s="2251">
        <v>45862</v>
      </c>
      <c r="C2051">
        <v>21.811699999999998</v>
      </c>
      <c r="D2051" s="2935"/>
      <c r="E2051" s="2523">
        <f t="shared" si="160"/>
        <v>20.496540945512795</v>
      </c>
      <c r="F2051" s="2261">
        <f t="shared" si="159"/>
        <v>24.033050394191257</v>
      </c>
      <c r="G2051" s="2524">
        <f t="shared" si="161"/>
        <v>27.569559842869719</v>
      </c>
      <c r="H2051" s="2524">
        <f t="shared" si="162"/>
        <v>16.960031496834333</v>
      </c>
      <c r="I2051" s="2524">
        <f t="shared" si="163"/>
        <v>13.423522048155872</v>
      </c>
    </row>
    <row r="2052" spans="2:9">
      <c r="B2052" s="2251">
        <v>45863</v>
      </c>
      <c r="C2052">
        <v>21.7332</v>
      </c>
      <c r="D2052" s="2935"/>
      <c r="E2052" s="2523">
        <f t="shared" si="160"/>
        <v>20.496540945512795</v>
      </c>
      <c r="F2052" s="2261">
        <f t="shared" si="159"/>
        <v>24.033050394191257</v>
      </c>
      <c r="G2052" s="2524">
        <f t="shared" si="161"/>
        <v>27.569559842869719</v>
      </c>
      <c r="H2052" s="2524">
        <f t="shared" si="162"/>
        <v>16.960031496834333</v>
      </c>
      <c r="I2052" s="2524">
        <f t="shared" si="163"/>
        <v>13.423522048155872</v>
      </c>
    </row>
    <row r="2053" spans="2:9">
      <c r="B2053" s="2251">
        <v>45866</v>
      </c>
      <c r="C2053">
        <v>21.850999999999999</v>
      </c>
      <c r="D2053" s="2935"/>
      <c r="E2053" s="2523">
        <f t="shared" si="160"/>
        <v>20.496540945512795</v>
      </c>
      <c r="F2053" s="2261">
        <f t="shared" si="159"/>
        <v>24.033050394191257</v>
      </c>
      <c r="G2053" s="2524">
        <f t="shared" si="161"/>
        <v>27.569559842869719</v>
      </c>
      <c r="H2053" s="2524">
        <f t="shared" si="162"/>
        <v>16.960031496834333</v>
      </c>
      <c r="I2053" s="2524">
        <f t="shared" si="163"/>
        <v>13.423522048155872</v>
      </c>
    </row>
    <row r="2054" spans="2:9">
      <c r="B2054" s="2251">
        <v>45867</v>
      </c>
      <c r="C2054">
        <v>20.810400000000001</v>
      </c>
      <c r="D2054" s="2935"/>
      <c r="E2054" s="2523">
        <f t="shared" si="160"/>
        <v>20.496540945512795</v>
      </c>
      <c r="F2054" s="2261">
        <f t="shared" si="159"/>
        <v>24.033050394191257</v>
      </c>
      <c r="G2054" s="2524">
        <f t="shared" si="161"/>
        <v>27.569559842869719</v>
      </c>
      <c r="H2054" s="2524">
        <f t="shared" si="162"/>
        <v>16.960031496834333</v>
      </c>
      <c r="I2054" s="2524">
        <f t="shared" si="163"/>
        <v>13.423522048155872</v>
      </c>
    </row>
    <row r="2055" spans="2:9">
      <c r="B2055" s="2251">
        <v>45868</v>
      </c>
      <c r="C2055">
        <v>20.830100000000002</v>
      </c>
      <c r="D2055" s="2935"/>
      <c r="E2055" s="2523">
        <f t="shared" si="160"/>
        <v>20.496540945512795</v>
      </c>
      <c r="F2055" s="2261">
        <f t="shared" si="159"/>
        <v>24.033050394191257</v>
      </c>
      <c r="G2055" s="2524">
        <f t="shared" si="161"/>
        <v>27.569559842869719</v>
      </c>
      <c r="H2055" s="2524">
        <f t="shared" si="162"/>
        <v>16.960031496834333</v>
      </c>
      <c r="I2055" s="2524">
        <f t="shared" si="163"/>
        <v>13.423522048155872</v>
      </c>
    </row>
    <row r="2056" spans="2:9">
      <c r="B2056" s="2251">
        <v>45869</v>
      </c>
      <c r="C2056">
        <v>20.4178</v>
      </c>
      <c r="D2056" s="2935"/>
      <c r="E2056" s="2523">
        <f t="shared" si="160"/>
        <v>20.496540945512795</v>
      </c>
      <c r="F2056" s="2261">
        <f t="shared" si="159"/>
        <v>24.033050394191257</v>
      </c>
      <c r="G2056" s="2524">
        <f t="shared" si="161"/>
        <v>27.569559842869719</v>
      </c>
      <c r="H2056" s="2524">
        <f t="shared" si="162"/>
        <v>16.960031496834333</v>
      </c>
      <c r="I2056" s="2524">
        <f t="shared" si="163"/>
        <v>13.423522048155872</v>
      </c>
    </row>
    <row r="2057" spans="2:9">
      <c r="B2057" s="2251">
        <v>45870</v>
      </c>
      <c r="C2057">
        <v>21.006799999999998</v>
      </c>
      <c r="D2057" s="2935"/>
      <c r="E2057" s="2523">
        <f t="shared" si="160"/>
        <v>20.496540945512795</v>
      </c>
      <c r="F2057" s="2261">
        <f t="shared" si="159"/>
        <v>24.033050394191257</v>
      </c>
      <c r="G2057" s="2524">
        <f t="shared" si="161"/>
        <v>27.569559842869719</v>
      </c>
      <c r="H2057" s="2524">
        <f t="shared" si="162"/>
        <v>16.960031496834333</v>
      </c>
      <c r="I2057" s="2524">
        <f t="shared" si="163"/>
        <v>13.423522048155872</v>
      </c>
    </row>
    <row r="2058" spans="2:9">
      <c r="B2058" s="2251">
        <v>45873</v>
      </c>
      <c r="C2058">
        <v>20.9282</v>
      </c>
      <c r="D2058" s="2935"/>
      <c r="E2058" s="2523">
        <f t="shared" si="160"/>
        <v>20.496540945512795</v>
      </c>
      <c r="F2058" s="2261">
        <f t="shared" si="159"/>
        <v>24.033050394191257</v>
      </c>
      <c r="G2058" s="2524">
        <f t="shared" si="161"/>
        <v>27.569559842869719</v>
      </c>
      <c r="H2058" s="2524">
        <f t="shared" si="162"/>
        <v>16.960031496834333</v>
      </c>
      <c r="I2058" s="2524">
        <f t="shared" si="163"/>
        <v>13.423522048155872</v>
      </c>
    </row>
    <row r="2059" spans="2:9">
      <c r="B2059" s="2251">
        <v>45874</v>
      </c>
      <c r="C2059">
        <v>20.7712</v>
      </c>
      <c r="D2059" s="2935"/>
      <c r="E2059" s="2523">
        <f t="shared" si="160"/>
        <v>20.496540945512795</v>
      </c>
      <c r="F2059" s="2261">
        <f t="shared" si="159"/>
        <v>24.033050394191257</v>
      </c>
      <c r="G2059" s="2524">
        <f t="shared" si="161"/>
        <v>27.569559842869719</v>
      </c>
      <c r="H2059" s="2524">
        <f t="shared" si="162"/>
        <v>16.960031496834333</v>
      </c>
      <c r="I2059" s="2524">
        <f t="shared" si="163"/>
        <v>13.423522048155872</v>
      </c>
    </row>
    <row r="2060" spans="2:9">
      <c r="B2060" s="2251">
        <v>45875</v>
      </c>
      <c r="C2060">
        <v>20.5945</v>
      </c>
      <c r="D2060" s="2935"/>
      <c r="E2060" s="2523">
        <f t="shared" si="160"/>
        <v>20.496540945512795</v>
      </c>
      <c r="F2060" s="2261">
        <f t="shared" si="159"/>
        <v>24.033050394191257</v>
      </c>
      <c r="G2060" s="2524">
        <f t="shared" si="161"/>
        <v>27.569559842869719</v>
      </c>
      <c r="H2060" s="2524">
        <f t="shared" si="162"/>
        <v>16.960031496834333</v>
      </c>
      <c r="I2060" s="2524">
        <f t="shared" si="163"/>
        <v>13.423522048155872</v>
      </c>
    </row>
    <row r="2061" spans="2:9">
      <c r="B2061" s="2251">
        <v>45876</v>
      </c>
      <c r="C2061">
        <v>20.849699999999999</v>
      </c>
      <c r="D2061" s="2935"/>
      <c r="E2061" s="2523">
        <f t="shared" si="160"/>
        <v>20.496540945512795</v>
      </c>
      <c r="F2061" s="2261">
        <f t="shared" si="159"/>
        <v>24.033050394191257</v>
      </c>
      <c r="G2061" s="2524">
        <f t="shared" si="161"/>
        <v>27.569559842869719</v>
      </c>
      <c r="H2061" s="2524">
        <f t="shared" si="162"/>
        <v>16.960031496834333</v>
      </c>
      <c r="I2061" s="2524">
        <f t="shared" si="163"/>
        <v>13.423522048155872</v>
      </c>
    </row>
    <row r="2062" spans="2:9">
      <c r="B2062" s="2251">
        <v>45877</v>
      </c>
      <c r="C2062">
        <v>20.7319</v>
      </c>
      <c r="D2062" s="2935"/>
      <c r="E2062" s="2523">
        <f t="shared" si="160"/>
        <v>20.496540945512795</v>
      </c>
      <c r="F2062" s="2261">
        <f t="shared" si="159"/>
        <v>24.033050394191257</v>
      </c>
      <c r="G2062" s="2524">
        <f t="shared" si="161"/>
        <v>27.569559842869719</v>
      </c>
      <c r="H2062" s="2524">
        <f t="shared" si="162"/>
        <v>16.960031496834333</v>
      </c>
      <c r="I2062" s="2524">
        <f t="shared" si="163"/>
        <v>13.423522048155872</v>
      </c>
    </row>
    <row r="2063" spans="2:9">
      <c r="B2063" s="2251">
        <v>45880</v>
      </c>
      <c r="C2063">
        <v>20.888999999999999</v>
      </c>
      <c r="D2063" s="2935"/>
      <c r="E2063" s="2523">
        <f t="shared" si="160"/>
        <v>20.496540945512795</v>
      </c>
      <c r="F2063" s="2261">
        <f t="shared" si="159"/>
        <v>24.033050394191257</v>
      </c>
      <c r="G2063" s="2524">
        <f t="shared" si="161"/>
        <v>27.569559842869719</v>
      </c>
      <c r="H2063" s="2524">
        <f t="shared" si="162"/>
        <v>16.960031496834333</v>
      </c>
      <c r="I2063" s="2524">
        <f t="shared" si="163"/>
        <v>13.423522048155872</v>
      </c>
    </row>
    <row r="2064" spans="2:9">
      <c r="B2064" s="2251">
        <v>45881</v>
      </c>
      <c r="C2064">
        <v>21.104900000000001</v>
      </c>
      <c r="D2064" s="2935"/>
      <c r="E2064" s="2523">
        <f t="shared" si="160"/>
        <v>20.496540945512795</v>
      </c>
      <c r="F2064" s="2261">
        <f t="shared" si="159"/>
        <v>24.033050394191257</v>
      </c>
      <c r="G2064" s="2524">
        <f t="shared" si="161"/>
        <v>27.569559842869719</v>
      </c>
      <c r="H2064" s="2524">
        <f t="shared" si="162"/>
        <v>16.960031496834333</v>
      </c>
      <c r="I2064" s="2524">
        <f t="shared" si="163"/>
        <v>13.423522048155872</v>
      </c>
    </row>
    <row r="2065" spans="2:9">
      <c r="B2065" s="2251">
        <v>45882</v>
      </c>
      <c r="C2065">
        <v>20.633800000000001</v>
      </c>
      <c r="D2065" s="2935"/>
      <c r="E2065" s="2523">
        <f t="shared" si="160"/>
        <v>20.496540945512795</v>
      </c>
      <c r="F2065" s="2261">
        <f t="shared" si="159"/>
        <v>24.033050394191257</v>
      </c>
      <c r="G2065" s="2524">
        <f t="shared" si="161"/>
        <v>27.569559842869719</v>
      </c>
      <c r="H2065" s="2524">
        <f t="shared" si="162"/>
        <v>16.960031496834333</v>
      </c>
      <c r="I2065" s="2524">
        <f t="shared" si="163"/>
        <v>13.423522048155872</v>
      </c>
    </row>
    <row r="2066" spans="2:9">
      <c r="B2066" s="2251">
        <v>45883</v>
      </c>
      <c r="C2066">
        <v>20.378499999999999</v>
      </c>
      <c r="D2066" s="2935"/>
      <c r="E2066" s="2523">
        <f t="shared" si="160"/>
        <v>20.496540945512795</v>
      </c>
      <c r="F2066" s="2261">
        <f t="shared" si="159"/>
        <v>24.033050394191257</v>
      </c>
      <c r="G2066" s="2524">
        <f t="shared" si="161"/>
        <v>27.569559842869719</v>
      </c>
      <c r="H2066" s="2524">
        <f t="shared" si="162"/>
        <v>16.960031496834333</v>
      </c>
      <c r="I2066" s="2524">
        <f t="shared" si="163"/>
        <v>13.423522048155872</v>
      </c>
    </row>
    <row r="2067" spans="2:9">
      <c r="B2067" s="2251">
        <v>45884</v>
      </c>
      <c r="C2067">
        <v>19.907399999999999</v>
      </c>
      <c r="D2067" s="2935"/>
      <c r="E2067" s="2523">
        <f t="shared" si="160"/>
        <v>20.496540945512795</v>
      </c>
      <c r="F2067" s="2261">
        <f t="shared" si="159"/>
        <v>24.033050394191257</v>
      </c>
      <c r="G2067" s="2524">
        <f t="shared" si="161"/>
        <v>27.569559842869719</v>
      </c>
      <c r="H2067" s="2524">
        <f t="shared" si="162"/>
        <v>16.960031496834333</v>
      </c>
      <c r="I2067" s="2524">
        <f t="shared" si="163"/>
        <v>13.423522048155872</v>
      </c>
    </row>
    <row r="2068" spans="2:9">
      <c r="B2068" s="2251">
        <v>45887</v>
      </c>
      <c r="C2068">
        <v>19.730699999999999</v>
      </c>
      <c r="D2068" s="2935"/>
      <c r="E2068" s="2523">
        <f t="shared" si="160"/>
        <v>20.496540945512795</v>
      </c>
      <c r="F2068" s="2261">
        <f t="shared" si="159"/>
        <v>24.033050394191257</v>
      </c>
      <c r="G2068" s="2524">
        <f t="shared" si="161"/>
        <v>27.569559842869719</v>
      </c>
      <c r="H2068" s="2524">
        <f t="shared" si="162"/>
        <v>16.960031496834333</v>
      </c>
      <c r="I2068" s="2524">
        <f t="shared" si="163"/>
        <v>13.423522048155872</v>
      </c>
    </row>
    <row r="2069" spans="2:9">
      <c r="B2069" s="2251">
        <v>45888</v>
      </c>
      <c r="C2069">
        <v>19.691400000000002</v>
      </c>
      <c r="D2069" s="2935"/>
      <c r="E2069" s="2523">
        <f t="shared" si="160"/>
        <v>20.496540945512795</v>
      </c>
      <c r="F2069" s="2261">
        <f t="shared" si="159"/>
        <v>24.033050394191257</v>
      </c>
      <c r="G2069" s="2524">
        <f t="shared" si="161"/>
        <v>27.569559842869719</v>
      </c>
      <c r="H2069" s="2524">
        <f t="shared" si="162"/>
        <v>16.960031496834333</v>
      </c>
      <c r="I2069" s="2524">
        <f t="shared" si="163"/>
        <v>13.423522048155872</v>
      </c>
    </row>
    <row r="2070" spans="2:9">
      <c r="B2070" s="2251">
        <v>45889</v>
      </c>
      <c r="C2070">
        <v>19.181000000000001</v>
      </c>
      <c r="D2070" s="2935"/>
      <c r="E2070" s="2523">
        <f t="shared" si="160"/>
        <v>20.496540945512795</v>
      </c>
      <c r="F2070" s="2261">
        <f t="shared" si="159"/>
        <v>24.033050394191257</v>
      </c>
      <c r="G2070" s="2524">
        <f t="shared" si="161"/>
        <v>27.569559842869719</v>
      </c>
      <c r="H2070" s="2524">
        <f t="shared" si="162"/>
        <v>16.960031496834333</v>
      </c>
      <c r="I2070" s="2524">
        <f t="shared" si="163"/>
        <v>13.423522048155872</v>
      </c>
    </row>
    <row r="2071" spans="2:9">
      <c r="B2071" s="2251">
        <v>45890</v>
      </c>
      <c r="C2071">
        <v>19.9663</v>
      </c>
      <c r="D2071" s="2935"/>
      <c r="E2071" s="2523">
        <f t="shared" si="160"/>
        <v>20.496540945512795</v>
      </c>
      <c r="F2071" s="2261">
        <f t="shared" si="159"/>
        <v>24.033050394191257</v>
      </c>
      <c r="G2071" s="2524">
        <f t="shared" si="161"/>
        <v>27.569559842869719</v>
      </c>
      <c r="H2071" s="2524">
        <f t="shared" si="162"/>
        <v>16.960031496834333</v>
      </c>
      <c r="I2071" s="2524">
        <f t="shared" si="163"/>
        <v>13.423522048155872</v>
      </c>
    </row>
    <row r="2072" spans="2:9">
      <c r="B2072" s="2251">
        <v>45891</v>
      </c>
      <c r="C2072">
        <v>19.436199999999999</v>
      </c>
      <c r="D2072" s="2935"/>
      <c r="E2072" s="2523">
        <f t="shared" si="160"/>
        <v>20.496540945512795</v>
      </c>
      <c r="F2072" s="2261">
        <f t="shared" si="159"/>
        <v>24.033050394191257</v>
      </c>
      <c r="G2072" s="2524">
        <f t="shared" si="161"/>
        <v>27.569559842869719</v>
      </c>
      <c r="H2072" s="2524">
        <f t="shared" si="162"/>
        <v>16.960031496834333</v>
      </c>
      <c r="I2072" s="2524">
        <f t="shared" si="163"/>
        <v>13.423522048155872</v>
      </c>
    </row>
    <row r="2073" spans="2:9">
      <c r="B2073" s="2251">
        <v>45894</v>
      </c>
      <c r="C2073">
        <v>19.396899999999999</v>
      </c>
      <c r="D2073" s="2935"/>
      <c r="E2073" s="2523">
        <f t="shared" si="160"/>
        <v>20.496540945512795</v>
      </c>
      <c r="F2073" s="2261">
        <f t="shared" si="159"/>
        <v>24.033050394191257</v>
      </c>
      <c r="G2073" s="2524">
        <f t="shared" si="161"/>
        <v>27.569559842869719</v>
      </c>
      <c r="H2073" s="2524">
        <f t="shared" si="162"/>
        <v>16.960031496834333</v>
      </c>
      <c r="I2073" s="2524">
        <f t="shared" si="163"/>
        <v>13.423522048155872</v>
      </c>
    </row>
    <row r="2074" spans="2:9">
      <c r="B2074" s="2251">
        <v>45895</v>
      </c>
      <c r="C2074">
        <v>19.6325</v>
      </c>
      <c r="D2074" s="2935"/>
      <c r="E2074" s="2523">
        <f t="shared" si="160"/>
        <v>20.496540945512795</v>
      </c>
      <c r="F2074" s="2261">
        <f t="shared" si="159"/>
        <v>24.033050394191257</v>
      </c>
      <c r="G2074" s="2524">
        <f t="shared" si="161"/>
        <v>27.569559842869719</v>
      </c>
      <c r="H2074" s="2524">
        <f t="shared" si="162"/>
        <v>16.960031496834333</v>
      </c>
      <c r="I2074" s="2524">
        <f t="shared" si="163"/>
        <v>13.423522048155872</v>
      </c>
    </row>
    <row r="2075" spans="2:9">
      <c r="B2075" s="2251">
        <v>45896</v>
      </c>
      <c r="C2075">
        <v>20.614100000000001</v>
      </c>
      <c r="D2075" s="2935"/>
      <c r="E2075" s="2523">
        <f t="shared" si="160"/>
        <v>20.496540945512795</v>
      </c>
      <c r="F2075" s="2261">
        <f t="shared" si="159"/>
        <v>24.033050394191257</v>
      </c>
      <c r="G2075" s="2524">
        <f t="shared" si="161"/>
        <v>27.569559842869719</v>
      </c>
      <c r="H2075" s="2524">
        <f t="shared" si="162"/>
        <v>16.960031496834333</v>
      </c>
      <c r="I2075" s="2524">
        <f t="shared" si="163"/>
        <v>13.423522048155872</v>
      </c>
    </row>
    <row r="2076" spans="2:9">
      <c r="B2076" s="2251">
        <v>45897</v>
      </c>
      <c r="C2076">
        <v>20.515999999999998</v>
      </c>
      <c r="D2076" s="2935"/>
      <c r="E2076" s="2523">
        <f t="shared" si="160"/>
        <v>20.496540945512795</v>
      </c>
      <c r="F2076" s="2261">
        <f t="shared" si="159"/>
        <v>24.033050394191257</v>
      </c>
      <c r="G2076" s="2524">
        <f t="shared" si="161"/>
        <v>27.569559842869719</v>
      </c>
      <c r="H2076" s="2524">
        <f t="shared" si="162"/>
        <v>16.960031496834333</v>
      </c>
      <c r="I2076" s="2524">
        <f t="shared" si="163"/>
        <v>13.423522048155872</v>
      </c>
    </row>
    <row r="2077" spans="2:9">
      <c r="B2077" s="2251">
        <v>45898</v>
      </c>
      <c r="C2077">
        <v>19.9466</v>
      </c>
      <c r="D2077" s="2935"/>
      <c r="E2077" s="2523">
        <f t="shared" si="160"/>
        <v>20.496540945512795</v>
      </c>
      <c r="F2077" s="2261">
        <f t="shared" si="159"/>
        <v>24.033050394191257</v>
      </c>
      <c r="G2077" s="2524">
        <f t="shared" si="161"/>
        <v>27.569559842869719</v>
      </c>
      <c r="H2077" s="2524">
        <f t="shared" si="162"/>
        <v>16.960031496834333</v>
      </c>
      <c r="I2077" s="2524">
        <f t="shared" si="163"/>
        <v>13.423522048155872</v>
      </c>
    </row>
    <row r="2078" spans="2:9">
      <c r="B2078" s="2251">
        <v>45903</v>
      </c>
      <c r="C2078">
        <v>20.2607</v>
      </c>
      <c r="D2078" s="2935"/>
      <c r="E2078" s="2523">
        <f t="shared" si="160"/>
        <v>20.496540945512795</v>
      </c>
      <c r="F2078" s="2261">
        <f t="shared" si="159"/>
        <v>24.033050394191257</v>
      </c>
      <c r="G2078" s="2524">
        <f t="shared" si="161"/>
        <v>27.569559842869719</v>
      </c>
      <c r="H2078" s="2524">
        <f t="shared" si="162"/>
        <v>16.960031496834333</v>
      </c>
      <c r="I2078" s="2524">
        <f t="shared" si="163"/>
        <v>13.423522048155872</v>
      </c>
    </row>
    <row r="2079" spans="2:9">
      <c r="B2079" s="2251">
        <v>45904</v>
      </c>
      <c r="C2079">
        <v>20.614100000000001</v>
      </c>
      <c r="D2079" s="2935"/>
      <c r="E2079" s="2523">
        <f t="shared" si="160"/>
        <v>20.496540945512795</v>
      </c>
      <c r="F2079" s="2261">
        <f t="shared" si="159"/>
        <v>24.033050394191257</v>
      </c>
      <c r="G2079" s="2524">
        <f t="shared" si="161"/>
        <v>27.569559842869719</v>
      </c>
      <c r="H2079" s="2524">
        <f t="shared" si="162"/>
        <v>16.960031496834333</v>
      </c>
      <c r="I2079" s="2524">
        <f t="shared" si="163"/>
        <v>13.423522048155872</v>
      </c>
    </row>
    <row r="2080" spans="2:9">
      <c r="B2080" s="2251">
        <v>45905</v>
      </c>
      <c r="C2080">
        <v>20.3</v>
      </c>
      <c r="D2080" s="2935"/>
      <c r="E2080" s="2523">
        <f t="shared" si="160"/>
        <v>20.496540945512795</v>
      </c>
      <c r="F2080" s="2261">
        <f t="shared" si="159"/>
        <v>24.033050394191257</v>
      </c>
      <c r="G2080" s="2524">
        <f t="shared" si="161"/>
        <v>27.569559842869719</v>
      </c>
      <c r="H2080" s="2524">
        <f t="shared" si="162"/>
        <v>16.960031496834333</v>
      </c>
      <c r="I2080" s="2524">
        <f t="shared" si="163"/>
        <v>13.423522048155872</v>
      </c>
    </row>
    <row r="2081" spans="2:9">
      <c r="B2081" s="2251">
        <v>45908</v>
      </c>
      <c r="C2081">
        <v>20.005500000000001</v>
      </c>
      <c r="D2081" s="2935"/>
      <c r="E2081" s="2523">
        <f t="shared" si="160"/>
        <v>20.496540945512795</v>
      </c>
      <c r="F2081" s="2261">
        <f t="shared" si="159"/>
        <v>24.033050394191257</v>
      </c>
      <c r="G2081" s="2524">
        <f t="shared" si="161"/>
        <v>27.569559842869719</v>
      </c>
      <c r="H2081" s="2524">
        <f t="shared" si="162"/>
        <v>16.960031496834333</v>
      </c>
      <c r="I2081" s="2524">
        <f t="shared" si="163"/>
        <v>13.423522048155872</v>
      </c>
    </row>
    <row r="2082" spans="2:9">
      <c r="B2082" s="2251">
        <v>45909</v>
      </c>
      <c r="C2082">
        <v>20.044799999999999</v>
      </c>
      <c r="D2082" s="2935"/>
      <c r="E2082" s="2523">
        <f t="shared" si="160"/>
        <v>20.496540945512795</v>
      </c>
      <c r="F2082" s="2261">
        <f t="shared" si="159"/>
        <v>24.033050394191257</v>
      </c>
      <c r="G2082" s="2524">
        <f t="shared" si="161"/>
        <v>27.569559842869719</v>
      </c>
      <c r="H2082" s="2524">
        <f t="shared" si="162"/>
        <v>16.960031496834333</v>
      </c>
      <c r="I2082" s="2524">
        <f t="shared" si="163"/>
        <v>13.423522048155872</v>
      </c>
    </row>
    <row r="2083" spans="2:9">
      <c r="B2083" s="2251">
        <v>45910</v>
      </c>
      <c r="C2083">
        <v>19.868099999999998</v>
      </c>
      <c r="D2083" s="2935"/>
      <c r="E2083" s="2523">
        <f t="shared" si="160"/>
        <v>20.496540945512795</v>
      </c>
      <c r="F2083" s="2261">
        <f t="shared" si="159"/>
        <v>24.033050394191257</v>
      </c>
      <c r="G2083" s="2524">
        <f t="shared" si="161"/>
        <v>27.569559842869719</v>
      </c>
      <c r="H2083" s="2524">
        <f t="shared" si="162"/>
        <v>16.960031496834333</v>
      </c>
      <c r="I2083" s="2524">
        <f t="shared" si="163"/>
        <v>13.423522048155872</v>
      </c>
    </row>
    <row r="2084" spans="2:9">
      <c r="B2084" s="2251">
        <v>45911</v>
      </c>
      <c r="C2084">
        <v>20.025099999999998</v>
      </c>
      <c r="D2084" s="2935"/>
      <c r="E2084" s="2523">
        <f t="shared" si="160"/>
        <v>20.496540945512795</v>
      </c>
      <c r="F2084" s="2261">
        <f t="shared" si="159"/>
        <v>24.033050394191257</v>
      </c>
      <c r="G2084" s="2524">
        <f t="shared" si="161"/>
        <v>27.569559842869719</v>
      </c>
      <c r="H2084" s="2524">
        <f t="shared" si="162"/>
        <v>16.960031496834333</v>
      </c>
      <c r="I2084" s="2524">
        <f t="shared" si="163"/>
        <v>13.423522048155872</v>
      </c>
    </row>
    <row r="2085" spans="2:9">
      <c r="B2085" s="2251">
        <v>45912</v>
      </c>
      <c r="C2085">
        <v>19.9466</v>
      </c>
      <c r="D2085" s="2935"/>
      <c r="E2085" s="2523">
        <f t="shared" si="160"/>
        <v>20.496540945512795</v>
      </c>
      <c r="F2085" s="2261">
        <f t="shared" si="159"/>
        <v>24.033050394191257</v>
      </c>
      <c r="G2085" s="2524">
        <f t="shared" si="161"/>
        <v>27.569559842869719</v>
      </c>
      <c r="H2085" s="2524">
        <f t="shared" si="162"/>
        <v>16.960031496834333</v>
      </c>
      <c r="I2085" s="2524">
        <f t="shared" si="163"/>
        <v>13.423522048155872</v>
      </c>
    </row>
    <row r="2086" spans="2:9">
      <c r="B2086" s="2251">
        <v>45915</v>
      </c>
      <c r="C2086">
        <v>20.005500000000001</v>
      </c>
      <c r="D2086" s="2935"/>
      <c r="E2086" s="2523">
        <f t="shared" si="160"/>
        <v>20.496540945512795</v>
      </c>
      <c r="F2086" s="2261">
        <f t="shared" si="159"/>
        <v>24.033050394191257</v>
      </c>
      <c r="G2086" s="2524">
        <f t="shared" si="161"/>
        <v>27.569559842869719</v>
      </c>
      <c r="H2086" s="2524">
        <f t="shared" si="162"/>
        <v>16.960031496834333</v>
      </c>
      <c r="I2086" s="2524">
        <f t="shared" si="163"/>
        <v>13.423522048155872</v>
      </c>
    </row>
    <row r="2087" spans="2:9">
      <c r="B2087" s="2251">
        <v>45916</v>
      </c>
      <c r="C2087">
        <v>20.319600000000001</v>
      </c>
      <c r="D2087" s="2935"/>
      <c r="E2087" s="2523">
        <f t="shared" si="160"/>
        <v>20.496540945512795</v>
      </c>
      <c r="F2087" s="2261">
        <f t="shared" si="159"/>
        <v>24.033050394191257</v>
      </c>
      <c r="G2087" s="2524">
        <f t="shared" si="161"/>
        <v>27.569559842869719</v>
      </c>
      <c r="H2087" s="2524">
        <f t="shared" si="162"/>
        <v>16.960031496834333</v>
      </c>
      <c r="I2087" s="2524">
        <f t="shared" si="163"/>
        <v>13.423522048155872</v>
      </c>
    </row>
    <row r="2088" spans="2:9">
      <c r="B2088" s="2251">
        <v>45917</v>
      </c>
      <c r="C2088">
        <v>20.712299999999999</v>
      </c>
      <c r="D2088" s="2935"/>
      <c r="E2088" s="2523">
        <f t="shared" si="160"/>
        <v>20.496540945512795</v>
      </c>
      <c r="F2088" s="2261">
        <f t="shared" si="159"/>
        <v>24.033050394191257</v>
      </c>
      <c r="G2088" s="2524">
        <f t="shared" si="161"/>
        <v>27.569559842869719</v>
      </c>
      <c r="H2088" s="2524">
        <f t="shared" si="162"/>
        <v>16.960031496834333</v>
      </c>
      <c r="I2088" s="2524">
        <f t="shared" si="163"/>
        <v>13.423522048155872</v>
      </c>
    </row>
    <row r="2089" spans="2:9">
      <c r="B2089" s="2251">
        <v>45918</v>
      </c>
      <c r="C2089">
        <v>20.221499999999999</v>
      </c>
      <c r="D2089" s="2935"/>
      <c r="E2089" s="2523">
        <f t="shared" si="160"/>
        <v>20.496540945512795</v>
      </c>
      <c r="F2089" s="2261">
        <f t="shared" si="159"/>
        <v>24.033050394191257</v>
      </c>
      <c r="G2089" s="2524">
        <f t="shared" si="161"/>
        <v>27.569559842869719</v>
      </c>
      <c r="H2089" s="2524">
        <f t="shared" si="162"/>
        <v>16.960031496834333</v>
      </c>
      <c r="I2089" s="2524">
        <f t="shared" si="163"/>
        <v>13.423522048155872</v>
      </c>
    </row>
    <row r="2090" spans="2:9">
      <c r="B2090" s="2251">
        <v>45919</v>
      </c>
      <c r="C2090">
        <v>20.221499999999999</v>
      </c>
      <c r="D2090" s="2935"/>
      <c r="E2090" s="2523">
        <f t="shared" si="160"/>
        <v>20.496540945512795</v>
      </c>
      <c r="F2090" s="2261">
        <f t="shared" si="159"/>
        <v>24.033050394191257</v>
      </c>
      <c r="G2090" s="2524">
        <f t="shared" si="161"/>
        <v>27.569559842869719</v>
      </c>
      <c r="H2090" s="2524">
        <f t="shared" si="162"/>
        <v>16.960031496834333</v>
      </c>
      <c r="I2090" s="2524">
        <f t="shared" si="163"/>
        <v>13.423522048155872</v>
      </c>
    </row>
    <row r="2091" spans="2:9">
      <c r="B2091" s="2251">
        <v>45922</v>
      </c>
      <c r="C2091">
        <v>19.573599999999999</v>
      </c>
      <c r="D2091" s="2935"/>
      <c r="E2091" s="2523">
        <f t="shared" si="160"/>
        <v>20.496540945512795</v>
      </c>
      <c r="F2091" s="2261">
        <f t="shared" si="159"/>
        <v>24.033050394191257</v>
      </c>
      <c r="G2091" s="2524">
        <f t="shared" si="161"/>
        <v>27.569559842869719</v>
      </c>
      <c r="H2091" s="2524">
        <f t="shared" si="162"/>
        <v>16.960031496834333</v>
      </c>
      <c r="I2091" s="2524">
        <f t="shared" si="163"/>
        <v>13.423522048155872</v>
      </c>
    </row>
    <row r="2092" spans="2:9">
      <c r="B2092" s="2251">
        <v>45923</v>
      </c>
      <c r="C2092">
        <v>19.239799999999999</v>
      </c>
      <c r="D2092" s="2935"/>
      <c r="E2092" s="2523">
        <f t="shared" si="160"/>
        <v>20.496540945512795</v>
      </c>
      <c r="F2092" s="2261">
        <f t="shared" si="159"/>
        <v>24.033050394191257</v>
      </c>
      <c r="G2092" s="2524">
        <f t="shared" si="161"/>
        <v>27.569559842869719</v>
      </c>
      <c r="H2092" s="2524">
        <f t="shared" si="162"/>
        <v>16.960031496834333</v>
      </c>
      <c r="I2092" s="2524">
        <f t="shared" si="163"/>
        <v>13.423522048155872</v>
      </c>
    </row>
    <row r="2093" spans="2:9">
      <c r="B2093" s="2251">
        <v>45924</v>
      </c>
      <c r="C2093">
        <v>19.534300000000002</v>
      </c>
      <c r="D2093" s="2935"/>
      <c r="E2093" s="2523">
        <f t="shared" si="160"/>
        <v>20.496540945512795</v>
      </c>
      <c r="F2093" s="2261">
        <f t="shared" si="159"/>
        <v>24.033050394191257</v>
      </c>
      <c r="G2093" s="2524">
        <f t="shared" si="161"/>
        <v>27.569559842869719</v>
      </c>
      <c r="H2093" s="2524">
        <f t="shared" si="162"/>
        <v>16.960031496834333</v>
      </c>
      <c r="I2093" s="2524">
        <f t="shared" si="163"/>
        <v>13.423522048155872</v>
      </c>
    </row>
    <row r="2094" spans="2:9">
      <c r="B2094" s="2251">
        <v>45925</v>
      </c>
      <c r="C2094">
        <v>19.239799999999999</v>
      </c>
      <c r="D2094" s="2935"/>
      <c r="E2094" s="2523">
        <f t="shared" si="160"/>
        <v>20.496540945512795</v>
      </c>
      <c r="F2094" s="2261">
        <f t="shared" si="159"/>
        <v>24.033050394191257</v>
      </c>
      <c r="G2094" s="2524">
        <f t="shared" si="161"/>
        <v>27.569559842869719</v>
      </c>
      <c r="H2094" s="2524">
        <f t="shared" si="162"/>
        <v>16.960031496834333</v>
      </c>
      <c r="I2094" s="2524">
        <f t="shared" si="163"/>
        <v>13.423522048155872</v>
      </c>
    </row>
    <row r="2095" spans="2:9">
      <c r="B2095" s="2251">
        <v>45926</v>
      </c>
      <c r="C2095">
        <v>19.1417</v>
      </c>
      <c r="D2095" s="2935"/>
      <c r="E2095" s="2523">
        <f t="shared" si="160"/>
        <v>20.496540945512795</v>
      </c>
      <c r="F2095" s="2261">
        <f t="shared" si="159"/>
        <v>24.033050394191257</v>
      </c>
      <c r="G2095" s="2524">
        <f t="shared" si="161"/>
        <v>27.569559842869719</v>
      </c>
      <c r="H2095" s="2524">
        <f t="shared" si="162"/>
        <v>16.960031496834333</v>
      </c>
      <c r="I2095" s="2524">
        <f t="shared" si="163"/>
        <v>13.423522048155872</v>
      </c>
    </row>
    <row r="2096" spans="2:9">
      <c r="B2096" s="2251">
        <v>45929</v>
      </c>
      <c r="C2096">
        <v>18.748999999999999</v>
      </c>
      <c r="D2096" s="2935"/>
      <c r="E2096" s="2523">
        <f t="shared" si="160"/>
        <v>20.496540945512795</v>
      </c>
      <c r="F2096" s="2261">
        <f t="shared" si="159"/>
        <v>24.033050394191257</v>
      </c>
      <c r="G2096" s="2524">
        <f t="shared" si="161"/>
        <v>27.569559842869719</v>
      </c>
      <c r="H2096" s="2524">
        <f t="shared" si="162"/>
        <v>16.960031496834333</v>
      </c>
      <c r="I2096" s="2524">
        <f t="shared" si="163"/>
        <v>13.423522048155872</v>
      </c>
    </row>
    <row r="2097" spans="2:9">
      <c r="B2097" s="2251">
        <v>45930</v>
      </c>
      <c r="C2097">
        <v>17.615600000000001</v>
      </c>
      <c r="D2097" s="2935"/>
      <c r="E2097" s="2523">
        <f t="shared" si="160"/>
        <v>20.496540945512795</v>
      </c>
      <c r="F2097" s="2261">
        <f t="shared" si="159"/>
        <v>24.033050394191257</v>
      </c>
      <c r="G2097" s="2524">
        <f t="shared" si="161"/>
        <v>27.569559842869719</v>
      </c>
      <c r="H2097" s="2524">
        <f t="shared" si="162"/>
        <v>16.960031496834333</v>
      </c>
      <c r="I2097" s="2524">
        <f t="shared" si="163"/>
        <v>13.423522048155872</v>
      </c>
    </row>
    <row r="2098" spans="2:9">
      <c r="B2098" s="2251">
        <v>45931</v>
      </c>
      <c r="C2098">
        <v>17.691299999999998</v>
      </c>
      <c r="D2098" s="2935"/>
      <c r="E2098" s="2523">
        <f t="shared" si="160"/>
        <v>20.496540945512795</v>
      </c>
      <c r="F2098" s="2261">
        <f t="shared" si="159"/>
        <v>24.033050394191257</v>
      </c>
      <c r="G2098" s="2524">
        <f t="shared" si="161"/>
        <v>27.569559842869719</v>
      </c>
      <c r="H2098" s="2524">
        <f t="shared" si="162"/>
        <v>16.960031496834333</v>
      </c>
      <c r="I2098" s="2524">
        <f t="shared" si="163"/>
        <v>13.423522048155872</v>
      </c>
    </row>
    <row r="2099" spans="2:9">
      <c r="B2099" s="2251">
        <v>45932</v>
      </c>
      <c r="C2099">
        <v>17.4451</v>
      </c>
      <c r="D2099" s="2935"/>
      <c r="E2099" s="2523">
        <f t="shared" si="160"/>
        <v>20.496540945512795</v>
      </c>
      <c r="F2099" s="2261">
        <f t="shared" si="159"/>
        <v>24.033050394191257</v>
      </c>
      <c r="G2099" s="2524">
        <f t="shared" si="161"/>
        <v>27.569559842869719</v>
      </c>
      <c r="H2099" s="2524">
        <f t="shared" si="162"/>
        <v>16.960031496834333</v>
      </c>
      <c r="I2099" s="2524">
        <f t="shared" si="163"/>
        <v>13.423522048155872</v>
      </c>
    </row>
    <row r="2100" spans="2:9">
      <c r="B2100" s="2251">
        <v>45933</v>
      </c>
      <c r="C2100">
        <v>17.691299999999998</v>
      </c>
      <c r="D2100" s="2935"/>
      <c r="E2100" s="2523">
        <f t="shared" si="160"/>
        <v>20.496540945512795</v>
      </c>
      <c r="F2100" s="2261">
        <f t="shared" si="159"/>
        <v>24.033050394191257</v>
      </c>
      <c r="G2100" s="2524">
        <f t="shared" si="161"/>
        <v>27.569559842869719</v>
      </c>
      <c r="H2100" s="2524">
        <f t="shared" si="162"/>
        <v>16.960031496834333</v>
      </c>
      <c r="I2100" s="2524">
        <f t="shared" si="163"/>
        <v>13.423522048155872</v>
      </c>
    </row>
    <row r="2101" spans="2:9">
      <c r="B2101" s="2251">
        <v>45936</v>
      </c>
      <c r="C2101">
        <v>18.089099999999998</v>
      </c>
      <c r="D2101" s="2935"/>
      <c r="E2101" s="2523">
        <f t="shared" si="160"/>
        <v>20.496540945512795</v>
      </c>
      <c r="F2101" s="2261">
        <f t="shared" si="159"/>
        <v>24.033050394191257</v>
      </c>
      <c r="G2101" s="2524">
        <f t="shared" si="161"/>
        <v>27.569559842869719</v>
      </c>
      <c r="H2101" s="2524">
        <f t="shared" si="162"/>
        <v>16.960031496834333</v>
      </c>
      <c r="I2101" s="2524">
        <f t="shared" si="163"/>
        <v>13.423522048155872</v>
      </c>
    </row>
    <row r="2102" spans="2:9">
      <c r="B2102" s="2251">
        <v>45937</v>
      </c>
      <c r="C2102">
        <v>18.089099999999998</v>
      </c>
      <c r="D2102" s="2935"/>
      <c r="E2102" s="2523">
        <f t="shared" si="160"/>
        <v>20.496540945512795</v>
      </c>
      <c r="F2102" s="2261">
        <f t="shared" si="159"/>
        <v>24.033050394191257</v>
      </c>
      <c r="G2102" s="2524">
        <f t="shared" si="161"/>
        <v>27.569559842869719</v>
      </c>
      <c r="H2102" s="2524">
        <f t="shared" si="162"/>
        <v>16.960031496834333</v>
      </c>
      <c r="I2102" s="2524">
        <f t="shared" si="163"/>
        <v>13.423522048155872</v>
      </c>
    </row>
    <row r="2103" spans="2:9">
      <c r="B2103" s="2251">
        <v>45938</v>
      </c>
      <c r="C2103">
        <v>17.899699999999999</v>
      </c>
      <c r="D2103" s="2935"/>
      <c r="E2103" s="2523">
        <f t="shared" si="160"/>
        <v>20.496540945512795</v>
      </c>
      <c r="F2103" s="2261">
        <f t="shared" si="159"/>
        <v>24.033050394191257</v>
      </c>
      <c r="G2103" s="2524">
        <f t="shared" si="161"/>
        <v>27.569559842869719</v>
      </c>
      <c r="H2103" s="2524">
        <f t="shared" si="162"/>
        <v>16.960031496834333</v>
      </c>
      <c r="I2103" s="2524">
        <f t="shared" si="163"/>
        <v>13.423522048155872</v>
      </c>
    </row>
    <row r="2104" spans="2:9">
      <c r="B2104" s="2251">
        <v>45939</v>
      </c>
      <c r="C2104">
        <v>17.8429</v>
      </c>
      <c r="D2104" s="2935"/>
      <c r="E2104" s="2523">
        <f t="shared" si="160"/>
        <v>20.496540945512795</v>
      </c>
      <c r="F2104" s="2261">
        <f t="shared" si="159"/>
        <v>24.033050394191257</v>
      </c>
      <c r="G2104" s="2524">
        <f t="shared" si="161"/>
        <v>27.569559842869719</v>
      </c>
      <c r="H2104" s="2524">
        <f t="shared" si="162"/>
        <v>16.960031496834333</v>
      </c>
      <c r="I2104" s="2524">
        <f t="shared" si="163"/>
        <v>13.423522048155872</v>
      </c>
    </row>
    <row r="2105" spans="2:9">
      <c r="B2105" s="2251">
        <v>45940</v>
      </c>
      <c r="C2105">
        <v>18.2027</v>
      </c>
      <c r="D2105" s="2935"/>
      <c r="E2105" s="2523">
        <f t="shared" si="160"/>
        <v>20.496540945512795</v>
      </c>
      <c r="F2105" s="2261">
        <f t="shared" si="159"/>
        <v>24.033050394191257</v>
      </c>
      <c r="G2105" s="2524">
        <f t="shared" si="161"/>
        <v>27.569559842869719</v>
      </c>
      <c r="H2105" s="2524">
        <f t="shared" si="162"/>
        <v>16.960031496834333</v>
      </c>
      <c r="I2105" s="2524">
        <f t="shared" si="163"/>
        <v>13.423522048155872</v>
      </c>
    </row>
    <row r="2106" spans="2:9">
      <c r="B2106" s="2251">
        <v>45943</v>
      </c>
      <c r="C2106">
        <v>17.805</v>
      </c>
      <c r="D2106" s="2935"/>
      <c r="E2106" s="2523">
        <f t="shared" si="160"/>
        <v>20.496540945512795</v>
      </c>
      <c r="F2106" s="2261">
        <f t="shared" si="159"/>
        <v>24.033050394191257</v>
      </c>
      <c r="G2106" s="2524">
        <f t="shared" si="161"/>
        <v>27.569559842869719</v>
      </c>
      <c r="H2106" s="2524">
        <f t="shared" si="162"/>
        <v>16.960031496834333</v>
      </c>
      <c r="I2106" s="2524">
        <f t="shared" si="163"/>
        <v>13.423522048155872</v>
      </c>
    </row>
    <row r="2107" spans="2:9">
      <c r="B2107" s="2251">
        <v>45944</v>
      </c>
      <c r="C2107">
        <v>17.501899999999999</v>
      </c>
      <c r="D2107" s="2935"/>
      <c r="E2107" s="2523">
        <f t="shared" si="160"/>
        <v>20.496540945512795</v>
      </c>
      <c r="F2107" s="2261">
        <f t="shared" si="159"/>
        <v>24.033050394191257</v>
      </c>
      <c r="G2107" s="2524">
        <f t="shared" si="161"/>
        <v>27.569559842869719</v>
      </c>
      <c r="H2107" s="2524">
        <f t="shared" si="162"/>
        <v>16.960031496834333</v>
      </c>
      <c r="I2107" s="2524">
        <f t="shared" si="163"/>
        <v>13.423522048155872</v>
      </c>
    </row>
    <row r="2108" spans="2:9">
      <c r="B2108" s="2251">
        <v>45945</v>
      </c>
      <c r="C2108">
        <v>16.971599999999999</v>
      </c>
      <c r="D2108" s="2935"/>
      <c r="E2108" s="2523">
        <f t="shared" si="160"/>
        <v>20.496540945512795</v>
      </c>
      <c r="F2108" s="2261">
        <f t="shared" si="159"/>
        <v>24.033050394191257</v>
      </c>
      <c r="G2108" s="2524">
        <f t="shared" si="161"/>
        <v>27.569559842869719</v>
      </c>
      <c r="H2108" s="2524">
        <f t="shared" si="162"/>
        <v>16.960031496834333</v>
      </c>
      <c r="I2108" s="2524">
        <f t="shared" si="163"/>
        <v>13.423522048155872</v>
      </c>
    </row>
    <row r="2109" spans="2:9">
      <c r="B2109" s="2251">
        <v>45946</v>
      </c>
      <c r="C2109">
        <v>17.009399999999999</v>
      </c>
      <c r="D2109" s="2935"/>
      <c r="E2109" s="2523">
        <f t="shared" si="160"/>
        <v>20.496540945512795</v>
      </c>
      <c r="F2109" s="2261">
        <f t="shared" ref="F2109:F2172" si="164">I$953+F$953</f>
        <v>24.033050394191257</v>
      </c>
      <c r="G2109" s="2524">
        <f t="shared" si="161"/>
        <v>27.569559842869719</v>
      </c>
      <c r="H2109" s="2524">
        <f t="shared" si="162"/>
        <v>16.960031496834333</v>
      </c>
      <c r="I2109" s="2524">
        <f t="shared" si="163"/>
        <v>13.423522048155872</v>
      </c>
    </row>
    <row r="2110" spans="2:9">
      <c r="B2110" s="2251">
        <v>45947</v>
      </c>
      <c r="C2110">
        <v>16.6874</v>
      </c>
      <c r="D2110" s="2935"/>
      <c r="E2110" s="2523">
        <f t="shared" ref="E2110:E2173" si="165">I$953</f>
        <v>20.496540945512795</v>
      </c>
      <c r="F2110" s="2261">
        <f t="shared" si="164"/>
        <v>24.033050394191257</v>
      </c>
      <c r="G2110" s="2524">
        <f t="shared" ref="G2110:G2173" si="166">I$953+F$953+F$953</f>
        <v>27.569559842869719</v>
      </c>
      <c r="H2110" s="2524">
        <f t="shared" ref="H2110:H2173" si="167">I$953-F$953</f>
        <v>16.960031496834333</v>
      </c>
      <c r="I2110" s="2524">
        <f t="shared" ref="I2110:I2173" si="168">I$953-F$953-F$953</f>
        <v>13.423522048155872</v>
      </c>
    </row>
    <row r="2111" spans="2:9">
      <c r="B2111" s="2251">
        <v>45950</v>
      </c>
      <c r="C2111">
        <v>16.479099999999999</v>
      </c>
      <c r="D2111" s="2935"/>
      <c r="E2111" s="2523">
        <f t="shared" si="165"/>
        <v>20.496540945512795</v>
      </c>
      <c r="F2111" s="2261">
        <f t="shared" si="164"/>
        <v>24.033050394191257</v>
      </c>
      <c r="G2111" s="2524">
        <f t="shared" si="166"/>
        <v>27.569559842869719</v>
      </c>
      <c r="H2111" s="2524">
        <f t="shared" si="167"/>
        <v>16.960031496834333</v>
      </c>
      <c r="I2111" s="2524">
        <f t="shared" si="168"/>
        <v>13.423522048155872</v>
      </c>
    </row>
    <row r="2112" spans="2:9">
      <c r="B2112" s="2251">
        <v>45951</v>
      </c>
      <c r="C2112">
        <v>17.615600000000001</v>
      </c>
      <c r="D2112" s="2935"/>
      <c r="E2112" s="2523">
        <f t="shared" si="165"/>
        <v>20.496540945512795</v>
      </c>
      <c r="F2112" s="2261">
        <f t="shared" si="164"/>
        <v>24.033050394191257</v>
      </c>
      <c r="G2112" s="2524">
        <f t="shared" si="166"/>
        <v>27.569559842869719</v>
      </c>
      <c r="H2112" s="2524">
        <f t="shared" si="167"/>
        <v>16.960031496834333</v>
      </c>
      <c r="I2112" s="2524">
        <f t="shared" si="168"/>
        <v>13.423522048155872</v>
      </c>
    </row>
    <row r="2113" spans="2:9">
      <c r="B2113" s="2251">
        <v>45952</v>
      </c>
      <c r="C2113">
        <v>18.373200000000001</v>
      </c>
      <c r="D2113" s="2935"/>
      <c r="E2113" s="2523">
        <f t="shared" si="165"/>
        <v>20.496540945512795</v>
      </c>
      <c r="F2113" s="2261">
        <f t="shared" si="164"/>
        <v>24.033050394191257</v>
      </c>
      <c r="G2113" s="2524">
        <f t="shared" si="166"/>
        <v>27.569559842869719</v>
      </c>
      <c r="H2113" s="2524">
        <f t="shared" si="167"/>
        <v>16.960031496834333</v>
      </c>
      <c r="I2113" s="2524">
        <f t="shared" si="168"/>
        <v>13.423522048155872</v>
      </c>
    </row>
    <row r="2114" spans="2:9">
      <c r="B2114" s="2251">
        <v>45953</v>
      </c>
      <c r="C2114">
        <v>17.994399999999999</v>
      </c>
      <c r="D2114" s="2935"/>
      <c r="E2114" s="2523">
        <f t="shared" si="165"/>
        <v>20.496540945512795</v>
      </c>
      <c r="F2114" s="2261">
        <f t="shared" si="164"/>
        <v>24.033050394191257</v>
      </c>
      <c r="G2114" s="2524">
        <f t="shared" si="166"/>
        <v>27.569559842869719</v>
      </c>
      <c r="H2114" s="2524">
        <f t="shared" si="167"/>
        <v>16.960031496834333</v>
      </c>
      <c r="I2114" s="2524">
        <f t="shared" si="168"/>
        <v>13.423522048155872</v>
      </c>
    </row>
    <row r="2115" spans="2:9">
      <c r="B2115" s="2251">
        <v>45954</v>
      </c>
      <c r="C2115">
        <v>18.505800000000001</v>
      </c>
      <c r="D2115" s="2935"/>
      <c r="E2115" s="2523">
        <f t="shared" si="165"/>
        <v>20.496540945512795</v>
      </c>
      <c r="F2115" s="2261">
        <f t="shared" si="164"/>
        <v>24.033050394191257</v>
      </c>
      <c r="G2115" s="2524">
        <f t="shared" si="166"/>
        <v>27.569559842869719</v>
      </c>
      <c r="H2115" s="2524">
        <f t="shared" si="167"/>
        <v>16.960031496834333</v>
      </c>
      <c r="I2115" s="2524">
        <f t="shared" si="168"/>
        <v>13.423522048155872</v>
      </c>
    </row>
    <row r="2116" spans="2:9">
      <c r="B2116" s="2251">
        <v>45957</v>
      </c>
      <c r="C2116">
        <v>18.5626</v>
      </c>
      <c r="D2116" s="2935"/>
      <c r="E2116" s="2523">
        <f t="shared" si="165"/>
        <v>20.496540945512795</v>
      </c>
      <c r="F2116" s="2261">
        <f t="shared" si="164"/>
        <v>24.033050394191257</v>
      </c>
      <c r="G2116" s="2524">
        <f t="shared" si="166"/>
        <v>27.569559842869719</v>
      </c>
      <c r="H2116" s="2524">
        <f t="shared" si="167"/>
        <v>16.960031496834333</v>
      </c>
      <c r="I2116" s="2524">
        <f t="shared" si="168"/>
        <v>13.423522048155872</v>
      </c>
    </row>
    <row r="2117" spans="2:9">
      <c r="B2117" s="2251">
        <v>45958</v>
      </c>
      <c r="C2117">
        <v>19.3582</v>
      </c>
      <c r="D2117" s="2935"/>
      <c r="E2117" s="2523">
        <f t="shared" si="165"/>
        <v>20.496540945512795</v>
      </c>
      <c r="F2117" s="2261">
        <f t="shared" si="164"/>
        <v>24.033050394191257</v>
      </c>
      <c r="G2117" s="2524">
        <f t="shared" si="166"/>
        <v>27.569559842869719</v>
      </c>
      <c r="H2117" s="2524">
        <f t="shared" si="167"/>
        <v>16.960031496834333</v>
      </c>
      <c r="I2117" s="2524">
        <f t="shared" si="168"/>
        <v>13.423522048155872</v>
      </c>
    </row>
    <row r="2118" spans="2:9">
      <c r="B2118" s="2251">
        <v>45959</v>
      </c>
      <c r="C2118">
        <v>19.263500000000001</v>
      </c>
      <c r="D2118" s="2935"/>
      <c r="E2118" s="2523">
        <f t="shared" si="165"/>
        <v>20.496540945512795</v>
      </c>
      <c r="F2118" s="2261">
        <f t="shared" si="164"/>
        <v>24.033050394191257</v>
      </c>
      <c r="G2118" s="2524">
        <f t="shared" si="166"/>
        <v>27.569559842869719</v>
      </c>
      <c r="H2118" s="2524">
        <f t="shared" si="167"/>
        <v>16.960031496834333</v>
      </c>
      <c r="I2118" s="2524">
        <f t="shared" si="168"/>
        <v>13.423522048155872</v>
      </c>
    </row>
    <row r="2119" spans="2:9">
      <c r="B2119" s="2251">
        <v>45960</v>
      </c>
      <c r="C2119">
        <v>19.4529</v>
      </c>
      <c r="D2119" s="2935"/>
      <c r="E2119" s="2523">
        <f t="shared" si="165"/>
        <v>20.496540945512795</v>
      </c>
      <c r="F2119" s="2261">
        <f t="shared" si="164"/>
        <v>24.033050394191257</v>
      </c>
      <c r="G2119" s="2524">
        <f t="shared" si="166"/>
        <v>27.569559842869719</v>
      </c>
      <c r="H2119" s="2524">
        <f t="shared" si="167"/>
        <v>16.960031496834333</v>
      </c>
      <c r="I2119" s="2524">
        <f t="shared" si="168"/>
        <v>13.423522048155872</v>
      </c>
    </row>
    <row r="2120" spans="2:9">
      <c r="B2120" s="2251">
        <v>45961</v>
      </c>
      <c r="C2120">
        <v>19.680199999999999</v>
      </c>
      <c r="D2120" s="2935"/>
      <c r="E2120" s="2523">
        <f t="shared" si="165"/>
        <v>20.496540945512795</v>
      </c>
      <c r="F2120" s="2261">
        <f t="shared" si="164"/>
        <v>24.033050394191257</v>
      </c>
      <c r="G2120" s="2524">
        <f t="shared" si="166"/>
        <v>27.569559842869719</v>
      </c>
      <c r="H2120" s="2524">
        <f t="shared" si="167"/>
        <v>16.960031496834333</v>
      </c>
      <c r="I2120" s="2524">
        <f t="shared" si="168"/>
        <v>13.423522048155872</v>
      </c>
    </row>
    <row r="2121" spans="2:9">
      <c r="B2121" s="2251">
        <v>45964</v>
      </c>
      <c r="C2121">
        <v>19.888500000000001</v>
      </c>
      <c r="D2121" s="2935"/>
      <c r="E2121" s="2523">
        <f t="shared" si="165"/>
        <v>20.496540945512795</v>
      </c>
      <c r="F2121" s="2261">
        <f t="shared" si="164"/>
        <v>24.033050394191257</v>
      </c>
      <c r="G2121" s="2524">
        <f t="shared" si="166"/>
        <v>27.569559842869719</v>
      </c>
      <c r="H2121" s="2524">
        <f t="shared" si="167"/>
        <v>16.960031496834333</v>
      </c>
      <c r="I2121" s="2524">
        <f t="shared" si="168"/>
        <v>13.423522048155872</v>
      </c>
    </row>
    <row r="2122" spans="2:9">
      <c r="B2122" s="2251">
        <v>45965</v>
      </c>
      <c r="C2122">
        <v>19.566500000000001</v>
      </c>
      <c r="D2122" s="2935"/>
      <c r="E2122" s="2523">
        <f t="shared" si="165"/>
        <v>20.496540945512795</v>
      </c>
      <c r="F2122" s="2261">
        <f t="shared" si="164"/>
        <v>24.033050394191257</v>
      </c>
      <c r="G2122" s="2524">
        <f t="shared" si="166"/>
        <v>27.569559842869719</v>
      </c>
      <c r="H2122" s="2524">
        <f t="shared" si="167"/>
        <v>16.960031496834333</v>
      </c>
      <c r="I2122" s="2524">
        <f t="shared" si="168"/>
        <v>13.423522048155872</v>
      </c>
    </row>
    <row r="2123" spans="2:9">
      <c r="B2123" s="2251">
        <v>45966</v>
      </c>
      <c r="C2123">
        <v>19.111899999999999</v>
      </c>
      <c r="D2123" s="2935"/>
      <c r="E2123" s="2523">
        <f t="shared" si="165"/>
        <v>20.496540945512795</v>
      </c>
      <c r="F2123" s="2261">
        <f t="shared" si="164"/>
        <v>24.033050394191257</v>
      </c>
      <c r="G2123" s="2524">
        <f t="shared" si="166"/>
        <v>27.569559842869719</v>
      </c>
      <c r="H2123" s="2524">
        <f t="shared" si="167"/>
        <v>16.960031496834333</v>
      </c>
      <c r="I2123" s="2524">
        <f t="shared" si="168"/>
        <v>13.423522048155872</v>
      </c>
    </row>
    <row r="2124" spans="2:9">
      <c r="B2124" s="2251">
        <v>45967</v>
      </c>
      <c r="C2124">
        <v>18.979299999999999</v>
      </c>
      <c r="D2124" s="2935"/>
      <c r="E2124" s="2523">
        <f t="shared" si="165"/>
        <v>20.496540945512795</v>
      </c>
      <c r="F2124" s="2261">
        <f t="shared" si="164"/>
        <v>24.033050394191257</v>
      </c>
      <c r="G2124" s="2524">
        <f t="shared" si="166"/>
        <v>27.569559842869719</v>
      </c>
      <c r="H2124" s="2524">
        <f t="shared" si="167"/>
        <v>16.960031496834333</v>
      </c>
      <c r="I2124" s="2524">
        <f t="shared" si="168"/>
        <v>13.423522048155872</v>
      </c>
    </row>
    <row r="2125" spans="2:9">
      <c r="B2125" s="2251">
        <v>45968</v>
      </c>
      <c r="C2125">
        <v>19.1309</v>
      </c>
      <c r="D2125" s="2935"/>
      <c r="E2125" s="2523">
        <f t="shared" si="165"/>
        <v>20.496540945512795</v>
      </c>
      <c r="F2125" s="2261">
        <f t="shared" si="164"/>
        <v>24.033050394191257</v>
      </c>
      <c r="G2125" s="2524">
        <f t="shared" si="166"/>
        <v>27.569559842869719</v>
      </c>
      <c r="H2125" s="2524">
        <f t="shared" si="167"/>
        <v>16.960031496834333</v>
      </c>
      <c r="I2125" s="2524">
        <f t="shared" si="168"/>
        <v>13.423522048155872</v>
      </c>
    </row>
    <row r="2126" spans="2:9">
      <c r="B2126" s="2251">
        <v>45971</v>
      </c>
      <c r="C2126">
        <v>18.221699999999998</v>
      </c>
      <c r="D2126" s="2935"/>
      <c r="E2126" s="2523">
        <f t="shared" si="165"/>
        <v>20.496540945512795</v>
      </c>
      <c r="F2126" s="2261">
        <f t="shared" si="164"/>
        <v>24.033050394191257</v>
      </c>
      <c r="G2126" s="2524">
        <f t="shared" si="166"/>
        <v>27.569559842869719</v>
      </c>
      <c r="H2126" s="2524">
        <f t="shared" si="167"/>
        <v>16.960031496834333</v>
      </c>
      <c r="I2126" s="2524">
        <f t="shared" si="168"/>
        <v>13.423522048155872</v>
      </c>
    </row>
    <row r="2127" spans="2:9">
      <c r="B2127" s="2251">
        <v>45972</v>
      </c>
      <c r="C2127">
        <v>18.2027</v>
      </c>
      <c r="D2127" s="2935"/>
      <c r="E2127" s="2523">
        <f t="shared" si="165"/>
        <v>20.496540945512795</v>
      </c>
      <c r="F2127" s="2261">
        <f t="shared" si="164"/>
        <v>24.033050394191257</v>
      </c>
      <c r="G2127" s="2524">
        <f t="shared" si="166"/>
        <v>27.569559842869719</v>
      </c>
      <c r="H2127" s="2524">
        <f t="shared" si="167"/>
        <v>16.960031496834333</v>
      </c>
      <c r="I2127" s="2524">
        <f t="shared" si="168"/>
        <v>13.423522048155872</v>
      </c>
    </row>
    <row r="2128" spans="2:9">
      <c r="B2128" s="2251">
        <v>45973</v>
      </c>
      <c r="C2128">
        <v>19.055099999999999</v>
      </c>
      <c r="D2128" s="2935"/>
      <c r="E2128" s="2523">
        <f t="shared" si="165"/>
        <v>20.496540945512795</v>
      </c>
      <c r="F2128" s="2261">
        <f t="shared" si="164"/>
        <v>24.033050394191257</v>
      </c>
      <c r="G2128" s="2524">
        <f t="shared" si="166"/>
        <v>27.569559842869719</v>
      </c>
      <c r="H2128" s="2524">
        <f t="shared" si="167"/>
        <v>16.960031496834333</v>
      </c>
      <c r="I2128" s="2524">
        <f t="shared" si="168"/>
        <v>13.423522048155872</v>
      </c>
    </row>
    <row r="2129" spans="2:9">
      <c r="B2129" s="2251">
        <v>45974</v>
      </c>
      <c r="C2129">
        <v>18.7331</v>
      </c>
      <c r="D2129" s="2935"/>
      <c r="E2129" s="2523">
        <f t="shared" si="165"/>
        <v>20.496540945512795</v>
      </c>
      <c r="F2129" s="2261">
        <f t="shared" si="164"/>
        <v>24.033050394191257</v>
      </c>
      <c r="G2129" s="2524">
        <f t="shared" si="166"/>
        <v>27.569559842869719</v>
      </c>
      <c r="H2129" s="2524">
        <f t="shared" si="167"/>
        <v>16.960031496834333</v>
      </c>
      <c r="I2129" s="2524">
        <f t="shared" si="168"/>
        <v>13.423522048155872</v>
      </c>
    </row>
    <row r="2130" spans="2:9">
      <c r="B2130" s="2251">
        <v>45975</v>
      </c>
      <c r="C2130">
        <v>18.941500000000001</v>
      </c>
      <c r="D2130" s="2935"/>
      <c r="E2130" s="2523">
        <f t="shared" si="165"/>
        <v>20.496540945512795</v>
      </c>
      <c r="F2130" s="2261">
        <f t="shared" si="164"/>
        <v>24.033050394191257</v>
      </c>
      <c r="G2130" s="2524">
        <f t="shared" si="166"/>
        <v>27.569559842869719</v>
      </c>
      <c r="H2130" s="2524">
        <f t="shared" si="167"/>
        <v>16.960031496834333</v>
      </c>
      <c r="I2130" s="2524">
        <f t="shared" si="168"/>
        <v>13.423522048155872</v>
      </c>
    </row>
    <row r="2131" spans="2:9">
      <c r="B2131" s="2251">
        <v>45978</v>
      </c>
      <c r="C2131">
        <v>19.1309</v>
      </c>
      <c r="D2131" s="2935"/>
      <c r="E2131" s="2523">
        <f t="shared" si="165"/>
        <v>20.496540945512795</v>
      </c>
      <c r="F2131" s="2261">
        <f t="shared" si="164"/>
        <v>24.033050394191257</v>
      </c>
      <c r="G2131" s="2524">
        <f t="shared" si="166"/>
        <v>27.569559842869719</v>
      </c>
      <c r="H2131" s="2524">
        <f t="shared" si="167"/>
        <v>16.960031496834333</v>
      </c>
      <c r="I2131" s="2524">
        <f t="shared" si="168"/>
        <v>13.423522048155872</v>
      </c>
    </row>
    <row r="2132" spans="2:9">
      <c r="B2132" s="2251">
        <v>45979</v>
      </c>
      <c r="C2132">
        <v>18.941500000000001</v>
      </c>
      <c r="D2132" s="2935"/>
      <c r="E2132" s="2523">
        <f t="shared" si="165"/>
        <v>20.496540945512795</v>
      </c>
      <c r="F2132" s="2261">
        <f t="shared" si="164"/>
        <v>24.033050394191257</v>
      </c>
      <c r="G2132" s="2524">
        <f t="shared" si="166"/>
        <v>27.569559842869719</v>
      </c>
      <c r="H2132" s="2524">
        <f t="shared" si="167"/>
        <v>16.960031496834333</v>
      </c>
      <c r="I2132" s="2524">
        <f t="shared" si="168"/>
        <v>13.423522048155872</v>
      </c>
    </row>
    <row r="2133" spans="2:9">
      <c r="B2133" s="2251">
        <v>45980</v>
      </c>
      <c r="C2133">
        <v>18.5626</v>
      </c>
      <c r="D2133" s="2935"/>
      <c r="E2133" s="2523">
        <f t="shared" si="165"/>
        <v>20.496540945512795</v>
      </c>
      <c r="F2133" s="2261">
        <f t="shared" si="164"/>
        <v>24.033050394191257</v>
      </c>
      <c r="G2133" s="2524">
        <f t="shared" si="166"/>
        <v>27.569559842869719</v>
      </c>
      <c r="H2133" s="2524">
        <f t="shared" si="167"/>
        <v>16.960031496834333</v>
      </c>
      <c r="I2133" s="2524">
        <f t="shared" si="168"/>
        <v>13.423522048155872</v>
      </c>
    </row>
    <row r="2134" spans="2:9">
      <c r="B2134" s="2251">
        <v>45981</v>
      </c>
      <c r="C2134">
        <v>18.752099999999999</v>
      </c>
      <c r="D2134" s="2935"/>
      <c r="E2134" s="2523">
        <f t="shared" si="165"/>
        <v>20.496540945512795</v>
      </c>
      <c r="F2134" s="2261">
        <f t="shared" si="164"/>
        <v>24.033050394191257</v>
      </c>
      <c r="G2134" s="2524">
        <f t="shared" si="166"/>
        <v>27.569559842869719</v>
      </c>
      <c r="H2134" s="2524">
        <f t="shared" si="167"/>
        <v>16.960031496834333</v>
      </c>
      <c r="I2134" s="2524">
        <f t="shared" si="168"/>
        <v>13.423522048155872</v>
      </c>
    </row>
    <row r="2135" spans="2:9">
      <c r="B2135" s="2251">
        <v>45982</v>
      </c>
      <c r="C2135">
        <v>19.093</v>
      </c>
      <c r="D2135" s="2935"/>
      <c r="E2135" s="2523">
        <f t="shared" si="165"/>
        <v>20.496540945512795</v>
      </c>
      <c r="F2135" s="2261">
        <f t="shared" si="164"/>
        <v>24.033050394191257</v>
      </c>
      <c r="G2135" s="2524">
        <f t="shared" si="166"/>
        <v>27.569559842869719</v>
      </c>
      <c r="H2135" s="2524">
        <f t="shared" si="167"/>
        <v>16.960031496834333</v>
      </c>
      <c r="I2135" s="2524">
        <f t="shared" si="168"/>
        <v>13.423522048155872</v>
      </c>
    </row>
    <row r="2136" spans="2:9">
      <c r="B2136" s="2251">
        <v>45985</v>
      </c>
      <c r="C2136">
        <v>18.979299999999999</v>
      </c>
      <c r="D2136" s="2935"/>
      <c r="E2136" s="2523">
        <f t="shared" si="165"/>
        <v>20.496540945512795</v>
      </c>
      <c r="F2136" s="2261">
        <f t="shared" si="164"/>
        <v>24.033050394191257</v>
      </c>
      <c r="G2136" s="2524">
        <f t="shared" si="166"/>
        <v>27.569559842869719</v>
      </c>
      <c r="H2136" s="2524">
        <f t="shared" si="167"/>
        <v>16.960031496834333</v>
      </c>
      <c r="I2136" s="2524">
        <f t="shared" si="168"/>
        <v>13.423522048155872</v>
      </c>
    </row>
    <row r="2137" spans="2:9">
      <c r="B2137" s="2251">
        <v>45986</v>
      </c>
      <c r="C2137">
        <v>18.884599999999999</v>
      </c>
      <c r="D2137" s="2935"/>
      <c r="E2137" s="2523">
        <f t="shared" si="165"/>
        <v>20.496540945512795</v>
      </c>
      <c r="F2137" s="2261">
        <f t="shared" si="164"/>
        <v>24.033050394191257</v>
      </c>
      <c r="G2137" s="2524">
        <f t="shared" si="166"/>
        <v>27.569559842869719</v>
      </c>
      <c r="H2137" s="2524">
        <f t="shared" si="167"/>
        <v>16.960031496834333</v>
      </c>
      <c r="I2137" s="2524">
        <f t="shared" si="168"/>
        <v>13.423522048155872</v>
      </c>
    </row>
    <row r="2138" spans="2:9">
      <c r="B2138" s="2251">
        <v>45987</v>
      </c>
      <c r="C2138">
        <v>18.752099999999999</v>
      </c>
      <c r="D2138" s="2935"/>
      <c r="E2138" s="2523">
        <f t="shared" si="165"/>
        <v>20.496540945512795</v>
      </c>
      <c r="F2138" s="2261">
        <f t="shared" si="164"/>
        <v>24.033050394191257</v>
      </c>
      <c r="G2138" s="2524">
        <f t="shared" si="166"/>
        <v>27.569559842869719</v>
      </c>
      <c r="H2138" s="2524">
        <f t="shared" si="167"/>
        <v>16.960031496834333</v>
      </c>
      <c r="I2138" s="2524">
        <f t="shared" si="168"/>
        <v>13.423522048155872</v>
      </c>
    </row>
    <row r="2139" spans="2:9">
      <c r="B2139" s="2251">
        <v>45988</v>
      </c>
      <c r="C2139">
        <v>18.846800000000002</v>
      </c>
      <c r="D2139" s="2935"/>
      <c r="E2139" s="2523">
        <f t="shared" si="165"/>
        <v>20.496540945512795</v>
      </c>
      <c r="F2139" s="2261">
        <f t="shared" si="164"/>
        <v>24.033050394191257</v>
      </c>
      <c r="G2139" s="2524">
        <f t="shared" si="166"/>
        <v>27.569559842869719</v>
      </c>
      <c r="H2139" s="2524">
        <f t="shared" si="167"/>
        <v>16.960031496834333</v>
      </c>
      <c r="I2139" s="2524">
        <f t="shared" si="168"/>
        <v>13.423522048155872</v>
      </c>
    </row>
    <row r="2140" spans="2:9">
      <c r="B2140" s="2251">
        <v>45989</v>
      </c>
      <c r="C2140">
        <v>18.392199999999999</v>
      </c>
      <c r="D2140" s="2935"/>
      <c r="E2140" s="2523">
        <f t="shared" si="165"/>
        <v>20.496540945512795</v>
      </c>
      <c r="F2140" s="2261">
        <f t="shared" si="164"/>
        <v>24.033050394191257</v>
      </c>
      <c r="G2140" s="2524">
        <f t="shared" si="166"/>
        <v>27.569559842869719</v>
      </c>
      <c r="H2140" s="2524">
        <f t="shared" si="167"/>
        <v>16.960031496834333</v>
      </c>
      <c r="I2140" s="2524">
        <f t="shared" si="168"/>
        <v>13.423522048155872</v>
      </c>
    </row>
    <row r="2141" spans="2:9">
      <c r="B2141" s="2251">
        <v>45992</v>
      </c>
      <c r="C2141">
        <v>18.297499999999999</v>
      </c>
      <c r="D2141" s="2935"/>
      <c r="E2141" s="2523">
        <f t="shared" si="165"/>
        <v>20.496540945512795</v>
      </c>
      <c r="F2141" s="2261">
        <f t="shared" si="164"/>
        <v>24.033050394191257</v>
      </c>
      <c r="G2141" s="2524">
        <f t="shared" si="166"/>
        <v>27.569559842869719</v>
      </c>
      <c r="H2141" s="2524">
        <f t="shared" si="167"/>
        <v>16.960031496834333</v>
      </c>
      <c r="I2141" s="2524">
        <f t="shared" si="168"/>
        <v>13.423522048155872</v>
      </c>
    </row>
    <row r="2142" spans="2:9">
      <c r="B2142" s="2251">
        <v>45993</v>
      </c>
      <c r="C2142">
        <v>18.297499999999999</v>
      </c>
      <c r="D2142" s="2935"/>
      <c r="E2142" s="2523">
        <f t="shared" si="165"/>
        <v>20.496540945512795</v>
      </c>
      <c r="F2142" s="2261">
        <f t="shared" si="164"/>
        <v>24.033050394191257</v>
      </c>
      <c r="G2142" s="2524">
        <f t="shared" si="166"/>
        <v>27.569559842869719</v>
      </c>
      <c r="H2142" s="2524">
        <f t="shared" si="167"/>
        <v>16.960031496834333</v>
      </c>
      <c r="I2142" s="2524">
        <f t="shared" si="168"/>
        <v>13.423522048155872</v>
      </c>
    </row>
    <row r="2143" spans="2:9">
      <c r="B2143" s="2251">
        <v>45994</v>
      </c>
      <c r="C2143">
        <v>18.297499999999999</v>
      </c>
      <c r="D2143" s="2935"/>
      <c r="E2143" s="2523">
        <f t="shared" si="165"/>
        <v>20.496540945512795</v>
      </c>
      <c r="F2143" s="2261">
        <f t="shared" si="164"/>
        <v>24.033050394191257</v>
      </c>
      <c r="G2143" s="2524">
        <f t="shared" si="166"/>
        <v>27.569559842869719</v>
      </c>
      <c r="H2143" s="2524">
        <f t="shared" si="167"/>
        <v>16.960031496834333</v>
      </c>
      <c r="I2143" s="2524">
        <f t="shared" si="168"/>
        <v>13.423522048155872</v>
      </c>
    </row>
    <row r="2144" spans="2:9">
      <c r="B2144" s="2251">
        <v>45995</v>
      </c>
      <c r="C2144">
        <v>18.4679</v>
      </c>
      <c r="D2144" s="2935"/>
      <c r="E2144" s="2523">
        <f t="shared" si="165"/>
        <v>20.496540945512795</v>
      </c>
      <c r="F2144" s="2261">
        <f t="shared" si="164"/>
        <v>24.033050394191257</v>
      </c>
      <c r="G2144" s="2524">
        <f t="shared" si="166"/>
        <v>27.569559842869719</v>
      </c>
      <c r="H2144" s="2524">
        <f t="shared" si="167"/>
        <v>16.960031496834333</v>
      </c>
      <c r="I2144" s="2524">
        <f t="shared" si="168"/>
        <v>13.423522048155872</v>
      </c>
    </row>
    <row r="2145" spans="2:9">
      <c r="B2145" s="2251">
        <v>45996</v>
      </c>
      <c r="C2145">
        <v>18.221699999999998</v>
      </c>
      <c r="D2145" s="2935"/>
      <c r="E2145" s="2523">
        <f t="shared" si="165"/>
        <v>20.496540945512795</v>
      </c>
      <c r="F2145" s="2261">
        <f t="shared" si="164"/>
        <v>24.033050394191257</v>
      </c>
      <c r="G2145" s="2524">
        <f t="shared" si="166"/>
        <v>27.569559842869719</v>
      </c>
      <c r="H2145" s="2524">
        <f t="shared" si="167"/>
        <v>16.960031496834333</v>
      </c>
      <c r="I2145" s="2524">
        <f t="shared" si="168"/>
        <v>13.423522048155872</v>
      </c>
    </row>
    <row r="2146" spans="2:9">
      <c r="B2146" s="2251">
        <v>45999</v>
      </c>
      <c r="C2146">
        <v>18.089099999999998</v>
      </c>
      <c r="D2146" s="2935"/>
      <c r="E2146" s="2523">
        <f t="shared" si="165"/>
        <v>20.496540945512795</v>
      </c>
      <c r="F2146" s="2261">
        <f t="shared" si="164"/>
        <v>24.033050394191257</v>
      </c>
      <c r="G2146" s="2524">
        <f t="shared" si="166"/>
        <v>27.569559842869719</v>
      </c>
      <c r="H2146" s="2524">
        <f t="shared" si="167"/>
        <v>16.960031496834333</v>
      </c>
      <c r="I2146" s="2524">
        <f t="shared" si="168"/>
        <v>13.423522048155872</v>
      </c>
    </row>
    <row r="2147" spans="2:9">
      <c r="B2147" s="2251">
        <v>46000</v>
      </c>
      <c r="C2147">
        <v>18.354299999999999</v>
      </c>
      <c r="D2147" s="2935"/>
      <c r="E2147" s="2523">
        <f t="shared" si="165"/>
        <v>20.496540945512795</v>
      </c>
      <c r="F2147" s="2261">
        <f t="shared" si="164"/>
        <v>24.033050394191257</v>
      </c>
      <c r="G2147" s="2524">
        <f t="shared" si="166"/>
        <v>27.569559842869719</v>
      </c>
      <c r="H2147" s="2524">
        <f t="shared" si="167"/>
        <v>16.960031496834333</v>
      </c>
      <c r="I2147" s="2524">
        <f t="shared" si="168"/>
        <v>13.423522048155872</v>
      </c>
    </row>
    <row r="2148" spans="2:9">
      <c r="B2148" s="2251">
        <v>46001</v>
      </c>
      <c r="C2148">
        <v>18.108000000000001</v>
      </c>
      <c r="D2148" s="2935"/>
      <c r="E2148" s="2523">
        <f t="shared" si="165"/>
        <v>20.496540945512795</v>
      </c>
      <c r="F2148" s="2261">
        <f t="shared" si="164"/>
        <v>24.033050394191257</v>
      </c>
      <c r="G2148" s="2524">
        <f t="shared" si="166"/>
        <v>27.569559842869719</v>
      </c>
      <c r="H2148" s="2524">
        <f t="shared" si="167"/>
        <v>16.960031496834333</v>
      </c>
      <c r="I2148" s="2524">
        <f t="shared" si="168"/>
        <v>13.423522048155872</v>
      </c>
    </row>
    <row r="2149" spans="2:9">
      <c r="B2149" s="2251">
        <v>46002</v>
      </c>
      <c r="C2149">
        <v>18.183800000000002</v>
      </c>
      <c r="D2149" s="2935"/>
      <c r="E2149" s="2523">
        <f t="shared" si="165"/>
        <v>20.496540945512795</v>
      </c>
      <c r="F2149" s="2261">
        <f t="shared" si="164"/>
        <v>24.033050394191257</v>
      </c>
      <c r="G2149" s="2524">
        <f t="shared" si="166"/>
        <v>27.569559842869719</v>
      </c>
      <c r="H2149" s="2524">
        <f t="shared" si="167"/>
        <v>16.960031496834333</v>
      </c>
      <c r="I2149" s="2524">
        <f t="shared" si="168"/>
        <v>13.423522048155872</v>
      </c>
    </row>
    <row r="2150" spans="2:9">
      <c r="B2150" s="2251">
        <v>46003</v>
      </c>
      <c r="C2150">
        <v>17.748200000000001</v>
      </c>
      <c r="D2150" s="2935"/>
      <c r="E2150" s="2523">
        <f t="shared" si="165"/>
        <v>20.496540945512795</v>
      </c>
      <c r="F2150" s="2261">
        <f t="shared" si="164"/>
        <v>24.033050394191257</v>
      </c>
      <c r="G2150" s="2524">
        <f t="shared" si="166"/>
        <v>27.569559842869719</v>
      </c>
      <c r="H2150" s="2524">
        <f t="shared" si="167"/>
        <v>16.960031496834333</v>
      </c>
      <c r="I2150" s="2524">
        <f t="shared" si="168"/>
        <v>13.423522048155872</v>
      </c>
    </row>
    <row r="2151" spans="2:9">
      <c r="B2151" s="2251">
        <v>46006</v>
      </c>
      <c r="C2151">
        <v>17.767099999999999</v>
      </c>
      <c r="D2151" s="2935"/>
      <c r="E2151" s="2523">
        <f t="shared" si="165"/>
        <v>20.496540945512795</v>
      </c>
      <c r="F2151" s="2261">
        <f t="shared" si="164"/>
        <v>24.033050394191257</v>
      </c>
      <c r="G2151" s="2524">
        <f t="shared" si="166"/>
        <v>27.569559842869719</v>
      </c>
      <c r="H2151" s="2524">
        <f t="shared" si="167"/>
        <v>16.960031496834333</v>
      </c>
      <c r="I2151" s="2524">
        <f t="shared" si="168"/>
        <v>13.423522048155872</v>
      </c>
    </row>
    <row r="2152" spans="2:9">
      <c r="B2152" s="2251">
        <v>46007</v>
      </c>
      <c r="C2152">
        <v>17.9755</v>
      </c>
      <c r="D2152" s="2935"/>
      <c r="E2152" s="2523">
        <f t="shared" si="165"/>
        <v>20.496540945512795</v>
      </c>
      <c r="F2152" s="2261">
        <f t="shared" si="164"/>
        <v>24.033050394191257</v>
      </c>
      <c r="G2152" s="2524">
        <f t="shared" si="166"/>
        <v>27.569559842869719</v>
      </c>
      <c r="H2152" s="2524">
        <f t="shared" si="167"/>
        <v>16.960031496834333</v>
      </c>
      <c r="I2152" s="2524">
        <f t="shared" si="168"/>
        <v>13.423522048155872</v>
      </c>
    </row>
    <row r="2153" spans="2:9">
      <c r="B2153" s="2251">
        <v>46008</v>
      </c>
      <c r="C2153">
        <v>18.164899999999999</v>
      </c>
      <c r="D2153" s="2935"/>
      <c r="E2153" s="2523">
        <f t="shared" si="165"/>
        <v>20.496540945512795</v>
      </c>
      <c r="F2153" s="2261">
        <f t="shared" si="164"/>
        <v>24.033050394191257</v>
      </c>
      <c r="G2153" s="2524">
        <f t="shared" si="166"/>
        <v>27.569559842869719</v>
      </c>
      <c r="H2153" s="2524">
        <f t="shared" si="167"/>
        <v>16.960031496834333</v>
      </c>
      <c r="I2153" s="2524">
        <f t="shared" si="168"/>
        <v>13.423522048155872</v>
      </c>
    </row>
    <row r="2154" spans="2:9">
      <c r="B2154" s="2251">
        <v>46009</v>
      </c>
      <c r="C2154">
        <v>17.880700000000001</v>
      </c>
      <c r="D2154" s="2935"/>
      <c r="E2154" s="2523">
        <f t="shared" si="165"/>
        <v>20.496540945512795</v>
      </c>
      <c r="F2154" s="2261">
        <f t="shared" si="164"/>
        <v>24.033050394191257</v>
      </c>
      <c r="G2154" s="2524">
        <f t="shared" si="166"/>
        <v>27.569559842869719</v>
      </c>
      <c r="H2154" s="2524">
        <f t="shared" si="167"/>
        <v>16.960031496834333</v>
      </c>
      <c r="I2154" s="2524">
        <f t="shared" si="168"/>
        <v>13.423522048155872</v>
      </c>
    </row>
    <row r="2155" spans="2:9">
      <c r="B2155" s="2251">
        <v>46010</v>
      </c>
      <c r="C2155">
        <v>17.786000000000001</v>
      </c>
      <c r="D2155" s="2935"/>
      <c r="E2155" s="2523">
        <f t="shared" si="165"/>
        <v>20.496540945512795</v>
      </c>
      <c r="F2155" s="2261">
        <f t="shared" si="164"/>
        <v>24.033050394191257</v>
      </c>
      <c r="G2155" s="2524">
        <f t="shared" si="166"/>
        <v>27.569559842869719</v>
      </c>
      <c r="H2155" s="2524">
        <f t="shared" si="167"/>
        <v>16.960031496834333</v>
      </c>
      <c r="I2155" s="2524">
        <f t="shared" si="168"/>
        <v>13.423522048155872</v>
      </c>
    </row>
    <row r="2156" spans="2:9">
      <c r="B2156" s="2251">
        <v>46013</v>
      </c>
      <c r="C2156">
        <v>17.748200000000001</v>
      </c>
      <c r="D2156" s="2935"/>
      <c r="E2156" s="2523">
        <f t="shared" si="165"/>
        <v>20.496540945512795</v>
      </c>
      <c r="F2156" s="2261">
        <f t="shared" si="164"/>
        <v>24.033050394191257</v>
      </c>
      <c r="G2156" s="2524">
        <f t="shared" si="166"/>
        <v>27.569559842869719</v>
      </c>
      <c r="H2156" s="2524">
        <f t="shared" si="167"/>
        <v>16.960031496834333</v>
      </c>
      <c r="I2156" s="2524">
        <f t="shared" si="168"/>
        <v>13.423522048155872</v>
      </c>
    </row>
    <row r="2157" spans="2:9">
      <c r="B2157" s="2251">
        <v>46014</v>
      </c>
      <c r="C2157">
        <v>17.805</v>
      </c>
      <c r="D2157" s="2935"/>
      <c r="E2157" s="2523">
        <f t="shared" si="165"/>
        <v>20.496540945512795</v>
      </c>
      <c r="F2157" s="2261">
        <f t="shared" si="164"/>
        <v>24.033050394191257</v>
      </c>
      <c r="G2157" s="2524">
        <f t="shared" si="166"/>
        <v>27.569559842869719</v>
      </c>
      <c r="H2157" s="2524">
        <f t="shared" si="167"/>
        <v>16.960031496834333</v>
      </c>
      <c r="I2157" s="2524">
        <f t="shared" si="168"/>
        <v>13.423522048155872</v>
      </c>
    </row>
    <row r="2158" spans="2:9">
      <c r="B2158" s="2251">
        <v>46015</v>
      </c>
      <c r="C2158">
        <v>17.729199999999999</v>
      </c>
      <c r="D2158" s="2935"/>
      <c r="E2158" s="2523">
        <f t="shared" si="165"/>
        <v>20.496540945512795</v>
      </c>
      <c r="F2158" s="2261">
        <f t="shared" si="164"/>
        <v>24.033050394191257</v>
      </c>
      <c r="G2158" s="2524">
        <f t="shared" si="166"/>
        <v>27.569559842869719</v>
      </c>
      <c r="H2158" s="2524">
        <f t="shared" si="167"/>
        <v>16.960031496834333</v>
      </c>
      <c r="I2158" s="2524">
        <f t="shared" si="168"/>
        <v>13.423522048155872</v>
      </c>
    </row>
    <row r="2159" spans="2:9">
      <c r="B2159" s="2251">
        <v>46016</v>
      </c>
      <c r="C2159">
        <v>17.615600000000001</v>
      </c>
      <c r="D2159" s="2935"/>
      <c r="E2159" s="2523">
        <f t="shared" si="165"/>
        <v>20.496540945512795</v>
      </c>
      <c r="F2159" s="2261">
        <f t="shared" si="164"/>
        <v>24.033050394191257</v>
      </c>
      <c r="G2159" s="2524">
        <f t="shared" si="166"/>
        <v>27.569559842869719</v>
      </c>
      <c r="H2159" s="2524">
        <f t="shared" si="167"/>
        <v>16.960031496834333</v>
      </c>
      <c r="I2159" s="2524">
        <f t="shared" si="168"/>
        <v>13.423522048155872</v>
      </c>
    </row>
    <row r="2160" spans="2:9">
      <c r="B2160" s="2251">
        <v>46017</v>
      </c>
      <c r="C2160">
        <v>17.520900000000001</v>
      </c>
      <c r="D2160" s="2935"/>
      <c r="E2160" s="2523">
        <f t="shared" si="165"/>
        <v>20.496540945512795</v>
      </c>
      <c r="F2160" s="2261">
        <f t="shared" si="164"/>
        <v>24.033050394191257</v>
      </c>
      <c r="G2160" s="2524">
        <f t="shared" si="166"/>
        <v>27.569559842869719</v>
      </c>
      <c r="H2160" s="2524">
        <f t="shared" si="167"/>
        <v>16.960031496834333</v>
      </c>
      <c r="I2160" s="2524">
        <f t="shared" si="168"/>
        <v>13.423522048155872</v>
      </c>
    </row>
    <row r="2161" spans="2:9">
      <c r="B2161" s="2251">
        <v>46020</v>
      </c>
      <c r="C2161">
        <v>17.861799999999999</v>
      </c>
      <c r="D2161" s="2935"/>
      <c r="E2161" s="2523">
        <f t="shared" si="165"/>
        <v>20.496540945512795</v>
      </c>
      <c r="F2161" s="2261">
        <f t="shared" si="164"/>
        <v>24.033050394191257</v>
      </c>
      <c r="G2161" s="2524">
        <f t="shared" si="166"/>
        <v>27.569559842869719</v>
      </c>
      <c r="H2161" s="2524">
        <f t="shared" si="167"/>
        <v>16.960031496834333</v>
      </c>
      <c r="I2161" s="2524">
        <f t="shared" si="168"/>
        <v>13.423522048155872</v>
      </c>
    </row>
    <row r="2162" spans="2:9">
      <c r="B2162" s="2251">
        <v>46021</v>
      </c>
      <c r="C2162">
        <v>18.278500000000001</v>
      </c>
      <c r="D2162" s="2935"/>
      <c r="E2162" s="2523">
        <f t="shared" si="165"/>
        <v>20.496540945512795</v>
      </c>
      <c r="F2162" s="2261">
        <f t="shared" si="164"/>
        <v>24.033050394191257</v>
      </c>
      <c r="G2162" s="2524">
        <f t="shared" si="166"/>
        <v>27.569559842869719</v>
      </c>
      <c r="H2162" s="2524">
        <f t="shared" si="167"/>
        <v>16.960031496834333</v>
      </c>
      <c r="I2162" s="2524">
        <f t="shared" si="168"/>
        <v>13.423522048155872</v>
      </c>
    </row>
    <row r="2163" spans="2:9">
      <c r="B2163" s="2251">
        <v>46022</v>
      </c>
      <c r="C2163">
        <v>17.3902</v>
      </c>
      <c r="D2163" s="2935"/>
      <c r="E2163" s="2523">
        <f t="shared" si="165"/>
        <v>20.496540945512795</v>
      </c>
      <c r="F2163" s="2261">
        <f t="shared" si="164"/>
        <v>24.033050394191257</v>
      </c>
      <c r="G2163" s="2524">
        <f t="shared" si="166"/>
        <v>27.569559842869719</v>
      </c>
      <c r="H2163" s="2524">
        <f t="shared" si="167"/>
        <v>16.960031496834333</v>
      </c>
      <c r="I2163" s="2524">
        <f t="shared" si="168"/>
        <v>13.423522048155872</v>
      </c>
    </row>
    <row r="2164" spans="2:9">
      <c r="B2164" s="2251">
        <v>46027</v>
      </c>
      <c r="C2164">
        <v>17.245000000000001</v>
      </c>
      <c r="D2164" s="2935"/>
      <c r="E2164" s="2523">
        <f t="shared" si="165"/>
        <v>20.496540945512795</v>
      </c>
      <c r="F2164" s="2261">
        <f t="shared" si="164"/>
        <v>24.033050394191257</v>
      </c>
      <c r="G2164" s="2524">
        <f t="shared" si="166"/>
        <v>27.569559842869719</v>
      </c>
      <c r="H2164" s="2524">
        <f t="shared" si="167"/>
        <v>16.960031496834333</v>
      </c>
      <c r="I2164" s="2524">
        <f t="shared" si="168"/>
        <v>13.423522048155872</v>
      </c>
    </row>
    <row r="2165" spans="2:9">
      <c r="B2165" s="2251">
        <v>46028</v>
      </c>
      <c r="C2165">
        <v>17.063500000000001</v>
      </c>
      <c r="D2165" s="2935"/>
      <c r="E2165" s="2523">
        <f t="shared" si="165"/>
        <v>20.496540945512795</v>
      </c>
      <c r="F2165" s="2261">
        <f t="shared" si="164"/>
        <v>24.033050394191257</v>
      </c>
      <c r="G2165" s="2524">
        <f t="shared" si="166"/>
        <v>27.569559842869719</v>
      </c>
      <c r="H2165" s="2524">
        <f t="shared" si="167"/>
        <v>16.960031496834333</v>
      </c>
      <c r="I2165" s="2524">
        <f t="shared" si="168"/>
        <v>13.423522048155872</v>
      </c>
    </row>
    <row r="2166" spans="2:9">
      <c r="B2166" s="2251">
        <v>46029</v>
      </c>
      <c r="C2166">
        <v>17.698799999999999</v>
      </c>
      <c r="D2166" s="2935"/>
      <c r="E2166" s="2523">
        <f t="shared" si="165"/>
        <v>20.496540945512795</v>
      </c>
      <c r="F2166" s="2261">
        <f t="shared" si="164"/>
        <v>24.033050394191257</v>
      </c>
      <c r="G2166" s="2524">
        <f t="shared" si="166"/>
        <v>27.569559842869719</v>
      </c>
      <c r="H2166" s="2524">
        <f t="shared" si="167"/>
        <v>16.960031496834333</v>
      </c>
      <c r="I2166" s="2524">
        <f t="shared" si="168"/>
        <v>13.423522048155872</v>
      </c>
    </row>
    <row r="2167" spans="2:9">
      <c r="B2167" s="2251">
        <v>46030</v>
      </c>
      <c r="C2167">
        <v>17.517299999999999</v>
      </c>
      <c r="D2167" s="2935"/>
      <c r="E2167" s="2523">
        <f t="shared" si="165"/>
        <v>20.496540945512795</v>
      </c>
      <c r="F2167" s="2261">
        <f t="shared" si="164"/>
        <v>24.033050394191257</v>
      </c>
      <c r="G2167" s="2524">
        <f t="shared" si="166"/>
        <v>27.569559842869719</v>
      </c>
      <c r="H2167" s="2524">
        <f t="shared" si="167"/>
        <v>16.960031496834333</v>
      </c>
      <c r="I2167" s="2524">
        <f t="shared" si="168"/>
        <v>13.423522048155872</v>
      </c>
    </row>
    <row r="2168" spans="2:9">
      <c r="B2168" s="2251">
        <v>46031</v>
      </c>
      <c r="C2168">
        <v>17.680700000000002</v>
      </c>
      <c r="D2168" s="2935"/>
      <c r="E2168" s="2523">
        <f t="shared" si="165"/>
        <v>20.496540945512795</v>
      </c>
      <c r="F2168" s="2261">
        <f t="shared" si="164"/>
        <v>24.033050394191257</v>
      </c>
      <c r="G2168" s="2524">
        <f t="shared" si="166"/>
        <v>27.569559842869719</v>
      </c>
      <c r="H2168" s="2524">
        <f t="shared" si="167"/>
        <v>16.960031496834333</v>
      </c>
      <c r="I2168" s="2524">
        <f t="shared" si="168"/>
        <v>13.423522048155872</v>
      </c>
    </row>
    <row r="2169" spans="2:9">
      <c r="B2169" s="2251">
        <v>46034</v>
      </c>
      <c r="C2169">
        <v>18.061900000000001</v>
      </c>
      <c r="D2169" s="2935"/>
      <c r="E2169" s="2523">
        <f t="shared" si="165"/>
        <v>20.496540945512795</v>
      </c>
      <c r="F2169" s="2261">
        <f t="shared" si="164"/>
        <v>24.033050394191257</v>
      </c>
      <c r="G2169" s="2524">
        <f t="shared" si="166"/>
        <v>27.569559842869719</v>
      </c>
      <c r="H2169" s="2524">
        <f t="shared" si="167"/>
        <v>16.960031496834333</v>
      </c>
      <c r="I2169" s="2524">
        <f t="shared" si="168"/>
        <v>13.423522048155872</v>
      </c>
    </row>
    <row r="2170" spans="2:9">
      <c r="B2170" s="2251">
        <v>46035</v>
      </c>
      <c r="C2170">
        <v>17.952999999999999</v>
      </c>
      <c r="D2170" s="2935"/>
      <c r="E2170" s="2523">
        <f t="shared" si="165"/>
        <v>20.496540945512795</v>
      </c>
      <c r="F2170" s="2261">
        <f t="shared" si="164"/>
        <v>24.033050394191257</v>
      </c>
      <c r="G2170" s="2524">
        <f t="shared" si="166"/>
        <v>27.569559842869719</v>
      </c>
      <c r="H2170" s="2524">
        <f t="shared" si="167"/>
        <v>16.960031496834333</v>
      </c>
      <c r="I2170" s="2524">
        <f t="shared" si="168"/>
        <v>13.423522048155872</v>
      </c>
    </row>
    <row r="2171" spans="2:9">
      <c r="B2171" s="2251">
        <v>46036</v>
      </c>
      <c r="C2171">
        <v>18.116299999999999</v>
      </c>
      <c r="D2171" s="2935"/>
      <c r="E2171" s="2523">
        <f t="shared" si="165"/>
        <v>20.496540945512795</v>
      </c>
      <c r="F2171" s="2261">
        <f t="shared" si="164"/>
        <v>24.033050394191257</v>
      </c>
      <c r="G2171" s="2524">
        <f t="shared" si="166"/>
        <v>27.569559842869719</v>
      </c>
      <c r="H2171" s="2524">
        <f t="shared" si="167"/>
        <v>16.960031496834333</v>
      </c>
      <c r="I2171" s="2524">
        <f t="shared" si="168"/>
        <v>13.423522048155872</v>
      </c>
    </row>
    <row r="2172" spans="2:9">
      <c r="B2172" s="2251">
        <v>46037</v>
      </c>
      <c r="C2172">
        <v>17.880400000000002</v>
      </c>
      <c r="D2172" s="2935"/>
      <c r="E2172" s="2523">
        <f t="shared" si="165"/>
        <v>20.496540945512795</v>
      </c>
      <c r="F2172" s="2261">
        <f t="shared" si="164"/>
        <v>24.033050394191257</v>
      </c>
      <c r="G2172" s="2524">
        <f t="shared" si="166"/>
        <v>27.569559842869719</v>
      </c>
      <c r="H2172" s="2524">
        <f t="shared" si="167"/>
        <v>16.960031496834333</v>
      </c>
      <c r="I2172" s="2524">
        <f t="shared" si="168"/>
        <v>13.423522048155872</v>
      </c>
    </row>
    <row r="2173" spans="2:9">
      <c r="B2173" s="2251">
        <v>46038</v>
      </c>
      <c r="C2173">
        <v>19.114699999999999</v>
      </c>
      <c r="D2173" s="2935"/>
      <c r="E2173" s="2523">
        <f t="shared" si="165"/>
        <v>20.496540945512795</v>
      </c>
      <c r="F2173" s="2261">
        <f t="shared" ref="F2173:F2203" si="169">I$953+F$953</f>
        <v>24.033050394191257</v>
      </c>
      <c r="G2173" s="2524">
        <f t="shared" si="166"/>
        <v>27.569559842869719</v>
      </c>
      <c r="H2173" s="2524">
        <f t="shared" si="167"/>
        <v>16.960031496834333</v>
      </c>
      <c r="I2173" s="2524">
        <f t="shared" si="168"/>
        <v>13.423522048155872</v>
      </c>
    </row>
    <row r="2174" spans="2:9">
      <c r="B2174" s="2251">
        <v>46041</v>
      </c>
      <c r="C2174">
        <v>19.205500000000001</v>
      </c>
      <c r="D2174" s="2935"/>
      <c r="E2174" s="2523">
        <f t="shared" ref="E2174:E2203" si="170">I$953</f>
        <v>20.496540945512795</v>
      </c>
      <c r="F2174" s="2261">
        <f t="shared" si="169"/>
        <v>24.033050394191257</v>
      </c>
      <c r="G2174" s="2524">
        <f t="shared" ref="G2174:G2203" si="171">I$953+F$953+F$953</f>
        <v>27.569559842869719</v>
      </c>
      <c r="H2174" s="2524">
        <f t="shared" ref="H2174:H2203" si="172">I$953-F$953</f>
        <v>16.960031496834333</v>
      </c>
      <c r="I2174" s="2524">
        <f t="shared" ref="I2174:I2203" si="173">I$953-F$953-F$953</f>
        <v>13.423522048155872</v>
      </c>
    </row>
    <row r="2175" spans="2:9">
      <c r="B2175" s="2251">
        <v>46042</v>
      </c>
      <c r="C2175">
        <v>18.896899999999999</v>
      </c>
      <c r="D2175" s="2935"/>
      <c r="E2175" s="2523">
        <f t="shared" si="170"/>
        <v>20.496540945512795</v>
      </c>
      <c r="F2175" s="2261">
        <f t="shared" si="169"/>
        <v>24.033050394191257</v>
      </c>
      <c r="G2175" s="2524">
        <f t="shared" si="171"/>
        <v>27.569559842869719</v>
      </c>
      <c r="H2175" s="2524">
        <f t="shared" si="172"/>
        <v>16.960031496834333</v>
      </c>
      <c r="I2175" s="2524">
        <f t="shared" si="173"/>
        <v>13.423522048155872</v>
      </c>
    </row>
    <row r="2176" spans="2:9">
      <c r="B2176" s="2251">
        <v>46043</v>
      </c>
      <c r="C2176">
        <v>19.060300000000002</v>
      </c>
      <c r="D2176" s="2935"/>
      <c r="E2176" s="2523">
        <f t="shared" si="170"/>
        <v>20.496540945512795</v>
      </c>
      <c r="F2176" s="2261">
        <f t="shared" si="169"/>
        <v>24.033050394191257</v>
      </c>
      <c r="G2176" s="2524">
        <f t="shared" si="171"/>
        <v>27.569559842869719</v>
      </c>
      <c r="H2176" s="2524">
        <f t="shared" si="172"/>
        <v>16.960031496834333</v>
      </c>
      <c r="I2176" s="2524">
        <f t="shared" si="173"/>
        <v>13.423522048155872</v>
      </c>
    </row>
    <row r="2177" spans="2:9">
      <c r="B2177" s="2251">
        <v>46044</v>
      </c>
      <c r="C2177">
        <v>18.788</v>
      </c>
      <c r="D2177" s="2935"/>
      <c r="E2177" s="2523">
        <f t="shared" si="170"/>
        <v>20.496540945512795</v>
      </c>
      <c r="F2177" s="2261">
        <f t="shared" si="169"/>
        <v>24.033050394191257</v>
      </c>
      <c r="G2177" s="2524">
        <f t="shared" si="171"/>
        <v>27.569559842869719</v>
      </c>
      <c r="H2177" s="2524">
        <f t="shared" si="172"/>
        <v>16.960031496834333</v>
      </c>
      <c r="I2177" s="2524">
        <f t="shared" si="173"/>
        <v>13.423522048155872</v>
      </c>
    </row>
    <row r="2178" spans="2:9">
      <c r="B2178" s="2251">
        <v>46045</v>
      </c>
      <c r="C2178">
        <v>18.334199999999999</v>
      </c>
      <c r="D2178" s="2935"/>
      <c r="E2178" s="2523">
        <f t="shared" si="170"/>
        <v>20.496540945512795</v>
      </c>
      <c r="F2178" s="2261">
        <f t="shared" si="169"/>
        <v>24.033050394191257</v>
      </c>
      <c r="G2178" s="2524">
        <f t="shared" si="171"/>
        <v>27.569559842869719</v>
      </c>
      <c r="H2178" s="2524">
        <f t="shared" si="172"/>
        <v>16.960031496834333</v>
      </c>
      <c r="I2178" s="2524">
        <f t="shared" si="173"/>
        <v>13.423522048155872</v>
      </c>
    </row>
    <row r="2179" spans="2:9">
      <c r="B2179" s="2251">
        <v>46048</v>
      </c>
      <c r="C2179">
        <v>17.880400000000002</v>
      </c>
      <c r="D2179" s="2935"/>
      <c r="E2179" s="2523">
        <f t="shared" si="170"/>
        <v>20.496540945512795</v>
      </c>
      <c r="F2179" s="2261">
        <f t="shared" si="169"/>
        <v>24.033050394191257</v>
      </c>
      <c r="G2179" s="2524">
        <f t="shared" si="171"/>
        <v>27.569559842869719</v>
      </c>
      <c r="H2179" s="2524">
        <f t="shared" si="172"/>
        <v>16.960031496834333</v>
      </c>
      <c r="I2179" s="2524">
        <f t="shared" si="173"/>
        <v>13.423522048155872</v>
      </c>
    </row>
    <row r="2180" spans="2:9">
      <c r="B2180" s="2251">
        <v>46049</v>
      </c>
      <c r="C2180">
        <v>18.533899999999999</v>
      </c>
      <c r="D2180" s="2935"/>
      <c r="E2180" s="2523">
        <f t="shared" si="170"/>
        <v>20.496540945512795</v>
      </c>
      <c r="F2180" s="2261">
        <f t="shared" si="169"/>
        <v>24.033050394191257</v>
      </c>
      <c r="G2180" s="2524">
        <f t="shared" si="171"/>
        <v>27.569559842869719</v>
      </c>
      <c r="H2180" s="2524">
        <f t="shared" si="172"/>
        <v>16.960031496834333</v>
      </c>
      <c r="I2180" s="2524">
        <f t="shared" si="173"/>
        <v>13.423522048155872</v>
      </c>
    </row>
    <row r="2181" spans="2:9">
      <c r="B2181" s="2251">
        <v>46050</v>
      </c>
      <c r="C2181">
        <v>18.9695</v>
      </c>
      <c r="D2181" s="2935"/>
      <c r="E2181" s="2523">
        <f t="shared" si="170"/>
        <v>20.496540945512795</v>
      </c>
      <c r="F2181" s="2261">
        <f t="shared" si="169"/>
        <v>24.033050394191257</v>
      </c>
      <c r="G2181" s="2524">
        <f t="shared" si="171"/>
        <v>27.569559842869719</v>
      </c>
      <c r="H2181" s="2524">
        <f t="shared" si="172"/>
        <v>16.960031496834333</v>
      </c>
      <c r="I2181" s="2524">
        <f t="shared" si="173"/>
        <v>13.423522048155872</v>
      </c>
    </row>
    <row r="2182" spans="2:9">
      <c r="B2182" s="2251">
        <v>46051</v>
      </c>
      <c r="C2182">
        <v>19.260000000000002</v>
      </c>
      <c r="D2182" s="2935"/>
      <c r="E2182" s="2523">
        <f t="shared" si="170"/>
        <v>20.496540945512795</v>
      </c>
      <c r="F2182" s="2261">
        <f t="shared" si="169"/>
        <v>24.033050394191257</v>
      </c>
      <c r="G2182" s="2524">
        <f t="shared" si="171"/>
        <v>27.569559842869719</v>
      </c>
      <c r="H2182" s="2524">
        <f t="shared" si="172"/>
        <v>16.960031496834333</v>
      </c>
      <c r="I2182" s="2524">
        <f t="shared" si="173"/>
        <v>13.423522048155872</v>
      </c>
    </row>
    <row r="2183" spans="2:9">
      <c r="B2183" s="2251">
        <v>46052</v>
      </c>
      <c r="C2183">
        <v>18.9695</v>
      </c>
      <c r="D2183" s="2935"/>
      <c r="E2183" s="2523">
        <f t="shared" si="170"/>
        <v>20.496540945512795</v>
      </c>
      <c r="F2183" s="2261">
        <f t="shared" si="169"/>
        <v>24.033050394191257</v>
      </c>
      <c r="G2183" s="2524">
        <f t="shared" si="171"/>
        <v>27.569559842869719</v>
      </c>
      <c r="H2183" s="2524">
        <f t="shared" si="172"/>
        <v>16.960031496834333</v>
      </c>
      <c r="I2183" s="2524">
        <f t="shared" si="173"/>
        <v>13.423522048155872</v>
      </c>
    </row>
    <row r="2184" spans="2:9">
      <c r="B2184" s="2251">
        <v>46055</v>
      </c>
      <c r="C2184">
        <v>18.933199999999999</v>
      </c>
      <c r="D2184" s="2935"/>
      <c r="E2184" s="2523">
        <f t="shared" si="170"/>
        <v>20.496540945512795</v>
      </c>
      <c r="F2184" s="2261">
        <f t="shared" si="169"/>
        <v>24.033050394191257</v>
      </c>
      <c r="G2184" s="2524">
        <f t="shared" si="171"/>
        <v>27.569559842869719</v>
      </c>
      <c r="H2184" s="2524">
        <f t="shared" si="172"/>
        <v>16.960031496834333</v>
      </c>
      <c r="I2184" s="2524">
        <f t="shared" si="173"/>
        <v>13.423522048155872</v>
      </c>
    </row>
    <row r="2185" spans="2:9">
      <c r="B2185" s="2251">
        <v>46056</v>
      </c>
      <c r="C2185">
        <v>18.860600000000002</v>
      </c>
      <c r="D2185" s="2935"/>
      <c r="E2185" s="2523">
        <f t="shared" si="170"/>
        <v>20.496540945512795</v>
      </c>
      <c r="F2185" s="2261">
        <f t="shared" si="169"/>
        <v>24.033050394191257</v>
      </c>
      <c r="G2185" s="2524">
        <f t="shared" si="171"/>
        <v>27.569559842869719</v>
      </c>
      <c r="H2185" s="2524">
        <f t="shared" si="172"/>
        <v>16.960031496834333</v>
      </c>
      <c r="I2185" s="2524">
        <f t="shared" si="173"/>
        <v>13.423522048155872</v>
      </c>
    </row>
    <row r="2186" spans="2:9">
      <c r="B2186" s="2251">
        <v>46057</v>
      </c>
      <c r="C2186">
        <v>18.497499999999999</v>
      </c>
      <c r="D2186" s="2935"/>
      <c r="E2186" s="2523">
        <f t="shared" si="170"/>
        <v>20.496540945512795</v>
      </c>
      <c r="F2186" s="2261">
        <f t="shared" si="169"/>
        <v>24.033050394191257</v>
      </c>
      <c r="G2186" s="2524">
        <f t="shared" si="171"/>
        <v>27.569559842869719</v>
      </c>
      <c r="H2186" s="2524">
        <f t="shared" si="172"/>
        <v>16.960031496834333</v>
      </c>
      <c r="I2186" s="2524">
        <f t="shared" si="173"/>
        <v>13.423522048155872</v>
      </c>
    </row>
    <row r="2187" spans="2:9">
      <c r="B2187" s="2251">
        <v>46058</v>
      </c>
      <c r="C2187">
        <v>17.9711</v>
      </c>
      <c r="D2187" s="2935"/>
      <c r="E2187" s="2523">
        <f t="shared" si="170"/>
        <v>20.496540945512795</v>
      </c>
      <c r="F2187" s="2261">
        <f t="shared" si="169"/>
        <v>24.033050394191257</v>
      </c>
      <c r="G2187" s="2524">
        <f t="shared" si="171"/>
        <v>27.569559842869719</v>
      </c>
      <c r="H2187" s="2524">
        <f t="shared" si="172"/>
        <v>16.960031496834333</v>
      </c>
      <c r="I2187" s="2524">
        <f t="shared" si="173"/>
        <v>13.423522048155872</v>
      </c>
    </row>
    <row r="2188" spans="2:9">
      <c r="B2188" s="2251">
        <v>46059</v>
      </c>
      <c r="C2188">
        <v>17.716999999999999</v>
      </c>
      <c r="D2188" s="2935"/>
      <c r="E2188" s="2523">
        <f t="shared" si="170"/>
        <v>20.496540945512795</v>
      </c>
      <c r="F2188" s="2261">
        <f t="shared" si="169"/>
        <v>24.033050394191257</v>
      </c>
      <c r="G2188" s="2524">
        <f t="shared" si="171"/>
        <v>27.569559842869719</v>
      </c>
      <c r="H2188" s="2524">
        <f t="shared" si="172"/>
        <v>16.960031496834333</v>
      </c>
      <c r="I2188" s="2524">
        <f t="shared" si="173"/>
        <v>13.423522048155872</v>
      </c>
    </row>
    <row r="2189" spans="2:9">
      <c r="B2189" s="2251">
        <v>46062</v>
      </c>
      <c r="C2189">
        <v>17.9711</v>
      </c>
      <c r="D2189" s="2935"/>
      <c r="E2189" s="2523">
        <f t="shared" si="170"/>
        <v>20.496540945512795</v>
      </c>
      <c r="F2189" s="2261">
        <f t="shared" si="169"/>
        <v>24.033050394191257</v>
      </c>
      <c r="G2189" s="2524">
        <f t="shared" si="171"/>
        <v>27.569559842869719</v>
      </c>
      <c r="H2189" s="2524">
        <f t="shared" si="172"/>
        <v>16.960031496834333</v>
      </c>
      <c r="I2189" s="2524">
        <f t="shared" si="173"/>
        <v>13.423522048155872</v>
      </c>
    </row>
    <row r="2190" spans="2:9">
      <c r="B2190" s="2251">
        <v>46063</v>
      </c>
      <c r="C2190">
        <v>17.753299999999999</v>
      </c>
      <c r="D2190" s="2935"/>
      <c r="E2190" s="2523">
        <f t="shared" si="170"/>
        <v>20.496540945512795</v>
      </c>
      <c r="F2190" s="2261">
        <f t="shared" si="169"/>
        <v>24.033050394191257</v>
      </c>
      <c r="G2190" s="2524">
        <f t="shared" si="171"/>
        <v>27.569559842869719</v>
      </c>
      <c r="H2190" s="2524">
        <f t="shared" si="172"/>
        <v>16.960031496834333</v>
      </c>
      <c r="I2190" s="2524">
        <f t="shared" si="173"/>
        <v>13.423522048155872</v>
      </c>
    </row>
    <row r="2191" spans="2:9">
      <c r="B2191" s="2251">
        <v>46064</v>
      </c>
      <c r="C2191">
        <v>17.898499999999999</v>
      </c>
      <c r="D2191" s="2935"/>
      <c r="E2191" s="2523">
        <f t="shared" si="170"/>
        <v>20.496540945512795</v>
      </c>
      <c r="F2191" s="2261">
        <f t="shared" si="169"/>
        <v>24.033050394191257</v>
      </c>
      <c r="G2191" s="2524">
        <f t="shared" si="171"/>
        <v>27.569559842869719</v>
      </c>
      <c r="H2191" s="2524">
        <f t="shared" si="172"/>
        <v>16.960031496834333</v>
      </c>
      <c r="I2191" s="2524">
        <f t="shared" si="173"/>
        <v>13.423522048155872</v>
      </c>
    </row>
    <row r="2192" spans="2:9">
      <c r="B2192" s="2251">
        <v>46065</v>
      </c>
      <c r="C2192">
        <v>17.934799999999999</v>
      </c>
      <c r="D2192" s="2935"/>
      <c r="E2192" s="2523">
        <f t="shared" si="170"/>
        <v>20.496540945512795</v>
      </c>
      <c r="F2192" s="2261">
        <f t="shared" si="169"/>
        <v>24.033050394191257</v>
      </c>
      <c r="G2192" s="2524">
        <f t="shared" si="171"/>
        <v>27.569559842869719</v>
      </c>
      <c r="H2192" s="2524">
        <f t="shared" si="172"/>
        <v>16.960031496834333</v>
      </c>
      <c r="I2192" s="2524">
        <f t="shared" si="173"/>
        <v>13.423522048155872</v>
      </c>
    </row>
    <row r="2193" spans="2:9">
      <c r="B2193" s="2251">
        <v>46066</v>
      </c>
      <c r="C2193">
        <v>17.481000000000002</v>
      </c>
      <c r="D2193" s="2935"/>
      <c r="E2193" s="2523">
        <f t="shared" si="170"/>
        <v>20.496540945512795</v>
      </c>
      <c r="F2193" s="2261">
        <f t="shared" si="169"/>
        <v>24.033050394191257</v>
      </c>
      <c r="G2193" s="2524">
        <f t="shared" si="171"/>
        <v>27.569559842869719</v>
      </c>
      <c r="H2193" s="2524">
        <f t="shared" si="172"/>
        <v>16.960031496834333</v>
      </c>
      <c r="I2193" s="2524">
        <f t="shared" si="173"/>
        <v>13.423522048155872</v>
      </c>
    </row>
    <row r="2194" spans="2:9">
      <c r="B2194" s="2251">
        <v>46076</v>
      </c>
      <c r="C2194">
        <v>17.154299999999999</v>
      </c>
      <c r="D2194" s="2935"/>
      <c r="E2194" s="2523">
        <f t="shared" si="170"/>
        <v>20.496540945512795</v>
      </c>
      <c r="F2194" s="2261">
        <f t="shared" si="169"/>
        <v>24.033050394191257</v>
      </c>
      <c r="G2194" s="2524">
        <f t="shared" si="171"/>
        <v>27.569559842869719</v>
      </c>
      <c r="H2194" s="2524">
        <f t="shared" si="172"/>
        <v>16.960031496834333</v>
      </c>
      <c r="I2194" s="2524">
        <f t="shared" si="173"/>
        <v>13.423522048155872</v>
      </c>
    </row>
    <row r="2195" spans="2:9">
      <c r="B2195" s="2251">
        <v>46077</v>
      </c>
      <c r="C2195">
        <v>16.7912</v>
      </c>
      <c r="D2195" s="2935"/>
      <c r="E2195" s="2523">
        <f t="shared" si="170"/>
        <v>20.496540945512795</v>
      </c>
      <c r="F2195" s="2261">
        <f t="shared" si="169"/>
        <v>24.033050394191257</v>
      </c>
      <c r="G2195" s="2524">
        <f t="shared" si="171"/>
        <v>27.569559842869719</v>
      </c>
      <c r="H2195" s="2524">
        <f t="shared" si="172"/>
        <v>16.960031496834333</v>
      </c>
      <c r="I2195" s="2524">
        <f t="shared" si="173"/>
        <v>13.423522048155872</v>
      </c>
    </row>
    <row r="2196" spans="2:9">
      <c r="B2196" s="2251">
        <v>46078</v>
      </c>
      <c r="C2196">
        <v>16.173999999999999</v>
      </c>
      <c r="D2196" s="2935"/>
      <c r="E2196" s="2523">
        <f t="shared" si="170"/>
        <v>20.496540945512795</v>
      </c>
      <c r="F2196" s="2261">
        <f t="shared" si="169"/>
        <v>24.033050394191257</v>
      </c>
      <c r="G2196" s="2524">
        <f t="shared" si="171"/>
        <v>27.569559842869719</v>
      </c>
      <c r="H2196" s="2524">
        <f t="shared" si="172"/>
        <v>16.960031496834333</v>
      </c>
      <c r="I2196" s="2524">
        <f t="shared" si="173"/>
        <v>13.423522048155872</v>
      </c>
    </row>
    <row r="2197" spans="2:9">
      <c r="B2197" s="2251">
        <v>46079</v>
      </c>
      <c r="C2197">
        <v>16.428100000000001</v>
      </c>
      <c r="D2197" s="2935"/>
      <c r="E2197" s="2523">
        <f t="shared" si="170"/>
        <v>20.496540945512795</v>
      </c>
      <c r="F2197" s="2261">
        <f t="shared" si="169"/>
        <v>24.033050394191257</v>
      </c>
      <c r="G2197" s="2524">
        <f t="shared" si="171"/>
        <v>27.569559842869719</v>
      </c>
      <c r="H2197" s="2524">
        <f t="shared" si="172"/>
        <v>16.960031496834333</v>
      </c>
      <c r="I2197" s="2524">
        <f t="shared" si="173"/>
        <v>13.423522048155872</v>
      </c>
    </row>
    <row r="2198" spans="2:9">
      <c r="B2198" s="2251">
        <v>46080</v>
      </c>
      <c r="C2198">
        <v>16.863800000000001</v>
      </c>
      <c r="D2198" s="2935"/>
      <c r="E2198" s="2523">
        <f t="shared" si="170"/>
        <v>20.496540945512795</v>
      </c>
      <c r="F2198" s="2261">
        <f t="shared" si="169"/>
        <v>24.033050394191257</v>
      </c>
      <c r="G2198" s="2524">
        <f t="shared" si="171"/>
        <v>27.569559842869719</v>
      </c>
      <c r="H2198" s="2524">
        <f t="shared" si="172"/>
        <v>16.960031496834333</v>
      </c>
      <c r="I2198" s="2524">
        <f t="shared" si="173"/>
        <v>13.423522048155872</v>
      </c>
    </row>
    <row r="2199" spans="2:9">
      <c r="B2199" s="2251">
        <v>46083</v>
      </c>
      <c r="C2199">
        <v>16.264800000000001</v>
      </c>
      <c r="D2199" s="2935"/>
      <c r="E2199" s="2523">
        <f t="shared" si="170"/>
        <v>20.496540945512795</v>
      </c>
      <c r="F2199" s="2261">
        <f t="shared" si="169"/>
        <v>24.033050394191257</v>
      </c>
      <c r="G2199" s="2524">
        <f t="shared" si="171"/>
        <v>27.569559842869719</v>
      </c>
      <c r="H2199" s="2524">
        <f t="shared" si="172"/>
        <v>16.960031496834333</v>
      </c>
      <c r="I2199" s="2524">
        <f t="shared" si="173"/>
        <v>13.423522048155872</v>
      </c>
    </row>
    <row r="2200" spans="2:9">
      <c r="B2200" s="2251">
        <v>46084</v>
      </c>
      <c r="C2200">
        <v>15.7928</v>
      </c>
      <c r="D2200" s="2935"/>
      <c r="E2200" s="2523">
        <f t="shared" si="170"/>
        <v>20.496540945512795</v>
      </c>
      <c r="F2200" s="2261">
        <f t="shared" si="169"/>
        <v>24.033050394191257</v>
      </c>
      <c r="G2200" s="2524">
        <f t="shared" si="171"/>
        <v>27.569559842869719</v>
      </c>
      <c r="H2200" s="2524">
        <f t="shared" si="172"/>
        <v>16.960031496834333</v>
      </c>
      <c r="I2200" s="2524">
        <f t="shared" si="173"/>
        <v>13.423522048155872</v>
      </c>
    </row>
    <row r="2201" spans="2:9">
      <c r="B2201" s="2251">
        <v>46085</v>
      </c>
      <c r="C2201">
        <v>15.447900000000001</v>
      </c>
      <c r="D2201" s="2935"/>
      <c r="E2201" s="2523">
        <f t="shared" si="170"/>
        <v>20.496540945512795</v>
      </c>
      <c r="F2201" s="2261">
        <f t="shared" si="169"/>
        <v>24.033050394191257</v>
      </c>
      <c r="G2201" s="2524">
        <f t="shared" si="171"/>
        <v>27.569559842869719</v>
      </c>
      <c r="H2201" s="2524">
        <f t="shared" si="172"/>
        <v>16.960031496834333</v>
      </c>
      <c r="I2201" s="2524">
        <f t="shared" si="173"/>
        <v>13.423522048155872</v>
      </c>
    </row>
    <row r="2202" spans="2:9">
      <c r="B2202" s="2251">
        <v>46086</v>
      </c>
      <c r="C2202">
        <v>15.3208</v>
      </c>
      <c r="D2202" s="2935"/>
      <c r="E2202" s="2523">
        <f t="shared" si="170"/>
        <v>20.496540945512795</v>
      </c>
      <c r="F2202" s="2261">
        <f t="shared" si="169"/>
        <v>24.033050394191257</v>
      </c>
      <c r="G2202" s="2524">
        <f t="shared" si="171"/>
        <v>27.569559842869719</v>
      </c>
      <c r="H2202" s="2524">
        <f t="shared" si="172"/>
        <v>16.960031496834333</v>
      </c>
      <c r="I2202" s="2524">
        <f t="shared" si="173"/>
        <v>13.423522048155872</v>
      </c>
    </row>
    <row r="2203" spans="2:9">
      <c r="B2203" s="2251">
        <v>46087</v>
      </c>
      <c r="C2203">
        <v>14.8126</v>
      </c>
      <c r="D2203" s="2935"/>
      <c r="E2203" s="2523">
        <f t="shared" si="170"/>
        <v>20.496540945512795</v>
      </c>
      <c r="F2203" s="2261">
        <f t="shared" si="169"/>
        <v>24.033050394191257</v>
      </c>
      <c r="G2203" s="2524">
        <f t="shared" si="171"/>
        <v>27.569559842869719</v>
      </c>
      <c r="H2203" s="2524">
        <f t="shared" si="172"/>
        <v>16.960031496834333</v>
      </c>
      <c r="I2203" s="2524">
        <f t="shared" si="173"/>
        <v>13.423522048155872</v>
      </c>
    </row>
    <row r="2204" spans="2:9">
      <c r="B2204" s="3041">
        <v>45968</v>
      </c>
      <c r="C2204" s="3040">
        <v>19.1309</v>
      </c>
      <c r="D2204" s="2935"/>
      <c r="E2204" s="2935"/>
      <c r="F2204" s="2935"/>
      <c r="G2204" s="2935"/>
      <c r="H2204" s="2935"/>
      <c r="I2204" s="2935"/>
    </row>
    <row r="2205" spans="2:9">
      <c r="B2205" s="3041"/>
      <c r="C2205" s="3040"/>
      <c r="D2205" s="2935"/>
      <c r="E2205" s="2935"/>
      <c r="F2205" s="2935"/>
      <c r="G2205" s="2935"/>
      <c r="H2205" s="2935"/>
      <c r="I2205" s="2935"/>
    </row>
    <row r="2206" spans="2:9">
      <c r="B2206" s="3041"/>
      <c r="C2206" s="3040"/>
      <c r="D2206" s="2935"/>
      <c r="E2206" s="2935"/>
      <c r="F2206" s="2935"/>
      <c r="G2206" s="2935"/>
      <c r="H2206" s="2935"/>
      <c r="I2206" s="2935"/>
    </row>
    <row r="2207" spans="2:9">
      <c r="B2207" s="3041"/>
      <c r="C2207" s="3040"/>
      <c r="D2207" s="2935"/>
      <c r="E2207" s="2935"/>
      <c r="F2207" s="2935"/>
      <c r="G2207" s="2935"/>
      <c r="H2207" s="2935"/>
      <c r="I2207" s="2935"/>
    </row>
    <row r="2208" spans="2:9">
      <c r="B2208" s="3041"/>
      <c r="C2208" s="3040"/>
      <c r="D2208" s="2935"/>
      <c r="E2208" s="2935"/>
      <c r="F2208" s="2935"/>
      <c r="G2208" s="2935"/>
      <c r="H2208" s="2935"/>
      <c r="I2208" s="2935"/>
    </row>
    <row r="2209" spans="2:9">
      <c r="B2209" s="3041"/>
      <c r="C2209" s="3040"/>
      <c r="D2209" s="2935"/>
      <c r="E2209" s="2935"/>
      <c r="F2209" s="2935"/>
      <c r="G2209" s="2935"/>
      <c r="H2209" s="2935"/>
      <c r="I2209" s="2935"/>
    </row>
    <row r="2210" spans="2:9">
      <c r="B2210" s="3041"/>
      <c r="C2210" s="3040"/>
      <c r="D2210" s="2935"/>
      <c r="E2210" s="2935"/>
      <c r="F2210" s="2935"/>
      <c r="G2210" s="2935"/>
      <c r="H2210" s="2935"/>
      <c r="I2210" s="2935"/>
    </row>
    <row r="2211" spans="2:9">
      <c r="B2211" s="3041"/>
      <c r="C2211" s="3040"/>
      <c r="D2211" s="2935"/>
      <c r="E2211" s="2935"/>
      <c r="F2211" s="2935"/>
      <c r="G2211" s="2935"/>
      <c r="H2211" s="2935"/>
      <c r="I2211" s="2935"/>
    </row>
    <row r="2212" spans="2:9">
      <c r="B2212" s="3041"/>
      <c r="C2212" s="3040"/>
      <c r="D2212" s="2935"/>
      <c r="E2212" s="2935"/>
      <c r="F2212" s="2935"/>
      <c r="G2212" s="2935"/>
      <c r="H2212" s="2935"/>
      <c r="I2212" s="2935"/>
    </row>
    <row r="2213" spans="2:9">
      <c r="B2213" s="3041"/>
      <c r="C2213" s="3040"/>
      <c r="D2213" s="2935"/>
      <c r="E2213" s="2935"/>
      <c r="F2213" s="2935"/>
      <c r="G2213" s="2935"/>
      <c r="H2213" s="2935"/>
      <c r="I2213" s="2935"/>
    </row>
    <row r="2214" spans="2:9">
      <c r="B2214" s="3041"/>
      <c r="C2214" s="3040"/>
      <c r="D2214" s="2935"/>
      <c r="E2214" s="2935"/>
      <c r="F2214" s="2935"/>
      <c r="G2214" s="2935"/>
      <c r="H2214" s="2935"/>
      <c r="I2214" s="2935"/>
    </row>
    <row r="2215" spans="2:9">
      <c r="B2215" s="3041"/>
      <c r="C2215" s="3040"/>
      <c r="D2215" s="2935"/>
      <c r="E2215" s="2935"/>
      <c r="F2215" s="2935"/>
      <c r="G2215" s="2935"/>
      <c r="H2215" s="2935"/>
      <c r="I2215" s="2935"/>
    </row>
    <row r="2216" spans="2:9">
      <c r="B2216" s="3041"/>
      <c r="C2216" s="3040"/>
      <c r="D2216" s="2935"/>
      <c r="E2216" s="2935"/>
      <c r="F2216" s="2935"/>
      <c r="G2216" s="2935"/>
      <c r="H2216" s="2935"/>
      <c r="I2216" s="2935"/>
    </row>
    <row r="2217" spans="2:9">
      <c r="B2217" s="3041"/>
      <c r="C2217" s="3040"/>
      <c r="D2217" s="2935"/>
      <c r="E2217" s="2935"/>
      <c r="F2217" s="2935"/>
      <c r="G2217" s="2935"/>
      <c r="H2217" s="2935"/>
      <c r="I2217" s="2935"/>
    </row>
    <row r="2218" spans="2:9">
      <c r="B2218" s="3041"/>
      <c r="C2218" s="3040"/>
      <c r="D2218" s="2935"/>
      <c r="E2218" s="2935"/>
      <c r="F2218" s="2935"/>
      <c r="G2218" s="2935"/>
      <c r="H2218" s="2935"/>
      <c r="I2218" s="2935"/>
    </row>
    <row r="2219" spans="2:9">
      <c r="B2219" s="3041"/>
      <c r="C2219" s="3040"/>
      <c r="D2219" s="2935"/>
      <c r="E2219" s="2935"/>
      <c r="F2219" s="2935"/>
      <c r="G2219" s="2935"/>
      <c r="H2219" s="2935"/>
      <c r="I2219" s="2935"/>
    </row>
    <row r="2220" spans="2:9">
      <c r="B2220" s="3041"/>
      <c r="C2220" s="3040"/>
      <c r="D2220" s="2935"/>
      <c r="E2220" s="2935"/>
      <c r="F2220" s="2935"/>
      <c r="G2220" s="2935"/>
      <c r="H2220" s="2935"/>
      <c r="I2220" s="2935"/>
    </row>
    <row r="2221" spans="2:9">
      <c r="B2221" s="3041"/>
      <c r="C2221" s="3040"/>
      <c r="D2221" s="2935"/>
      <c r="E2221" s="2935"/>
      <c r="F2221" s="2935"/>
      <c r="G2221" s="2935"/>
      <c r="H2221" s="2935"/>
      <c r="I2221" s="2935"/>
    </row>
    <row r="2222" spans="2:9">
      <c r="B2222" s="3041"/>
      <c r="C2222" s="3040"/>
      <c r="D2222" s="2935"/>
      <c r="E2222" s="2935"/>
      <c r="F2222" s="2935"/>
      <c r="G2222" s="2935"/>
      <c r="H2222" s="2935"/>
      <c r="I2222" s="2935"/>
    </row>
    <row r="2223" spans="2:9">
      <c r="B2223" s="3041"/>
      <c r="C2223" s="3040"/>
      <c r="D2223" s="2935"/>
      <c r="E2223" s="2935"/>
      <c r="F2223" s="2935"/>
      <c r="G2223" s="2935"/>
      <c r="H2223" s="2935"/>
      <c r="I2223" s="2935"/>
    </row>
    <row r="2224" spans="2:9">
      <c r="B2224" s="3041"/>
      <c r="C2224" s="3040"/>
      <c r="D2224" s="2935"/>
      <c r="E2224" s="2935"/>
      <c r="F2224" s="2935"/>
      <c r="G2224" s="2935"/>
      <c r="H2224" s="2935"/>
      <c r="I2224" s="2935"/>
    </row>
    <row r="2225" spans="2:9">
      <c r="B2225" s="3041"/>
      <c r="C2225" s="3040"/>
      <c r="D2225" s="2935"/>
      <c r="E2225" s="2935"/>
      <c r="F2225" s="2935"/>
      <c r="G2225" s="2935"/>
      <c r="H2225" s="2935"/>
      <c r="I2225" s="2935"/>
    </row>
    <row r="2226" spans="2:9">
      <c r="B2226" s="3041"/>
      <c r="C2226" s="3040"/>
      <c r="D2226" s="2935"/>
      <c r="E2226" s="2935"/>
      <c r="F2226" s="2935"/>
      <c r="G2226" s="2935"/>
      <c r="H2226" s="2935"/>
      <c r="I2226" s="2935"/>
    </row>
    <row r="2227" spans="2:9">
      <c r="B2227" s="3041"/>
      <c r="C2227" s="3040"/>
      <c r="D2227" s="2935"/>
      <c r="E2227" s="2935"/>
      <c r="F2227" s="2935"/>
      <c r="G2227" s="2935"/>
      <c r="H2227" s="2935"/>
      <c r="I2227" s="2935"/>
    </row>
    <row r="2228" spans="2:9">
      <c r="B2228" s="3041"/>
      <c r="C2228" s="3040"/>
      <c r="D2228" s="2935"/>
      <c r="E2228" s="2935"/>
      <c r="F2228" s="2935"/>
      <c r="G2228" s="2935"/>
      <c r="H2228" s="2935"/>
      <c r="I2228" s="2935"/>
    </row>
    <row r="2229" spans="2:9">
      <c r="B2229" s="3041"/>
      <c r="C2229" s="3040"/>
      <c r="D2229" s="2935"/>
      <c r="E2229" s="2935"/>
      <c r="F2229" s="2935"/>
      <c r="G2229" s="2935"/>
      <c r="H2229" s="2935"/>
      <c r="I2229" s="2935"/>
    </row>
    <row r="2230" spans="2:9">
      <c r="B2230" s="3041"/>
      <c r="C2230" s="3040"/>
      <c r="D2230" s="2935"/>
      <c r="E2230" s="2935"/>
      <c r="F2230" s="2935"/>
      <c r="G2230" s="2935"/>
      <c r="H2230" s="2935"/>
      <c r="I2230" s="2935"/>
    </row>
    <row r="2231" spans="2:9">
      <c r="B2231" s="3041"/>
      <c r="C2231" s="3040"/>
      <c r="D2231" s="2935"/>
      <c r="E2231" s="2935"/>
      <c r="F2231" s="2935"/>
      <c r="G2231" s="2935"/>
      <c r="H2231" s="2935"/>
      <c r="I2231" s="2935"/>
    </row>
    <row r="2232" spans="2:9">
      <c r="B2232" s="3041"/>
      <c r="C2232" s="3040"/>
      <c r="D2232" s="2935"/>
      <c r="E2232" s="2935"/>
      <c r="F2232" s="2935"/>
      <c r="G2232" s="2935"/>
      <c r="H2232" s="2935"/>
      <c r="I2232" s="2935"/>
    </row>
    <row r="2233" spans="2:9">
      <c r="B2233" s="3041"/>
      <c r="C2233" s="3040"/>
      <c r="D2233" s="2935"/>
      <c r="E2233" s="2935"/>
      <c r="F2233" s="2935"/>
      <c r="G2233" s="2935"/>
      <c r="H2233" s="2935"/>
      <c r="I2233" s="2935"/>
    </row>
    <row r="2234" spans="2:9">
      <c r="B2234" s="3041"/>
      <c r="C2234" s="3040"/>
      <c r="D2234" s="2935"/>
      <c r="E2234" s="2935"/>
      <c r="F2234" s="2935"/>
      <c r="G2234" s="2935"/>
      <c r="H2234" s="2935"/>
      <c r="I2234" s="2935"/>
    </row>
    <row r="2235" spans="2:9">
      <c r="B2235" s="3041"/>
      <c r="C2235" s="3040"/>
      <c r="D2235" s="2935"/>
      <c r="E2235" s="2935"/>
      <c r="F2235" s="2935"/>
      <c r="G2235" s="2935"/>
      <c r="H2235" s="2935"/>
      <c r="I2235" s="2935"/>
    </row>
    <row r="2236" spans="2:9">
      <c r="B2236" s="3041"/>
      <c r="C2236" s="3040"/>
      <c r="D2236" s="2935"/>
      <c r="E2236" s="2935"/>
      <c r="F2236" s="2935"/>
      <c r="G2236" s="2935"/>
      <c r="H2236" s="2935"/>
      <c r="I2236" s="2935"/>
    </row>
    <row r="2237" spans="2:9">
      <c r="B2237" s="3041"/>
      <c r="C2237" s="3040"/>
      <c r="D2237" s="2935"/>
      <c r="E2237" s="2935"/>
      <c r="F2237" s="2935"/>
      <c r="G2237" s="2935"/>
      <c r="H2237" s="2935"/>
      <c r="I2237" s="2935"/>
    </row>
    <row r="2238" spans="2:9">
      <c r="B2238" s="3041"/>
      <c r="C2238" s="3040"/>
      <c r="D2238" s="2935"/>
      <c r="E2238" s="2935"/>
      <c r="F2238" s="2935"/>
      <c r="G2238" s="2935"/>
      <c r="H2238" s="2935"/>
      <c r="I2238" s="2935"/>
    </row>
    <row r="2239" spans="2:9">
      <c r="B2239" s="3041"/>
      <c r="C2239" s="3040"/>
      <c r="D2239" s="2935"/>
      <c r="E2239" s="2935"/>
      <c r="F2239" s="2935"/>
      <c r="G2239" s="2935"/>
      <c r="H2239" s="2935"/>
      <c r="I2239" s="2935"/>
    </row>
    <row r="2240" spans="2:9">
      <c r="B2240" s="3041"/>
      <c r="C2240" s="3040"/>
      <c r="D2240" s="2935"/>
      <c r="E2240" s="2935"/>
      <c r="F2240" s="2935"/>
      <c r="G2240" s="2935"/>
      <c r="H2240" s="2935"/>
      <c r="I2240" s="2935"/>
    </row>
    <row r="2241" spans="2:9">
      <c r="B2241" s="3041"/>
      <c r="C2241" s="3040"/>
      <c r="D2241" s="2935"/>
      <c r="E2241" s="2935"/>
      <c r="F2241" s="2935"/>
      <c r="G2241" s="2935"/>
      <c r="H2241" s="2935"/>
      <c r="I2241" s="2935"/>
    </row>
    <row r="2242" spans="2:9">
      <c r="B2242" s="3041"/>
      <c r="C2242" s="3040"/>
      <c r="D2242" s="2935"/>
      <c r="E2242" s="2935"/>
      <c r="F2242" s="2935"/>
      <c r="G2242" s="2935"/>
      <c r="H2242" s="2935"/>
      <c r="I2242" s="2935"/>
    </row>
    <row r="2243" spans="2:9">
      <c r="B2243" s="3041"/>
      <c r="C2243" s="3040"/>
      <c r="D2243" s="2935"/>
      <c r="E2243" s="2935"/>
      <c r="F2243" s="2935"/>
      <c r="G2243" s="2935"/>
      <c r="H2243" s="2935"/>
      <c r="I2243" s="2935"/>
    </row>
    <row r="2244" spans="2:9">
      <c r="B2244" s="3041"/>
      <c r="C2244" s="3040"/>
      <c r="D2244" s="2935"/>
      <c r="E2244" s="2935"/>
      <c r="F2244" s="2935"/>
      <c r="G2244" s="2935"/>
      <c r="H2244" s="2935"/>
      <c r="I2244" s="2935"/>
    </row>
    <row r="2245" spans="2:9">
      <c r="B2245" s="3041"/>
      <c r="C2245" s="3040"/>
      <c r="D2245" s="2935"/>
      <c r="E2245" s="2935"/>
      <c r="F2245" s="2935"/>
      <c r="G2245" s="2935"/>
      <c r="H2245" s="2935"/>
      <c r="I2245" s="2935"/>
    </row>
    <row r="2246" spans="2:9">
      <c r="B2246" s="3041"/>
      <c r="C2246" s="3040"/>
      <c r="D2246" s="2935"/>
      <c r="E2246" s="2935"/>
      <c r="F2246" s="2935"/>
      <c r="G2246" s="2935"/>
      <c r="H2246" s="2935"/>
      <c r="I2246" s="2935"/>
    </row>
    <row r="2247" spans="2:9">
      <c r="B2247" s="3041"/>
      <c r="C2247" s="3040"/>
      <c r="D2247" s="2935"/>
      <c r="E2247" s="2935"/>
      <c r="F2247" s="2935"/>
      <c r="G2247" s="2935"/>
      <c r="H2247" s="2935"/>
      <c r="I2247" s="2935"/>
    </row>
    <row r="2248" spans="2:9">
      <c r="B2248" s="3041"/>
      <c r="C2248" s="3040"/>
      <c r="D2248" s="2935"/>
      <c r="E2248" s="2935"/>
      <c r="F2248" s="2935"/>
      <c r="G2248" s="2935"/>
      <c r="H2248" s="2935"/>
      <c r="I2248" s="2935"/>
    </row>
    <row r="2249" spans="2:9">
      <c r="B2249" s="3041"/>
      <c r="C2249" s="3040"/>
      <c r="D2249" s="2935"/>
      <c r="E2249" s="2935"/>
      <c r="F2249" s="2935"/>
      <c r="G2249" s="2935"/>
      <c r="H2249" s="2935"/>
      <c r="I2249" s="2935"/>
    </row>
    <row r="2250" spans="2:9">
      <c r="B2250" s="3041"/>
      <c r="C2250" s="3040"/>
      <c r="D2250" s="2935"/>
      <c r="E2250" s="2935"/>
      <c r="F2250" s="2935"/>
      <c r="G2250" s="2935"/>
      <c r="H2250" s="2935"/>
      <c r="I2250" s="2935"/>
    </row>
    <row r="2251" spans="2:9">
      <c r="B2251" s="3041"/>
      <c r="C2251" s="3040"/>
      <c r="D2251" s="2935"/>
      <c r="E2251" s="2935"/>
      <c r="F2251" s="2935"/>
      <c r="G2251" s="2935"/>
      <c r="H2251" s="2935"/>
      <c r="I2251" s="2935"/>
    </row>
    <row r="2252" spans="2:9">
      <c r="B2252" s="3041"/>
      <c r="C2252" s="3040"/>
      <c r="D2252" s="2935"/>
      <c r="E2252" s="2935"/>
      <c r="F2252" s="2935"/>
      <c r="G2252" s="2935"/>
      <c r="H2252" s="2935"/>
      <c r="I2252" s="2935"/>
    </row>
    <row r="2253" spans="2:9">
      <c r="B2253" s="3041"/>
      <c r="C2253" s="3040"/>
      <c r="D2253" s="2935"/>
      <c r="E2253" s="2935"/>
      <c r="F2253" s="2935"/>
      <c r="G2253" s="2935"/>
      <c r="H2253" s="2935"/>
      <c r="I2253" s="2935"/>
    </row>
    <row r="2254" spans="2:9">
      <c r="B2254" s="3041"/>
      <c r="C2254" s="3040"/>
      <c r="D2254" s="2935"/>
      <c r="E2254" s="2935"/>
      <c r="F2254" s="2935"/>
      <c r="G2254" s="2935"/>
      <c r="H2254" s="2935"/>
      <c r="I2254" s="2935"/>
    </row>
    <row r="2255" spans="2:9">
      <c r="B2255" s="3041"/>
      <c r="C2255" s="3040"/>
      <c r="D2255" s="2935"/>
      <c r="E2255" s="2935"/>
      <c r="F2255" s="2935"/>
      <c r="G2255" s="2935"/>
      <c r="H2255" s="2935"/>
      <c r="I2255" s="2935"/>
    </row>
    <row r="2256" spans="2:9">
      <c r="B2256" s="3041"/>
      <c r="C2256" s="3040"/>
      <c r="D2256" s="2935"/>
      <c r="E2256" s="2935"/>
      <c r="F2256" s="2935"/>
      <c r="G2256" s="2935"/>
      <c r="H2256" s="2935"/>
      <c r="I2256" s="2935"/>
    </row>
    <row r="2257" spans="2:9">
      <c r="B2257" s="3041"/>
      <c r="C2257" s="3040"/>
      <c r="D2257" s="2935"/>
      <c r="E2257" s="2935"/>
      <c r="F2257" s="2935"/>
      <c r="G2257" s="2935"/>
      <c r="H2257" s="2935"/>
      <c r="I2257" s="2935"/>
    </row>
    <row r="2258" spans="2:9">
      <c r="B2258" s="3041"/>
      <c r="C2258" s="3040"/>
      <c r="D2258" s="2935"/>
      <c r="E2258" s="2935"/>
      <c r="F2258" s="2935"/>
      <c r="G2258" s="2935"/>
      <c r="H2258" s="2935"/>
      <c r="I2258" s="2935"/>
    </row>
    <row r="2259" spans="2:9">
      <c r="B2259" s="3041"/>
      <c r="C2259" s="3040"/>
      <c r="D2259" s="2935"/>
      <c r="E2259" s="2935"/>
      <c r="F2259" s="2935"/>
      <c r="G2259" s="2935"/>
      <c r="H2259" s="2935"/>
      <c r="I2259" s="2935"/>
    </row>
    <row r="2260" spans="2:9">
      <c r="B2260" s="3041"/>
      <c r="C2260" s="3040"/>
      <c r="D2260" s="2935"/>
      <c r="E2260" s="2935"/>
      <c r="F2260" s="2935"/>
      <c r="G2260" s="2935"/>
      <c r="H2260" s="2935"/>
      <c r="I2260" s="2935"/>
    </row>
    <row r="2261" spans="2:9">
      <c r="B2261" s="3041"/>
      <c r="C2261" s="3040"/>
      <c r="D2261" s="2935"/>
      <c r="E2261" s="2935"/>
      <c r="F2261" s="2935"/>
      <c r="G2261" s="2935"/>
      <c r="H2261" s="2935"/>
      <c r="I2261" s="2935"/>
    </row>
    <row r="2262" spans="2:9">
      <c r="B2262" s="3041"/>
      <c r="C2262" s="3040"/>
      <c r="D2262" s="2935"/>
      <c r="E2262" s="2935"/>
      <c r="F2262" s="2935"/>
      <c r="G2262" s="2935"/>
      <c r="H2262" s="2935"/>
      <c r="I2262" s="2935"/>
    </row>
    <row r="2263" spans="2:9">
      <c r="B2263" s="3041"/>
      <c r="C2263" s="3040"/>
      <c r="D2263" s="2935"/>
      <c r="E2263" s="2935"/>
      <c r="F2263" s="2935"/>
      <c r="G2263" s="2935"/>
      <c r="H2263" s="2935"/>
      <c r="I2263" s="2935"/>
    </row>
    <row r="2264" spans="2:9">
      <c r="B2264" s="3041"/>
      <c r="C2264" s="3040"/>
      <c r="D2264" s="2935"/>
      <c r="E2264" s="2935"/>
      <c r="F2264" s="2935"/>
      <c r="G2264" s="2935"/>
      <c r="H2264" s="2935"/>
      <c r="I2264" s="2935"/>
    </row>
    <row r="2265" spans="2:9">
      <c r="B2265" s="3041"/>
      <c r="C2265" s="3040"/>
      <c r="D2265" s="2935"/>
      <c r="E2265" s="2935"/>
      <c r="F2265" s="2935"/>
      <c r="G2265" s="2935"/>
      <c r="H2265" s="2935"/>
      <c r="I2265" s="2935"/>
    </row>
    <row r="2266" spans="2:9">
      <c r="B2266" s="3041"/>
      <c r="C2266" s="3040"/>
      <c r="D2266" s="2935"/>
      <c r="E2266" s="2935"/>
      <c r="F2266" s="2935"/>
      <c r="G2266" s="2935"/>
      <c r="H2266" s="2935"/>
      <c r="I2266" s="2935"/>
    </row>
    <row r="2267" spans="2:9">
      <c r="B2267" s="3041"/>
      <c r="C2267" s="3040"/>
      <c r="D2267" s="2935"/>
      <c r="E2267" s="2935"/>
      <c r="F2267" s="2935"/>
      <c r="G2267" s="2935"/>
      <c r="H2267" s="2935"/>
      <c r="I2267" s="2935"/>
    </row>
    <row r="2268" spans="2:9">
      <c r="B2268" s="3041"/>
      <c r="C2268" s="3040"/>
      <c r="D2268" s="2935"/>
      <c r="E2268" s="2935"/>
      <c r="F2268" s="2935"/>
      <c r="G2268" s="2935"/>
      <c r="H2268" s="2935"/>
      <c r="I2268" s="2935"/>
    </row>
    <row r="2269" spans="2:9">
      <c r="B2269" s="3041"/>
      <c r="C2269" s="3040"/>
      <c r="D2269" s="2935"/>
      <c r="E2269" s="2935"/>
      <c r="F2269" s="2935"/>
      <c r="G2269" s="2935"/>
      <c r="H2269" s="2935"/>
      <c r="I2269" s="2935"/>
    </row>
    <row r="2270" spans="2:9">
      <c r="B2270" s="3041"/>
      <c r="C2270" s="3040"/>
      <c r="D2270" s="2935"/>
      <c r="E2270" s="2935"/>
      <c r="F2270" s="2935"/>
      <c r="G2270" s="2935"/>
      <c r="H2270" s="2935"/>
      <c r="I2270" s="2935"/>
    </row>
    <row r="2271" spans="2:9">
      <c r="B2271" s="3041"/>
      <c r="C2271" s="3040"/>
      <c r="D2271" s="2935"/>
      <c r="E2271" s="2935"/>
      <c r="F2271" s="2935"/>
      <c r="G2271" s="2935"/>
      <c r="H2271" s="2935"/>
      <c r="I2271" s="2935"/>
    </row>
    <row r="2272" spans="2:9">
      <c r="B2272" s="3041"/>
      <c r="C2272" s="3040"/>
      <c r="D2272" s="2935"/>
      <c r="E2272" s="2935"/>
      <c r="F2272" s="2935"/>
      <c r="G2272" s="2935"/>
      <c r="H2272" s="2935"/>
      <c r="I2272" s="2935"/>
    </row>
    <row r="2273" spans="2:9">
      <c r="B2273" s="3041"/>
      <c r="C2273" s="3040"/>
      <c r="D2273" s="2935"/>
      <c r="E2273" s="2935"/>
      <c r="F2273" s="2935"/>
      <c r="G2273" s="2935"/>
      <c r="H2273" s="2935"/>
      <c r="I2273" s="2935"/>
    </row>
    <row r="2274" spans="2:9">
      <c r="B2274" s="3041"/>
      <c r="C2274" s="3040"/>
      <c r="D2274" s="2935"/>
      <c r="E2274" s="2935"/>
      <c r="F2274" s="2935"/>
      <c r="G2274" s="2935"/>
      <c r="H2274" s="2935"/>
      <c r="I2274" s="2935"/>
    </row>
    <row r="2275" spans="2:9">
      <c r="B2275" s="3041"/>
      <c r="C2275" s="3040"/>
      <c r="D2275" s="2935"/>
      <c r="E2275" s="2935"/>
      <c r="F2275" s="2935"/>
      <c r="G2275" s="2935"/>
      <c r="H2275" s="2935"/>
      <c r="I2275" s="2935"/>
    </row>
    <row r="2276" spans="2:9">
      <c r="B2276" s="3041"/>
      <c r="C2276" s="3040"/>
      <c r="D2276" s="2935"/>
      <c r="E2276" s="2935"/>
      <c r="F2276" s="2935"/>
      <c r="G2276" s="2935"/>
      <c r="H2276" s="2935"/>
      <c r="I2276" s="2935"/>
    </row>
    <row r="2277" spans="2:9">
      <c r="B2277" s="3041"/>
      <c r="C2277" s="3040"/>
      <c r="D2277" s="2935"/>
      <c r="E2277" s="2935"/>
      <c r="F2277" s="2935"/>
      <c r="G2277" s="2935"/>
      <c r="H2277" s="2935"/>
      <c r="I2277" s="2935"/>
    </row>
    <row r="2278" spans="2:9">
      <c r="B2278" s="3041"/>
      <c r="C2278" s="3040"/>
      <c r="D2278" s="2935"/>
      <c r="E2278" s="2935"/>
      <c r="F2278" s="2935"/>
      <c r="G2278" s="2935"/>
      <c r="H2278" s="2935"/>
      <c r="I2278" s="2935"/>
    </row>
    <row r="2279" spans="2:9">
      <c r="B2279" s="3041"/>
      <c r="C2279" s="3040"/>
      <c r="D2279" s="2935"/>
      <c r="E2279" s="2935"/>
      <c r="F2279" s="2935"/>
      <c r="G2279" s="2935"/>
      <c r="H2279" s="2935"/>
      <c r="I2279" s="2935"/>
    </row>
    <row r="2280" spans="2:9">
      <c r="B2280" s="3041"/>
      <c r="C2280" s="3040"/>
      <c r="D2280" s="2935"/>
      <c r="E2280" s="2935"/>
      <c r="F2280" s="2935"/>
      <c r="G2280" s="2935"/>
      <c r="H2280" s="2935"/>
      <c r="I2280" s="2935"/>
    </row>
    <row r="2281" spans="2:9">
      <c r="B2281" s="3041"/>
      <c r="C2281" s="3040"/>
      <c r="D2281" s="2935"/>
      <c r="E2281" s="2935"/>
      <c r="F2281" s="2935"/>
      <c r="G2281" s="2935"/>
      <c r="H2281" s="2935"/>
      <c r="I2281" s="2935"/>
    </row>
    <row r="2282" spans="2:9">
      <c r="B2282" s="3041"/>
      <c r="C2282" s="3040"/>
      <c r="D2282" s="2935"/>
      <c r="E2282" s="2935"/>
      <c r="F2282" s="2935"/>
      <c r="G2282" s="2935"/>
      <c r="H2282" s="2935"/>
      <c r="I2282" s="2935"/>
    </row>
    <row r="2283" spans="2:9">
      <c r="B2283" s="3041"/>
      <c r="C2283" s="3040"/>
      <c r="D2283" s="2935"/>
      <c r="E2283" s="2935"/>
      <c r="F2283" s="2935"/>
      <c r="G2283" s="2935"/>
      <c r="H2283" s="2935"/>
      <c r="I2283" s="2935"/>
    </row>
    <row r="2284" spans="2:9">
      <c r="B2284" s="3041"/>
      <c r="C2284" s="3040"/>
      <c r="D2284" s="2935"/>
      <c r="E2284" s="2935"/>
      <c r="F2284" s="2935"/>
      <c r="G2284" s="2935"/>
      <c r="H2284" s="2935"/>
      <c r="I2284" s="2935"/>
    </row>
    <row r="2285" spans="2:9">
      <c r="B2285" s="3041"/>
      <c r="C2285" s="3040"/>
      <c r="D2285" s="2935"/>
      <c r="E2285" s="2935"/>
      <c r="F2285" s="2935"/>
      <c r="G2285" s="2935"/>
      <c r="H2285" s="2935"/>
      <c r="I2285" s="2935"/>
    </row>
    <row r="2286" spans="2:9">
      <c r="B2286" s="3041"/>
      <c r="C2286" s="3040"/>
      <c r="D2286" s="2935"/>
      <c r="E2286" s="2935"/>
      <c r="F2286" s="2935"/>
      <c r="G2286" s="2935"/>
      <c r="H2286" s="2935"/>
      <c r="I2286" s="2935"/>
    </row>
    <row r="2287" spans="2:9">
      <c r="B2287" s="3041"/>
      <c r="C2287" s="3040"/>
      <c r="D2287" s="2935"/>
      <c r="E2287" s="2935"/>
      <c r="F2287" s="2935"/>
      <c r="G2287" s="2935"/>
      <c r="H2287" s="2935"/>
      <c r="I2287" s="2935"/>
    </row>
    <row r="2288" spans="2:9">
      <c r="B2288" s="3041"/>
      <c r="C2288" s="3040"/>
      <c r="D2288" s="2935"/>
      <c r="E2288" s="2935"/>
      <c r="F2288" s="2935"/>
      <c r="G2288" s="2935"/>
      <c r="H2288" s="2935"/>
      <c r="I2288" s="2935"/>
    </row>
    <row r="2289" spans="2:9">
      <c r="B2289" s="3041"/>
      <c r="C2289" s="3040"/>
      <c r="D2289" s="2935"/>
      <c r="E2289" s="2935"/>
      <c r="F2289" s="2935"/>
      <c r="G2289" s="2935"/>
      <c r="H2289" s="2935"/>
      <c r="I2289" s="2935"/>
    </row>
    <row r="2290" spans="2:9">
      <c r="B2290" s="3041"/>
      <c r="C2290" s="3040"/>
      <c r="D2290" s="2935"/>
      <c r="E2290" s="2935"/>
      <c r="F2290" s="2935"/>
      <c r="G2290" s="2935"/>
      <c r="H2290" s="2935"/>
      <c r="I2290" s="2935"/>
    </row>
    <row r="2291" spans="2:9">
      <c r="B2291" s="3041"/>
      <c r="C2291" s="3040"/>
      <c r="D2291" s="2935"/>
      <c r="E2291" s="2935"/>
      <c r="F2291" s="2935"/>
      <c r="G2291" s="2935"/>
      <c r="H2291" s="2935"/>
      <c r="I2291" s="2935"/>
    </row>
    <row r="2292" spans="2:9">
      <c r="B2292" s="3041"/>
      <c r="C2292" s="3040"/>
      <c r="D2292" s="2935"/>
      <c r="E2292" s="2935"/>
      <c r="F2292" s="2935"/>
      <c r="G2292" s="2935"/>
      <c r="H2292" s="2935"/>
      <c r="I2292" s="2935"/>
    </row>
    <row r="2293" spans="2:9">
      <c r="B2293" s="3041"/>
      <c r="C2293" s="3040"/>
      <c r="D2293" s="2935"/>
      <c r="E2293" s="2935"/>
      <c r="F2293" s="2935"/>
      <c r="G2293" s="2935"/>
      <c r="H2293" s="2935"/>
      <c r="I2293" s="2935"/>
    </row>
    <row r="2294" spans="2:9">
      <c r="B2294" s="3041"/>
      <c r="C2294" s="3040"/>
      <c r="D2294" s="2935"/>
      <c r="E2294" s="2935"/>
      <c r="F2294" s="2935"/>
      <c r="G2294" s="2935"/>
      <c r="H2294" s="2935"/>
      <c r="I2294" s="2935"/>
    </row>
    <row r="2295" spans="2:9">
      <c r="B2295" s="3041"/>
      <c r="C2295" s="3040"/>
      <c r="D2295" s="2935"/>
      <c r="E2295" s="2935"/>
      <c r="F2295" s="2935"/>
      <c r="G2295" s="2935"/>
      <c r="H2295" s="2935"/>
      <c r="I2295" s="2935"/>
    </row>
    <row r="2296" spans="2:9">
      <c r="B2296" s="3041"/>
      <c r="C2296" s="3040"/>
      <c r="D2296" s="2935"/>
      <c r="E2296" s="2935"/>
      <c r="F2296" s="2935"/>
      <c r="G2296" s="2935"/>
      <c r="H2296" s="2935"/>
      <c r="I2296" s="2935"/>
    </row>
    <row r="2297" spans="2:9">
      <c r="B2297" s="3041"/>
      <c r="C2297" s="3040"/>
      <c r="D2297" s="2935"/>
      <c r="E2297" s="2935"/>
      <c r="F2297" s="2935"/>
      <c r="G2297" s="2935"/>
      <c r="H2297" s="2935"/>
      <c r="I2297" s="2935"/>
    </row>
    <row r="2298" spans="2:9">
      <c r="B2298" s="3041"/>
      <c r="C2298" s="3040"/>
      <c r="D2298" s="2935"/>
      <c r="E2298" s="2935"/>
      <c r="F2298" s="2935"/>
      <c r="G2298" s="2935"/>
      <c r="H2298" s="2935"/>
      <c r="I2298" s="2935"/>
    </row>
    <row r="2299" spans="2:9">
      <c r="B2299" s="3041"/>
      <c r="C2299" s="3040"/>
      <c r="D2299" s="2935"/>
      <c r="E2299" s="2935"/>
      <c r="F2299" s="2935"/>
      <c r="G2299" s="2935"/>
      <c r="H2299" s="2935"/>
      <c r="I2299" s="2935"/>
    </row>
    <row r="2300" spans="2:9">
      <c r="B2300" s="3041"/>
      <c r="C2300" s="3040"/>
      <c r="D2300" s="2935"/>
      <c r="E2300" s="2935"/>
      <c r="F2300" s="2935"/>
      <c r="G2300" s="2935"/>
      <c r="H2300" s="2935"/>
      <c r="I2300" s="2935"/>
    </row>
    <row r="2301" spans="2:9">
      <c r="B2301" s="3041"/>
      <c r="C2301" s="3040"/>
      <c r="D2301" s="2935"/>
      <c r="E2301" s="2935"/>
      <c r="F2301" s="2935"/>
      <c r="G2301" s="2935"/>
      <c r="H2301" s="2935"/>
      <c r="I2301" s="2935"/>
    </row>
    <row r="2302" spans="2:9">
      <c r="B2302" s="3041"/>
      <c r="C2302" s="3040"/>
      <c r="D2302" s="2935"/>
      <c r="E2302" s="2935"/>
      <c r="F2302" s="2935"/>
      <c r="G2302" s="2935"/>
      <c r="H2302" s="2935"/>
      <c r="I2302" s="2935"/>
    </row>
    <row r="2303" spans="2:9">
      <c r="B2303" s="3041"/>
      <c r="C2303" s="3040"/>
      <c r="D2303" s="2935"/>
      <c r="E2303" s="2935"/>
      <c r="F2303" s="2935"/>
      <c r="G2303" s="2935"/>
      <c r="H2303" s="2935"/>
      <c r="I2303" s="2935"/>
    </row>
    <row r="2304" spans="2:9">
      <c r="B2304" s="3041"/>
      <c r="C2304" s="3040"/>
      <c r="D2304" s="2935"/>
      <c r="E2304" s="2935"/>
      <c r="F2304" s="2935"/>
      <c r="G2304" s="2935"/>
      <c r="H2304" s="2935"/>
      <c r="I2304" s="2935"/>
    </row>
    <row r="2305" spans="2:9">
      <c r="B2305" s="3041"/>
      <c r="C2305" s="3040"/>
      <c r="D2305" s="2935"/>
      <c r="E2305" s="2935"/>
      <c r="F2305" s="2935"/>
      <c r="G2305" s="2935"/>
      <c r="H2305" s="2935"/>
      <c r="I2305" s="2935"/>
    </row>
    <row r="2306" spans="2:9">
      <c r="B2306" s="3041"/>
      <c r="C2306" s="3040"/>
      <c r="D2306" s="2935"/>
      <c r="E2306" s="2935"/>
      <c r="F2306" s="2935"/>
      <c r="G2306" s="2935"/>
      <c r="H2306" s="2935"/>
      <c r="I2306" s="2935"/>
    </row>
    <row r="2307" spans="2:9">
      <c r="B2307" s="3041"/>
      <c r="C2307" s="3040"/>
      <c r="D2307" s="2935"/>
      <c r="E2307" s="2935"/>
      <c r="F2307" s="2935"/>
      <c r="G2307" s="2935"/>
      <c r="H2307" s="2935"/>
      <c r="I2307" s="2935"/>
    </row>
    <row r="2308" spans="2:9">
      <c r="B2308" s="3041"/>
      <c r="C2308" s="3040"/>
      <c r="D2308" s="2935"/>
      <c r="E2308" s="2935"/>
      <c r="F2308" s="2935"/>
      <c r="G2308" s="2935"/>
      <c r="H2308" s="2935"/>
      <c r="I2308" s="2935"/>
    </row>
    <row r="2309" spans="2:9">
      <c r="B2309" s="3041"/>
      <c r="C2309" s="3040"/>
      <c r="D2309" s="2935"/>
      <c r="E2309" s="2935"/>
      <c r="F2309" s="2935"/>
      <c r="G2309" s="2935"/>
      <c r="H2309" s="2935"/>
      <c r="I2309" s="2935"/>
    </row>
    <row r="2310" spans="2:9">
      <c r="B2310" s="3041"/>
      <c r="C2310" s="3040"/>
      <c r="D2310" s="2935"/>
      <c r="E2310" s="2935"/>
      <c r="F2310" s="2935"/>
      <c r="G2310" s="2935"/>
      <c r="H2310" s="2935"/>
      <c r="I2310" s="2935"/>
    </row>
    <row r="2311" spans="2:9">
      <c r="B2311" s="3041"/>
      <c r="C2311" s="3040"/>
      <c r="D2311" s="2935"/>
      <c r="E2311" s="2935"/>
      <c r="F2311" s="2935"/>
      <c r="G2311" s="2935"/>
      <c r="H2311" s="2935"/>
      <c r="I2311" s="2935"/>
    </row>
    <row r="2312" spans="2:9">
      <c r="B2312" s="3041"/>
      <c r="C2312" s="3040"/>
      <c r="D2312" s="2935"/>
      <c r="E2312" s="2935"/>
      <c r="F2312" s="2935"/>
      <c r="G2312" s="2935"/>
      <c r="H2312" s="2935"/>
      <c r="I2312" s="2935"/>
    </row>
    <row r="2313" spans="2:9">
      <c r="B2313" s="3041"/>
      <c r="C2313" s="3040"/>
      <c r="D2313" s="2935"/>
      <c r="E2313" s="2935"/>
      <c r="F2313" s="2935"/>
      <c r="G2313" s="2935"/>
      <c r="H2313" s="2935"/>
      <c r="I2313" s="2935"/>
    </row>
    <row r="2314" spans="2:9">
      <c r="B2314" s="3041"/>
      <c r="C2314" s="3040"/>
      <c r="D2314" s="2935"/>
      <c r="E2314" s="2935"/>
      <c r="F2314" s="2935"/>
      <c r="G2314" s="2935"/>
      <c r="H2314" s="2935"/>
      <c r="I2314" s="2935"/>
    </row>
    <row r="2315" spans="2:9">
      <c r="B2315" s="3041"/>
      <c r="C2315" s="3040"/>
      <c r="D2315" s="2935"/>
      <c r="E2315" s="2935"/>
      <c r="F2315" s="2935"/>
      <c r="G2315" s="2935"/>
      <c r="H2315" s="2935"/>
      <c r="I2315" s="2935"/>
    </row>
    <row r="2316" spans="2:9">
      <c r="B2316" s="3041"/>
      <c r="C2316" s="3040"/>
      <c r="D2316" s="2935"/>
      <c r="E2316" s="2935"/>
      <c r="F2316" s="2935"/>
      <c r="G2316" s="2935"/>
      <c r="H2316" s="2935"/>
      <c r="I2316" s="2935"/>
    </row>
    <row r="2317" spans="2:9">
      <c r="B2317" s="3041"/>
      <c r="C2317" s="3040"/>
      <c r="D2317" s="2935"/>
      <c r="E2317" s="2935"/>
      <c r="F2317" s="2935"/>
      <c r="G2317" s="2935"/>
      <c r="H2317" s="2935"/>
      <c r="I2317" s="2935"/>
    </row>
    <row r="2318" spans="2:9">
      <c r="B2318" s="3041"/>
      <c r="C2318" s="3040"/>
      <c r="D2318" s="2935"/>
      <c r="E2318" s="2935"/>
      <c r="F2318" s="2935"/>
      <c r="G2318" s="2935"/>
      <c r="H2318" s="2935"/>
      <c r="I2318" s="2935"/>
    </row>
    <row r="2319" spans="2:9">
      <c r="B2319" s="3041"/>
      <c r="C2319" s="3040"/>
      <c r="D2319" s="2935"/>
      <c r="E2319" s="2935"/>
      <c r="F2319" s="2935"/>
      <c r="G2319" s="2935"/>
      <c r="H2319" s="2935"/>
      <c r="I2319" s="2935"/>
    </row>
    <row r="2320" spans="2:9">
      <c r="B2320" s="3041"/>
      <c r="C2320" s="3040"/>
      <c r="D2320" s="2935"/>
      <c r="E2320" s="2935"/>
      <c r="F2320" s="2935"/>
      <c r="G2320" s="2935"/>
      <c r="H2320" s="2935"/>
      <c r="I2320" s="2935"/>
    </row>
    <row r="2321" spans="2:9">
      <c r="B2321" s="3041"/>
      <c r="C2321" s="3040"/>
      <c r="D2321" s="2935"/>
      <c r="E2321" s="2935"/>
      <c r="F2321" s="2935"/>
      <c r="G2321" s="2935"/>
      <c r="H2321" s="2935"/>
      <c r="I2321" s="2935"/>
    </row>
    <row r="2322" spans="2:9">
      <c r="B2322" s="3041"/>
      <c r="C2322" s="3040"/>
      <c r="D2322" s="2935"/>
      <c r="E2322" s="2935"/>
      <c r="F2322" s="2935"/>
      <c r="G2322" s="2935"/>
      <c r="H2322" s="2935"/>
      <c r="I2322" s="2935"/>
    </row>
    <row r="2323" spans="2:9">
      <c r="B2323" s="3041"/>
      <c r="C2323" s="3040"/>
      <c r="D2323" s="2935"/>
      <c r="E2323" s="2935"/>
      <c r="F2323" s="2935"/>
      <c r="G2323" s="2935"/>
      <c r="H2323" s="2935"/>
      <c r="I2323" s="2935"/>
    </row>
    <row r="2324" spans="2:9">
      <c r="B2324" s="3041"/>
      <c r="C2324" s="3040"/>
      <c r="D2324" s="2935"/>
      <c r="E2324" s="2935"/>
      <c r="F2324" s="2935"/>
      <c r="G2324" s="2935"/>
      <c r="H2324" s="2935"/>
      <c r="I2324" s="2935"/>
    </row>
    <row r="2325" spans="2:9">
      <c r="B2325" s="3041"/>
      <c r="C2325" s="3040"/>
      <c r="D2325" s="2935"/>
      <c r="E2325" s="2935"/>
      <c r="F2325" s="2935"/>
      <c r="G2325" s="2935"/>
      <c r="H2325" s="2935"/>
      <c r="I2325" s="2935"/>
    </row>
    <row r="2326" spans="2:9">
      <c r="B2326" s="3041"/>
      <c r="C2326" s="3040"/>
      <c r="D2326" s="2935"/>
      <c r="E2326" s="2935"/>
      <c r="F2326" s="2935"/>
      <c r="G2326" s="2935"/>
      <c r="H2326" s="2935"/>
      <c r="I2326" s="2935"/>
    </row>
    <row r="2327" spans="2:9">
      <c r="B2327" s="3041"/>
      <c r="C2327" s="3040"/>
      <c r="D2327" s="2935"/>
      <c r="E2327" s="2935"/>
      <c r="F2327" s="2935"/>
      <c r="G2327" s="2935"/>
      <c r="H2327" s="2935"/>
      <c r="I2327" s="2935"/>
    </row>
    <row r="2328" spans="2:9">
      <c r="B2328" s="3041"/>
      <c r="C2328" s="3040"/>
      <c r="D2328" s="2935"/>
      <c r="E2328" s="2935"/>
      <c r="F2328" s="2935"/>
      <c r="G2328" s="2935"/>
      <c r="H2328" s="2935"/>
      <c r="I2328" s="2935"/>
    </row>
    <row r="2329" spans="2:9">
      <c r="B2329" s="3041"/>
      <c r="C2329" s="3040"/>
      <c r="D2329" s="2935"/>
      <c r="E2329" s="2935"/>
      <c r="F2329" s="2935"/>
      <c r="G2329" s="2935"/>
      <c r="H2329" s="2935"/>
      <c r="I2329" s="2935"/>
    </row>
    <row r="2330" spans="2:9">
      <c r="B2330" s="3041"/>
      <c r="C2330" s="3040"/>
      <c r="D2330" s="2935"/>
      <c r="E2330" s="2935"/>
      <c r="F2330" s="2935"/>
      <c r="G2330" s="2935"/>
      <c r="H2330" s="2935"/>
      <c r="I2330" s="2935"/>
    </row>
    <row r="2331" spans="2:9">
      <c r="B2331" s="3041"/>
      <c r="C2331" s="3040"/>
      <c r="D2331" s="2935"/>
      <c r="E2331" s="2935"/>
      <c r="F2331" s="2935"/>
      <c r="G2331" s="2935"/>
      <c r="H2331" s="2935"/>
      <c r="I2331" s="2935"/>
    </row>
    <row r="2332" spans="2:9">
      <c r="B2332" s="3041"/>
      <c r="C2332" s="3040"/>
      <c r="D2332" s="2935"/>
      <c r="E2332" s="2935"/>
      <c r="F2332" s="2935"/>
      <c r="G2332" s="2935"/>
      <c r="H2332" s="2935"/>
      <c r="I2332" s="2935"/>
    </row>
    <row r="2333" spans="2:9">
      <c r="B2333" s="3041"/>
      <c r="C2333" s="3040"/>
      <c r="D2333" s="2935"/>
      <c r="E2333" s="2935"/>
      <c r="F2333" s="2935"/>
      <c r="G2333" s="2935"/>
      <c r="H2333" s="2935"/>
      <c r="I2333" s="2935"/>
    </row>
    <row r="2334" spans="2:9">
      <c r="B2334" s="3041"/>
      <c r="C2334" s="3040"/>
      <c r="D2334" s="2935"/>
      <c r="E2334" s="2935"/>
      <c r="F2334" s="2935"/>
      <c r="G2334" s="2935"/>
      <c r="H2334" s="2935"/>
      <c r="I2334" s="2935"/>
    </row>
    <row r="2335" spans="2:9">
      <c r="B2335" s="3041"/>
      <c r="C2335" s="3040"/>
      <c r="D2335" s="2935"/>
      <c r="E2335" s="2935"/>
      <c r="F2335" s="2935"/>
      <c r="G2335" s="2935"/>
      <c r="H2335" s="2935"/>
      <c r="I2335" s="2935"/>
    </row>
    <row r="2336" spans="2:9">
      <c r="B2336" s="3041"/>
      <c r="C2336" s="3040"/>
      <c r="D2336" s="2935"/>
      <c r="E2336" s="2935"/>
      <c r="F2336" s="2935"/>
      <c r="G2336" s="2935"/>
      <c r="H2336" s="2935"/>
      <c r="I2336" s="2935"/>
    </row>
    <row r="2337" spans="2:9">
      <c r="B2337" s="3041"/>
      <c r="C2337" s="3040"/>
      <c r="D2337" s="2935"/>
      <c r="E2337" s="2935"/>
      <c r="F2337" s="2935"/>
      <c r="G2337" s="2935"/>
      <c r="H2337" s="2935"/>
      <c r="I2337" s="2935"/>
    </row>
    <row r="2338" spans="2:9">
      <c r="B2338" s="3041"/>
      <c r="C2338" s="3040"/>
      <c r="D2338" s="2935"/>
      <c r="E2338" s="2935"/>
      <c r="F2338" s="2935"/>
      <c r="G2338" s="2935"/>
      <c r="H2338" s="2935"/>
      <c r="I2338" s="2935"/>
    </row>
    <row r="2339" spans="2:9">
      <c r="B2339" s="3041"/>
      <c r="C2339" s="3040"/>
      <c r="D2339" s="2935"/>
      <c r="E2339" s="2935"/>
      <c r="F2339" s="2935"/>
      <c r="G2339" s="2935"/>
      <c r="H2339" s="2935"/>
      <c r="I2339" s="2935"/>
    </row>
    <row r="2340" spans="2:9">
      <c r="B2340" s="3041"/>
      <c r="C2340" s="3040"/>
      <c r="D2340" s="2935"/>
      <c r="E2340" s="2935"/>
      <c r="F2340" s="2935"/>
      <c r="G2340" s="2935"/>
      <c r="H2340" s="2935"/>
      <c r="I2340" s="2935"/>
    </row>
    <row r="2341" spans="2:9">
      <c r="B2341" s="3041"/>
      <c r="C2341" s="3040"/>
      <c r="D2341" s="2935"/>
      <c r="E2341" s="2935"/>
      <c r="F2341" s="2935"/>
      <c r="G2341" s="2935"/>
      <c r="H2341" s="2935"/>
      <c r="I2341" s="2935"/>
    </row>
    <row r="2342" spans="2:9">
      <c r="B2342" s="3041"/>
      <c r="C2342" s="3040"/>
      <c r="D2342" s="2935"/>
      <c r="E2342" s="2935"/>
      <c r="F2342" s="2935"/>
      <c r="G2342" s="2935"/>
      <c r="H2342" s="2935"/>
      <c r="I2342" s="2935"/>
    </row>
    <row r="2343" spans="2:9">
      <c r="B2343" s="3041"/>
      <c r="C2343" s="3040"/>
      <c r="D2343" s="2935"/>
      <c r="E2343" s="2935"/>
      <c r="F2343" s="2935"/>
      <c r="G2343" s="2935"/>
      <c r="H2343" s="2935"/>
      <c r="I2343" s="2935"/>
    </row>
    <row r="2344" spans="2:9">
      <c r="B2344" s="3041"/>
      <c r="C2344" s="3040"/>
      <c r="D2344" s="2935"/>
      <c r="E2344" s="2935"/>
      <c r="F2344" s="2935"/>
      <c r="G2344" s="2935"/>
      <c r="H2344" s="2935"/>
      <c r="I2344" s="2935"/>
    </row>
    <row r="2345" spans="2:9">
      <c r="B2345" s="3041"/>
      <c r="C2345" s="3040"/>
      <c r="D2345" s="2935"/>
      <c r="E2345" s="2935"/>
      <c r="F2345" s="2935"/>
      <c r="G2345" s="2935"/>
      <c r="H2345" s="2935"/>
      <c r="I2345" s="2935"/>
    </row>
    <row r="2346" spans="2:9">
      <c r="B2346" s="3041"/>
      <c r="C2346" s="3040"/>
      <c r="D2346" s="2935"/>
      <c r="E2346" s="2935"/>
      <c r="F2346" s="2935"/>
      <c r="G2346" s="2935"/>
      <c r="H2346" s="2935"/>
      <c r="I2346" s="2935"/>
    </row>
    <row r="2347" spans="2:9">
      <c r="B2347" s="3041"/>
      <c r="C2347" s="3040"/>
      <c r="D2347" s="2935"/>
      <c r="E2347" s="2935"/>
      <c r="F2347" s="2935"/>
      <c r="G2347" s="2935"/>
      <c r="H2347" s="2935"/>
      <c r="I2347" s="2935"/>
    </row>
    <row r="2348" spans="2:9">
      <c r="B2348" s="3041"/>
      <c r="C2348" s="3040"/>
      <c r="D2348" s="2935"/>
      <c r="E2348" s="2935"/>
      <c r="F2348" s="2935"/>
      <c r="G2348" s="2935"/>
      <c r="H2348" s="2935"/>
      <c r="I2348" s="2935"/>
    </row>
    <row r="2349" spans="2:9">
      <c r="B2349" s="3041"/>
      <c r="C2349" s="3040"/>
      <c r="D2349" s="2935"/>
      <c r="E2349" s="2935"/>
      <c r="F2349" s="2935"/>
      <c r="G2349" s="2935"/>
      <c r="H2349" s="2935"/>
      <c r="I2349" s="2935"/>
    </row>
    <row r="2350" spans="2:9">
      <c r="B2350" s="3041"/>
      <c r="C2350" s="3040"/>
      <c r="D2350" s="2935"/>
      <c r="E2350" s="2935"/>
      <c r="F2350" s="2935"/>
      <c r="G2350" s="2935"/>
      <c r="H2350" s="2935"/>
      <c r="I2350" s="2935"/>
    </row>
    <row r="2351" spans="2:9">
      <c r="B2351" s="3041"/>
      <c r="C2351" s="3040"/>
      <c r="D2351" s="2935"/>
      <c r="E2351" s="2935"/>
      <c r="F2351" s="2935"/>
      <c r="G2351" s="2935"/>
      <c r="H2351" s="2935"/>
      <c r="I2351" s="2935"/>
    </row>
    <row r="2352" spans="2:9">
      <c r="B2352" s="3041"/>
      <c r="C2352" s="3040"/>
      <c r="D2352" s="2935"/>
      <c r="E2352" s="2935"/>
      <c r="F2352" s="2935"/>
      <c r="G2352" s="2935"/>
      <c r="H2352" s="2935"/>
      <c r="I2352" s="2935"/>
    </row>
    <row r="2353" spans="2:9">
      <c r="B2353" s="3041"/>
      <c r="C2353" s="3040"/>
      <c r="D2353" s="2935"/>
      <c r="E2353" s="2935"/>
      <c r="F2353" s="2935"/>
      <c r="G2353" s="2935"/>
      <c r="H2353" s="2935"/>
      <c r="I2353" s="2935"/>
    </row>
    <row r="2354" spans="2:9">
      <c r="B2354" s="3041"/>
      <c r="C2354" s="3040"/>
      <c r="D2354" s="2935"/>
      <c r="E2354" s="2935"/>
      <c r="F2354" s="2935"/>
      <c r="G2354" s="2935"/>
      <c r="H2354" s="2935"/>
      <c r="I2354" s="2935"/>
    </row>
    <row r="2355" spans="2:9">
      <c r="B2355" s="3041"/>
      <c r="C2355" s="3040"/>
      <c r="D2355" s="2935"/>
      <c r="E2355" s="2935"/>
      <c r="F2355" s="2935"/>
      <c r="G2355" s="2935"/>
      <c r="H2355" s="2935"/>
      <c r="I2355" s="2935"/>
    </row>
    <row r="2356" spans="2:9">
      <c r="B2356" s="3041"/>
      <c r="C2356" s="3040"/>
      <c r="D2356" s="2935"/>
      <c r="E2356" s="2935"/>
      <c r="F2356" s="2935"/>
      <c r="G2356" s="2935"/>
      <c r="H2356" s="2935"/>
      <c r="I2356" s="2935"/>
    </row>
    <row r="2357" spans="2:9">
      <c r="B2357" s="3041"/>
      <c r="C2357" s="3040"/>
      <c r="D2357" s="2935"/>
      <c r="E2357" s="2935"/>
      <c r="F2357" s="2935"/>
      <c r="G2357" s="2935"/>
      <c r="H2357" s="2935"/>
      <c r="I2357" s="2935"/>
    </row>
    <row r="2358" spans="2:9">
      <c r="B2358" s="3041"/>
      <c r="C2358" s="3040"/>
      <c r="D2358" s="2935"/>
      <c r="E2358" s="2935"/>
      <c r="F2358" s="2935"/>
      <c r="G2358" s="2935"/>
      <c r="H2358" s="2935"/>
      <c r="I2358" s="2935"/>
    </row>
    <row r="2359" spans="2:9">
      <c r="B2359" s="3041"/>
      <c r="C2359" s="3040"/>
      <c r="D2359" s="2935"/>
      <c r="E2359" s="2935"/>
      <c r="F2359" s="2935"/>
      <c r="G2359" s="2935"/>
      <c r="H2359" s="2935"/>
      <c r="I2359" s="2935"/>
    </row>
    <row r="2360" spans="2:9">
      <c r="B2360" s="3041"/>
      <c r="C2360" s="3040"/>
      <c r="D2360" s="2935"/>
      <c r="E2360" s="2935"/>
      <c r="F2360" s="2935"/>
      <c r="G2360" s="2935"/>
      <c r="H2360" s="2935"/>
      <c r="I2360" s="2935"/>
    </row>
    <row r="2361" spans="2:9">
      <c r="B2361" s="3041"/>
      <c r="C2361" s="3040"/>
      <c r="D2361" s="2935"/>
      <c r="E2361" s="2935"/>
      <c r="F2361" s="2935"/>
      <c r="G2361" s="2935"/>
      <c r="H2361" s="2935"/>
      <c r="I2361" s="2935"/>
    </row>
    <row r="2362" spans="2:9">
      <c r="B2362" s="3041"/>
      <c r="C2362" s="3040"/>
      <c r="D2362" s="2935"/>
      <c r="E2362" s="2935"/>
      <c r="F2362" s="2935"/>
      <c r="G2362" s="2935"/>
      <c r="H2362" s="2935"/>
      <c r="I2362" s="2935"/>
    </row>
    <row r="2363" spans="2:9">
      <c r="B2363" s="3041"/>
      <c r="C2363" s="3040"/>
      <c r="D2363" s="2935"/>
      <c r="E2363" s="2935"/>
      <c r="F2363" s="2935"/>
      <c r="G2363" s="2935"/>
      <c r="H2363" s="2935"/>
      <c r="I2363" s="2935"/>
    </row>
    <row r="2364" spans="2:9">
      <c r="B2364" s="3041"/>
      <c r="C2364" s="3040"/>
      <c r="D2364" s="2935"/>
      <c r="E2364" s="2935"/>
      <c r="F2364" s="2935"/>
      <c r="G2364" s="2935"/>
      <c r="H2364" s="2935"/>
      <c r="I2364" s="2935"/>
    </row>
    <row r="2365" spans="2:9">
      <c r="B2365" s="3041"/>
      <c r="C2365" s="3040"/>
      <c r="D2365" s="2935"/>
      <c r="E2365" s="2935"/>
      <c r="F2365" s="2935"/>
      <c r="G2365" s="2935"/>
      <c r="H2365" s="2935"/>
      <c r="I2365" s="2935"/>
    </row>
    <row r="2366" spans="2:9">
      <c r="B2366" s="3041"/>
      <c r="C2366" s="3040"/>
      <c r="D2366" s="2935"/>
      <c r="E2366" s="2935"/>
      <c r="F2366" s="2935"/>
      <c r="G2366" s="2935"/>
      <c r="H2366" s="2935"/>
      <c r="I2366" s="2935"/>
    </row>
    <row r="2367" spans="2:9">
      <c r="B2367" s="3041"/>
      <c r="C2367" s="3040"/>
      <c r="D2367" s="2935"/>
      <c r="E2367" s="2935"/>
      <c r="F2367" s="2935"/>
      <c r="G2367" s="2935"/>
      <c r="H2367" s="2935"/>
      <c r="I2367" s="2935"/>
    </row>
    <row r="2368" spans="2:9">
      <c r="B2368" s="3041"/>
      <c r="C2368" s="3040"/>
      <c r="D2368" s="2935"/>
      <c r="E2368" s="2935"/>
      <c r="F2368" s="2935"/>
      <c r="G2368" s="2935"/>
      <c r="H2368" s="2935"/>
      <c r="I2368" s="2935"/>
    </row>
    <row r="2369" spans="2:9">
      <c r="B2369" s="3041"/>
      <c r="C2369" s="3040"/>
      <c r="D2369" s="2935"/>
      <c r="E2369" s="2935"/>
      <c r="F2369" s="2935"/>
      <c r="G2369" s="2935"/>
      <c r="H2369" s="2935"/>
      <c r="I2369" s="2935"/>
    </row>
    <row r="2370" spans="2:9">
      <c r="B2370" s="3041"/>
      <c r="C2370" s="3040"/>
      <c r="D2370" s="2935"/>
      <c r="E2370" s="2935"/>
      <c r="F2370" s="2935"/>
      <c r="G2370" s="2935"/>
      <c r="H2370" s="2935"/>
      <c r="I2370" s="2935"/>
    </row>
    <row r="2371" spans="2:9">
      <c r="B2371" s="3041"/>
      <c r="C2371" s="3040"/>
      <c r="D2371" s="2935"/>
      <c r="E2371" s="2935"/>
      <c r="F2371" s="2935"/>
      <c r="G2371" s="2935"/>
      <c r="H2371" s="2935"/>
      <c r="I2371" s="2935"/>
    </row>
    <row r="2372" spans="2:9">
      <c r="B2372" s="3041"/>
      <c r="C2372" s="3040"/>
      <c r="D2372" s="2935"/>
      <c r="E2372" s="2935"/>
      <c r="F2372" s="2935"/>
      <c r="G2372" s="2935"/>
      <c r="H2372" s="2935"/>
      <c r="I2372" s="2935"/>
    </row>
    <row r="2373" spans="2:9">
      <c r="B2373" s="3041"/>
      <c r="C2373" s="3040"/>
      <c r="D2373" s="2935"/>
      <c r="E2373" s="2935"/>
      <c r="F2373" s="2935"/>
      <c r="G2373" s="2935"/>
      <c r="H2373" s="2935"/>
      <c r="I2373" s="2935"/>
    </row>
    <row r="2374" spans="2:9">
      <c r="B2374" s="3041"/>
      <c r="C2374" s="3040"/>
      <c r="D2374" s="2935"/>
      <c r="E2374" s="2935"/>
      <c r="F2374" s="2935"/>
      <c r="G2374" s="2935"/>
      <c r="H2374" s="2935"/>
      <c r="I2374" s="2935"/>
    </row>
    <row r="2375" spans="2:9">
      <c r="B2375" s="3041"/>
      <c r="C2375" s="3040"/>
      <c r="D2375" s="2935"/>
      <c r="E2375" s="2935"/>
      <c r="F2375" s="2935"/>
      <c r="G2375" s="2935"/>
      <c r="H2375" s="2935"/>
      <c r="I2375" s="2935"/>
    </row>
    <row r="2376" spans="2:9">
      <c r="B2376" s="3041"/>
      <c r="C2376" s="3040"/>
      <c r="D2376" s="2935"/>
      <c r="E2376" s="2935"/>
      <c r="F2376" s="2935"/>
      <c r="G2376" s="2935"/>
      <c r="H2376" s="2935"/>
      <c r="I2376" s="2935"/>
    </row>
    <row r="2377" spans="2:9">
      <c r="B2377" s="3041"/>
      <c r="C2377" s="3040"/>
      <c r="D2377" s="2935"/>
      <c r="E2377" s="2935"/>
      <c r="F2377" s="2935"/>
      <c r="G2377" s="2935"/>
      <c r="H2377" s="2935"/>
      <c r="I2377" s="2935"/>
    </row>
    <row r="2378" spans="2:9">
      <c r="B2378" s="3041"/>
      <c r="C2378" s="3040"/>
      <c r="D2378" s="2935"/>
      <c r="E2378" s="2935"/>
      <c r="F2378" s="2935"/>
      <c r="G2378" s="2935"/>
      <c r="H2378" s="2935"/>
      <c r="I2378" s="2935"/>
    </row>
    <row r="2379" spans="2:9">
      <c r="B2379" s="3041"/>
      <c r="C2379" s="3040"/>
      <c r="D2379" s="2935"/>
      <c r="E2379" s="2935"/>
      <c r="F2379" s="2935"/>
      <c r="G2379" s="2935"/>
      <c r="H2379" s="2935"/>
      <c r="I2379" s="2935"/>
    </row>
    <row r="2380" spans="2:9">
      <c r="B2380" s="3041"/>
      <c r="C2380" s="3040"/>
      <c r="D2380" s="2935"/>
      <c r="E2380" s="2935"/>
      <c r="F2380" s="2935"/>
      <c r="G2380" s="2935"/>
      <c r="H2380" s="2935"/>
      <c r="I2380" s="2935"/>
    </row>
    <row r="2381" spans="2:9">
      <c r="B2381" s="3041"/>
      <c r="C2381" s="3040"/>
      <c r="D2381" s="2935"/>
      <c r="E2381" s="2935"/>
      <c r="F2381" s="2935"/>
      <c r="G2381" s="2935"/>
      <c r="H2381" s="2935"/>
      <c r="I2381" s="2935"/>
    </row>
    <row r="2382" spans="2:9">
      <c r="B2382" s="3041"/>
      <c r="C2382" s="3040"/>
      <c r="D2382" s="2935"/>
      <c r="E2382" s="2935"/>
      <c r="F2382" s="2935"/>
      <c r="G2382" s="2935"/>
      <c r="H2382" s="2935"/>
      <c r="I2382" s="2935"/>
    </row>
    <row r="2383" spans="2:9">
      <c r="B2383" s="3041"/>
      <c r="C2383" s="3040"/>
      <c r="D2383" s="2935"/>
      <c r="E2383" s="2935"/>
      <c r="F2383" s="2935"/>
      <c r="G2383" s="2935"/>
      <c r="H2383" s="2935"/>
      <c r="I2383" s="2935"/>
    </row>
    <row r="2384" spans="2:9">
      <c r="B2384" s="3041"/>
      <c r="C2384" s="3040"/>
      <c r="D2384" s="2935"/>
      <c r="E2384" s="2935"/>
      <c r="F2384" s="2935"/>
      <c r="G2384" s="2935"/>
      <c r="H2384" s="2935"/>
      <c r="I2384" s="2935"/>
    </row>
    <row r="2385" spans="2:9">
      <c r="B2385" s="3041"/>
      <c r="C2385" s="3040"/>
      <c r="D2385" s="2935"/>
      <c r="E2385" s="2935"/>
      <c r="F2385" s="2935"/>
      <c r="G2385" s="2935"/>
      <c r="H2385" s="2935"/>
      <c r="I2385" s="2935"/>
    </row>
    <row r="2386" spans="2:9">
      <c r="B2386" s="3041"/>
      <c r="C2386" s="3040"/>
      <c r="D2386" s="2935"/>
      <c r="E2386" s="2935"/>
      <c r="F2386" s="2935"/>
      <c r="G2386" s="2935"/>
      <c r="H2386" s="2935"/>
      <c r="I2386" s="2935"/>
    </row>
    <row r="2387" spans="2:9">
      <c r="B2387" s="3041"/>
      <c r="C2387" s="3040"/>
      <c r="D2387" s="2935"/>
      <c r="E2387" s="2935"/>
      <c r="F2387" s="2935"/>
      <c r="G2387" s="2935"/>
      <c r="H2387" s="2935"/>
      <c r="I2387" s="2935"/>
    </row>
    <row r="2388" spans="2:9">
      <c r="B2388" s="3041"/>
      <c r="C2388" s="3040"/>
      <c r="D2388" s="2935"/>
      <c r="E2388" s="2935"/>
      <c r="F2388" s="2935"/>
      <c r="G2388" s="2935"/>
      <c r="H2388" s="2935"/>
      <c r="I2388" s="2935"/>
    </row>
    <row r="2389" spans="2:9">
      <c r="B2389" s="3041"/>
      <c r="C2389" s="3040"/>
      <c r="D2389" s="2935"/>
      <c r="E2389" s="2935"/>
      <c r="F2389" s="2935"/>
      <c r="G2389" s="2935"/>
      <c r="H2389" s="2935"/>
      <c r="I2389" s="2935"/>
    </row>
    <row r="2390" spans="2:9">
      <c r="B2390" s="3041"/>
      <c r="C2390" s="3040"/>
      <c r="D2390" s="2935"/>
      <c r="E2390" s="2935"/>
      <c r="F2390" s="2935"/>
      <c r="G2390" s="2935"/>
      <c r="H2390" s="2935"/>
      <c r="I2390" s="2935"/>
    </row>
    <row r="2391" spans="2:9">
      <c r="B2391" s="3041"/>
      <c r="C2391" s="3040"/>
      <c r="D2391" s="2935"/>
      <c r="E2391" s="2935"/>
      <c r="F2391" s="2935"/>
      <c r="G2391" s="2935"/>
      <c r="H2391" s="2935"/>
      <c r="I2391" s="2935"/>
    </row>
    <row r="2392" spans="2:9">
      <c r="B2392" s="3041"/>
      <c r="C2392" s="3040"/>
      <c r="D2392" s="2935"/>
      <c r="E2392" s="2935"/>
      <c r="F2392" s="2935"/>
      <c r="G2392" s="2935"/>
      <c r="H2392" s="2935"/>
      <c r="I2392" s="2935"/>
    </row>
    <row r="2393" spans="2:9">
      <c r="B2393" s="3041"/>
      <c r="C2393" s="3040"/>
      <c r="D2393" s="2935"/>
      <c r="E2393" s="2935"/>
      <c r="F2393" s="2935"/>
      <c r="G2393" s="2935"/>
      <c r="H2393" s="2935"/>
      <c r="I2393" s="2935"/>
    </row>
    <row r="2394" spans="2:9">
      <c r="B2394" s="3041"/>
      <c r="C2394" s="3040"/>
      <c r="D2394" s="2935"/>
      <c r="E2394" s="2935"/>
      <c r="F2394" s="2935"/>
      <c r="G2394" s="2935"/>
      <c r="H2394" s="2935"/>
      <c r="I2394" s="2935"/>
    </row>
    <row r="2395" spans="2:9">
      <c r="B2395" s="3041"/>
      <c r="C2395" s="3040"/>
      <c r="D2395" s="2935"/>
      <c r="E2395" s="2935"/>
      <c r="F2395" s="2935"/>
      <c r="G2395" s="2935"/>
      <c r="H2395" s="2935"/>
      <c r="I2395" s="2935"/>
    </row>
    <row r="2396" spans="2:9">
      <c r="B2396" s="3041"/>
      <c r="C2396" s="3040"/>
      <c r="D2396" s="2935"/>
      <c r="E2396" s="2935"/>
      <c r="F2396" s="2935"/>
      <c r="G2396" s="2935"/>
      <c r="H2396" s="2935"/>
      <c r="I2396" s="2935"/>
    </row>
    <row r="2397" spans="2:9">
      <c r="B2397" s="3041"/>
      <c r="C2397" s="3040"/>
      <c r="D2397" s="2935"/>
      <c r="E2397" s="2935"/>
      <c r="F2397" s="2935"/>
      <c r="G2397" s="2935"/>
      <c r="H2397" s="2935"/>
      <c r="I2397" s="2935"/>
    </row>
    <row r="2398" spans="2:9">
      <c r="B2398" s="3041"/>
      <c r="C2398" s="3040"/>
      <c r="D2398" s="2935"/>
      <c r="E2398" s="2935"/>
      <c r="F2398" s="2935"/>
      <c r="G2398" s="2935"/>
      <c r="H2398" s="2935"/>
      <c r="I2398" s="2935"/>
    </row>
    <row r="2399" spans="2:9">
      <c r="B2399" s="3041"/>
      <c r="C2399" s="3040"/>
      <c r="D2399" s="2935"/>
      <c r="E2399" s="2935"/>
      <c r="F2399" s="2935"/>
      <c r="G2399" s="2935"/>
      <c r="H2399" s="2935"/>
      <c r="I2399" s="2935"/>
    </row>
    <row r="2400" spans="2:9">
      <c r="B2400" s="3041"/>
      <c r="C2400" s="3040"/>
      <c r="D2400" s="2935"/>
      <c r="E2400" s="2935"/>
      <c r="F2400" s="2935"/>
      <c r="G2400" s="2935"/>
      <c r="H2400" s="2935"/>
      <c r="I2400" s="2935"/>
    </row>
    <row r="2401" spans="2:9">
      <c r="B2401" s="3041"/>
      <c r="C2401" s="3040"/>
      <c r="D2401" s="2935"/>
      <c r="E2401" s="2935"/>
      <c r="F2401" s="2935"/>
      <c r="G2401" s="2935"/>
      <c r="H2401" s="2935"/>
      <c r="I2401" s="2935"/>
    </row>
    <row r="2402" spans="2:9">
      <c r="B2402" s="3041"/>
      <c r="C2402" s="3040"/>
      <c r="D2402" s="2935"/>
      <c r="E2402" s="2935"/>
      <c r="F2402" s="2935"/>
      <c r="G2402" s="2935"/>
      <c r="H2402" s="2935"/>
      <c r="I2402" s="2935"/>
    </row>
    <row r="2403" spans="2:9">
      <c r="B2403" s="3041"/>
      <c r="C2403" s="3040"/>
      <c r="D2403" s="2935"/>
      <c r="E2403" s="2935"/>
      <c r="F2403" s="2935"/>
      <c r="G2403" s="2935"/>
      <c r="H2403" s="2935"/>
      <c r="I2403" s="2935"/>
    </row>
    <row r="2404" spans="2:9">
      <c r="B2404" s="3041"/>
      <c r="C2404" s="3040"/>
      <c r="D2404" s="2935"/>
      <c r="E2404" s="2935"/>
      <c r="F2404" s="2935"/>
      <c r="G2404" s="2935"/>
      <c r="H2404" s="2935"/>
      <c r="I2404" s="2935"/>
    </row>
    <row r="2405" spans="2:9">
      <c r="B2405" s="3041"/>
      <c r="C2405" s="3040"/>
      <c r="D2405" s="2935"/>
      <c r="E2405" s="2935"/>
      <c r="F2405" s="2935"/>
      <c r="G2405" s="2935"/>
      <c r="H2405" s="2935"/>
      <c r="I2405" s="2935"/>
    </row>
    <row r="2406" spans="2:9">
      <c r="B2406" s="3041"/>
      <c r="C2406" s="3040"/>
      <c r="D2406" s="2935"/>
      <c r="E2406" s="2935"/>
      <c r="F2406" s="2935"/>
      <c r="G2406" s="2935"/>
      <c r="H2406" s="2935"/>
      <c r="I2406" s="2935"/>
    </row>
    <row r="2407" spans="2:9">
      <c r="B2407" s="3041"/>
      <c r="C2407" s="3040"/>
      <c r="D2407" s="2935"/>
      <c r="E2407" s="2935"/>
      <c r="F2407" s="2935"/>
      <c r="G2407" s="2935"/>
      <c r="H2407" s="2935"/>
      <c r="I2407" s="2935"/>
    </row>
    <row r="2408" spans="2:9">
      <c r="B2408" s="3041"/>
      <c r="C2408" s="3040"/>
      <c r="D2408" s="2935"/>
      <c r="E2408" s="2935"/>
      <c r="F2408" s="2935"/>
      <c r="G2408" s="2935"/>
      <c r="H2408" s="2935"/>
      <c r="I2408" s="2935"/>
    </row>
    <row r="2409" spans="2:9">
      <c r="B2409" s="3041"/>
      <c r="C2409" s="3040"/>
      <c r="D2409" s="2935"/>
      <c r="E2409" s="2935"/>
      <c r="F2409" s="2935"/>
      <c r="G2409" s="2935"/>
      <c r="H2409" s="2935"/>
      <c r="I2409" s="2935"/>
    </row>
    <row r="2410" spans="2:9">
      <c r="B2410" s="3041"/>
      <c r="C2410" s="3040"/>
      <c r="D2410" s="2935"/>
      <c r="E2410" s="2935"/>
      <c r="F2410" s="2935"/>
      <c r="G2410" s="2935"/>
      <c r="H2410" s="2935"/>
      <c r="I2410" s="2935"/>
    </row>
    <row r="2411" spans="2:9">
      <c r="B2411" s="3041"/>
      <c r="C2411" s="3040"/>
      <c r="D2411" s="2935"/>
      <c r="E2411" s="2935"/>
      <c r="F2411" s="2935"/>
      <c r="G2411" s="2935"/>
      <c r="H2411" s="2935"/>
      <c r="I2411" s="2935"/>
    </row>
    <row r="2412" spans="2:9">
      <c r="B2412" s="3041"/>
      <c r="C2412" s="3040"/>
      <c r="D2412" s="2935"/>
      <c r="E2412" s="2935"/>
      <c r="F2412" s="2935"/>
      <c r="G2412" s="2935"/>
      <c r="H2412" s="2935"/>
      <c r="I2412" s="2935"/>
    </row>
    <row r="2413" spans="2:9">
      <c r="B2413" s="3041"/>
      <c r="C2413" s="3040"/>
      <c r="D2413" s="2935"/>
      <c r="E2413" s="2935"/>
      <c r="F2413" s="2935"/>
      <c r="G2413" s="2935"/>
      <c r="H2413" s="2935"/>
      <c r="I2413" s="2935"/>
    </row>
    <row r="2414" spans="2:9">
      <c r="B2414" s="3041"/>
      <c r="C2414" s="3040"/>
      <c r="D2414" s="2935"/>
      <c r="E2414" s="2935"/>
      <c r="F2414" s="2935"/>
      <c r="G2414" s="2935"/>
      <c r="H2414" s="2935"/>
      <c r="I2414" s="2935"/>
    </row>
    <row r="2415" spans="2:9">
      <c r="B2415" s="3041"/>
      <c r="C2415" s="3040"/>
      <c r="D2415" s="2935"/>
      <c r="E2415" s="2935"/>
      <c r="F2415" s="2935"/>
      <c r="G2415" s="2935"/>
      <c r="H2415" s="2935"/>
      <c r="I2415" s="2935"/>
    </row>
    <row r="2416" spans="2:9">
      <c r="B2416" s="3041"/>
      <c r="C2416" s="3040"/>
      <c r="D2416" s="2935"/>
      <c r="E2416" s="2935"/>
      <c r="F2416" s="2935"/>
      <c r="G2416" s="2935"/>
      <c r="H2416" s="2935"/>
      <c r="I2416" s="2935"/>
    </row>
    <row r="2417" spans="2:9">
      <c r="B2417" s="3041"/>
      <c r="C2417" s="3040"/>
      <c r="D2417" s="2935"/>
      <c r="E2417" s="2935"/>
      <c r="F2417" s="2935"/>
      <c r="G2417" s="2935"/>
      <c r="H2417" s="2935"/>
      <c r="I2417" s="2935"/>
    </row>
    <row r="2418" spans="2:9">
      <c r="B2418" s="3041"/>
      <c r="C2418" s="3040"/>
      <c r="D2418" s="2935"/>
      <c r="E2418" s="2935"/>
      <c r="F2418" s="2935"/>
      <c r="G2418" s="2935"/>
      <c r="H2418" s="2935"/>
      <c r="I2418" s="2935"/>
    </row>
    <row r="2419" spans="2:9">
      <c r="B2419" s="3041"/>
      <c r="C2419" s="3040"/>
      <c r="D2419" s="2935"/>
      <c r="E2419" s="2935"/>
      <c r="F2419" s="2935"/>
      <c r="G2419" s="2935"/>
      <c r="H2419" s="2935"/>
      <c r="I2419" s="2935"/>
    </row>
    <row r="2420" spans="2:9">
      <c r="B2420" s="3041"/>
      <c r="C2420" s="3040"/>
      <c r="D2420" s="2935"/>
      <c r="E2420" s="2935"/>
      <c r="F2420" s="2935"/>
      <c r="G2420" s="2935"/>
      <c r="H2420" s="2935"/>
      <c r="I2420" s="2935"/>
    </row>
    <row r="2421" spans="2:9">
      <c r="B2421" s="3041"/>
      <c r="C2421" s="3040"/>
      <c r="D2421" s="2935"/>
      <c r="E2421" s="2935"/>
      <c r="F2421" s="2935"/>
      <c r="G2421" s="2935"/>
      <c r="H2421" s="2935"/>
      <c r="I2421" s="2935"/>
    </row>
    <row r="2422" spans="2:9">
      <c r="B2422" s="3041"/>
      <c r="C2422" s="3040"/>
      <c r="D2422" s="2935"/>
      <c r="E2422" s="2935"/>
      <c r="F2422" s="2935"/>
      <c r="G2422" s="2935"/>
      <c r="H2422" s="2935"/>
      <c r="I2422" s="2935"/>
    </row>
    <row r="2423" spans="2:9">
      <c r="B2423" s="3041"/>
      <c r="C2423" s="3040"/>
      <c r="D2423" s="2935"/>
      <c r="E2423" s="2935"/>
      <c r="F2423" s="2935"/>
      <c r="G2423" s="2935"/>
      <c r="H2423" s="2935"/>
      <c r="I2423" s="2935"/>
    </row>
    <row r="2424" spans="2:9">
      <c r="B2424" s="3041"/>
      <c r="C2424" s="3040"/>
      <c r="D2424" s="2935"/>
      <c r="E2424" s="2935"/>
      <c r="F2424" s="2935"/>
      <c r="G2424" s="2935"/>
      <c r="H2424" s="2935"/>
      <c r="I2424" s="2935"/>
    </row>
    <row r="2425" spans="2:9">
      <c r="B2425" s="3041"/>
      <c r="C2425" s="3040"/>
      <c r="D2425" s="2935"/>
      <c r="E2425" s="2935"/>
      <c r="F2425" s="2935"/>
      <c r="G2425" s="2935"/>
      <c r="H2425" s="2935"/>
      <c r="I2425" s="2935"/>
    </row>
    <row r="2426" spans="2:9">
      <c r="B2426" s="3041"/>
      <c r="C2426" s="3040"/>
      <c r="D2426" s="2935"/>
      <c r="E2426" s="2935"/>
      <c r="F2426" s="2935"/>
      <c r="G2426" s="2935"/>
      <c r="H2426" s="2935"/>
      <c r="I2426" s="2935"/>
    </row>
    <row r="2427" spans="2:9">
      <c r="B2427" s="3041"/>
      <c r="C2427" s="3040"/>
      <c r="D2427" s="2935"/>
      <c r="E2427" s="2935"/>
      <c r="F2427" s="2935"/>
      <c r="G2427" s="2935"/>
      <c r="H2427" s="2935"/>
      <c r="I2427" s="2935"/>
    </row>
    <row r="2428" spans="2:9">
      <c r="B2428" s="3041"/>
      <c r="C2428" s="3040"/>
      <c r="D2428" s="2935"/>
      <c r="E2428" s="2935"/>
      <c r="F2428" s="2935"/>
      <c r="G2428" s="2935"/>
      <c r="H2428" s="2935"/>
      <c r="I2428" s="2935"/>
    </row>
    <row r="2429" spans="2:9">
      <c r="B2429" s="3041"/>
      <c r="C2429" s="3040"/>
      <c r="D2429" s="2935"/>
      <c r="E2429" s="2935"/>
      <c r="F2429" s="2935"/>
      <c r="G2429" s="2935"/>
      <c r="H2429" s="2935"/>
      <c r="I2429" s="2935"/>
    </row>
    <row r="2430" spans="2:9">
      <c r="B2430" s="3041"/>
      <c r="C2430" s="3040"/>
      <c r="D2430" s="2935"/>
      <c r="E2430" s="2935"/>
      <c r="F2430" s="2935"/>
      <c r="G2430" s="2935"/>
      <c r="H2430" s="2935"/>
      <c r="I2430" s="2935"/>
    </row>
    <row r="2431" spans="2:9">
      <c r="B2431" s="3041"/>
      <c r="C2431" s="3040"/>
      <c r="D2431" s="2935"/>
      <c r="E2431" s="2935"/>
      <c r="F2431" s="2935"/>
      <c r="G2431" s="2935"/>
      <c r="H2431" s="2935"/>
      <c r="I2431" s="2935"/>
    </row>
    <row r="2432" spans="2:9">
      <c r="B2432" s="3041"/>
      <c r="C2432" s="3040"/>
      <c r="D2432" s="2935"/>
      <c r="E2432" s="2935"/>
      <c r="F2432" s="2935"/>
      <c r="G2432" s="2935"/>
      <c r="H2432" s="2935"/>
      <c r="I2432" s="2935"/>
    </row>
    <row r="2433" spans="2:9">
      <c r="B2433" s="3041"/>
      <c r="C2433" s="3040"/>
      <c r="D2433" s="2935"/>
      <c r="E2433" s="2935"/>
      <c r="F2433" s="2935"/>
      <c r="G2433" s="2935"/>
      <c r="H2433" s="2935"/>
      <c r="I2433" s="2935"/>
    </row>
    <row r="2434" spans="2:9">
      <c r="B2434" s="3041"/>
      <c r="C2434" s="3040"/>
      <c r="D2434" s="2935"/>
      <c r="E2434" s="2935"/>
      <c r="F2434" s="2935"/>
      <c r="G2434" s="2935"/>
      <c r="H2434" s="2935"/>
      <c r="I2434" s="2935"/>
    </row>
    <row r="2435" spans="2:9">
      <c r="B2435" s="3041"/>
      <c r="C2435" s="3040"/>
      <c r="D2435" s="2935"/>
      <c r="E2435" s="2935"/>
      <c r="F2435" s="2935"/>
      <c r="G2435" s="2935"/>
      <c r="H2435" s="2935"/>
      <c r="I2435" s="2935"/>
    </row>
    <row r="2436" spans="2:9">
      <c r="B2436" s="3041"/>
      <c r="C2436" s="3040"/>
      <c r="D2436" s="2935"/>
      <c r="E2436" s="2935"/>
      <c r="F2436" s="2935"/>
      <c r="G2436" s="2935"/>
      <c r="H2436" s="2935"/>
      <c r="I2436" s="2935"/>
    </row>
    <row r="2437" spans="2:9">
      <c r="B2437" s="3041"/>
      <c r="C2437" s="3040"/>
      <c r="D2437" s="2935"/>
      <c r="E2437" s="2935"/>
      <c r="F2437" s="2935"/>
      <c r="G2437" s="2935"/>
      <c r="H2437" s="2935"/>
      <c r="I2437" s="2935"/>
    </row>
    <row r="2438" spans="2:9">
      <c r="B2438" s="3041"/>
      <c r="C2438" s="3040"/>
      <c r="D2438" s="2935"/>
      <c r="E2438" s="2935"/>
      <c r="F2438" s="2935"/>
      <c r="G2438" s="2935"/>
      <c r="H2438" s="2935"/>
      <c r="I2438" s="2935"/>
    </row>
    <row r="2439" spans="2:9">
      <c r="B2439" s="3041"/>
      <c r="C2439" s="3040"/>
      <c r="D2439" s="2935"/>
      <c r="E2439" s="2935"/>
      <c r="F2439" s="2935"/>
      <c r="G2439" s="2935"/>
      <c r="H2439" s="2935"/>
      <c r="I2439" s="2935"/>
    </row>
    <row r="2440" spans="2:9">
      <c r="B2440" s="3041"/>
      <c r="C2440" s="3040"/>
      <c r="D2440" s="2935"/>
      <c r="E2440" s="2935"/>
      <c r="F2440" s="2935"/>
      <c r="G2440" s="2935"/>
      <c r="H2440" s="2935"/>
      <c r="I2440" s="2935"/>
    </row>
    <row r="2441" spans="2:9">
      <c r="B2441" s="3041"/>
      <c r="C2441" s="3040"/>
      <c r="D2441" s="2935"/>
      <c r="E2441" s="2935"/>
      <c r="F2441" s="2935"/>
      <c r="G2441" s="2935"/>
      <c r="H2441" s="2935"/>
      <c r="I2441" s="2935"/>
    </row>
    <row r="2442" spans="2:9">
      <c r="B2442" s="3041"/>
      <c r="C2442" s="3040"/>
      <c r="D2442" s="2935"/>
      <c r="E2442" s="2935"/>
      <c r="F2442" s="2935"/>
      <c r="G2442" s="2935"/>
      <c r="H2442" s="2935"/>
      <c r="I2442" s="2935"/>
    </row>
    <row r="2443" spans="2:9">
      <c r="B2443" s="3041"/>
      <c r="C2443" s="3040"/>
      <c r="D2443" s="2935"/>
      <c r="E2443" s="2935"/>
      <c r="F2443" s="2935"/>
      <c r="G2443" s="2935"/>
      <c r="H2443" s="2935"/>
      <c r="I2443" s="2935"/>
    </row>
    <row r="2444" spans="2:9">
      <c r="B2444" s="3041"/>
      <c r="C2444" s="3040"/>
      <c r="D2444" s="2935"/>
      <c r="E2444" s="2935"/>
      <c r="F2444" s="2935"/>
      <c r="G2444" s="2935"/>
      <c r="H2444" s="2935"/>
      <c r="I2444" s="2935"/>
    </row>
    <row r="2445" spans="2:9">
      <c r="B2445" s="3041"/>
      <c r="C2445" s="3040"/>
      <c r="D2445" s="2935"/>
      <c r="E2445" s="2935"/>
      <c r="F2445" s="2935"/>
      <c r="G2445" s="2935"/>
      <c r="H2445" s="2935"/>
      <c r="I2445" s="2935"/>
    </row>
    <row r="2446" spans="2:9">
      <c r="B2446" s="3041"/>
      <c r="C2446" s="3040"/>
      <c r="D2446" s="2935"/>
      <c r="E2446" s="2935"/>
      <c r="F2446" s="2935"/>
      <c r="G2446" s="2935"/>
      <c r="H2446" s="2935"/>
      <c r="I2446" s="2935"/>
    </row>
    <row r="2447" spans="2:9">
      <c r="B2447" s="3041"/>
      <c r="C2447" s="3040"/>
      <c r="D2447" s="2935"/>
      <c r="E2447" s="2935"/>
      <c r="F2447" s="2935"/>
      <c r="G2447" s="2935"/>
      <c r="H2447" s="2935"/>
      <c r="I2447" s="2935"/>
    </row>
    <row r="2448" spans="2:9">
      <c r="B2448" s="3041"/>
      <c r="C2448" s="3040"/>
      <c r="D2448" s="2935"/>
      <c r="E2448" s="2935"/>
      <c r="F2448" s="2935"/>
      <c r="G2448" s="2935"/>
      <c r="H2448" s="2935"/>
      <c r="I2448" s="2935"/>
    </row>
    <row r="2449" spans="2:9">
      <c r="B2449" s="3041"/>
      <c r="C2449" s="3040"/>
      <c r="D2449" s="2935"/>
      <c r="E2449" s="2935"/>
      <c r="F2449" s="2935"/>
      <c r="G2449" s="2935"/>
      <c r="H2449" s="2935"/>
      <c r="I2449" s="2935"/>
    </row>
    <row r="2450" spans="2:9">
      <c r="B2450" s="3041"/>
      <c r="C2450" s="3040"/>
      <c r="D2450" s="2935"/>
      <c r="E2450" s="2935"/>
      <c r="F2450" s="2935"/>
      <c r="G2450" s="2935"/>
      <c r="H2450" s="2935"/>
      <c r="I2450" s="2935"/>
    </row>
    <row r="2451" spans="2:9">
      <c r="B2451" s="3041"/>
      <c r="C2451" s="3040"/>
      <c r="D2451" s="2935"/>
      <c r="E2451" s="2935"/>
      <c r="F2451" s="2935"/>
      <c r="G2451" s="2935"/>
      <c r="H2451" s="2935"/>
      <c r="I2451" s="2935"/>
    </row>
    <row r="2452" spans="2:9">
      <c r="B2452" s="3041"/>
      <c r="C2452" s="3040"/>
      <c r="D2452" s="2935"/>
      <c r="E2452" s="2935"/>
      <c r="F2452" s="2935"/>
      <c r="G2452" s="2935"/>
      <c r="H2452" s="2935"/>
      <c r="I2452" s="2935"/>
    </row>
    <row r="2453" spans="2:9">
      <c r="B2453" s="3041"/>
      <c r="C2453" s="3040"/>
      <c r="D2453" s="2935"/>
      <c r="E2453" s="2935"/>
      <c r="F2453" s="2935"/>
      <c r="G2453" s="2935"/>
      <c r="H2453" s="2935"/>
      <c r="I2453" s="2935"/>
    </row>
    <row r="2454" spans="2:9">
      <c r="B2454" s="3041"/>
      <c r="C2454" s="3040"/>
      <c r="D2454" s="2935"/>
      <c r="E2454" s="2935"/>
      <c r="F2454" s="2935"/>
      <c r="G2454" s="2935"/>
      <c r="H2454" s="2935"/>
      <c r="I2454" s="2935"/>
    </row>
    <row r="2455" spans="2:9">
      <c r="B2455" s="3041"/>
      <c r="C2455" s="3040"/>
      <c r="D2455" s="2935"/>
      <c r="E2455" s="2935"/>
      <c r="F2455" s="2935"/>
      <c r="G2455" s="2935"/>
      <c r="H2455" s="2935"/>
      <c r="I2455" s="2935"/>
    </row>
    <row r="2456" spans="2:9">
      <c r="B2456" s="3041"/>
      <c r="C2456" s="3040"/>
      <c r="D2456" s="2935"/>
      <c r="E2456" s="2935"/>
      <c r="F2456" s="2935"/>
      <c r="G2456" s="2935"/>
      <c r="H2456" s="2935"/>
      <c r="I2456" s="2935"/>
    </row>
    <row r="2457" spans="2:9">
      <c r="B2457" s="3041"/>
      <c r="C2457" s="3040"/>
      <c r="D2457" s="2935"/>
      <c r="E2457" s="2935"/>
      <c r="F2457" s="2935"/>
      <c r="G2457" s="2935"/>
      <c r="H2457" s="2935"/>
      <c r="I2457" s="2935"/>
    </row>
    <row r="2458" spans="2:9">
      <c r="B2458" s="3041"/>
      <c r="C2458" s="3040"/>
      <c r="D2458" s="2935"/>
      <c r="E2458" s="2935"/>
      <c r="F2458" s="2935"/>
      <c r="G2458" s="2935"/>
      <c r="H2458" s="2935"/>
      <c r="I2458" s="2935"/>
    </row>
    <row r="2459" spans="2:9">
      <c r="B2459" s="3041"/>
      <c r="C2459" s="3040"/>
      <c r="D2459" s="2935"/>
      <c r="E2459" s="2935"/>
      <c r="F2459" s="2935"/>
      <c r="G2459" s="2935"/>
      <c r="H2459" s="2935"/>
      <c r="I2459" s="2935"/>
    </row>
    <row r="2460" spans="2:9">
      <c r="B2460" s="3041"/>
      <c r="C2460" s="3040"/>
      <c r="D2460" s="2935"/>
      <c r="E2460" s="2935"/>
      <c r="F2460" s="2935"/>
      <c r="G2460" s="2935"/>
      <c r="H2460" s="2935"/>
      <c r="I2460" s="2935"/>
    </row>
    <row r="2461" spans="2:9">
      <c r="B2461" s="3041"/>
      <c r="C2461" s="3040"/>
    </row>
  </sheetData>
  <autoFilter ref="A956:D1702" xr:uid="{BE8A56F1-CAAE-4B87-B04F-CE7F7F2C6D46}">
    <sortState xmlns:xlrd2="http://schemas.microsoft.com/office/spreadsheetml/2017/richdata2" ref="A957:D1702">
      <sortCondition ref="B956:B1702"/>
    </sortState>
  </autoFilter>
  <mergeCells count="2">
    <mergeCell ref="F955:I955"/>
    <mergeCell ref="K955:N955"/>
  </mergeCells>
  <pageMargins left="0.7" right="0.7" top="0.75" bottom="0.75" header="0.3" footer="0.3"/>
  <pageSetup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B7C3D-2584-4648-BE7F-CE8F034E279D}">
  <sheetPr>
    <tabColor rgb="FFED7D31"/>
  </sheetPr>
  <dimension ref="A5:BN1723"/>
  <sheetViews>
    <sheetView topLeftCell="A44" zoomScale="55" zoomScaleNormal="55" workbookViewId="0">
      <selection activeCell="G519" sqref="G519"/>
    </sheetView>
  </sheetViews>
  <sheetFormatPr defaultColWidth="8.85546875" defaultRowHeight="12.75"/>
  <cols>
    <col min="1" max="1" width="35.85546875" bestFit="1" customWidth="1"/>
    <col min="2" max="2" width="17.140625" customWidth="1"/>
    <col min="3" max="3" width="45.5703125" customWidth="1"/>
    <col min="4" max="4" width="21.28515625" customWidth="1"/>
    <col min="5" max="5" width="16.5703125" customWidth="1"/>
    <col min="6" max="6" width="26.85546875" customWidth="1"/>
    <col min="7" max="7" width="28" customWidth="1"/>
    <col min="9" max="9" width="11.42578125" customWidth="1"/>
    <col min="18" max="18" width="14.140625" customWidth="1"/>
    <col min="19" max="20" width="12.85546875" customWidth="1"/>
    <col min="21" max="21" width="11.28515625" bestFit="1" customWidth="1"/>
    <col min="22" max="22" width="9" bestFit="1" customWidth="1"/>
    <col min="29" max="29" width="20.42578125" customWidth="1"/>
    <col min="30" max="30" width="21.85546875" customWidth="1"/>
    <col min="53" max="53" width="16" customWidth="1"/>
  </cols>
  <sheetData>
    <row r="5" spans="1:5">
      <c r="A5" s="1447" t="s">
        <v>1583</v>
      </c>
    </row>
    <row r="6" spans="1:5">
      <c r="A6" t="s">
        <v>1918</v>
      </c>
      <c r="B6" s="1447" t="s">
        <v>2061</v>
      </c>
      <c r="C6" t="s">
        <v>1984</v>
      </c>
      <c r="D6" s="1447" t="s">
        <v>2062</v>
      </c>
      <c r="E6" s="1447" t="s">
        <v>2035</v>
      </c>
    </row>
    <row r="7" spans="1:5">
      <c r="A7" s="1447" t="s">
        <v>921</v>
      </c>
      <c r="B7" s="2574">
        <v>30949</v>
      </c>
      <c r="C7" s="2">
        <f>B7/B10</f>
        <v>0.62038206346342739</v>
      </c>
      <c r="D7" s="2574">
        <v>4333</v>
      </c>
      <c r="E7" s="2">
        <f>D7/D10</f>
        <v>0.45419287211740039</v>
      </c>
    </row>
    <row r="8" spans="1:5">
      <c r="A8" s="1447" t="s">
        <v>895</v>
      </c>
      <c r="B8" s="2574">
        <v>14287</v>
      </c>
      <c r="C8" s="2">
        <f>B8/B10</f>
        <v>0.28638723515144227</v>
      </c>
      <c r="D8" s="2574">
        <v>3228</v>
      </c>
      <c r="E8" s="2">
        <f>D8/D10</f>
        <v>0.33836477987421382</v>
      </c>
    </row>
    <row r="9" spans="1:5">
      <c r="A9" s="1447" t="s">
        <v>1227</v>
      </c>
      <c r="B9" s="2574">
        <v>4651</v>
      </c>
      <c r="C9" s="2">
        <f>B9/B10</f>
        <v>9.3230701385130399E-2</v>
      </c>
      <c r="D9" s="2574">
        <v>1979</v>
      </c>
      <c r="E9" s="2">
        <f>D9/D10</f>
        <v>0.20744234800838574</v>
      </c>
    </row>
    <row r="10" spans="1:5">
      <c r="A10" s="1447" t="s">
        <v>2034</v>
      </c>
      <c r="B10" s="3209">
        <f>SUM(B7:B9)</f>
        <v>49887</v>
      </c>
      <c r="D10" s="3209">
        <f>SUM(D7:D9)</f>
        <v>9540</v>
      </c>
    </row>
    <row r="32" spans="1:1" s="1451" customFormat="1">
      <c r="A32" s="1451" t="s">
        <v>1038</v>
      </c>
    </row>
    <row r="33" spans="1:38" ht="15">
      <c r="A33" s="2961" t="s">
        <v>1237</v>
      </c>
      <c r="B33" s="2961" t="s">
        <v>1916</v>
      </c>
      <c r="C33" s="2961" t="s">
        <v>1917</v>
      </c>
    </row>
    <row r="34" spans="1:38" ht="15">
      <c r="A34" s="2960">
        <v>2021</v>
      </c>
      <c r="B34" s="2960">
        <v>245</v>
      </c>
      <c r="C34" s="2960">
        <v>126</v>
      </c>
    </row>
    <row r="35" spans="1:38" ht="15">
      <c r="A35" s="2960">
        <v>2022</v>
      </c>
      <c r="B35" s="2960">
        <v>291</v>
      </c>
      <c r="C35" s="2960">
        <v>162</v>
      </c>
    </row>
    <row r="36" spans="1:38" ht="15">
      <c r="A36" s="2960">
        <v>2023</v>
      </c>
      <c r="B36" s="2960">
        <v>336</v>
      </c>
      <c r="C36" s="2960">
        <v>207</v>
      </c>
    </row>
    <row r="37" spans="1:38" ht="15">
      <c r="A37" s="2960">
        <v>2024</v>
      </c>
      <c r="B37" s="2960">
        <v>379</v>
      </c>
      <c r="C37" s="2960">
        <v>253</v>
      </c>
      <c r="AC37" s="2312" t="s">
        <v>1484</v>
      </c>
      <c r="AD37" s="2313"/>
      <c r="AE37" s="2313"/>
      <c r="AF37" s="2313"/>
      <c r="AG37" s="2313"/>
      <c r="AH37" s="2313"/>
      <c r="AI37" s="2313"/>
      <c r="AJ37" s="2313"/>
      <c r="AK37" s="2313"/>
      <c r="AL37" s="2314"/>
    </row>
    <row r="38" spans="1:38">
      <c r="AC38" s="2244"/>
      <c r="AL38" s="1985"/>
    </row>
    <row r="39" spans="1:38" ht="15">
      <c r="A39" s="2963" t="s">
        <v>1265</v>
      </c>
      <c r="B39" s="2963" t="s">
        <v>1910</v>
      </c>
      <c r="C39" s="2963" t="s">
        <v>1911</v>
      </c>
      <c r="D39" s="2963" t="s">
        <v>1912</v>
      </c>
      <c r="AC39" s="3212" t="s">
        <v>2036</v>
      </c>
      <c r="AD39" s="2308" t="s">
        <v>803</v>
      </c>
      <c r="AE39" s="2308" t="s">
        <v>1485</v>
      </c>
      <c r="AF39" s="2308" t="s">
        <v>203</v>
      </c>
      <c r="AG39" s="2203" t="s">
        <v>1485</v>
      </c>
      <c r="AL39" s="1985"/>
    </row>
    <row r="40" spans="1:38" ht="15">
      <c r="A40" s="2962" t="s">
        <v>1913</v>
      </c>
      <c r="B40" s="2962">
        <v>257</v>
      </c>
      <c r="C40" s="2962">
        <v>111</v>
      </c>
      <c r="D40" s="2962">
        <v>19</v>
      </c>
      <c r="AC40" s="1727" t="s">
        <v>921</v>
      </c>
      <c r="AD40" s="1349">
        <v>27123</v>
      </c>
      <c r="AE40" s="2307">
        <f>AD40/AD$43</f>
        <v>0.618992194988361</v>
      </c>
      <c r="AF40" s="1349">
        <v>3807</v>
      </c>
      <c r="AG40" s="2309">
        <f>AF40/AF43</f>
        <v>0.45784726398075765</v>
      </c>
      <c r="AL40" s="1985"/>
    </row>
    <row r="41" spans="1:38" ht="15">
      <c r="A41" s="2962" t="s">
        <v>1914</v>
      </c>
      <c r="B41" s="2962">
        <v>411</v>
      </c>
      <c r="C41" s="2962">
        <v>204</v>
      </c>
      <c r="D41" s="2962">
        <v>31</v>
      </c>
      <c r="H41" s="1348"/>
      <c r="I41" s="1348"/>
      <c r="J41" s="1348"/>
      <c r="AC41" s="1727" t="s">
        <v>895</v>
      </c>
      <c r="AD41" s="1349">
        <v>12611</v>
      </c>
      <c r="AE41" s="2307">
        <f t="shared" ref="AE41:AE42" si="0">AD41/AD$43</f>
        <v>0.28780409877219409</v>
      </c>
      <c r="AF41" s="1349">
        <v>2850</v>
      </c>
      <c r="AG41" s="2309">
        <f>AF41/AF43</f>
        <v>0.34275405892964522</v>
      </c>
      <c r="AL41" s="1985"/>
    </row>
    <row r="42" spans="1:38" ht="15">
      <c r="A42" s="2962" t="s">
        <v>1666</v>
      </c>
      <c r="B42" s="2962">
        <v>217</v>
      </c>
      <c r="C42" s="2962">
        <v>162</v>
      </c>
      <c r="D42" s="2962">
        <v>37</v>
      </c>
      <c r="E42" s="2203"/>
      <c r="H42" s="1349"/>
      <c r="I42" s="1349"/>
      <c r="J42" s="1349"/>
      <c r="AC42" s="1727" t="s">
        <v>1227</v>
      </c>
      <c r="AD42" s="1349">
        <v>4084</v>
      </c>
      <c r="AE42" s="2307">
        <f t="shared" si="0"/>
        <v>9.3203706239444975E-2</v>
      </c>
      <c r="AF42" s="1349">
        <v>1658</v>
      </c>
      <c r="AG42" s="2309">
        <f>AF42/AF43</f>
        <v>0.1993986770895971</v>
      </c>
      <c r="AL42" s="1985"/>
    </row>
    <row r="43" spans="1:38" ht="15">
      <c r="A43" s="2962" t="s">
        <v>1915</v>
      </c>
      <c r="B43" s="2962">
        <v>238</v>
      </c>
      <c r="C43" s="2962">
        <v>223</v>
      </c>
      <c r="D43" s="2962">
        <v>48</v>
      </c>
      <c r="E43" s="1985"/>
      <c r="I43" s="598"/>
      <c r="J43" s="2"/>
      <c r="AC43" s="2310" t="s">
        <v>1486</v>
      </c>
      <c r="AD43" s="2311">
        <f>SUM(AD40:AD42)</f>
        <v>43818</v>
      </c>
      <c r="AE43" s="453"/>
      <c r="AF43" s="2311">
        <f>SUM(AF40:AF42)</f>
        <v>8315</v>
      </c>
      <c r="AG43" s="1996"/>
      <c r="AL43" s="1985"/>
    </row>
    <row r="44" spans="1:38" ht="15">
      <c r="A44" s="1653" t="s">
        <v>2008</v>
      </c>
      <c r="B44" s="2962">
        <v>131</v>
      </c>
      <c r="C44" s="2962">
        <v>105</v>
      </c>
      <c r="D44" s="2962">
        <v>12</v>
      </c>
      <c r="E44" s="1985"/>
      <c r="AC44" s="2244"/>
      <c r="AL44" s="1985"/>
    </row>
    <row r="45" spans="1:38">
      <c r="A45" s="2571"/>
      <c r="B45" s="453"/>
      <c r="C45" s="453"/>
      <c r="D45" s="453"/>
      <c r="E45" s="1996"/>
      <c r="H45" s="1348" t="s">
        <v>1017</v>
      </c>
      <c r="AC45" s="2244"/>
      <c r="AL45" s="1985"/>
    </row>
    <row r="46" spans="1:38">
      <c r="A46" s="1450"/>
      <c r="B46" s="1450"/>
      <c r="H46" s="1349">
        <v>11678</v>
      </c>
      <c r="AC46" s="2244"/>
      <c r="AL46" s="1985"/>
    </row>
    <row r="47" spans="1:38">
      <c r="A47" s="3220"/>
      <c r="B47" s="3221">
        <v>2019</v>
      </c>
      <c r="C47" s="3221">
        <v>2020</v>
      </c>
      <c r="D47" s="3221">
        <v>2021</v>
      </c>
      <c r="E47" s="3221">
        <v>2022</v>
      </c>
      <c r="F47" s="3222">
        <v>2023</v>
      </c>
      <c r="G47" s="3223">
        <v>2024</v>
      </c>
      <c r="H47" s="3221" t="s">
        <v>2033</v>
      </c>
      <c r="I47" s="3224" t="s">
        <v>2036</v>
      </c>
      <c r="J47" s="3224" t="s">
        <v>2059</v>
      </c>
      <c r="K47" s="1447" t="s">
        <v>2010</v>
      </c>
      <c r="AC47" s="2244"/>
      <c r="AL47" s="1985"/>
    </row>
    <row r="48" spans="1:38">
      <c r="A48" s="3225" t="s">
        <v>1247</v>
      </c>
      <c r="B48" s="3226">
        <v>10643</v>
      </c>
      <c r="C48" s="3227">
        <v>13095</v>
      </c>
      <c r="D48" s="3227">
        <v>15541</v>
      </c>
      <c r="E48" s="3227">
        <v>21594</v>
      </c>
      <c r="F48" s="3227">
        <v>29717</v>
      </c>
      <c r="G48" s="3227">
        <v>33592</v>
      </c>
      <c r="H48" s="3227">
        <v>23370</v>
      </c>
      <c r="I48" s="3228">
        <v>25970</v>
      </c>
      <c r="J48" s="3228">
        <v>29363</v>
      </c>
      <c r="K48" s="1349">
        <v>15384</v>
      </c>
      <c r="M48" s="1349"/>
      <c r="AC48" s="2244"/>
      <c r="AL48" s="1985"/>
    </row>
    <row r="49" spans="1:38">
      <c r="A49" s="3225" t="s">
        <v>1248</v>
      </c>
      <c r="B49" s="3229"/>
      <c r="C49" s="3229">
        <f t="shared" ref="C49:F49" si="1">C48/B48-1</f>
        <v>0.23038616931316369</v>
      </c>
      <c r="D49" s="3229">
        <f t="shared" si="1"/>
        <v>0.18678885070637641</v>
      </c>
      <c r="E49" s="3229">
        <f t="shared" si="1"/>
        <v>0.38948587606975105</v>
      </c>
      <c r="F49" s="3229">
        <f t="shared" si="1"/>
        <v>0.37616930628878387</v>
      </c>
      <c r="G49" s="3229">
        <f>G48/F48-1</f>
        <v>0.13039674260524281</v>
      </c>
      <c r="H49" s="3230">
        <v>7.6999999999999999E-2</v>
      </c>
      <c r="I49" s="3231">
        <v>0.122</v>
      </c>
      <c r="J49" s="3231">
        <v>0.14399999999999999</v>
      </c>
      <c r="K49" s="1987">
        <v>0.104</v>
      </c>
      <c r="AC49" s="2244"/>
      <c r="AL49" s="1985"/>
    </row>
    <row r="50" spans="1:38">
      <c r="A50" s="3232" t="s">
        <v>2047</v>
      </c>
      <c r="B50" s="3234">
        <f>Revenue!C21</f>
        <v>0.2847869928389648</v>
      </c>
      <c r="C50" s="3234">
        <f>Revenue!D21</f>
        <v>0.10621223346508968</v>
      </c>
      <c r="D50" s="3234">
        <f>Revenue!E21</f>
        <v>0.21170716301146797</v>
      </c>
      <c r="E50" s="3234">
        <f>Revenue!F21</f>
        <v>0.30085639711319878</v>
      </c>
      <c r="F50" s="3234">
        <f>Revenue!G21</f>
        <v>0.28402673490843022</v>
      </c>
      <c r="G50" s="3234">
        <f>Revenue!H21</f>
        <v>0.2744153491436101</v>
      </c>
      <c r="H50" s="3233"/>
      <c r="I50" s="3235">
        <v>0.126</v>
      </c>
      <c r="J50" s="268">
        <f>3393/2321-1</f>
        <v>0.46186988367083148</v>
      </c>
      <c r="AC50" s="2306"/>
      <c r="AD50" s="453"/>
      <c r="AE50" s="453"/>
      <c r="AF50" s="453"/>
      <c r="AG50" s="453"/>
      <c r="AH50" s="453"/>
      <c r="AI50" s="453"/>
      <c r="AJ50" s="453"/>
      <c r="AK50" s="453"/>
      <c r="AL50" s="1996"/>
    </row>
    <row r="52" spans="1:38">
      <c r="A52" s="2247" t="s">
        <v>1244</v>
      </c>
      <c r="B52" s="2248"/>
      <c r="C52" s="2249">
        <v>2020</v>
      </c>
      <c r="D52" s="2249">
        <v>2021</v>
      </c>
      <c r="E52" s="2249">
        <v>2022</v>
      </c>
      <c r="F52" s="2249">
        <v>2023</v>
      </c>
      <c r="G52" s="2250" t="s">
        <v>1498</v>
      </c>
      <c r="H52" s="2516" t="s">
        <v>1704</v>
      </c>
    </row>
    <row r="53" spans="1:38">
      <c r="A53" s="2244" t="s">
        <v>883</v>
      </c>
      <c r="C53" s="369">
        <f>Revenue!D11</f>
        <v>16804.932000000001</v>
      </c>
      <c r="D53" s="369">
        <f>Revenue!E11</f>
        <v>20872.243999999999</v>
      </c>
      <c r="E53" s="369">
        <f>Revenue!F11</f>
        <v>25762.901999999998</v>
      </c>
      <c r="F53" s="369">
        <f>Revenue!G11</f>
        <v>31449</v>
      </c>
      <c r="G53" s="1494">
        <f>SUM(G54:G58)</f>
        <v>8472</v>
      </c>
      <c r="H53" s="792">
        <f>SUM(H54:H58)</f>
        <v>9605</v>
      </c>
    </row>
    <row r="54" spans="1:38">
      <c r="A54" s="1653" t="s">
        <v>888</v>
      </c>
      <c r="B54" s="39"/>
      <c r="C54" s="369">
        <f>Revenue!D159</f>
        <v>6011</v>
      </c>
      <c r="D54" s="369">
        <f>Revenue!E159</f>
        <v>6332</v>
      </c>
      <c r="E54" s="369">
        <f>Revenue!F159</f>
        <v>7342</v>
      </c>
      <c r="F54" s="369">
        <f>Revenue!G159</f>
        <v>9324</v>
      </c>
      <c r="G54" s="1494">
        <v>2695</v>
      </c>
      <c r="H54" s="792">
        <f>5712-G54</f>
        <v>3017</v>
      </c>
    </row>
    <row r="55" spans="1:38">
      <c r="A55" s="306" t="s">
        <v>889</v>
      </c>
      <c r="B55" s="39"/>
      <c r="C55" s="369">
        <f>Revenue!D160</f>
        <v>2878</v>
      </c>
      <c r="D55" s="369">
        <f>Revenue!E160</f>
        <v>4369</v>
      </c>
      <c r="E55" s="369">
        <f>Revenue!F160</f>
        <v>6550</v>
      </c>
      <c r="F55" s="369">
        <f>Revenue!G160</f>
        <v>7115</v>
      </c>
      <c r="G55" s="1494">
        <v>1858</v>
      </c>
      <c r="H55" s="792">
        <f>3719-G55</f>
        <v>1861</v>
      </c>
    </row>
    <row r="56" spans="1:38">
      <c r="A56" s="306" t="s">
        <v>890</v>
      </c>
      <c r="B56" s="39"/>
      <c r="C56" s="369">
        <f>Revenue!D161</f>
        <v>993</v>
      </c>
      <c r="D56" s="369">
        <f>Revenue!E161</f>
        <v>1144</v>
      </c>
      <c r="E56" s="369">
        <f>Revenue!F161</f>
        <v>1366</v>
      </c>
      <c r="F56" s="369">
        <f>Revenue!G161</f>
        <v>1736</v>
      </c>
      <c r="G56" s="1494">
        <v>552</v>
      </c>
      <c r="H56" s="792">
        <f>1244-G56</f>
        <v>692</v>
      </c>
    </row>
    <row r="57" spans="1:38">
      <c r="A57" s="306" t="s">
        <v>891</v>
      </c>
      <c r="B57" s="39"/>
      <c r="C57" s="369">
        <f>Revenue!D162</f>
        <v>2119</v>
      </c>
      <c r="D57" s="369">
        <f>Revenue!E162</f>
        <v>2696</v>
      </c>
      <c r="E57" s="369">
        <f>Revenue!F162</f>
        <v>3677</v>
      </c>
      <c r="F57" s="369">
        <f>Revenue!G162</f>
        <v>6113</v>
      </c>
      <c r="G57" s="1494">
        <v>1895</v>
      </c>
      <c r="H57" s="792">
        <f>3898-G57</f>
        <v>2003</v>
      </c>
    </row>
    <row r="58" spans="1:38">
      <c r="A58" s="1816" t="s">
        <v>740</v>
      </c>
      <c r="B58" s="790"/>
      <c r="C58" s="369">
        <f>C53-SUM(C54:C57)</f>
        <v>4803.9320000000007</v>
      </c>
      <c r="D58" s="369">
        <f>D53-SUM(D54:D57)</f>
        <v>6331.2439999999988</v>
      </c>
      <c r="E58" s="369">
        <f>E53-SUM(E54:E57)</f>
        <v>6827.9019999999982</v>
      </c>
      <c r="F58" s="369">
        <f>F53-SUM(F54:F57)</f>
        <v>7161</v>
      </c>
      <c r="G58" s="1494">
        <v>1472</v>
      </c>
      <c r="H58" s="792">
        <f>3504-G58</f>
        <v>2032</v>
      </c>
    </row>
    <row r="59" spans="1:38">
      <c r="A59" s="2244"/>
      <c r="G59" s="1985"/>
      <c r="H59" s="2517"/>
    </row>
    <row r="60" spans="1:38">
      <c r="A60" s="1727" t="s">
        <v>1245</v>
      </c>
      <c r="C60" s="399">
        <v>2020</v>
      </c>
      <c r="D60" s="399">
        <v>2021</v>
      </c>
      <c r="E60" s="399">
        <v>2022</v>
      </c>
      <c r="F60" s="399">
        <v>2023</v>
      </c>
      <c r="G60" s="953" t="s">
        <v>1498</v>
      </c>
      <c r="H60" s="2518" t="s">
        <v>1704</v>
      </c>
    </row>
    <row r="61" spans="1:38">
      <c r="A61" s="306" t="s">
        <v>888</v>
      </c>
      <c r="B61" s="39"/>
      <c r="C61" s="1333">
        <f t="shared" ref="C61:F65" si="2">C54/C$53</f>
        <v>0.35769261071690145</v>
      </c>
      <c r="D61" s="1333">
        <f t="shared" si="2"/>
        <v>0.3033693933436194</v>
      </c>
      <c r="E61" s="1333">
        <f t="shared" si="2"/>
        <v>0.28498342306313162</v>
      </c>
      <c r="F61" s="1333">
        <f>F54/F$53</f>
        <v>0.29648001526280643</v>
      </c>
      <c r="G61" s="1666">
        <f>G54/G$53</f>
        <v>0.3181067044381492</v>
      </c>
      <c r="H61" s="2519">
        <f>H54/H$53</f>
        <v>0.31410723581467986</v>
      </c>
    </row>
    <row r="62" spans="1:38">
      <c r="A62" s="306" t="s">
        <v>889</v>
      </c>
      <c r="B62" s="39"/>
      <c r="C62" s="1333">
        <f t="shared" si="2"/>
        <v>0.17125924698772954</v>
      </c>
      <c r="D62" s="1333">
        <f t="shared" si="2"/>
        <v>0.20932104856574119</v>
      </c>
      <c r="E62" s="1333">
        <f t="shared" si="2"/>
        <v>0.25424154468312615</v>
      </c>
      <c r="F62" s="1333">
        <f t="shared" si="2"/>
        <v>0.22623930808610768</v>
      </c>
      <c r="G62" s="1666">
        <f t="shared" ref="G62:H62" si="3">G55/G$53</f>
        <v>0.21931067044381491</v>
      </c>
      <c r="H62" s="2519">
        <f t="shared" si="3"/>
        <v>0.19375325351379491</v>
      </c>
    </row>
    <row r="63" spans="1:38">
      <c r="A63" s="306" t="s">
        <v>890</v>
      </c>
      <c r="B63" s="39"/>
      <c r="C63" s="1333">
        <f t="shared" si="2"/>
        <v>5.9089795781381321E-2</v>
      </c>
      <c r="D63" s="1333">
        <f t="shared" si="2"/>
        <v>5.4809631393730358E-2</v>
      </c>
      <c r="E63" s="1333">
        <f t="shared" si="2"/>
        <v>5.3021977104908448E-2</v>
      </c>
      <c r="F63" s="1333">
        <f t="shared" si="2"/>
        <v>5.5200483322204202E-2</v>
      </c>
      <c r="G63" s="1666">
        <f t="shared" ref="G63:H63" si="4">G56/G$53</f>
        <v>6.5155807365439092E-2</v>
      </c>
      <c r="H63" s="2519">
        <f t="shared" si="4"/>
        <v>7.204580947423217E-2</v>
      </c>
    </row>
    <row r="64" spans="1:38">
      <c r="A64" s="306" t="s">
        <v>1016</v>
      </c>
      <c r="B64" s="39"/>
      <c r="C64" s="1333">
        <f t="shared" si="2"/>
        <v>0.12609393480437767</v>
      </c>
      <c r="D64" s="1333">
        <f t="shared" si="2"/>
        <v>0.1291667537041058</v>
      </c>
      <c r="E64" s="1333">
        <f t="shared" si="2"/>
        <v>0.14272460454959618</v>
      </c>
      <c r="F64" s="1333">
        <f t="shared" si="2"/>
        <v>0.19437819962478933</v>
      </c>
      <c r="G64" s="1666">
        <f t="shared" ref="G64:H64" si="5">G57/G$53</f>
        <v>0.22367799811142589</v>
      </c>
      <c r="H64" s="2519">
        <f t="shared" si="5"/>
        <v>0.20853722019781365</v>
      </c>
    </row>
    <row r="65" spans="1:25">
      <c r="A65" s="1918" t="s">
        <v>740</v>
      </c>
      <c r="B65" s="2245"/>
      <c r="C65" s="1994">
        <f t="shared" si="2"/>
        <v>0.28586441170961002</v>
      </c>
      <c r="D65" s="1994">
        <f t="shared" si="2"/>
        <v>0.30333317299280321</v>
      </c>
      <c r="E65" s="1994">
        <f t="shared" si="2"/>
        <v>0.26502845059923757</v>
      </c>
      <c r="F65" s="1994">
        <f t="shared" si="2"/>
        <v>0.22770199370409233</v>
      </c>
      <c r="G65" s="2246">
        <f t="shared" ref="G65:H65" si="6">G58/G$53</f>
        <v>0.17374881964117092</v>
      </c>
      <c r="H65" s="2520">
        <f t="shared" si="6"/>
        <v>0.21155648099947943</v>
      </c>
    </row>
    <row r="68" spans="1:25">
      <c r="A68" s="1447" t="s">
        <v>861</v>
      </c>
      <c r="B68" s="1447"/>
      <c r="C68" s="1348" t="s">
        <v>1212</v>
      </c>
      <c r="D68" s="1348" t="s">
        <v>1213</v>
      </c>
      <c r="E68" s="1348" t="s">
        <v>1214</v>
      </c>
      <c r="F68" s="1348" t="s">
        <v>1215</v>
      </c>
      <c r="G68" s="1348" t="s">
        <v>1020</v>
      </c>
      <c r="H68" s="1348" t="s">
        <v>1209</v>
      </c>
      <c r="I68" s="1348" t="s">
        <v>1210</v>
      </c>
      <c r="J68" s="1348" t="s">
        <v>1211</v>
      </c>
      <c r="K68" s="1348" t="s">
        <v>1014</v>
      </c>
      <c r="L68" s="1348" t="s">
        <v>1017</v>
      </c>
      <c r="M68" s="1348" t="s">
        <v>1018</v>
      </c>
      <c r="N68" s="1348" t="s">
        <v>1019</v>
      </c>
      <c r="O68" s="1348" t="s">
        <v>1015</v>
      </c>
      <c r="P68" s="1348" t="s">
        <v>1036</v>
      </c>
      <c r="Q68" s="1348" t="s">
        <v>1242</v>
      </c>
      <c r="R68" s="1348" t="s">
        <v>1354</v>
      </c>
      <c r="S68" s="1348" t="s">
        <v>1498</v>
      </c>
      <c r="T68" s="1348" t="s">
        <v>1704</v>
      </c>
      <c r="U68" s="1348" t="s">
        <v>1789</v>
      </c>
      <c r="V68" s="1348" t="s">
        <v>1792</v>
      </c>
      <c r="W68" s="1348" t="s">
        <v>1793</v>
      </c>
      <c r="X68" s="1348" t="s">
        <v>1794</v>
      </c>
      <c r="Y68" s="1348" t="s">
        <v>1795</v>
      </c>
    </row>
    <row r="69" spans="1:25">
      <c r="A69" s="1739" t="s">
        <v>855</v>
      </c>
      <c r="C69" s="2">
        <f>Revenue!AE137</f>
        <v>4.3339471195887871E-3</v>
      </c>
      <c r="D69" s="2">
        <f>Revenue!AF137</f>
        <v>6.7198674255501731E-2</v>
      </c>
      <c r="E69" s="2">
        <f>Revenue!AG137</f>
        <v>9.6238272632040656E-2</v>
      </c>
      <c r="F69" s="2">
        <f>Revenue!AH137</f>
        <v>4.2280939369922298E-2</v>
      </c>
      <c r="G69" s="2">
        <f>Revenue!AI137</f>
        <v>4.6307714744635915E-2</v>
      </c>
      <c r="H69" s="2">
        <f>Revenue!AJ137</f>
        <v>0.11869210557950231</v>
      </c>
      <c r="I69" s="2">
        <f>Revenue!AK137</f>
        <v>7.4485413890122948E-2</v>
      </c>
      <c r="J69" s="2">
        <f>Revenue!AL137</f>
        <v>-2.673389234294588E-3</v>
      </c>
      <c r="K69" s="2">
        <f>Revenue!AM137</f>
        <v>5.948180905967989E-2</v>
      </c>
      <c r="L69" s="2">
        <f>Revenue!AN137</f>
        <v>0.11183348410871793</v>
      </c>
      <c r="M69" s="2">
        <f>Revenue!AO137</f>
        <v>9.0321495900895013E-2</v>
      </c>
      <c r="N69" s="2">
        <f>Revenue!AP137</f>
        <v>1.2503981465370382E-3</v>
      </c>
      <c r="O69" s="2">
        <f>Revenue!AQ137</f>
        <v>1.2241648898365317E-2</v>
      </c>
      <c r="P69" s="2">
        <f>Revenue!AR137</f>
        <v>9.8071428571428573E-2</v>
      </c>
      <c r="Q69" s="2">
        <f>Revenue!AS137</f>
        <v>4.1231732776617944E-2</v>
      </c>
      <c r="R69" s="2">
        <f>Revenue!AT137</f>
        <v>5.6828193832599121E-2</v>
      </c>
      <c r="S69" s="2">
        <f>Revenue!AU137</f>
        <v>2.7853260869565216E-2</v>
      </c>
      <c r="T69" s="2">
        <f>Revenue!AV137</f>
        <v>5.7086614173228349E-2</v>
      </c>
      <c r="U69" s="2">
        <f>Revenue!AW137</f>
        <v>2.2321428571428572E-2</v>
      </c>
      <c r="V69" s="2">
        <f>Revenue!AX137</f>
        <v>9.1925900034952809E-2</v>
      </c>
      <c r="W69" s="2">
        <f>Revenue!AY137</f>
        <v>1.5161086544535692E-2</v>
      </c>
      <c r="X69" s="2">
        <f>Revenue!AZ137</f>
        <v>6.9296375266524518E-2</v>
      </c>
      <c r="Y69" s="2">
        <f>Revenue!BL137</f>
        <v>4.836309523809524E-2</v>
      </c>
    </row>
    <row r="70" spans="1:25">
      <c r="A70" s="1739" t="s">
        <v>854</v>
      </c>
      <c r="C70" s="2">
        <f>Revenue!AE136</f>
        <v>0.14701397537013974</v>
      </c>
      <c r="D70" s="2">
        <f>Revenue!AF136</f>
        <v>0.16120073519992273</v>
      </c>
      <c r="E70" s="2">
        <f>Revenue!AG136</f>
        <v>0.17606252760309626</v>
      </c>
      <c r="F70" s="2">
        <f>Revenue!AH136</f>
        <v>0.17120002234938603</v>
      </c>
      <c r="G70" s="2">
        <f>Revenue!AI136</f>
        <v>0.15612460158048941</v>
      </c>
      <c r="H70" s="2">
        <f>Revenue!AJ136</f>
        <v>0.16103436361369813</v>
      </c>
      <c r="I70" s="2">
        <f>Revenue!AK136</f>
        <v>0.17991613859133515</v>
      </c>
      <c r="J70" s="2">
        <f>Revenue!AL136</f>
        <v>0.16741416131149325</v>
      </c>
      <c r="K70" s="2">
        <f>Revenue!AM136</f>
        <v>0.1623031950200505</v>
      </c>
      <c r="L70" s="2">
        <f>Revenue!AN136</f>
        <v>0.1550932001986379</v>
      </c>
      <c r="M70" s="2">
        <f>Revenue!AO136</f>
        <v>0.1755286086616899</v>
      </c>
      <c r="N70" s="2">
        <f>Revenue!AP136</f>
        <v>0.14180085541596593</v>
      </c>
      <c r="O70" s="2">
        <f>Revenue!AQ136</f>
        <v>0.16336431466380374</v>
      </c>
      <c r="P70" s="2">
        <f>Revenue!AR136</f>
        <v>0.16334856799953154</v>
      </c>
      <c r="Q70" s="2">
        <f>Revenue!AS136</f>
        <v>0.1631504922644163</v>
      </c>
      <c r="R70" s="2">
        <f>Revenue!AT136</f>
        <v>0.13569498649054335</v>
      </c>
      <c r="S70" s="2">
        <f>Revenue!AU136</f>
        <v>0.15930847263894843</v>
      </c>
      <c r="T70" s="2">
        <f>Revenue!AV136</f>
        <v>0.15566411407446529</v>
      </c>
      <c r="U70" s="2">
        <f>Revenue!AW136</f>
        <v>0.16306361951822113</v>
      </c>
      <c r="V70" s="2">
        <f>Revenue!AX136</f>
        <v>0.13952926976463489</v>
      </c>
      <c r="W70" s="2">
        <f>Revenue!AY136</f>
        <v>0.16992426093330076</v>
      </c>
      <c r="X70" s="2">
        <f>Revenue!AZ136</f>
        <v>0.15206884356949193</v>
      </c>
      <c r="Y70" s="2" t="e">
        <f>Revenue!#REF!</f>
        <v>#REF!</v>
      </c>
    </row>
    <row r="71" spans="1:25">
      <c r="A71" t="s">
        <v>897</v>
      </c>
      <c r="C71" s="2" t="e">
        <f>Revenue!#REF!</f>
        <v>#REF!</v>
      </c>
      <c r="D71" s="2" t="e">
        <f>Revenue!#REF!</f>
        <v>#REF!</v>
      </c>
      <c r="E71" s="2" t="e">
        <f>Revenue!#REF!</f>
        <v>#REF!</v>
      </c>
      <c r="F71" s="2" t="e">
        <f>Revenue!#REF!</f>
        <v>#REF!</v>
      </c>
      <c r="G71" s="2" t="e">
        <f>Revenue!#REF!</f>
        <v>#REF!</v>
      </c>
      <c r="H71" s="2" t="e">
        <f>Revenue!#REF!</f>
        <v>#REF!</v>
      </c>
      <c r="I71" s="2" t="e">
        <f>Revenue!#REF!</f>
        <v>#REF!</v>
      </c>
      <c r="J71" s="2" t="e">
        <f>Revenue!#REF!</f>
        <v>#REF!</v>
      </c>
      <c r="K71" s="2" t="e">
        <f>Revenue!#REF!</f>
        <v>#REF!</v>
      </c>
      <c r="L71" s="2" t="e">
        <f>Revenue!#REF!</f>
        <v>#REF!</v>
      </c>
      <c r="M71" s="2" t="e">
        <f>Revenue!#REF!</f>
        <v>#REF!</v>
      </c>
      <c r="N71" s="2" t="e">
        <f>Revenue!#REF!</f>
        <v>#REF!</v>
      </c>
      <c r="O71" s="2" t="e">
        <f>Revenue!#REF!</f>
        <v>#REF!</v>
      </c>
      <c r="P71" s="2" t="e">
        <f>Revenue!#REF!</f>
        <v>#REF!</v>
      </c>
      <c r="Q71" s="2" t="e">
        <f>Revenue!#REF!</f>
        <v>#REF!</v>
      </c>
      <c r="R71" s="2" t="e">
        <f>Revenue!#REF!</f>
        <v>#REF!</v>
      </c>
      <c r="S71" s="2" t="e">
        <f>Revenue!#REF!</f>
        <v>#REF!</v>
      </c>
      <c r="T71" s="2" t="e">
        <f>Revenue!#REF!</f>
        <v>#REF!</v>
      </c>
      <c r="U71" s="2" t="e">
        <f>Revenue!#REF!</f>
        <v>#REF!</v>
      </c>
      <c r="V71" s="2" t="e">
        <f>Revenue!#REF!</f>
        <v>#REF!</v>
      </c>
      <c r="W71" s="2" t="e">
        <f>Revenue!#REF!</f>
        <v>#REF!</v>
      </c>
      <c r="X71" s="2" t="e">
        <f>Revenue!#REF!</f>
        <v>#REF!</v>
      </c>
      <c r="Y71" s="2" t="e">
        <f>Revenue!#REF!</f>
        <v>#REF!</v>
      </c>
    </row>
    <row r="72" spans="1:25">
      <c r="A72" s="1447" t="s">
        <v>1246</v>
      </c>
      <c r="C72" s="2">
        <f>Revenue!AE140</f>
        <v>0.44535070237690177</v>
      </c>
      <c r="D72" s="2">
        <f>Revenue!AF140</f>
        <v>0.49910506230792617</v>
      </c>
      <c r="E72" s="2">
        <f>Revenue!AG140</f>
        <v>0.38294895232737997</v>
      </c>
      <c r="F72" s="2">
        <f>Revenue!AH140</f>
        <v>0.40792455712963999</v>
      </c>
      <c r="G72" s="2">
        <f>Revenue!AI140</f>
        <v>0.43013186704640866</v>
      </c>
      <c r="H72" s="2">
        <f>Revenue!AJ140</f>
        <v>0.48300141072404468</v>
      </c>
      <c r="I72" s="2">
        <f>Revenue!AK140</f>
        <v>0.42110856269113139</v>
      </c>
      <c r="J72" s="2">
        <f>Revenue!AL140</f>
        <v>0.46868531849802608</v>
      </c>
      <c r="K72" s="2">
        <f>Revenue!AM140</f>
        <v>0.45069004794574979</v>
      </c>
      <c r="L72" s="2">
        <f>Revenue!AN140</f>
        <v>0.44674481913429576</v>
      </c>
      <c r="M72" s="2">
        <f>Revenue!AO140</f>
        <v>0.39058714583703569</v>
      </c>
      <c r="N72" s="2">
        <f>Revenue!AP140</f>
        <v>0.32501548368185423</v>
      </c>
      <c r="O72" s="2">
        <f>Revenue!AQ140</f>
        <v>7.0672491284076121E-3</v>
      </c>
      <c r="P72" s="2">
        <f>Revenue!AR140</f>
        <v>0.24013262340326796</v>
      </c>
      <c r="Q72" s="2">
        <f>Revenue!AS140</f>
        <v>0.27272727272727271</v>
      </c>
      <c r="R72" s="2">
        <f>Revenue!AT140</f>
        <v>0.28502415458937197</v>
      </c>
      <c r="S72" s="2">
        <f>Revenue!AU140</f>
        <v>0.15748031496062992</v>
      </c>
      <c r="T72" s="2">
        <f>Revenue!AV140</f>
        <v>0.27814569536423839</v>
      </c>
      <c r="U72" s="2">
        <f>Revenue!AW140</f>
        <v>0.28217821782178215</v>
      </c>
      <c r="V72" s="2">
        <f>Revenue!AX140</f>
        <v>0.21333333333333335</v>
      </c>
      <c r="W72" s="2">
        <f>Revenue!AY140</f>
        <v>0.19658119658119658</v>
      </c>
      <c r="X72" s="2">
        <f>Revenue!AZ140</f>
        <v>0.26666666666666666</v>
      </c>
      <c r="Y72" s="2">
        <f>Revenue!BL140</f>
        <v>0</v>
      </c>
    </row>
    <row r="87" spans="1:8">
      <c r="A87" s="1453" t="s">
        <v>1200</v>
      </c>
      <c r="B87" s="1453"/>
      <c r="C87" s="1454"/>
      <c r="D87" s="1454"/>
      <c r="E87" s="1454"/>
      <c r="F87" s="1454"/>
      <c r="G87" s="1454"/>
      <c r="H87" s="1454"/>
    </row>
    <row r="88" spans="1:8">
      <c r="A88" s="1138" t="s">
        <v>332</v>
      </c>
      <c r="B88" s="1"/>
      <c r="C88" s="399" t="s">
        <v>1206</v>
      </c>
      <c r="D88" s="399" t="s">
        <v>1204</v>
      </c>
      <c r="E88" s="399" t="s">
        <v>1201</v>
      </c>
      <c r="F88" s="399" t="s">
        <v>1202</v>
      </c>
      <c r="G88" s="399" t="s">
        <v>1203</v>
      </c>
    </row>
    <row r="90" spans="1:8">
      <c r="A90" t="s">
        <v>1205</v>
      </c>
      <c r="D90" s="9">
        <f>Revenue!CD12</f>
        <v>5810.2780000000002</v>
      </c>
      <c r="E90" s="9">
        <f>Revenue!CE12</f>
        <v>6682.94</v>
      </c>
      <c r="F90" s="9">
        <f>Revenue!CF12</f>
        <v>8622.0869999999995</v>
      </c>
      <c r="G90" s="9">
        <f>Revenue!CG12</f>
        <v>11227</v>
      </c>
    </row>
    <row r="91" spans="1:8">
      <c r="A91" s="734" t="s">
        <v>1037</v>
      </c>
      <c r="B91" s="734"/>
      <c r="C91">
        <f>839+1277</f>
        <v>2116</v>
      </c>
      <c r="D91" s="9">
        <f>5522-C91</f>
        <v>3406</v>
      </c>
      <c r="E91" s="9">
        <v>3484</v>
      </c>
      <c r="F91" s="1452">
        <f>7439-E91</f>
        <v>3955</v>
      </c>
      <c r="G91" s="737">
        <f>4886</f>
        <v>4886</v>
      </c>
    </row>
    <row r="92" spans="1:8">
      <c r="A92" s="819" t="s">
        <v>201</v>
      </c>
      <c r="B92" s="819"/>
      <c r="D92" s="598">
        <f>D91/C91-1</f>
        <v>0.60964083175803396</v>
      </c>
      <c r="E92" s="598">
        <f>E91/D91-1</f>
        <v>2.2900763358778553E-2</v>
      </c>
      <c r="F92" s="598">
        <f>F91/E91-1</f>
        <v>0.13518943742824341</v>
      </c>
      <c r="G92" s="598">
        <f>G91/F91-1</f>
        <v>0.23539823008849559</v>
      </c>
    </row>
    <row r="93" spans="1:8">
      <c r="A93" s="819"/>
      <c r="B93" s="819"/>
      <c r="D93" s="598"/>
      <c r="E93" s="598"/>
      <c r="F93" s="598"/>
      <c r="G93" s="598"/>
    </row>
    <row r="94" spans="1:8">
      <c r="A94" s="819"/>
      <c r="B94" s="819"/>
      <c r="D94" s="598"/>
      <c r="E94" s="598"/>
      <c r="F94" s="598"/>
      <c r="G94" s="598"/>
    </row>
    <row r="95" spans="1:8">
      <c r="A95" s="819"/>
      <c r="B95" s="819"/>
      <c r="D95" s="598"/>
      <c r="E95" s="598"/>
      <c r="F95" s="598"/>
      <c r="G95" s="598"/>
    </row>
    <row r="96" spans="1:8">
      <c r="A96" s="819"/>
      <c r="B96" s="819"/>
      <c r="D96" s="598"/>
      <c r="E96" s="598"/>
      <c r="F96" s="598"/>
      <c r="G96" s="598"/>
    </row>
    <row r="97" spans="1:11">
      <c r="A97" s="819"/>
      <c r="B97" s="819"/>
      <c r="C97" s="2572" t="s">
        <v>1492</v>
      </c>
      <c r="D97" s="2572" t="s">
        <v>1491</v>
      </c>
      <c r="E97" s="2572" t="s">
        <v>1342</v>
      </c>
      <c r="F97" s="2572" t="s">
        <v>1243</v>
      </c>
      <c r="G97" s="2572" t="s">
        <v>1790</v>
      </c>
    </row>
    <row r="98" spans="1:11">
      <c r="A98" s="734" t="s">
        <v>1797</v>
      </c>
      <c r="B98" s="819"/>
      <c r="C98" s="1349">
        <v>2518</v>
      </c>
      <c r="D98" s="9">
        <v>3947</v>
      </c>
      <c r="E98" s="9">
        <v>5294</v>
      </c>
      <c r="F98" s="9">
        <v>7710</v>
      </c>
      <c r="G98" s="2200">
        <v>10413</v>
      </c>
    </row>
    <row r="99" spans="1:11">
      <c r="A99" s="734" t="s">
        <v>1796</v>
      </c>
      <c r="B99" s="819"/>
      <c r="C99" s="1349">
        <v>100</v>
      </c>
      <c r="D99" s="9">
        <v>160</v>
      </c>
      <c r="E99" s="9">
        <v>210</v>
      </c>
      <c r="F99" s="9">
        <v>300</v>
      </c>
      <c r="G99" s="2200">
        <v>410</v>
      </c>
    </row>
    <row r="100" spans="1:11">
      <c r="A100" t="s">
        <v>1205</v>
      </c>
      <c r="B100" s="819"/>
      <c r="D100" s="9"/>
      <c r="E100" s="9"/>
      <c r="F100" s="9"/>
      <c r="G100" s="9">
        <v>22668</v>
      </c>
    </row>
    <row r="101" spans="1:11">
      <c r="B101" s="819"/>
      <c r="D101" s="598">
        <v>0.56699999999999995</v>
      </c>
      <c r="E101" s="598">
        <f t="shared" ref="E101:F101" si="7">E98/D98-1</f>
        <v>0.3412718520395237</v>
      </c>
      <c r="F101" s="598">
        <f t="shared" si="7"/>
        <v>0.45636569701548924</v>
      </c>
      <c r="G101" s="598">
        <f>G98/F98-1</f>
        <v>0.35058365758754872</v>
      </c>
    </row>
    <row r="102" spans="1:11">
      <c r="B102" s="819"/>
      <c r="D102" s="598"/>
      <c r="E102" s="598"/>
      <c r="F102" s="598"/>
      <c r="G102" s="598"/>
    </row>
    <row r="103" spans="1:11">
      <c r="A103" s="819"/>
      <c r="B103" s="819"/>
      <c r="D103" s="1900"/>
      <c r="E103" s="598"/>
      <c r="F103" s="598"/>
      <c r="G103" s="598"/>
    </row>
    <row r="104" spans="1:11">
      <c r="A104" s="819"/>
      <c r="B104" s="819"/>
      <c r="D104" s="598"/>
      <c r="E104" s="598"/>
      <c r="F104" s="598"/>
      <c r="G104" s="598"/>
    </row>
    <row r="105" spans="1:11">
      <c r="A105" s="819"/>
      <c r="B105" s="819"/>
      <c r="D105" s="598"/>
      <c r="E105" s="598"/>
      <c r="F105" s="598"/>
      <c r="G105" s="598"/>
    </row>
    <row r="106" spans="1:11">
      <c r="A106" s="819"/>
      <c r="B106" s="819"/>
      <c r="D106" s="598"/>
      <c r="E106" s="598"/>
      <c r="F106" s="598"/>
      <c r="G106" s="598"/>
    </row>
    <row r="107" spans="1:11">
      <c r="A107" s="819"/>
      <c r="B107" s="819"/>
      <c r="C107" s="819"/>
      <c r="D107" s="1173"/>
    </row>
    <row r="108" spans="1:11">
      <c r="A108" s="819"/>
      <c r="B108" s="819"/>
      <c r="C108" s="819"/>
      <c r="D108" s="1173"/>
    </row>
    <row r="109" spans="1:11">
      <c r="A109" s="819"/>
      <c r="B109" s="819"/>
      <c r="C109" s="819"/>
      <c r="D109" s="1173"/>
    </row>
    <row r="110" spans="1:11">
      <c r="A110" s="819"/>
      <c r="B110" s="819"/>
      <c r="C110" s="819"/>
      <c r="D110" s="1173"/>
    </row>
    <row r="112" spans="1:11">
      <c r="K112" s="1452"/>
    </row>
    <row r="113" spans="1:11">
      <c r="A113" s="1455" t="s">
        <v>1039</v>
      </c>
      <c r="B113" s="1455"/>
      <c r="C113" s="1456">
        <v>2018</v>
      </c>
      <c r="D113" s="1456">
        <v>2019</v>
      </c>
      <c r="E113" s="1456">
        <v>2020</v>
      </c>
      <c r="F113" s="1456">
        <v>2021</v>
      </c>
      <c r="G113" s="1456">
        <v>2022</v>
      </c>
      <c r="H113" s="1455" t="s">
        <v>1040</v>
      </c>
      <c r="I113" s="698"/>
      <c r="J113" s="698"/>
    </row>
    <row r="114" spans="1:11">
      <c r="A114" s="1457" t="s">
        <v>163</v>
      </c>
      <c r="B114" s="1457"/>
      <c r="C114" s="1458">
        <v>23213.536857725001</v>
      </c>
      <c r="D114" s="1458">
        <v>27716.960152274998</v>
      </c>
      <c r="E114" s="1458">
        <v>29830.400526824</v>
      </c>
      <c r="F114" s="1458">
        <v>35657.262545027006</v>
      </c>
      <c r="G114" s="1458">
        <v>44009.527680910993</v>
      </c>
      <c r="H114" s="1459">
        <f>H115+H116+H117</f>
        <v>24165</v>
      </c>
      <c r="I114" s="696"/>
      <c r="J114" s="696"/>
    </row>
    <row r="115" spans="1:11">
      <c r="A115" s="807" t="s">
        <v>1027</v>
      </c>
      <c r="B115" s="807"/>
      <c r="C115" s="1460">
        <v>13401.574000000001</v>
      </c>
      <c r="D115" s="1460">
        <v>15783.421</v>
      </c>
      <c r="E115" s="1460">
        <v>16804.932000000001</v>
      </c>
      <c r="F115" s="1460">
        <v>20872.243999999999</v>
      </c>
      <c r="G115" s="1460">
        <v>25762.901999999998</v>
      </c>
      <c r="H115" s="1461">
        <v>14202</v>
      </c>
      <c r="I115" s="696"/>
      <c r="J115" s="696"/>
    </row>
    <row r="116" spans="1:11">
      <c r="A116" s="735" t="s">
        <v>1028</v>
      </c>
      <c r="B116" s="735"/>
      <c r="C116" s="1460">
        <v>8831.0030000000006</v>
      </c>
      <c r="D116" s="1460">
        <v>10398.427</v>
      </c>
      <c r="E116" s="1460">
        <v>11466.154</v>
      </c>
      <c r="F116" s="1460">
        <v>12686.415999999999</v>
      </c>
      <c r="G116" s="1460">
        <v>14729.648999999999</v>
      </c>
      <c r="H116" s="1461">
        <v>7682</v>
      </c>
      <c r="I116" s="696"/>
      <c r="J116" s="696"/>
    </row>
    <row r="117" spans="1:11">
      <c r="A117" s="735" t="s">
        <v>882</v>
      </c>
      <c r="B117" s="735"/>
      <c r="C117" s="1460">
        <v>980.95985772499989</v>
      </c>
      <c r="D117" s="1460">
        <v>1535.112152274995</v>
      </c>
      <c r="E117" s="1460">
        <v>1559.3145268239982</v>
      </c>
      <c r="F117" s="1460">
        <v>2098.6025450270099</v>
      </c>
      <c r="G117" s="1460">
        <v>3516.9766809110006</v>
      </c>
      <c r="H117" s="1461">
        <v>2281</v>
      </c>
      <c r="I117" s="696"/>
      <c r="J117" s="696"/>
      <c r="K117" s="1452"/>
    </row>
    <row r="118" spans="1:11">
      <c r="I118" s="696"/>
      <c r="J118" s="696"/>
      <c r="K118" s="1452"/>
    </row>
    <row r="119" spans="1:11">
      <c r="I119" s="696"/>
      <c r="J119" s="696"/>
      <c r="K119" s="1452"/>
    </row>
    <row r="129" spans="1:20">
      <c r="A129" s="1462" t="s">
        <v>902</v>
      </c>
      <c r="B129" s="1941"/>
      <c r="C129" s="1456">
        <v>2018</v>
      </c>
      <c r="D129" s="1456">
        <v>2019</v>
      </c>
      <c r="E129" s="1456">
        <v>2020</v>
      </c>
      <c r="F129" s="1456">
        <v>2021</v>
      </c>
      <c r="G129" s="1456">
        <v>2022</v>
      </c>
      <c r="H129" s="1455" t="s">
        <v>1040</v>
      </c>
    </row>
    <row r="130" spans="1:20">
      <c r="A130" s="1407" t="s">
        <v>1027</v>
      </c>
      <c r="B130" s="734"/>
      <c r="C130" s="725">
        <v>0.57731719565776662</v>
      </c>
      <c r="D130" s="725">
        <v>0.56944992933160832</v>
      </c>
      <c r="E130" s="725">
        <v>0.56334919086616764</v>
      </c>
      <c r="F130" s="725">
        <v>0.58535744222213104</v>
      </c>
      <c r="G130" s="725">
        <v>0.58539373989179577</v>
      </c>
      <c r="H130" s="1333">
        <v>0.58762013289296178</v>
      </c>
    </row>
    <row r="131" spans="1:20">
      <c r="A131" s="1409" t="s">
        <v>854</v>
      </c>
      <c r="B131" s="39"/>
      <c r="C131" s="725">
        <v>0.36373052722425542</v>
      </c>
      <c r="D131" s="725">
        <v>0.39138718461193139</v>
      </c>
      <c r="E131" s="725">
        <v>0.40228289892417513</v>
      </c>
      <c r="F131" s="725">
        <v>0.40779353102718641</v>
      </c>
      <c r="G131" s="725">
        <v>0.42980452181050188</v>
      </c>
      <c r="H131" s="1333">
        <v>0.46459960018962931</v>
      </c>
    </row>
    <row r="132" spans="1:20">
      <c r="A132" s="1409" t="s">
        <v>855</v>
      </c>
      <c r="B132" s="39"/>
      <c r="C132" s="725">
        <v>0.21358666843351115</v>
      </c>
      <c r="D132" s="725">
        <v>0.1780627447196769</v>
      </c>
      <c r="E132" s="725">
        <v>0.16106629194199246</v>
      </c>
      <c r="F132" s="725">
        <v>0.17756391119494466</v>
      </c>
      <c r="G132" s="725">
        <v>0.15558921808129386</v>
      </c>
      <c r="H132" s="1333">
        <v>0.12302053270333252</v>
      </c>
    </row>
    <row r="133" spans="1:20">
      <c r="A133" s="1411" t="s">
        <v>1028</v>
      </c>
      <c r="B133" s="735"/>
      <c r="C133" s="725">
        <v>0.38042470882937512</v>
      </c>
      <c r="D133" s="725">
        <v>0.37516477069894333</v>
      </c>
      <c r="E133" s="725">
        <v>0.38437814435945777</v>
      </c>
      <c r="F133" s="725">
        <v>0.35578771600820297</v>
      </c>
      <c r="G133" s="725">
        <v>0.33469227633608395</v>
      </c>
      <c r="H133" s="1333">
        <v>0.31808733775068931</v>
      </c>
    </row>
    <row r="134" spans="1:20">
      <c r="A134" s="1409" t="s">
        <v>895</v>
      </c>
      <c r="B134" s="39"/>
      <c r="C134" s="725">
        <v>0.357255426039923</v>
      </c>
      <c r="D134" s="725">
        <v>0.35319569484594004</v>
      </c>
      <c r="E134" s="725">
        <v>0.36429289610872667</v>
      </c>
      <c r="F134" s="725">
        <v>0.33874383892334364</v>
      </c>
      <c r="G134" s="725">
        <v>0.31707270528269271</v>
      </c>
      <c r="H134" s="1333">
        <v>0.30745117635195113</v>
      </c>
    </row>
    <row r="135" spans="1:20">
      <c r="A135" s="1409" t="s">
        <v>856</v>
      </c>
      <c r="B135" s="39"/>
      <c r="C135" s="725">
        <v>2.3169282789452107E-2</v>
      </c>
      <c r="D135" s="725">
        <v>2.1969075853003325E-2</v>
      </c>
      <c r="E135" s="725">
        <v>2.0085248250731103E-2</v>
      </c>
      <c r="F135" s="725">
        <v>1.7043877084859372E-2</v>
      </c>
      <c r="G135" s="725">
        <v>1.761957105339124E-2</v>
      </c>
      <c r="H135" s="1333">
        <v>1.0636161398738207E-2</v>
      </c>
    </row>
    <row r="136" spans="1:20">
      <c r="A136" s="1414" t="s">
        <v>882</v>
      </c>
      <c r="B136" s="1942"/>
      <c r="C136" s="1415">
        <v>4.2258095512858314E-2</v>
      </c>
      <c r="D136" s="725">
        <v>5.5385299969448257E-2</v>
      </c>
      <c r="E136" s="725">
        <v>5.2272664774374596E-2</v>
      </c>
      <c r="F136" s="725">
        <v>5.8854841769666225E-2</v>
      </c>
      <c r="G136" s="725">
        <v>7.9913983772120292E-2</v>
      </c>
      <c r="H136" s="1333">
        <v>9.4252459182254361E-2</v>
      </c>
    </row>
    <row r="144" spans="1:20">
      <c r="S144" s="1" t="s">
        <v>1148</v>
      </c>
      <c r="T144" s="1"/>
    </row>
    <row r="145" spans="1:20">
      <c r="A145" s="1462" t="s">
        <v>902</v>
      </c>
      <c r="B145" s="1941"/>
      <c r="C145" s="1456">
        <v>2018</v>
      </c>
      <c r="D145" s="1456">
        <v>2019</v>
      </c>
      <c r="E145" s="1456">
        <v>2020</v>
      </c>
      <c r="F145" s="1456">
        <v>2021</v>
      </c>
      <c r="G145" s="1456">
        <v>2022</v>
      </c>
      <c r="H145" s="1455" t="s">
        <v>1040</v>
      </c>
      <c r="S145" s="39" t="s">
        <v>892</v>
      </c>
      <c r="T145" s="1485">
        <v>0.25125925925925929</v>
      </c>
    </row>
    <row r="146" spans="1:20">
      <c r="A146" s="1407" t="s">
        <v>1027</v>
      </c>
      <c r="B146" s="734"/>
      <c r="C146" s="725">
        <v>0.57731719565776662</v>
      </c>
      <c r="D146" s="725">
        <v>0.56944992933160832</v>
      </c>
      <c r="E146" s="725">
        <v>0.56334919086616764</v>
      </c>
      <c r="F146" s="725">
        <v>0.58535744222213104</v>
      </c>
      <c r="G146" s="725">
        <v>0.58539373989179577</v>
      </c>
      <c r="H146" s="1333">
        <v>0.58762013289296178</v>
      </c>
      <c r="S146" s="39" t="s">
        <v>889</v>
      </c>
      <c r="T146" s="1485">
        <v>0.15225898256848103</v>
      </c>
    </row>
    <row r="147" spans="1:20">
      <c r="A147" s="1409" t="s">
        <v>854</v>
      </c>
      <c r="B147" s="39"/>
      <c r="C147" s="725">
        <v>0.36373052722425542</v>
      </c>
      <c r="D147" s="725">
        <v>0.39138718461193139</v>
      </c>
      <c r="E147" s="725">
        <v>0.40228289892417513</v>
      </c>
      <c r="F147" s="725">
        <v>0.40779353102718641</v>
      </c>
      <c r="G147" s="725">
        <v>0.42980452181050188</v>
      </c>
      <c r="H147" s="1333">
        <v>0.46459960018962931</v>
      </c>
      <c r="S147" s="39" t="s">
        <v>890</v>
      </c>
      <c r="T147" s="1485">
        <v>0.21471471471471482</v>
      </c>
    </row>
    <row r="148" spans="1:20">
      <c r="A148" s="1409" t="s">
        <v>855</v>
      </c>
      <c r="B148" s="39"/>
      <c r="C148" s="725">
        <v>0.21358666843351115</v>
      </c>
      <c r="D148" s="725">
        <v>0.1780627447196769</v>
      </c>
      <c r="E148" s="725">
        <v>0.16106629194199246</v>
      </c>
      <c r="F148" s="725">
        <v>0.17756391119494466</v>
      </c>
      <c r="G148" s="725">
        <v>0.15558921808129386</v>
      </c>
      <c r="H148" s="1333">
        <v>0.12302053270333252</v>
      </c>
      <c r="S148" s="39" t="s">
        <v>891</v>
      </c>
      <c r="T148" s="1485">
        <v>0.67005649717514126</v>
      </c>
    </row>
    <row r="149" spans="1:20">
      <c r="A149" s="1411" t="s">
        <v>1028</v>
      </c>
      <c r="B149" s="735"/>
      <c r="C149" s="725">
        <v>0.38042470882937512</v>
      </c>
      <c r="D149" s="725">
        <v>0.37516477069894333</v>
      </c>
      <c r="E149" s="725">
        <v>0.38437814435945777</v>
      </c>
      <c r="F149" s="725">
        <v>0.35578771600820297</v>
      </c>
      <c r="G149" s="725">
        <v>0.33469227633608395</v>
      </c>
      <c r="H149" s="1333">
        <v>0.31808733775068931</v>
      </c>
    </row>
    <row r="150" spans="1:20">
      <c r="A150" s="1409" t="s">
        <v>895</v>
      </c>
      <c r="B150" s="39"/>
      <c r="C150" s="725">
        <v>0.357255426039923</v>
      </c>
      <c r="D150" s="725">
        <v>0.35319569484594004</v>
      </c>
      <c r="E150" s="725">
        <v>0.36429289610872667</v>
      </c>
      <c r="F150" s="725">
        <v>0.33874383892334364</v>
      </c>
      <c r="G150" s="725">
        <v>0.31707270528269271</v>
      </c>
      <c r="H150" s="1333">
        <v>0.30745117635195113</v>
      </c>
    </row>
    <row r="151" spans="1:20">
      <c r="A151" s="1409" t="s">
        <v>856</v>
      </c>
      <c r="B151" s="39"/>
      <c r="C151" s="725">
        <v>2.3169282789452107E-2</v>
      </c>
      <c r="D151" s="725">
        <v>2.1969075853003325E-2</v>
      </c>
      <c r="E151" s="725">
        <v>2.0085248250731103E-2</v>
      </c>
      <c r="F151" s="725">
        <v>1.7043877084859372E-2</v>
      </c>
      <c r="G151" s="725">
        <v>1.761957105339124E-2</v>
      </c>
      <c r="H151" s="1333">
        <v>1.0636161398738207E-2</v>
      </c>
    </row>
    <row r="152" spans="1:20">
      <c r="A152" s="1414" t="s">
        <v>882</v>
      </c>
      <c r="B152" s="1942"/>
      <c r="C152" s="1415">
        <v>4.2258095512858314E-2</v>
      </c>
      <c r="D152" s="725">
        <v>5.5385299969448257E-2</v>
      </c>
      <c r="E152" s="725">
        <v>5.2272664774374596E-2</v>
      </c>
      <c r="F152" s="725">
        <v>5.8854841769666225E-2</v>
      </c>
      <c r="G152" s="725">
        <v>7.9913983772120292E-2</v>
      </c>
      <c r="H152" s="1333">
        <v>9.4252459182254361E-2</v>
      </c>
    </row>
    <row r="156" spans="1:20">
      <c r="A156" s="1462" t="s">
        <v>1041</v>
      </c>
      <c r="B156" s="1941"/>
      <c r="C156" s="1455" t="s">
        <v>1034</v>
      </c>
      <c r="D156" s="1456" t="s">
        <v>1042</v>
      </c>
      <c r="E156" s="1455" t="s">
        <v>1043</v>
      </c>
      <c r="F156" s="1455" t="s">
        <v>1094</v>
      </c>
      <c r="G156" s="1455" t="s">
        <v>1091</v>
      </c>
    </row>
    <row r="157" spans="1:20">
      <c r="A157" s="733" t="s">
        <v>163</v>
      </c>
      <c r="B157" s="733"/>
      <c r="C157" s="1464">
        <v>24166</v>
      </c>
      <c r="D157" s="1109">
        <v>52289</v>
      </c>
      <c r="E157" s="1151">
        <f t="shared" ref="E157:E164" si="8">C157/D157</f>
        <v>0.46216221384994932</v>
      </c>
      <c r="F157" s="1112" t="e">
        <f>F158+F161+F164</f>
        <v>#REF!</v>
      </c>
      <c r="G157" s="1135" t="e">
        <f t="shared" ref="G157:G164" si="9">C157/F157</f>
        <v>#REF!</v>
      </c>
    </row>
    <row r="158" spans="1:20">
      <c r="A158" s="734" t="s">
        <v>1027</v>
      </c>
      <c r="B158" s="734"/>
      <c r="C158" s="1452">
        <v>14202</v>
      </c>
      <c r="D158" s="696">
        <v>31150</v>
      </c>
      <c r="E158" s="8">
        <f t="shared" si="8"/>
        <v>0.45592295345104333</v>
      </c>
      <c r="F158" s="1163" t="e">
        <f>SUM(F159,F160)</f>
        <v>#REF!</v>
      </c>
      <c r="G158" s="725" t="e">
        <f t="shared" si="9"/>
        <v>#REF!</v>
      </c>
    </row>
    <row r="159" spans="1:20">
      <c r="A159" s="39" t="s">
        <v>854</v>
      </c>
      <c r="B159" s="39"/>
      <c r="C159" s="1452">
        <v>11227</v>
      </c>
      <c r="D159" s="824">
        <v>23000</v>
      </c>
      <c r="E159" s="8">
        <f t="shared" si="8"/>
        <v>0.4881304347826087</v>
      </c>
      <c r="F159" s="696" t="e">
        <f>Revenue!#REF!</f>
        <v>#REF!</v>
      </c>
      <c r="G159" s="725" t="e">
        <f t="shared" si="9"/>
        <v>#REF!</v>
      </c>
    </row>
    <row r="160" spans="1:20">
      <c r="A160" s="39" t="s">
        <v>855</v>
      </c>
      <c r="B160" s="39"/>
      <c r="C160" s="1452">
        <v>2975</v>
      </c>
      <c r="D160" s="824">
        <f>D158-D159</f>
        <v>8150</v>
      </c>
      <c r="E160" s="8">
        <f t="shared" si="8"/>
        <v>0.36503067484662577</v>
      </c>
      <c r="F160" s="738" t="e">
        <f>Revenue!#REF!</f>
        <v>#REF!</v>
      </c>
      <c r="G160" s="725" t="e">
        <f t="shared" si="9"/>
        <v>#REF!</v>
      </c>
    </row>
    <row r="161" spans="1:7">
      <c r="A161" s="735" t="s">
        <v>1028</v>
      </c>
      <c r="B161" s="735"/>
      <c r="C161" s="1452">
        <v>7682</v>
      </c>
      <c r="D161" s="696">
        <v>16739</v>
      </c>
      <c r="E161" s="8">
        <f t="shared" si="8"/>
        <v>0.45892825138897186</v>
      </c>
      <c r="F161" s="738" t="e">
        <f>Revenue!#REF!</f>
        <v>#REF!</v>
      </c>
      <c r="G161" s="725" t="e">
        <f t="shared" si="9"/>
        <v>#REF!</v>
      </c>
    </row>
    <row r="162" spans="1:7">
      <c r="A162" s="39" t="s">
        <v>895</v>
      </c>
      <c r="B162" s="39"/>
      <c r="C162" s="1452">
        <v>7423</v>
      </c>
      <c r="D162" s="696">
        <v>15800</v>
      </c>
      <c r="E162" s="8">
        <f t="shared" si="8"/>
        <v>0.4698101265822785</v>
      </c>
      <c r="F162" s="9" t="e">
        <f>Revenue!#REF!</f>
        <v>#REF!</v>
      </c>
      <c r="G162" s="725" t="e">
        <f t="shared" si="9"/>
        <v>#REF!</v>
      </c>
    </row>
    <row r="163" spans="1:7">
      <c r="A163" s="39" t="s">
        <v>856</v>
      </c>
      <c r="B163" s="39"/>
      <c r="C163" s="1452">
        <v>259</v>
      </c>
      <c r="D163" s="696">
        <v>940</v>
      </c>
      <c r="E163" s="8">
        <f t="shared" si="8"/>
        <v>0.275531914893617</v>
      </c>
      <c r="F163" s="1163" t="e">
        <f>Revenue!#REF!</f>
        <v>#REF!</v>
      </c>
      <c r="G163" s="725" t="e">
        <f t="shared" si="9"/>
        <v>#REF!</v>
      </c>
    </row>
    <row r="164" spans="1:7">
      <c r="A164" s="735" t="s">
        <v>882</v>
      </c>
      <c r="B164" s="735"/>
      <c r="C164" s="1452">
        <v>2281</v>
      </c>
      <c r="D164" s="696">
        <v>4400</v>
      </c>
      <c r="E164" s="8">
        <f t="shared" si="8"/>
        <v>0.51840909090909093</v>
      </c>
      <c r="F164" s="9" t="e">
        <f>Revenue!#REF!</f>
        <v>#REF!</v>
      </c>
      <c r="G164" s="725" t="e">
        <f t="shared" si="9"/>
        <v>#REF!</v>
      </c>
    </row>
    <row r="167" spans="1:7">
      <c r="A167" s="1108" t="s">
        <v>859</v>
      </c>
      <c r="B167" s="1108"/>
      <c r="C167" s="1109">
        <v>4339</v>
      </c>
      <c r="D167" s="1109">
        <v>9055</v>
      </c>
      <c r="E167" s="1463">
        <f>C167/D167</f>
        <v>0.47918277194919934</v>
      </c>
    </row>
    <row r="168" spans="1:7">
      <c r="A168" s="735" t="s">
        <v>883</v>
      </c>
      <c r="B168" s="735"/>
      <c r="C168" s="696">
        <v>2005</v>
      </c>
      <c r="D168" s="696">
        <v>4166</v>
      </c>
      <c r="E168" s="1127">
        <f>C168/D168</f>
        <v>0.48127700432069132</v>
      </c>
    </row>
    <row r="169" spans="1:7">
      <c r="A169" s="39" t="s">
        <v>854</v>
      </c>
      <c r="B169" s="39"/>
      <c r="C169" s="696">
        <v>1834</v>
      </c>
      <c r="D169" s="696"/>
      <c r="E169" s="1127"/>
    </row>
    <row r="170" spans="1:7">
      <c r="A170" s="39" t="s">
        <v>855</v>
      </c>
      <c r="B170" s="39"/>
      <c r="C170" s="696">
        <v>171</v>
      </c>
      <c r="D170" s="696"/>
      <c r="E170" s="1127"/>
    </row>
    <row r="171" spans="1:7">
      <c r="A171" s="735" t="s">
        <v>884</v>
      </c>
      <c r="B171" s="735"/>
      <c r="C171" s="696">
        <v>1514</v>
      </c>
      <c r="D171" s="696">
        <v>3230</v>
      </c>
      <c r="E171" s="1127">
        <f>C171/D171</f>
        <v>0.46873065015479876</v>
      </c>
    </row>
    <row r="172" spans="1:7">
      <c r="A172" s="39" t="s">
        <v>857</v>
      </c>
      <c r="B172" s="39"/>
      <c r="C172" s="696">
        <v>1475</v>
      </c>
      <c r="D172" s="696"/>
      <c r="E172" s="1127"/>
    </row>
    <row r="173" spans="1:7">
      <c r="A173" s="39" t="s">
        <v>856</v>
      </c>
      <c r="B173" s="39"/>
      <c r="C173" s="696">
        <v>40</v>
      </c>
      <c r="D173" s="696"/>
      <c r="E173" s="1127"/>
    </row>
    <row r="174" spans="1:7">
      <c r="A174" s="735" t="s">
        <v>882</v>
      </c>
      <c r="B174" s="735"/>
      <c r="C174" s="696">
        <v>820</v>
      </c>
      <c r="D174" s="696">
        <v>1659</v>
      </c>
      <c r="E174" s="1127">
        <f>C174/D174</f>
        <v>0.49427365883062085</v>
      </c>
    </row>
    <row r="176" spans="1:7">
      <c r="C176" s="1452"/>
    </row>
    <row r="177" spans="1:8">
      <c r="C177" s="1452"/>
    </row>
    <row r="178" spans="1:8">
      <c r="A178" s="1462" t="s">
        <v>1044</v>
      </c>
      <c r="B178" s="1941"/>
      <c r="C178" s="1456"/>
      <c r="D178" s="1456"/>
      <c r="E178" s="1455"/>
      <c r="F178" s="1456"/>
      <c r="G178" s="1456"/>
      <c r="H178" s="1455"/>
    </row>
    <row r="179" spans="1:8">
      <c r="A179" s="1457" t="s">
        <v>886</v>
      </c>
      <c r="B179" s="1457"/>
      <c r="C179" s="1452"/>
      <c r="D179" s="696"/>
      <c r="E179" s="1127"/>
      <c r="F179" s="725"/>
      <c r="G179" s="725"/>
      <c r="H179" s="725"/>
    </row>
    <row r="180" spans="1:8">
      <c r="A180" s="1475" t="s">
        <v>887</v>
      </c>
      <c r="B180" s="1475"/>
      <c r="C180" s="1615">
        <f>Revenue!BZ155</f>
        <v>0</v>
      </c>
      <c r="D180" s="824"/>
      <c r="E180" s="1127"/>
      <c r="F180" s="725"/>
      <c r="G180" s="725"/>
      <c r="H180" s="725"/>
    </row>
    <row r="181" spans="1:8">
      <c r="A181" s="1476" t="s">
        <v>1051</v>
      </c>
      <c r="B181" s="1476"/>
      <c r="C181" s="1615">
        <f>Revenue!BZ156</f>
        <v>0</v>
      </c>
      <c r="D181" s="824"/>
      <c r="E181" s="1127"/>
      <c r="F181" s="725"/>
      <c r="G181" s="725"/>
      <c r="H181" s="725"/>
    </row>
    <row r="182" spans="1:8">
      <c r="A182" s="1476" t="s">
        <v>1052</v>
      </c>
      <c r="B182" s="1476"/>
      <c r="C182" s="1615">
        <f>Revenue!BZ157</f>
        <v>0</v>
      </c>
      <c r="D182" s="696"/>
      <c r="E182" s="1127"/>
      <c r="F182" s="725"/>
      <c r="G182" s="725"/>
      <c r="H182" s="725"/>
    </row>
    <row r="183" spans="1:8">
      <c r="A183" s="735" t="s">
        <v>893</v>
      </c>
      <c r="B183" s="735"/>
      <c r="C183" s="1615">
        <f>Revenue!BZ158</f>
        <v>0</v>
      </c>
      <c r="D183" s="696"/>
      <c r="E183" s="1127"/>
    </row>
    <row r="184" spans="1:8">
      <c r="A184" s="39" t="s">
        <v>892</v>
      </c>
      <c r="B184" s="39"/>
      <c r="C184" s="1615">
        <f>Revenue!BZ159</f>
        <v>0</v>
      </c>
      <c r="D184" s="696"/>
      <c r="E184" s="1127"/>
    </row>
    <row r="185" spans="1:8">
      <c r="A185" s="39" t="s">
        <v>889</v>
      </c>
      <c r="B185" s="39"/>
      <c r="C185" s="1615">
        <f>Revenue!BZ160</f>
        <v>0</v>
      </c>
      <c r="D185" s="696"/>
      <c r="E185" s="1127"/>
    </row>
    <row r="186" spans="1:8">
      <c r="A186" s="39" t="s">
        <v>890</v>
      </c>
      <c r="B186" s="39"/>
      <c r="C186" s="1615">
        <f>Revenue!BZ161</f>
        <v>0</v>
      </c>
    </row>
    <row r="187" spans="1:8">
      <c r="A187" s="39" t="s">
        <v>891</v>
      </c>
      <c r="B187" s="39"/>
      <c r="C187" s="1615">
        <f>Revenue!BZ162</f>
        <v>0</v>
      </c>
    </row>
    <row r="189" spans="1:8">
      <c r="A189" s="1462" t="s">
        <v>1045</v>
      </c>
      <c r="B189" s="1941"/>
      <c r="C189" s="1456"/>
      <c r="D189" s="1456"/>
      <c r="E189" s="1455"/>
      <c r="F189" s="1456"/>
      <c r="G189" s="1456"/>
      <c r="H189" s="1455"/>
    </row>
    <row r="190" spans="1:8">
      <c r="A190" s="733" t="s">
        <v>1046</v>
      </c>
      <c r="B190" s="733"/>
      <c r="C190" s="1464"/>
      <c r="D190" s="1109"/>
      <c r="E190" s="1463"/>
      <c r="F190" s="725"/>
      <c r="G190" s="725"/>
      <c r="H190" s="725"/>
    </row>
    <row r="191" spans="1:8">
      <c r="A191" s="1462" t="s">
        <v>1047</v>
      </c>
      <c r="B191" s="1941"/>
      <c r="C191" s="1452"/>
      <c r="D191" s="696"/>
      <c r="E191" s="1127"/>
      <c r="F191" s="725"/>
      <c r="G191" s="725"/>
      <c r="H191" s="725"/>
    </row>
    <row r="192" spans="1:8">
      <c r="A192" s="733" t="s">
        <v>1046</v>
      </c>
      <c r="B192" s="733"/>
      <c r="C192" s="1452"/>
      <c r="D192" s="824"/>
      <c r="E192" s="1127"/>
      <c r="F192" s="725"/>
      <c r="G192" s="725"/>
      <c r="H192" s="725"/>
    </row>
    <row r="193" spans="1:8">
      <c r="A193" s="1462" t="s">
        <v>1048</v>
      </c>
      <c r="B193" s="1941"/>
      <c r="C193" s="1452"/>
      <c r="D193" s="824"/>
      <c r="E193" s="1127"/>
      <c r="F193" s="725"/>
      <c r="G193" s="725"/>
      <c r="H193" s="725"/>
    </row>
    <row r="194" spans="1:8">
      <c r="A194" s="733" t="s">
        <v>1046</v>
      </c>
      <c r="B194" s="733"/>
      <c r="C194" s="1452"/>
      <c r="D194" s="696"/>
      <c r="E194" s="1127"/>
      <c r="F194" s="725"/>
      <c r="G194" s="725"/>
      <c r="H194" s="725"/>
    </row>
    <row r="195" spans="1:8">
      <c r="A195" s="39"/>
      <c r="B195" s="39"/>
      <c r="C195" s="1452"/>
      <c r="D195" s="696"/>
      <c r="E195" s="1127"/>
    </row>
    <row r="196" spans="1:8">
      <c r="A196" s="39"/>
      <c r="B196" s="39"/>
      <c r="C196" s="1452"/>
      <c r="D196" s="696"/>
      <c r="E196" s="1127"/>
    </row>
    <row r="197" spans="1:8">
      <c r="B197" s="1947"/>
      <c r="C197" s="1452"/>
      <c r="D197" s="696"/>
      <c r="E197" s="1127"/>
    </row>
    <row r="198" spans="1:8" s="1948" customFormat="1">
      <c r="A198" s="1953" t="s">
        <v>1186</v>
      </c>
      <c r="B198" s="1954">
        <v>2018</v>
      </c>
      <c r="C198" s="1954">
        <f>B198+1</f>
        <v>2019</v>
      </c>
      <c r="D198" s="1954">
        <v>2020</v>
      </c>
      <c r="E198" s="1954">
        <v>2021</v>
      </c>
      <c r="F198" s="1955">
        <v>2022</v>
      </c>
      <c r="G198" s="1955">
        <v>2023</v>
      </c>
    </row>
    <row r="199" spans="1:8">
      <c r="A199" s="1915" t="s">
        <v>163</v>
      </c>
      <c r="B199" s="1956">
        <v>23213.536857725001</v>
      </c>
      <c r="C199" s="1956">
        <v>27716.960152274998</v>
      </c>
      <c r="D199" s="1956">
        <v>29830.400526824</v>
      </c>
      <c r="E199" s="1956">
        <v>35657.262545027006</v>
      </c>
      <c r="F199" s="1957">
        <v>44009.527680910993</v>
      </c>
    </row>
    <row r="200" spans="1:8">
      <c r="A200" s="1951" t="s">
        <v>1027</v>
      </c>
      <c r="B200" s="1949">
        <v>13401.574000000001</v>
      </c>
      <c r="C200" s="1949">
        <v>15783.421</v>
      </c>
      <c r="D200" s="1949">
        <v>16804.932000000001</v>
      </c>
      <c r="E200" s="1949">
        <v>20872.243999999999</v>
      </c>
      <c r="F200" s="1950">
        <v>25762.901999999998</v>
      </c>
    </row>
    <row r="201" spans="1:8">
      <c r="A201" s="1952" t="s">
        <v>1028</v>
      </c>
      <c r="B201" s="1949">
        <v>8831.0030000000006</v>
      </c>
      <c r="C201" s="1949">
        <v>10398.427</v>
      </c>
      <c r="D201" s="1949">
        <v>11466.154</v>
      </c>
      <c r="E201" s="1949">
        <v>12686.415999999999</v>
      </c>
      <c r="F201" s="1950">
        <v>14729.648999999999</v>
      </c>
    </row>
    <row r="202" spans="1:8">
      <c r="A202" s="1958" t="s">
        <v>882</v>
      </c>
      <c r="B202" s="1959">
        <v>980.95985772499989</v>
      </c>
      <c r="C202" s="1959">
        <v>1535.112152274995</v>
      </c>
      <c r="D202" s="1959">
        <v>1559.3145268239982</v>
      </c>
      <c r="E202" s="1959">
        <v>2098.6025450270099</v>
      </c>
      <c r="F202" s="2060">
        <v>3516.9766809110006</v>
      </c>
    </row>
    <row r="203" spans="1:8">
      <c r="A203" s="1961" t="s">
        <v>1153</v>
      </c>
      <c r="B203" s="2132">
        <f>SUM(B204:B208)</f>
        <v>27843</v>
      </c>
      <c r="C203" s="2132">
        <f>SUM(C204:C208)</f>
        <v>28955</v>
      </c>
      <c r="D203" s="2132">
        <f>SUM(D204:D208)</f>
        <v>30651</v>
      </c>
      <c r="E203" s="2132">
        <f>SUM(E204:E208)</f>
        <v>37180</v>
      </c>
      <c r="F203" s="2133">
        <f>SUM(F208,F204,F207)</f>
        <v>42408</v>
      </c>
    </row>
    <row r="204" spans="1:8">
      <c r="A204" s="1962" t="s">
        <v>1149</v>
      </c>
      <c r="B204" s="1963">
        <v>16940</v>
      </c>
      <c r="C204" s="1963">
        <v>17628</v>
      </c>
      <c r="D204" s="1963">
        <v>18728</v>
      </c>
      <c r="E204" s="1963">
        <v>24068</v>
      </c>
      <c r="F204" s="1964">
        <v>28533</v>
      </c>
    </row>
    <row r="205" spans="1:8">
      <c r="A205" s="2348" t="s">
        <v>1629</v>
      </c>
      <c r="B205" s="1963"/>
      <c r="C205" s="1963"/>
      <c r="D205" s="1963"/>
      <c r="E205" s="1963"/>
      <c r="F205" s="1964">
        <v>22089</v>
      </c>
      <c r="G205" s="1349">
        <v>25213</v>
      </c>
    </row>
    <row r="206" spans="1:8">
      <c r="A206" s="2348" t="s">
        <v>1630</v>
      </c>
      <c r="B206" s="1963"/>
      <c r="C206" s="1963"/>
      <c r="D206" s="1963"/>
      <c r="E206" s="1963"/>
      <c r="F206" s="1964"/>
    </row>
    <row r="207" spans="1:8">
      <c r="A207" s="1962" t="s">
        <v>1150</v>
      </c>
      <c r="B207" s="1963">
        <v>9531</v>
      </c>
      <c r="C207" s="1963">
        <v>9355</v>
      </c>
      <c r="D207" s="1963">
        <v>9803</v>
      </c>
      <c r="E207" s="1963">
        <v>10346</v>
      </c>
      <c r="F207" s="1964">
        <v>9478</v>
      </c>
    </row>
    <row r="208" spans="1:8">
      <c r="A208" s="1965" t="s">
        <v>1151</v>
      </c>
      <c r="B208" s="1966">
        <v>1372</v>
      </c>
      <c r="C208" s="1966">
        <v>1972</v>
      </c>
      <c r="D208" s="1966">
        <v>2120</v>
      </c>
      <c r="E208" s="1966">
        <v>2766</v>
      </c>
      <c r="F208" s="1967">
        <v>4397</v>
      </c>
    </row>
    <row r="209" spans="1:6">
      <c r="A209" s="1585" t="s">
        <v>1049</v>
      </c>
      <c r="B209" s="2063">
        <f>B199/B203*1000</f>
        <v>833.72972947329674</v>
      </c>
      <c r="C209" s="2063">
        <f>C199/C203*1000</f>
        <v>957.24262311431528</v>
      </c>
      <c r="D209" s="2063">
        <f>D199/D203*1000</f>
        <v>973.22764434517626</v>
      </c>
      <c r="E209" s="2063">
        <f>E199/E203*1000</f>
        <v>959.04417818792376</v>
      </c>
      <c r="F209" s="2064">
        <f>F199/F203*1000</f>
        <v>1037.7647538415156</v>
      </c>
    </row>
    <row r="210" spans="1:6">
      <c r="A210" s="2130" t="s">
        <v>1197</v>
      </c>
      <c r="B210" s="2131"/>
      <c r="C210" s="1692">
        <f>C209/B209-1</f>
        <v>0.14814500344019987</v>
      </c>
      <c r="D210" s="1692">
        <f>D209/C209-1</f>
        <v>1.6699027858637194E-2</v>
      </c>
      <c r="E210" s="1692">
        <f>E209/D209-1</f>
        <v>-1.4573636743329121E-2</v>
      </c>
      <c r="F210" s="1693">
        <f>F209/E209-1</f>
        <v>8.208232471869148E-2</v>
      </c>
    </row>
    <row r="211" spans="1:6">
      <c r="A211" s="1951" t="s">
        <v>1182</v>
      </c>
      <c r="B211" s="1949">
        <f>B200/B204*1000</f>
        <v>791.12007083825267</v>
      </c>
      <c r="C211" s="1949">
        <f>C200/C204*1000</f>
        <v>895.36084638075783</v>
      </c>
      <c r="D211" s="1949">
        <f>D200/D204*1000</f>
        <v>897.3158906450235</v>
      </c>
      <c r="E211" s="1949">
        <f>E200/E204*1000</f>
        <v>867.2197108193451</v>
      </c>
      <c r="F211" s="1950">
        <f>F200/F204*1000</f>
        <v>902.91599200925248</v>
      </c>
    </row>
    <row r="212" spans="1:6">
      <c r="A212" s="2061" t="s">
        <v>1183</v>
      </c>
      <c r="B212" s="1949">
        <f t="shared" ref="B212:F213" si="10">B201/B207*1000</f>
        <v>926.55576539712524</v>
      </c>
      <c r="C212" s="1949">
        <f t="shared" si="10"/>
        <v>1111.5368252271512</v>
      </c>
      <c r="D212" s="1949">
        <f t="shared" si="10"/>
        <v>1169.6576558196473</v>
      </c>
      <c r="E212" s="1949">
        <f t="shared" si="10"/>
        <v>1226.2145756814227</v>
      </c>
      <c r="F212" s="1950">
        <f t="shared" si="10"/>
        <v>1554.0883097699937</v>
      </c>
    </row>
    <row r="213" spans="1:6">
      <c r="A213" s="2062" t="s">
        <v>1184</v>
      </c>
      <c r="B213" s="1959">
        <f t="shared" si="10"/>
        <v>714.98531904154515</v>
      </c>
      <c r="C213" s="1959">
        <f t="shared" si="10"/>
        <v>778.45443827332406</v>
      </c>
      <c r="D213" s="1959">
        <f t="shared" si="10"/>
        <v>735.52572019999923</v>
      </c>
      <c r="E213" s="1959">
        <f t="shared" si="10"/>
        <v>758.71386298879611</v>
      </c>
      <c r="F213" s="1960">
        <f t="shared" si="10"/>
        <v>799.85823991607924</v>
      </c>
    </row>
    <row r="214" spans="1:6">
      <c r="A214" s="2059" t="s">
        <v>1180</v>
      </c>
      <c r="B214" s="1949"/>
      <c r="C214" s="1949"/>
      <c r="D214" s="1949"/>
      <c r="E214" s="1949"/>
      <c r="F214" s="1469"/>
    </row>
    <row r="215" spans="1:6">
      <c r="A215" s="2061" t="s">
        <v>1181</v>
      </c>
      <c r="B215" s="1117">
        <v>7707.908345504</v>
      </c>
      <c r="C215" s="1117">
        <v>10267.171008109</v>
      </c>
      <c r="D215" s="1117">
        <v>12390.313936118</v>
      </c>
      <c r="E215" s="1117">
        <v>15080.424059516999</v>
      </c>
      <c r="F215" s="1118">
        <v>18798.002717634001</v>
      </c>
    </row>
    <row r="216" spans="1:6">
      <c r="A216" s="2061" t="s">
        <v>1185</v>
      </c>
      <c r="B216" s="1949">
        <f>B215/B203*1000</f>
        <v>276.83469257996626</v>
      </c>
      <c r="C216" s="1949">
        <f>C215/C203*1000</f>
        <v>354.59060639298912</v>
      </c>
      <c r="D216" s="1949">
        <f>D215/D203*1000</f>
        <v>404.23848931904342</v>
      </c>
      <c r="E216" s="1949">
        <f>E215/E203*1000</f>
        <v>405.60581117582035</v>
      </c>
      <c r="F216" s="1950">
        <f>F215/F203*1000</f>
        <v>443.26548570161293</v>
      </c>
    </row>
    <row r="217" spans="1:6">
      <c r="A217" s="2134" t="s">
        <v>1196</v>
      </c>
      <c r="B217" s="2135"/>
      <c r="C217" s="2136">
        <f>C216/B216-1</f>
        <v>0.28087488995102139</v>
      </c>
      <c r="D217" s="2136">
        <f>D216/C216-1</f>
        <v>0.14001465924630296</v>
      </c>
      <c r="E217" s="2136">
        <f>E216/D216-1</f>
        <v>3.3824633054617692E-3</v>
      </c>
      <c r="F217" s="2137">
        <f>F216/E216-1</f>
        <v>9.2847965902214336E-2</v>
      </c>
    </row>
    <row r="218" spans="1:6">
      <c r="B218" s="1"/>
    </row>
    <row r="226" spans="1:10">
      <c r="A226" s="1973" t="s">
        <v>1136</v>
      </c>
      <c r="B226" s="1998"/>
      <c r="C226" s="1997" t="s">
        <v>1143</v>
      </c>
      <c r="D226" s="1975"/>
      <c r="E226" s="1998"/>
      <c r="F226" s="1997" t="s">
        <v>1144</v>
      </c>
      <c r="G226" s="1975"/>
      <c r="H226" s="1974"/>
      <c r="I226" s="1974"/>
      <c r="J226" s="1975"/>
    </row>
    <row r="227" spans="1:10" ht="25.5">
      <c r="A227" s="1225" t="s">
        <v>1137</v>
      </c>
      <c r="B227" s="1999" t="s">
        <v>1156</v>
      </c>
      <c r="C227" s="1968" t="s">
        <v>1141</v>
      </c>
      <c r="D227" s="1969" t="s">
        <v>1142</v>
      </c>
      <c r="E227" s="1999" t="s">
        <v>1159</v>
      </c>
      <c r="F227" s="1968" t="s">
        <v>1160</v>
      </c>
      <c r="G227" s="1969" t="s">
        <v>1142</v>
      </c>
      <c r="H227" s="1968" t="s">
        <v>1145</v>
      </c>
      <c r="I227" s="1968" t="s">
        <v>1146</v>
      </c>
      <c r="J227" s="1969" t="s">
        <v>1147</v>
      </c>
    </row>
    <row r="228" spans="1:10">
      <c r="A228" s="1976" t="s">
        <v>845</v>
      </c>
      <c r="B228" s="1977">
        <v>11683</v>
      </c>
      <c r="C228" s="1978">
        <v>0.2</v>
      </c>
      <c r="D228" s="1979"/>
      <c r="E228" s="1980">
        <v>1810</v>
      </c>
      <c r="F228" s="1981">
        <v>0.17599999999999999</v>
      </c>
      <c r="G228" s="1979"/>
      <c r="H228" s="1981">
        <v>0.222</v>
      </c>
      <c r="I228" s="1979">
        <v>14.8</v>
      </c>
      <c r="J228" s="1982">
        <v>16.7</v>
      </c>
    </row>
    <row r="229" spans="1:10">
      <c r="A229" s="967" t="s">
        <v>1138</v>
      </c>
      <c r="B229" s="369">
        <v>1836</v>
      </c>
      <c r="C229" s="1983">
        <v>3.4000000000000002E-2</v>
      </c>
      <c r="E229">
        <v>52</v>
      </c>
      <c r="F229" s="1984">
        <v>0.17599999999999999</v>
      </c>
      <c r="H229" s="1983">
        <v>0.104</v>
      </c>
      <c r="I229">
        <v>20.3</v>
      </c>
      <c r="J229" s="1985">
        <v>21.6</v>
      </c>
    </row>
    <row r="230" spans="1:10">
      <c r="A230" s="967" t="s">
        <v>1139</v>
      </c>
      <c r="B230" s="1986">
        <f>F235</f>
        <v>85.908444912999997</v>
      </c>
      <c r="C230" s="1987">
        <f>B230/B235-1</f>
        <v>-0.58198991194929373</v>
      </c>
      <c r="E230" s="1988">
        <f>F237</f>
        <v>3.3827506999999999</v>
      </c>
      <c r="F230" s="1333">
        <f>F237/B237-1</f>
        <v>-0.74479626758875517</v>
      </c>
      <c r="H230" s="1983">
        <v>2.5999999999999999E-2</v>
      </c>
      <c r="I230">
        <v>23.3</v>
      </c>
      <c r="J230" s="1989">
        <v>33</v>
      </c>
    </row>
    <row r="231" spans="1:10">
      <c r="A231" s="1990" t="s">
        <v>1140</v>
      </c>
      <c r="B231" s="1991">
        <f>F236</f>
        <v>112.920882918</v>
      </c>
      <c r="C231" s="1992">
        <f>B231/B236-1</f>
        <v>-0.1088699317659223</v>
      </c>
      <c r="D231" s="453"/>
      <c r="E231" s="1993">
        <f>F238</f>
        <v>-1.248594099</v>
      </c>
      <c r="F231" s="1994">
        <f>F238/B238-1</f>
        <v>-1.0240841047452538</v>
      </c>
      <c r="G231" s="453"/>
      <c r="H231" s="1995">
        <v>8.9999999999999993E-3</v>
      </c>
      <c r="I231" s="453">
        <v>11.6</v>
      </c>
      <c r="J231" s="1996">
        <v>76.099999999999994</v>
      </c>
    </row>
    <row r="232" spans="1:10">
      <c r="C232" s="1447"/>
    </row>
    <row r="234" spans="1:10" ht="15">
      <c r="A234" s="1970"/>
      <c r="B234" s="1834" t="s">
        <v>656</v>
      </c>
      <c r="C234" s="1834" t="s">
        <v>290</v>
      </c>
      <c r="D234" s="1834" t="s">
        <v>791</v>
      </c>
      <c r="E234" s="1834" t="s">
        <v>792</v>
      </c>
      <c r="F234" s="1834" t="s">
        <v>815</v>
      </c>
    </row>
    <row r="235" spans="1:10">
      <c r="A235" s="1835" t="s">
        <v>1154</v>
      </c>
      <c r="B235" s="1833">
        <v>205.517635504</v>
      </c>
      <c r="C235" s="1833">
        <v>170.13606826500001</v>
      </c>
      <c r="D235" s="1833">
        <v>249.86541268600001</v>
      </c>
      <c r="E235" s="1833">
        <v>237.764321145</v>
      </c>
      <c r="F235" s="1833">
        <v>85.908444912999997</v>
      </c>
    </row>
    <row r="236" spans="1:10">
      <c r="A236" s="1835" t="s">
        <v>1155</v>
      </c>
      <c r="B236" s="1833">
        <v>126.71649958099999</v>
      </c>
      <c r="C236" s="1833">
        <v>190.658016463</v>
      </c>
      <c r="D236" s="1833">
        <v>318.64532745999998</v>
      </c>
      <c r="E236" s="1833">
        <v>255.811516678</v>
      </c>
      <c r="F236" s="1833">
        <v>112.920882918</v>
      </c>
    </row>
    <row r="237" spans="1:10">
      <c r="A237" s="1971" t="s">
        <v>1157</v>
      </c>
      <c r="B237" s="1833">
        <v>13.25509885</v>
      </c>
      <c r="C237" s="1833">
        <v>10.712887458999999</v>
      </c>
      <c r="D237" s="1833">
        <v>12.300448689</v>
      </c>
      <c r="E237" s="1833">
        <v>0.89651869399999995</v>
      </c>
      <c r="F237" s="1833">
        <v>3.3827506999999999</v>
      </c>
      <c r="G237" s="1972"/>
    </row>
    <row r="238" spans="1:10">
      <c r="A238" s="1971" t="s">
        <v>1158</v>
      </c>
      <c r="B238" s="1833">
        <v>51.843077092000001</v>
      </c>
      <c r="C238" s="1833">
        <v>-1.410772846</v>
      </c>
      <c r="D238" s="1833">
        <v>11.654643203999999</v>
      </c>
      <c r="E238" s="1833">
        <v>14.081616540000001</v>
      </c>
      <c r="F238" s="1833">
        <v>-1.248594099</v>
      </c>
      <c r="G238" s="1972"/>
    </row>
    <row r="243" spans="1:9" ht="13.5" thickBot="1"/>
    <row r="244" spans="1:9" ht="13.5" thickBot="1">
      <c r="A244" s="2952" t="s">
        <v>1899</v>
      </c>
      <c r="B244" s="3597"/>
      <c r="C244" s="3598"/>
      <c r="D244" s="3599"/>
      <c r="E244" s="3597"/>
      <c r="F244" s="3598"/>
      <c r="G244" s="3599"/>
      <c r="H244" s="3597"/>
      <c r="I244" s="3599"/>
    </row>
    <row r="245" spans="1:9" ht="14.25" thickTop="1" thickBot="1">
      <c r="A245" s="2953"/>
      <c r="B245" s="3600" t="s">
        <v>1583</v>
      </c>
      <c r="C245" s="3601"/>
      <c r="D245" s="3602"/>
      <c r="E245" s="3600" t="s">
        <v>1854</v>
      </c>
      <c r="F245" s="3601"/>
      <c r="G245" s="3602"/>
      <c r="H245" s="3600" t="s">
        <v>1900</v>
      </c>
      <c r="I245" s="3602"/>
    </row>
    <row r="246" spans="1:9" ht="15.75" thickBot="1">
      <c r="A246" s="2954"/>
      <c r="B246" s="2939" t="s">
        <v>1901</v>
      </c>
      <c r="C246" s="2939" t="s">
        <v>1902</v>
      </c>
      <c r="D246" s="2939" t="s">
        <v>1903</v>
      </c>
      <c r="E246" s="2939" t="s">
        <v>1901</v>
      </c>
      <c r="F246" s="2939" t="s">
        <v>1902</v>
      </c>
      <c r="G246" s="2939" t="s">
        <v>1903</v>
      </c>
      <c r="H246" s="2939" t="s">
        <v>1901</v>
      </c>
      <c r="I246" s="2939" t="s">
        <v>1902</v>
      </c>
    </row>
    <row r="247" spans="1:9" ht="13.5" thickBot="1">
      <c r="A247" s="2955" t="s">
        <v>1904</v>
      </c>
      <c r="B247" s="2944">
        <v>10438</v>
      </c>
      <c r="C247" s="2944">
        <v>8967</v>
      </c>
      <c r="D247" s="2945">
        <v>0.16400000000000001</v>
      </c>
      <c r="E247" s="2944">
        <v>1885</v>
      </c>
      <c r="F247" s="2944">
        <v>1567</v>
      </c>
      <c r="G247" s="2945">
        <v>0.20300000000000001</v>
      </c>
      <c r="H247" s="2945">
        <v>0.18099999999999999</v>
      </c>
      <c r="I247" s="2945">
        <v>0.17499999999999999</v>
      </c>
    </row>
    <row r="248" spans="1:9" ht="13.5" thickBot="1">
      <c r="A248" s="2956" t="s">
        <v>1905</v>
      </c>
      <c r="B248" s="2940">
        <v>6194</v>
      </c>
      <c r="C248" s="2940">
        <v>5201</v>
      </c>
      <c r="D248" s="2941">
        <v>0.191</v>
      </c>
      <c r="E248" s="2942">
        <v>840</v>
      </c>
      <c r="F248" s="2942">
        <v>658</v>
      </c>
      <c r="G248" s="2941">
        <v>0.27700000000000002</v>
      </c>
      <c r="H248" s="2943">
        <v>0.13600000000000001</v>
      </c>
      <c r="I248" s="2943">
        <v>0.126</v>
      </c>
    </row>
    <row r="249" spans="1:9" ht="13.5" thickBot="1">
      <c r="A249" s="2957" t="s">
        <v>1906</v>
      </c>
      <c r="B249" s="2944">
        <v>5263</v>
      </c>
      <c r="C249" s="2944">
        <v>4353</v>
      </c>
      <c r="D249" s="2945">
        <v>0.20899999999999999</v>
      </c>
      <c r="E249" s="2946">
        <v>862</v>
      </c>
      <c r="F249" s="2946">
        <v>692</v>
      </c>
      <c r="G249" s="2945">
        <v>0.245</v>
      </c>
      <c r="H249" s="2945">
        <v>0.16400000000000001</v>
      </c>
      <c r="I249" s="2945">
        <v>0.159</v>
      </c>
    </row>
    <row r="250" spans="1:9" ht="13.5" thickBot="1">
      <c r="A250" s="2958" t="s">
        <v>1907</v>
      </c>
      <c r="B250" s="2942">
        <v>931</v>
      </c>
      <c r="C250" s="2942">
        <v>847</v>
      </c>
      <c r="D250" s="2941">
        <v>9.9000000000000005E-2</v>
      </c>
      <c r="E250" s="2942">
        <v>-22</v>
      </c>
      <c r="F250" s="2942">
        <v>-34</v>
      </c>
      <c r="G250" s="2947" t="s">
        <v>623</v>
      </c>
      <c r="H250" s="2943">
        <v>-2.4E-2</v>
      </c>
      <c r="I250" s="2943">
        <v>-0.04</v>
      </c>
    </row>
    <row r="251" spans="1:9" ht="13.5" thickBot="1">
      <c r="A251" s="2955" t="s">
        <v>1908</v>
      </c>
      <c r="B251" s="2944">
        <v>3042</v>
      </c>
      <c r="C251" s="2944">
        <v>2638</v>
      </c>
      <c r="D251" s="2945">
        <v>0.153</v>
      </c>
      <c r="E251" s="2946">
        <v>580</v>
      </c>
      <c r="F251" s="2946">
        <v>476</v>
      </c>
      <c r="G251" s="2945">
        <v>0.219</v>
      </c>
      <c r="H251" s="2945">
        <v>0.191</v>
      </c>
      <c r="I251" s="2945">
        <v>0.18</v>
      </c>
    </row>
    <row r="252" spans="1:9" ht="13.5" thickBot="1">
      <c r="A252" s="2959" t="s">
        <v>1909</v>
      </c>
      <c r="B252" s="2948">
        <v>1202</v>
      </c>
      <c r="C252" s="2948">
        <v>1127</v>
      </c>
      <c r="D252" s="2949">
        <v>6.7000000000000004E-2</v>
      </c>
      <c r="E252" s="2950">
        <v>465</v>
      </c>
      <c r="F252" s="2950">
        <v>433</v>
      </c>
      <c r="G252" s="2949">
        <v>7.3999999999999996E-2</v>
      </c>
      <c r="H252" s="2951">
        <v>0.38700000000000001</v>
      </c>
      <c r="I252" s="2951">
        <v>0.38400000000000001</v>
      </c>
    </row>
    <row r="253" spans="1:9" ht="13.5" thickTop="1"/>
    <row r="264" spans="1:21">
      <c r="E264" s="1447" t="s">
        <v>1161</v>
      </c>
      <c r="I264" s="1447" t="s">
        <v>1162</v>
      </c>
      <c r="N264" s="1447" t="s">
        <v>1163</v>
      </c>
      <c r="S264" s="1447" t="s">
        <v>1164</v>
      </c>
    </row>
    <row r="265" spans="1:21">
      <c r="B265" s="399"/>
      <c r="C265" s="1115" t="s">
        <v>864</v>
      </c>
      <c r="D265" s="1115" t="s">
        <v>865</v>
      </c>
      <c r="E265" s="1115" t="s">
        <v>866</v>
      </c>
      <c r="F265" s="1115" t="s">
        <v>867</v>
      </c>
      <c r="G265" s="6"/>
      <c r="H265" s="1115" t="s">
        <v>869</v>
      </c>
      <c r="I265" s="1115" t="s">
        <v>870</v>
      </c>
      <c r="J265" s="1115" t="s">
        <v>871</v>
      </c>
      <c r="K265" s="1115" t="s">
        <v>872</v>
      </c>
      <c r="M265" s="1115">
        <v>2020</v>
      </c>
      <c r="N265" s="1115">
        <v>2021</v>
      </c>
      <c r="O265" s="1115">
        <v>2022</v>
      </c>
      <c r="P265" s="1115"/>
      <c r="R265" s="1115" t="s">
        <v>1165</v>
      </c>
      <c r="S265" s="1115" t="s">
        <v>1166</v>
      </c>
      <c r="T265" s="1115" t="s">
        <v>1167</v>
      </c>
      <c r="U265" s="399"/>
    </row>
    <row r="266" spans="1:21">
      <c r="A266" s="728" t="s">
        <v>813</v>
      </c>
      <c r="C266" s="9">
        <f>Revenue!AE3+Revenue!AF3</f>
        <v>13610.567409775</v>
      </c>
      <c r="D266" s="250">
        <f>Revenue!AI3+Revenue!AJ3</f>
        <v>16228.034954775001</v>
      </c>
      <c r="E266" s="9">
        <f>Revenue!AM3+Revenue!AN3</f>
        <v>19826.313935350001</v>
      </c>
      <c r="F266" s="250">
        <f>F284+F287+F292</f>
        <v>24165</v>
      </c>
      <c r="H266" s="9">
        <f>Revenue!AG3+Revenue!AH3</f>
        <v>16219.833117048998</v>
      </c>
      <c r="I266" s="250">
        <f>Revenue!AK3+Revenue!AL3</f>
        <v>19429.227590252001</v>
      </c>
      <c r="J266" s="9">
        <f>Revenue!AO3+Revenue!AP3</f>
        <v>24190.985291461999</v>
      </c>
      <c r="M266" s="2002">
        <f>H266/C266-1</f>
        <v>0.19170881188980005</v>
      </c>
      <c r="N266" s="2002">
        <f t="shared" ref="N266:O280" si="11">I266/D266-1</f>
        <v>0.19726310945214398</v>
      </c>
      <c r="O266" s="2002">
        <f t="shared" si="11"/>
        <v>0.22014537701482961</v>
      </c>
      <c r="R266" s="2002">
        <f t="shared" ref="R266:T268" si="12">D266/C266-1</f>
        <v>0.19231141995741896</v>
      </c>
      <c r="S266" s="2002">
        <f t="shared" si="12"/>
        <v>0.22173226706762961</v>
      </c>
      <c r="T266" s="2002">
        <f t="shared" si="12"/>
        <v>0.21883473038900036</v>
      </c>
      <c r="U266" s="2002"/>
    </row>
    <row r="267" spans="1:21">
      <c r="A267" s="728" t="s">
        <v>742</v>
      </c>
      <c r="C267" s="9">
        <f>Revenue!AE5+Revenue!AF5</f>
        <v>8264.4343572979997</v>
      </c>
      <c r="D267" s="250">
        <f>Revenue!AI5+Revenue!AJ5</f>
        <v>9893.3268572019988</v>
      </c>
      <c r="E267" s="9">
        <f>Revenue!AM5+Revenue!AN5</f>
        <v>12030.304293486999</v>
      </c>
      <c r="F267" s="250">
        <f>PL!CT11</f>
        <v>14964.039840474001</v>
      </c>
      <c r="H267" s="9">
        <f>Revenue!AG5+Revenue!AH5</f>
        <v>9750.1339750280003</v>
      </c>
      <c r="I267" s="250">
        <f>Revenue!AK5+Revenue!AL5</f>
        <v>12083.930680887999</v>
      </c>
      <c r="J267" s="9">
        <f>Revenue!AO5+Revenue!AP5</f>
        <v>14590.225815043001</v>
      </c>
      <c r="M267" s="2002">
        <f t="shared" ref="M267:M305" si="13">H267/C267-1</f>
        <v>0.17977027265248191</v>
      </c>
      <c r="N267" s="2002">
        <f t="shared" si="11"/>
        <v>0.22142236431734963</v>
      </c>
      <c r="O267" s="2002">
        <f t="shared" si="11"/>
        <v>0.21278942403326395</v>
      </c>
      <c r="R267" s="2002">
        <f t="shared" si="12"/>
        <v>0.19709667104628736</v>
      </c>
      <c r="S267" s="2002">
        <f t="shared" si="12"/>
        <v>0.21600190382160012</v>
      </c>
      <c r="T267" s="2002">
        <f t="shared" si="12"/>
        <v>0.24386212313642597</v>
      </c>
      <c r="U267" s="2002"/>
    </row>
    <row r="268" spans="1:21">
      <c r="A268" s="728" t="s">
        <v>862</v>
      </c>
      <c r="C268" s="9">
        <f>Revenue!AE7+Revenue!AF7</f>
        <v>5346.1330524770001</v>
      </c>
      <c r="D268" s="250">
        <f>Revenue!AI7+Revenue!AJ7</f>
        <v>6334.7080975730005</v>
      </c>
      <c r="E268" s="9">
        <f>Revenue!AM7+Revenue!AN7</f>
        <v>7796.0096418630001</v>
      </c>
      <c r="F268" s="250">
        <f>F266-F267</f>
        <v>9200.9601595259992</v>
      </c>
      <c r="H268" s="9">
        <f>Revenue!AG7+Revenue!AH7</f>
        <v>6469.6991420209997</v>
      </c>
      <c r="I268" s="250">
        <f>Revenue!AK7+Revenue!AL7</f>
        <v>7345.2969093640004</v>
      </c>
      <c r="J268" s="9">
        <f>Revenue!AO7+Revenue!AP7</f>
        <v>9600.7594764189998</v>
      </c>
      <c r="M268" s="2002">
        <f t="shared" si="13"/>
        <v>0.21016425863614119</v>
      </c>
      <c r="N268" s="2002">
        <f t="shared" si="11"/>
        <v>0.15953202518963483</v>
      </c>
      <c r="O268" s="2002">
        <f t="shared" si="11"/>
        <v>0.23149661396836363</v>
      </c>
      <c r="R268" s="2002">
        <f t="shared" si="12"/>
        <v>0.1849140370043667</v>
      </c>
      <c r="S268" s="2002">
        <f t="shared" si="12"/>
        <v>0.23068174914797801</v>
      </c>
      <c r="T268" s="2002">
        <f t="shared" si="12"/>
        <v>0.18021405593429463</v>
      </c>
      <c r="U268" s="2002"/>
    </row>
    <row r="269" spans="1:21">
      <c r="M269" s="2002"/>
      <c r="N269" s="2002"/>
      <c r="O269" s="2002"/>
      <c r="R269" s="2002"/>
      <c r="S269" s="2002"/>
      <c r="T269" s="2002"/>
    </row>
    <row r="270" spans="1:21">
      <c r="M270" s="2006"/>
      <c r="N270" s="2006"/>
      <c r="O270" s="2006"/>
      <c r="R270" s="2006"/>
      <c r="S270" s="2002"/>
      <c r="T270" s="2002"/>
    </row>
    <row r="271" spans="1:21">
      <c r="A271" s="1400" t="s">
        <v>886</v>
      </c>
      <c r="M271" s="2006"/>
      <c r="N271" s="2006"/>
      <c r="O271" s="2006"/>
      <c r="R271" s="2006"/>
      <c r="S271" s="2002"/>
      <c r="T271" s="2002"/>
    </row>
    <row r="272" spans="1:21">
      <c r="A272" s="1457" t="s">
        <v>886</v>
      </c>
      <c r="M272" s="2006"/>
      <c r="N272" s="2006"/>
      <c r="O272" s="2006"/>
      <c r="R272" s="2006"/>
      <c r="S272" s="2002"/>
      <c r="T272" s="2002"/>
    </row>
    <row r="273" spans="1:21">
      <c r="A273" s="1466" t="s">
        <v>887</v>
      </c>
      <c r="C273" s="9">
        <f>Revenue!AE155+Revenue!AF155</f>
        <v>7800.5674097749998</v>
      </c>
      <c r="D273" s="737">
        <f>Revenue!AI155+Revenue!AJ155</f>
        <v>9545.0349547750011</v>
      </c>
      <c r="E273" s="737">
        <f>Revenue!AM155+Revenue!AN155</f>
        <v>11204.313935350001</v>
      </c>
      <c r="F273" s="250">
        <v>12939</v>
      </c>
      <c r="H273" s="737">
        <f>Revenue!AG155+Revenue!AH155</f>
        <v>10028.833117048998</v>
      </c>
      <c r="I273" s="737">
        <f>Revenue!AK155+Revenue!AL155</f>
        <v>11571.227590252001</v>
      </c>
      <c r="J273" s="737">
        <f>Revenue!AO155+Revenue!AP155</f>
        <v>13877.985291461999</v>
      </c>
      <c r="M273" s="2006">
        <f t="shared" si="13"/>
        <v>0.28565431079817705</v>
      </c>
      <c r="N273" s="2006">
        <f t="shared" si="11"/>
        <v>0.21227713099818213</v>
      </c>
      <c r="O273" s="2006">
        <f t="shared" si="11"/>
        <v>0.23862874349463481</v>
      </c>
      <c r="R273" s="2006">
        <f>D273/C273-1</f>
        <v>0.22363341707860696</v>
      </c>
      <c r="S273" s="2002">
        <f>E273/D273-1</f>
        <v>0.17383686790428454</v>
      </c>
      <c r="T273" s="2002">
        <f>F273/E273-1</f>
        <v>0.15482305071593938</v>
      </c>
    </row>
    <row r="274" spans="1:21">
      <c r="A274" s="1739" t="s">
        <v>1051</v>
      </c>
      <c r="C274" s="9">
        <f>Revenue!AE156+Revenue!AF156</f>
        <v>1717.0550000000001</v>
      </c>
      <c r="D274" s="737">
        <f>Revenue!AI156+Revenue!AJ156</f>
        <v>2463.7280000000001</v>
      </c>
      <c r="E274" s="737">
        <f>Revenue!AM156+Revenue!AN156</f>
        <v>2732.4169999999999</v>
      </c>
      <c r="F274" s="250">
        <v>2975</v>
      </c>
      <c r="H274" s="737">
        <f>Revenue!AG156+Revenue!AH156</f>
        <v>3087.6169999999993</v>
      </c>
      <c r="I274" s="737">
        <f>Revenue!AK156+Revenue!AL156</f>
        <v>3867.7150000000001</v>
      </c>
      <c r="J274" s="737">
        <f>Revenue!AO156+Revenue!AP156</f>
        <v>4114.991</v>
      </c>
      <c r="M274" s="2006">
        <f t="shared" si="13"/>
        <v>0.79820506623258969</v>
      </c>
      <c r="N274" s="2006">
        <f t="shared" si="11"/>
        <v>0.56986282576648084</v>
      </c>
      <c r="O274" s="2006">
        <f t="shared" si="11"/>
        <v>0.50598938595390086</v>
      </c>
      <c r="R274" s="2006">
        <f t="shared" ref="R274:R280" si="14">D274/C274-1</f>
        <v>0.43485677511786158</v>
      </c>
      <c r="S274" s="2002">
        <f t="shared" ref="S274:S280" si="15">E274/D274-1</f>
        <v>0.1090578992486182</v>
      </c>
      <c r="T274" s="2002">
        <f t="shared" ref="T274:T280" si="16">F274/E274-1</f>
        <v>8.8779640882046928E-2</v>
      </c>
    </row>
    <row r="275" spans="1:21">
      <c r="A275" s="1739" t="s">
        <v>1052</v>
      </c>
      <c r="C275" s="9">
        <f>Revenue!AE157+Revenue!AF157</f>
        <v>6083.5124097749995</v>
      </c>
      <c r="D275" s="737">
        <f>Revenue!AI157+Revenue!AJ157</f>
        <v>7081.3069547750001</v>
      </c>
      <c r="E275" s="737">
        <f>Revenue!AM157+Revenue!AN157</f>
        <v>8471.8969353499997</v>
      </c>
      <c r="F275" s="250">
        <v>9964</v>
      </c>
      <c r="H275" s="737">
        <f>Revenue!AG157+Revenue!AH157</f>
        <v>6941.216117048999</v>
      </c>
      <c r="I275" s="737">
        <f>Revenue!AK157+Revenue!AL157</f>
        <v>7703.5125902520012</v>
      </c>
      <c r="J275" s="737">
        <f>Revenue!AO157+Revenue!AP157</f>
        <v>9762.9942914619969</v>
      </c>
      <c r="M275" s="2006">
        <f t="shared" si="13"/>
        <v>0.14098823993452192</v>
      </c>
      <c r="N275" s="2006">
        <f t="shared" si="11"/>
        <v>8.7865932016609083E-2</v>
      </c>
      <c r="O275" s="2006">
        <f t="shared" si="11"/>
        <v>0.15239767031687323</v>
      </c>
      <c r="R275" s="2006">
        <f t="shared" si="14"/>
        <v>0.1640161929145969</v>
      </c>
      <c r="S275" s="2002">
        <f t="shared" si="15"/>
        <v>0.19637476379092855</v>
      </c>
      <c r="T275" s="2002">
        <f t="shared" si="16"/>
        <v>0.17612384523046098</v>
      </c>
    </row>
    <row r="276" spans="1:21">
      <c r="A276" s="735" t="s">
        <v>893</v>
      </c>
      <c r="C276" s="9">
        <f>Revenue!AE158+Revenue!AF158</f>
        <v>5810</v>
      </c>
      <c r="D276" s="737">
        <f>Revenue!AI158+Revenue!AJ158</f>
        <v>6683</v>
      </c>
      <c r="E276" s="737">
        <f>Revenue!AM158+Revenue!AN158</f>
        <v>8622</v>
      </c>
      <c r="F276" s="250">
        <v>11227</v>
      </c>
      <c r="H276" s="737">
        <f>Revenue!AG158+Revenue!AH158</f>
        <v>6191</v>
      </c>
      <c r="I276" s="737">
        <f>Revenue!AK158+Revenue!AL158</f>
        <v>7858</v>
      </c>
      <c r="J276" s="737">
        <f>Revenue!AO158+Revenue!AP158</f>
        <v>10313</v>
      </c>
      <c r="M276" s="2006">
        <f t="shared" si="13"/>
        <v>6.5576592082616125E-2</v>
      </c>
      <c r="N276" s="2006">
        <f t="shared" si="11"/>
        <v>0.17581924285500516</v>
      </c>
      <c r="O276" s="2006">
        <f t="shared" si="11"/>
        <v>0.19612618881929955</v>
      </c>
      <c r="R276" s="2006">
        <f t="shared" si="14"/>
        <v>0.15025817555938037</v>
      </c>
      <c r="S276" s="2002">
        <f t="shared" si="15"/>
        <v>0.29013915906030219</v>
      </c>
      <c r="T276" s="2002">
        <f t="shared" si="16"/>
        <v>0.30213407562050576</v>
      </c>
    </row>
    <row r="277" spans="1:21">
      <c r="A277" s="39" t="s">
        <v>892</v>
      </c>
      <c r="C277" s="9">
        <f>Revenue!AE159+Revenue!AF159</f>
        <v>3032</v>
      </c>
      <c r="D277" s="737">
        <f>Revenue!AI159+Revenue!AJ159</f>
        <v>3114</v>
      </c>
      <c r="E277" s="737">
        <f>Revenue!AM159+Revenue!AN159</f>
        <v>3375</v>
      </c>
      <c r="F277" s="250">
        <v>4223</v>
      </c>
      <c r="H277" s="737">
        <f>Revenue!AG159+Revenue!AH159</f>
        <v>2979</v>
      </c>
      <c r="I277" s="737">
        <f>Revenue!AK159+Revenue!AL159</f>
        <v>3218</v>
      </c>
      <c r="J277" s="737">
        <f>Revenue!AO159+Revenue!AP159</f>
        <v>3967</v>
      </c>
      <c r="M277" s="2006">
        <f t="shared" si="13"/>
        <v>-1.7480211081794206E-2</v>
      </c>
      <c r="N277" s="2006">
        <f t="shared" si="11"/>
        <v>3.3397559409120037E-2</v>
      </c>
      <c r="O277" s="2006">
        <f t="shared" si="11"/>
        <v>0.17540740740740746</v>
      </c>
      <c r="R277" s="2006">
        <f t="shared" si="14"/>
        <v>2.7044854881266511E-2</v>
      </c>
      <c r="S277" s="2002">
        <f t="shared" si="15"/>
        <v>8.381502890173409E-2</v>
      </c>
      <c r="T277" s="2002">
        <f t="shared" si="16"/>
        <v>0.25125925925925929</v>
      </c>
    </row>
    <row r="278" spans="1:21">
      <c r="A278" s="39" t="s">
        <v>889</v>
      </c>
      <c r="C278" s="9">
        <f>Revenue!AE160+Revenue!AF160</f>
        <v>1343</v>
      </c>
      <c r="D278" s="737">
        <f>Revenue!AI160+Revenue!AJ160</f>
        <v>1894</v>
      </c>
      <c r="E278" s="737">
        <f>Revenue!AM160+Revenue!AN160</f>
        <v>2811</v>
      </c>
      <c r="F278" s="250">
        <v>3239</v>
      </c>
      <c r="H278" s="737">
        <f>Revenue!AG160+Revenue!AH160</f>
        <v>1535</v>
      </c>
      <c r="I278" s="737">
        <f>Revenue!AK160+Revenue!AL160</f>
        <v>2475</v>
      </c>
      <c r="J278" s="737">
        <f>Revenue!AO160+Revenue!AP160</f>
        <v>3739</v>
      </c>
      <c r="M278" s="2006">
        <f t="shared" si="13"/>
        <v>0.14296351451973188</v>
      </c>
      <c r="N278" s="2006">
        <f t="shared" si="11"/>
        <v>0.30675818373812036</v>
      </c>
      <c r="O278" s="2006">
        <f t="shared" si="11"/>
        <v>0.33013162575595878</v>
      </c>
      <c r="R278" s="2006">
        <f t="shared" si="14"/>
        <v>0.41027550260610579</v>
      </c>
      <c r="S278" s="2002">
        <f t="shared" si="15"/>
        <v>0.48416050686378043</v>
      </c>
      <c r="T278" s="2002">
        <f t="shared" si="16"/>
        <v>0.15225898256848103</v>
      </c>
    </row>
    <row r="279" spans="1:21">
      <c r="A279" s="39" t="s">
        <v>890</v>
      </c>
      <c r="C279" s="9">
        <f>Revenue!AE161+Revenue!AF161</f>
        <v>507</v>
      </c>
      <c r="D279" s="737">
        <f>Revenue!AI161+Revenue!AJ161</f>
        <v>537</v>
      </c>
      <c r="E279" s="737">
        <f>Revenue!AM161+Revenue!AN161</f>
        <v>666</v>
      </c>
      <c r="F279" s="250">
        <v>809</v>
      </c>
      <c r="H279" s="737">
        <f>Revenue!AG161+Revenue!AH161</f>
        <v>486</v>
      </c>
      <c r="I279" s="737">
        <f>Revenue!AK161+Revenue!AL161</f>
        <v>607</v>
      </c>
      <c r="J279" s="737">
        <f>Revenue!AO161+Revenue!AP161</f>
        <v>700</v>
      </c>
      <c r="M279" s="2006">
        <f t="shared" si="13"/>
        <v>-4.1420118343195256E-2</v>
      </c>
      <c r="N279" s="2006">
        <f t="shared" si="11"/>
        <v>0.13035381750465547</v>
      </c>
      <c r="O279" s="2006">
        <f t="shared" si="11"/>
        <v>5.1051051051051122E-2</v>
      </c>
      <c r="R279" s="2006">
        <f t="shared" si="14"/>
        <v>5.9171597633136175E-2</v>
      </c>
      <c r="S279" s="2002">
        <f t="shared" si="15"/>
        <v>0.24022346368715075</v>
      </c>
      <c r="T279" s="2002">
        <f t="shared" si="16"/>
        <v>0.21471471471471482</v>
      </c>
    </row>
    <row r="280" spans="1:21">
      <c r="A280" s="39" t="s">
        <v>891</v>
      </c>
      <c r="C280" s="9">
        <f>Revenue!AE162+Revenue!AF162</f>
        <v>928</v>
      </c>
      <c r="D280" s="737">
        <f>Revenue!AI162+Revenue!AJ162</f>
        <v>1138</v>
      </c>
      <c r="E280" s="737">
        <f>Revenue!AM162+Revenue!AN162</f>
        <v>1770</v>
      </c>
      <c r="F280" s="250">
        <v>2956</v>
      </c>
      <c r="H280" s="737">
        <f>Revenue!AG162+Revenue!AH162</f>
        <v>1191</v>
      </c>
      <c r="I280" s="737">
        <f>Revenue!AK162+Revenue!AL162</f>
        <v>1558</v>
      </c>
      <c r="J280" s="737">
        <f>Revenue!AO162+Revenue!AP162</f>
        <v>1907</v>
      </c>
      <c r="M280" s="2006">
        <f t="shared" si="13"/>
        <v>0.28340517241379315</v>
      </c>
      <c r="N280" s="2006">
        <f t="shared" si="11"/>
        <v>0.36906854130052724</v>
      </c>
      <c r="O280" s="2006">
        <f t="shared" si="11"/>
        <v>7.74011299435029E-2</v>
      </c>
      <c r="R280" s="2006">
        <f t="shared" si="14"/>
        <v>0.2262931034482758</v>
      </c>
      <c r="S280" s="2002">
        <f t="shared" si="15"/>
        <v>0.55536028119507908</v>
      </c>
      <c r="T280" s="2002">
        <f t="shared" si="16"/>
        <v>0.67005649717514126</v>
      </c>
    </row>
    <row r="281" spans="1:21">
      <c r="A281" s="790" t="s">
        <v>146</v>
      </c>
      <c r="D281" s="737"/>
      <c r="I281" s="737"/>
      <c r="M281" s="2006"/>
      <c r="N281" s="2006"/>
      <c r="O281" s="2006"/>
      <c r="R281" s="2006"/>
      <c r="S281" s="2002"/>
      <c r="T281" s="2002"/>
    </row>
    <row r="282" spans="1:21">
      <c r="M282" s="2006"/>
      <c r="N282" s="2006"/>
      <c r="O282" s="2006"/>
      <c r="R282" s="2006"/>
      <c r="S282" s="2002"/>
      <c r="T282" s="2002"/>
    </row>
    <row r="283" spans="1:21">
      <c r="A283" s="1404" t="s">
        <v>163</v>
      </c>
      <c r="K283" s="1973" t="s">
        <v>843</v>
      </c>
      <c r="L283" s="2025" t="s">
        <v>255</v>
      </c>
      <c r="M283" s="2006"/>
      <c r="N283" s="2006"/>
      <c r="O283" s="2006"/>
      <c r="P283" s="2010" t="s">
        <v>1168</v>
      </c>
      <c r="R283" s="2006"/>
      <c r="S283" s="2002"/>
      <c r="T283" s="2002"/>
      <c r="U283" s="2010" t="s">
        <v>1169</v>
      </c>
    </row>
    <row r="284" spans="1:21">
      <c r="A284" s="1407" t="s">
        <v>1027</v>
      </c>
      <c r="C284" s="9">
        <f>Revenue!AE11+Revenue!AF11</f>
        <v>7527.3330000000005</v>
      </c>
      <c r="D284" s="250">
        <f>Revenue!AI11+Revenue!AJ11</f>
        <v>9146.6679999999997</v>
      </c>
      <c r="E284" s="737">
        <f>Revenue!AM11+Revenue!AN11</f>
        <v>11354.504000000001</v>
      </c>
      <c r="F284" s="737">
        <f>Revenue!AQ11+Revenue!AR11</f>
        <v>14202</v>
      </c>
      <c r="H284" s="737">
        <f>Revenue!AG11+Revenue!AH11</f>
        <v>9277.5989999999983</v>
      </c>
      <c r="I284" s="250">
        <f>Revenue!AK11+Revenue!AL11</f>
        <v>11725.576000000001</v>
      </c>
      <c r="J284" s="737">
        <f>Revenue!AO11+Revenue!AP11</f>
        <v>14416.169000000002</v>
      </c>
      <c r="K284" s="2013">
        <f>F284*(1+AVERAGE(P284,U284))</f>
        <v>17732.155923883161</v>
      </c>
      <c r="L284" s="2026">
        <f>J284+K284</f>
        <v>32148.324923883163</v>
      </c>
      <c r="M284" s="2006">
        <f t="shared" si="13"/>
        <v>0.23252139901343516</v>
      </c>
      <c r="N284" s="2006">
        <f t="shared" ref="N284:N305" si="17">I284/D284-1</f>
        <v>0.28195054198971703</v>
      </c>
      <c r="O284" s="2006">
        <f t="shared" ref="O284:O305" si="18">J284/E284-1</f>
        <v>0.2696432182330466</v>
      </c>
      <c r="P284" s="2012">
        <f>AVERAGE(M284:O284)</f>
        <v>0.26137171974539958</v>
      </c>
      <c r="R284" s="2006">
        <f>D284/C284-1</f>
        <v>0.2151273233162394</v>
      </c>
      <c r="S284" s="2002">
        <f>E284/D284-1</f>
        <v>0.24138145169366609</v>
      </c>
      <c r="T284" s="2002">
        <f>F284/E284-1</f>
        <v>0.25078118780001302</v>
      </c>
      <c r="U284" s="2012">
        <f>AVERAGE(R284:T284)</f>
        <v>0.23576332093663951</v>
      </c>
    </row>
    <row r="285" spans="1:21">
      <c r="A285" s="1409" t="s">
        <v>854</v>
      </c>
      <c r="C285" s="9">
        <f>Revenue!AE12+Revenue!AF12</f>
        <v>5810.2780000000002</v>
      </c>
      <c r="D285" s="250">
        <f>Revenue!AI12+Revenue!AJ12</f>
        <v>6682.94</v>
      </c>
      <c r="E285" s="737">
        <f>Revenue!AM12+Revenue!AN12</f>
        <v>8622.0869999999995</v>
      </c>
      <c r="F285" s="737">
        <f>Revenue!AQ12+Revenue!AR12</f>
        <v>11227</v>
      </c>
      <c r="H285" s="737">
        <f>Revenue!AG12+Revenue!AH12</f>
        <v>6189.982</v>
      </c>
      <c r="I285" s="250">
        <f>Revenue!AK12+Revenue!AL12</f>
        <v>7857.8609999999999</v>
      </c>
      <c r="J285" s="737">
        <f>Revenue!AO12+Revenue!AP12</f>
        <v>10301.178</v>
      </c>
      <c r="K285" s="2013">
        <f t="shared" ref="K285:K292" si="19">F285*(1+AVERAGE(P285,U285))</f>
        <v>13431.94519291044</v>
      </c>
      <c r="L285" s="2026">
        <f t="shared" ref="L285:L292" si="20">J285+K285</f>
        <v>23733.12319291044</v>
      </c>
      <c r="M285" s="2006">
        <f t="shared" si="13"/>
        <v>6.5350401478208031E-2</v>
      </c>
      <c r="N285" s="2006">
        <f t="shared" si="17"/>
        <v>0.17580900023043755</v>
      </c>
      <c r="O285" s="2006">
        <f t="shared" si="18"/>
        <v>0.19474298971931048</v>
      </c>
      <c r="P285" s="2012">
        <f>AVERAGE(M285:O285)</f>
        <v>0.14530079714265201</v>
      </c>
      <c r="R285" s="2006">
        <f t="shared" ref="R285:R292" si="21">D285/C285-1</f>
        <v>0.15019281349360547</v>
      </c>
      <c r="S285" s="2002">
        <f t="shared" ref="S285:T292" si="22">E285/D285-1</f>
        <v>0.29016376026120239</v>
      </c>
      <c r="T285" s="2002">
        <f t="shared" ref="T285:T292" si="23">F285/E285-1</f>
        <v>0.30212093661314254</v>
      </c>
      <c r="U285" s="2012">
        <f t="shared" ref="U285:U292" si="24">AVERAGE(R285:T285)</f>
        <v>0.24749250345598348</v>
      </c>
    </row>
    <row r="286" spans="1:21">
      <c r="A286" s="1409" t="s">
        <v>855</v>
      </c>
      <c r="C286" s="9">
        <f>Revenue!AF13+Revenue!AE13</f>
        <v>1717.0550000000001</v>
      </c>
      <c r="D286" s="250">
        <f>Revenue!AI13+Revenue!AJ13</f>
        <v>2463.7280000000001</v>
      </c>
      <c r="E286" s="737">
        <f>Revenue!AM13+Revenue!AN13</f>
        <v>2732.4169999999999</v>
      </c>
      <c r="F286" s="737">
        <f>Revenue!AQ13+Revenue!AR13</f>
        <v>2975</v>
      </c>
      <c r="H286" s="737">
        <f>Revenue!AH13+Revenue!AG13</f>
        <v>3087.6169999999993</v>
      </c>
      <c r="I286" s="250">
        <f>Revenue!AK13+Revenue!AL13</f>
        <v>3867.7150000000001</v>
      </c>
      <c r="J286" s="737">
        <f>Revenue!AO13+Revenue!AP13</f>
        <v>4114.991</v>
      </c>
      <c r="K286" s="2013">
        <f t="shared" si="19"/>
        <v>4217.9309982957429</v>
      </c>
      <c r="L286" s="2026">
        <f t="shared" si="20"/>
        <v>8332.9219982957438</v>
      </c>
      <c r="M286" s="2006">
        <f t="shared" si="13"/>
        <v>0.79820506623258969</v>
      </c>
      <c r="N286" s="2006">
        <f t="shared" si="17"/>
        <v>0.56986282576648084</v>
      </c>
      <c r="O286" s="2006">
        <f t="shared" si="18"/>
        <v>0.50598938595390086</v>
      </c>
      <c r="P286" s="2012">
        <f t="shared" ref="P286:P292" si="25">AVERAGE(M286:O286)</f>
        <v>0.62468575931765713</v>
      </c>
      <c r="R286" s="2006">
        <f t="shared" si="21"/>
        <v>0.43485677511786158</v>
      </c>
      <c r="S286" s="2002">
        <f t="shared" si="22"/>
        <v>0.1090578992486182</v>
      </c>
      <c r="T286" s="2002">
        <f t="shared" si="23"/>
        <v>8.8779640882046928E-2</v>
      </c>
      <c r="U286" s="2012">
        <f t="shared" si="24"/>
        <v>0.21089810508284224</v>
      </c>
    </row>
    <row r="287" spans="1:21">
      <c r="A287" s="1411" t="s">
        <v>1028</v>
      </c>
      <c r="C287" s="9">
        <f>Revenue!AE14+Revenue!AF14</f>
        <v>5438.6990000000005</v>
      </c>
      <c r="D287" s="250">
        <f>Revenue!AI14+Revenue!AJ14</f>
        <v>6126.134</v>
      </c>
      <c r="E287" s="737">
        <f>Revenue!AM14+Revenue!AN14</f>
        <v>7076.665</v>
      </c>
      <c r="F287" s="2172">
        <f>Revenue!AQ14+Revenue!AR14</f>
        <v>7682</v>
      </c>
      <c r="H287" s="737">
        <f>Revenue!AG14+Revenue!AH14</f>
        <v>6027.4549999999999</v>
      </c>
      <c r="I287" s="250">
        <f>Revenue!AK14+Revenue!AL14</f>
        <v>6560.2820000000002</v>
      </c>
      <c r="J287" s="737">
        <f>Revenue!AO14+Revenue!AP14</f>
        <v>7652.9839999999995</v>
      </c>
      <c r="K287" s="2013">
        <f t="shared" si="19"/>
        <v>8485.6104118179828</v>
      </c>
      <c r="L287" s="2026">
        <f t="shared" si="20"/>
        <v>16138.594411817983</v>
      </c>
      <c r="M287" s="2006">
        <f t="shared" si="13"/>
        <v>0.10825309508763015</v>
      </c>
      <c r="N287" s="2006">
        <f t="shared" si="17"/>
        <v>7.0868185384126425E-2</v>
      </c>
      <c r="O287" s="2006">
        <f t="shared" si="18"/>
        <v>8.143935031543803E-2</v>
      </c>
      <c r="P287" s="2012">
        <f t="shared" si="25"/>
        <v>8.6853543595731539E-2</v>
      </c>
      <c r="R287" s="2006">
        <f t="shared" si="21"/>
        <v>0.12639695633091663</v>
      </c>
      <c r="S287" s="2002">
        <f t="shared" si="22"/>
        <v>0.15516000792669571</v>
      </c>
      <c r="T287" s="2002">
        <f t="shared" si="23"/>
        <v>8.5539586796888001E-2</v>
      </c>
      <c r="U287" s="2012">
        <f t="shared" si="24"/>
        <v>0.12236551701816678</v>
      </c>
    </row>
    <row r="288" spans="1:21">
      <c r="A288" s="1409" t="s">
        <v>895</v>
      </c>
      <c r="C288" s="9">
        <f>Revenue!AE15+Revenue!AF15</f>
        <v>5217.3900000000003</v>
      </c>
      <c r="D288" s="250">
        <f>Revenue!AI15+Revenue!AJ15</f>
        <v>5847.2820000000002</v>
      </c>
      <c r="E288" s="737">
        <f>Revenue!AM15+Revenue!AN15</f>
        <v>6726.5630000000001</v>
      </c>
      <c r="F288" s="737">
        <f>Revenue!AQ15+Revenue!AR15</f>
        <v>7423</v>
      </c>
      <c r="G288" s="1452"/>
      <c r="H288" s="737">
        <f>Revenue!AG15+Revenue!AH15</f>
        <v>5649.6130000000003</v>
      </c>
      <c r="I288" s="250">
        <f>Revenue!AK15+Revenue!AL15</f>
        <v>6231.3959999999997</v>
      </c>
      <c r="J288" s="737">
        <f>Revenue!AO15+Revenue!AP15</f>
        <v>7227.6569999999992</v>
      </c>
      <c r="K288" s="2013">
        <f t="shared" si="19"/>
        <v>8162.4144128615144</v>
      </c>
      <c r="L288" s="2026">
        <f t="shared" si="20"/>
        <v>15390.071412861515</v>
      </c>
      <c r="M288" s="2006">
        <f t="shared" si="13"/>
        <v>8.2842762377357326E-2</v>
      </c>
      <c r="N288" s="2006">
        <f t="shared" si="17"/>
        <v>6.5691033885487249E-2</v>
      </c>
      <c r="O288" s="2006">
        <f t="shared" si="18"/>
        <v>7.4494805147888865E-2</v>
      </c>
      <c r="P288" s="2012">
        <f t="shared" si="25"/>
        <v>7.4342867136911142E-2</v>
      </c>
      <c r="R288" s="2006">
        <f t="shared" si="21"/>
        <v>0.12072933018233245</v>
      </c>
      <c r="S288" s="2002">
        <f t="shared" si="22"/>
        <v>0.15037431066262918</v>
      </c>
      <c r="T288" s="2002">
        <f t="shared" si="23"/>
        <v>0.10353534189748914</v>
      </c>
      <c r="U288" s="2012">
        <f t="shared" si="24"/>
        <v>0.12487966091415026</v>
      </c>
    </row>
    <row r="289" spans="1:21">
      <c r="A289" s="1467" t="s">
        <v>899</v>
      </c>
      <c r="B289" s="1450"/>
      <c r="C289" s="9"/>
      <c r="D289" s="2007">
        <f>Revenue!AI199+Revenue!AJ199</f>
        <v>3334</v>
      </c>
      <c r="E289" s="737">
        <f>Revenue!AM199+Revenue!AN199</f>
        <v>3607</v>
      </c>
      <c r="F289" s="737">
        <f>Revenue!AQ199+Revenue!AR199</f>
        <v>3824</v>
      </c>
      <c r="G289" s="2058"/>
      <c r="H289" s="737"/>
      <c r="I289" s="2007">
        <f>Revenue!AK199+Revenue!AL199</f>
        <v>3453</v>
      </c>
      <c r="J289" s="737">
        <f>Revenue!AO199+Revenue!AP199</f>
        <v>3797</v>
      </c>
      <c r="K289" s="2013">
        <f t="shared" si="19"/>
        <v>3984.6404357054844</v>
      </c>
      <c r="L289" s="2026">
        <f t="shared" si="20"/>
        <v>7781.6404357054844</v>
      </c>
      <c r="M289" s="2006"/>
      <c r="N289" s="2006">
        <f t="shared" si="17"/>
        <v>3.5692861427714551E-2</v>
      </c>
      <c r="O289" s="2006">
        <f t="shared" si="18"/>
        <v>5.2675353479345821E-2</v>
      </c>
      <c r="P289" s="2012">
        <f t="shared" si="25"/>
        <v>4.4184107453530186E-2</v>
      </c>
      <c r="R289" s="2006"/>
      <c r="S289" s="2002">
        <f t="shared" si="22"/>
        <v>8.1883623275345041E-2</v>
      </c>
      <c r="T289" s="2002">
        <f>F290/E289-1</f>
        <v>-2.2179096201829784E-3</v>
      </c>
      <c r="U289" s="2012">
        <f t="shared" si="24"/>
        <v>3.9832856827581031E-2</v>
      </c>
    </row>
    <row r="290" spans="1:21">
      <c r="A290" s="2001" t="s">
        <v>1093</v>
      </c>
      <c r="B290" s="1450"/>
      <c r="D290" s="2007">
        <f>Revenue!AI201+Revenue!AJ201</f>
        <v>2513</v>
      </c>
      <c r="E290" s="737">
        <f>Revenue!AM201+Revenue!AN201</f>
        <v>3119</v>
      </c>
      <c r="F290" s="737">
        <f>Revenue!AQ201+Revenue!AR201</f>
        <v>3599</v>
      </c>
      <c r="I290" s="2007">
        <f>Revenue!AK201+Revenue!AL201</f>
        <v>2779</v>
      </c>
      <c r="J290" s="737">
        <f>Revenue!AO201+Revenue!AP201</f>
        <v>3431</v>
      </c>
      <c r="K290" s="2013">
        <f t="shared" si="19"/>
        <v>4139.6806164852032</v>
      </c>
      <c r="L290" s="2026">
        <f t="shared" si="20"/>
        <v>7570.6806164852032</v>
      </c>
      <c r="M290" s="2006"/>
      <c r="N290" s="2006">
        <f t="shared" si="17"/>
        <v>0.10584958217270191</v>
      </c>
      <c r="O290" s="2006">
        <f t="shared" si="18"/>
        <v>0.10003206155819178</v>
      </c>
      <c r="P290" s="2012">
        <f t="shared" si="25"/>
        <v>0.10294082186544684</v>
      </c>
      <c r="R290" s="2006"/>
      <c r="S290" s="2002">
        <f t="shared" si="22"/>
        <v>0.24114604058893763</v>
      </c>
      <c r="T290" s="2002">
        <f t="shared" si="22"/>
        <v>0.1538954793202949</v>
      </c>
      <c r="U290" s="2012">
        <f t="shared" si="24"/>
        <v>0.19752075995461627</v>
      </c>
    </row>
    <row r="291" spans="1:21">
      <c r="A291" s="1409" t="s">
        <v>856</v>
      </c>
      <c r="C291" s="9">
        <f>Revenue!AE16+Revenue!AF16</f>
        <v>221.309</v>
      </c>
      <c r="D291" s="250">
        <f>Revenue!AI16+Revenue!AJ16</f>
        <v>278.85199999999998</v>
      </c>
      <c r="E291" s="737">
        <f>Revenue!AM16+Revenue!AN16</f>
        <v>350.10199999999998</v>
      </c>
      <c r="F291" s="737">
        <f>Revenue!AQ16+Revenue!AR16</f>
        <v>259</v>
      </c>
      <c r="H291" s="737">
        <f>Revenue!AG16+Revenue!AH16</f>
        <v>377.84199999999998</v>
      </c>
      <c r="I291" s="250">
        <f>Revenue!AK16+Revenue!AL16</f>
        <v>328.88600000000008</v>
      </c>
      <c r="J291" s="737">
        <f>Revenue!AO16+Revenue!AP16</f>
        <v>425.327</v>
      </c>
      <c r="K291" s="2013">
        <f t="shared" si="19"/>
        <v>317.57319306800935</v>
      </c>
      <c r="L291" s="2026">
        <f t="shared" si="20"/>
        <v>742.90019306800934</v>
      </c>
      <c r="M291" s="2006">
        <f t="shared" si="13"/>
        <v>0.70730517059857489</v>
      </c>
      <c r="N291" s="2006">
        <f t="shared" si="17"/>
        <v>0.17942851405046434</v>
      </c>
      <c r="O291" s="2006">
        <f t="shared" si="18"/>
        <v>0.21486595335073777</v>
      </c>
      <c r="P291" s="2012">
        <f t="shared" si="25"/>
        <v>0.36719987933325898</v>
      </c>
      <c r="R291" s="2006">
        <f t="shared" si="21"/>
        <v>0.26001201939369833</v>
      </c>
      <c r="S291" s="2002">
        <f t="shared" si="22"/>
        <v>0.25551188444049178</v>
      </c>
      <c r="T291" s="2002">
        <f t="shared" si="23"/>
        <v>-0.26021559431251462</v>
      </c>
      <c r="U291" s="2012">
        <f t="shared" si="24"/>
        <v>8.5102769840558493E-2</v>
      </c>
    </row>
    <row r="292" spans="1:21">
      <c r="A292" s="1411" t="s">
        <v>882</v>
      </c>
      <c r="C292" s="9">
        <f>Revenue!AE17+Revenue!AF17</f>
        <v>644.53700000000003</v>
      </c>
      <c r="D292" s="250">
        <f>Revenue!AI17+Revenue!AJ17</f>
        <v>955.23295477500096</v>
      </c>
      <c r="E292" s="737">
        <f>Revenue!AM17+Revenue!AN17</f>
        <v>1395.1449353499988</v>
      </c>
      <c r="F292" s="2172">
        <f>Revenue!AQ17+Revenue!AR17</f>
        <v>2281</v>
      </c>
      <c r="H292" s="737">
        <f>Revenue!AG17+Revenue!AH17</f>
        <v>914.77700000000004</v>
      </c>
      <c r="I292" s="250">
        <f>Revenue!AK17+Revenue!AL17</f>
        <v>1143.369590252003</v>
      </c>
      <c r="J292" s="737">
        <f>Revenue!AO17+Revenue!AP17</f>
        <v>2121.8322914620003</v>
      </c>
      <c r="K292" s="2013">
        <f t="shared" si="19"/>
        <v>3313.0115896753132</v>
      </c>
      <c r="L292" s="2026">
        <f t="shared" si="20"/>
        <v>5434.8438811373135</v>
      </c>
      <c r="M292" s="2006">
        <f t="shared" si="13"/>
        <v>0.41927771408002945</v>
      </c>
      <c r="N292" s="2006">
        <f t="shared" si="17"/>
        <v>0.19695366929768077</v>
      </c>
      <c r="O292" s="2006">
        <f t="shared" si="18"/>
        <v>0.52086871958553749</v>
      </c>
      <c r="P292" s="2012">
        <f t="shared" si="25"/>
        <v>0.37903336765441592</v>
      </c>
      <c r="R292" s="2006">
        <f t="shared" si="21"/>
        <v>0.48204518092056925</v>
      </c>
      <c r="S292" s="2002">
        <f t="shared" si="22"/>
        <v>0.46052847986030421</v>
      </c>
      <c r="T292" s="2002">
        <f t="shared" si="23"/>
        <v>0.63495558217954429</v>
      </c>
      <c r="U292" s="2012">
        <f t="shared" si="24"/>
        <v>0.52584308098680588</v>
      </c>
    </row>
    <row r="293" spans="1:21">
      <c r="D293" s="250"/>
      <c r="I293" s="250"/>
      <c r="K293" s="2013"/>
      <c r="L293" s="2026"/>
      <c r="M293" s="2006"/>
      <c r="N293" s="2006"/>
      <c r="O293" s="2006"/>
      <c r="P293" s="2012"/>
      <c r="R293" s="2006"/>
      <c r="S293" s="2002"/>
      <c r="T293" s="2002"/>
      <c r="U293" s="2012"/>
    </row>
    <row r="294" spans="1:21">
      <c r="A294" s="1108" t="s">
        <v>1100</v>
      </c>
      <c r="C294" s="9">
        <f>PL!BO11+PL!BP11</f>
        <v>8264.4343572979997</v>
      </c>
      <c r="D294" s="737">
        <f>Revenue!AI57+Revenue!AJ57</f>
        <v>9893.3268572019988</v>
      </c>
      <c r="E294" s="737">
        <f>Revenue!AM57+Revenue!AN57</f>
        <v>12030.304293486999</v>
      </c>
      <c r="F294" s="737">
        <v>14964.038957864999</v>
      </c>
      <c r="H294" s="737">
        <f>PL!BQ11+PL!BR11</f>
        <v>9750.1339750280003</v>
      </c>
      <c r="I294" s="737">
        <f>Revenue!AK57+Revenue!AL57</f>
        <v>12083.930680887999</v>
      </c>
      <c r="J294" s="737">
        <f>Revenue!AO57+Revenue!AP57</f>
        <v>14590.225815043001</v>
      </c>
      <c r="M294" s="2006"/>
      <c r="N294" s="2006">
        <f t="shared" si="17"/>
        <v>0.22142236431734963</v>
      </c>
      <c r="O294" s="2006">
        <f t="shared" si="18"/>
        <v>0.21278942403326395</v>
      </c>
      <c r="R294" s="2006"/>
      <c r="S294" s="2002">
        <f>E294/D294-1</f>
        <v>0.21600190382160012</v>
      </c>
      <c r="T294" s="2002">
        <f>F294/E294-1</f>
        <v>0.24386204977095005</v>
      </c>
    </row>
    <row r="295" spans="1:21">
      <c r="K295" s="1973" t="s">
        <v>843</v>
      </c>
      <c r="L295" s="2025" t="s">
        <v>255</v>
      </c>
      <c r="M295" s="2006"/>
      <c r="N295" s="2006"/>
      <c r="O295" s="2006"/>
      <c r="P295" s="2010" t="s">
        <v>1168</v>
      </c>
      <c r="R295" s="2006"/>
      <c r="S295" s="2002"/>
      <c r="T295" s="2002"/>
      <c r="U295" s="2010" t="s">
        <v>1169</v>
      </c>
    </row>
    <row r="296" spans="1:21">
      <c r="A296" s="1108" t="s">
        <v>859</v>
      </c>
      <c r="C296" s="9">
        <v>2427.7829768299998</v>
      </c>
      <c r="D296" s="739">
        <v>2427.7829768299998</v>
      </c>
      <c r="E296" s="737">
        <f>Revenue!AM115+Revenue!AN115</f>
        <v>3636.8924730670001</v>
      </c>
      <c r="F296">
        <f>Revenue!AQ115+Revenue!AR115</f>
        <v>4339</v>
      </c>
      <c r="H296" s="737">
        <f>Revenue!AG115+Revenue!AH115</f>
        <v>2833.1990122880002</v>
      </c>
      <c r="I296" s="739">
        <f>Revenue!AG115+Revenue!AH115</f>
        <v>2833.1990122880002</v>
      </c>
      <c r="J296" s="737">
        <f>Revenue!AO115+Revenue!AP115</f>
        <v>4017.0534508379997</v>
      </c>
      <c r="K296" s="2013">
        <f>F296*(1+AVERAGE(P296,U296))</f>
        <v>5155.8827929846921</v>
      </c>
      <c r="L296" s="2026">
        <f>J296+K296</f>
        <v>9172.9362438226926</v>
      </c>
      <c r="M296" s="2006">
        <f t="shared" si="13"/>
        <v>0.16699022908026118</v>
      </c>
      <c r="N296" s="2006">
        <f t="shared" si="17"/>
        <v>0.16699022908026118</v>
      </c>
      <c r="O296" s="2006">
        <f t="shared" si="18"/>
        <v>0.10452906721501409</v>
      </c>
      <c r="P296" s="2012">
        <f>AVERAGE(M296:O296)</f>
        <v>0.14616984179184547</v>
      </c>
      <c r="R296" s="2006">
        <f>D296/C296-1</f>
        <v>0</v>
      </c>
      <c r="S296" s="2002">
        <f>E296/D296-1</f>
        <v>0.49803030492278855</v>
      </c>
      <c r="T296" s="2002">
        <f>F296/E296-1</f>
        <v>0.19305149440970704</v>
      </c>
      <c r="U296" s="2012">
        <f>AVERAGE(R296:T296)</f>
        <v>0.23036059977749854</v>
      </c>
    </row>
    <row r="297" spans="1:21">
      <c r="A297" s="735" t="s">
        <v>883</v>
      </c>
      <c r="C297" s="9">
        <v>966.78199999999993</v>
      </c>
      <c r="D297" s="739">
        <v>966.78199999999993</v>
      </c>
      <c r="E297" s="737">
        <f>Revenue!AM116+Revenue!AN116</f>
        <v>1592.3609999999999</v>
      </c>
      <c r="F297">
        <f>Revenue!AQ116+Revenue!AR116</f>
        <v>2005</v>
      </c>
      <c r="H297" s="737">
        <f>Revenue!AG116+Revenue!AH116</f>
        <v>1270.2759999999998</v>
      </c>
      <c r="I297" s="739">
        <f>Revenue!AG116+Revenue!AH116</f>
        <v>1270.2759999999998</v>
      </c>
      <c r="J297" s="737">
        <f>Revenue!AO116+Revenue!AP116</f>
        <v>1781.7189999999998</v>
      </c>
      <c r="K297" s="2013">
        <f t="shared" ref="K297:K305" si="26">F297*(1+AVERAGE(P297,U297))</f>
        <v>2557.3675724985892</v>
      </c>
      <c r="L297" s="2026">
        <f t="shared" ref="L297:L305" si="27">J297+K297</f>
        <v>4339.0865724985888</v>
      </c>
      <c r="M297" s="2006">
        <f t="shared" si="13"/>
        <v>0.31392185621991309</v>
      </c>
      <c r="N297" s="2006">
        <f t="shared" si="17"/>
        <v>0.31392185621991309</v>
      </c>
      <c r="O297" s="2006">
        <f t="shared" si="18"/>
        <v>0.11891650197411252</v>
      </c>
      <c r="P297" s="2012">
        <f>AVERAGE(M297:O297)</f>
        <v>0.2489200714713129</v>
      </c>
      <c r="R297" s="2006">
        <f t="shared" ref="R297:R305" si="28">D297/C297-1</f>
        <v>0</v>
      </c>
      <c r="S297" s="2002">
        <f t="shared" ref="S297:S305" si="29">E297/D297-1</f>
        <v>0.64707348709429846</v>
      </c>
      <c r="T297" s="2002">
        <f t="shared" ref="T297:T305" si="30">F297/E297-1</f>
        <v>0.25913659025811375</v>
      </c>
      <c r="U297" s="2012">
        <f t="shared" ref="U297:U305" si="31">AVERAGE(R297:T297)</f>
        <v>0.30207002578413739</v>
      </c>
    </row>
    <row r="298" spans="1:21">
      <c r="A298" s="39" t="s">
        <v>854</v>
      </c>
      <c r="C298" s="9">
        <v>895.61</v>
      </c>
      <c r="D298" s="739">
        <v>895.61</v>
      </c>
      <c r="E298" s="737">
        <f>Revenue!AM117+Revenue!AN117</f>
        <v>1366.87</v>
      </c>
      <c r="F298">
        <f>Revenue!AQ117+Revenue!AR117</f>
        <v>1834</v>
      </c>
      <c r="H298" s="737">
        <f>Revenue!AG117+Revenue!AH117</f>
        <v>1074.1590000000001</v>
      </c>
      <c r="I298" s="739">
        <f>Revenue!AG117+Revenue!AH117</f>
        <v>1074.1590000000001</v>
      </c>
      <c r="J298" s="737">
        <f>Revenue!AO117+Revenue!AP117</f>
        <v>1624.5329999999999</v>
      </c>
      <c r="K298" s="2013">
        <f t="shared" si="26"/>
        <v>2278.7959635619231</v>
      </c>
      <c r="L298" s="2026">
        <f t="shared" si="27"/>
        <v>3903.328963561923</v>
      </c>
      <c r="M298" s="2006">
        <f t="shared" si="13"/>
        <v>0.19936021259253489</v>
      </c>
      <c r="N298" s="2006">
        <f t="shared" si="17"/>
        <v>0.19936021259253489</v>
      </c>
      <c r="O298" s="2006">
        <f t="shared" si="18"/>
        <v>0.18850585644574824</v>
      </c>
      <c r="P298" s="2012">
        <f t="shared" ref="P298:P305" si="32">AVERAGE(M298:O298)</f>
        <v>0.19574209387693933</v>
      </c>
      <c r="R298" s="2006">
        <f t="shared" si="28"/>
        <v>0</v>
      </c>
      <c r="S298" s="2002">
        <f t="shared" si="29"/>
        <v>0.52618885452373232</v>
      </c>
      <c r="T298" s="2002">
        <f t="shared" si="30"/>
        <v>0.34175159305566738</v>
      </c>
      <c r="U298" s="2012">
        <f t="shared" si="31"/>
        <v>0.28931348252646655</v>
      </c>
    </row>
    <row r="299" spans="1:21">
      <c r="A299" s="39" t="s">
        <v>855</v>
      </c>
      <c r="C299" s="9">
        <v>71.171999999999997</v>
      </c>
      <c r="D299" s="739">
        <v>71.171999999999997</v>
      </c>
      <c r="E299" s="737">
        <f>Revenue!AM118+Revenue!AN118</f>
        <v>225.49100000000004</v>
      </c>
      <c r="F299">
        <f>Revenue!AQ118+Revenue!AR118</f>
        <v>171</v>
      </c>
      <c r="H299" s="737">
        <f>Revenue!AG118+Revenue!AH118</f>
        <v>196.11699999999999</v>
      </c>
      <c r="I299" s="739">
        <f>Revenue!AG118+Revenue!AH118</f>
        <v>196.11699999999999</v>
      </c>
      <c r="J299" s="737">
        <f>Revenue!AO118+Revenue!AP118</f>
        <v>157.18599999999998</v>
      </c>
      <c r="K299" s="2013">
        <f t="shared" si="26"/>
        <v>317.34050370006889</v>
      </c>
      <c r="L299" s="2026">
        <f t="shared" si="27"/>
        <v>474.52650370006887</v>
      </c>
      <c r="M299" s="2006">
        <f t="shared" si="13"/>
        <v>1.7555358848985554</v>
      </c>
      <c r="N299" s="2006">
        <f t="shared" si="17"/>
        <v>1.7555358848985554</v>
      </c>
      <c r="O299" s="2006">
        <f t="shared" si="18"/>
        <v>-0.30291674612290531</v>
      </c>
      <c r="P299" s="2012">
        <f t="shared" si="32"/>
        <v>1.0693850078914018</v>
      </c>
      <c r="R299" s="2006">
        <f t="shared" si="28"/>
        <v>0</v>
      </c>
      <c r="S299" s="2002">
        <f t="shared" si="29"/>
        <v>2.1682543696959486</v>
      </c>
      <c r="T299" s="2002">
        <f t="shared" si="30"/>
        <v>-0.24165487757826265</v>
      </c>
      <c r="U299" s="2012">
        <f t="shared" si="31"/>
        <v>0.64219983070589537</v>
      </c>
    </row>
    <row r="300" spans="1:21">
      <c r="A300" s="735" t="s">
        <v>884</v>
      </c>
      <c r="C300" s="9">
        <v>938.20699999999988</v>
      </c>
      <c r="D300" s="739">
        <v>938.20699999999988</v>
      </c>
      <c r="E300" s="737">
        <f>Revenue!AM119+Revenue!AN119</f>
        <v>1445.2530000000002</v>
      </c>
      <c r="F300">
        <f>Revenue!AQ119+Revenue!AR119</f>
        <v>1514</v>
      </c>
      <c r="H300" s="737">
        <f>Revenue!AG119+Revenue!AH119</f>
        <v>1135.829</v>
      </c>
      <c r="I300" s="739">
        <f>Revenue!AG119+Revenue!AH119</f>
        <v>1135.829</v>
      </c>
      <c r="J300" s="737">
        <f>Revenue!AO119+Revenue!AP119</f>
        <v>1372.3440000000001</v>
      </c>
      <c r="K300" s="2013">
        <f t="shared" si="26"/>
        <v>1755.9466955324876</v>
      </c>
      <c r="L300" s="2026">
        <f t="shared" si="27"/>
        <v>3128.2906955324879</v>
      </c>
      <c r="M300" s="2006">
        <f t="shared" si="13"/>
        <v>0.2106379508999614</v>
      </c>
      <c r="N300" s="2006">
        <f t="shared" si="17"/>
        <v>0.2106379508999614</v>
      </c>
      <c r="O300" s="2006">
        <f t="shared" si="18"/>
        <v>-5.0447222735396591E-2</v>
      </c>
      <c r="P300" s="2012">
        <f t="shared" si="32"/>
        <v>0.1236095596881754</v>
      </c>
      <c r="R300" s="2006">
        <f t="shared" si="28"/>
        <v>0</v>
      </c>
      <c r="S300" s="2002">
        <f t="shared" si="29"/>
        <v>0.54044150171550664</v>
      </c>
      <c r="T300" s="2002">
        <f t="shared" si="30"/>
        <v>4.7567450128108923E-2</v>
      </c>
      <c r="U300" s="2012">
        <f t="shared" si="31"/>
        <v>0.19600298394787186</v>
      </c>
    </row>
    <row r="301" spans="1:21">
      <c r="A301" s="39" t="s">
        <v>857</v>
      </c>
      <c r="C301" s="9">
        <v>833.28</v>
      </c>
      <c r="D301" s="739">
        <v>833.28</v>
      </c>
      <c r="E301" s="737">
        <f>Revenue!AM120+Revenue!AN120</f>
        <v>1288.251</v>
      </c>
      <c r="F301">
        <f>Revenue!AQ120+Revenue!AR120</f>
        <v>1475</v>
      </c>
      <c r="H301" s="737">
        <f>Revenue!AG120+Revenue!AH120</f>
        <v>985.25</v>
      </c>
      <c r="I301" s="739">
        <f>Revenue!AG120+Revenue!AH120</f>
        <v>985.25</v>
      </c>
      <c r="J301" s="737">
        <f>Revenue!AO120+Revenue!AP120</f>
        <v>1220.086</v>
      </c>
      <c r="K301" s="2013">
        <f t="shared" si="26"/>
        <v>1721.5221270354164</v>
      </c>
      <c r="L301" s="2026">
        <f t="shared" si="27"/>
        <v>2941.6081270354161</v>
      </c>
      <c r="M301" s="2006">
        <f t="shared" si="13"/>
        <v>0.18237567204301075</v>
      </c>
      <c r="N301" s="2006">
        <f t="shared" si="17"/>
        <v>0.18237567204301075</v>
      </c>
      <c r="O301" s="2006">
        <f t="shared" si="18"/>
        <v>-5.291282521806695E-2</v>
      </c>
      <c r="P301" s="2012">
        <f t="shared" si="32"/>
        <v>0.10394617295598485</v>
      </c>
      <c r="R301" s="2006">
        <f t="shared" si="28"/>
        <v>0</v>
      </c>
      <c r="S301" s="2002">
        <f t="shared" si="29"/>
        <v>0.54600014400921659</v>
      </c>
      <c r="T301" s="2002">
        <f t="shared" si="30"/>
        <v>0.14496320980926858</v>
      </c>
      <c r="U301" s="2012">
        <f t="shared" si="31"/>
        <v>0.23032111793949506</v>
      </c>
    </row>
    <row r="302" spans="1:21" hidden="1">
      <c r="A302" s="1467" t="s">
        <v>899</v>
      </c>
      <c r="B302" s="1450"/>
      <c r="C302" s="9"/>
      <c r="D302" s="2008">
        <v>780</v>
      </c>
      <c r="E302" s="737">
        <f>Revenue!AM121+Revenue!AN121</f>
        <v>157.00200000000001</v>
      </c>
      <c r="F302">
        <f>Revenue!AQ121+Revenue!AR121</f>
        <v>40</v>
      </c>
      <c r="H302" s="737"/>
      <c r="I302" s="2008">
        <f>Revenue!AK205+Revenue!AL205</f>
        <v>672</v>
      </c>
      <c r="J302" s="737">
        <f>Revenue!AO121+Revenue!AP121</f>
        <v>152.25799999999998</v>
      </c>
      <c r="K302" s="2013" t="e">
        <f t="shared" si="26"/>
        <v>#DIV/0!</v>
      </c>
      <c r="L302" s="2026" t="e">
        <f t="shared" si="27"/>
        <v>#DIV/0!</v>
      </c>
      <c r="M302" s="2006" t="e">
        <f t="shared" si="13"/>
        <v>#DIV/0!</v>
      </c>
      <c r="N302" s="2006">
        <f t="shared" si="17"/>
        <v>-0.13846153846153841</v>
      </c>
      <c r="O302" s="2006">
        <f t="shared" si="18"/>
        <v>-3.021617559012002E-2</v>
      </c>
      <c r="P302" s="2012" t="e">
        <f t="shared" si="32"/>
        <v>#DIV/0!</v>
      </c>
      <c r="R302" s="2006" t="e">
        <f t="shared" si="28"/>
        <v>#DIV/0!</v>
      </c>
      <c r="S302" s="2002">
        <f t="shared" si="29"/>
        <v>-0.7987153846153846</v>
      </c>
      <c r="T302" s="2002">
        <f t="shared" si="30"/>
        <v>-0.74522617546273295</v>
      </c>
      <c r="U302" s="2012" t="e">
        <f t="shared" si="31"/>
        <v>#DIV/0!</v>
      </c>
    </row>
    <row r="303" spans="1:21" hidden="1">
      <c r="A303" s="2001" t="s">
        <v>1093</v>
      </c>
      <c r="B303" s="1450"/>
      <c r="C303" s="9"/>
      <c r="D303" s="1348">
        <v>289</v>
      </c>
      <c r="E303" s="737">
        <f>Revenue!AM122+Revenue!AN122</f>
        <v>599.27847306700119</v>
      </c>
      <c r="F303">
        <f>Revenue!AQ122+Revenue!AR122</f>
        <v>820</v>
      </c>
      <c r="H303" s="737"/>
      <c r="I303" s="1348">
        <f>Revenue!AK208+Revenue!AL208</f>
        <v>378</v>
      </c>
      <c r="J303" s="737">
        <f>Revenue!AO122+Revenue!AP122</f>
        <v>862.99045083799956</v>
      </c>
      <c r="K303" s="2013" t="e">
        <f t="shared" si="26"/>
        <v>#DIV/0!</v>
      </c>
      <c r="L303" s="2026" t="e">
        <f t="shared" si="27"/>
        <v>#DIV/0!</v>
      </c>
      <c r="M303" s="2006" t="e">
        <f t="shared" si="13"/>
        <v>#DIV/0!</v>
      </c>
      <c r="N303" s="2006">
        <f t="shared" si="17"/>
        <v>0.30795847750865057</v>
      </c>
      <c r="O303" s="2006">
        <f t="shared" si="18"/>
        <v>0.44004914179774746</v>
      </c>
      <c r="P303" s="2012" t="e">
        <f t="shared" si="32"/>
        <v>#DIV/0!</v>
      </c>
      <c r="R303" s="2006" t="e">
        <f t="shared" si="28"/>
        <v>#DIV/0!</v>
      </c>
      <c r="S303" s="2002">
        <f t="shared" si="29"/>
        <v>1.0736279344878934</v>
      </c>
      <c r="T303" s="2002">
        <f t="shared" si="30"/>
        <v>0.36831212341632269</v>
      </c>
      <c r="U303" s="2012" t="e">
        <f t="shared" si="31"/>
        <v>#DIV/0!</v>
      </c>
    </row>
    <row r="304" spans="1:21">
      <c r="A304" s="39" t="s">
        <v>856</v>
      </c>
      <c r="C304" s="9">
        <v>104.92700000000001</v>
      </c>
      <c r="D304" s="739">
        <v>104.92700000000001</v>
      </c>
      <c r="E304" s="737">
        <f>Revenue!AM121+Revenue!AN121</f>
        <v>157.00200000000001</v>
      </c>
      <c r="F304">
        <f>Revenue!AQ121+Revenue!AR121</f>
        <v>40</v>
      </c>
      <c r="H304" s="737">
        <f>Revenue!AG121+Revenue!AH121</f>
        <v>150.57900000000001</v>
      </c>
      <c r="I304" s="739">
        <f>Revenue!AG121+Revenue!AH121</f>
        <v>150.57900000000001</v>
      </c>
      <c r="J304" s="737">
        <f>Revenue!AO121+Revenue!AP121</f>
        <v>152.25799999999998</v>
      </c>
      <c r="K304" s="2013">
        <f t="shared" si="26"/>
        <v>43.940146351341234</v>
      </c>
      <c r="L304" s="2026">
        <f t="shared" si="27"/>
        <v>196.19814635134122</v>
      </c>
      <c r="M304" s="2006">
        <f t="shared" si="13"/>
        <v>0.43508343896232615</v>
      </c>
      <c r="N304" s="2006">
        <f t="shared" si="17"/>
        <v>0.43508343896232615</v>
      </c>
      <c r="O304" s="2006">
        <f t="shared" si="18"/>
        <v>-3.021617559012002E-2</v>
      </c>
      <c r="P304" s="2012">
        <f t="shared" si="32"/>
        <v>0.27998356744484409</v>
      </c>
      <c r="R304" s="2006">
        <f t="shared" si="28"/>
        <v>0</v>
      </c>
      <c r="S304" s="2002">
        <f t="shared" si="29"/>
        <v>0.49629742582938619</v>
      </c>
      <c r="T304" s="2002">
        <f t="shared" si="30"/>
        <v>-0.74522617546273295</v>
      </c>
      <c r="U304" s="2012">
        <f t="shared" si="31"/>
        <v>-8.2976249877782252E-2</v>
      </c>
    </row>
    <row r="305" spans="1:21">
      <c r="A305" s="735" t="s">
        <v>882</v>
      </c>
      <c r="C305" s="9">
        <v>522.79499999999996</v>
      </c>
      <c r="D305" s="739">
        <v>522.79499999999996</v>
      </c>
      <c r="E305" s="737">
        <f>Revenue!AM122+Revenue!AN122</f>
        <v>599.27847306700119</v>
      </c>
      <c r="F305">
        <f>Revenue!AQ122+Revenue!AR122</f>
        <v>820</v>
      </c>
      <c r="H305" s="737">
        <f>Revenue!AG122+Revenue!AH122</f>
        <v>427.09300000000007</v>
      </c>
      <c r="I305" s="739">
        <f>Revenue!AG122+Revenue!AH122</f>
        <v>427.09300000000007</v>
      </c>
      <c r="J305" s="737">
        <f>Revenue!AO122+Revenue!AP122</f>
        <v>862.99045083799956</v>
      </c>
      <c r="K305" s="2013">
        <f t="shared" si="26"/>
        <v>900.43404348612262</v>
      </c>
      <c r="L305" s="2026">
        <f t="shared" si="27"/>
        <v>1763.4244943241222</v>
      </c>
      <c r="M305" s="2006">
        <f t="shared" si="13"/>
        <v>-0.18305836895915206</v>
      </c>
      <c r="N305" s="2006">
        <f t="shared" si="17"/>
        <v>-0.18305836895915206</v>
      </c>
      <c r="O305" s="2006">
        <f t="shared" si="18"/>
        <v>0.44004914179774746</v>
      </c>
      <c r="P305" s="2012">
        <f t="shared" si="32"/>
        <v>2.4644134626481112E-2</v>
      </c>
      <c r="R305" s="2006">
        <f t="shared" si="28"/>
        <v>0</v>
      </c>
      <c r="S305" s="2002">
        <f t="shared" si="29"/>
        <v>0.14629725431000917</v>
      </c>
      <c r="T305" s="2002">
        <f t="shared" si="30"/>
        <v>0.36831212341632269</v>
      </c>
      <c r="U305" s="2012">
        <f t="shared" si="31"/>
        <v>0.17153645924211061</v>
      </c>
    </row>
    <row r="308" spans="1:21">
      <c r="A308" s="220" t="s">
        <v>1029</v>
      </c>
      <c r="K308" s="1973" t="s">
        <v>843</v>
      </c>
      <c r="L308" s="2025" t="s">
        <v>255</v>
      </c>
      <c r="P308" s="2010" t="s">
        <v>1168</v>
      </c>
      <c r="U308" s="2010" t="s">
        <v>1169</v>
      </c>
    </row>
    <row r="309" spans="1:21">
      <c r="A309" s="327" t="s">
        <v>16</v>
      </c>
      <c r="C309" s="1349">
        <f>PL!BO17+PL!BP17</f>
        <v>1303.39429877</v>
      </c>
      <c r="D309" s="1349">
        <f>PL!BS17+PL!BT17</f>
        <v>1682.033930711</v>
      </c>
      <c r="E309" s="1349">
        <f>PL!BW17+PL!BX17</f>
        <v>2020.9155539000001</v>
      </c>
      <c r="F309" s="1349">
        <f>PL!CA17+PL!CB17</f>
        <v>2340.168068255</v>
      </c>
      <c r="H309" s="1349">
        <f>PL!BQ17+PL!BR17</f>
        <v>1486.0344219660001</v>
      </c>
      <c r="I309" s="1349">
        <f>PL!BU17+PL!BV17</f>
        <v>2029.9658508329999</v>
      </c>
      <c r="J309" s="1349">
        <f>PL!BY17+PL!BZ17</f>
        <v>2612.7434148029997</v>
      </c>
      <c r="K309" s="2013">
        <f>F309*(1+AVERAGE(P309,U309))</f>
        <v>2843.2176475405431</v>
      </c>
      <c r="L309" s="2026">
        <f>J309+K309</f>
        <v>5455.9610623435428</v>
      </c>
      <c r="M309" s="2006">
        <f t="shared" ref="M309:O310" si="33">H309/C309-1</f>
        <v>0.14012653221542837</v>
      </c>
      <c r="N309" s="2006">
        <f t="shared" si="33"/>
        <v>0.20685190338278625</v>
      </c>
      <c r="O309" s="2006">
        <f t="shared" si="33"/>
        <v>0.29285135628793557</v>
      </c>
      <c r="P309" s="2012">
        <f>AVERAGE(M309:O309)</f>
        <v>0.2132765972953834</v>
      </c>
      <c r="Q309" s="1349"/>
      <c r="R309" s="2006">
        <f t="shared" ref="R309:T310" si="34">D309/C309-1</f>
        <v>0.29050275292620076</v>
      </c>
      <c r="S309" s="2002">
        <f t="shared" si="34"/>
        <v>0.20147133598295119</v>
      </c>
      <c r="T309" s="2002">
        <f t="shared" si="34"/>
        <v>0.15797419824836356</v>
      </c>
      <c r="U309" s="2012">
        <f>AVERAGE(R309:T309)</f>
        <v>0.21664942905250517</v>
      </c>
    </row>
    <row r="310" spans="1:21">
      <c r="A310" s="327" t="s">
        <v>17</v>
      </c>
      <c r="C310" s="1349">
        <f>PL!BO20+PL!BP20</f>
        <v>1890.036372265</v>
      </c>
      <c r="D310" s="1349">
        <f>PL!BS20+PL!BT20</f>
        <v>2076.9196173750001</v>
      </c>
      <c r="E310" s="1349">
        <f>PL!BW20+PL!BX20</f>
        <v>2778.7324517329998</v>
      </c>
      <c r="F310" s="1349">
        <f>PL!CA20+PL!CB20</f>
        <v>3068.0512225749999</v>
      </c>
      <c r="H310" s="1349">
        <f>PL!BQ20+PL!BR20</f>
        <v>2534.1120637579997</v>
      </c>
      <c r="I310" s="1349">
        <f>PL!BU20+PL!BV20</f>
        <v>2477.9870315850003</v>
      </c>
      <c r="J310" s="1349">
        <f>PL!BY20+PL!BZ20</f>
        <v>3223.235733385</v>
      </c>
      <c r="K310" s="2013">
        <f>F310*(1+AVERAGE(P310,U310))</f>
        <v>3699.4330668680432</v>
      </c>
      <c r="L310" s="2026">
        <f>J310+K310</f>
        <v>6922.6688002530427</v>
      </c>
      <c r="M310" s="2006">
        <f t="shared" si="33"/>
        <v>0.34077423109119653</v>
      </c>
      <c r="N310" s="2006">
        <f t="shared" si="33"/>
        <v>0.19310685442747455</v>
      </c>
      <c r="O310" s="2006">
        <f t="shared" si="33"/>
        <v>0.15996620379006932</v>
      </c>
      <c r="P310" s="2012">
        <f>AVERAGE(M310:O310)</f>
        <v>0.23128242976958013</v>
      </c>
      <c r="Q310" s="1349"/>
      <c r="R310" s="2006">
        <f t="shared" si="34"/>
        <v>9.8878120999354779E-2</v>
      </c>
      <c r="S310" s="2002">
        <f t="shared" si="34"/>
        <v>0.33791044606965315</v>
      </c>
      <c r="T310" s="2002">
        <f t="shared" si="34"/>
        <v>0.10411897362107014</v>
      </c>
      <c r="U310" s="2012">
        <f>AVERAGE(R310:T310)</f>
        <v>0.18030251356335936</v>
      </c>
    </row>
    <row r="311" spans="1:21">
      <c r="A311" s="814" t="s">
        <v>830</v>
      </c>
      <c r="K311" s="2014"/>
      <c r="L311" s="2026"/>
      <c r="P311" s="2009"/>
      <c r="U311" s="2009"/>
    </row>
    <row r="312" spans="1:21">
      <c r="A312" s="814"/>
      <c r="K312" s="2014"/>
      <c r="L312" s="2026"/>
      <c r="P312" s="2009"/>
      <c r="U312" s="2009"/>
    </row>
    <row r="313" spans="1:21">
      <c r="A313" s="2004" t="s">
        <v>912</v>
      </c>
      <c r="C313" s="1349">
        <f>PL!BO24+PL!BP24</f>
        <v>2152.7023814419999</v>
      </c>
      <c r="D313" s="1349">
        <f>PL!BS24+PL!BT24</f>
        <v>2575.7545494870001</v>
      </c>
      <c r="E313" s="1349">
        <f>PL!BW24+PL!BX24</f>
        <v>2996.3616362299999</v>
      </c>
      <c r="F313" s="1349">
        <f>PL!CA24+PL!CB24</f>
        <v>3793.4840169009994</v>
      </c>
      <c r="H313" s="1349">
        <f>PL!BQ24+PL!BR24</f>
        <v>2449.5526562969999</v>
      </c>
      <c r="I313" s="1349">
        <f>PL!BU24+PL!BV24</f>
        <v>2837.3440269459998</v>
      </c>
      <c r="J313" s="1349">
        <f>PL!BY24+PL!BZ24</f>
        <v>3764.7803282309997</v>
      </c>
      <c r="K313" s="2013">
        <f>F313*(1+AVERAGE(P313,U313))</f>
        <v>4502.7085952496209</v>
      </c>
      <c r="L313" s="2026">
        <f>J313+K313</f>
        <v>8267.4889234806215</v>
      </c>
      <c r="M313" s="2002">
        <f>H313/C313-1</f>
        <v>0.13789657010373779</v>
      </c>
      <c r="N313" s="2002">
        <f>I313/D313-1</f>
        <v>0.10155838704083786</v>
      </c>
      <c r="O313" s="2002">
        <f>J313/E313-1</f>
        <v>0.2564505841717486</v>
      </c>
      <c r="P313" s="2012">
        <f>AVERAGE(M313:O313)</f>
        <v>0.16530184710544141</v>
      </c>
      <c r="Q313" s="1349"/>
      <c r="R313" s="2002">
        <f>D313/C313-1</f>
        <v>0.19652143821275292</v>
      </c>
      <c r="S313" s="2002">
        <f>E313/D313-1</f>
        <v>0.16329470788541167</v>
      </c>
      <c r="T313" s="2002">
        <f>F313/E313-1</f>
        <v>0.26603009831414504</v>
      </c>
      <c r="U313" s="2012">
        <f>AVERAGE(R313:T313)</f>
        <v>0.2086154148041032</v>
      </c>
    </row>
    <row r="314" spans="1:21">
      <c r="A314" s="2003" t="s">
        <v>817</v>
      </c>
      <c r="K314" s="2014"/>
      <c r="L314" s="2026"/>
      <c r="P314" s="2009"/>
      <c r="U314" s="2009"/>
    </row>
    <row r="315" spans="1:21">
      <c r="K315" s="2014"/>
      <c r="L315" s="2026"/>
      <c r="P315" s="2009"/>
      <c r="U315" s="2009"/>
    </row>
    <row r="316" spans="1:21">
      <c r="A316" s="2005" t="s">
        <v>22</v>
      </c>
      <c r="C316" s="1349">
        <f>PL!BO47+PL!BP47</f>
        <v>2427.7829768299998</v>
      </c>
      <c r="D316" s="1349">
        <f>PL!BS47+PL!BT47</f>
        <v>2936.2157298110001</v>
      </c>
      <c r="E316" s="1349">
        <f>PL!BW47+PL!BX47</f>
        <v>3636.8924730670001</v>
      </c>
      <c r="F316" s="1349">
        <f>PL!CA47+PL!CB47</f>
        <v>4338.7762804449994</v>
      </c>
      <c r="H316" s="1349">
        <f>PL!BQ47+PL!BR47</f>
        <v>2833.1990122880002</v>
      </c>
      <c r="I316" s="1349">
        <f>PL!BU47+PL!BV47</f>
        <v>3398.9749973510002</v>
      </c>
      <c r="J316" s="1349">
        <f>PL!BY47+PL!BZ47</f>
        <v>4017.0534508379997</v>
      </c>
      <c r="K316" s="2013">
        <f>F316*(1+AVERAGE(P316,U316))</f>
        <v>5112.6465550313533</v>
      </c>
      <c r="L316" s="2026">
        <f>J316+K316</f>
        <v>9129.700005869352</v>
      </c>
      <c r="M316" s="2002">
        <f>H316/C316-1</f>
        <v>0.16699022908026118</v>
      </c>
      <c r="N316" s="2002">
        <f>I316/D316-1</f>
        <v>0.15760397400016224</v>
      </c>
      <c r="O316" s="2002">
        <f>J316/E316-1</f>
        <v>0.10452906721501409</v>
      </c>
      <c r="P316" s="2012">
        <f>AVERAGE(M316:O316)</f>
        <v>0.14304109009847918</v>
      </c>
      <c r="Q316" s="1349"/>
      <c r="R316" s="2002">
        <f>D316/C316-1</f>
        <v>0.20942265343868183</v>
      </c>
      <c r="S316" s="2002">
        <f>E316/D316-1</f>
        <v>0.23863258279768895</v>
      </c>
      <c r="T316" s="2002">
        <f>F316/E316-1</f>
        <v>0.19298998047805882</v>
      </c>
      <c r="U316" s="2012">
        <f>AVERAGE(R316:T316)</f>
        <v>0.21368173890480988</v>
      </c>
    </row>
    <row r="317" spans="1:21">
      <c r="K317" s="2014"/>
      <c r="L317" s="2026"/>
      <c r="P317" s="2009"/>
      <c r="U317" s="2009"/>
    </row>
    <row r="318" spans="1:21">
      <c r="A318" s="2005" t="s">
        <v>23</v>
      </c>
      <c r="C318" s="1349">
        <f>PL!BO53+PL!BP53</f>
        <v>2005.4421713539996</v>
      </c>
      <c r="D318" s="1349">
        <f>PL!BS53+PL!BT53</f>
        <v>2385.5386426140003</v>
      </c>
      <c r="E318" s="1349">
        <f>PL!BW53+PL!BX53</f>
        <v>3111.6437084159998</v>
      </c>
      <c r="F318" s="1349">
        <f>PL!CA53+PL!CB53</f>
        <v>3638.2226212549995</v>
      </c>
      <c r="H318" s="1349">
        <f>PL!BQ53+PL!BR53</f>
        <v>2515.2681434760002</v>
      </c>
      <c r="I318" s="1349">
        <f>PL!BU53+PL!BV53</f>
        <v>2925.6689190380002</v>
      </c>
      <c r="J318" s="1349">
        <f>PL!BY53+PL!BZ53</f>
        <v>3377.1431369049997</v>
      </c>
      <c r="K318" s="2015">
        <f>F318*(1+AVERAGE(P318,U318))</f>
        <v>4383.514447334227</v>
      </c>
      <c r="L318" s="2027">
        <f>J318+K318</f>
        <v>7760.6575842392267</v>
      </c>
      <c r="M318" s="2002">
        <f>H318/C318-1</f>
        <v>0.25422122831783533</v>
      </c>
      <c r="N318" s="2002">
        <f>I318/D318-1</f>
        <v>0.22641858185627273</v>
      </c>
      <c r="O318" s="2002">
        <f>J318/E318-1</f>
        <v>8.5324495144128765E-2</v>
      </c>
      <c r="P318" s="2012">
        <f>AVERAGE(M318:O318)</f>
        <v>0.18865476843941228</v>
      </c>
      <c r="Q318" s="1349"/>
      <c r="R318" s="2002">
        <f>D318/C318-1</f>
        <v>0.18953250145496536</v>
      </c>
      <c r="S318" s="2002">
        <f>E318/D318-1</f>
        <v>0.30437782596820795</v>
      </c>
      <c r="T318" s="2002">
        <f>F318/E318-1</f>
        <v>0.16922853712806907</v>
      </c>
      <c r="U318" s="2012">
        <f>AVERAGE(R318:T318)</f>
        <v>0.22104628818374747</v>
      </c>
    </row>
    <row r="321" spans="1:11">
      <c r="K321" s="1987"/>
    </row>
    <row r="322" spans="1:11">
      <c r="K322" s="1987"/>
    </row>
    <row r="323" spans="1:11">
      <c r="A323" s="34" t="s">
        <v>1218</v>
      </c>
      <c r="B323" s="2161"/>
      <c r="C323" s="2161"/>
      <c r="D323" s="2161"/>
      <c r="E323" s="2161"/>
      <c r="F323" s="2161"/>
      <c r="G323" s="2161"/>
    </row>
    <row r="324" spans="1:11">
      <c r="A324" s="1" t="s">
        <v>1225</v>
      </c>
      <c r="B324" s="1" t="s">
        <v>1223</v>
      </c>
      <c r="C324" s="1" t="s">
        <v>1224</v>
      </c>
      <c r="D324" s="1" t="s">
        <v>201</v>
      </c>
      <c r="F324" s="1" t="s">
        <v>1042</v>
      </c>
      <c r="G324" s="2169" t="s">
        <v>1236</v>
      </c>
      <c r="K324" s="2011"/>
    </row>
    <row r="325" spans="1:11">
      <c r="A325" s="2166" t="s">
        <v>1219</v>
      </c>
      <c r="B325" s="2167">
        <v>27060</v>
      </c>
      <c r="C325" s="2167">
        <v>32827</v>
      </c>
      <c r="D325" s="2168">
        <f>C325/B325-1</f>
        <v>0.21311899482631191</v>
      </c>
      <c r="F325" s="1900">
        <f>Revenue!U10</f>
        <v>61850</v>
      </c>
      <c r="G325" s="2">
        <f>C325/F325</f>
        <v>0.53075181891673406</v>
      </c>
    </row>
    <row r="326" spans="1:11">
      <c r="A326" s="2165" t="s">
        <v>1229</v>
      </c>
      <c r="B326" s="9">
        <v>11731</v>
      </c>
      <c r="C326" s="9">
        <v>15292</v>
      </c>
      <c r="D326" s="2">
        <f>C326/B326-1</f>
        <v>0.30355468417014753</v>
      </c>
      <c r="F326" s="1900">
        <v>23000</v>
      </c>
      <c r="G326" s="2">
        <f>C326/F326</f>
        <v>0.66486956521739127</v>
      </c>
    </row>
    <row r="327" spans="1:11">
      <c r="A327" s="2162" t="s">
        <v>1232</v>
      </c>
      <c r="B327" s="9"/>
      <c r="C327" s="9"/>
      <c r="D327" s="2">
        <v>0.41299999999999998</v>
      </c>
    </row>
    <row r="328" spans="1:11">
      <c r="A328" s="2162" t="s">
        <v>1233</v>
      </c>
      <c r="B328" s="9"/>
      <c r="C328" s="9"/>
      <c r="D328" s="2">
        <v>0.36599999999999999</v>
      </c>
    </row>
    <row r="329" spans="1:11">
      <c r="A329" s="196" t="s">
        <v>1234</v>
      </c>
      <c r="B329" s="2011">
        <f>C329/(1+D329)</f>
        <v>15220.717131474104</v>
      </c>
      <c r="C329" s="9">
        <v>19102</v>
      </c>
      <c r="D329" s="2">
        <v>0.255</v>
      </c>
    </row>
    <row r="330" spans="1:11">
      <c r="A330" s="2165" t="s">
        <v>1235</v>
      </c>
      <c r="B330" s="2011">
        <f>C330/(1+D330)</f>
        <v>3900.375939849624</v>
      </c>
      <c r="C330" s="9">
        <v>4150</v>
      </c>
      <c r="D330" s="2">
        <v>6.4000000000000001E-2</v>
      </c>
      <c r="F330" s="1349">
        <v>8150</v>
      </c>
      <c r="G330" s="2">
        <f>C330/F330</f>
        <v>0.50920245398773001</v>
      </c>
    </row>
    <row r="331" spans="1:11">
      <c r="A331" s="2165"/>
      <c r="B331" s="9"/>
      <c r="C331" s="9"/>
      <c r="D331" s="2"/>
    </row>
    <row r="332" spans="1:11">
      <c r="A332" s="2163" t="s">
        <v>1231</v>
      </c>
      <c r="B332" s="2164">
        <v>4657</v>
      </c>
      <c r="C332" s="2164">
        <v>6772</v>
      </c>
      <c r="D332" s="1044">
        <f t="shared" ref="D332:D337" si="35">C332/B332-1</f>
        <v>0.45415503543053459</v>
      </c>
    </row>
    <row r="333" spans="1:11">
      <c r="A333" s="2166" t="s">
        <v>1220</v>
      </c>
      <c r="B333" s="2167">
        <v>4951</v>
      </c>
      <c r="C333" s="2167">
        <v>5902</v>
      </c>
      <c r="D333" s="2168">
        <f t="shared" si="35"/>
        <v>0.19208240759442541</v>
      </c>
    </row>
    <row r="334" spans="1:11">
      <c r="A334" s="2001" t="s">
        <v>1230</v>
      </c>
      <c r="B334" s="9">
        <v>1892</v>
      </c>
      <c r="C334" s="9">
        <v>2514</v>
      </c>
      <c r="D334" s="2">
        <f t="shared" si="35"/>
        <v>0.32875264270613114</v>
      </c>
    </row>
    <row r="335" spans="1:11">
      <c r="A335" s="1739" t="s">
        <v>1221</v>
      </c>
      <c r="B335" s="9">
        <v>4221</v>
      </c>
      <c r="C335" s="9">
        <v>4994</v>
      </c>
      <c r="D335" s="2">
        <f t="shared" si="35"/>
        <v>0.18313195925136228</v>
      </c>
    </row>
    <row r="336" spans="1:11">
      <c r="A336" s="2166" t="s">
        <v>1222</v>
      </c>
      <c r="B336" s="2167">
        <v>3409</v>
      </c>
      <c r="C336" s="2167">
        <v>4086</v>
      </c>
      <c r="D336" s="2168">
        <f t="shared" si="35"/>
        <v>0.19859196245233202</v>
      </c>
    </row>
    <row r="337" spans="1:8">
      <c r="A337" s="2166" t="s">
        <v>0</v>
      </c>
      <c r="B337" s="2167">
        <v>2707</v>
      </c>
      <c r="C337" s="2167">
        <v>3227</v>
      </c>
      <c r="D337" s="2168">
        <f t="shared" si="35"/>
        <v>0.19209456963428151</v>
      </c>
    </row>
    <row r="338" spans="1:8">
      <c r="A338" s="2161"/>
      <c r="B338" s="2161"/>
      <c r="C338" s="2161"/>
      <c r="D338" s="2168"/>
    </row>
    <row r="339" spans="1:8">
      <c r="A339" s="34" t="s">
        <v>1226</v>
      </c>
      <c r="B339" s="34" t="s">
        <v>1223</v>
      </c>
      <c r="C339" s="34" t="s">
        <v>1224</v>
      </c>
      <c r="D339" s="34" t="s">
        <v>201</v>
      </c>
    </row>
    <row r="340" spans="1:8">
      <c r="A340" s="2166" t="s">
        <v>921</v>
      </c>
      <c r="B340" s="2170">
        <v>15628.617363344052</v>
      </c>
      <c r="C340" s="2167">
        <v>19442</v>
      </c>
      <c r="D340" s="2168">
        <f>C340/B340-1</f>
        <v>0.24399999999999999</v>
      </c>
      <c r="E340" s="268"/>
      <c r="F340" s="696">
        <v>31150</v>
      </c>
      <c r="G340" s="2">
        <f>C340/F340</f>
        <v>0.62414125200642057</v>
      </c>
    </row>
    <row r="341" spans="1:8">
      <c r="A341" s="2166" t="s">
        <v>895</v>
      </c>
      <c r="B341" s="2170">
        <v>9562.4421831637374</v>
      </c>
      <c r="C341" s="2167">
        <v>10337</v>
      </c>
      <c r="D341" s="2168">
        <f>C341/B341-1</f>
        <v>8.0999999999999961E-2</v>
      </c>
      <c r="E341" s="268"/>
      <c r="F341" s="696">
        <v>16739</v>
      </c>
      <c r="G341" s="2">
        <f>C341/F341</f>
        <v>0.61753987693410595</v>
      </c>
      <c r="H341" s="598"/>
    </row>
    <row r="342" spans="1:8">
      <c r="A342" s="2166" t="s">
        <v>1227</v>
      </c>
      <c r="B342" s="2170">
        <v>1865.8909981628904</v>
      </c>
      <c r="C342" s="2167">
        <v>3047</v>
      </c>
      <c r="D342" s="2168">
        <f>C342/B342-1</f>
        <v>0.63300000000000001</v>
      </c>
      <c r="E342" s="268"/>
      <c r="F342" s="696">
        <v>4400</v>
      </c>
      <c r="G342" s="2">
        <f>C342/F342</f>
        <v>0.6925</v>
      </c>
    </row>
    <row r="343" spans="1:8">
      <c r="A343" s="2161"/>
      <c r="B343" s="2161"/>
      <c r="C343" s="2161"/>
      <c r="D343" s="2161"/>
      <c r="E343" s="268"/>
      <c r="F343" s="2011"/>
    </row>
    <row r="344" spans="1:8">
      <c r="A344" s="2161"/>
      <c r="B344" s="2161"/>
      <c r="C344" s="2161"/>
      <c r="D344" s="2161"/>
      <c r="E344" s="268"/>
      <c r="F344" s="2011"/>
    </row>
    <row r="345" spans="1:8">
      <c r="A345" s="34" t="s">
        <v>1228</v>
      </c>
      <c r="B345" s="34" t="s">
        <v>1223</v>
      </c>
      <c r="C345" s="34" t="s">
        <v>1224</v>
      </c>
      <c r="D345" s="34" t="s">
        <v>201</v>
      </c>
      <c r="E345" s="268"/>
      <c r="F345" s="2011"/>
    </row>
    <row r="346" spans="1:8">
      <c r="A346" s="2166" t="s">
        <v>921</v>
      </c>
      <c r="B346" s="2170">
        <v>2209.6774193548385</v>
      </c>
      <c r="C346" s="2167">
        <v>2740</v>
      </c>
      <c r="D346" s="2168">
        <f>C346/B346-1</f>
        <v>0.24</v>
      </c>
      <c r="E346" s="268"/>
      <c r="F346" s="2011"/>
    </row>
    <row r="347" spans="1:8">
      <c r="A347" s="2166" t="s">
        <v>895</v>
      </c>
      <c r="B347" s="2170">
        <v>1930.3201506591336</v>
      </c>
      <c r="C347" s="2167">
        <v>2050</v>
      </c>
      <c r="D347" s="2168">
        <f>C347/B347-1</f>
        <v>6.2000000000000055E-2</v>
      </c>
      <c r="E347" s="268"/>
      <c r="F347" s="2011"/>
    </row>
    <row r="348" spans="1:8">
      <c r="A348" s="2166" t="s">
        <v>1227</v>
      </c>
      <c r="B348" s="2170">
        <v>811.81619256017507</v>
      </c>
      <c r="C348" s="2167">
        <v>1113</v>
      </c>
      <c r="D348" s="2168">
        <f>C348/B348-1</f>
        <v>0.371</v>
      </c>
    </row>
    <row r="349" spans="1:8">
      <c r="B349" s="2011"/>
      <c r="D349" s="2"/>
    </row>
    <row r="350" spans="1:8">
      <c r="B350" s="2011"/>
      <c r="D350" s="2"/>
    </row>
    <row r="356" spans="1:5">
      <c r="B356" s="2173" t="s">
        <v>1237</v>
      </c>
      <c r="C356" s="2173" t="s">
        <v>1238</v>
      </c>
      <c r="E356" s="1447" t="s">
        <v>1240</v>
      </c>
    </row>
    <row r="357" spans="1:5">
      <c r="A357" s="2173" t="s">
        <v>1239</v>
      </c>
      <c r="B357">
        <v>2018</v>
      </c>
      <c r="C357" s="9">
        <v>27139</v>
      </c>
      <c r="E357" s="1963">
        <v>16940</v>
      </c>
    </row>
    <row r="358" spans="1:5">
      <c r="B358">
        <v>2019</v>
      </c>
      <c r="C358" s="9">
        <v>39833</v>
      </c>
      <c r="E358" s="1963">
        <v>17628</v>
      </c>
    </row>
    <row r="359" spans="1:5">
      <c r="B359">
        <v>2020</v>
      </c>
      <c r="C359" s="9">
        <v>52005</v>
      </c>
      <c r="E359" s="1963">
        <v>18728</v>
      </c>
    </row>
    <row r="360" spans="1:5">
      <c r="B360">
        <v>2021</v>
      </c>
      <c r="C360" s="9">
        <v>74313</v>
      </c>
      <c r="E360" s="1963">
        <v>24068</v>
      </c>
    </row>
    <row r="361" spans="1:5">
      <c r="B361">
        <v>2022</v>
      </c>
      <c r="C361" s="9">
        <v>108100</v>
      </c>
      <c r="E361" s="1964">
        <v>28533</v>
      </c>
    </row>
    <row r="365" spans="1:5">
      <c r="C365" s="2174">
        <f>(C361/C357)^0.2</f>
        <v>1.3183974992706666</v>
      </c>
    </row>
    <row r="366" spans="1:5">
      <c r="C366" s="2">
        <f>C365-1</f>
        <v>0.31839749927066663</v>
      </c>
    </row>
    <row r="371" spans="1:16" ht="13.5" thickBot="1"/>
    <row r="372" spans="1:16" ht="13.5" thickBot="1">
      <c r="A372" s="2315" t="s">
        <v>1487</v>
      </c>
      <c r="B372" s="2316"/>
      <c r="C372" s="2316"/>
      <c r="D372" s="2316"/>
      <c r="E372" s="2316"/>
      <c r="F372" s="2316"/>
      <c r="G372" s="2316"/>
      <c r="H372" s="2316"/>
      <c r="I372" s="2316"/>
      <c r="J372" s="2316"/>
      <c r="K372" s="2316"/>
      <c r="L372" s="2316"/>
      <c r="M372" s="2316"/>
      <c r="N372" s="2316"/>
      <c r="O372" s="2316"/>
      <c r="P372" s="2317"/>
    </row>
    <row r="375" spans="1:16">
      <c r="B375">
        <v>2019</v>
      </c>
      <c r="C375">
        <v>2020</v>
      </c>
      <c r="D375">
        <v>2021</v>
      </c>
      <c r="E375">
        <v>2022</v>
      </c>
      <c r="F375">
        <v>2023</v>
      </c>
      <c r="I375" t="s">
        <v>1492</v>
      </c>
      <c r="J375" t="s">
        <v>1491</v>
      </c>
      <c r="K375" t="s">
        <v>1342</v>
      </c>
      <c r="L375" t="s">
        <v>1243</v>
      </c>
      <c r="M375" t="s">
        <v>1790</v>
      </c>
      <c r="N375" t="s">
        <v>2060</v>
      </c>
    </row>
    <row r="376" spans="1:16">
      <c r="A376" s="1447" t="s">
        <v>1489</v>
      </c>
      <c r="B376" s="9">
        <v>10643</v>
      </c>
      <c r="C376" s="9">
        <v>13095</v>
      </c>
      <c r="D376" s="9">
        <v>15541</v>
      </c>
      <c r="E376" s="9">
        <v>21594</v>
      </c>
      <c r="F376" s="1349">
        <v>29717</v>
      </c>
      <c r="I376" s="1349">
        <v>9595</v>
      </c>
      <c r="J376" s="1349">
        <v>12807</v>
      </c>
      <c r="K376" s="9">
        <v>16799</v>
      </c>
      <c r="L376" s="9">
        <v>20700</v>
      </c>
    </row>
    <row r="377" spans="1:16">
      <c r="A377" s="1447" t="s">
        <v>1248</v>
      </c>
      <c r="B377" s="9"/>
      <c r="C377" s="598">
        <f>C376/B376-1</f>
        <v>0.23038616931316369</v>
      </c>
      <c r="D377" s="598">
        <f>D376/C376-1</f>
        <v>0.18678885070637641</v>
      </c>
      <c r="E377" s="598">
        <f>E376/D376-1</f>
        <v>0.38948587606975105</v>
      </c>
      <c r="F377" s="598">
        <f>F376/E376-1</f>
        <v>0.37616930628878387</v>
      </c>
      <c r="K377" s="598"/>
      <c r="L377" s="598">
        <v>0.23200000000000001</v>
      </c>
    </row>
    <row r="378" spans="1:16">
      <c r="A378" s="1447" t="s">
        <v>1488</v>
      </c>
      <c r="B378" s="9">
        <v>10848.063</v>
      </c>
      <c r="C378" s="9">
        <v>12000.26</v>
      </c>
      <c r="D378" s="9">
        <v>14540.800999999999</v>
      </c>
      <c r="E378" s="9">
        <v>18915.493999999999</v>
      </c>
      <c r="I378" s="1349">
        <v>8779</v>
      </c>
      <c r="J378" s="1349">
        <v>10415</v>
      </c>
      <c r="K378" s="9">
        <v>13479</v>
      </c>
      <c r="L378" s="9">
        <v>17626</v>
      </c>
    </row>
    <row r="379" spans="1:16">
      <c r="A379" s="1447" t="s">
        <v>1490</v>
      </c>
      <c r="B379" s="598">
        <f t="shared" ref="B379:E379" si="36">B376/B378</f>
        <v>0.98109680963320367</v>
      </c>
      <c r="C379" s="598">
        <f t="shared" si="36"/>
        <v>1.0912263567622702</v>
      </c>
      <c r="D379" s="598">
        <f t="shared" si="36"/>
        <v>1.0687856879411251</v>
      </c>
      <c r="E379" s="598">
        <f t="shared" si="36"/>
        <v>1.1416038090255534</v>
      </c>
      <c r="I379" s="598">
        <f>I376/I378</f>
        <v>1.0929490830390705</v>
      </c>
      <c r="J379" s="598">
        <f>J376/J378</f>
        <v>1.22966874699952</v>
      </c>
      <c r="K379" s="598">
        <f>K376/K378</f>
        <v>1.2463090733733957</v>
      </c>
      <c r="L379" s="598">
        <f>L376/L378</f>
        <v>1.1744014523998638</v>
      </c>
    </row>
    <row r="382" spans="1:16">
      <c r="M382" s="1349"/>
    </row>
    <row r="383" spans="1:16">
      <c r="M383" s="1349"/>
    </row>
    <row r="384" spans="1:16">
      <c r="M384" s="1349"/>
    </row>
    <row r="431" spans="1:9">
      <c r="A431" s="1349">
        <v>1000</v>
      </c>
    </row>
    <row r="432" spans="1:9">
      <c r="B432" s="2459" t="s">
        <v>169</v>
      </c>
      <c r="C432" s="2460">
        <v>22790</v>
      </c>
      <c r="D432" s="2460">
        <v>23227</v>
      </c>
      <c r="E432" s="2460">
        <v>23236</v>
      </c>
      <c r="F432" s="2461">
        <v>22936</v>
      </c>
      <c r="G432" s="2460">
        <v>23409</v>
      </c>
      <c r="H432" s="2462">
        <v>22836</v>
      </c>
      <c r="I432" s="2451">
        <v>24991</v>
      </c>
    </row>
    <row r="433" spans="2:9">
      <c r="B433" s="2475"/>
      <c r="C433" s="2476">
        <v>2018</v>
      </c>
      <c r="D433" s="2476">
        <v>2019</v>
      </c>
      <c r="E433" s="2476">
        <v>2020</v>
      </c>
      <c r="F433" s="2476">
        <v>2021</v>
      </c>
      <c r="G433" s="2476">
        <v>2022</v>
      </c>
      <c r="H433" s="2477">
        <v>2023</v>
      </c>
      <c r="I433" t="s">
        <v>1676</v>
      </c>
    </row>
    <row r="434" spans="2:9" hidden="1">
      <c r="B434" s="2464" t="s">
        <v>140</v>
      </c>
      <c r="C434" s="2452">
        <v>23213.536857725001</v>
      </c>
      <c r="D434" s="2453">
        <v>27716.960152274998</v>
      </c>
      <c r="E434" s="2453">
        <v>29830.400526824</v>
      </c>
      <c r="F434" s="2453">
        <v>35657.262545026999</v>
      </c>
      <c r="G434" s="2453">
        <v>44009.527680911</v>
      </c>
      <c r="H434" s="2465">
        <v>52617.900827384998</v>
      </c>
    </row>
    <row r="435" spans="2:9">
      <c r="B435" s="2464" t="s">
        <v>140</v>
      </c>
      <c r="C435" s="2454">
        <f t="shared" ref="C435:H435" si="37">C434/C432*$A$431</f>
        <v>1018.5843289918826</v>
      </c>
      <c r="D435" s="2454">
        <f t="shared" si="37"/>
        <v>1193.3077949057131</v>
      </c>
      <c r="E435" s="2454">
        <f t="shared" si="37"/>
        <v>1283.8010211234291</v>
      </c>
      <c r="F435" s="2454">
        <f t="shared" si="37"/>
        <v>1554.641722402642</v>
      </c>
      <c r="G435" s="2454">
        <f t="shared" si="37"/>
        <v>1880.0259592853604</v>
      </c>
      <c r="H435" s="2466">
        <f t="shared" si="37"/>
        <v>2304.1645133729639</v>
      </c>
    </row>
    <row r="436" spans="2:9" hidden="1">
      <c r="B436" s="2467" t="s">
        <v>23</v>
      </c>
      <c r="C436" s="2455">
        <v>3233.9971410450016</v>
      </c>
      <c r="D436" s="2456">
        <v>3135.3503766539989</v>
      </c>
      <c r="E436" s="2456">
        <v>3538.0077388219988</v>
      </c>
      <c r="F436" s="2456">
        <v>4337.4118798020008</v>
      </c>
      <c r="G436" s="2456">
        <v>5310.1085914080013</v>
      </c>
      <c r="H436" s="2468">
        <v>6465.1904326219965</v>
      </c>
    </row>
    <row r="437" spans="2:9">
      <c r="B437" s="2467" t="s">
        <v>23</v>
      </c>
      <c r="C437" s="2457">
        <f t="shared" ref="C437:H437" si="38">C436/C432*$A$431</f>
        <v>141.90421856274691</v>
      </c>
      <c r="D437" s="2457">
        <f t="shared" si="38"/>
        <v>134.98731548000168</v>
      </c>
      <c r="E437" s="2457">
        <f t="shared" si="38"/>
        <v>152.26406174995691</v>
      </c>
      <c r="F437" s="2457">
        <f t="shared" si="38"/>
        <v>189.10934250967915</v>
      </c>
      <c r="G437" s="2457">
        <f t="shared" si="38"/>
        <v>226.84047124644374</v>
      </c>
      <c r="H437" s="2469">
        <f t="shared" si="38"/>
        <v>283.11396184191614</v>
      </c>
    </row>
    <row r="438" spans="2:9">
      <c r="B438" s="2463" t="s">
        <v>1675</v>
      </c>
      <c r="C438" s="2458"/>
      <c r="D438" s="2458">
        <f t="shared" ref="D438:G438" si="39">D437/C437-1</f>
        <v>-4.8743463392434072E-2</v>
      </c>
      <c r="E438" s="2458">
        <f t="shared" si="39"/>
        <v>0.12798792396545422</v>
      </c>
      <c r="F438" s="2458">
        <f t="shared" si="39"/>
        <v>0.24198277870866436</v>
      </c>
      <c r="G438" s="2458">
        <f t="shared" si="39"/>
        <v>0.19952017301754088</v>
      </c>
      <c r="H438" s="2470">
        <f>H437/G437-1</f>
        <v>0.24807517938161849</v>
      </c>
    </row>
    <row r="439" spans="2:9">
      <c r="B439" s="2471" t="s">
        <v>1048</v>
      </c>
      <c r="C439" s="2472"/>
      <c r="D439" s="2473">
        <f t="shared" ref="D439:G439" si="40">D437/D435</f>
        <v>0.1131202830118674</v>
      </c>
      <c r="E439" s="2473">
        <f t="shared" si="40"/>
        <v>0.11860409771033957</v>
      </c>
      <c r="F439" s="2473">
        <f t="shared" si="40"/>
        <v>0.12164175178408153</v>
      </c>
      <c r="G439" s="2473">
        <f t="shared" si="40"/>
        <v>0.1206581590674795</v>
      </c>
      <c r="H439" s="2474">
        <f>H437/H435</f>
        <v>0.12287055034428866</v>
      </c>
    </row>
    <row r="462" spans="2:8" ht="16.5" thickBot="1">
      <c r="B462" s="3653" t="s">
        <v>1678</v>
      </c>
      <c r="C462" s="3654"/>
      <c r="D462" s="3654"/>
      <c r="E462" s="3654"/>
      <c r="F462" s="3655"/>
      <c r="G462" s="2488"/>
      <c r="H462" s="2488"/>
    </row>
    <row r="463" spans="2:8" ht="32.25" thickBot="1">
      <c r="B463" s="2489" t="s">
        <v>1679</v>
      </c>
      <c r="C463" s="2484" t="s">
        <v>1143</v>
      </c>
      <c r="D463" s="2484" t="s">
        <v>1680</v>
      </c>
      <c r="E463" s="2484" t="s">
        <v>22</v>
      </c>
      <c r="F463" s="2490" t="s">
        <v>1680</v>
      </c>
      <c r="G463" s="2484" t="s">
        <v>1048</v>
      </c>
    </row>
    <row r="464" spans="2:8" ht="16.5" thickBot="1">
      <c r="B464" s="2491" t="s">
        <v>921</v>
      </c>
      <c r="C464" s="2492">
        <f>C471/$I$432*1000</f>
        <v>723.34040254491617</v>
      </c>
      <c r="D464" s="2487">
        <v>0.27300000000000002</v>
      </c>
      <c r="E464" s="2493">
        <f>E470/$I$432*1000</f>
        <v>98.115321515745677</v>
      </c>
      <c r="F464" s="2494">
        <v>0.223</v>
      </c>
      <c r="G464" s="2512">
        <f>E464/C464</f>
        <v>0.13564197599159153</v>
      </c>
    </row>
    <row r="465" spans="2:21" ht="16.5" thickBot="1">
      <c r="B465" s="2491" t="s">
        <v>895</v>
      </c>
      <c r="C465" s="2492">
        <f>C472/$I$432*1000</f>
        <v>329.87875635228681</v>
      </c>
      <c r="D465" s="2487">
        <v>7.2999999999999995E-2</v>
      </c>
      <c r="E465" s="2493">
        <f>E471/$I$432*1000</f>
        <v>70.385338721939902</v>
      </c>
      <c r="F465" s="2494">
        <v>0.16200000000000001</v>
      </c>
      <c r="G465" s="2512">
        <f t="shared" ref="G465:G466" si="41">E465/C465</f>
        <v>0.21336729742843283</v>
      </c>
    </row>
    <row r="466" spans="2:21" ht="16.5" thickBot="1">
      <c r="B466" s="2491" t="s">
        <v>1227</v>
      </c>
      <c r="C466" s="2492">
        <f>C473/$I$432*1000</f>
        <v>120.72346044576048</v>
      </c>
      <c r="D466" s="2487">
        <v>0.32200000000000001</v>
      </c>
      <c r="E466" s="2493">
        <f>E472/$I$432*1000</f>
        <v>39.494217918450637</v>
      </c>
      <c r="F466" s="2494">
        <v>0.20399999999999999</v>
      </c>
      <c r="G466" s="2512">
        <f t="shared" si="41"/>
        <v>0.32714617169373544</v>
      </c>
    </row>
    <row r="467" spans="2:21" ht="15.75">
      <c r="B467" s="2495" t="s">
        <v>1681</v>
      </c>
      <c r="C467" s="2496">
        <f>C474/$I$432*1000</f>
        <v>1173.9426193429633</v>
      </c>
      <c r="D467" s="2497"/>
      <c r="E467" s="2498">
        <f>E473/$I$432*1000</f>
        <v>207.9948781561362</v>
      </c>
      <c r="F467" s="2499"/>
    </row>
    <row r="468" spans="2:21" ht="13.5" thickBot="1">
      <c r="P468" s="2573">
        <v>45565</v>
      </c>
    </row>
    <row r="469" spans="2:21" ht="32.25" thickBot="1">
      <c r="E469" s="2484" t="s">
        <v>22</v>
      </c>
      <c r="P469" t="s">
        <v>1683</v>
      </c>
      <c r="R469" t="s">
        <v>1673</v>
      </c>
      <c r="S469" t="s">
        <v>1684</v>
      </c>
      <c r="T469" t="s">
        <v>1685</v>
      </c>
      <c r="U469" t="s">
        <v>1686</v>
      </c>
    </row>
    <row r="470" spans="2:21" ht="16.5" thickBot="1">
      <c r="C470" s="2484" t="s">
        <v>1143</v>
      </c>
      <c r="E470" s="2486">
        <v>2452</v>
      </c>
    </row>
    <row r="471" spans="2:21" ht="16.5" thickBot="1">
      <c r="C471" s="2486">
        <v>18077</v>
      </c>
      <c r="E471" s="2486">
        <v>1759</v>
      </c>
    </row>
    <row r="472" spans="2:21" ht="16.5" thickBot="1">
      <c r="C472" s="2486">
        <v>8244</v>
      </c>
      <c r="E472" s="2485">
        <v>987</v>
      </c>
    </row>
    <row r="473" spans="2:21" ht="16.5" thickBot="1">
      <c r="C473" s="2486">
        <v>3017</v>
      </c>
      <c r="E473" s="2486">
        <v>5198</v>
      </c>
    </row>
    <row r="474" spans="2:21" ht="16.5" thickBot="1">
      <c r="C474" s="2486">
        <v>29338</v>
      </c>
    </row>
    <row r="478" spans="2:21">
      <c r="P478" t="s">
        <v>1799</v>
      </c>
      <c r="R478">
        <v>30</v>
      </c>
      <c r="S478">
        <v>30</v>
      </c>
      <c r="U478">
        <v>5000</v>
      </c>
    </row>
    <row r="480" spans="2:21">
      <c r="C480">
        <v>36.179699999999997</v>
      </c>
      <c r="D480">
        <v>11.231</v>
      </c>
      <c r="E480">
        <v>7591578.4901999999</v>
      </c>
    </row>
    <row r="481" spans="1:54" ht="15">
      <c r="AW481" s="3162" t="s">
        <v>1688</v>
      </c>
      <c r="AX481" s="3161"/>
      <c r="AY481" s="3161">
        <v>24.336099999999998</v>
      </c>
      <c r="AZ481" s="3161">
        <v>30.632000000000001</v>
      </c>
      <c r="BA481" s="3163">
        <v>6639740.0640000002</v>
      </c>
      <c r="BB481" s="3163" t="e">
        <v>#DIV/0!</v>
      </c>
    </row>
    <row r="482" spans="1:54" ht="15">
      <c r="B482" s="2505" t="s">
        <v>1895</v>
      </c>
      <c r="C482" s="2506"/>
      <c r="D482" s="2506"/>
      <c r="E482" s="2506"/>
      <c r="F482" s="2506"/>
      <c r="G482" s="2506"/>
      <c r="H482" s="2500"/>
      <c r="I482" s="2500" t="s">
        <v>1682</v>
      </c>
      <c r="J482" s="2500"/>
      <c r="AW482" s="3162" t="s">
        <v>1690</v>
      </c>
      <c r="AX482" s="3161"/>
      <c r="AY482" s="3164">
        <v>20.1614</v>
      </c>
      <c r="AZ482" s="3164">
        <v>28.343</v>
      </c>
      <c r="BA482" s="3163">
        <v>175093220.42039999</v>
      </c>
      <c r="BB482" s="3163" t="e">
        <v>#DIV/0!</v>
      </c>
    </row>
    <row r="483" spans="1:54" ht="15">
      <c r="B483" s="2510" t="s">
        <v>1683</v>
      </c>
      <c r="C483" s="2510" t="s">
        <v>2003</v>
      </c>
      <c r="D483" s="2510" t="s">
        <v>1673</v>
      </c>
      <c r="E483" s="2510" t="s">
        <v>1684</v>
      </c>
      <c r="F483" s="2510" t="s">
        <v>1685</v>
      </c>
      <c r="G483" s="2510" t="s">
        <v>1686</v>
      </c>
      <c r="H483" s="2500"/>
      <c r="I483" s="2500" t="s">
        <v>1687</v>
      </c>
      <c r="J483" s="2503">
        <v>26000</v>
      </c>
      <c r="AW483" s="3162" t="s">
        <v>1802</v>
      </c>
      <c r="AX483" s="3161"/>
      <c r="AY483" s="3164">
        <v>23.370999999999999</v>
      </c>
      <c r="AZ483" s="3164">
        <v>12.5387</v>
      </c>
      <c r="BA483" s="3163">
        <v>8029430.6660000002</v>
      </c>
      <c r="BB483" s="3163" t="e">
        <v>#DIV/0!</v>
      </c>
    </row>
    <row r="484" spans="1:54" ht="15">
      <c r="A484" s="2936"/>
      <c r="B484" s="3162" t="s">
        <v>1688</v>
      </c>
      <c r="C484" s="3101">
        <v>2.23</v>
      </c>
      <c r="D484" s="3165">
        <v>24.336099999999998</v>
      </c>
      <c r="E484" s="3161">
        <v>30.632000000000001</v>
      </c>
      <c r="F484" s="3163">
        <v>6639740.0640000002</v>
      </c>
      <c r="G484" s="9">
        <f>F484/J484</f>
        <v>77657.778526315786</v>
      </c>
      <c r="H484" s="2500"/>
      <c r="I484" s="2500" t="s">
        <v>1689</v>
      </c>
      <c r="J484" s="2502">
        <v>85.5</v>
      </c>
      <c r="AW484" s="3162" t="s">
        <v>1807</v>
      </c>
      <c r="AX484" s="3161"/>
      <c r="AY484" s="3164">
        <v>27.159300000000002</v>
      </c>
      <c r="AZ484" s="3164">
        <v>24.6067</v>
      </c>
      <c r="BA484" s="3163">
        <v>4691006.1804</v>
      </c>
      <c r="BB484" s="3163" t="e">
        <v>#DIV/0!</v>
      </c>
    </row>
    <row r="485" spans="1:54" ht="15">
      <c r="A485" s="2936"/>
      <c r="B485" s="3162" t="s">
        <v>1690</v>
      </c>
      <c r="C485" s="3101">
        <v>1.02</v>
      </c>
      <c r="D485" s="3166">
        <v>20.1614</v>
      </c>
      <c r="E485" s="3164">
        <v>28.343</v>
      </c>
      <c r="F485" s="3163">
        <v>175093220.42039999</v>
      </c>
      <c r="G485" s="9">
        <f>F485/J483</f>
        <v>6734.354631553846</v>
      </c>
      <c r="H485" s="2500"/>
      <c r="I485" s="2500" t="s">
        <v>1691</v>
      </c>
      <c r="J485" s="2501">
        <v>7.2</v>
      </c>
      <c r="AW485" s="3162" t="s">
        <v>1692</v>
      </c>
      <c r="AX485" s="3161"/>
      <c r="AY485" s="3164">
        <v>27.2088</v>
      </c>
      <c r="AZ485" s="3164">
        <v>22.640899999999998</v>
      </c>
      <c r="BA485" s="3163">
        <v>274593.24219999998</v>
      </c>
      <c r="BB485" s="3163">
        <v>203626</v>
      </c>
    </row>
    <row r="486" spans="1:54" ht="15">
      <c r="A486" s="2936"/>
      <c r="B486" s="3162" t="s">
        <v>1802</v>
      </c>
      <c r="C486" s="3101">
        <v>1.8</v>
      </c>
      <c r="D486" s="3166">
        <v>23.370999999999999</v>
      </c>
      <c r="E486" s="3164">
        <v>12.5387</v>
      </c>
      <c r="F486" s="3163">
        <v>8029430.6660000002</v>
      </c>
      <c r="G486" s="9">
        <f>F486/J483</f>
        <v>308.82425638461541</v>
      </c>
      <c r="H486" s="2500"/>
      <c r="I486" s="2500" t="s">
        <v>1898</v>
      </c>
      <c r="J486" s="2501">
        <v>143.80000000000001</v>
      </c>
      <c r="AW486" s="3162" t="s">
        <v>1798</v>
      </c>
      <c r="AX486" s="3161"/>
      <c r="AY486" s="3164">
        <v>20.666699999999999</v>
      </c>
      <c r="AZ486" s="3164">
        <v>16.328199999999999</v>
      </c>
      <c r="BA486" s="3163">
        <v>2788086.9761999999</v>
      </c>
      <c r="BB486" s="3163" t="e">
        <v>#DIV/0!</v>
      </c>
    </row>
    <row r="487" spans="1:54" ht="15">
      <c r="A487" s="2936"/>
      <c r="B487" s="3162" t="s">
        <v>1807</v>
      </c>
      <c r="C487" s="3101">
        <v>3.1</v>
      </c>
      <c r="D487" s="3166">
        <v>27.159300000000002</v>
      </c>
      <c r="E487" s="3164">
        <v>24.6067</v>
      </c>
      <c r="F487" s="3163">
        <v>4691006.1804</v>
      </c>
      <c r="G487" s="9">
        <f>F487/J484</f>
        <v>54865.569361403512</v>
      </c>
      <c r="H487" s="2500"/>
      <c r="I487" s="2500"/>
      <c r="J487" s="2503"/>
      <c r="AW487" s="3162" t="s">
        <v>1694</v>
      </c>
      <c r="AX487" s="3161"/>
      <c r="AY487" s="3164">
        <v>25.421199999999999</v>
      </c>
      <c r="AZ487" s="3164">
        <v>50.698599999999999</v>
      </c>
      <c r="BA487" s="3163">
        <v>12525818.987299999</v>
      </c>
      <c r="BB487" s="3163">
        <v>176000</v>
      </c>
    </row>
    <row r="488" spans="1:54" ht="15">
      <c r="A488" s="2936"/>
      <c r="B488" s="3162" t="s">
        <v>1692</v>
      </c>
      <c r="C488" s="3101">
        <v>1.65</v>
      </c>
      <c r="D488" s="3166">
        <v>27.2088</v>
      </c>
      <c r="E488" s="3164">
        <v>22.640899999999998</v>
      </c>
      <c r="F488" s="3163">
        <v>274593.24219999998</v>
      </c>
      <c r="G488" s="9">
        <v>203626</v>
      </c>
      <c r="H488" s="2500"/>
      <c r="I488" s="2500"/>
      <c r="J488" s="2503"/>
      <c r="AW488" s="3162" t="s">
        <v>1693</v>
      </c>
      <c r="AX488" s="3161"/>
      <c r="AY488" s="3164">
        <v>24.9726</v>
      </c>
      <c r="AZ488" s="3164">
        <v>27.268899999999999</v>
      </c>
      <c r="BA488" s="3161">
        <v>197394.34710000001</v>
      </c>
      <c r="BB488" s="3163" t="e">
        <v>#DIV/0!</v>
      </c>
    </row>
    <row r="489" spans="1:54" ht="15">
      <c r="A489" s="2936"/>
      <c r="B489" s="3162" t="s">
        <v>1798</v>
      </c>
      <c r="C489" s="3101">
        <v>2.39</v>
      </c>
      <c r="D489" s="3166">
        <v>20.666699999999999</v>
      </c>
      <c r="E489" s="3164">
        <v>16.328199999999999</v>
      </c>
      <c r="F489" s="3163">
        <v>2788086.9761999999</v>
      </c>
      <c r="G489" s="9">
        <f>F489/J484</f>
        <v>32609.204399999999</v>
      </c>
      <c r="H489" s="2500"/>
      <c r="I489" s="2500"/>
      <c r="J489" s="2503"/>
      <c r="AW489" s="3162" t="s">
        <v>1896</v>
      </c>
      <c r="AX489" s="3161"/>
      <c r="AY489" s="3164">
        <v>15.6275</v>
      </c>
      <c r="AZ489" s="3164">
        <v>16.692900000000002</v>
      </c>
      <c r="BA489" s="3163">
        <v>38156.67</v>
      </c>
      <c r="BB489" s="3163">
        <v>38066</v>
      </c>
    </row>
    <row r="490" spans="1:54" ht="15">
      <c r="A490" s="2936"/>
      <c r="B490" s="3162" t="s">
        <v>1694</v>
      </c>
      <c r="C490" s="3101">
        <v>2.23</v>
      </c>
      <c r="D490" s="3166">
        <v>25.421199999999999</v>
      </c>
      <c r="E490" s="3164">
        <v>50.698599999999999</v>
      </c>
      <c r="F490" s="3163">
        <v>12525818.987299999</v>
      </c>
      <c r="G490" s="9">
        <f>F490/J484</f>
        <v>146500.80686900584</v>
      </c>
      <c r="H490" s="2500"/>
      <c r="I490" s="2500"/>
      <c r="J490" s="2503"/>
      <c r="Q490" t="s">
        <v>1670</v>
      </c>
      <c r="T490" t="s">
        <v>1995</v>
      </c>
      <c r="W490" t="s">
        <v>1694</v>
      </c>
      <c r="Z490" t="s">
        <v>1996</v>
      </c>
      <c r="AC490" t="s">
        <v>1997</v>
      </c>
      <c r="AF490" t="s">
        <v>1998</v>
      </c>
      <c r="AI490" t="s">
        <v>1999</v>
      </c>
      <c r="AL490" t="s">
        <v>1891</v>
      </c>
      <c r="AO490" t="s">
        <v>2000</v>
      </c>
      <c r="AR490" t="s">
        <v>1698</v>
      </c>
      <c r="AW490" s="3161" t="s">
        <v>1889</v>
      </c>
      <c r="AX490" s="3161"/>
      <c r="AY490" s="3164">
        <v>30.292400000000001</v>
      </c>
      <c r="AZ490" s="3164">
        <v>20.437899999999999</v>
      </c>
      <c r="BA490" s="3161">
        <v>6247350.6096999999</v>
      </c>
      <c r="BB490" s="3161"/>
    </row>
    <row r="491" spans="1:54" ht="15">
      <c r="A491" s="2936"/>
      <c r="B491" s="3162" t="s">
        <v>1693</v>
      </c>
      <c r="C491" s="3101">
        <v>2.13</v>
      </c>
      <c r="D491" s="3166">
        <v>24.9726</v>
      </c>
      <c r="E491" s="3164">
        <v>27.268899999999999</v>
      </c>
      <c r="F491" s="3167">
        <v>197394.34710000001</v>
      </c>
      <c r="G491" s="9">
        <f>F491</f>
        <v>197394.34710000001</v>
      </c>
      <c r="H491" s="2500"/>
      <c r="Q491" t="s">
        <v>1671</v>
      </c>
      <c r="R491" t="s">
        <v>1671</v>
      </c>
      <c r="S491" t="s">
        <v>1671</v>
      </c>
      <c r="T491" t="s">
        <v>1671</v>
      </c>
      <c r="U491" t="s">
        <v>1671</v>
      </c>
      <c r="V491" t="s">
        <v>1671</v>
      </c>
      <c r="W491" t="s">
        <v>1671</v>
      </c>
      <c r="X491" t="s">
        <v>1671</v>
      </c>
      <c r="Y491" t="s">
        <v>1671</v>
      </c>
      <c r="Z491" t="s">
        <v>1671</v>
      </c>
      <c r="AA491" t="s">
        <v>1671</v>
      </c>
      <c r="AB491" t="s">
        <v>1671</v>
      </c>
      <c r="AC491" t="s">
        <v>1671</v>
      </c>
      <c r="AD491" t="s">
        <v>1671</v>
      </c>
      <c r="AE491" t="s">
        <v>1671</v>
      </c>
      <c r="AF491" t="s">
        <v>1671</v>
      </c>
      <c r="AG491" t="s">
        <v>1671</v>
      </c>
      <c r="AH491" t="s">
        <v>1671</v>
      </c>
      <c r="AI491" t="s">
        <v>1671</v>
      </c>
      <c r="AJ491" t="s">
        <v>1671</v>
      </c>
      <c r="AK491" t="s">
        <v>1671</v>
      </c>
      <c r="AL491" t="s">
        <v>1671</v>
      </c>
      <c r="AM491" t="s">
        <v>1671</v>
      </c>
      <c r="AN491" t="s">
        <v>1671</v>
      </c>
      <c r="AO491" t="s">
        <v>1671</v>
      </c>
      <c r="AP491" t="s">
        <v>1671</v>
      </c>
      <c r="AQ491" t="s">
        <v>1671</v>
      </c>
      <c r="AR491" t="s">
        <v>1671</v>
      </c>
      <c r="AS491" t="s">
        <v>1671</v>
      </c>
      <c r="AT491" t="s">
        <v>1671</v>
      </c>
    </row>
    <row r="492" spans="1:54" ht="15">
      <c r="A492" s="2936"/>
      <c r="B492" s="3162" t="s">
        <v>1896</v>
      </c>
      <c r="C492" s="3101">
        <v>2.13</v>
      </c>
      <c r="D492" s="3166">
        <v>15.6275</v>
      </c>
      <c r="E492" s="3164">
        <v>16.692900000000002</v>
      </c>
      <c r="F492" s="3163">
        <v>38156.67</v>
      </c>
      <c r="G492" s="9">
        <v>38066</v>
      </c>
      <c r="H492" s="2500"/>
      <c r="P492" t="s">
        <v>1672</v>
      </c>
      <c r="Q492" t="s">
        <v>1673</v>
      </c>
      <c r="R492" t="s">
        <v>2001</v>
      </c>
      <c r="S492" t="s">
        <v>1684</v>
      </c>
      <c r="T492" t="s">
        <v>1673</v>
      </c>
      <c r="U492" t="s">
        <v>2001</v>
      </c>
      <c r="V492" t="s">
        <v>1684</v>
      </c>
      <c r="W492" t="s">
        <v>1673</v>
      </c>
      <c r="X492" t="s">
        <v>2001</v>
      </c>
      <c r="Y492" t="s">
        <v>1684</v>
      </c>
      <c r="Z492" t="s">
        <v>1673</v>
      </c>
      <c r="AA492" t="s">
        <v>2001</v>
      </c>
      <c r="AB492" t="s">
        <v>1684</v>
      </c>
      <c r="AC492" t="s">
        <v>1673</v>
      </c>
      <c r="AD492" t="s">
        <v>2001</v>
      </c>
      <c r="AE492" t="s">
        <v>1684</v>
      </c>
      <c r="AF492" t="s">
        <v>1673</v>
      </c>
      <c r="AG492" t="s">
        <v>2001</v>
      </c>
      <c r="AH492" t="s">
        <v>1684</v>
      </c>
      <c r="AI492" t="s">
        <v>1673</v>
      </c>
      <c r="AJ492" t="s">
        <v>2001</v>
      </c>
      <c r="AK492" t="s">
        <v>1684</v>
      </c>
      <c r="AL492" t="s">
        <v>1673</v>
      </c>
      <c r="AM492" t="s">
        <v>2001</v>
      </c>
      <c r="AN492" t="s">
        <v>1684</v>
      </c>
      <c r="AO492" t="s">
        <v>1673</v>
      </c>
      <c r="AP492" t="s">
        <v>2001</v>
      </c>
      <c r="AQ492" t="s">
        <v>1684</v>
      </c>
      <c r="AR492" t="s">
        <v>1673</v>
      </c>
      <c r="AS492" t="s">
        <v>2001</v>
      </c>
      <c r="AT492" t="s">
        <v>1684</v>
      </c>
    </row>
    <row r="493" spans="1:54" ht="15">
      <c r="A493" s="2936"/>
      <c r="B493" s="3161" t="s">
        <v>2017</v>
      </c>
      <c r="C493" s="3101">
        <v>1.6</v>
      </c>
      <c r="D493" s="3166">
        <v>30.292400000000001</v>
      </c>
      <c r="E493" s="3164">
        <v>20.437899999999999</v>
      </c>
      <c r="F493" s="9">
        <v>6247350.6096999999</v>
      </c>
      <c r="G493" s="9">
        <f>F493/J486</f>
        <v>43444.719121696799</v>
      </c>
      <c r="H493" s="2500"/>
      <c r="P493" s="2251">
        <v>45657</v>
      </c>
      <c r="Q493">
        <v>30.845500000000001</v>
      </c>
      <c r="R493">
        <v>21.982399999999998</v>
      </c>
      <c r="S493">
        <v>26.4086</v>
      </c>
      <c r="T493">
        <v>24.351199999999999</v>
      </c>
      <c r="U493">
        <v>1.7511000000000001</v>
      </c>
      <c r="V493">
        <v>29.046299999999999</v>
      </c>
      <c r="W493">
        <v>26.8735</v>
      </c>
      <c r="X493">
        <v>6.6014999999999997</v>
      </c>
      <c r="Y493">
        <v>51.244900000000001</v>
      </c>
      <c r="Z493">
        <v>32.663499999999999</v>
      </c>
      <c r="AA493">
        <v>62.865699999999997</v>
      </c>
      <c r="AB493">
        <v>15.737299999999999</v>
      </c>
      <c r="AC493">
        <v>20.879799999999999</v>
      </c>
      <c r="AD493">
        <v>20.248899999999999</v>
      </c>
      <c r="AE493">
        <v>16.646100000000001</v>
      </c>
      <c r="AF493">
        <v>24.3902</v>
      </c>
      <c r="AG493">
        <v>14.4527</v>
      </c>
      <c r="AH493">
        <v>10.944000000000001</v>
      </c>
      <c r="AI493">
        <v>24.823899999999998</v>
      </c>
      <c r="AJ493">
        <v>7.1429</v>
      </c>
      <c r="AK493">
        <v>24.9923</v>
      </c>
      <c r="AL493">
        <v>23.9163</v>
      </c>
      <c r="AM493">
        <v>17.1492</v>
      </c>
      <c r="AN493">
        <v>9.0588999999999995</v>
      </c>
      <c r="AO493">
        <v>15.9093</v>
      </c>
      <c r="AP493">
        <v>7.3634000000000004</v>
      </c>
      <c r="AQ493">
        <v>16.211300000000001</v>
      </c>
      <c r="AR493">
        <v>19.3871</v>
      </c>
      <c r="AS493">
        <v>-20.848500000000001</v>
      </c>
      <c r="AT493">
        <v>24.169799999999999</v>
      </c>
    </row>
    <row r="494" spans="1:54" ht="15">
      <c r="A494" s="2936"/>
      <c r="H494" s="2500"/>
      <c r="I494" s="2500"/>
      <c r="J494" s="2500"/>
      <c r="P494" s="2251">
        <v>45747</v>
      </c>
      <c r="Q494">
        <v>21.539200000000001</v>
      </c>
      <c r="R494">
        <v>20.035299999999999</v>
      </c>
      <c r="S494">
        <v>27.952000000000002</v>
      </c>
      <c r="T494">
        <v>24.351199999999999</v>
      </c>
      <c r="U494">
        <v>-11.792199999999999</v>
      </c>
      <c r="V494">
        <v>29.046299999999999</v>
      </c>
      <c r="W494">
        <v>26.872299999999999</v>
      </c>
      <c r="X494">
        <v>-1.6839999999999999</v>
      </c>
      <c r="Y494">
        <v>51.244900000000001</v>
      </c>
      <c r="Z494">
        <v>30.388300000000001</v>
      </c>
      <c r="AA494">
        <v>76.069500000000005</v>
      </c>
      <c r="AB494">
        <v>15.737299999999999</v>
      </c>
      <c r="AC494">
        <v>20.871500000000001</v>
      </c>
      <c r="AD494">
        <v>25.598500000000001</v>
      </c>
      <c r="AE494">
        <v>16.646100000000001</v>
      </c>
      <c r="AF494">
        <v>25.6035</v>
      </c>
      <c r="AG494">
        <v>-43.9985</v>
      </c>
      <c r="AH494">
        <v>12.5596</v>
      </c>
      <c r="AI494">
        <v>25.028099999999998</v>
      </c>
      <c r="AJ494">
        <v>7.43</v>
      </c>
      <c r="AK494">
        <v>24.999700000000001</v>
      </c>
      <c r="AL494">
        <v>23.915199999999999</v>
      </c>
      <c r="AM494">
        <v>-10.233000000000001</v>
      </c>
      <c r="AN494">
        <v>9.0588999999999995</v>
      </c>
      <c r="AO494">
        <v>15.7148</v>
      </c>
      <c r="AP494">
        <v>21.818200000000001</v>
      </c>
      <c r="AQ494">
        <v>16.605</v>
      </c>
      <c r="AR494">
        <v>23.735199999999999</v>
      </c>
      <c r="AS494">
        <v>-33.7209</v>
      </c>
      <c r="AT494">
        <v>21.834</v>
      </c>
    </row>
    <row r="495" spans="1:54">
      <c r="E495" s="9"/>
      <c r="H495" s="2500"/>
      <c r="I495" s="2500"/>
      <c r="J495" s="2500"/>
    </row>
    <row r="496" spans="1:54">
      <c r="F496" s="9"/>
      <c r="G496" s="1349"/>
      <c r="H496" s="2500"/>
      <c r="I496" s="2500"/>
      <c r="J496" s="2500"/>
      <c r="P496" t="s">
        <v>2002</v>
      </c>
      <c r="Q496">
        <f>Q493/R493</f>
        <v>1.4031907344057066</v>
      </c>
      <c r="T496">
        <f>T493/U493</f>
        <v>13.906230369482039</v>
      </c>
      <c r="W496">
        <f>W493/X493</f>
        <v>4.0708172385064003</v>
      </c>
      <c r="Z496">
        <f>Z493/AA493</f>
        <v>0.51957585774118475</v>
      </c>
      <c r="AC496">
        <f>AC493/AD493</f>
        <v>1.0311572480480422</v>
      </c>
      <c r="AF496">
        <f>AF493/AG493</f>
        <v>1.6875877863651774</v>
      </c>
      <c r="AI496">
        <f>AI493/AJ493</f>
        <v>3.4753251480491114</v>
      </c>
      <c r="AL496">
        <f>AL493/AM493</f>
        <v>1.3946014974459449</v>
      </c>
      <c r="AO496">
        <f>AO493/AP493</f>
        <v>2.1605915745443678</v>
      </c>
      <c r="AR496">
        <f>AR493/AS493</f>
        <v>-0.92990383001175136</v>
      </c>
    </row>
    <row r="497" spans="2:10">
      <c r="B497" s="2510"/>
      <c r="C497" s="2509"/>
      <c r="D497" s="2509"/>
      <c r="E497" s="2504"/>
      <c r="F497" s="2507"/>
      <c r="G497" s="2511"/>
      <c r="H497" s="2500"/>
      <c r="I497" s="2500"/>
      <c r="J497" s="2500"/>
    </row>
    <row r="498" spans="2:10">
      <c r="B498" s="2510" t="s">
        <v>1719</v>
      </c>
      <c r="C498" s="2551">
        <v>25</v>
      </c>
      <c r="D498" s="2551">
        <v>-10</v>
      </c>
      <c r="E498" s="2504"/>
      <c r="F498" s="2508">
        <v>5000</v>
      </c>
      <c r="G498" s="2508"/>
      <c r="H498" s="2500"/>
      <c r="I498" s="2500"/>
      <c r="J498" s="2500"/>
    </row>
    <row r="499" spans="2:10">
      <c r="B499" s="2510" t="s">
        <v>1720</v>
      </c>
      <c r="C499" s="2551">
        <v>25</v>
      </c>
      <c r="D499" s="2552">
        <v>30</v>
      </c>
      <c r="E499" s="2504"/>
      <c r="F499" s="2508">
        <v>5000</v>
      </c>
      <c r="G499" s="2508"/>
      <c r="H499" s="2500"/>
      <c r="I499" s="2500"/>
      <c r="J499" s="2500"/>
    </row>
    <row r="500" spans="2:10">
      <c r="B500" s="2510" t="s">
        <v>1721</v>
      </c>
      <c r="C500" s="2551">
        <v>-10</v>
      </c>
      <c r="D500" s="2551">
        <v>2</v>
      </c>
      <c r="E500" s="2504"/>
      <c r="F500" s="2508">
        <v>5000</v>
      </c>
      <c r="G500" s="2508"/>
      <c r="H500" s="2500"/>
      <c r="I500" s="2500"/>
      <c r="J500" s="2500"/>
    </row>
    <row r="501" spans="2:10">
      <c r="B501" s="2510" t="s">
        <v>1722</v>
      </c>
      <c r="C501" s="2551">
        <v>60</v>
      </c>
      <c r="D501" s="2552">
        <v>2</v>
      </c>
      <c r="E501" s="2504"/>
      <c r="F501" s="2508">
        <v>5000</v>
      </c>
      <c r="G501" s="2511"/>
    </row>
    <row r="502" spans="2:10">
      <c r="B502" s="2510"/>
      <c r="C502" s="2509"/>
      <c r="D502" s="2509"/>
      <c r="E502" s="2504"/>
      <c r="F502" s="2507"/>
      <c r="G502" s="2511"/>
    </row>
    <row r="503" spans="2:10">
      <c r="B503" s="1447" t="s">
        <v>1800</v>
      </c>
      <c r="C503" s="2574">
        <v>48.602499999999999</v>
      </c>
      <c r="D503" s="2574">
        <v>119.17749999999999</v>
      </c>
      <c r="E503" s="9">
        <v>3490909.74</v>
      </c>
      <c r="F503" s="9">
        <v>3490909.74</v>
      </c>
      <c r="G503" s="2511"/>
    </row>
    <row r="504" spans="2:10">
      <c r="B504" s="1447" t="s">
        <v>1693</v>
      </c>
      <c r="C504" s="2574">
        <v>28.604700000000001</v>
      </c>
      <c r="D504" s="2574">
        <v>26.915800000000001</v>
      </c>
      <c r="E504" s="9">
        <v>213814.59409999999</v>
      </c>
      <c r="F504" s="9">
        <v>213814.59409999999</v>
      </c>
      <c r="G504" s="2511"/>
    </row>
    <row r="505" spans="2:10" ht="15">
      <c r="B505" s="2936" t="s">
        <v>1897</v>
      </c>
      <c r="C505" s="2937">
        <v>10.7</v>
      </c>
      <c r="D505" s="2938">
        <v>7.9</v>
      </c>
      <c r="E505" s="9">
        <v>317592432</v>
      </c>
      <c r="F505" s="9"/>
      <c r="G505" s="2511"/>
    </row>
    <row r="506" spans="2:10" ht="15">
      <c r="B506" s="2936" t="s">
        <v>1801</v>
      </c>
      <c r="C506" s="2937">
        <v>6.1</v>
      </c>
      <c r="D506" s="2938">
        <v>31.1</v>
      </c>
      <c r="E506" s="9">
        <v>119823835</v>
      </c>
      <c r="F506" s="9"/>
      <c r="G506" s="2511"/>
    </row>
    <row r="508" spans="2:10">
      <c r="C508" t="s">
        <v>1672</v>
      </c>
      <c r="D508" s="2251">
        <v>45473</v>
      </c>
    </row>
    <row r="509" spans="2:10">
      <c r="B509" s="1447" t="s">
        <v>1703</v>
      </c>
      <c r="C509" t="s">
        <v>1684</v>
      </c>
      <c r="D509">
        <v>33.844999999999999</v>
      </c>
    </row>
    <row r="510" spans="2:10">
      <c r="C510" t="s">
        <v>1673</v>
      </c>
      <c r="D510">
        <v>24.328399999999998</v>
      </c>
    </row>
    <row r="511" spans="2:10">
      <c r="C511" t="s">
        <v>1699</v>
      </c>
      <c r="D511">
        <v>6505190.6131999996</v>
      </c>
    </row>
    <row r="512" spans="2:10">
      <c r="B512" t="s">
        <v>1670</v>
      </c>
      <c r="C512" t="s">
        <v>1684</v>
      </c>
      <c r="D512">
        <v>27.3947</v>
      </c>
    </row>
    <row r="513" spans="2:23">
      <c r="C513" t="s">
        <v>1673</v>
      </c>
      <c r="D513">
        <v>21.831700000000001</v>
      </c>
    </row>
    <row r="514" spans="2:23">
      <c r="C514" t="s">
        <v>1699</v>
      </c>
      <c r="D514">
        <v>147951373.9375</v>
      </c>
    </row>
    <row r="515" spans="2:23">
      <c r="B515" t="s">
        <v>1695</v>
      </c>
      <c r="C515" t="s">
        <v>1684</v>
      </c>
      <c r="D515">
        <v>24.650700000000001</v>
      </c>
    </row>
    <row r="516" spans="2:23">
      <c r="C516" t="s">
        <v>1673</v>
      </c>
      <c r="D516">
        <v>24.744700000000002</v>
      </c>
    </row>
    <row r="517" spans="2:23">
      <c r="C517" t="s">
        <v>1699</v>
      </c>
      <c r="D517">
        <v>3960865.5740999999</v>
      </c>
    </row>
    <row r="518" spans="2:23">
      <c r="B518" t="s">
        <v>1696</v>
      </c>
      <c r="C518" t="s">
        <v>1684</v>
      </c>
      <c r="D518">
        <v>17.145800000000001</v>
      </c>
    </row>
    <row r="519" spans="2:23">
      <c r="C519" t="s">
        <v>1673</v>
      </c>
      <c r="D519">
        <v>43.586300000000001</v>
      </c>
    </row>
    <row r="520" spans="2:23">
      <c r="C520" t="s">
        <v>1699</v>
      </c>
      <c r="D520">
        <v>364050.41259999998</v>
      </c>
      <c r="G520" s="1317"/>
      <c r="H520" s="1317"/>
      <c r="I520" s="1317"/>
    </row>
    <row r="521" spans="2:23">
      <c r="B521" s="1447" t="s">
        <v>1700</v>
      </c>
      <c r="C521" t="s">
        <v>1684</v>
      </c>
      <c r="D521">
        <v>15.9994</v>
      </c>
    </row>
    <row r="522" spans="2:23">
      <c r="C522" t="s">
        <v>1673</v>
      </c>
      <c r="D522">
        <v>16.109000000000002</v>
      </c>
    </row>
    <row r="523" spans="2:23">
      <c r="C523" t="s">
        <v>1699</v>
      </c>
      <c r="D523">
        <v>36486.842499999999</v>
      </c>
    </row>
    <row r="524" spans="2:23">
      <c r="B524" t="s">
        <v>1697</v>
      </c>
      <c r="C524" t="s">
        <v>1684</v>
      </c>
      <c r="D524">
        <v>12.708</v>
      </c>
    </row>
    <row r="525" spans="2:23">
      <c r="C525" t="s">
        <v>1673</v>
      </c>
      <c r="D525">
        <v>23.362300000000001</v>
      </c>
      <c r="S525" s="2538"/>
      <c r="T525" s="2539"/>
      <c r="U525" s="2539"/>
      <c r="V525" s="2539"/>
      <c r="W525" s="2540"/>
    </row>
    <row r="526" spans="2:23">
      <c r="C526" t="s">
        <v>1699</v>
      </c>
      <c r="D526">
        <v>7591578.4901999999</v>
      </c>
      <c r="S526" s="2541"/>
      <c r="T526" s="2542" t="s">
        <v>1715</v>
      </c>
      <c r="U526" s="2542" t="s">
        <v>1716</v>
      </c>
      <c r="V526" s="2542" t="s">
        <v>1718</v>
      </c>
      <c r="W526" s="2543"/>
    </row>
    <row r="527" spans="2:23">
      <c r="B527" t="s">
        <v>1698</v>
      </c>
      <c r="C527" t="s">
        <v>1684</v>
      </c>
      <c r="D527">
        <v>36.464100000000002</v>
      </c>
      <c r="S527" s="2541" t="s">
        <v>1143</v>
      </c>
      <c r="T527" s="2548">
        <v>32826000</v>
      </c>
      <c r="U527" s="2548">
        <v>39664000</v>
      </c>
      <c r="V527" s="2544">
        <f>U527/T527-1</f>
        <v>0.20831048559069032</v>
      </c>
      <c r="W527" s="2543"/>
    </row>
    <row r="528" spans="2:23">
      <c r="C528" t="s">
        <v>1673</v>
      </c>
      <c r="D528">
        <v>20.8248</v>
      </c>
      <c r="S528" s="2541" t="s">
        <v>1717</v>
      </c>
      <c r="T528" s="2548">
        <v>4994000</v>
      </c>
      <c r="U528" s="2548">
        <v>6029000</v>
      </c>
      <c r="V528" s="2544">
        <f>U528/T528-1</f>
        <v>0.20724869843812566</v>
      </c>
      <c r="W528" s="2543"/>
    </row>
    <row r="529" spans="2:23">
      <c r="C529" t="s">
        <v>1699</v>
      </c>
      <c r="D529">
        <v>175061.5962</v>
      </c>
      <c r="S529" s="2545" t="s">
        <v>169</v>
      </c>
      <c r="T529" s="2549">
        <v>23600</v>
      </c>
      <c r="U529" s="2549">
        <v>24000</v>
      </c>
      <c r="V529" s="2546"/>
      <c r="W529" s="2547"/>
    </row>
    <row r="530" spans="2:23">
      <c r="B530" s="1447" t="s">
        <v>1702</v>
      </c>
      <c r="C530" t="s">
        <v>1684</v>
      </c>
      <c r="D530">
        <v>15.4277</v>
      </c>
    </row>
    <row r="531" spans="2:23">
      <c r="C531" t="s">
        <v>1673</v>
      </c>
      <c r="D531">
        <v>24.058399999999999</v>
      </c>
      <c r="S531" s="2542"/>
      <c r="T531" s="2542" t="s">
        <v>1715</v>
      </c>
      <c r="U531" s="2542" t="s">
        <v>1716</v>
      </c>
      <c r="V531" s="2542"/>
      <c r="W531" s="2542"/>
    </row>
    <row r="532" spans="2:23">
      <c r="C532" t="s">
        <v>1699</v>
      </c>
      <c r="D532">
        <v>2692750.0408999999</v>
      </c>
      <c r="S532" s="2541" t="s">
        <v>1143</v>
      </c>
      <c r="T532" s="2550">
        <f>T527/T529</f>
        <v>1390.9322033898304</v>
      </c>
      <c r="U532" s="2550">
        <f>U527/U529</f>
        <v>1652.6666666666667</v>
      </c>
      <c r="V532" s="2542"/>
      <c r="W532" s="2542"/>
    </row>
    <row r="533" spans="2:23">
      <c r="B533" s="1447" t="s">
        <v>1701</v>
      </c>
      <c r="C533" t="s">
        <v>1684</v>
      </c>
      <c r="D533">
        <v>27.6356</v>
      </c>
      <c r="S533" s="2541" t="s">
        <v>1717</v>
      </c>
      <c r="T533" s="2550">
        <f>T528/T529</f>
        <v>211.61016949152543</v>
      </c>
      <c r="U533" s="2550">
        <f>U528/U529</f>
        <v>251.20833333333334</v>
      </c>
      <c r="V533" s="2544"/>
      <c r="W533" s="2542"/>
    </row>
    <row r="534" spans="2:23">
      <c r="C534" t="s">
        <v>1673</v>
      </c>
      <c r="D534">
        <v>28.135200000000001</v>
      </c>
      <c r="S534" s="2541"/>
      <c r="T534" s="2548"/>
      <c r="U534" s="2548"/>
      <c r="V534" s="2544"/>
      <c r="W534" s="2542"/>
    </row>
    <row r="535" spans="2:23">
      <c r="C535" t="s">
        <v>1699</v>
      </c>
      <c r="D535">
        <v>232617.50700000001</v>
      </c>
      <c r="S535" s="2541"/>
      <c r="T535" s="2542"/>
      <c r="U535" s="2542"/>
      <c r="V535" s="2542"/>
      <c r="W535" s="2542"/>
    </row>
    <row r="536" spans="2:23">
      <c r="B536" t="s">
        <v>1694</v>
      </c>
      <c r="C536" t="s">
        <v>1673</v>
      </c>
      <c r="D536">
        <v>30.280100000000001</v>
      </c>
      <c r="S536" s="2541"/>
      <c r="T536" s="2542"/>
      <c r="U536" s="2542"/>
      <c r="V536" s="2542"/>
      <c r="W536" s="2542"/>
    </row>
    <row r="537" spans="2:23">
      <c r="C537" t="s">
        <v>1684</v>
      </c>
      <c r="D537">
        <v>49.524000000000001</v>
      </c>
      <c r="S537" s="2541"/>
      <c r="T537" s="2542"/>
      <c r="U537" s="2542"/>
      <c r="V537" s="2542"/>
      <c r="W537" s="2542"/>
    </row>
    <row r="538" spans="2:23">
      <c r="C538" t="s">
        <v>1699</v>
      </c>
      <c r="D538">
        <v>14125556.383400001</v>
      </c>
    </row>
    <row r="539" spans="2:23">
      <c r="B539" t="s">
        <v>1696</v>
      </c>
      <c r="C539" t="s">
        <v>1673</v>
      </c>
      <c r="D539" t="e">
        <f ca="1">_xll.BDH($B539,$C539:$C541,$D53,$D54,"Dir=V","Per=Q","Days=A","Dts=H","cols=3;rows=1")</f>
        <v>#NAME?</v>
      </c>
    </row>
    <row r="540" spans="2:23">
      <c r="C540" t="s">
        <v>1684</v>
      </c>
      <c r="D540">
        <v>17.145800000000001</v>
      </c>
    </row>
    <row r="541" spans="2:23">
      <c r="C541" t="s">
        <v>1699</v>
      </c>
      <c r="D541">
        <v>364050.41259999998</v>
      </c>
    </row>
    <row r="546" spans="2:4">
      <c r="B546" s="2009" t="s">
        <v>1731</v>
      </c>
      <c r="C546" s="2009"/>
      <c r="D546" s="2009"/>
    </row>
    <row r="547" spans="2:4" ht="15">
      <c r="B547" s="2556" t="s">
        <v>1730</v>
      </c>
      <c r="C547" s="2556" t="s">
        <v>1704</v>
      </c>
      <c r="D547" s="2556" t="s">
        <v>1732</v>
      </c>
    </row>
    <row r="548" spans="2:4">
      <c r="B548" s="2557" t="s">
        <v>1729</v>
      </c>
      <c r="C548" s="2558">
        <v>250294828503</v>
      </c>
      <c r="D548" s="2558">
        <v>244969980018</v>
      </c>
    </row>
    <row r="549" spans="2:4">
      <c r="B549" s="2557" t="s">
        <v>1728</v>
      </c>
      <c r="C549" s="2558">
        <v>216732963301</v>
      </c>
      <c r="D549" s="2558">
        <v>83036272577</v>
      </c>
    </row>
    <row r="550" spans="2:4">
      <c r="B550" s="2557" t="s">
        <v>1727</v>
      </c>
      <c r="C550" s="2558">
        <v>165181669988</v>
      </c>
      <c r="D550" s="2558">
        <v>87456044510</v>
      </c>
    </row>
    <row r="551" spans="2:4">
      <c r="B551" s="2557" t="s">
        <v>1726</v>
      </c>
      <c r="C551" s="2558">
        <v>159854010176</v>
      </c>
      <c r="D551" s="2558">
        <v>334956000</v>
      </c>
    </row>
    <row r="552" spans="2:4">
      <c r="B552" s="2557" t="s">
        <v>1725</v>
      </c>
      <c r="C552" s="2558">
        <v>9560404</v>
      </c>
      <c r="D552" s="2558">
        <v>321563703766</v>
      </c>
    </row>
    <row r="553" spans="2:4">
      <c r="B553" s="2557" t="s">
        <v>1724</v>
      </c>
      <c r="C553" s="2558">
        <v>0</v>
      </c>
      <c r="D553" s="2558">
        <v>207533396502</v>
      </c>
    </row>
    <row r="554" spans="2:4">
      <c r="B554" s="2557" t="s">
        <v>1723</v>
      </c>
      <c r="C554" s="2558">
        <v>683231858178</v>
      </c>
      <c r="D554" s="2558">
        <v>370375782630</v>
      </c>
    </row>
    <row r="555" spans="2:4">
      <c r="B555" s="2557" t="s">
        <v>1681</v>
      </c>
      <c r="C555" s="2558">
        <v>1475304890550</v>
      </c>
      <c r="D555" s="2558">
        <v>1315270136003</v>
      </c>
    </row>
    <row r="561" spans="1:57" ht="15">
      <c r="B561" s="2553" t="s">
        <v>330</v>
      </c>
      <c r="C561" s="2553" t="s">
        <v>1737</v>
      </c>
    </row>
    <row r="562" spans="1:57">
      <c r="B562" s="2554" t="s">
        <v>1736</v>
      </c>
      <c r="C562" s="2555">
        <v>13980334371</v>
      </c>
    </row>
    <row r="563" spans="1:57">
      <c r="B563" s="2554" t="s">
        <v>1735</v>
      </c>
      <c r="C563" s="2555">
        <v>3126537097825</v>
      </c>
    </row>
    <row r="564" spans="1:57">
      <c r="B564" s="2554" t="s">
        <v>1734</v>
      </c>
      <c r="C564" s="2555">
        <v>1316348547240</v>
      </c>
    </row>
    <row r="565" spans="1:57">
      <c r="B565" s="2554" t="s">
        <v>1733</v>
      </c>
      <c r="C565" s="2555">
        <v>12045679181919</v>
      </c>
    </row>
    <row r="566" spans="1:57">
      <c r="B566" s="2554" t="s">
        <v>1681</v>
      </c>
      <c r="C566" s="2555">
        <v>16502545161355</v>
      </c>
    </row>
    <row r="572" spans="1:57" ht="15.75">
      <c r="A572" s="2513"/>
      <c r="B572" s="2513"/>
      <c r="C572" s="2514"/>
      <c r="D572" s="2514"/>
      <c r="E572" s="2514"/>
      <c r="F572" s="2514"/>
      <c r="G572" s="2514"/>
      <c r="H572" s="2514"/>
      <c r="I572" s="2514"/>
      <c r="J572" s="2514"/>
      <c r="K572" s="2513"/>
      <c r="L572" s="2513"/>
      <c r="M572" s="2513"/>
      <c r="N572" s="2513"/>
      <c r="O572" s="2513"/>
      <c r="P572" s="2513"/>
      <c r="Q572" s="2513"/>
      <c r="R572" s="2513"/>
      <c r="S572" s="2513"/>
      <c r="T572" s="2513"/>
      <c r="U572" s="2513"/>
      <c r="V572" s="2513"/>
      <c r="W572" s="2513"/>
      <c r="X572" s="2513"/>
      <c r="Y572" s="2513"/>
      <c r="Z572" s="2513"/>
      <c r="AA572" s="2513"/>
      <c r="AB572" s="2513"/>
      <c r="AC572" s="2513"/>
      <c r="AD572" s="2513"/>
      <c r="AE572" s="2513"/>
      <c r="AF572" s="2513"/>
      <c r="AG572" s="2513"/>
      <c r="AH572" s="2513"/>
      <c r="AI572" s="2513"/>
      <c r="AJ572" s="2513"/>
      <c r="AK572" s="2513"/>
      <c r="AL572" s="2513"/>
      <c r="AM572" s="2513"/>
      <c r="AN572" s="2513"/>
      <c r="AO572" s="2513"/>
      <c r="AP572" s="2513"/>
      <c r="AQ572" s="2513"/>
      <c r="AR572" s="2513"/>
      <c r="AS572" s="2513"/>
      <c r="AT572" s="2513"/>
      <c r="AU572" s="2513"/>
      <c r="AV572" s="2513"/>
      <c r="AW572" s="2513"/>
      <c r="AX572" s="2513"/>
      <c r="AY572" s="2513"/>
      <c r="AZ572" s="2513"/>
      <c r="BA572" s="2513"/>
      <c r="BB572" s="2513"/>
      <c r="BC572" s="2513"/>
      <c r="BD572" s="2513"/>
      <c r="BE572" s="2513"/>
    </row>
    <row r="573" spans="1:57" ht="15">
      <c r="B573" s="2559" t="s">
        <v>1759</v>
      </c>
      <c r="C573" s="2559" t="s">
        <v>1738</v>
      </c>
      <c r="D573" s="2554" t="s">
        <v>1760</v>
      </c>
      <c r="E573" s="2554"/>
    </row>
    <row r="574" spans="1:57" ht="15">
      <c r="B574" s="2554">
        <v>1</v>
      </c>
      <c r="C574" s="2560" t="s">
        <v>1739</v>
      </c>
      <c r="D574" s="2554"/>
      <c r="E574" s="2554"/>
    </row>
    <row r="575" spans="1:57" ht="15">
      <c r="B575" s="2554">
        <v>2</v>
      </c>
      <c r="C575" s="2560" t="s">
        <v>1740</v>
      </c>
      <c r="D575" s="2554"/>
      <c r="E575" s="2554"/>
    </row>
    <row r="576" spans="1:57" ht="15">
      <c r="B576" s="2554">
        <v>3</v>
      </c>
      <c r="C576" s="2560" t="s">
        <v>1741</v>
      </c>
      <c r="D576" s="2554"/>
      <c r="E576" s="2554"/>
    </row>
    <row r="577" spans="2:23" ht="15">
      <c r="B577" s="2554">
        <v>4</v>
      </c>
      <c r="C577" s="2560" t="s">
        <v>1742</v>
      </c>
      <c r="D577" s="2554"/>
      <c r="E577" s="2554"/>
    </row>
    <row r="578" spans="2:23" ht="15">
      <c r="B578" s="2554">
        <v>5</v>
      </c>
      <c r="C578" s="2560" t="s">
        <v>1743</v>
      </c>
      <c r="D578" s="2561"/>
      <c r="E578" s="2561"/>
      <c r="F578" s="268"/>
      <c r="G578" s="268"/>
      <c r="H578" s="268"/>
      <c r="I578" s="268"/>
      <c r="J578" s="268"/>
      <c r="K578" s="268"/>
      <c r="L578" s="268"/>
      <c r="M578" s="268"/>
      <c r="N578" s="268"/>
      <c r="O578" s="268"/>
      <c r="P578" s="268"/>
      <c r="Q578" s="268"/>
      <c r="R578" s="268"/>
      <c r="S578" s="268"/>
      <c r="T578" s="268"/>
      <c r="U578" s="268"/>
      <c r="V578" s="268"/>
      <c r="W578" s="268"/>
    </row>
    <row r="579" spans="2:23" ht="15">
      <c r="B579" s="2554">
        <v>6</v>
      </c>
      <c r="C579" s="2560" t="s">
        <v>1744</v>
      </c>
      <c r="D579" s="2554"/>
      <c r="E579" s="2554"/>
    </row>
    <row r="580" spans="2:23" ht="15">
      <c r="B580" s="2554">
        <v>7</v>
      </c>
      <c r="C580" s="2560" t="s">
        <v>1745</v>
      </c>
      <c r="D580" s="2554"/>
      <c r="E580" s="2554"/>
    </row>
    <row r="581" spans="2:23" ht="15">
      <c r="B581" s="2554">
        <v>8</v>
      </c>
      <c r="C581" s="2560" t="s">
        <v>1746</v>
      </c>
      <c r="D581" s="2554"/>
      <c r="E581" s="2554"/>
    </row>
    <row r="582" spans="2:23" ht="15">
      <c r="B582" s="2554">
        <v>9</v>
      </c>
      <c r="C582" s="2560" t="s">
        <v>1747</v>
      </c>
      <c r="D582" s="2554"/>
      <c r="E582" s="2554"/>
    </row>
    <row r="583" spans="2:23" ht="15">
      <c r="B583" s="2554">
        <v>10</v>
      </c>
      <c r="C583" s="2560" t="s">
        <v>1748</v>
      </c>
      <c r="D583" s="2554"/>
      <c r="E583" s="2554"/>
    </row>
    <row r="584" spans="2:23" ht="15">
      <c r="B584" s="2554">
        <v>11</v>
      </c>
      <c r="C584" s="2560" t="s">
        <v>1749</v>
      </c>
      <c r="D584" s="2554"/>
      <c r="E584" s="2554"/>
    </row>
    <row r="585" spans="2:23" ht="15">
      <c r="B585" s="2554">
        <v>12</v>
      </c>
      <c r="C585" s="2560" t="s">
        <v>1750</v>
      </c>
      <c r="D585" s="2554"/>
      <c r="E585" s="2554"/>
    </row>
    <row r="586" spans="2:23" ht="15">
      <c r="B586" s="2554">
        <v>13</v>
      </c>
      <c r="C586" s="2560" t="s">
        <v>1751</v>
      </c>
      <c r="D586" s="2554"/>
      <c r="E586" s="2554"/>
    </row>
    <row r="587" spans="2:23" ht="15">
      <c r="B587" s="2554">
        <v>14</v>
      </c>
      <c r="C587" s="2560" t="s">
        <v>1752</v>
      </c>
      <c r="D587" s="2554"/>
      <c r="E587" s="2554"/>
    </row>
    <row r="588" spans="2:23" ht="15">
      <c r="B588" s="2554">
        <v>15</v>
      </c>
      <c r="C588" s="2560" t="s">
        <v>1753</v>
      </c>
      <c r="D588" s="2554"/>
      <c r="E588" s="2554"/>
    </row>
    <row r="589" spans="2:23" ht="15">
      <c r="B589" s="2554">
        <v>16</v>
      </c>
      <c r="C589" s="2560" t="s">
        <v>1754</v>
      </c>
      <c r="D589" s="2554"/>
      <c r="E589" s="2554"/>
    </row>
    <row r="590" spans="2:23" ht="15">
      <c r="B590" s="2554">
        <v>17</v>
      </c>
      <c r="C590" s="2560" t="s">
        <v>1755</v>
      </c>
      <c r="D590" s="2554"/>
      <c r="E590" s="2554"/>
    </row>
    <row r="591" spans="2:23" ht="15">
      <c r="B591" s="2554">
        <v>18</v>
      </c>
      <c r="C591" s="2560" t="s">
        <v>1756</v>
      </c>
      <c r="D591" s="2554"/>
      <c r="E591" s="2554"/>
    </row>
    <row r="592" spans="2:23" ht="15">
      <c r="B592" s="2554">
        <v>19</v>
      </c>
      <c r="C592" s="2560" t="s">
        <v>1757</v>
      </c>
      <c r="D592" s="2554"/>
      <c r="E592" s="2554"/>
    </row>
    <row r="593" spans="2:7" ht="15">
      <c r="B593" s="2554">
        <v>20</v>
      </c>
      <c r="C593" s="2560" t="s">
        <v>1758</v>
      </c>
      <c r="D593" s="2554"/>
      <c r="E593" s="2554"/>
    </row>
    <row r="597" spans="2:7" ht="45">
      <c r="B597" s="2562" t="s">
        <v>1761</v>
      </c>
      <c r="C597" s="2562" t="s">
        <v>1137</v>
      </c>
      <c r="D597" s="2562" t="s">
        <v>1762</v>
      </c>
      <c r="E597" s="2562" t="s">
        <v>1763</v>
      </c>
      <c r="F597" s="2562" t="s">
        <v>1764</v>
      </c>
      <c r="G597" s="2562" t="s">
        <v>1765</v>
      </c>
    </row>
    <row r="598" spans="2:7" ht="15">
      <c r="B598" s="2563">
        <v>1</v>
      </c>
      <c r="C598" s="2563" t="s">
        <v>1766</v>
      </c>
      <c r="D598" s="2563" t="s">
        <v>1767</v>
      </c>
      <c r="E598" s="2563" t="s">
        <v>887</v>
      </c>
      <c r="F598" s="2563">
        <v>25</v>
      </c>
      <c r="G598" s="2563">
        <v>25</v>
      </c>
    </row>
    <row r="599" spans="2:7" ht="15">
      <c r="B599" s="2563">
        <v>2</v>
      </c>
      <c r="C599" s="2563" t="s">
        <v>1768</v>
      </c>
      <c r="D599" s="2563" t="s">
        <v>1769</v>
      </c>
      <c r="E599" s="2563" t="s">
        <v>887</v>
      </c>
      <c r="F599" s="2563">
        <v>30</v>
      </c>
      <c r="G599" s="2563">
        <v>30</v>
      </c>
    </row>
    <row r="600" spans="2:7" ht="15">
      <c r="B600" s="2563">
        <v>3</v>
      </c>
      <c r="C600" s="2563" t="s">
        <v>1770</v>
      </c>
      <c r="D600" s="2563" t="s">
        <v>1769</v>
      </c>
      <c r="E600" s="2563" t="s">
        <v>888</v>
      </c>
      <c r="F600" s="2563">
        <v>50</v>
      </c>
      <c r="G600" s="2563">
        <v>50</v>
      </c>
    </row>
    <row r="601" spans="2:7" ht="15">
      <c r="B601" s="2563">
        <v>4</v>
      </c>
      <c r="C601" s="2563" t="s">
        <v>1771</v>
      </c>
      <c r="D601" s="2563" t="s">
        <v>1769</v>
      </c>
      <c r="E601" s="2563" t="s">
        <v>887</v>
      </c>
      <c r="F601" s="2563">
        <v>50</v>
      </c>
      <c r="G601" s="2563">
        <v>50</v>
      </c>
    </row>
    <row r="602" spans="2:7" ht="15">
      <c r="B602" s="2563">
        <v>5</v>
      </c>
      <c r="C602" s="2563" t="s">
        <v>1772</v>
      </c>
      <c r="D602" s="2563" t="s">
        <v>1773</v>
      </c>
      <c r="E602" s="2563" t="s">
        <v>887</v>
      </c>
      <c r="F602" s="2563">
        <v>49</v>
      </c>
      <c r="G602" s="2563">
        <v>49</v>
      </c>
    </row>
    <row r="603" spans="2:7" ht="15">
      <c r="B603" s="2563">
        <v>6</v>
      </c>
      <c r="C603" s="2563" t="s">
        <v>1774</v>
      </c>
      <c r="D603" s="2563" t="s">
        <v>1769</v>
      </c>
      <c r="E603" s="2563" t="s">
        <v>887</v>
      </c>
      <c r="F603" s="2563">
        <v>44.68</v>
      </c>
      <c r="G603" s="2563">
        <v>44.68</v>
      </c>
    </row>
    <row r="604" spans="2:7" ht="15">
      <c r="B604" s="2563">
        <v>7</v>
      </c>
      <c r="C604" s="2563" t="s">
        <v>1775</v>
      </c>
      <c r="D604" s="2563" t="s">
        <v>1776</v>
      </c>
      <c r="E604" s="2563" t="s">
        <v>887</v>
      </c>
      <c r="F604" s="2563">
        <v>26.22</v>
      </c>
      <c r="G604" s="2563">
        <v>26.22</v>
      </c>
    </row>
    <row r="605" spans="2:7" ht="15">
      <c r="B605" s="2563">
        <v>8</v>
      </c>
      <c r="C605" s="2563" t="s">
        <v>1777</v>
      </c>
      <c r="D605" s="2563" t="s">
        <v>1769</v>
      </c>
      <c r="E605" s="2563" t="s">
        <v>1778</v>
      </c>
      <c r="F605" s="2563">
        <v>50</v>
      </c>
      <c r="G605" s="2563">
        <v>50</v>
      </c>
    </row>
    <row r="606" spans="2:7" ht="15">
      <c r="B606" s="2563">
        <v>9</v>
      </c>
      <c r="C606" s="2563" t="s">
        <v>1779</v>
      </c>
      <c r="D606" s="2563" t="s">
        <v>1769</v>
      </c>
      <c r="E606" s="2563" t="s">
        <v>888</v>
      </c>
      <c r="F606" s="2563">
        <v>41</v>
      </c>
      <c r="G606" s="2563">
        <v>41</v>
      </c>
    </row>
    <row r="616" spans="1:9">
      <c r="C616" t="s">
        <v>1254</v>
      </c>
      <c r="D616" t="s">
        <v>169</v>
      </c>
      <c r="E616" t="s">
        <v>1255</v>
      </c>
    </row>
    <row r="617" spans="1:9">
      <c r="A617" t="s">
        <v>1249</v>
      </c>
      <c r="B617" s="2251">
        <v>45258</v>
      </c>
      <c r="C617">
        <v>16364.22</v>
      </c>
      <c r="D617">
        <v>24235</v>
      </c>
      <c r="E617">
        <v>26556</v>
      </c>
      <c r="I617" s="2251"/>
    </row>
    <row r="618" spans="1:9">
      <c r="A618" t="s">
        <v>1250</v>
      </c>
      <c r="B618" s="2251">
        <v>45257</v>
      </c>
      <c r="C618">
        <v>16291.58</v>
      </c>
      <c r="D618">
        <v>24244</v>
      </c>
      <c r="E618">
        <v>26498</v>
      </c>
      <c r="I618" s="2251"/>
    </row>
    <row r="620" spans="1:9">
      <c r="A620" t="s">
        <v>1251</v>
      </c>
      <c r="B620" s="2251">
        <v>45254</v>
      </c>
      <c r="C620">
        <v>16236.79</v>
      </c>
      <c r="D620">
        <v>24267</v>
      </c>
      <c r="E620">
        <v>26556</v>
      </c>
      <c r="I620" s="2251"/>
    </row>
    <row r="621" spans="1:9">
      <c r="A621" t="s">
        <v>1252</v>
      </c>
      <c r="B621" s="2251">
        <v>45253</v>
      </c>
      <c r="C621">
        <v>16228.88</v>
      </c>
      <c r="D621">
        <v>24256</v>
      </c>
      <c r="E621">
        <v>26430</v>
      </c>
      <c r="I621" s="2251"/>
    </row>
    <row r="622" spans="1:9">
      <c r="A622" t="s">
        <v>1253</v>
      </c>
      <c r="B622" s="2251">
        <v>45252</v>
      </c>
      <c r="C622">
        <v>16242.29</v>
      </c>
      <c r="D622">
        <v>24240</v>
      </c>
      <c r="E622">
        <v>26303</v>
      </c>
      <c r="I622" s="2251"/>
    </row>
    <row r="623" spans="1:9">
      <c r="A623" t="s">
        <v>1249</v>
      </c>
      <c r="B623" s="2251">
        <v>45251</v>
      </c>
      <c r="C623">
        <v>16379.55</v>
      </c>
      <c r="D623">
        <v>24236</v>
      </c>
      <c r="E623">
        <v>26406</v>
      </c>
      <c r="I623" s="2251"/>
    </row>
    <row r="624" spans="1:9">
      <c r="A624" t="s">
        <v>1250</v>
      </c>
      <c r="B624" s="2251">
        <v>45250</v>
      </c>
      <c r="C624">
        <v>16323.83</v>
      </c>
      <c r="D624">
        <v>24212</v>
      </c>
      <c r="E624">
        <v>26489</v>
      </c>
      <c r="I624" s="2251"/>
    </row>
    <row r="626" spans="1:9">
      <c r="A626" t="s">
        <v>1251</v>
      </c>
      <c r="B626" s="2251">
        <v>45247</v>
      </c>
      <c r="C626">
        <v>16213.97</v>
      </c>
      <c r="D626">
        <v>24271</v>
      </c>
      <c r="E626">
        <v>26462</v>
      </c>
      <c r="I626" s="2251"/>
    </row>
    <row r="627" spans="1:9">
      <c r="A627" t="s">
        <v>1252</v>
      </c>
      <c r="B627" s="2251">
        <v>45246</v>
      </c>
      <c r="C627">
        <v>16054.79</v>
      </c>
      <c r="D627">
        <v>24293</v>
      </c>
      <c r="E627">
        <v>26374</v>
      </c>
      <c r="I627" s="2251"/>
    </row>
    <row r="628" spans="1:9">
      <c r="A628" t="s">
        <v>1253</v>
      </c>
      <c r="B628" s="2251">
        <v>45245</v>
      </c>
      <c r="C628">
        <v>16049.28</v>
      </c>
      <c r="D628">
        <v>24297</v>
      </c>
      <c r="E628">
        <v>26395</v>
      </c>
      <c r="I628" s="2251"/>
    </row>
    <row r="629" spans="1:9">
      <c r="A629" t="s">
        <v>1249</v>
      </c>
      <c r="B629" s="2251">
        <v>45244</v>
      </c>
      <c r="C629">
        <v>16205.03</v>
      </c>
      <c r="D629">
        <v>24368</v>
      </c>
      <c r="E629">
        <v>26516</v>
      </c>
      <c r="I629" s="2251"/>
    </row>
    <row r="630" spans="1:9">
      <c r="A630" t="s">
        <v>1250</v>
      </c>
      <c r="B630" s="2251">
        <v>45243</v>
      </c>
      <c r="C630">
        <v>16079.73</v>
      </c>
      <c r="D630">
        <v>24383</v>
      </c>
      <c r="E630">
        <v>26068</v>
      </c>
      <c r="I630" s="2251"/>
    </row>
    <row r="632" spans="1:9">
      <c r="A632" t="s">
        <v>1251</v>
      </c>
      <c r="B632" s="2251">
        <v>45240</v>
      </c>
      <c r="C632">
        <v>16064.39</v>
      </c>
      <c r="D632">
        <v>24325</v>
      </c>
      <c r="E632">
        <v>25961</v>
      </c>
      <c r="I632" s="2251"/>
    </row>
    <row r="633" spans="1:9">
      <c r="A633" t="s">
        <v>1252</v>
      </c>
      <c r="B633" s="2251">
        <v>45239</v>
      </c>
      <c r="C633">
        <v>16132.42</v>
      </c>
      <c r="D633">
        <v>24353</v>
      </c>
      <c r="E633">
        <v>26083</v>
      </c>
      <c r="I633" s="2251"/>
    </row>
    <row r="634" spans="1:9">
      <c r="A634" t="s">
        <v>1253</v>
      </c>
      <c r="B634" s="2251">
        <v>45238</v>
      </c>
      <c r="C634">
        <v>16156.58</v>
      </c>
      <c r="D634">
        <v>24373</v>
      </c>
      <c r="E634">
        <v>26079</v>
      </c>
      <c r="I634" s="2251"/>
    </row>
    <row r="635" spans="1:9">
      <c r="A635" t="s">
        <v>1249</v>
      </c>
      <c r="B635" s="2251">
        <v>45237</v>
      </c>
      <c r="C635">
        <v>16178.71</v>
      </c>
      <c r="D635">
        <v>24325</v>
      </c>
      <c r="E635">
        <v>26056</v>
      </c>
      <c r="I635" s="2251"/>
    </row>
    <row r="636" spans="1:9">
      <c r="A636" t="s">
        <v>1250</v>
      </c>
      <c r="B636" s="2251">
        <v>45236</v>
      </c>
      <c r="C636">
        <v>16250.38</v>
      </c>
      <c r="D636">
        <v>24345</v>
      </c>
      <c r="E636">
        <v>26232</v>
      </c>
      <c r="I636" s="2251"/>
    </row>
    <row r="638" spans="1:9">
      <c r="A638" t="s">
        <v>1251</v>
      </c>
      <c r="B638" s="2251">
        <v>45233</v>
      </c>
      <c r="C638">
        <v>16444.71</v>
      </c>
      <c r="D638">
        <v>24561</v>
      </c>
      <c r="E638">
        <v>26377</v>
      </c>
      <c r="I638" s="2251"/>
    </row>
    <row r="639" spans="1:9">
      <c r="A639" t="s">
        <v>1252</v>
      </c>
      <c r="B639" s="2251">
        <v>45232</v>
      </c>
      <c r="C639">
        <v>16351.39</v>
      </c>
      <c r="D639">
        <v>24576</v>
      </c>
      <c r="E639">
        <v>26093</v>
      </c>
      <c r="I639" s="2251"/>
    </row>
    <row r="640" spans="1:9">
      <c r="A640" t="s">
        <v>1253</v>
      </c>
      <c r="B640" s="2251">
        <v>45231</v>
      </c>
      <c r="C640">
        <v>16261.04</v>
      </c>
      <c r="D640">
        <v>24587</v>
      </c>
      <c r="E640">
        <v>25902</v>
      </c>
      <c r="I640" s="2251"/>
    </row>
    <row r="641" spans="1:9">
      <c r="A641" t="s">
        <v>1249</v>
      </c>
      <c r="B641" s="2251">
        <v>45230</v>
      </c>
      <c r="C641">
        <v>16200.09</v>
      </c>
      <c r="D641">
        <v>24565</v>
      </c>
      <c r="E641">
        <v>25988</v>
      </c>
      <c r="I641" s="2251"/>
    </row>
    <row r="642" spans="1:9">
      <c r="A642" t="s">
        <v>1250</v>
      </c>
      <c r="B642" s="2251">
        <v>45229</v>
      </c>
      <c r="C642">
        <v>16477.419999999998</v>
      </c>
      <c r="D642">
        <v>24567</v>
      </c>
      <c r="E642">
        <v>26073</v>
      </c>
      <c r="I642" s="2251"/>
    </row>
    <row r="644" spans="1:9">
      <c r="A644" t="s">
        <v>1251</v>
      </c>
      <c r="B644" s="2251">
        <v>45226</v>
      </c>
      <c r="C644">
        <v>16420.2</v>
      </c>
      <c r="D644">
        <v>24572</v>
      </c>
      <c r="E644">
        <v>26026</v>
      </c>
      <c r="I644" s="2251"/>
    </row>
    <row r="645" spans="1:9">
      <c r="A645" t="s">
        <v>1252</v>
      </c>
      <c r="B645" s="2251">
        <v>45225</v>
      </c>
      <c r="C645">
        <v>16343.95</v>
      </c>
      <c r="D645">
        <v>24596</v>
      </c>
      <c r="E645">
        <v>25898</v>
      </c>
      <c r="I645" s="2251"/>
    </row>
    <row r="646" spans="1:9">
      <c r="A646" t="s">
        <v>1253</v>
      </c>
      <c r="B646" s="2251">
        <v>45224</v>
      </c>
      <c r="C646">
        <v>16378.7</v>
      </c>
      <c r="D646">
        <v>24571</v>
      </c>
      <c r="E646">
        <v>25971</v>
      </c>
      <c r="I646" s="2251"/>
    </row>
    <row r="647" spans="1:9">
      <c r="A647" t="s">
        <v>1249</v>
      </c>
      <c r="B647" s="2251">
        <v>45223</v>
      </c>
      <c r="C647">
        <v>16383.29</v>
      </c>
      <c r="D647">
        <v>24561</v>
      </c>
      <c r="E647">
        <v>26022</v>
      </c>
      <c r="I647" s="2251"/>
    </row>
    <row r="648" spans="1:9">
      <c r="A648" t="s">
        <v>1250</v>
      </c>
      <c r="B648" s="2251">
        <v>45222</v>
      </c>
      <c r="C648">
        <v>16412.849999999999</v>
      </c>
      <c r="D648">
        <v>24573</v>
      </c>
      <c r="E648">
        <v>26193</v>
      </c>
      <c r="I648" s="2251"/>
    </row>
    <row r="650" spans="1:9">
      <c r="A650" t="s">
        <v>1251</v>
      </c>
      <c r="B650" s="2251">
        <v>45219</v>
      </c>
      <c r="C650">
        <v>16377.5</v>
      </c>
      <c r="D650">
        <v>24543</v>
      </c>
      <c r="E650">
        <v>25993</v>
      </c>
      <c r="I650" s="2251"/>
    </row>
    <row r="651" spans="1:9">
      <c r="A651" t="s">
        <v>1252</v>
      </c>
      <c r="B651" s="2251">
        <v>45218</v>
      </c>
      <c r="C651">
        <v>16399.419999999998</v>
      </c>
      <c r="D651">
        <v>24565</v>
      </c>
      <c r="E651">
        <v>25991</v>
      </c>
      <c r="I651" s="2251"/>
    </row>
    <row r="652" spans="1:9">
      <c r="A652" t="s">
        <v>1253</v>
      </c>
      <c r="B652" s="2251">
        <v>45217</v>
      </c>
      <c r="C652">
        <v>16361.96</v>
      </c>
      <c r="D652">
        <v>24532</v>
      </c>
      <c r="E652">
        <v>25825</v>
      </c>
      <c r="I652" s="2251"/>
    </row>
    <row r="653" spans="1:9">
      <c r="A653" t="s">
        <v>1249</v>
      </c>
      <c r="B653" s="2251">
        <v>45216</v>
      </c>
      <c r="C653">
        <v>16361.48</v>
      </c>
      <c r="D653">
        <v>24500</v>
      </c>
      <c r="E653">
        <v>25892</v>
      </c>
      <c r="I653" s="2251"/>
    </row>
    <row r="654" spans="1:9">
      <c r="A654" t="s">
        <v>1250</v>
      </c>
      <c r="B654" s="2251">
        <v>45215</v>
      </c>
      <c r="C654">
        <v>16370.48</v>
      </c>
      <c r="D654">
        <v>24475</v>
      </c>
      <c r="E654">
        <v>25831</v>
      </c>
      <c r="I654" s="2251"/>
    </row>
    <row r="656" spans="1:9">
      <c r="A656" t="s">
        <v>1251</v>
      </c>
      <c r="B656" s="2251">
        <v>45212</v>
      </c>
      <c r="C656">
        <v>16350.78</v>
      </c>
      <c r="D656">
        <v>24449</v>
      </c>
      <c r="E656">
        <v>25731</v>
      </c>
      <c r="I656" s="2251"/>
    </row>
    <row r="657" spans="1:9">
      <c r="A657" t="s">
        <v>1252</v>
      </c>
      <c r="B657" s="2251">
        <v>45211</v>
      </c>
      <c r="C657">
        <v>16328.09</v>
      </c>
      <c r="D657">
        <v>24450</v>
      </c>
      <c r="E657">
        <v>25783</v>
      </c>
      <c r="I657" s="2251"/>
    </row>
    <row r="658" spans="1:9">
      <c r="A658" t="s">
        <v>1253</v>
      </c>
      <c r="B658" s="2251">
        <v>45210</v>
      </c>
      <c r="C658">
        <v>16389.05</v>
      </c>
      <c r="D658">
        <v>24421</v>
      </c>
      <c r="E658">
        <v>25933</v>
      </c>
      <c r="I658" s="2251"/>
    </row>
    <row r="659" spans="1:9">
      <c r="A659" t="s">
        <v>1249</v>
      </c>
      <c r="B659" s="2251">
        <v>45209</v>
      </c>
      <c r="C659">
        <v>16418.54</v>
      </c>
      <c r="D659">
        <v>24396</v>
      </c>
      <c r="E659">
        <v>25829</v>
      </c>
      <c r="I659" s="2251"/>
    </row>
    <row r="660" spans="1:9">
      <c r="A660" t="s">
        <v>1250</v>
      </c>
      <c r="B660" s="2251">
        <v>45208</v>
      </c>
      <c r="C660">
        <v>16380.95</v>
      </c>
      <c r="D660">
        <v>24385</v>
      </c>
      <c r="E660">
        <v>25685</v>
      </c>
      <c r="I660" s="2251"/>
    </row>
    <row r="662" spans="1:9">
      <c r="A662" t="s">
        <v>1251</v>
      </c>
      <c r="B662" s="2251">
        <v>45205</v>
      </c>
      <c r="C662">
        <v>16333.13</v>
      </c>
      <c r="D662">
        <v>24389</v>
      </c>
      <c r="E662">
        <v>25821</v>
      </c>
      <c r="I662" s="2251"/>
    </row>
    <row r="663" spans="1:9">
      <c r="A663" t="s">
        <v>1252</v>
      </c>
      <c r="B663" s="2251">
        <v>45204</v>
      </c>
      <c r="C663">
        <v>16430.21</v>
      </c>
      <c r="D663">
        <v>24400</v>
      </c>
      <c r="E663">
        <v>25755</v>
      </c>
      <c r="I663" s="2251"/>
    </row>
    <row r="664" spans="1:9">
      <c r="A664" t="s">
        <v>1253</v>
      </c>
      <c r="B664" s="2251">
        <v>45203</v>
      </c>
      <c r="C664">
        <v>16396.16</v>
      </c>
      <c r="D664">
        <v>24406</v>
      </c>
      <c r="E664">
        <v>25666</v>
      </c>
      <c r="I664" s="2251"/>
    </row>
    <row r="665" spans="1:9">
      <c r="A665" t="s">
        <v>1249</v>
      </c>
      <c r="B665" s="2251">
        <v>45202</v>
      </c>
      <c r="C665">
        <v>16368.61</v>
      </c>
      <c r="D665">
        <v>24393</v>
      </c>
      <c r="E665">
        <v>25502</v>
      </c>
      <c r="I665" s="2251"/>
    </row>
    <row r="666" spans="1:9">
      <c r="A666" t="s">
        <v>1250</v>
      </c>
      <c r="B666" s="2251">
        <v>45201</v>
      </c>
      <c r="C666">
        <v>16265.74</v>
      </c>
      <c r="D666">
        <v>24355</v>
      </c>
      <c r="E666">
        <v>25526</v>
      </c>
      <c r="I666" s="2251"/>
    </row>
    <row r="668" spans="1:9">
      <c r="A668" t="s">
        <v>1251</v>
      </c>
      <c r="B668" s="2251">
        <v>45198</v>
      </c>
      <c r="C668">
        <v>16264.93</v>
      </c>
      <c r="D668">
        <v>24305</v>
      </c>
      <c r="E668">
        <v>25727</v>
      </c>
      <c r="I668" s="2251"/>
    </row>
    <row r="669" spans="1:9">
      <c r="A669" t="s">
        <v>1252</v>
      </c>
      <c r="B669" s="2251">
        <v>45197</v>
      </c>
      <c r="C669">
        <v>16348.74</v>
      </c>
      <c r="D669">
        <v>24400</v>
      </c>
      <c r="E669">
        <v>25771</v>
      </c>
      <c r="I669" s="2251"/>
    </row>
    <row r="670" spans="1:9">
      <c r="A670" t="s">
        <v>1253</v>
      </c>
      <c r="B670" s="2251">
        <v>45196</v>
      </c>
      <c r="C670">
        <v>16302.49</v>
      </c>
      <c r="D670">
        <v>24398</v>
      </c>
      <c r="E670">
        <v>25621</v>
      </c>
      <c r="I670" s="2251"/>
    </row>
    <row r="671" spans="1:9">
      <c r="A671" t="s">
        <v>1249</v>
      </c>
      <c r="B671" s="2251">
        <v>45195</v>
      </c>
      <c r="C671">
        <v>16372.15</v>
      </c>
      <c r="D671">
        <v>24385</v>
      </c>
      <c r="E671">
        <v>25778</v>
      </c>
      <c r="I671" s="2251"/>
    </row>
    <row r="672" spans="1:9">
      <c r="A672" t="s">
        <v>1250</v>
      </c>
      <c r="B672" s="2251">
        <v>45194</v>
      </c>
      <c r="C672">
        <v>16379.52</v>
      </c>
      <c r="D672">
        <v>24385</v>
      </c>
      <c r="E672">
        <v>25814</v>
      </c>
      <c r="I672" s="2251"/>
    </row>
    <row r="674" spans="1:9">
      <c r="A674" t="s">
        <v>1251</v>
      </c>
      <c r="B674" s="2251">
        <v>45191</v>
      </c>
      <c r="C674">
        <v>16413.060000000001</v>
      </c>
      <c r="D674">
        <v>24334</v>
      </c>
      <c r="E674">
        <v>25920</v>
      </c>
      <c r="I674" s="2251"/>
    </row>
    <row r="675" spans="1:9">
      <c r="A675" t="s">
        <v>1252</v>
      </c>
      <c r="B675" s="2251">
        <v>45190</v>
      </c>
      <c r="C675">
        <v>16471.93</v>
      </c>
      <c r="D675">
        <v>24303</v>
      </c>
      <c r="E675">
        <v>25908</v>
      </c>
      <c r="I675" s="2251"/>
    </row>
    <row r="676" spans="1:9">
      <c r="A676" t="s">
        <v>1253</v>
      </c>
      <c r="B676" s="2251">
        <v>45189</v>
      </c>
      <c r="C676">
        <v>16446.400000000001</v>
      </c>
      <c r="D676">
        <v>24290</v>
      </c>
      <c r="E676">
        <v>26081</v>
      </c>
      <c r="I676" s="2251"/>
    </row>
    <row r="677" spans="1:9">
      <c r="A677" t="s">
        <v>1249</v>
      </c>
      <c r="B677" s="2251">
        <v>45188</v>
      </c>
      <c r="C677">
        <v>16473.12</v>
      </c>
      <c r="D677">
        <v>24342</v>
      </c>
      <c r="E677">
        <v>26030</v>
      </c>
      <c r="I677" s="2251"/>
    </row>
    <row r="678" spans="1:9">
      <c r="A678" t="s">
        <v>1250</v>
      </c>
      <c r="B678" s="2251">
        <v>45187</v>
      </c>
      <c r="C678">
        <v>16508.75</v>
      </c>
      <c r="D678">
        <v>24376</v>
      </c>
      <c r="E678">
        <v>26009</v>
      </c>
      <c r="I678" s="2251"/>
    </row>
    <row r="680" spans="1:9">
      <c r="A680" t="s">
        <v>1251</v>
      </c>
      <c r="B680" s="2251">
        <v>45184</v>
      </c>
      <c r="C680">
        <v>16396.419999999998</v>
      </c>
      <c r="D680">
        <v>24248</v>
      </c>
      <c r="E680">
        <v>25876</v>
      </c>
      <c r="I680" s="2251"/>
    </row>
    <row r="681" spans="1:9">
      <c r="A681" t="s">
        <v>1252</v>
      </c>
      <c r="B681" s="2251">
        <v>45183</v>
      </c>
      <c r="C681">
        <v>16414.009999999998</v>
      </c>
      <c r="D681">
        <v>24195</v>
      </c>
      <c r="E681">
        <v>25733</v>
      </c>
      <c r="I681" s="2251"/>
    </row>
    <row r="682" spans="1:9">
      <c r="A682" t="s">
        <v>1253</v>
      </c>
      <c r="B682" s="2251">
        <v>45182</v>
      </c>
      <c r="C682">
        <v>16365.86</v>
      </c>
      <c r="D682">
        <v>24147</v>
      </c>
      <c r="E682">
        <v>25891</v>
      </c>
      <c r="I682" s="2251"/>
    </row>
    <row r="683" spans="1:9">
      <c r="A683" t="s">
        <v>1249</v>
      </c>
      <c r="B683" s="2251">
        <v>45181</v>
      </c>
      <c r="C683">
        <v>16390.05</v>
      </c>
      <c r="D683">
        <v>24115</v>
      </c>
      <c r="E683">
        <v>25851</v>
      </c>
      <c r="I683" s="2251"/>
    </row>
    <row r="684" spans="1:9">
      <c r="A684" t="s">
        <v>1250</v>
      </c>
      <c r="B684" s="2251">
        <v>45180</v>
      </c>
      <c r="C684">
        <v>16444.55</v>
      </c>
      <c r="D684">
        <v>24074</v>
      </c>
      <c r="E684">
        <v>25880</v>
      </c>
      <c r="I684" s="2251"/>
    </row>
    <row r="686" spans="1:9">
      <c r="A686" t="s">
        <v>1251</v>
      </c>
      <c r="B686" s="2251">
        <v>45177</v>
      </c>
      <c r="C686">
        <v>16284.73</v>
      </c>
      <c r="D686">
        <v>24061</v>
      </c>
      <c r="E686">
        <v>25751</v>
      </c>
      <c r="I686" s="2251"/>
    </row>
    <row r="687" spans="1:9">
      <c r="A687" t="s">
        <v>1252</v>
      </c>
      <c r="B687" s="2251">
        <v>45176</v>
      </c>
      <c r="C687">
        <v>16349.01</v>
      </c>
      <c r="D687">
        <v>24069</v>
      </c>
      <c r="E687">
        <v>25745</v>
      </c>
      <c r="I687" s="2251"/>
    </row>
    <row r="688" spans="1:9">
      <c r="A688" t="s">
        <v>1253</v>
      </c>
      <c r="B688" s="2251">
        <v>45175</v>
      </c>
      <c r="C688">
        <v>16349.34</v>
      </c>
      <c r="D688">
        <v>24060</v>
      </c>
      <c r="E688">
        <v>25759</v>
      </c>
      <c r="I688" s="2251"/>
    </row>
    <row r="689" spans="1:64">
      <c r="A689" t="s">
        <v>1249</v>
      </c>
      <c r="B689" s="2251">
        <v>45174</v>
      </c>
      <c r="C689">
        <v>16305.76</v>
      </c>
      <c r="D689">
        <v>24073</v>
      </c>
      <c r="E689">
        <v>25823</v>
      </c>
      <c r="I689" s="2251"/>
    </row>
    <row r="690" spans="1:64">
      <c r="A690" t="s">
        <v>1250</v>
      </c>
      <c r="B690" s="2251">
        <v>45173</v>
      </c>
      <c r="C690">
        <v>16472.72</v>
      </c>
      <c r="D690">
        <v>24079</v>
      </c>
      <c r="E690">
        <v>25967</v>
      </c>
      <c r="I690" s="2251"/>
    </row>
    <row r="692" spans="1:64">
      <c r="A692" t="s">
        <v>1251</v>
      </c>
      <c r="B692" s="2251">
        <v>45170</v>
      </c>
      <c r="C692">
        <v>16512.509999999998</v>
      </c>
      <c r="D692">
        <v>24085</v>
      </c>
      <c r="E692">
        <v>25971</v>
      </c>
      <c r="I692" s="2251"/>
    </row>
    <row r="693" spans="1:64">
      <c r="A693" t="s">
        <v>1252</v>
      </c>
      <c r="B693" s="2251">
        <v>45169</v>
      </c>
      <c r="C693">
        <v>16541.830000000002</v>
      </c>
      <c r="D693">
        <v>24128</v>
      </c>
      <c r="E693">
        <v>26139</v>
      </c>
      <c r="I693" s="2251"/>
    </row>
    <row r="694" spans="1:64">
      <c r="A694" t="s">
        <v>1253</v>
      </c>
      <c r="B694" s="2251">
        <v>45168</v>
      </c>
      <c r="C694">
        <v>16500.22</v>
      </c>
      <c r="D694">
        <v>24139</v>
      </c>
      <c r="E694">
        <v>26383</v>
      </c>
      <c r="I694" s="2251"/>
    </row>
    <row r="695" spans="1:64">
      <c r="A695" t="s">
        <v>1249</v>
      </c>
      <c r="B695" s="2251">
        <v>45167</v>
      </c>
      <c r="C695">
        <v>16374.21</v>
      </c>
      <c r="D695">
        <v>24001</v>
      </c>
      <c r="E695">
        <v>26191</v>
      </c>
      <c r="I695" s="2251"/>
    </row>
    <row r="696" spans="1:64">
      <c r="A696" t="s">
        <v>1250</v>
      </c>
      <c r="B696" s="2251">
        <v>45166</v>
      </c>
      <c r="E696">
        <v>25953</v>
      </c>
      <c r="I696" s="2251"/>
    </row>
    <row r="697" spans="1:64">
      <c r="B697" s="2251"/>
      <c r="C697">
        <v>16383.27</v>
      </c>
      <c r="D697">
        <v>24010</v>
      </c>
    </row>
    <row r="698" spans="1:64">
      <c r="A698" t="s">
        <v>1251</v>
      </c>
      <c r="B698" s="2251">
        <v>45163</v>
      </c>
      <c r="C698">
        <v>16462.099999999999</v>
      </c>
      <c r="D698">
        <v>24008</v>
      </c>
      <c r="E698">
        <v>25919</v>
      </c>
      <c r="I698" s="2251"/>
    </row>
    <row r="699" spans="1:64">
      <c r="A699" t="s">
        <v>1252</v>
      </c>
      <c r="B699" s="2251">
        <v>45162</v>
      </c>
      <c r="C699">
        <v>16482.34</v>
      </c>
      <c r="D699">
        <v>23845</v>
      </c>
      <c r="E699">
        <v>25948</v>
      </c>
      <c r="I699" s="2251"/>
    </row>
    <row r="700" spans="1:64">
      <c r="A700" t="s">
        <v>1253</v>
      </c>
      <c r="B700" s="2251">
        <v>45161</v>
      </c>
      <c r="C700">
        <v>16410.53</v>
      </c>
      <c r="D700">
        <v>23940</v>
      </c>
      <c r="E700">
        <v>25944</v>
      </c>
      <c r="I700" s="2251"/>
    </row>
    <row r="701" spans="1:64">
      <c r="A701" t="s">
        <v>1249</v>
      </c>
      <c r="B701" s="2251">
        <v>45160</v>
      </c>
      <c r="C701">
        <v>16294.26</v>
      </c>
      <c r="D701">
        <v>23816</v>
      </c>
      <c r="E701">
        <v>25895</v>
      </c>
      <c r="I701" s="2251" t="s">
        <v>1672</v>
      </c>
      <c r="J701" s="2251">
        <v>45473</v>
      </c>
      <c r="U701" t="s">
        <v>1887</v>
      </c>
      <c r="V701" s="2251">
        <v>45727</v>
      </c>
    </row>
    <row r="702" spans="1:64">
      <c r="A702" t="s">
        <v>1250</v>
      </c>
      <c r="B702" s="2251">
        <v>45159</v>
      </c>
      <c r="E702">
        <v>25959</v>
      </c>
      <c r="H702" t="s">
        <v>1703</v>
      </c>
      <c r="I702" s="2251" t="s">
        <v>1684</v>
      </c>
      <c r="J702">
        <v>33.844999999999999</v>
      </c>
      <c r="U702" t="s">
        <v>1888</v>
      </c>
    </row>
    <row r="703" spans="1:64">
      <c r="B703" s="2251"/>
      <c r="C703">
        <v>16394.580000000002</v>
      </c>
      <c r="D703">
        <v>23820</v>
      </c>
      <c r="I703" t="s">
        <v>1673</v>
      </c>
      <c r="J703">
        <v>24.328399999999998</v>
      </c>
    </row>
    <row r="704" spans="1:64">
      <c r="A704" t="s">
        <v>1251</v>
      </c>
      <c r="B704" s="2251">
        <v>45156</v>
      </c>
      <c r="C704">
        <v>16375.71</v>
      </c>
      <c r="D704">
        <v>23864</v>
      </c>
      <c r="E704">
        <v>25931</v>
      </c>
      <c r="I704" s="2251" t="s">
        <v>1699</v>
      </c>
      <c r="J704">
        <v>6505190.6129999999</v>
      </c>
      <c r="V704" t="s">
        <v>1703</v>
      </c>
      <c r="Y704" t="s">
        <v>1670</v>
      </c>
      <c r="AB704" t="s">
        <v>1695</v>
      </c>
      <c r="AE704" t="s">
        <v>1696</v>
      </c>
      <c r="AH704" t="s">
        <v>1700</v>
      </c>
      <c r="AK704" t="s">
        <v>1697</v>
      </c>
      <c r="AN704" t="s">
        <v>1698</v>
      </c>
      <c r="AQ704" t="s">
        <v>1702</v>
      </c>
      <c r="AT704" t="s">
        <v>1701</v>
      </c>
      <c r="AW704" t="s">
        <v>1694</v>
      </c>
      <c r="AZ704" t="s">
        <v>1696</v>
      </c>
      <c r="BC704" t="s">
        <v>1889</v>
      </c>
      <c r="BF704" t="s">
        <v>1890</v>
      </c>
      <c r="BI704" t="s">
        <v>1891</v>
      </c>
      <c r="BL704" t="s">
        <v>1892</v>
      </c>
    </row>
    <row r="705" spans="1:66">
      <c r="A705" t="s">
        <v>1252</v>
      </c>
      <c r="B705" s="2251">
        <v>45155</v>
      </c>
      <c r="C705">
        <v>16396.22</v>
      </c>
      <c r="D705">
        <v>23948</v>
      </c>
      <c r="E705">
        <v>25983</v>
      </c>
      <c r="H705" t="s">
        <v>1670</v>
      </c>
      <c r="I705" s="2251" t="s">
        <v>1684</v>
      </c>
      <c r="J705">
        <v>27.3947</v>
      </c>
      <c r="V705" t="s">
        <v>1671</v>
      </c>
      <c r="W705" t="s">
        <v>1671</v>
      </c>
      <c r="X705" t="s">
        <v>1671</v>
      </c>
      <c r="Y705" t="s">
        <v>1671</v>
      </c>
      <c r="Z705" t="s">
        <v>1671</v>
      </c>
      <c r="AA705" t="s">
        <v>1671</v>
      </c>
      <c r="AB705" t="s">
        <v>1671</v>
      </c>
      <c r="AC705" t="s">
        <v>1671</v>
      </c>
      <c r="AD705" t="s">
        <v>1671</v>
      </c>
      <c r="AE705" t="s">
        <v>1671</v>
      </c>
      <c r="AF705" t="s">
        <v>1671</v>
      </c>
      <c r="AG705" t="s">
        <v>1671</v>
      </c>
      <c r="AH705" t="s">
        <v>1671</v>
      </c>
      <c r="AI705" t="s">
        <v>1671</v>
      </c>
      <c r="AJ705" t="s">
        <v>1671</v>
      </c>
      <c r="AK705" t="s">
        <v>1671</v>
      </c>
      <c r="AL705" t="s">
        <v>1671</v>
      </c>
      <c r="AM705" t="s">
        <v>1671</v>
      </c>
      <c r="AN705" t="s">
        <v>1671</v>
      </c>
      <c r="AO705" t="s">
        <v>1671</v>
      </c>
      <c r="AP705" t="s">
        <v>1671</v>
      </c>
      <c r="AQ705" t="s">
        <v>1671</v>
      </c>
      <c r="AR705" t="s">
        <v>1671</v>
      </c>
      <c r="AS705" t="s">
        <v>1671</v>
      </c>
      <c r="AT705" t="s">
        <v>1671</v>
      </c>
      <c r="AU705" t="s">
        <v>1671</v>
      </c>
      <c r="AV705" t="s">
        <v>1671</v>
      </c>
      <c r="AW705" t="s">
        <v>1671</v>
      </c>
      <c r="AX705" t="s">
        <v>1671</v>
      </c>
      <c r="AY705" t="s">
        <v>1671</v>
      </c>
      <c r="AZ705" t="s">
        <v>1671</v>
      </c>
      <c r="BA705" t="s">
        <v>1671</v>
      </c>
      <c r="BB705" t="s">
        <v>1671</v>
      </c>
      <c r="BC705" t="s">
        <v>1671</v>
      </c>
      <c r="BD705" t="s">
        <v>1671</v>
      </c>
      <c r="BE705" t="s">
        <v>1671</v>
      </c>
      <c r="BF705" t="s">
        <v>1671</v>
      </c>
      <c r="BG705" t="s">
        <v>1671</v>
      </c>
      <c r="BH705" t="s">
        <v>1671</v>
      </c>
      <c r="BI705" t="s">
        <v>1671</v>
      </c>
      <c r="BJ705" t="s">
        <v>1671</v>
      </c>
      <c r="BK705" t="s">
        <v>1671</v>
      </c>
      <c r="BL705" t="s">
        <v>1671</v>
      </c>
      <c r="BM705" t="s">
        <v>1671</v>
      </c>
      <c r="BN705" t="s">
        <v>1671</v>
      </c>
    </row>
    <row r="706" spans="1:66">
      <c r="A706" t="s">
        <v>1253</v>
      </c>
      <c r="B706" s="2251">
        <v>45154</v>
      </c>
      <c r="C706">
        <v>16488.46</v>
      </c>
      <c r="D706">
        <v>23963</v>
      </c>
      <c r="E706">
        <v>26031</v>
      </c>
      <c r="I706" s="2251" t="s">
        <v>1673</v>
      </c>
      <c r="J706">
        <v>21.831700000000001</v>
      </c>
      <c r="U706" t="s">
        <v>1672</v>
      </c>
      <c r="V706" t="s">
        <v>1684</v>
      </c>
      <c r="W706" t="s">
        <v>1673</v>
      </c>
      <c r="X706" t="s">
        <v>1699</v>
      </c>
      <c r="Y706" t="s">
        <v>1684</v>
      </c>
      <c r="Z706" t="s">
        <v>1673</v>
      </c>
      <c r="AA706" t="s">
        <v>1699</v>
      </c>
      <c r="AB706" t="s">
        <v>1684</v>
      </c>
      <c r="AC706" t="s">
        <v>1673</v>
      </c>
      <c r="AD706" t="s">
        <v>1699</v>
      </c>
      <c r="AE706" t="s">
        <v>1684</v>
      </c>
      <c r="AF706" t="s">
        <v>1673</v>
      </c>
      <c r="AG706" t="s">
        <v>1699</v>
      </c>
      <c r="AH706" t="s">
        <v>1684</v>
      </c>
      <c r="AI706" t="s">
        <v>1673</v>
      </c>
      <c r="AJ706" t="s">
        <v>1699</v>
      </c>
      <c r="AK706" t="s">
        <v>1684</v>
      </c>
      <c r="AL706" t="s">
        <v>1673</v>
      </c>
      <c r="AM706" t="s">
        <v>1699</v>
      </c>
      <c r="AN706" t="s">
        <v>1684</v>
      </c>
      <c r="AO706" t="s">
        <v>1673</v>
      </c>
      <c r="AP706" t="s">
        <v>1699</v>
      </c>
      <c r="AQ706" t="s">
        <v>1684</v>
      </c>
      <c r="AR706" t="s">
        <v>1673</v>
      </c>
      <c r="AS706" t="s">
        <v>1699</v>
      </c>
      <c r="AT706" t="s">
        <v>1684</v>
      </c>
      <c r="AU706" t="s">
        <v>1673</v>
      </c>
      <c r="AV706" t="s">
        <v>1699</v>
      </c>
      <c r="AW706" t="s">
        <v>1684</v>
      </c>
      <c r="AX706" t="s">
        <v>1673</v>
      </c>
      <c r="AY706" t="s">
        <v>1699</v>
      </c>
      <c r="AZ706" t="s">
        <v>1684</v>
      </c>
      <c r="BA706" t="s">
        <v>1673</v>
      </c>
      <c r="BB706" t="s">
        <v>1699</v>
      </c>
      <c r="BC706" t="s">
        <v>1684</v>
      </c>
      <c r="BD706" t="s">
        <v>1673</v>
      </c>
      <c r="BE706" t="s">
        <v>1699</v>
      </c>
      <c r="BF706" t="s">
        <v>1684</v>
      </c>
      <c r="BG706" t="s">
        <v>1673</v>
      </c>
      <c r="BH706" t="s">
        <v>1699</v>
      </c>
      <c r="BI706" t="s">
        <v>1684</v>
      </c>
      <c r="BJ706" t="s">
        <v>1673</v>
      </c>
      <c r="BK706" t="s">
        <v>1699</v>
      </c>
      <c r="BL706" t="s">
        <v>1684</v>
      </c>
      <c r="BM706" t="s">
        <v>1673</v>
      </c>
      <c r="BN706" t="s">
        <v>1699</v>
      </c>
    </row>
    <row r="707" spans="1:66">
      <c r="A707" t="s">
        <v>1249</v>
      </c>
      <c r="B707" s="2251">
        <v>45153</v>
      </c>
      <c r="C707">
        <v>16386.740000000002</v>
      </c>
      <c r="D707">
        <v>23825</v>
      </c>
      <c r="E707">
        <v>26082</v>
      </c>
      <c r="I707" s="2251" t="s">
        <v>1699</v>
      </c>
      <c r="J707">
        <v>147951373.90000001</v>
      </c>
      <c r="U707" t="s">
        <v>1893</v>
      </c>
      <c r="Y707" t="s">
        <v>1894</v>
      </c>
      <c r="AB707" t="s">
        <v>1894</v>
      </c>
      <c r="AE707" t="s">
        <v>1894</v>
      </c>
      <c r="AH707" t="s">
        <v>1893</v>
      </c>
      <c r="AK707" t="s">
        <v>1894</v>
      </c>
      <c r="AN707" t="s">
        <v>1894</v>
      </c>
      <c r="AQ707" t="s">
        <v>1893</v>
      </c>
      <c r="AT707" t="s">
        <v>1893</v>
      </c>
      <c r="AW707">
        <v>51.244900000000001</v>
      </c>
      <c r="AX707">
        <v>26.8735</v>
      </c>
      <c r="AY707">
        <v>13047366.300000001</v>
      </c>
      <c r="AZ707" t="s">
        <v>1894</v>
      </c>
      <c r="BC707" t="s">
        <v>1894</v>
      </c>
      <c r="BF707" t="s">
        <v>1894</v>
      </c>
      <c r="BI707" t="s">
        <v>1894</v>
      </c>
      <c r="BL707" t="s">
        <v>1894</v>
      </c>
    </row>
    <row r="708" spans="1:66">
      <c r="A708" t="s">
        <v>1250</v>
      </c>
      <c r="B708" s="2251">
        <v>45152</v>
      </c>
      <c r="E708">
        <v>25961</v>
      </c>
      <c r="H708" t="s">
        <v>1695</v>
      </c>
      <c r="I708" s="2251" t="s">
        <v>1684</v>
      </c>
      <c r="J708">
        <v>24.650700000000001</v>
      </c>
      <c r="U708" t="s">
        <v>1695</v>
      </c>
      <c r="V708" t="s">
        <v>1684</v>
      </c>
      <c r="W708">
        <v>24.650700000000001</v>
      </c>
    </row>
    <row r="709" spans="1:66">
      <c r="B709" s="2251"/>
      <c r="C709">
        <v>16400.830000000002</v>
      </c>
      <c r="D709">
        <v>23753</v>
      </c>
      <c r="I709" t="s">
        <v>1673</v>
      </c>
      <c r="J709">
        <v>24.744700000000002</v>
      </c>
      <c r="V709" t="s">
        <v>1673</v>
      </c>
      <c r="W709">
        <v>24.744700000000002</v>
      </c>
    </row>
    <row r="710" spans="1:66">
      <c r="A710" t="s">
        <v>1251</v>
      </c>
      <c r="B710" s="2251">
        <v>45149</v>
      </c>
      <c r="C710">
        <v>16469.91</v>
      </c>
      <c r="D710">
        <v>23744</v>
      </c>
      <c r="E710">
        <v>25995</v>
      </c>
      <c r="I710" s="2251" t="s">
        <v>1699</v>
      </c>
      <c r="J710">
        <v>3960865.574</v>
      </c>
      <c r="V710" t="s">
        <v>1699</v>
      </c>
      <c r="W710">
        <v>3960865.574</v>
      </c>
    </row>
    <row r="711" spans="1:66">
      <c r="A711" t="s">
        <v>1252</v>
      </c>
      <c r="B711" s="2251">
        <v>45148</v>
      </c>
      <c r="C711">
        <v>16513.71</v>
      </c>
      <c r="D711">
        <v>23740</v>
      </c>
      <c r="E711">
        <v>26190</v>
      </c>
      <c r="H711" t="s">
        <v>1696</v>
      </c>
      <c r="I711" s="2251" t="s">
        <v>1684</v>
      </c>
      <c r="J711">
        <v>17.145800000000001</v>
      </c>
      <c r="U711" t="s">
        <v>1696</v>
      </c>
      <c r="V711" t="s">
        <v>1684</v>
      </c>
      <c r="W711">
        <v>17.145800000000001</v>
      </c>
    </row>
    <row r="712" spans="1:66">
      <c r="A712" t="s">
        <v>1253</v>
      </c>
      <c r="B712" s="2251">
        <v>45147</v>
      </c>
      <c r="C712">
        <v>16546.28</v>
      </c>
      <c r="D712">
        <v>23731</v>
      </c>
      <c r="E712">
        <v>26039</v>
      </c>
      <c r="I712" s="2251" t="s">
        <v>1673</v>
      </c>
      <c r="J712">
        <v>43.586300000000001</v>
      </c>
      <c r="V712" t="s">
        <v>1673</v>
      </c>
      <c r="W712">
        <v>43.586300000000001</v>
      </c>
    </row>
    <row r="713" spans="1:66">
      <c r="A713" t="s">
        <v>1249</v>
      </c>
      <c r="B713" s="2251">
        <v>45146</v>
      </c>
      <c r="C713">
        <v>16685.189999999999</v>
      </c>
      <c r="D713">
        <v>23725</v>
      </c>
      <c r="E713">
        <v>25976</v>
      </c>
      <c r="I713" s="2251" t="s">
        <v>1699</v>
      </c>
      <c r="J713">
        <v>364050.41259999998</v>
      </c>
      <c r="V713" t="s">
        <v>1699</v>
      </c>
      <c r="W713">
        <v>364050.41259999998</v>
      </c>
    </row>
    <row r="714" spans="1:66">
      <c r="A714" t="s">
        <v>1250</v>
      </c>
      <c r="B714" s="2251">
        <v>45145</v>
      </c>
      <c r="E714">
        <v>26072</v>
      </c>
      <c r="H714" t="s">
        <v>1700</v>
      </c>
      <c r="I714" s="2251" t="s">
        <v>1684</v>
      </c>
      <c r="J714">
        <v>15.9994</v>
      </c>
      <c r="U714" t="s">
        <v>1700</v>
      </c>
      <c r="V714" t="s">
        <v>1684</v>
      </c>
      <c r="W714">
        <v>15.9994</v>
      </c>
    </row>
    <row r="715" spans="1:66">
      <c r="B715" s="2251"/>
      <c r="C715">
        <v>16732.259999999998</v>
      </c>
      <c r="D715">
        <v>23726</v>
      </c>
      <c r="I715" t="s">
        <v>1673</v>
      </c>
      <c r="J715">
        <v>16.109000000000002</v>
      </c>
      <c r="V715" t="s">
        <v>1673</v>
      </c>
      <c r="W715">
        <v>16.109000000000002</v>
      </c>
    </row>
    <row r="716" spans="1:66">
      <c r="A716" t="s">
        <v>1251</v>
      </c>
      <c r="B716" s="2251">
        <v>45142</v>
      </c>
      <c r="C716">
        <v>16659.07</v>
      </c>
      <c r="D716">
        <v>23753</v>
      </c>
      <c r="E716">
        <v>26188</v>
      </c>
      <c r="I716" s="2251" t="s">
        <v>1699</v>
      </c>
      <c r="J716">
        <v>36486.842499999999</v>
      </c>
      <c r="V716" t="s">
        <v>1699</v>
      </c>
      <c r="W716">
        <v>36486.842499999999</v>
      </c>
    </row>
    <row r="717" spans="1:66">
      <c r="A717" t="s">
        <v>1252</v>
      </c>
      <c r="B717" s="2251">
        <v>45141</v>
      </c>
      <c r="C717">
        <v>16551.27</v>
      </c>
      <c r="D717">
        <v>23737</v>
      </c>
      <c r="E717">
        <v>26020</v>
      </c>
      <c r="H717" t="s">
        <v>1697</v>
      </c>
      <c r="I717" s="2251" t="s">
        <v>1684</v>
      </c>
      <c r="J717">
        <v>12.708</v>
      </c>
      <c r="U717" t="s">
        <v>1697</v>
      </c>
      <c r="V717" t="s">
        <v>1684</v>
      </c>
      <c r="W717">
        <v>12.708</v>
      </c>
    </row>
    <row r="718" spans="1:66">
      <c r="A718" t="s">
        <v>1253</v>
      </c>
      <c r="B718" s="2251">
        <v>45140</v>
      </c>
      <c r="C718">
        <v>16562.38</v>
      </c>
      <c r="D718">
        <v>23690</v>
      </c>
      <c r="E718">
        <v>25968</v>
      </c>
      <c r="I718" s="2251" t="s">
        <v>1673</v>
      </c>
      <c r="J718">
        <v>23.362300000000001</v>
      </c>
      <c r="V718" t="s">
        <v>1673</v>
      </c>
      <c r="W718">
        <v>23.362300000000001</v>
      </c>
    </row>
    <row r="719" spans="1:66">
      <c r="A719" t="s">
        <v>1249</v>
      </c>
      <c r="B719" s="2251">
        <v>45139</v>
      </c>
      <c r="C719">
        <v>16672.060000000001</v>
      </c>
      <c r="D719">
        <v>23689</v>
      </c>
      <c r="E719">
        <v>25993</v>
      </c>
      <c r="I719" s="2251" t="s">
        <v>1699</v>
      </c>
      <c r="J719">
        <v>7591578.4900000002</v>
      </c>
      <c r="V719" t="s">
        <v>1699</v>
      </c>
      <c r="W719">
        <v>7591578.4900000002</v>
      </c>
    </row>
    <row r="720" spans="1:66">
      <c r="A720" t="s">
        <v>1250</v>
      </c>
      <c r="B720" s="2251">
        <v>45138</v>
      </c>
      <c r="E720">
        <v>26078</v>
      </c>
      <c r="H720" t="s">
        <v>1698</v>
      </c>
      <c r="I720" s="2251" t="s">
        <v>1684</v>
      </c>
      <c r="J720">
        <v>36.464100000000002</v>
      </c>
      <c r="U720" t="s">
        <v>1698</v>
      </c>
      <c r="V720" t="s">
        <v>1684</v>
      </c>
      <c r="W720">
        <v>36.464100000000002</v>
      </c>
    </row>
    <row r="721" spans="1:23">
      <c r="B721" s="2251"/>
      <c r="C721">
        <v>16816.2</v>
      </c>
      <c r="D721">
        <v>23692</v>
      </c>
      <c r="I721" t="s">
        <v>1673</v>
      </c>
      <c r="J721">
        <v>20.8248</v>
      </c>
      <c r="V721" t="s">
        <v>1673</v>
      </c>
      <c r="W721">
        <v>20.8248</v>
      </c>
    </row>
    <row r="722" spans="1:23">
      <c r="A722" t="s">
        <v>1251</v>
      </c>
      <c r="B722" s="2251">
        <v>45135</v>
      </c>
      <c r="C722">
        <v>16969.599999999999</v>
      </c>
      <c r="D722">
        <v>23667</v>
      </c>
      <c r="E722">
        <v>26122</v>
      </c>
      <c r="I722" s="2251" t="s">
        <v>1699</v>
      </c>
      <c r="J722">
        <v>175061.5962</v>
      </c>
      <c r="V722" t="s">
        <v>1699</v>
      </c>
      <c r="W722">
        <v>175061.5962</v>
      </c>
    </row>
    <row r="723" spans="1:23">
      <c r="A723" t="s">
        <v>1252</v>
      </c>
      <c r="B723" s="2251">
        <v>45134</v>
      </c>
      <c r="C723">
        <v>16837.02</v>
      </c>
      <c r="D723">
        <v>23672</v>
      </c>
      <c r="E723">
        <v>25979</v>
      </c>
      <c r="H723" t="s">
        <v>1702</v>
      </c>
      <c r="I723" s="2251" t="s">
        <v>1684</v>
      </c>
      <c r="J723">
        <v>15.4277</v>
      </c>
      <c r="U723" t="s">
        <v>1702</v>
      </c>
      <c r="V723" t="s">
        <v>1684</v>
      </c>
      <c r="W723">
        <v>15.4277</v>
      </c>
    </row>
    <row r="724" spans="1:23">
      <c r="A724" t="s">
        <v>1253</v>
      </c>
      <c r="B724" s="2251">
        <v>45133</v>
      </c>
      <c r="C724">
        <v>16781.07</v>
      </c>
      <c r="D724">
        <v>23665</v>
      </c>
      <c r="E724">
        <v>26245</v>
      </c>
      <c r="I724" s="2251" t="s">
        <v>1673</v>
      </c>
      <c r="J724">
        <v>24.058399999999999</v>
      </c>
      <c r="V724" t="s">
        <v>1673</v>
      </c>
      <c r="W724">
        <v>24.058399999999999</v>
      </c>
    </row>
    <row r="725" spans="1:23">
      <c r="A725" t="s">
        <v>1249</v>
      </c>
      <c r="B725" s="2251">
        <v>45132</v>
      </c>
      <c r="C725">
        <v>16734.990000000002</v>
      </c>
      <c r="D725">
        <v>23678</v>
      </c>
      <c r="E725">
        <v>26142</v>
      </c>
      <c r="I725" s="2251" t="s">
        <v>1699</v>
      </c>
      <c r="J725">
        <v>2692750.0410000002</v>
      </c>
      <c r="V725" t="s">
        <v>1699</v>
      </c>
      <c r="W725">
        <v>2692750.0410000002</v>
      </c>
    </row>
    <row r="726" spans="1:23">
      <c r="A726" t="s">
        <v>1250</v>
      </c>
      <c r="B726" s="2251">
        <v>45131</v>
      </c>
      <c r="E726">
        <v>26191</v>
      </c>
      <c r="H726" t="s">
        <v>1701</v>
      </c>
      <c r="I726" s="2251" t="s">
        <v>1684</v>
      </c>
      <c r="J726">
        <v>27.6356</v>
      </c>
      <c r="U726" t="s">
        <v>1701</v>
      </c>
      <c r="V726" t="s">
        <v>1684</v>
      </c>
      <c r="W726">
        <v>27.6356</v>
      </c>
    </row>
    <row r="727" spans="1:23">
      <c r="B727" s="2251"/>
      <c r="C727">
        <v>16682.310000000001</v>
      </c>
      <c r="D727">
        <v>23656</v>
      </c>
      <c r="I727" t="s">
        <v>1673</v>
      </c>
      <c r="J727">
        <v>28.135200000000001</v>
      </c>
      <c r="V727" t="s">
        <v>1673</v>
      </c>
      <c r="W727">
        <v>28.135200000000001</v>
      </c>
    </row>
    <row r="728" spans="1:23">
      <c r="A728" t="s">
        <v>1251</v>
      </c>
      <c r="B728" s="2251">
        <v>45128</v>
      </c>
      <c r="C728">
        <v>16854.2</v>
      </c>
      <c r="D728">
        <v>23652</v>
      </c>
      <c r="E728">
        <v>26317</v>
      </c>
      <c r="I728" s="2251" t="s">
        <v>1699</v>
      </c>
      <c r="J728">
        <v>232617.50700000001</v>
      </c>
      <c r="V728" t="s">
        <v>1699</v>
      </c>
      <c r="W728">
        <v>232617.50700000001</v>
      </c>
    </row>
    <row r="729" spans="1:23">
      <c r="A729" t="s">
        <v>1252</v>
      </c>
      <c r="B729" s="2251">
        <v>45127</v>
      </c>
      <c r="C729">
        <v>16927.759999999998</v>
      </c>
      <c r="D729">
        <v>23643</v>
      </c>
      <c r="E729">
        <v>26338</v>
      </c>
      <c r="H729" t="s">
        <v>1694</v>
      </c>
      <c r="I729" s="2251" t="s">
        <v>1673</v>
      </c>
      <c r="J729">
        <v>30.280100000000001</v>
      </c>
      <c r="U729" t="s">
        <v>1694</v>
      </c>
      <c r="V729" t="s">
        <v>1673</v>
      </c>
      <c r="W729">
        <v>30.280100000000001</v>
      </c>
    </row>
    <row r="730" spans="1:23">
      <c r="A730" t="s">
        <v>1253</v>
      </c>
      <c r="B730" s="2251">
        <v>45126</v>
      </c>
      <c r="C730">
        <v>17111.27</v>
      </c>
      <c r="D730">
        <v>23644</v>
      </c>
      <c r="E730">
        <v>26483</v>
      </c>
      <c r="I730" s="2251" t="s">
        <v>1684</v>
      </c>
      <c r="J730">
        <v>49.524000000000001</v>
      </c>
      <c r="V730" t="s">
        <v>1684</v>
      </c>
      <c r="W730">
        <v>49.524000000000001</v>
      </c>
    </row>
    <row r="731" spans="1:23">
      <c r="A731" t="s">
        <v>1249</v>
      </c>
      <c r="B731" s="2251">
        <v>45125</v>
      </c>
      <c r="C731">
        <v>17042.86</v>
      </c>
      <c r="D731">
        <v>23641</v>
      </c>
      <c r="E731">
        <v>26529</v>
      </c>
      <c r="I731" s="2251" t="s">
        <v>1699</v>
      </c>
      <c r="J731">
        <v>14125556.380000001</v>
      </c>
      <c r="V731" t="s">
        <v>1699</v>
      </c>
      <c r="W731">
        <v>14125556.380000001</v>
      </c>
    </row>
    <row r="732" spans="1:23">
      <c r="A732" t="s">
        <v>1250</v>
      </c>
      <c r="B732" s="2251">
        <v>45124</v>
      </c>
      <c r="E732">
        <v>26564</v>
      </c>
      <c r="H732" t="s">
        <v>1696</v>
      </c>
      <c r="I732" s="2251" t="s">
        <v>1673</v>
      </c>
      <c r="J732" t="e">
        <v>#NAME?</v>
      </c>
      <c r="U732" t="s">
        <v>1696</v>
      </c>
      <c r="V732" t="s">
        <v>1673</v>
      </c>
      <c r="W732" t="e">
        <v>#NAME?</v>
      </c>
    </row>
    <row r="733" spans="1:23">
      <c r="B733" s="2251"/>
      <c r="C733">
        <v>17036.25</v>
      </c>
      <c r="D733">
        <v>23646</v>
      </c>
      <c r="I733" t="s">
        <v>1684</v>
      </c>
      <c r="J733">
        <v>17.145800000000001</v>
      </c>
      <c r="V733" t="s">
        <v>1684</v>
      </c>
      <c r="W733">
        <v>17.145800000000001</v>
      </c>
    </row>
    <row r="734" spans="1:23">
      <c r="A734" t="s">
        <v>1251</v>
      </c>
      <c r="B734" s="2251">
        <v>45121</v>
      </c>
      <c r="C734">
        <v>17151.61</v>
      </c>
      <c r="D734">
        <v>23681</v>
      </c>
      <c r="E734">
        <v>26563</v>
      </c>
      <c r="I734" s="2251" t="s">
        <v>1699</v>
      </c>
      <c r="J734">
        <v>364050.41259999998</v>
      </c>
      <c r="V734" t="s">
        <v>1699</v>
      </c>
      <c r="W734">
        <v>364050.41259999998</v>
      </c>
    </row>
    <row r="735" spans="1:23">
      <c r="A735" t="s">
        <v>1252</v>
      </c>
      <c r="B735" s="2251">
        <v>45120</v>
      </c>
      <c r="C735">
        <v>16995.12</v>
      </c>
      <c r="D735">
        <v>23673</v>
      </c>
      <c r="E735">
        <v>26574</v>
      </c>
      <c r="I735" s="2251"/>
    </row>
    <row r="736" spans="1:23">
      <c r="A736" t="s">
        <v>1253</v>
      </c>
      <c r="B736" s="2251">
        <v>45119</v>
      </c>
      <c r="C736">
        <v>16856.7</v>
      </c>
      <c r="D736">
        <v>23684</v>
      </c>
      <c r="E736">
        <v>26210</v>
      </c>
      <c r="I736" s="2251"/>
    </row>
    <row r="737" spans="1:9">
      <c r="A737" t="s">
        <v>1249</v>
      </c>
      <c r="B737" s="2251">
        <v>45118</v>
      </c>
      <c r="C737">
        <v>16707.18</v>
      </c>
      <c r="D737">
        <v>23647</v>
      </c>
      <c r="E737">
        <v>26028</v>
      </c>
      <c r="I737" s="2251"/>
    </row>
    <row r="738" spans="1:9">
      <c r="A738" t="s">
        <v>1250</v>
      </c>
      <c r="B738" s="2251">
        <v>45117</v>
      </c>
      <c r="E738">
        <v>25975</v>
      </c>
      <c r="I738" s="2251"/>
    </row>
    <row r="739" spans="1:9">
      <c r="B739" s="2251"/>
      <c r="C739">
        <v>16515.7</v>
      </c>
      <c r="D739">
        <v>23653</v>
      </c>
    </row>
    <row r="740" spans="1:9">
      <c r="A740" t="s">
        <v>1251</v>
      </c>
      <c r="B740" s="2251">
        <v>45114</v>
      </c>
      <c r="C740">
        <v>16463.8</v>
      </c>
      <c r="D740">
        <v>23712</v>
      </c>
      <c r="E740">
        <v>25944</v>
      </c>
      <c r="I740" s="2251"/>
    </row>
    <row r="741" spans="1:9">
      <c r="A741" t="s">
        <v>1252</v>
      </c>
      <c r="B741" s="2251">
        <v>45113</v>
      </c>
      <c r="C741">
        <v>16423.34</v>
      </c>
      <c r="D741">
        <v>23758</v>
      </c>
      <c r="E741">
        <v>25773</v>
      </c>
      <c r="I741" s="2251"/>
    </row>
    <row r="742" spans="1:9">
      <c r="A742" t="s">
        <v>1253</v>
      </c>
      <c r="B742" s="2251">
        <v>45112</v>
      </c>
      <c r="C742">
        <v>16427.41</v>
      </c>
      <c r="D742">
        <v>23710</v>
      </c>
      <c r="E742">
        <v>25738</v>
      </c>
      <c r="I742" s="2251"/>
    </row>
    <row r="743" spans="1:9">
      <c r="A743" t="s">
        <v>1249</v>
      </c>
      <c r="B743" s="2251">
        <v>45111</v>
      </c>
      <c r="C743">
        <v>16363.48</v>
      </c>
      <c r="D743">
        <v>23658</v>
      </c>
      <c r="E743">
        <v>25816</v>
      </c>
      <c r="I743" s="2251"/>
    </row>
    <row r="744" spans="1:9">
      <c r="A744" t="s">
        <v>1250</v>
      </c>
      <c r="B744" s="2251">
        <v>45110</v>
      </c>
      <c r="E744">
        <v>25775</v>
      </c>
      <c r="I744" s="2251"/>
    </row>
    <row r="745" spans="1:9">
      <c r="B745" s="2251"/>
      <c r="C745">
        <v>16346.66</v>
      </c>
      <c r="D745">
        <v>23583</v>
      </c>
    </row>
    <row r="746" spans="1:9">
      <c r="A746" t="s">
        <v>1251</v>
      </c>
      <c r="B746" s="2251">
        <v>45107</v>
      </c>
      <c r="C746">
        <v>16279.22</v>
      </c>
      <c r="D746">
        <v>23572</v>
      </c>
      <c r="E746">
        <v>25735</v>
      </c>
      <c r="I746" s="2251"/>
    </row>
    <row r="747" spans="1:9">
      <c r="A747" t="s">
        <v>1252</v>
      </c>
      <c r="B747" s="2251">
        <v>45106</v>
      </c>
      <c r="C747">
        <v>16307.52</v>
      </c>
      <c r="D747">
        <v>23551</v>
      </c>
      <c r="E747">
        <v>25590</v>
      </c>
      <c r="I747" s="2251"/>
    </row>
    <row r="748" spans="1:9">
      <c r="A748" t="s">
        <v>1253</v>
      </c>
      <c r="B748" s="2251">
        <v>45105</v>
      </c>
      <c r="C748">
        <v>16351.06</v>
      </c>
      <c r="D748">
        <v>23530</v>
      </c>
      <c r="E748">
        <v>25691</v>
      </c>
      <c r="I748" s="2251"/>
    </row>
    <row r="749" spans="1:9">
      <c r="A749" t="s">
        <v>1249</v>
      </c>
      <c r="B749" s="2251">
        <v>45104</v>
      </c>
      <c r="C749">
        <v>16448.72</v>
      </c>
      <c r="D749">
        <v>23534</v>
      </c>
      <c r="E749">
        <v>25794</v>
      </c>
      <c r="I749" s="2251"/>
    </row>
    <row r="750" spans="1:9">
      <c r="A750" t="s">
        <v>1250</v>
      </c>
      <c r="B750" s="2251">
        <v>45103</v>
      </c>
      <c r="E750">
        <v>25691</v>
      </c>
      <c r="I750" s="2251"/>
    </row>
    <row r="751" spans="1:9">
      <c r="B751" s="2251"/>
      <c r="C751">
        <v>16467.5</v>
      </c>
      <c r="D751">
        <v>23525</v>
      </c>
    </row>
    <row r="752" spans="1:9">
      <c r="A752" t="s">
        <v>1251</v>
      </c>
      <c r="B752" s="2251">
        <v>45100</v>
      </c>
      <c r="C752">
        <v>16483.060000000001</v>
      </c>
      <c r="D752">
        <v>23520</v>
      </c>
      <c r="E752">
        <v>25616</v>
      </c>
      <c r="I752" s="2251"/>
    </row>
    <row r="753" spans="1:9">
      <c r="A753" t="s">
        <v>1252</v>
      </c>
      <c r="B753" s="2251">
        <v>45099</v>
      </c>
      <c r="C753">
        <v>16574.95</v>
      </c>
      <c r="D753">
        <v>23524</v>
      </c>
      <c r="E753">
        <v>25779</v>
      </c>
      <c r="I753" s="2251"/>
    </row>
    <row r="754" spans="1:9">
      <c r="A754" t="s">
        <v>1253</v>
      </c>
      <c r="B754" s="2251">
        <v>45098</v>
      </c>
      <c r="C754">
        <v>16633.79</v>
      </c>
      <c r="D754">
        <v>23521</v>
      </c>
      <c r="E754">
        <v>25800</v>
      </c>
      <c r="I754" s="2251"/>
    </row>
    <row r="755" spans="1:9">
      <c r="A755" t="s">
        <v>1249</v>
      </c>
      <c r="B755" s="2251">
        <v>45097</v>
      </c>
      <c r="C755">
        <v>16579.310000000001</v>
      </c>
      <c r="D755">
        <v>23534</v>
      </c>
      <c r="E755">
        <v>25649</v>
      </c>
      <c r="I755" s="2251"/>
    </row>
    <row r="756" spans="1:9">
      <c r="A756" t="s">
        <v>1250</v>
      </c>
      <c r="B756" s="2251">
        <v>45096</v>
      </c>
      <c r="E756">
        <v>25684</v>
      </c>
      <c r="I756" s="2251"/>
    </row>
    <row r="757" spans="1:9">
      <c r="B757" s="2251"/>
      <c r="C757">
        <v>16607.63</v>
      </c>
      <c r="D757">
        <v>23535</v>
      </c>
    </row>
    <row r="758" spans="1:9">
      <c r="A758" t="s">
        <v>1251</v>
      </c>
      <c r="B758" s="2251">
        <v>45093</v>
      </c>
      <c r="C758">
        <v>16777.52</v>
      </c>
      <c r="D758">
        <v>23535</v>
      </c>
      <c r="E758">
        <v>25732</v>
      </c>
      <c r="I758" s="2251"/>
    </row>
    <row r="759" spans="1:9">
      <c r="A759" t="s">
        <v>1252</v>
      </c>
      <c r="B759" s="2251">
        <v>45092</v>
      </c>
      <c r="C759">
        <v>16784.16</v>
      </c>
      <c r="D759">
        <v>23500</v>
      </c>
      <c r="E759">
        <v>25749</v>
      </c>
      <c r="I759" s="2251"/>
    </row>
    <row r="760" spans="1:9">
      <c r="A760" t="s">
        <v>1253</v>
      </c>
      <c r="B760" s="2251">
        <v>45091</v>
      </c>
      <c r="C760">
        <v>16754.75</v>
      </c>
      <c r="D760">
        <v>23494</v>
      </c>
      <c r="E760">
        <v>25433</v>
      </c>
      <c r="I760" s="2251"/>
    </row>
    <row r="761" spans="1:9">
      <c r="A761" t="s">
        <v>1249</v>
      </c>
      <c r="B761" s="2251">
        <v>45090</v>
      </c>
      <c r="C761">
        <v>16812.830000000002</v>
      </c>
      <c r="D761">
        <v>23485</v>
      </c>
      <c r="E761">
        <v>25357</v>
      </c>
      <c r="I761" s="2251"/>
    </row>
    <row r="762" spans="1:9">
      <c r="A762" t="s">
        <v>1250</v>
      </c>
      <c r="B762" s="2251">
        <v>45089</v>
      </c>
      <c r="E762">
        <v>25243</v>
      </c>
      <c r="I762" s="2251"/>
    </row>
    <row r="763" spans="1:9">
      <c r="B763" s="2251"/>
      <c r="C763">
        <v>16832.5</v>
      </c>
      <c r="D763">
        <v>23480</v>
      </c>
    </row>
    <row r="764" spans="1:9">
      <c r="A764" t="s">
        <v>1251</v>
      </c>
      <c r="B764" s="2251">
        <v>45086</v>
      </c>
      <c r="C764">
        <v>16890.080000000002</v>
      </c>
      <c r="D764">
        <v>23487</v>
      </c>
      <c r="E764">
        <v>25290</v>
      </c>
      <c r="I764" s="2251"/>
    </row>
    <row r="765" spans="1:9">
      <c r="A765" t="s">
        <v>1252</v>
      </c>
      <c r="B765" s="2251">
        <v>45085</v>
      </c>
      <c r="C765">
        <v>16768.75</v>
      </c>
      <c r="D765">
        <v>23491</v>
      </c>
      <c r="E765">
        <v>25292</v>
      </c>
      <c r="I765" s="2251"/>
    </row>
    <row r="766" spans="1:9">
      <c r="A766" t="s">
        <v>1253</v>
      </c>
      <c r="B766" s="2251">
        <v>45084</v>
      </c>
      <c r="C766">
        <v>16804.150000000001</v>
      </c>
      <c r="D766">
        <v>23488</v>
      </c>
      <c r="E766">
        <v>25141</v>
      </c>
      <c r="I766" s="2251"/>
    </row>
    <row r="767" spans="1:9">
      <c r="A767" t="s">
        <v>1249</v>
      </c>
      <c r="B767" s="2251">
        <v>45083</v>
      </c>
      <c r="C767">
        <v>16815.5</v>
      </c>
      <c r="D767">
        <v>23500</v>
      </c>
      <c r="E767">
        <v>25069</v>
      </c>
      <c r="I767" s="2251"/>
    </row>
    <row r="768" spans="1:9">
      <c r="A768" t="s">
        <v>1250</v>
      </c>
      <c r="B768" s="2251">
        <v>45082</v>
      </c>
      <c r="E768">
        <v>25175</v>
      </c>
      <c r="I768" s="2251"/>
    </row>
    <row r="769" spans="1:9">
      <c r="B769" s="2251"/>
      <c r="C769">
        <v>16786.27</v>
      </c>
      <c r="D769">
        <v>23486</v>
      </c>
    </row>
    <row r="770" spans="1:9">
      <c r="A770" t="s">
        <v>1251</v>
      </c>
      <c r="B770" s="2251">
        <v>45079</v>
      </c>
      <c r="C770">
        <v>16910.89</v>
      </c>
      <c r="D770">
        <v>23485</v>
      </c>
      <c r="E770">
        <v>25151</v>
      </c>
      <c r="I770" s="2251"/>
    </row>
    <row r="771" spans="1:9">
      <c r="A771" t="s">
        <v>1252</v>
      </c>
      <c r="B771" s="2251">
        <v>45078</v>
      </c>
      <c r="C771">
        <v>16801.62</v>
      </c>
      <c r="D771">
        <v>23490</v>
      </c>
      <c r="E771">
        <v>25193</v>
      </c>
      <c r="I771" s="2251"/>
    </row>
    <row r="772" spans="1:9">
      <c r="A772" t="s">
        <v>1253</v>
      </c>
      <c r="B772" s="2251">
        <v>45077</v>
      </c>
      <c r="C772">
        <v>16798.169999999998</v>
      </c>
      <c r="D772">
        <v>23483</v>
      </c>
      <c r="E772">
        <v>25097</v>
      </c>
      <c r="I772" s="2251"/>
    </row>
    <row r="773" spans="1:9">
      <c r="A773" t="s">
        <v>1249</v>
      </c>
      <c r="B773" s="2251">
        <v>45076</v>
      </c>
      <c r="C773">
        <v>16742.75</v>
      </c>
      <c r="D773">
        <v>23472</v>
      </c>
      <c r="E773">
        <v>25198</v>
      </c>
      <c r="I773" s="2251"/>
    </row>
    <row r="774" spans="1:9">
      <c r="A774" t="s">
        <v>1250</v>
      </c>
      <c r="B774" s="2251">
        <v>45075</v>
      </c>
      <c r="E774">
        <v>25151</v>
      </c>
      <c r="I774" s="2251"/>
    </row>
    <row r="775" spans="1:9">
      <c r="B775" s="2251"/>
      <c r="C775">
        <v>16703.900000000001</v>
      </c>
      <c r="D775">
        <v>23481</v>
      </c>
    </row>
    <row r="776" spans="1:9">
      <c r="A776" t="s">
        <v>1251</v>
      </c>
      <c r="B776" s="2251">
        <v>45072</v>
      </c>
      <c r="C776">
        <v>16782.23</v>
      </c>
      <c r="D776">
        <v>23478</v>
      </c>
      <c r="E776">
        <v>25182</v>
      </c>
      <c r="I776" s="2251"/>
    </row>
    <row r="777" spans="1:9">
      <c r="A777" t="s">
        <v>1252</v>
      </c>
      <c r="B777" s="2251">
        <v>45071</v>
      </c>
      <c r="C777">
        <v>16905.27</v>
      </c>
      <c r="D777">
        <v>23475</v>
      </c>
      <c r="E777">
        <v>25170</v>
      </c>
      <c r="I777" s="2251"/>
    </row>
    <row r="778" spans="1:9">
      <c r="A778" t="s">
        <v>1253</v>
      </c>
      <c r="B778" s="2251">
        <v>45070</v>
      </c>
      <c r="C778">
        <v>16913.41</v>
      </c>
      <c r="D778">
        <v>23477</v>
      </c>
      <c r="E778">
        <v>25292</v>
      </c>
      <c r="I778" s="2251"/>
    </row>
    <row r="779" spans="1:9">
      <c r="A779" t="s">
        <v>1249</v>
      </c>
      <c r="B779" s="2251">
        <v>45069</v>
      </c>
      <c r="C779">
        <v>16913.78</v>
      </c>
      <c r="D779">
        <v>23442</v>
      </c>
      <c r="E779">
        <v>25270</v>
      </c>
      <c r="I779" s="2251"/>
    </row>
    <row r="780" spans="1:9">
      <c r="A780" t="s">
        <v>1250</v>
      </c>
      <c r="B780" s="2251">
        <v>45068</v>
      </c>
      <c r="E780">
        <v>25348</v>
      </c>
      <c r="I780" s="2251"/>
    </row>
    <row r="781" spans="1:9">
      <c r="B781" s="2251"/>
      <c r="C781">
        <v>17032.7</v>
      </c>
      <c r="D781">
        <v>23469</v>
      </c>
    </row>
    <row r="782" spans="1:9">
      <c r="A782" t="s">
        <v>1251</v>
      </c>
      <c r="B782" s="2251">
        <v>45065</v>
      </c>
      <c r="C782">
        <v>16920.560000000001</v>
      </c>
      <c r="D782">
        <v>23460</v>
      </c>
      <c r="E782">
        <v>25394</v>
      </c>
      <c r="I782" s="2251"/>
    </row>
    <row r="783" spans="1:9">
      <c r="A783" t="s">
        <v>1252</v>
      </c>
      <c r="B783" s="2251">
        <v>45064</v>
      </c>
      <c r="C783">
        <v>17034.5</v>
      </c>
      <c r="D783">
        <v>23456</v>
      </c>
      <c r="E783">
        <v>25243</v>
      </c>
      <c r="I783" s="2251"/>
    </row>
    <row r="784" spans="1:9">
      <c r="A784" t="s">
        <v>1253</v>
      </c>
      <c r="B784" s="2251">
        <v>45063</v>
      </c>
      <c r="C784">
        <v>17198.64</v>
      </c>
      <c r="D784">
        <v>23456</v>
      </c>
      <c r="E784">
        <v>25421</v>
      </c>
      <c r="I784" s="2251"/>
    </row>
    <row r="785" spans="1:9">
      <c r="A785" t="s">
        <v>1249</v>
      </c>
      <c r="B785" s="2251">
        <v>45062</v>
      </c>
      <c r="C785">
        <v>17240.13</v>
      </c>
      <c r="D785">
        <v>23459</v>
      </c>
      <c r="E785">
        <v>25487</v>
      </c>
      <c r="I785" s="2251"/>
    </row>
    <row r="786" spans="1:9">
      <c r="A786" t="s">
        <v>1250</v>
      </c>
      <c r="B786" s="2251">
        <v>45061</v>
      </c>
      <c r="E786">
        <v>25515</v>
      </c>
      <c r="I786" s="2251"/>
    </row>
    <row r="787" spans="1:9">
      <c r="B787" s="2251"/>
      <c r="C787">
        <v>17294.98</v>
      </c>
      <c r="D787">
        <v>23461</v>
      </c>
    </row>
    <row r="788" spans="1:9">
      <c r="A788" t="s">
        <v>1251</v>
      </c>
      <c r="B788" s="2251">
        <v>45058</v>
      </c>
      <c r="C788">
        <v>17439.71</v>
      </c>
      <c r="D788">
        <v>23466</v>
      </c>
      <c r="E788">
        <v>25466</v>
      </c>
      <c r="I788" s="2251"/>
    </row>
    <row r="789" spans="1:9">
      <c r="A789" t="s">
        <v>1252</v>
      </c>
      <c r="B789" s="2251">
        <v>45057</v>
      </c>
      <c r="C789">
        <v>17469.21</v>
      </c>
      <c r="D789">
        <v>23473</v>
      </c>
      <c r="E789">
        <v>25615</v>
      </c>
      <c r="I789" s="2251"/>
    </row>
    <row r="790" spans="1:9">
      <c r="A790" t="s">
        <v>1253</v>
      </c>
      <c r="B790" s="2251">
        <v>45056</v>
      </c>
      <c r="C790">
        <v>17360.240000000002</v>
      </c>
      <c r="D790">
        <v>23462</v>
      </c>
      <c r="E790">
        <v>25777</v>
      </c>
      <c r="I790" s="2251"/>
    </row>
    <row r="791" spans="1:9">
      <c r="A791" t="s">
        <v>1249</v>
      </c>
      <c r="B791" s="2251">
        <v>45055</v>
      </c>
      <c r="C791">
        <v>17350.080000000002</v>
      </c>
      <c r="D791">
        <v>23449</v>
      </c>
      <c r="E791">
        <v>25699</v>
      </c>
      <c r="I791" s="2251"/>
    </row>
    <row r="792" spans="1:9">
      <c r="A792" t="s">
        <v>1250</v>
      </c>
      <c r="B792" s="2251">
        <v>45054</v>
      </c>
      <c r="E792">
        <v>25799</v>
      </c>
      <c r="I792" s="2251"/>
    </row>
    <row r="793" spans="1:9">
      <c r="B793" s="2251"/>
      <c r="C793">
        <v>17399.37</v>
      </c>
      <c r="D793">
        <v>23450</v>
      </c>
    </row>
    <row r="794" spans="1:9">
      <c r="A794" t="s">
        <v>1251</v>
      </c>
      <c r="B794" s="2251">
        <v>45051</v>
      </c>
      <c r="C794">
        <v>17468.419999999998</v>
      </c>
      <c r="D794">
        <v>23457</v>
      </c>
      <c r="E794">
        <v>25850</v>
      </c>
      <c r="I794" s="2251"/>
    </row>
    <row r="795" spans="1:9">
      <c r="A795" t="s">
        <v>1252</v>
      </c>
      <c r="B795" s="2251">
        <v>45050</v>
      </c>
      <c r="C795">
        <v>17071.53</v>
      </c>
      <c r="D795">
        <v>23460</v>
      </c>
      <c r="E795">
        <v>25820</v>
      </c>
      <c r="I795" s="2251"/>
    </row>
    <row r="796" spans="1:9">
      <c r="A796" t="s">
        <v>1253</v>
      </c>
      <c r="B796" s="2251">
        <v>45049</v>
      </c>
      <c r="C796">
        <v>17111.689999999999</v>
      </c>
      <c r="D796">
        <v>23461</v>
      </c>
      <c r="E796">
        <v>25929</v>
      </c>
      <c r="I796" s="2251"/>
    </row>
    <row r="797" spans="1:9">
      <c r="A797" t="s">
        <v>1249</v>
      </c>
      <c r="B797" s="2251">
        <v>45048</v>
      </c>
      <c r="D797">
        <v>23464</v>
      </c>
      <c r="E797">
        <v>25807</v>
      </c>
      <c r="I797" s="2251"/>
    </row>
    <row r="798" spans="1:9">
      <c r="A798" t="s">
        <v>1250</v>
      </c>
      <c r="B798" s="2251">
        <v>45047</v>
      </c>
      <c r="C798">
        <v>17266.41</v>
      </c>
      <c r="E798">
        <v>25801</v>
      </c>
      <c r="I798" s="2251"/>
    </row>
    <row r="799" spans="1:9">
      <c r="B799" s="2251"/>
      <c r="C799">
        <v>17540.23</v>
      </c>
      <c r="D799">
        <v>23459</v>
      </c>
    </row>
    <row r="800" spans="1:9">
      <c r="A800" t="s">
        <v>1251</v>
      </c>
      <c r="B800" s="2251">
        <v>45044</v>
      </c>
      <c r="C800">
        <v>17583.78</v>
      </c>
      <c r="D800">
        <v>23455</v>
      </c>
      <c r="E800">
        <v>25878</v>
      </c>
      <c r="I800" s="2251"/>
    </row>
    <row r="801" spans="1:9">
      <c r="A801" t="s">
        <v>1252</v>
      </c>
      <c r="B801" s="2251">
        <v>45043</v>
      </c>
      <c r="C801">
        <v>17557.87</v>
      </c>
      <c r="D801">
        <v>23480</v>
      </c>
      <c r="E801">
        <v>25832</v>
      </c>
      <c r="I801" s="2251"/>
    </row>
    <row r="802" spans="1:9">
      <c r="A802" t="s">
        <v>1253</v>
      </c>
      <c r="B802" s="2251">
        <v>45042</v>
      </c>
      <c r="C802">
        <v>17483.349999999999</v>
      </c>
      <c r="D802">
        <v>23477</v>
      </c>
      <c r="E802">
        <v>25921</v>
      </c>
      <c r="I802" s="2251"/>
    </row>
    <row r="803" spans="1:9">
      <c r="A803" t="s">
        <v>1249</v>
      </c>
      <c r="B803" s="2251">
        <v>45041</v>
      </c>
      <c r="D803">
        <v>23495</v>
      </c>
      <c r="E803">
        <v>25767</v>
      </c>
      <c r="I803" s="2251"/>
    </row>
    <row r="804" spans="1:9">
      <c r="A804" t="s">
        <v>1250</v>
      </c>
      <c r="B804" s="2251">
        <v>45040</v>
      </c>
      <c r="C804">
        <v>17521.54</v>
      </c>
      <c r="E804">
        <v>25918</v>
      </c>
      <c r="I804" s="2251"/>
    </row>
    <row r="805" spans="1:9">
      <c r="B805" s="2251"/>
      <c r="C805">
        <v>17504.099999999999</v>
      </c>
      <c r="D805">
        <v>23495</v>
      </c>
    </row>
    <row r="806" spans="1:9">
      <c r="A806" t="s">
        <v>1251</v>
      </c>
      <c r="B806" s="2251">
        <v>45037</v>
      </c>
      <c r="C806">
        <v>17492.84</v>
      </c>
      <c r="D806">
        <v>23490</v>
      </c>
      <c r="E806">
        <v>25824</v>
      </c>
      <c r="I806" s="2251"/>
    </row>
    <row r="807" spans="1:9">
      <c r="A807" t="s">
        <v>1252</v>
      </c>
      <c r="B807" s="2251">
        <v>45036</v>
      </c>
      <c r="C807">
        <v>17522.830000000002</v>
      </c>
      <c r="D807">
        <v>23506</v>
      </c>
      <c r="E807">
        <v>25784</v>
      </c>
      <c r="I807" s="2251"/>
    </row>
    <row r="808" spans="1:9">
      <c r="A808" t="s">
        <v>1253</v>
      </c>
      <c r="B808" s="2251">
        <v>45035</v>
      </c>
      <c r="C808">
        <v>17456.599999999999</v>
      </c>
      <c r="D808">
        <v>23509</v>
      </c>
      <c r="E808">
        <v>25739</v>
      </c>
      <c r="I808" s="2251"/>
    </row>
    <row r="809" spans="1:9">
      <c r="A809" t="s">
        <v>1249</v>
      </c>
      <c r="B809" s="2251">
        <v>45034</v>
      </c>
      <c r="D809">
        <v>23480</v>
      </c>
      <c r="E809">
        <v>25792</v>
      </c>
      <c r="I809" s="2251"/>
    </row>
    <row r="810" spans="1:9">
      <c r="A810" t="s">
        <v>1250</v>
      </c>
      <c r="B810" s="2251">
        <v>45033</v>
      </c>
      <c r="C810">
        <v>17526.259999999998</v>
      </c>
      <c r="E810">
        <v>25620</v>
      </c>
      <c r="I810" s="2251"/>
    </row>
    <row r="811" spans="1:9">
      <c r="B811" s="2251"/>
      <c r="C811">
        <v>17696.72</v>
      </c>
      <c r="D811">
        <v>23444</v>
      </c>
    </row>
    <row r="812" spans="1:9">
      <c r="A812" t="s">
        <v>1251</v>
      </c>
      <c r="B812" s="2251">
        <v>45030</v>
      </c>
      <c r="C812">
        <v>17606.91</v>
      </c>
      <c r="D812">
        <v>23445</v>
      </c>
      <c r="E812">
        <v>25734</v>
      </c>
      <c r="I812" s="2251"/>
    </row>
    <row r="813" spans="1:9">
      <c r="A813" t="s">
        <v>1252</v>
      </c>
      <c r="B813" s="2251">
        <v>45029</v>
      </c>
      <c r="C813">
        <v>17618.05</v>
      </c>
      <c r="D813">
        <v>23448</v>
      </c>
      <c r="E813">
        <v>25922</v>
      </c>
      <c r="I813" s="2251"/>
    </row>
    <row r="814" spans="1:9">
      <c r="A814" t="s">
        <v>1253</v>
      </c>
      <c r="B814" s="2251">
        <v>45028</v>
      </c>
      <c r="C814">
        <v>17551.73</v>
      </c>
      <c r="D814">
        <v>23450</v>
      </c>
      <c r="E814">
        <v>25784</v>
      </c>
      <c r="I814" s="2251"/>
    </row>
    <row r="815" spans="1:9">
      <c r="A815" t="s">
        <v>1249</v>
      </c>
      <c r="B815" s="2251">
        <v>45027</v>
      </c>
      <c r="D815">
        <v>23450</v>
      </c>
      <c r="E815">
        <v>25588</v>
      </c>
      <c r="I815" s="2251"/>
    </row>
    <row r="816" spans="1:9">
      <c r="A816" t="s">
        <v>1250</v>
      </c>
      <c r="B816" s="2251">
        <v>45026</v>
      </c>
      <c r="C816">
        <v>17743.36</v>
      </c>
      <c r="E816">
        <v>25470</v>
      </c>
      <c r="I816" s="2251"/>
    </row>
    <row r="817" spans="1:9">
      <c r="B817" s="2251"/>
      <c r="C817">
        <v>17787.509999999998</v>
      </c>
      <c r="D817">
        <v>23451</v>
      </c>
    </row>
    <row r="818" spans="1:9">
      <c r="A818" t="s">
        <v>1251</v>
      </c>
      <c r="B818" s="2251">
        <v>45023</v>
      </c>
      <c r="C818">
        <v>17897.37</v>
      </c>
      <c r="D818">
        <v>23456</v>
      </c>
      <c r="E818">
        <v>25591</v>
      </c>
      <c r="I818" s="2251"/>
    </row>
    <row r="819" spans="1:9">
      <c r="A819" t="s">
        <v>1252</v>
      </c>
      <c r="B819" s="2251">
        <v>45022</v>
      </c>
      <c r="C819">
        <v>17841.8</v>
      </c>
      <c r="D819">
        <v>23471</v>
      </c>
      <c r="E819">
        <v>25601</v>
      </c>
      <c r="I819" s="2251"/>
    </row>
    <row r="820" spans="1:9">
      <c r="A820" t="s">
        <v>1253</v>
      </c>
      <c r="B820" s="2251">
        <v>45021</v>
      </c>
      <c r="C820">
        <v>17747.8</v>
      </c>
      <c r="D820">
        <v>23470</v>
      </c>
      <c r="E820">
        <v>25584</v>
      </c>
      <c r="I820" s="2251"/>
    </row>
    <row r="821" spans="1:9">
      <c r="A821" t="s">
        <v>1249</v>
      </c>
      <c r="B821" s="2251">
        <v>45020</v>
      </c>
      <c r="D821">
        <v>23483</v>
      </c>
      <c r="E821">
        <v>25700</v>
      </c>
      <c r="I821" s="2251"/>
    </row>
    <row r="822" spans="1:9">
      <c r="A822" t="s">
        <v>1250</v>
      </c>
      <c r="B822" s="2251">
        <v>45019</v>
      </c>
      <c r="C822">
        <v>17671</v>
      </c>
      <c r="E822">
        <v>25558</v>
      </c>
      <c r="I822" s="2251"/>
    </row>
    <row r="823" spans="1:9">
      <c r="B823" s="2251"/>
      <c r="C823">
        <v>17707.099999999999</v>
      </c>
      <c r="D823">
        <v>23471</v>
      </c>
    </row>
    <row r="824" spans="1:9">
      <c r="A824" t="s">
        <v>1251</v>
      </c>
      <c r="B824" s="2251">
        <v>45016</v>
      </c>
      <c r="C824">
        <v>17705.07</v>
      </c>
      <c r="D824">
        <v>23480</v>
      </c>
      <c r="E824">
        <v>25502</v>
      </c>
      <c r="I824" s="2251"/>
    </row>
    <row r="825" spans="1:9">
      <c r="A825" t="s">
        <v>1252</v>
      </c>
      <c r="B825" s="2251">
        <v>45015</v>
      </c>
      <c r="C825">
        <v>17946.71</v>
      </c>
      <c r="D825">
        <v>23495</v>
      </c>
      <c r="E825">
        <v>25546</v>
      </c>
      <c r="I825" s="2251"/>
    </row>
    <row r="826" spans="1:9">
      <c r="A826" t="s">
        <v>1253</v>
      </c>
      <c r="B826" s="2251">
        <v>45014</v>
      </c>
      <c r="C826">
        <v>17984.330000000002</v>
      </c>
      <c r="D826">
        <v>23508</v>
      </c>
      <c r="E826">
        <v>25392</v>
      </c>
      <c r="I826" s="2251"/>
    </row>
    <row r="827" spans="1:9">
      <c r="A827" t="s">
        <v>1249</v>
      </c>
      <c r="B827" s="2251">
        <v>45013</v>
      </c>
      <c r="D827">
        <v>23519</v>
      </c>
      <c r="E827">
        <v>25431</v>
      </c>
      <c r="I827" s="2251"/>
    </row>
    <row r="828" spans="1:9">
      <c r="A828" t="s">
        <v>1250</v>
      </c>
      <c r="B828" s="2251">
        <v>45012</v>
      </c>
      <c r="C828">
        <v>18010.64</v>
      </c>
      <c r="E828">
        <v>25287</v>
      </c>
      <c r="I828" s="2251"/>
    </row>
    <row r="829" spans="1:9">
      <c r="B829" s="2251"/>
      <c r="C829">
        <v>17943.060000000001</v>
      </c>
      <c r="D829">
        <v>23530</v>
      </c>
    </row>
    <row r="830" spans="1:9">
      <c r="A830" t="s">
        <v>1251</v>
      </c>
      <c r="B830" s="2251">
        <v>45009</v>
      </c>
      <c r="C830">
        <v>17741.63</v>
      </c>
      <c r="D830">
        <v>23540</v>
      </c>
      <c r="E830">
        <v>25255</v>
      </c>
      <c r="I830" s="2251"/>
    </row>
    <row r="831" spans="1:9">
      <c r="A831" t="s">
        <v>1252</v>
      </c>
      <c r="B831" s="2251">
        <v>45008</v>
      </c>
      <c r="C831">
        <v>17864.64</v>
      </c>
      <c r="D831">
        <v>23560</v>
      </c>
      <c r="E831">
        <v>25646</v>
      </c>
      <c r="I831" s="2251"/>
    </row>
    <row r="832" spans="1:9">
      <c r="A832" t="s">
        <v>1253</v>
      </c>
      <c r="B832" s="2251">
        <v>45007</v>
      </c>
      <c r="C832">
        <v>17936.62</v>
      </c>
      <c r="D832">
        <v>23584</v>
      </c>
      <c r="E832">
        <v>25546</v>
      </c>
      <c r="I832" s="2251"/>
    </row>
    <row r="833" spans="1:9">
      <c r="A833" t="s">
        <v>1249</v>
      </c>
      <c r="B833" s="2251">
        <v>45006</v>
      </c>
      <c r="D833">
        <v>23587</v>
      </c>
      <c r="E833">
        <v>25417</v>
      </c>
      <c r="I833" s="2251"/>
    </row>
    <row r="834" spans="1:9">
      <c r="A834" t="s">
        <v>1250</v>
      </c>
      <c r="B834" s="2251">
        <v>45005</v>
      </c>
      <c r="C834">
        <v>17732.52</v>
      </c>
      <c r="E834">
        <v>25263</v>
      </c>
      <c r="I834" s="2251"/>
    </row>
    <row r="835" spans="1:9">
      <c r="B835" s="2251"/>
      <c r="C835">
        <v>17737.990000000002</v>
      </c>
      <c r="D835">
        <v>23587</v>
      </c>
    </row>
    <row r="836" spans="1:9">
      <c r="A836" t="s">
        <v>1251</v>
      </c>
      <c r="B836" s="2251">
        <v>45002</v>
      </c>
      <c r="C836">
        <v>17771.88</v>
      </c>
      <c r="D836">
        <v>23580</v>
      </c>
      <c r="E836">
        <v>25161</v>
      </c>
      <c r="I836" s="2251"/>
    </row>
    <row r="837" spans="1:9">
      <c r="A837" t="s">
        <v>1252</v>
      </c>
      <c r="B837" s="2251">
        <v>45001</v>
      </c>
      <c r="C837">
        <v>17542.86</v>
      </c>
      <c r="D837">
        <v>23582</v>
      </c>
      <c r="E837">
        <v>25029</v>
      </c>
      <c r="I837" s="2251"/>
    </row>
    <row r="838" spans="1:9">
      <c r="A838" t="s">
        <v>1253</v>
      </c>
      <c r="B838" s="2251">
        <v>45000</v>
      </c>
      <c r="C838">
        <v>17732.41</v>
      </c>
      <c r="D838">
        <v>23589</v>
      </c>
      <c r="E838">
        <v>24849</v>
      </c>
      <c r="I838" s="2251"/>
    </row>
    <row r="839" spans="1:9">
      <c r="A839" t="s">
        <v>1249</v>
      </c>
      <c r="B839" s="2251">
        <v>44999</v>
      </c>
      <c r="D839">
        <v>23624</v>
      </c>
      <c r="E839">
        <v>25284</v>
      </c>
      <c r="I839" s="2251"/>
    </row>
    <row r="840" spans="1:9">
      <c r="A840" t="s">
        <v>1250</v>
      </c>
      <c r="B840" s="2251">
        <v>44998</v>
      </c>
      <c r="C840">
        <v>17383.62</v>
      </c>
      <c r="E840">
        <v>25320</v>
      </c>
      <c r="I840" s="2251"/>
    </row>
    <row r="841" spans="1:9">
      <c r="B841" s="2251"/>
      <c r="C841">
        <v>17408.099999999999</v>
      </c>
      <c r="D841">
        <v>23693</v>
      </c>
    </row>
    <row r="842" spans="1:9">
      <c r="A842" t="s">
        <v>1251</v>
      </c>
      <c r="B842" s="2251">
        <v>44995</v>
      </c>
      <c r="C842">
        <v>17227.05</v>
      </c>
      <c r="D842">
        <v>23702</v>
      </c>
      <c r="E842">
        <v>25187</v>
      </c>
      <c r="I842" s="2251"/>
    </row>
    <row r="843" spans="1:9">
      <c r="A843" t="s">
        <v>1252</v>
      </c>
      <c r="B843" s="2251">
        <v>44994</v>
      </c>
      <c r="C843">
        <v>17396.88</v>
      </c>
      <c r="D843">
        <v>23725</v>
      </c>
      <c r="E843">
        <v>25057</v>
      </c>
      <c r="I843" s="2251"/>
    </row>
    <row r="844" spans="1:9">
      <c r="A844" t="s">
        <v>1253</v>
      </c>
      <c r="B844" s="2251">
        <v>44993</v>
      </c>
      <c r="C844">
        <v>17442.5</v>
      </c>
      <c r="D844">
        <v>23681</v>
      </c>
      <c r="E844">
        <v>25023</v>
      </c>
      <c r="I844" s="2251"/>
    </row>
    <row r="845" spans="1:9">
      <c r="A845" t="s">
        <v>1249</v>
      </c>
      <c r="B845" s="2251">
        <v>44992</v>
      </c>
      <c r="D845">
        <v>23700</v>
      </c>
      <c r="E845">
        <v>25212</v>
      </c>
      <c r="I845" s="2251"/>
    </row>
    <row r="846" spans="1:9">
      <c r="A846" t="s">
        <v>1250</v>
      </c>
      <c r="B846" s="2251">
        <v>44991</v>
      </c>
      <c r="C846">
        <v>17431.04</v>
      </c>
      <c r="E846">
        <v>25257</v>
      </c>
      <c r="I846" s="2251"/>
    </row>
    <row r="847" spans="1:9">
      <c r="B847" s="2251"/>
      <c r="C847">
        <v>17336.599999999999</v>
      </c>
      <c r="D847">
        <v>23728</v>
      </c>
    </row>
    <row r="848" spans="1:9">
      <c r="A848" t="s">
        <v>1251</v>
      </c>
      <c r="B848" s="2251">
        <v>44988</v>
      </c>
      <c r="C848">
        <v>17485.740000000002</v>
      </c>
      <c r="D848">
        <v>23752</v>
      </c>
      <c r="E848">
        <v>25189</v>
      </c>
      <c r="I848" s="2251"/>
    </row>
    <row r="849" spans="1:9">
      <c r="A849" t="s">
        <v>1252</v>
      </c>
      <c r="B849" s="2251">
        <v>44987</v>
      </c>
      <c r="C849">
        <v>17470.91</v>
      </c>
      <c r="D849">
        <v>23757</v>
      </c>
      <c r="E849">
        <v>25135</v>
      </c>
      <c r="I849" s="2251"/>
    </row>
    <row r="850" spans="1:9">
      <c r="A850" t="s">
        <v>1253</v>
      </c>
      <c r="B850" s="2251">
        <v>44986</v>
      </c>
      <c r="C850">
        <v>17496.330000000002</v>
      </c>
      <c r="D850">
        <v>23791</v>
      </c>
      <c r="E850">
        <v>25350</v>
      </c>
      <c r="I850" s="2251"/>
    </row>
    <row r="851" spans="1:9">
      <c r="A851" t="s">
        <v>1249</v>
      </c>
      <c r="B851" s="2251">
        <v>44985</v>
      </c>
      <c r="D851">
        <v>23805</v>
      </c>
      <c r="E851">
        <v>25237</v>
      </c>
      <c r="I851" s="2251"/>
    </row>
    <row r="852" spans="1:9">
      <c r="A852" t="s">
        <v>1250</v>
      </c>
      <c r="B852" s="2251">
        <v>44984</v>
      </c>
      <c r="C852">
        <v>17507.27</v>
      </c>
      <c r="E852">
        <v>25190</v>
      </c>
      <c r="I852" s="2251"/>
    </row>
    <row r="853" spans="1:9">
      <c r="B853" s="2251"/>
      <c r="C853">
        <v>17613.560000000001</v>
      </c>
      <c r="D853">
        <v>23788</v>
      </c>
    </row>
    <row r="854" spans="1:9">
      <c r="A854" t="s">
        <v>1251</v>
      </c>
      <c r="B854" s="2251">
        <v>44981</v>
      </c>
      <c r="C854">
        <v>17656.18</v>
      </c>
      <c r="D854">
        <v>23751</v>
      </c>
      <c r="E854">
        <v>25097</v>
      </c>
      <c r="I854" s="2251"/>
    </row>
    <row r="855" spans="1:9">
      <c r="A855" t="s">
        <v>1252</v>
      </c>
      <c r="B855" s="2251">
        <v>44980</v>
      </c>
      <c r="C855">
        <v>17567.91</v>
      </c>
      <c r="D855">
        <v>23741</v>
      </c>
      <c r="E855">
        <v>25224</v>
      </c>
      <c r="I855" s="2251"/>
    </row>
    <row r="856" spans="1:9">
      <c r="A856" t="s">
        <v>1253</v>
      </c>
      <c r="B856" s="2251">
        <v>44979</v>
      </c>
      <c r="C856">
        <v>17761.29</v>
      </c>
      <c r="D856">
        <v>23721</v>
      </c>
      <c r="E856">
        <v>25287</v>
      </c>
      <c r="I856" s="2251"/>
    </row>
    <row r="857" spans="1:9">
      <c r="A857" t="s">
        <v>1249</v>
      </c>
      <c r="B857" s="2251">
        <v>44978</v>
      </c>
      <c r="D857">
        <v>23817</v>
      </c>
      <c r="E857">
        <v>25272</v>
      </c>
      <c r="I857" s="2251"/>
    </row>
    <row r="858" spans="1:9">
      <c r="A858" t="s">
        <v>1250</v>
      </c>
      <c r="B858" s="2251">
        <v>44977</v>
      </c>
      <c r="C858">
        <v>17572.13</v>
      </c>
      <c r="E858">
        <v>25410</v>
      </c>
      <c r="I858" s="2251"/>
    </row>
    <row r="859" spans="1:9">
      <c r="B859" s="2251"/>
      <c r="C859">
        <v>17605.39</v>
      </c>
      <c r="D859">
        <v>23725</v>
      </c>
    </row>
    <row r="860" spans="1:9">
      <c r="A860" t="s">
        <v>1251</v>
      </c>
      <c r="B860" s="2251">
        <v>44974</v>
      </c>
      <c r="C860">
        <v>17632.63</v>
      </c>
      <c r="D860">
        <v>23659</v>
      </c>
      <c r="E860">
        <v>25267</v>
      </c>
      <c r="I860" s="2251"/>
    </row>
    <row r="861" spans="1:9">
      <c r="A861" t="s">
        <v>1252</v>
      </c>
      <c r="B861" s="2251">
        <v>44973</v>
      </c>
      <c r="C861">
        <v>17764.98</v>
      </c>
      <c r="D861">
        <v>23614</v>
      </c>
      <c r="E861">
        <v>25222</v>
      </c>
      <c r="I861" s="2251"/>
    </row>
    <row r="862" spans="1:9">
      <c r="A862" t="s">
        <v>1253</v>
      </c>
      <c r="B862" s="2251">
        <v>44972</v>
      </c>
      <c r="C862">
        <v>17764.38</v>
      </c>
      <c r="D862">
        <v>23591</v>
      </c>
      <c r="E862">
        <v>25224</v>
      </c>
      <c r="I862" s="2251"/>
    </row>
    <row r="863" spans="1:9">
      <c r="A863" t="s">
        <v>1249</v>
      </c>
      <c r="B863" s="2251">
        <v>44971</v>
      </c>
      <c r="D863">
        <v>23576</v>
      </c>
      <c r="E863">
        <v>25333</v>
      </c>
      <c r="I863" s="2251"/>
    </row>
    <row r="864" spans="1:9">
      <c r="A864" t="s">
        <v>1250</v>
      </c>
      <c r="B864" s="2251">
        <v>44970</v>
      </c>
      <c r="C864">
        <v>18041.41</v>
      </c>
      <c r="E864">
        <v>25184</v>
      </c>
      <c r="I864" s="2251"/>
    </row>
    <row r="865" spans="1:9">
      <c r="B865" s="2251"/>
      <c r="C865">
        <v>18027.32</v>
      </c>
      <c r="D865">
        <v>23572</v>
      </c>
    </row>
    <row r="866" spans="1:9">
      <c r="A866" t="s">
        <v>1251</v>
      </c>
      <c r="B866" s="2251">
        <v>44967</v>
      </c>
      <c r="C866">
        <v>17871.27</v>
      </c>
      <c r="D866">
        <v>23564</v>
      </c>
      <c r="E866">
        <v>25226</v>
      </c>
      <c r="I866" s="2251"/>
    </row>
    <row r="867" spans="1:9">
      <c r="A867" t="s">
        <v>1252</v>
      </c>
      <c r="B867" s="2251">
        <v>44966</v>
      </c>
      <c r="C867">
        <v>17891.189999999999</v>
      </c>
      <c r="D867">
        <v>23503</v>
      </c>
      <c r="E867">
        <v>25404</v>
      </c>
      <c r="I867" s="2251"/>
    </row>
    <row r="868" spans="1:9">
      <c r="A868" t="s">
        <v>1253</v>
      </c>
      <c r="B868" s="2251">
        <v>44965</v>
      </c>
      <c r="C868">
        <v>17693.439999999999</v>
      </c>
      <c r="D868">
        <v>23594</v>
      </c>
      <c r="E868">
        <v>25246</v>
      </c>
      <c r="I868" s="2251"/>
    </row>
    <row r="869" spans="1:9">
      <c r="A869" t="s">
        <v>1249</v>
      </c>
      <c r="B869" s="2251">
        <v>44964</v>
      </c>
      <c r="D869">
        <v>23473</v>
      </c>
      <c r="E869">
        <v>25209</v>
      </c>
      <c r="I869" s="2251"/>
    </row>
    <row r="870" spans="1:9">
      <c r="A870" t="s">
        <v>1250</v>
      </c>
      <c r="B870" s="2251">
        <v>44963</v>
      </c>
      <c r="C870">
        <v>17876.88</v>
      </c>
      <c r="E870">
        <v>25175</v>
      </c>
      <c r="I870" s="2251"/>
    </row>
    <row r="871" spans="1:9">
      <c r="B871" s="2251"/>
      <c r="C871">
        <v>18187.849999999999</v>
      </c>
      <c r="D871">
        <v>23450</v>
      </c>
    </row>
    <row r="872" spans="1:9">
      <c r="A872" t="s">
        <v>1251</v>
      </c>
      <c r="B872" s="2251">
        <v>44960</v>
      </c>
      <c r="C872">
        <v>18119.3</v>
      </c>
      <c r="D872">
        <v>23450</v>
      </c>
      <c r="E872">
        <v>25374</v>
      </c>
      <c r="I872" s="2251"/>
    </row>
    <row r="873" spans="1:9">
      <c r="A873" t="s">
        <v>1252</v>
      </c>
      <c r="B873" s="2251">
        <v>44959</v>
      </c>
      <c r="C873">
        <v>18053.04</v>
      </c>
      <c r="D873">
        <v>23450</v>
      </c>
      <c r="E873">
        <v>25582</v>
      </c>
      <c r="I873" s="2251"/>
    </row>
    <row r="874" spans="1:9">
      <c r="A874" t="s">
        <v>1253</v>
      </c>
      <c r="B874" s="2251">
        <v>44958</v>
      </c>
      <c r="C874">
        <v>17996.55</v>
      </c>
      <c r="D874">
        <v>23450</v>
      </c>
      <c r="E874">
        <v>25567</v>
      </c>
      <c r="I874" s="2251"/>
    </row>
    <row r="875" spans="1:9">
      <c r="A875" t="s">
        <v>1249</v>
      </c>
      <c r="B875" s="2251">
        <v>44957</v>
      </c>
      <c r="D875">
        <v>23454</v>
      </c>
      <c r="E875">
        <v>25438</v>
      </c>
      <c r="I875" s="2251"/>
    </row>
    <row r="876" spans="1:9">
      <c r="A876" t="s">
        <v>1250</v>
      </c>
      <c r="B876" s="2251">
        <v>44956</v>
      </c>
      <c r="C876">
        <v>18052.900000000001</v>
      </c>
      <c r="E876">
        <v>25510</v>
      </c>
      <c r="I876" s="2251"/>
    </row>
    <row r="877" spans="1:9">
      <c r="B877" s="2251"/>
      <c r="C877">
        <v>18036.45</v>
      </c>
      <c r="D877">
        <v>23448</v>
      </c>
    </row>
    <row r="878" spans="1:9">
      <c r="A878" t="s">
        <v>1251</v>
      </c>
      <c r="B878" s="2251">
        <v>44953</v>
      </c>
      <c r="C878">
        <v>17953.18</v>
      </c>
      <c r="D878">
        <v>23449</v>
      </c>
      <c r="E878">
        <v>25472</v>
      </c>
      <c r="I878" s="2251"/>
    </row>
    <row r="879" spans="1:9">
      <c r="A879" t="s">
        <v>1252</v>
      </c>
      <c r="B879" s="2251">
        <v>44952</v>
      </c>
      <c r="D879">
        <v>23449</v>
      </c>
      <c r="E879">
        <v>25552</v>
      </c>
      <c r="I879" s="2251"/>
    </row>
    <row r="880" spans="1:9">
      <c r="A880" t="s">
        <v>1253</v>
      </c>
      <c r="B880" s="2251">
        <v>44951</v>
      </c>
      <c r="C880">
        <v>18222.47</v>
      </c>
      <c r="E880">
        <v>25534</v>
      </c>
      <c r="I880" s="2251"/>
    </row>
    <row r="881" spans="1:9">
      <c r="A881" t="s">
        <v>1249</v>
      </c>
      <c r="B881" s="2251">
        <v>44950</v>
      </c>
      <c r="C881">
        <v>18247.439999999999</v>
      </c>
      <c r="D881">
        <v>23444</v>
      </c>
      <c r="E881">
        <v>25492</v>
      </c>
      <c r="I881" s="2251"/>
    </row>
    <row r="882" spans="1:9">
      <c r="A882" t="s">
        <v>1250</v>
      </c>
      <c r="B882" s="2251">
        <v>44949</v>
      </c>
      <c r="C882">
        <v>18305.53</v>
      </c>
      <c r="D882">
        <v>23440</v>
      </c>
      <c r="E882">
        <v>25464</v>
      </c>
      <c r="I882" s="2251"/>
    </row>
    <row r="883" spans="1:9">
      <c r="B883" s="2251"/>
      <c r="C883">
        <v>18282.63</v>
      </c>
      <c r="D883">
        <v>23436</v>
      </c>
    </row>
    <row r="884" spans="1:9">
      <c r="A884" t="s">
        <v>1251</v>
      </c>
      <c r="B884" s="2251">
        <v>44946</v>
      </c>
      <c r="C884">
        <v>18254.23</v>
      </c>
      <c r="D884">
        <v>23443</v>
      </c>
      <c r="E884">
        <v>25385</v>
      </c>
      <c r="I884" s="2251"/>
    </row>
    <row r="885" spans="1:9">
      <c r="A885" t="s">
        <v>1252</v>
      </c>
      <c r="B885" s="2251">
        <v>44945</v>
      </c>
      <c r="E885">
        <v>25358</v>
      </c>
      <c r="I885" s="2251"/>
    </row>
    <row r="886" spans="1:9">
      <c r="A886" t="s">
        <v>1253</v>
      </c>
      <c r="B886" s="2251">
        <v>44944</v>
      </c>
      <c r="C886">
        <v>18327.93</v>
      </c>
      <c r="D886">
        <v>23441</v>
      </c>
      <c r="E886">
        <v>25302</v>
      </c>
      <c r="I886" s="2251"/>
    </row>
    <row r="887" spans="1:9">
      <c r="A887" t="s">
        <v>1249</v>
      </c>
      <c r="B887" s="2251">
        <v>44943</v>
      </c>
      <c r="C887">
        <v>18083.54</v>
      </c>
      <c r="D887">
        <v>23443</v>
      </c>
      <c r="E887">
        <v>25309</v>
      </c>
      <c r="I887" s="2251"/>
    </row>
    <row r="888" spans="1:9">
      <c r="A888" t="s">
        <v>1250</v>
      </c>
      <c r="B888" s="2251">
        <v>44942</v>
      </c>
      <c r="C888">
        <v>17704.91</v>
      </c>
      <c r="D888">
        <v>23448</v>
      </c>
      <c r="E888">
        <v>25356</v>
      </c>
      <c r="I888" s="2251"/>
    </row>
    <row r="889" spans="1:9">
      <c r="B889" s="2251"/>
      <c r="C889">
        <v>17751.41</v>
      </c>
      <c r="D889">
        <v>23451</v>
      </c>
    </row>
    <row r="890" spans="1:9">
      <c r="A890" t="s">
        <v>1251</v>
      </c>
      <c r="B890" s="2251">
        <v>44939</v>
      </c>
      <c r="C890">
        <v>17782.45</v>
      </c>
      <c r="D890">
        <v>23459</v>
      </c>
      <c r="E890">
        <v>25387</v>
      </c>
      <c r="I890" s="2251"/>
    </row>
    <row r="891" spans="1:9">
      <c r="A891" t="s">
        <v>1252</v>
      </c>
      <c r="B891" s="2251">
        <v>44938</v>
      </c>
      <c r="E891">
        <v>25395</v>
      </c>
      <c r="I891" s="2251"/>
    </row>
    <row r="892" spans="1:9">
      <c r="A892" t="s">
        <v>1253</v>
      </c>
      <c r="B892" s="2251">
        <v>44937</v>
      </c>
      <c r="C892">
        <v>17751.5</v>
      </c>
      <c r="D892">
        <v>23472</v>
      </c>
      <c r="E892">
        <v>25219</v>
      </c>
      <c r="I892" s="2251"/>
    </row>
    <row r="893" spans="1:9">
      <c r="A893" t="s">
        <v>1249</v>
      </c>
      <c r="B893" s="2251">
        <v>44936</v>
      </c>
      <c r="C893">
        <v>17600.84</v>
      </c>
      <c r="D893">
        <v>23508</v>
      </c>
      <c r="E893">
        <v>25178</v>
      </c>
      <c r="I893" s="2251"/>
    </row>
    <row r="894" spans="1:9">
      <c r="A894" t="s">
        <v>1250</v>
      </c>
      <c r="B894" s="2251">
        <v>44935</v>
      </c>
      <c r="C894">
        <v>17756.86</v>
      </c>
      <c r="D894">
        <v>23523</v>
      </c>
      <c r="E894">
        <v>25196</v>
      </c>
      <c r="I894" s="2251"/>
    </row>
    <row r="895" spans="1:9">
      <c r="B895" s="2251"/>
      <c r="C895">
        <v>17995.79</v>
      </c>
      <c r="D895">
        <v>23543</v>
      </c>
    </row>
    <row r="896" spans="1:9">
      <c r="A896" t="s">
        <v>1251</v>
      </c>
      <c r="B896" s="2251">
        <v>44932</v>
      </c>
      <c r="E896">
        <v>24928</v>
      </c>
      <c r="I896" s="2251"/>
    </row>
    <row r="897" spans="1:9">
      <c r="A897" t="s">
        <v>1252</v>
      </c>
      <c r="B897" s="2251">
        <v>44931</v>
      </c>
      <c r="C897">
        <v>17892.05</v>
      </c>
      <c r="D897">
        <v>23633</v>
      </c>
      <c r="E897">
        <v>24726</v>
      </c>
      <c r="I897" s="2251"/>
    </row>
    <row r="898" spans="1:9">
      <c r="A898" t="s">
        <v>1253</v>
      </c>
      <c r="B898" s="2251">
        <v>44930</v>
      </c>
      <c r="C898">
        <v>17756.650000000001</v>
      </c>
      <c r="D898">
        <v>23627</v>
      </c>
      <c r="E898">
        <v>24925</v>
      </c>
      <c r="I898" s="2251"/>
    </row>
    <row r="899" spans="1:9">
      <c r="A899" t="s">
        <v>1249</v>
      </c>
      <c r="B899" s="2251">
        <v>44929</v>
      </c>
      <c r="C899">
        <v>17593.66</v>
      </c>
      <c r="D899">
        <v>23623</v>
      </c>
      <c r="E899">
        <v>24839</v>
      </c>
      <c r="I899" s="2251"/>
    </row>
    <row r="900" spans="1:9">
      <c r="A900" t="s">
        <v>1250</v>
      </c>
      <c r="B900" s="2251">
        <v>44928</v>
      </c>
      <c r="C900">
        <v>17716.82</v>
      </c>
      <c r="D900">
        <v>23605</v>
      </c>
      <c r="E900">
        <v>25273</v>
      </c>
      <c r="I900" s="2251"/>
    </row>
    <row r="901" spans="1:9">
      <c r="B901" s="2251"/>
      <c r="C901">
        <v>17766.71</v>
      </c>
      <c r="D901">
        <v>23616</v>
      </c>
    </row>
    <row r="902" spans="1:9">
      <c r="A902" t="s">
        <v>1251</v>
      </c>
      <c r="B902" s="2251">
        <v>44925</v>
      </c>
      <c r="E902">
        <v>25236</v>
      </c>
      <c r="I902" s="2251"/>
    </row>
    <row r="903" spans="1:9">
      <c r="A903" t="s">
        <v>1252</v>
      </c>
      <c r="B903" s="2251">
        <v>44924</v>
      </c>
      <c r="C903">
        <v>17760.509999999998</v>
      </c>
      <c r="D903">
        <v>23590</v>
      </c>
      <c r="E903">
        <v>25239</v>
      </c>
      <c r="I903" s="2251"/>
    </row>
    <row r="904" spans="1:9">
      <c r="A904" t="s">
        <v>1253</v>
      </c>
      <c r="B904" s="2251">
        <v>44923</v>
      </c>
      <c r="C904">
        <v>17885.29</v>
      </c>
      <c r="D904">
        <v>23669</v>
      </c>
      <c r="E904">
        <v>25087</v>
      </c>
      <c r="I904" s="2251"/>
    </row>
    <row r="905" spans="1:9">
      <c r="A905" t="s">
        <v>1249</v>
      </c>
      <c r="B905" s="2251">
        <v>44922</v>
      </c>
      <c r="C905">
        <v>17969.93</v>
      </c>
      <c r="D905">
        <v>23723</v>
      </c>
      <c r="E905">
        <v>25129</v>
      </c>
      <c r="I905" s="2251"/>
    </row>
    <row r="906" spans="1:9">
      <c r="A906" t="s">
        <v>1250</v>
      </c>
      <c r="B906" s="2251">
        <v>44921</v>
      </c>
      <c r="C906">
        <v>18087.490000000002</v>
      </c>
      <c r="D906">
        <v>23734</v>
      </c>
      <c r="E906">
        <v>25115</v>
      </c>
      <c r="I906" s="2251"/>
    </row>
    <row r="907" spans="1:9">
      <c r="B907" s="2251"/>
      <c r="C907">
        <v>17344.54</v>
      </c>
      <c r="D907">
        <v>23694</v>
      </c>
    </row>
    <row r="908" spans="1:9">
      <c r="A908" t="s">
        <v>1251</v>
      </c>
      <c r="B908" s="2251">
        <v>44918</v>
      </c>
      <c r="E908">
        <v>25064</v>
      </c>
      <c r="I908" s="2251"/>
    </row>
    <row r="909" spans="1:9">
      <c r="A909" t="s">
        <v>1252</v>
      </c>
      <c r="B909" s="2251">
        <v>44917</v>
      </c>
      <c r="C909">
        <v>17271.34</v>
      </c>
      <c r="D909">
        <v>23603</v>
      </c>
      <c r="E909">
        <v>25081</v>
      </c>
      <c r="I909" s="2251"/>
    </row>
    <row r="910" spans="1:9">
      <c r="A910" t="s">
        <v>1253</v>
      </c>
      <c r="B910" s="2251">
        <v>44916</v>
      </c>
      <c r="C910">
        <v>17084</v>
      </c>
      <c r="D910">
        <v>23532</v>
      </c>
      <c r="E910">
        <v>25174</v>
      </c>
      <c r="I910" s="2251"/>
    </row>
    <row r="911" spans="1:9">
      <c r="A911" t="s">
        <v>1249</v>
      </c>
      <c r="B911" s="2251">
        <v>44915</v>
      </c>
      <c r="C911">
        <v>17462.830000000002</v>
      </c>
      <c r="D911">
        <v>23546</v>
      </c>
      <c r="E911">
        <v>25210</v>
      </c>
      <c r="I911" s="2251"/>
    </row>
    <row r="912" spans="1:9">
      <c r="A912" t="s">
        <v>1250</v>
      </c>
      <c r="B912" s="2251">
        <v>44914</v>
      </c>
      <c r="C912">
        <v>17513.990000000002</v>
      </c>
      <c r="D912">
        <v>23625</v>
      </c>
      <c r="E912">
        <v>25116</v>
      </c>
      <c r="I912" s="2251"/>
    </row>
    <row r="913" spans="1:9">
      <c r="B913" s="2251"/>
      <c r="C913">
        <v>17248.259999999998</v>
      </c>
      <c r="D913">
        <v>23706</v>
      </c>
    </row>
    <row r="914" spans="1:9">
      <c r="A914" t="s">
        <v>1251</v>
      </c>
      <c r="B914" s="2251">
        <v>44911</v>
      </c>
      <c r="E914">
        <v>25042</v>
      </c>
      <c r="I914" s="2251"/>
    </row>
    <row r="915" spans="1:9">
      <c r="A915" t="s">
        <v>1252</v>
      </c>
      <c r="B915" s="2251">
        <v>44910</v>
      </c>
      <c r="C915">
        <v>17485.57</v>
      </c>
      <c r="D915">
        <v>23783</v>
      </c>
      <c r="E915">
        <v>24957</v>
      </c>
      <c r="I915" s="2251"/>
    </row>
    <row r="916" spans="1:9">
      <c r="A916" t="s">
        <v>1253</v>
      </c>
      <c r="B916" s="2251">
        <v>44909</v>
      </c>
      <c r="C916">
        <v>17466.68</v>
      </c>
      <c r="D916">
        <v>23915</v>
      </c>
      <c r="E916">
        <v>25083</v>
      </c>
      <c r="I916" s="2251"/>
    </row>
    <row r="917" spans="1:9">
      <c r="A917" t="s">
        <v>1249</v>
      </c>
      <c r="B917" s="2251">
        <v>44908</v>
      </c>
      <c r="C917">
        <v>17552.93</v>
      </c>
      <c r="D917">
        <v>23962</v>
      </c>
      <c r="E917">
        <v>25073</v>
      </c>
      <c r="I917" s="2251"/>
    </row>
    <row r="918" spans="1:9">
      <c r="A918" t="s">
        <v>1250</v>
      </c>
      <c r="B918" s="2251">
        <v>44907</v>
      </c>
      <c r="C918">
        <v>17602.72</v>
      </c>
      <c r="D918">
        <v>24033</v>
      </c>
      <c r="E918">
        <v>24945</v>
      </c>
      <c r="I918" s="2251"/>
    </row>
    <row r="919" spans="1:9">
      <c r="B919" s="2251"/>
      <c r="C919">
        <v>17610.89</v>
      </c>
      <c r="D919">
        <v>24001</v>
      </c>
    </row>
    <row r="920" spans="1:9">
      <c r="A920" t="s">
        <v>1251</v>
      </c>
      <c r="B920" s="2251">
        <v>44904</v>
      </c>
      <c r="E920">
        <v>24958</v>
      </c>
      <c r="I920" s="2251"/>
    </row>
    <row r="921" spans="1:9">
      <c r="A921" t="s">
        <v>1252</v>
      </c>
      <c r="B921" s="2251">
        <v>44903</v>
      </c>
      <c r="C921">
        <v>18263.7</v>
      </c>
      <c r="D921">
        <v>24477</v>
      </c>
      <c r="E921">
        <v>25120</v>
      </c>
      <c r="I921" s="2251"/>
    </row>
    <row r="922" spans="1:9">
      <c r="A922" t="s">
        <v>1253</v>
      </c>
      <c r="B922" s="2251">
        <v>44902</v>
      </c>
      <c r="C922">
        <v>18012.349999999999</v>
      </c>
      <c r="D922">
        <v>24518</v>
      </c>
      <c r="E922">
        <v>25160</v>
      </c>
      <c r="I922" s="2251"/>
    </row>
    <row r="923" spans="1:9">
      <c r="A923" t="s">
        <v>1249</v>
      </c>
      <c r="B923" s="2251">
        <v>44901</v>
      </c>
      <c r="C923">
        <v>17732.04</v>
      </c>
      <c r="D923">
        <v>24702</v>
      </c>
      <c r="E923">
        <v>25173</v>
      </c>
      <c r="I923" s="2251"/>
    </row>
    <row r="924" spans="1:9">
      <c r="A924" t="s">
        <v>1250</v>
      </c>
      <c r="B924" s="2251">
        <v>44900</v>
      </c>
      <c r="C924">
        <v>17888.259999999998</v>
      </c>
      <c r="D924">
        <v>24764</v>
      </c>
      <c r="E924">
        <v>25264</v>
      </c>
      <c r="I924" s="2251"/>
    </row>
    <row r="925" spans="1:9">
      <c r="B925" s="2251"/>
      <c r="C925">
        <v>17873.52</v>
      </c>
      <c r="D925">
        <v>24800</v>
      </c>
    </row>
    <row r="926" spans="1:9">
      <c r="A926" t="s">
        <v>1251</v>
      </c>
      <c r="B926" s="2251">
        <v>44897</v>
      </c>
      <c r="E926">
        <v>25748</v>
      </c>
      <c r="I926" s="2251"/>
    </row>
    <row r="927" spans="1:9">
      <c r="A927" t="s">
        <v>1252</v>
      </c>
      <c r="B927" s="2251">
        <v>44896</v>
      </c>
      <c r="C927">
        <v>17810.5</v>
      </c>
      <c r="D927">
        <v>24802</v>
      </c>
      <c r="E927">
        <v>25726</v>
      </c>
      <c r="I927" s="2251"/>
    </row>
    <row r="928" spans="1:9">
      <c r="A928" t="s">
        <v>1253</v>
      </c>
      <c r="B928" s="2251">
        <v>44895</v>
      </c>
      <c r="C928">
        <v>17958.490000000002</v>
      </c>
      <c r="D928">
        <v>24837</v>
      </c>
      <c r="E928">
        <v>25643</v>
      </c>
      <c r="I928" s="2251"/>
    </row>
    <row r="929" spans="1:9">
      <c r="A929" t="s">
        <v>1249</v>
      </c>
      <c r="B929" s="2251">
        <v>44894</v>
      </c>
      <c r="C929">
        <v>17732.41</v>
      </c>
      <c r="D929">
        <v>24836</v>
      </c>
      <c r="E929">
        <v>25656</v>
      </c>
      <c r="I929" s="2251"/>
    </row>
    <row r="930" spans="1:9">
      <c r="A930" t="s">
        <v>1250</v>
      </c>
      <c r="B930" s="2251">
        <v>44893</v>
      </c>
      <c r="C930">
        <v>17596.7</v>
      </c>
      <c r="D930">
        <v>24840</v>
      </c>
      <c r="E930">
        <v>25808</v>
      </c>
      <c r="I930" s="2251"/>
    </row>
    <row r="931" spans="1:9">
      <c r="C931">
        <v>17559.59</v>
      </c>
      <c r="D931">
        <v>24832</v>
      </c>
    </row>
    <row r="932" spans="1:9">
      <c r="A932" t="s">
        <v>1251</v>
      </c>
      <c r="B932" s="2251">
        <v>44890</v>
      </c>
      <c r="E932">
        <v>25802</v>
      </c>
      <c r="I932" s="2251"/>
    </row>
    <row r="933" spans="1:9">
      <c r="A933" t="s">
        <v>1252</v>
      </c>
      <c r="B933" s="2251">
        <v>44889</v>
      </c>
      <c r="C933">
        <v>17735.48</v>
      </c>
      <c r="D933">
        <v>24808</v>
      </c>
      <c r="E933">
        <v>25889</v>
      </c>
      <c r="I933" s="2251"/>
    </row>
    <row r="934" spans="1:9">
      <c r="A934" t="s">
        <v>1253</v>
      </c>
      <c r="B934" s="2251">
        <v>44888</v>
      </c>
      <c r="C934">
        <v>17670.099999999999</v>
      </c>
      <c r="D934">
        <v>24815</v>
      </c>
      <c r="E934">
        <v>25733</v>
      </c>
      <c r="I934" s="2251"/>
    </row>
    <row r="935" spans="1:9">
      <c r="A935" t="s">
        <v>1249</v>
      </c>
      <c r="B935" s="2251">
        <v>44887</v>
      </c>
      <c r="C935">
        <v>17763.61</v>
      </c>
      <c r="D935">
        <v>24790</v>
      </c>
      <c r="E935">
        <v>25535</v>
      </c>
      <c r="I935" s="2251"/>
    </row>
    <row r="936" spans="1:9">
      <c r="A936" t="s">
        <v>1250</v>
      </c>
      <c r="B936" s="2251">
        <v>44886</v>
      </c>
      <c r="C936">
        <v>17805.29</v>
      </c>
      <c r="D936">
        <v>24809</v>
      </c>
      <c r="E936">
        <v>25463</v>
      </c>
      <c r="I936" s="2251"/>
    </row>
    <row r="937" spans="1:9">
      <c r="C937">
        <v>17652.96</v>
      </c>
      <c r="D937">
        <v>24798</v>
      </c>
    </row>
    <row r="938" spans="1:9">
      <c r="A938" t="s">
        <v>1251</v>
      </c>
      <c r="B938" s="2251">
        <v>44883</v>
      </c>
      <c r="E938">
        <v>25656</v>
      </c>
      <c r="I938" s="2251"/>
    </row>
    <row r="939" spans="1:9">
      <c r="A939" t="s">
        <v>1252</v>
      </c>
      <c r="B939" s="2251">
        <v>44882</v>
      </c>
      <c r="C939">
        <v>17844</v>
      </c>
      <c r="D939">
        <v>24821</v>
      </c>
      <c r="E939">
        <v>25718</v>
      </c>
      <c r="I939" s="2251"/>
    </row>
    <row r="940" spans="1:9">
      <c r="A940" t="s">
        <v>1253</v>
      </c>
      <c r="B940" s="2251">
        <v>44881</v>
      </c>
      <c r="C940">
        <v>17521.22</v>
      </c>
      <c r="D940">
        <v>24867</v>
      </c>
      <c r="E940">
        <v>25773</v>
      </c>
      <c r="I940" s="2251"/>
    </row>
    <row r="941" spans="1:9">
      <c r="A941" t="s">
        <v>1249</v>
      </c>
      <c r="B941" s="2251">
        <v>44880</v>
      </c>
      <c r="C941">
        <v>17021.330000000002</v>
      </c>
      <c r="D941">
        <v>24860</v>
      </c>
      <c r="E941">
        <v>25724</v>
      </c>
      <c r="I941" s="2251"/>
    </row>
    <row r="942" spans="1:9">
      <c r="A942" t="s">
        <v>1250</v>
      </c>
      <c r="B942" s="2251">
        <v>44879</v>
      </c>
      <c r="C942">
        <v>17068.79</v>
      </c>
      <c r="D942">
        <v>24853</v>
      </c>
      <c r="E942">
        <v>25612</v>
      </c>
      <c r="I942" s="2251"/>
    </row>
    <row r="943" spans="1:9">
      <c r="C943">
        <v>16959.04</v>
      </c>
      <c r="D943">
        <v>24864</v>
      </c>
    </row>
    <row r="944" spans="1:9">
      <c r="A944" t="s">
        <v>1251</v>
      </c>
      <c r="B944" s="2251">
        <v>44876</v>
      </c>
      <c r="E944">
        <v>25718</v>
      </c>
      <c r="I944" s="2251"/>
    </row>
    <row r="945" spans="1:9">
      <c r="A945" t="s">
        <v>1252</v>
      </c>
      <c r="B945" s="2251">
        <v>44875</v>
      </c>
      <c r="C945">
        <v>16939.740000000002</v>
      </c>
      <c r="D945">
        <v>24865</v>
      </c>
      <c r="E945">
        <v>25289</v>
      </c>
      <c r="I945" s="2251"/>
    </row>
    <row r="946" spans="1:9">
      <c r="A946" t="s">
        <v>1253</v>
      </c>
      <c r="B946" s="2251">
        <v>44874</v>
      </c>
      <c r="C946">
        <v>16819.580000000002</v>
      </c>
      <c r="D946">
        <v>24858</v>
      </c>
      <c r="E946">
        <v>24976</v>
      </c>
      <c r="I946" s="2251"/>
    </row>
    <row r="947" spans="1:9">
      <c r="A947" t="s">
        <v>1249</v>
      </c>
      <c r="B947" s="2251">
        <v>44873</v>
      </c>
      <c r="C947">
        <v>16884.349999999999</v>
      </c>
      <c r="D947">
        <v>24833</v>
      </c>
      <c r="E947">
        <v>25075</v>
      </c>
      <c r="I947" s="2251"/>
    </row>
    <row r="948" spans="1:9">
      <c r="A948" t="s">
        <v>1250</v>
      </c>
      <c r="B948" s="2251">
        <v>44872</v>
      </c>
      <c r="C948">
        <v>16766.189999999999</v>
      </c>
      <c r="D948">
        <v>24841</v>
      </c>
      <c r="E948">
        <v>24918</v>
      </c>
      <c r="I948" s="2251"/>
    </row>
    <row r="949" spans="1:9">
      <c r="C949">
        <v>16698.38</v>
      </c>
      <c r="D949">
        <v>24838</v>
      </c>
    </row>
    <row r="950" spans="1:9">
      <c r="A950" t="s">
        <v>1251</v>
      </c>
      <c r="B950" s="2251">
        <v>44869</v>
      </c>
      <c r="E950">
        <v>24675</v>
      </c>
      <c r="I950" s="2251"/>
    </row>
    <row r="951" spans="1:9">
      <c r="A951" t="s">
        <v>1252</v>
      </c>
      <c r="B951" s="2251">
        <v>44868</v>
      </c>
      <c r="C951">
        <v>16810.32</v>
      </c>
      <c r="D951">
        <v>24828</v>
      </c>
      <c r="E951">
        <v>24242</v>
      </c>
      <c r="I951" s="2251"/>
    </row>
    <row r="952" spans="1:9">
      <c r="A952" t="s">
        <v>1253</v>
      </c>
      <c r="B952" s="2251">
        <v>44867</v>
      </c>
      <c r="C952">
        <v>16937.64</v>
      </c>
      <c r="D952">
        <v>24836</v>
      </c>
      <c r="E952">
        <v>24673</v>
      </c>
      <c r="I952" s="2251"/>
    </row>
    <row r="953" spans="1:9">
      <c r="A953" t="s">
        <v>1249</v>
      </c>
      <c r="B953" s="2251">
        <v>44866</v>
      </c>
      <c r="C953">
        <v>16954.97</v>
      </c>
      <c r="D953">
        <v>24837</v>
      </c>
      <c r="E953">
        <v>24533</v>
      </c>
      <c r="I953" s="2251"/>
    </row>
    <row r="954" spans="1:9">
      <c r="A954" t="s">
        <v>1250</v>
      </c>
      <c r="B954" s="2251">
        <v>44865</v>
      </c>
      <c r="C954">
        <v>16820.32</v>
      </c>
      <c r="D954">
        <v>24849</v>
      </c>
      <c r="E954">
        <v>24538</v>
      </c>
      <c r="I954" s="2251"/>
    </row>
    <row r="955" spans="1:9">
      <c r="C955">
        <v>16704.990000000002</v>
      </c>
      <c r="D955">
        <v>24844</v>
      </c>
    </row>
    <row r="956" spans="1:9">
      <c r="A956" t="s">
        <v>1251</v>
      </c>
      <c r="B956" s="2251">
        <v>44862</v>
      </c>
      <c r="E956">
        <v>24664</v>
      </c>
      <c r="I956" s="2251"/>
    </row>
    <row r="957" spans="1:9">
      <c r="A957" t="s">
        <v>1252</v>
      </c>
      <c r="B957" s="2251">
        <v>44861</v>
      </c>
      <c r="C957">
        <v>16443.810000000001</v>
      </c>
      <c r="D957">
        <v>24669</v>
      </c>
      <c r="E957">
        <v>24907</v>
      </c>
      <c r="I957" s="2251"/>
    </row>
    <row r="958" spans="1:9">
      <c r="A958" t="s">
        <v>1253</v>
      </c>
      <c r="B958" s="2251">
        <v>44860</v>
      </c>
      <c r="C958">
        <v>16372.62</v>
      </c>
      <c r="D958">
        <v>24545</v>
      </c>
      <c r="E958">
        <v>25019</v>
      </c>
      <c r="I958" s="2251"/>
    </row>
    <row r="959" spans="1:9">
      <c r="A959" t="s">
        <v>1249</v>
      </c>
      <c r="B959" s="2251">
        <v>44859</v>
      </c>
      <c r="C959">
        <v>16335.88</v>
      </c>
      <c r="D959">
        <v>24454</v>
      </c>
      <c r="E959">
        <v>24748</v>
      </c>
      <c r="I959" s="2251"/>
    </row>
    <row r="960" spans="1:9">
      <c r="A960" t="s">
        <v>1250</v>
      </c>
      <c r="B960" s="2251">
        <v>44858</v>
      </c>
      <c r="C960">
        <v>16375.64</v>
      </c>
      <c r="D960">
        <v>24430</v>
      </c>
      <c r="E960">
        <v>24525</v>
      </c>
      <c r="I960" s="2251"/>
    </row>
    <row r="961" spans="1:9">
      <c r="C961">
        <v>16351.23</v>
      </c>
      <c r="D961">
        <v>24320</v>
      </c>
    </row>
    <row r="962" spans="1:9">
      <c r="A962" t="s">
        <v>1251</v>
      </c>
      <c r="B962" s="2251">
        <v>44855</v>
      </c>
      <c r="E962">
        <v>24278</v>
      </c>
      <c r="I962" s="2251"/>
    </row>
    <row r="963" spans="1:9">
      <c r="A963" t="s">
        <v>1252</v>
      </c>
      <c r="B963" s="2251">
        <v>44854</v>
      </c>
      <c r="C963">
        <v>16215.58</v>
      </c>
      <c r="D963">
        <v>24115</v>
      </c>
      <c r="E963">
        <v>24050</v>
      </c>
      <c r="I963" s="2251"/>
    </row>
    <row r="964" spans="1:9">
      <c r="A964" t="s">
        <v>1253</v>
      </c>
      <c r="B964" s="2251">
        <v>44853</v>
      </c>
      <c r="C964">
        <v>16394.78</v>
      </c>
      <c r="D964">
        <v>24120</v>
      </c>
      <c r="E964">
        <v>23925</v>
      </c>
      <c r="I964" s="2251"/>
    </row>
    <row r="965" spans="1:9">
      <c r="A965" t="s">
        <v>1249</v>
      </c>
      <c r="B965" s="2251">
        <v>44852</v>
      </c>
      <c r="C965">
        <v>16301.62</v>
      </c>
      <c r="D965">
        <v>23943</v>
      </c>
      <c r="E965">
        <v>23983</v>
      </c>
      <c r="I965" s="2251"/>
    </row>
    <row r="966" spans="1:9">
      <c r="A966" t="s">
        <v>1250</v>
      </c>
      <c r="B966" s="2251">
        <v>44851</v>
      </c>
      <c r="C966">
        <v>16421.29</v>
      </c>
      <c r="D966">
        <v>23925</v>
      </c>
      <c r="E966">
        <v>23852</v>
      </c>
      <c r="I966" s="2251"/>
    </row>
    <row r="967" spans="1:9">
      <c r="C967">
        <v>16399.599999999999</v>
      </c>
      <c r="D967">
        <v>23877</v>
      </c>
    </row>
    <row r="968" spans="1:9">
      <c r="A968" t="s">
        <v>1251</v>
      </c>
      <c r="B968" s="2251">
        <v>44848</v>
      </c>
      <c r="E968">
        <v>23461</v>
      </c>
      <c r="I968" s="2251"/>
    </row>
    <row r="969" spans="1:9">
      <c r="A969" t="s">
        <v>1252</v>
      </c>
      <c r="B969" s="2251">
        <v>44847</v>
      </c>
      <c r="C969">
        <v>16456.580000000002</v>
      </c>
      <c r="D969">
        <v>23882</v>
      </c>
      <c r="E969">
        <v>23603</v>
      </c>
      <c r="I969" s="2251"/>
    </row>
    <row r="970" spans="1:9">
      <c r="A970" t="s">
        <v>1253</v>
      </c>
      <c r="B970" s="2251">
        <v>44846</v>
      </c>
      <c r="C970">
        <v>16476.439999999999</v>
      </c>
      <c r="D970">
        <v>23848</v>
      </c>
      <c r="E970">
        <v>23200</v>
      </c>
      <c r="I970" s="2251"/>
    </row>
    <row r="971" spans="1:9">
      <c r="A971" t="s">
        <v>1249</v>
      </c>
      <c r="B971" s="2251">
        <v>44845</v>
      </c>
      <c r="C971">
        <v>16489.04</v>
      </c>
      <c r="D971">
        <v>23872</v>
      </c>
      <c r="E971">
        <v>23219</v>
      </c>
      <c r="I971" s="2251"/>
    </row>
    <row r="972" spans="1:9">
      <c r="A972" t="s">
        <v>1250</v>
      </c>
      <c r="B972" s="2251">
        <v>44844</v>
      </c>
      <c r="C972">
        <v>16528.12</v>
      </c>
      <c r="D972">
        <v>23879</v>
      </c>
      <c r="E972">
        <v>23170</v>
      </c>
      <c r="I972" s="2251"/>
    </row>
    <row r="973" spans="1:9">
      <c r="C973">
        <v>16475.79</v>
      </c>
      <c r="D973">
        <v>23880</v>
      </c>
    </row>
    <row r="974" spans="1:9">
      <c r="A974" t="s">
        <v>1251</v>
      </c>
      <c r="B974" s="2251">
        <v>44841</v>
      </c>
      <c r="E974">
        <v>23257</v>
      </c>
      <c r="I974" s="2251"/>
    </row>
    <row r="975" spans="1:9">
      <c r="A975" t="s">
        <v>1252</v>
      </c>
      <c r="B975" s="2251">
        <v>44840</v>
      </c>
      <c r="C975">
        <v>16502.75</v>
      </c>
      <c r="D975">
        <v>23861</v>
      </c>
      <c r="E975">
        <v>23445</v>
      </c>
      <c r="I975" s="2251"/>
    </row>
    <row r="976" spans="1:9">
      <c r="A976" t="s">
        <v>1253</v>
      </c>
      <c r="B976" s="2251">
        <v>44839</v>
      </c>
      <c r="C976">
        <v>16492.47</v>
      </c>
      <c r="D976">
        <v>23828</v>
      </c>
      <c r="E976">
        <v>23550</v>
      </c>
      <c r="I976" s="2251"/>
    </row>
    <row r="977" spans="1:9">
      <c r="A977" t="s">
        <v>1249</v>
      </c>
      <c r="B977" s="2251">
        <v>44838</v>
      </c>
      <c r="C977">
        <v>16417.14</v>
      </c>
      <c r="D977">
        <v>23740</v>
      </c>
      <c r="E977">
        <v>23810</v>
      </c>
      <c r="I977" s="2251"/>
    </row>
    <row r="978" spans="1:9">
      <c r="A978" t="s">
        <v>1250</v>
      </c>
      <c r="B978" s="2251">
        <v>44837</v>
      </c>
      <c r="C978">
        <v>16413.02</v>
      </c>
      <c r="D978">
        <v>23736</v>
      </c>
      <c r="E978">
        <v>23363</v>
      </c>
      <c r="I978" s="2251"/>
    </row>
    <row r="979" spans="1:9">
      <c r="C979">
        <v>16409.400000000001</v>
      </c>
      <c r="D979">
        <v>23717</v>
      </c>
    </row>
    <row r="980" spans="1:9">
      <c r="A980" t="s">
        <v>1251</v>
      </c>
      <c r="B980" s="2251">
        <v>44834</v>
      </c>
      <c r="E980">
        <v>23317</v>
      </c>
      <c r="I980" s="2251"/>
    </row>
    <row r="981" spans="1:9">
      <c r="A981" t="s">
        <v>1252</v>
      </c>
      <c r="B981" s="2251">
        <v>44833</v>
      </c>
      <c r="C981">
        <v>16552.259999999998</v>
      </c>
      <c r="D981">
        <v>23702</v>
      </c>
      <c r="E981">
        <v>23339</v>
      </c>
      <c r="I981" s="2251"/>
    </row>
    <row r="982" spans="1:9">
      <c r="A982" t="s">
        <v>1253</v>
      </c>
      <c r="B982" s="2251">
        <v>44832</v>
      </c>
      <c r="C982">
        <v>16640.759999999998</v>
      </c>
      <c r="D982">
        <v>23696</v>
      </c>
      <c r="E982">
        <v>22808</v>
      </c>
      <c r="I982" s="2251"/>
    </row>
    <row r="983" spans="1:9">
      <c r="A983" t="s">
        <v>1249</v>
      </c>
      <c r="B983" s="2251">
        <v>44831</v>
      </c>
      <c r="C983">
        <v>16455.13</v>
      </c>
      <c r="D983">
        <v>23688</v>
      </c>
      <c r="E983">
        <v>22838</v>
      </c>
      <c r="I983" s="2251"/>
    </row>
    <row r="984" spans="1:9">
      <c r="A984" t="s">
        <v>1250</v>
      </c>
      <c r="B984" s="2251">
        <v>44830</v>
      </c>
      <c r="C984">
        <v>16472.5</v>
      </c>
      <c r="D984">
        <v>23668</v>
      </c>
      <c r="E984">
        <v>22818</v>
      </c>
      <c r="I984" s="2251"/>
    </row>
    <row r="985" spans="1:9">
      <c r="C985">
        <v>16520.09</v>
      </c>
      <c r="D985">
        <v>23667</v>
      </c>
    </row>
    <row r="986" spans="1:9">
      <c r="A986" t="s">
        <v>1251</v>
      </c>
      <c r="B986" s="2251">
        <v>44827</v>
      </c>
      <c r="E986">
        <v>23043</v>
      </c>
      <c r="I986" s="2251"/>
    </row>
    <row r="987" spans="1:9">
      <c r="A987" t="s">
        <v>1252</v>
      </c>
      <c r="B987" s="2251">
        <v>44826</v>
      </c>
      <c r="C987">
        <v>16543.07</v>
      </c>
      <c r="D987">
        <v>23652</v>
      </c>
      <c r="E987">
        <v>23333</v>
      </c>
      <c r="I987" s="2251"/>
    </row>
    <row r="988" spans="1:9">
      <c r="A988" t="s">
        <v>1253</v>
      </c>
      <c r="B988" s="2251">
        <v>44825</v>
      </c>
      <c r="C988">
        <v>16456.560000000001</v>
      </c>
      <c r="D988">
        <v>23618</v>
      </c>
      <c r="E988">
        <v>23468</v>
      </c>
      <c r="I988" s="2251"/>
    </row>
    <row r="989" spans="1:9">
      <c r="A989" t="s">
        <v>1249</v>
      </c>
      <c r="B989" s="2251">
        <v>44824</v>
      </c>
      <c r="C989">
        <v>16494.32</v>
      </c>
      <c r="D989">
        <v>23591</v>
      </c>
      <c r="E989">
        <v>23606</v>
      </c>
      <c r="I989" s="2251"/>
    </row>
    <row r="990" spans="1:9">
      <c r="A990" t="s">
        <v>1250</v>
      </c>
      <c r="B990" s="2251">
        <v>44823</v>
      </c>
      <c r="C990">
        <v>16308.63</v>
      </c>
      <c r="D990">
        <v>23557</v>
      </c>
      <c r="E990">
        <v>23689</v>
      </c>
      <c r="I990" s="2251"/>
    </row>
    <row r="991" spans="1:9">
      <c r="C991">
        <v>16511.71</v>
      </c>
      <c r="D991">
        <v>23514</v>
      </c>
    </row>
    <row r="992" spans="1:9">
      <c r="A992" t="s">
        <v>1251</v>
      </c>
      <c r="B992" s="2251">
        <v>44820</v>
      </c>
      <c r="E992">
        <v>23631</v>
      </c>
      <c r="I992" s="2251"/>
    </row>
    <row r="993" spans="1:9">
      <c r="A993" t="s">
        <v>1252</v>
      </c>
      <c r="B993" s="2251">
        <v>44819</v>
      </c>
      <c r="C993">
        <v>16500.62</v>
      </c>
      <c r="D993">
        <v>23517</v>
      </c>
      <c r="E993">
        <v>23597</v>
      </c>
      <c r="I993" s="2251"/>
    </row>
    <row r="994" spans="1:9">
      <c r="A994" t="s">
        <v>1253</v>
      </c>
      <c r="B994" s="2251">
        <v>44818</v>
      </c>
      <c r="C994">
        <v>16308.22</v>
      </c>
      <c r="D994">
        <v>23545</v>
      </c>
      <c r="E994">
        <v>23566</v>
      </c>
      <c r="I994" s="2251"/>
    </row>
    <row r="995" spans="1:9">
      <c r="A995" t="s">
        <v>1249</v>
      </c>
      <c r="B995" s="2251">
        <v>44817</v>
      </c>
      <c r="C995">
        <v>16338.1</v>
      </c>
      <c r="D995">
        <v>23586</v>
      </c>
      <c r="E995">
        <v>23549</v>
      </c>
      <c r="I995" s="2251"/>
    </row>
    <row r="996" spans="1:9">
      <c r="A996" t="s">
        <v>1250</v>
      </c>
      <c r="B996" s="2251">
        <v>44816</v>
      </c>
      <c r="C996">
        <v>16486.11</v>
      </c>
      <c r="D996">
        <v>23526</v>
      </c>
      <c r="E996">
        <v>23826</v>
      </c>
      <c r="I996" s="2251"/>
    </row>
    <row r="997" spans="1:9">
      <c r="C997">
        <v>16712.900000000001</v>
      </c>
      <c r="D997">
        <v>23498</v>
      </c>
    </row>
    <row r="998" spans="1:9">
      <c r="A998" t="s">
        <v>1251</v>
      </c>
      <c r="B998" s="2251">
        <v>44813</v>
      </c>
      <c r="E998">
        <v>23633</v>
      </c>
      <c r="I998" s="2251"/>
    </row>
    <row r="999" spans="1:9">
      <c r="A999" t="s">
        <v>1252</v>
      </c>
      <c r="B999" s="2251">
        <v>44812</v>
      </c>
      <c r="C999">
        <v>16736.509999999998</v>
      </c>
      <c r="D999">
        <v>23444</v>
      </c>
      <c r="E999">
        <v>23498</v>
      </c>
      <c r="I999" s="2251"/>
    </row>
    <row r="1000" spans="1:9">
      <c r="A1000" t="s">
        <v>1253</v>
      </c>
      <c r="B1000" s="2251">
        <v>44811</v>
      </c>
      <c r="C1000">
        <v>16762.580000000002</v>
      </c>
      <c r="D1000">
        <v>23450</v>
      </c>
      <c r="E1000">
        <v>23473</v>
      </c>
      <c r="I1000" s="2251"/>
    </row>
    <row r="1001" spans="1:9">
      <c r="A1001" t="s">
        <v>1249</v>
      </c>
      <c r="B1001" s="2251">
        <v>44810</v>
      </c>
      <c r="C1001">
        <v>16911.32</v>
      </c>
      <c r="D1001">
        <v>23451</v>
      </c>
      <c r="E1001">
        <v>23323</v>
      </c>
      <c r="I1001" s="2251"/>
    </row>
    <row r="1002" spans="1:9">
      <c r="A1002" t="s">
        <v>1250</v>
      </c>
      <c r="B1002" s="2251">
        <v>44809</v>
      </c>
      <c r="C1002">
        <v>16887.740000000002</v>
      </c>
      <c r="D1002">
        <v>23421</v>
      </c>
      <c r="E1002">
        <v>23337</v>
      </c>
      <c r="I1002" s="2251"/>
    </row>
    <row r="1003" spans="1:9">
      <c r="C1003">
        <v>16889.8</v>
      </c>
      <c r="D1003">
        <v>23427</v>
      </c>
    </row>
    <row r="1004" spans="1:9">
      <c r="A1004" t="s">
        <v>1251</v>
      </c>
      <c r="B1004" s="2251">
        <v>44806</v>
      </c>
      <c r="E1004">
        <v>23457</v>
      </c>
      <c r="I1004" s="2251"/>
    </row>
    <row r="1005" spans="1:9">
      <c r="A1005" t="s">
        <v>1252</v>
      </c>
      <c r="B1005" s="2251">
        <v>44805</v>
      </c>
      <c r="C1005">
        <v>17079.86</v>
      </c>
      <c r="D1005">
        <v>23410</v>
      </c>
      <c r="E1005">
        <v>23340</v>
      </c>
      <c r="I1005" s="2251"/>
    </row>
    <row r="1006" spans="1:9">
      <c r="A1006" t="s">
        <v>1253</v>
      </c>
      <c r="B1006" s="2251">
        <v>44804</v>
      </c>
      <c r="C1006">
        <v>17160.23</v>
      </c>
      <c r="D1006">
        <v>23428</v>
      </c>
      <c r="E1006">
        <v>23596</v>
      </c>
      <c r="I1006" s="2251"/>
    </row>
    <row r="1007" spans="1:9">
      <c r="A1007" t="s">
        <v>1249</v>
      </c>
      <c r="B1007" s="2251">
        <v>44803</v>
      </c>
      <c r="C1007">
        <v>17141.29</v>
      </c>
      <c r="D1007">
        <v>23445</v>
      </c>
      <c r="E1007">
        <v>23477</v>
      </c>
      <c r="I1007" s="2251"/>
    </row>
    <row r="1008" spans="1:9">
      <c r="A1008" t="s">
        <v>1250</v>
      </c>
      <c r="B1008" s="2251">
        <v>44802</v>
      </c>
      <c r="C1008">
        <v>17174.060000000001</v>
      </c>
      <c r="D1008">
        <v>23428</v>
      </c>
      <c r="E1008">
        <v>23436</v>
      </c>
      <c r="I1008" s="2251"/>
    </row>
    <row r="1009" spans="1:9">
      <c r="C1009">
        <v>17036.57</v>
      </c>
      <c r="D1009">
        <v>23412</v>
      </c>
    </row>
    <row r="1010" spans="1:9">
      <c r="A1010" t="s">
        <v>1251</v>
      </c>
      <c r="B1010" s="2251">
        <v>44799</v>
      </c>
      <c r="E1010">
        <v>23415</v>
      </c>
      <c r="I1010" s="2251"/>
    </row>
    <row r="1011" spans="1:9">
      <c r="A1011" t="s">
        <v>1252</v>
      </c>
      <c r="B1011" s="2251">
        <v>44798</v>
      </c>
      <c r="C1011">
        <v>17065.849999999999</v>
      </c>
      <c r="D1011">
        <v>23393</v>
      </c>
      <c r="E1011">
        <v>23355</v>
      </c>
      <c r="I1011" s="2251"/>
    </row>
    <row r="1012" spans="1:9">
      <c r="A1012" t="s">
        <v>1253</v>
      </c>
      <c r="B1012" s="2251">
        <v>44797</v>
      </c>
      <c r="C1012">
        <v>17288.64</v>
      </c>
      <c r="D1012">
        <v>23405</v>
      </c>
      <c r="E1012">
        <v>23419</v>
      </c>
      <c r="I1012" s="2251"/>
    </row>
    <row r="1013" spans="1:9">
      <c r="A1013" t="s">
        <v>1249</v>
      </c>
      <c r="B1013" s="2251">
        <v>44796</v>
      </c>
      <c r="C1013">
        <v>17270.310000000001</v>
      </c>
      <c r="D1013">
        <v>23393</v>
      </c>
      <c r="E1013">
        <v>23380</v>
      </c>
      <c r="I1013" s="2251"/>
    </row>
    <row r="1014" spans="1:9">
      <c r="A1014" t="s">
        <v>1250</v>
      </c>
      <c r="B1014" s="2251">
        <v>44795</v>
      </c>
      <c r="C1014">
        <v>17417.939999999999</v>
      </c>
      <c r="D1014">
        <v>23401</v>
      </c>
      <c r="E1014">
        <v>23258</v>
      </c>
      <c r="I1014" s="2251"/>
    </row>
    <row r="1015" spans="1:9">
      <c r="C1015">
        <v>17625.900000000001</v>
      </c>
      <c r="D1015">
        <v>23398</v>
      </c>
    </row>
    <row r="1016" spans="1:9">
      <c r="A1016" t="s">
        <v>1251</v>
      </c>
      <c r="B1016" s="2251">
        <v>44792</v>
      </c>
      <c r="E1016">
        <v>23510</v>
      </c>
      <c r="I1016" s="2251"/>
    </row>
    <row r="1017" spans="1:9">
      <c r="A1017" t="s">
        <v>1252</v>
      </c>
      <c r="B1017" s="2251">
        <v>44791</v>
      </c>
      <c r="C1017">
        <v>17518.810000000001</v>
      </c>
      <c r="D1017">
        <v>23395</v>
      </c>
      <c r="E1017">
        <v>23658</v>
      </c>
      <c r="I1017" s="2251"/>
    </row>
    <row r="1018" spans="1:9">
      <c r="A1018" t="s">
        <v>1253</v>
      </c>
      <c r="B1018" s="2251">
        <v>44790</v>
      </c>
      <c r="C1018">
        <v>17600.349999999999</v>
      </c>
      <c r="D1018">
        <v>23394</v>
      </c>
      <c r="E1018">
        <v>23783</v>
      </c>
      <c r="I1018" s="2251"/>
    </row>
    <row r="1019" spans="1:9">
      <c r="A1019" t="s">
        <v>1249</v>
      </c>
      <c r="B1019" s="2251">
        <v>44789</v>
      </c>
      <c r="C1019">
        <v>17630.45</v>
      </c>
      <c r="D1019">
        <v>23383</v>
      </c>
      <c r="E1019">
        <v>23806</v>
      </c>
      <c r="I1019" s="2251"/>
    </row>
    <row r="1020" spans="1:9">
      <c r="A1020" t="s">
        <v>1250</v>
      </c>
      <c r="B1020" s="2251">
        <v>44788</v>
      </c>
      <c r="C1020">
        <v>17323.18</v>
      </c>
      <c r="D1020">
        <v>23390</v>
      </c>
      <c r="E1020">
        <v>23821</v>
      </c>
      <c r="I1020" s="2251"/>
    </row>
    <row r="1021" spans="1:9">
      <c r="C1021">
        <v>17365.16</v>
      </c>
      <c r="D1021">
        <v>23390</v>
      </c>
    </row>
    <row r="1022" spans="1:9">
      <c r="A1022" t="s">
        <v>1251</v>
      </c>
      <c r="B1022" s="2251">
        <v>44785</v>
      </c>
      <c r="E1022">
        <v>23997</v>
      </c>
      <c r="I1022" s="2251"/>
    </row>
    <row r="1023" spans="1:9">
      <c r="A1023" t="s">
        <v>1252</v>
      </c>
      <c r="B1023" s="2251">
        <v>44784</v>
      </c>
      <c r="C1023">
        <v>17284.86</v>
      </c>
      <c r="D1023">
        <v>23389</v>
      </c>
      <c r="E1023">
        <v>24141</v>
      </c>
      <c r="I1023" s="2251"/>
    </row>
    <row r="1024" spans="1:9">
      <c r="A1024" t="s">
        <v>1253</v>
      </c>
      <c r="B1024" s="2251">
        <v>44783</v>
      </c>
      <c r="C1024">
        <v>17594.23</v>
      </c>
      <c r="D1024">
        <v>23388</v>
      </c>
      <c r="E1024">
        <v>24151</v>
      </c>
      <c r="I1024" s="2251"/>
    </row>
    <row r="1025" spans="1:9">
      <c r="A1025" t="s">
        <v>1249</v>
      </c>
      <c r="B1025" s="2251">
        <v>44782</v>
      </c>
      <c r="C1025">
        <v>17474.22</v>
      </c>
      <c r="D1025">
        <v>23391</v>
      </c>
      <c r="E1025">
        <v>23900</v>
      </c>
      <c r="I1025" s="2251"/>
    </row>
    <row r="1026" spans="1:9">
      <c r="A1026" t="s">
        <v>1250</v>
      </c>
      <c r="B1026" s="2251">
        <v>44781</v>
      </c>
      <c r="C1026">
        <v>17672.22</v>
      </c>
      <c r="D1026">
        <v>23356</v>
      </c>
      <c r="E1026">
        <v>23865</v>
      </c>
      <c r="I1026" s="2251"/>
    </row>
    <row r="1027" spans="1:9">
      <c r="C1027">
        <v>17705.52</v>
      </c>
      <c r="D1027">
        <v>23358</v>
      </c>
    </row>
    <row r="1028" spans="1:9">
      <c r="A1028" t="s">
        <v>1251</v>
      </c>
      <c r="B1028" s="2251">
        <v>44778</v>
      </c>
      <c r="E1028">
        <v>23791</v>
      </c>
      <c r="I1028" s="2251"/>
    </row>
    <row r="1029" spans="1:9">
      <c r="A1029" t="s">
        <v>1252</v>
      </c>
      <c r="B1029" s="2251">
        <v>44777</v>
      </c>
      <c r="C1029">
        <v>17373.75</v>
      </c>
      <c r="D1029">
        <v>23343</v>
      </c>
      <c r="E1029">
        <v>23892</v>
      </c>
      <c r="I1029" s="2251"/>
    </row>
    <row r="1030" spans="1:9">
      <c r="A1030" t="s">
        <v>1253</v>
      </c>
      <c r="B1030" s="2251">
        <v>44776</v>
      </c>
      <c r="C1030">
        <v>17378.46</v>
      </c>
      <c r="D1030">
        <v>23361</v>
      </c>
      <c r="E1030">
        <v>23746</v>
      </c>
      <c r="I1030" s="2251"/>
    </row>
    <row r="1031" spans="1:9">
      <c r="A1031" t="s">
        <v>1249</v>
      </c>
      <c r="B1031" s="2251">
        <v>44775</v>
      </c>
      <c r="C1031">
        <v>17087.68</v>
      </c>
      <c r="D1031">
        <v>23378</v>
      </c>
      <c r="E1031">
        <v>23840</v>
      </c>
      <c r="I1031" s="2251"/>
    </row>
    <row r="1032" spans="1:9">
      <c r="A1032" t="s">
        <v>1250</v>
      </c>
      <c r="B1032" s="2251">
        <v>44774</v>
      </c>
      <c r="C1032">
        <v>17116.18</v>
      </c>
      <c r="D1032">
        <v>23367</v>
      </c>
      <c r="E1032">
        <v>23961</v>
      </c>
      <c r="I1032" s="2251"/>
    </row>
    <row r="1033" spans="1:9">
      <c r="C1033">
        <v>17114.169999999998</v>
      </c>
      <c r="D1033">
        <v>23393</v>
      </c>
    </row>
    <row r="1034" spans="1:9">
      <c r="A1034" t="s">
        <v>1251</v>
      </c>
      <c r="B1034" s="2251">
        <v>44771</v>
      </c>
      <c r="E1034">
        <v>23731</v>
      </c>
      <c r="I1034" s="2251"/>
    </row>
    <row r="1035" spans="1:9">
      <c r="A1035" t="s">
        <v>1252</v>
      </c>
      <c r="B1035" s="2251">
        <v>44770</v>
      </c>
      <c r="C1035">
        <v>17118.52</v>
      </c>
      <c r="D1035">
        <v>23407</v>
      </c>
      <c r="E1035">
        <v>23735</v>
      </c>
      <c r="I1035" s="2251"/>
    </row>
    <row r="1036" spans="1:9">
      <c r="A1036" t="s">
        <v>1253</v>
      </c>
      <c r="B1036" s="2251">
        <v>44769</v>
      </c>
      <c r="C1036">
        <v>16884.919999999998</v>
      </c>
      <c r="D1036">
        <v>23416</v>
      </c>
      <c r="E1036">
        <v>23706</v>
      </c>
      <c r="I1036" s="2251"/>
    </row>
    <row r="1037" spans="1:9">
      <c r="A1037" t="s">
        <v>1249</v>
      </c>
      <c r="B1037" s="2251">
        <v>44768</v>
      </c>
      <c r="C1037">
        <v>16937.41</v>
      </c>
      <c r="D1037">
        <v>23419</v>
      </c>
      <c r="E1037">
        <v>23669</v>
      </c>
      <c r="I1037" s="2251"/>
    </row>
    <row r="1038" spans="1:9">
      <c r="A1038" t="s">
        <v>1250</v>
      </c>
      <c r="B1038" s="2251">
        <v>44767</v>
      </c>
      <c r="C1038">
        <v>17019.060000000001</v>
      </c>
      <c r="D1038">
        <v>23440</v>
      </c>
      <c r="E1038">
        <v>23972</v>
      </c>
      <c r="I1038" s="2251"/>
    </row>
    <row r="1039" spans="1:9">
      <c r="C1039">
        <v>16990.32</v>
      </c>
      <c r="D1039">
        <v>23439</v>
      </c>
    </row>
    <row r="1040" spans="1:9">
      <c r="A1040" t="s">
        <v>1251</v>
      </c>
      <c r="B1040" s="2251">
        <v>44764</v>
      </c>
      <c r="E1040">
        <v>23927</v>
      </c>
      <c r="I1040" s="2251"/>
    </row>
    <row r="1041" spans="1:9">
      <c r="A1041" t="s">
        <v>1252</v>
      </c>
      <c r="B1041" s="2251">
        <v>44763</v>
      </c>
      <c r="C1041">
        <v>16854.27</v>
      </c>
      <c r="D1041">
        <v>23400</v>
      </c>
      <c r="E1041">
        <v>23866</v>
      </c>
      <c r="I1041" s="2251"/>
    </row>
    <row r="1042" spans="1:9">
      <c r="A1042" t="s">
        <v>1253</v>
      </c>
      <c r="B1042" s="2251">
        <v>44762</v>
      </c>
      <c r="C1042">
        <v>16805.849999999999</v>
      </c>
      <c r="D1042">
        <v>23400</v>
      </c>
      <c r="E1042">
        <v>23922</v>
      </c>
      <c r="I1042" s="2251"/>
    </row>
    <row r="1043" spans="1:9">
      <c r="A1043" t="s">
        <v>1249</v>
      </c>
      <c r="B1043" s="2251">
        <v>44761</v>
      </c>
      <c r="C1043">
        <v>16988.919999999998</v>
      </c>
      <c r="D1043">
        <v>23372</v>
      </c>
      <c r="E1043">
        <v>23998</v>
      </c>
      <c r="I1043" s="2251"/>
    </row>
    <row r="1044" spans="1:9">
      <c r="A1044" t="s">
        <v>1250</v>
      </c>
      <c r="B1044" s="2251">
        <v>44760</v>
      </c>
      <c r="C1044">
        <v>17027.88</v>
      </c>
      <c r="D1044">
        <v>23366</v>
      </c>
      <c r="E1044">
        <v>23748</v>
      </c>
      <c r="I1044" s="2251"/>
    </row>
    <row r="1045" spans="1:9">
      <c r="C1045">
        <v>16967.990000000002</v>
      </c>
      <c r="D1045">
        <v>23351</v>
      </c>
    </row>
    <row r="1046" spans="1:9">
      <c r="A1046" t="s">
        <v>1251</v>
      </c>
      <c r="B1046" s="2251">
        <v>44757</v>
      </c>
      <c r="E1046">
        <v>23536</v>
      </c>
      <c r="I1046" s="2251"/>
    </row>
    <row r="1047" spans="1:9">
      <c r="A1047" t="s">
        <v>1252</v>
      </c>
      <c r="B1047" s="2251">
        <v>44756</v>
      </c>
      <c r="C1047">
        <v>17167.689999999999</v>
      </c>
      <c r="D1047">
        <v>23358</v>
      </c>
      <c r="E1047">
        <v>23323</v>
      </c>
      <c r="I1047" s="2251"/>
    </row>
    <row r="1048" spans="1:9">
      <c r="A1048" t="s">
        <v>1253</v>
      </c>
      <c r="B1048" s="2251">
        <v>44755</v>
      </c>
      <c r="C1048">
        <v>17174.13</v>
      </c>
      <c r="D1048">
        <v>23380</v>
      </c>
      <c r="E1048">
        <v>23408</v>
      </c>
      <c r="I1048" s="2251"/>
    </row>
    <row r="1049" spans="1:9">
      <c r="A1049" t="s">
        <v>1249</v>
      </c>
      <c r="B1049" s="2251">
        <v>44754</v>
      </c>
      <c r="C1049">
        <v>17189.939999999999</v>
      </c>
      <c r="D1049">
        <v>23368</v>
      </c>
      <c r="E1049">
        <v>23478</v>
      </c>
      <c r="I1049" s="2251"/>
    </row>
    <row r="1050" spans="1:9">
      <c r="A1050" t="s">
        <v>1250</v>
      </c>
      <c r="B1050" s="2251">
        <v>44753</v>
      </c>
      <c r="C1050">
        <v>17188.259999999998</v>
      </c>
      <c r="D1050">
        <v>23336</v>
      </c>
      <c r="E1050">
        <v>23488</v>
      </c>
      <c r="I1050" s="2251"/>
    </row>
    <row r="1051" spans="1:9">
      <c r="C1051">
        <v>17177.97</v>
      </c>
      <c r="D1051">
        <v>23311</v>
      </c>
    </row>
    <row r="1052" spans="1:9">
      <c r="A1052" t="s">
        <v>1251</v>
      </c>
      <c r="B1052" s="2251">
        <v>44750</v>
      </c>
      <c r="E1052">
        <v>23776</v>
      </c>
      <c r="I1052" s="2251"/>
    </row>
    <row r="1053" spans="1:9">
      <c r="A1053" t="s">
        <v>1252</v>
      </c>
      <c r="B1053" s="2251">
        <v>44749</v>
      </c>
      <c r="C1053">
        <v>17226.47</v>
      </c>
      <c r="D1053">
        <v>23279</v>
      </c>
      <c r="E1053">
        <v>23776</v>
      </c>
      <c r="I1053" s="2251"/>
    </row>
    <row r="1054" spans="1:9">
      <c r="A1054" t="s">
        <v>1253</v>
      </c>
      <c r="B1054" s="2251">
        <v>44748</v>
      </c>
      <c r="C1054">
        <v>17066.669999999998</v>
      </c>
      <c r="D1054">
        <v>23282</v>
      </c>
      <c r="E1054">
        <v>23806</v>
      </c>
      <c r="I1054" s="2251"/>
    </row>
    <row r="1055" spans="1:9">
      <c r="A1055" t="s">
        <v>1249</v>
      </c>
      <c r="B1055" s="2251">
        <v>44747</v>
      </c>
      <c r="C1055">
        <v>17081.21</v>
      </c>
      <c r="D1055">
        <v>23254</v>
      </c>
      <c r="E1055">
        <v>23974</v>
      </c>
      <c r="I1055" s="2251"/>
    </row>
    <row r="1056" spans="1:9">
      <c r="A1056" t="s">
        <v>1250</v>
      </c>
      <c r="B1056" s="2251">
        <v>44746</v>
      </c>
      <c r="C1056">
        <v>17081.72</v>
      </c>
      <c r="D1056">
        <v>23253</v>
      </c>
      <c r="E1056">
        <v>24326</v>
      </c>
      <c r="I1056" s="2251"/>
    </row>
    <row r="1057" spans="1:9">
      <c r="C1057">
        <v>17160.47</v>
      </c>
      <c r="D1057">
        <v>23249</v>
      </c>
    </row>
    <row r="1058" spans="1:9">
      <c r="A1058" t="s">
        <v>1251</v>
      </c>
      <c r="B1058" s="2251">
        <v>44743</v>
      </c>
      <c r="E1058">
        <v>24231</v>
      </c>
      <c r="I1058" s="2251"/>
    </row>
    <row r="1059" spans="1:9">
      <c r="A1059" t="s">
        <v>1252</v>
      </c>
      <c r="B1059" s="2251">
        <v>44742</v>
      </c>
      <c r="C1059">
        <v>17184.25</v>
      </c>
      <c r="D1059">
        <v>23252</v>
      </c>
      <c r="E1059">
        <v>24368</v>
      </c>
      <c r="I1059" s="2251"/>
    </row>
    <row r="1060" spans="1:9">
      <c r="A1060" t="s">
        <v>1253</v>
      </c>
      <c r="B1060" s="2251">
        <v>44741</v>
      </c>
      <c r="C1060">
        <v>17230.96</v>
      </c>
      <c r="D1060">
        <v>23248</v>
      </c>
      <c r="E1060">
        <v>24383</v>
      </c>
      <c r="I1060" s="2251"/>
    </row>
    <row r="1061" spans="1:9">
      <c r="A1061" t="s">
        <v>1249</v>
      </c>
      <c r="B1061" s="2251">
        <v>44740</v>
      </c>
      <c r="C1061">
        <v>17048.38</v>
      </c>
      <c r="D1061">
        <v>23240</v>
      </c>
      <c r="E1061">
        <v>24487</v>
      </c>
      <c r="I1061" s="2251"/>
    </row>
    <row r="1062" spans="1:9">
      <c r="A1062" t="s">
        <v>1250</v>
      </c>
      <c r="B1062" s="2251">
        <v>44739</v>
      </c>
      <c r="C1062">
        <v>16997.22</v>
      </c>
      <c r="D1062">
        <v>23225</v>
      </c>
      <c r="E1062">
        <v>24647</v>
      </c>
      <c r="I1062" s="2251"/>
    </row>
    <row r="1063" spans="1:9">
      <c r="C1063">
        <v>17186.169999999998</v>
      </c>
      <c r="D1063">
        <v>23218</v>
      </c>
    </row>
    <row r="1064" spans="1:9">
      <c r="A1064" t="s">
        <v>1251</v>
      </c>
      <c r="B1064" s="2251">
        <v>44736</v>
      </c>
      <c r="E1064">
        <v>24518</v>
      </c>
      <c r="I1064" s="2251"/>
    </row>
    <row r="1065" spans="1:9">
      <c r="A1065" t="s">
        <v>1252</v>
      </c>
      <c r="B1065" s="2251">
        <v>44735</v>
      </c>
      <c r="C1065">
        <v>17219.900000000001</v>
      </c>
      <c r="D1065">
        <v>23231</v>
      </c>
      <c r="E1065">
        <v>24434</v>
      </c>
      <c r="I1065" s="2251"/>
    </row>
    <row r="1066" spans="1:9">
      <c r="A1066" t="s">
        <v>1253</v>
      </c>
      <c r="B1066" s="2251">
        <v>44734</v>
      </c>
      <c r="C1066">
        <v>17469.89</v>
      </c>
      <c r="D1066">
        <v>23200</v>
      </c>
      <c r="E1066">
        <v>24538</v>
      </c>
      <c r="I1066" s="2251"/>
    </row>
    <row r="1067" spans="1:9">
      <c r="A1067" t="s">
        <v>1249</v>
      </c>
      <c r="B1067" s="2251">
        <v>44733</v>
      </c>
      <c r="C1067">
        <v>17238.18</v>
      </c>
      <c r="D1067">
        <v>23200</v>
      </c>
      <c r="E1067">
        <v>24526</v>
      </c>
      <c r="I1067" s="2251"/>
    </row>
    <row r="1068" spans="1:9">
      <c r="A1068" t="s">
        <v>1250</v>
      </c>
      <c r="B1068" s="2251">
        <v>44732</v>
      </c>
      <c r="C1068">
        <v>17286.57</v>
      </c>
      <c r="D1068">
        <v>23215</v>
      </c>
      <c r="E1068">
        <v>24466</v>
      </c>
      <c r="I1068" s="2251"/>
    </row>
    <row r="1069" spans="1:9">
      <c r="C1069">
        <v>17331.099999999999</v>
      </c>
      <c r="D1069">
        <v>23202</v>
      </c>
    </row>
    <row r="1070" spans="1:9">
      <c r="A1070" t="s">
        <v>1251</v>
      </c>
      <c r="B1070" s="2251">
        <v>44729</v>
      </c>
      <c r="E1070">
        <v>24386</v>
      </c>
      <c r="I1070" s="2251"/>
    </row>
    <row r="1071" spans="1:9">
      <c r="A1071" t="s">
        <v>1252</v>
      </c>
      <c r="B1071" s="2251">
        <v>44728</v>
      </c>
      <c r="C1071">
        <v>17264.439999999999</v>
      </c>
      <c r="D1071">
        <v>23178</v>
      </c>
      <c r="E1071">
        <v>24275</v>
      </c>
      <c r="I1071" s="2251"/>
    </row>
    <row r="1072" spans="1:9">
      <c r="A1072" t="s">
        <v>1253</v>
      </c>
      <c r="B1072" s="2251">
        <v>44727</v>
      </c>
      <c r="C1072">
        <v>17368.740000000002</v>
      </c>
      <c r="D1072">
        <v>23189</v>
      </c>
      <c r="E1072">
        <v>24179</v>
      </c>
      <c r="I1072" s="2251"/>
    </row>
    <row r="1073" spans="1:9">
      <c r="A1073" t="s">
        <v>1249</v>
      </c>
      <c r="B1073" s="2251">
        <v>44726</v>
      </c>
      <c r="C1073">
        <v>17362.71</v>
      </c>
      <c r="D1073">
        <v>23191</v>
      </c>
      <c r="E1073">
        <v>24259</v>
      </c>
      <c r="I1073" s="2251"/>
    </row>
    <row r="1074" spans="1:9">
      <c r="A1074" t="s">
        <v>1250</v>
      </c>
      <c r="B1074" s="2251">
        <v>44725</v>
      </c>
      <c r="C1074">
        <v>17498.78</v>
      </c>
      <c r="D1074">
        <v>23195</v>
      </c>
      <c r="E1074">
        <v>24227</v>
      </c>
      <c r="I1074" s="2251"/>
    </row>
    <row r="1075" spans="1:9">
      <c r="C1075">
        <v>17585.669999999998</v>
      </c>
      <c r="D1075">
        <v>23196</v>
      </c>
    </row>
    <row r="1076" spans="1:9">
      <c r="A1076" t="s">
        <v>1251</v>
      </c>
      <c r="B1076" s="2251">
        <v>44722</v>
      </c>
      <c r="E1076">
        <v>24378</v>
      </c>
      <c r="I1076" s="2251"/>
    </row>
    <row r="1077" spans="1:9">
      <c r="A1077" t="s">
        <v>1252</v>
      </c>
      <c r="B1077" s="2251">
        <v>44721</v>
      </c>
      <c r="C1077">
        <v>17731.32</v>
      </c>
      <c r="D1077">
        <v>23197</v>
      </c>
      <c r="E1077">
        <v>24792</v>
      </c>
      <c r="I1077" s="2251"/>
    </row>
    <row r="1078" spans="1:9">
      <c r="A1078" t="s">
        <v>1253</v>
      </c>
      <c r="B1078" s="2251">
        <v>44720</v>
      </c>
      <c r="C1078">
        <v>17874.73</v>
      </c>
      <c r="D1078">
        <v>23201</v>
      </c>
      <c r="E1078">
        <v>24902</v>
      </c>
      <c r="I1078" s="2251"/>
    </row>
    <row r="1079" spans="1:9">
      <c r="A1079" t="s">
        <v>1249</v>
      </c>
      <c r="B1079" s="2251">
        <v>44719</v>
      </c>
      <c r="C1079">
        <v>17941.310000000001</v>
      </c>
      <c r="D1079">
        <v>23204</v>
      </c>
      <c r="E1079">
        <v>24834</v>
      </c>
      <c r="I1079" s="2251"/>
    </row>
    <row r="1080" spans="1:9">
      <c r="A1080" t="s">
        <v>1250</v>
      </c>
      <c r="B1080" s="2251">
        <v>44718</v>
      </c>
      <c r="C1080">
        <v>18022.54</v>
      </c>
      <c r="D1080">
        <v>23195</v>
      </c>
      <c r="E1080">
        <v>24810</v>
      </c>
      <c r="I1080" s="2251"/>
    </row>
    <row r="1081" spans="1:9">
      <c r="C1081">
        <v>18176.330000000002</v>
      </c>
      <c r="D1081">
        <v>23183</v>
      </c>
    </row>
    <row r="1082" spans="1:9">
      <c r="A1082" t="s">
        <v>1251</v>
      </c>
      <c r="B1082" s="2251">
        <v>44715</v>
      </c>
      <c r="E1082">
        <v>24879</v>
      </c>
      <c r="I1082" s="2251"/>
    </row>
    <row r="1083" spans="1:9">
      <c r="A1083" t="s">
        <v>1252</v>
      </c>
      <c r="B1083" s="2251">
        <v>44714</v>
      </c>
      <c r="C1083">
        <v>18254.060000000001</v>
      </c>
      <c r="D1083">
        <v>23200</v>
      </c>
      <c r="E1083">
        <v>24927</v>
      </c>
      <c r="I1083" s="2251"/>
    </row>
    <row r="1084" spans="1:9">
      <c r="A1084" t="s">
        <v>1253</v>
      </c>
      <c r="B1084" s="2251">
        <v>44713</v>
      </c>
      <c r="C1084">
        <v>18325.37</v>
      </c>
      <c r="D1084">
        <v>23205</v>
      </c>
      <c r="E1084">
        <v>24686</v>
      </c>
      <c r="I1084" s="2251"/>
    </row>
    <row r="1085" spans="1:9">
      <c r="A1085" t="s">
        <v>1249</v>
      </c>
      <c r="B1085" s="2251">
        <v>44712</v>
      </c>
      <c r="C1085">
        <v>18243.22</v>
      </c>
      <c r="D1085">
        <v>23199</v>
      </c>
      <c r="E1085">
        <v>24901</v>
      </c>
      <c r="I1085" s="2251"/>
    </row>
    <row r="1086" spans="1:9">
      <c r="A1086" t="s">
        <v>1250</v>
      </c>
      <c r="B1086" s="2251">
        <v>44711</v>
      </c>
      <c r="C1086">
        <v>18191.8</v>
      </c>
      <c r="D1086">
        <v>23190</v>
      </c>
      <c r="E1086">
        <v>25002</v>
      </c>
      <c r="I1086" s="2251"/>
    </row>
    <row r="1087" spans="1:9">
      <c r="C1087">
        <v>18144.12</v>
      </c>
      <c r="D1087">
        <v>23166</v>
      </c>
    </row>
    <row r="1088" spans="1:9">
      <c r="A1088" t="s">
        <v>1251</v>
      </c>
      <c r="B1088" s="2251">
        <v>44708</v>
      </c>
      <c r="E1088">
        <v>24837</v>
      </c>
      <c r="I1088" s="2251"/>
    </row>
    <row r="1089" spans="1:9">
      <c r="A1089" t="s">
        <v>1252</v>
      </c>
      <c r="B1089" s="2251">
        <v>44707</v>
      </c>
      <c r="C1089">
        <v>18098.03</v>
      </c>
      <c r="D1089">
        <v>23170</v>
      </c>
      <c r="E1089">
        <v>24870</v>
      </c>
      <c r="I1089" s="2251"/>
    </row>
    <row r="1090" spans="1:9">
      <c r="A1090" t="s">
        <v>1253</v>
      </c>
      <c r="B1090" s="2251">
        <v>44706</v>
      </c>
      <c r="C1090">
        <v>18114.54</v>
      </c>
      <c r="D1090">
        <v>23154</v>
      </c>
      <c r="E1090">
        <v>24732</v>
      </c>
      <c r="I1090" s="2251"/>
    </row>
    <row r="1091" spans="1:9">
      <c r="A1091" t="s">
        <v>1249</v>
      </c>
      <c r="B1091" s="2251">
        <v>44705</v>
      </c>
      <c r="C1091">
        <v>18012.22</v>
      </c>
      <c r="D1091">
        <v>23134</v>
      </c>
      <c r="E1091">
        <v>24884</v>
      </c>
      <c r="I1091" s="2251"/>
    </row>
    <row r="1092" spans="1:9">
      <c r="A1092" t="s">
        <v>1250</v>
      </c>
      <c r="B1092" s="2251">
        <v>44704</v>
      </c>
      <c r="C1092">
        <v>17875.18</v>
      </c>
      <c r="D1092">
        <v>23114</v>
      </c>
      <c r="E1092">
        <v>24715</v>
      </c>
      <c r="I1092" s="2251"/>
    </row>
    <row r="1093" spans="1:9">
      <c r="C1093">
        <v>17879.41</v>
      </c>
      <c r="D1093">
        <v>23085</v>
      </c>
    </row>
    <row r="1094" spans="1:9">
      <c r="A1094" t="s">
        <v>1251</v>
      </c>
      <c r="B1094" s="2251">
        <v>44701</v>
      </c>
      <c r="E1094">
        <v>24444</v>
      </c>
      <c r="I1094" s="2251"/>
    </row>
    <row r="1095" spans="1:9">
      <c r="A1095" t="s">
        <v>1252</v>
      </c>
      <c r="B1095" s="2251">
        <v>44700</v>
      </c>
      <c r="C1095">
        <v>17861.87</v>
      </c>
      <c r="D1095">
        <v>23095</v>
      </c>
      <c r="E1095">
        <v>24511</v>
      </c>
      <c r="I1095" s="2251"/>
    </row>
    <row r="1096" spans="1:9">
      <c r="A1096" t="s">
        <v>1253</v>
      </c>
      <c r="B1096" s="2251">
        <v>44699</v>
      </c>
      <c r="C1096">
        <v>17946.29</v>
      </c>
      <c r="D1096">
        <v>23087</v>
      </c>
      <c r="E1096">
        <v>24300</v>
      </c>
      <c r="I1096" s="2251"/>
    </row>
    <row r="1097" spans="1:9">
      <c r="A1097" t="s">
        <v>1249</v>
      </c>
      <c r="B1097" s="2251">
        <v>44698</v>
      </c>
      <c r="C1097">
        <v>17696.75</v>
      </c>
      <c r="D1097">
        <v>22993</v>
      </c>
      <c r="E1097">
        <v>24353</v>
      </c>
      <c r="I1097" s="2251"/>
    </row>
    <row r="1098" spans="1:9">
      <c r="A1098" t="s">
        <v>1250</v>
      </c>
      <c r="B1098" s="2251">
        <v>44697</v>
      </c>
      <c r="C1098">
        <v>17599.8</v>
      </c>
      <c r="D1098">
        <v>22947</v>
      </c>
      <c r="E1098">
        <v>24056</v>
      </c>
      <c r="I1098" s="2251"/>
    </row>
    <row r="1099" spans="1:9">
      <c r="C1099">
        <v>17496.86</v>
      </c>
      <c r="D1099">
        <v>22952</v>
      </c>
    </row>
    <row r="1100" spans="1:9">
      <c r="A1100" t="s">
        <v>1251</v>
      </c>
      <c r="B1100" s="2251">
        <v>44694</v>
      </c>
      <c r="E1100">
        <v>24027</v>
      </c>
      <c r="I1100" s="2251"/>
    </row>
    <row r="1101" spans="1:9">
      <c r="A1101" t="s">
        <v>1252</v>
      </c>
      <c r="B1101" s="2251">
        <v>44693</v>
      </c>
      <c r="C1101">
        <v>17601.87</v>
      </c>
      <c r="D1101">
        <v>22959</v>
      </c>
      <c r="E1101">
        <v>24019</v>
      </c>
      <c r="I1101" s="2251"/>
    </row>
    <row r="1102" spans="1:9">
      <c r="A1102" t="s">
        <v>1253</v>
      </c>
      <c r="B1102" s="2251">
        <v>44692</v>
      </c>
      <c r="C1102">
        <v>17688.099999999999</v>
      </c>
      <c r="D1102">
        <v>22957</v>
      </c>
      <c r="E1102">
        <v>24156</v>
      </c>
      <c r="I1102" s="2251"/>
    </row>
    <row r="1103" spans="1:9">
      <c r="A1103" t="s">
        <v>1249</v>
      </c>
      <c r="B1103" s="2251">
        <v>44691</v>
      </c>
      <c r="C1103">
        <v>17685.72</v>
      </c>
      <c r="D1103">
        <v>22967</v>
      </c>
      <c r="E1103">
        <v>24171</v>
      </c>
      <c r="I1103" s="2251"/>
    </row>
    <row r="1104" spans="1:9">
      <c r="A1104" t="s">
        <v>1250</v>
      </c>
      <c r="B1104" s="2251">
        <v>44690</v>
      </c>
      <c r="E1104">
        <v>24184</v>
      </c>
      <c r="I1104" s="2251"/>
    </row>
    <row r="1105" spans="1:9">
      <c r="C1105">
        <v>17709.439999999999</v>
      </c>
      <c r="D1105">
        <v>22968</v>
      </c>
    </row>
    <row r="1106" spans="1:9">
      <c r="A1106" t="s">
        <v>1251</v>
      </c>
      <c r="B1106" s="2251">
        <v>44687</v>
      </c>
      <c r="C1106">
        <v>17541.43</v>
      </c>
      <c r="D1106">
        <v>22958</v>
      </c>
      <c r="E1106">
        <v>24264</v>
      </c>
      <c r="I1106" s="2251"/>
    </row>
    <row r="1107" spans="1:9">
      <c r="A1107" t="s">
        <v>1252</v>
      </c>
      <c r="B1107" s="2251">
        <v>44686</v>
      </c>
      <c r="C1107">
        <v>17976.22</v>
      </c>
      <c r="D1107">
        <v>22976</v>
      </c>
      <c r="E1107">
        <v>24233</v>
      </c>
      <c r="I1107" s="2251"/>
    </row>
    <row r="1108" spans="1:9">
      <c r="A1108" t="s">
        <v>1253</v>
      </c>
      <c r="B1108" s="2251">
        <v>44685</v>
      </c>
      <c r="C1108">
        <v>18018.900000000001</v>
      </c>
      <c r="D1108">
        <v>22975</v>
      </c>
      <c r="E1108">
        <v>24192</v>
      </c>
      <c r="I1108" s="2251"/>
    </row>
    <row r="1109" spans="1:9">
      <c r="A1109" t="s">
        <v>1249</v>
      </c>
      <c r="B1109" s="2251">
        <v>44684</v>
      </c>
      <c r="C1109">
        <v>17937.900000000001</v>
      </c>
      <c r="D1109">
        <v>22965</v>
      </c>
      <c r="E1109">
        <v>24162</v>
      </c>
      <c r="I1109" s="2251"/>
    </row>
    <row r="1110" spans="1:9">
      <c r="A1110" t="s">
        <v>1250</v>
      </c>
      <c r="B1110" s="2251">
        <v>44683</v>
      </c>
      <c r="E1110">
        <v>24228</v>
      </c>
      <c r="I1110" s="2251"/>
    </row>
    <row r="1111" spans="1:9">
      <c r="C1111">
        <v>17889.55</v>
      </c>
      <c r="D1111">
        <v>22968</v>
      </c>
    </row>
    <row r="1112" spans="1:9">
      <c r="A1112" t="s">
        <v>1251</v>
      </c>
      <c r="B1112" s="2251">
        <v>44680</v>
      </c>
      <c r="C1112">
        <v>17899.68</v>
      </c>
      <c r="D1112">
        <v>22964</v>
      </c>
      <c r="E1112">
        <v>24246</v>
      </c>
      <c r="I1112" s="2251"/>
    </row>
    <row r="1113" spans="1:9">
      <c r="A1113" t="s">
        <v>1252</v>
      </c>
      <c r="B1113" s="2251">
        <v>44679</v>
      </c>
      <c r="C1113">
        <v>17862.419999999998</v>
      </c>
      <c r="D1113">
        <v>22980</v>
      </c>
      <c r="E1113">
        <v>24119</v>
      </c>
      <c r="I1113" s="2251"/>
    </row>
    <row r="1114" spans="1:9">
      <c r="A1114" t="s">
        <v>1253</v>
      </c>
      <c r="B1114" s="2251">
        <v>44678</v>
      </c>
      <c r="C1114">
        <v>17795.63</v>
      </c>
      <c r="D1114">
        <v>22927</v>
      </c>
      <c r="E1114">
        <v>24222</v>
      </c>
      <c r="I1114" s="2251"/>
    </row>
    <row r="1115" spans="1:9">
      <c r="A1115" t="s">
        <v>1249</v>
      </c>
      <c r="B1115" s="2251">
        <v>44677</v>
      </c>
      <c r="C1115">
        <v>18046.78</v>
      </c>
      <c r="D1115">
        <v>22919</v>
      </c>
      <c r="E1115">
        <v>24485</v>
      </c>
      <c r="I1115" s="2251"/>
    </row>
    <row r="1116" spans="1:9">
      <c r="A1116" t="s">
        <v>1250</v>
      </c>
      <c r="B1116" s="2251">
        <v>44676</v>
      </c>
      <c r="E1116">
        <v>24601</v>
      </c>
      <c r="I1116" s="2251"/>
    </row>
    <row r="1117" spans="1:9">
      <c r="C1117">
        <v>18110.64</v>
      </c>
      <c r="D1117">
        <v>22900</v>
      </c>
    </row>
    <row r="1118" spans="1:9">
      <c r="A1118" t="s">
        <v>1251</v>
      </c>
      <c r="B1118" s="2251">
        <v>44673</v>
      </c>
      <c r="C1118">
        <v>18186.88</v>
      </c>
      <c r="D1118">
        <v>22900</v>
      </c>
      <c r="E1118">
        <v>24828</v>
      </c>
      <c r="I1118" s="2251"/>
    </row>
    <row r="1119" spans="1:9">
      <c r="A1119" t="s">
        <v>1252</v>
      </c>
      <c r="B1119" s="2251">
        <v>44672</v>
      </c>
      <c r="C1119">
        <v>18214.63</v>
      </c>
      <c r="D1119">
        <v>22889</v>
      </c>
      <c r="E1119">
        <v>24916</v>
      </c>
      <c r="I1119" s="2251"/>
    </row>
    <row r="1120" spans="1:9">
      <c r="A1120" t="s">
        <v>1253</v>
      </c>
      <c r="B1120" s="2251">
        <v>44671</v>
      </c>
      <c r="C1120">
        <v>18249.07</v>
      </c>
      <c r="D1120">
        <v>22883</v>
      </c>
      <c r="E1120">
        <v>24938</v>
      </c>
      <c r="I1120" s="2251"/>
    </row>
    <row r="1121" spans="1:9">
      <c r="A1121" t="s">
        <v>1249</v>
      </c>
      <c r="B1121" s="2251">
        <v>44670</v>
      </c>
      <c r="E1121">
        <v>24755</v>
      </c>
      <c r="I1121" s="2251"/>
    </row>
    <row r="1122" spans="1:9">
      <c r="A1122" t="s">
        <v>1250</v>
      </c>
      <c r="B1122" s="2251">
        <v>44669</v>
      </c>
      <c r="C1122">
        <v>18425.41</v>
      </c>
      <c r="D1122">
        <v>22865</v>
      </c>
      <c r="E1122">
        <v>24710</v>
      </c>
      <c r="I1122" s="2251"/>
    </row>
    <row r="1123" spans="1:9">
      <c r="C1123">
        <v>18446.509999999998</v>
      </c>
      <c r="D1123">
        <v>22865</v>
      </c>
    </row>
    <row r="1124" spans="1:9">
      <c r="A1124" t="s">
        <v>1251</v>
      </c>
      <c r="B1124" s="2251">
        <v>44666</v>
      </c>
      <c r="C1124">
        <v>18471.330000000002</v>
      </c>
      <c r="D1124">
        <v>22868</v>
      </c>
      <c r="E1124">
        <v>24779</v>
      </c>
      <c r="I1124" s="2251"/>
    </row>
    <row r="1125" spans="1:9">
      <c r="A1125" t="s">
        <v>1252</v>
      </c>
      <c r="B1125" s="2251">
        <v>44665</v>
      </c>
      <c r="C1125">
        <v>18512.490000000002</v>
      </c>
      <c r="D1125">
        <v>22862</v>
      </c>
      <c r="E1125">
        <v>24774</v>
      </c>
      <c r="I1125" s="2251"/>
    </row>
    <row r="1126" spans="1:9">
      <c r="A1126" t="s">
        <v>1253</v>
      </c>
      <c r="B1126" s="2251">
        <v>44664</v>
      </c>
      <c r="C1126">
        <v>18608.72</v>
      </c>
      <c r="D1126">
        <v>22845</v>
      </c>
      <c r="E1126">
        <v>24909</v>
      </c>
      <c r="I1126" s="2251"/>
    </row>
    <row r="1127" spans="1:9">
      <c r="A1127" t="s">
        <v>1249</v>
      </c>
      <c r="B1127" s="2251">
        <v>44663</v>
      </c>
      <c r="E1127">
        <v>24785</v>
      </c>
      <c r="I1127" s="2251"/>
    </row>
    <row r="1128" spans="1:9">
      <c r="A1128" t="s">
        <v>1250</v>
      </c>
      <c r="B1128" s="2251">
        <v>44662</v>
      </c>
      <c r="C1128">
        <v>18640.849999999999</v>
      </c>
      <c r="D1128">
        <v>22843</v>
      </c>
      <c r="E1128">
        <v>24905</v>
      </c>
      <c r="I1128" s="2251"/>
    </row>
    <row r="1129" spans="1:9">
      <c r="C1129">
        <v>18757.650000000001</v>
      </c>
      <c r="D1129">
        <v>22837</v>
      </c>
    </row>
    <row r="1130" spans="1:9">
      <c r="A1130" t="s">
        <v>1251</v>
      </c>
      <c r="B1130" s="2251">
        <v>44659</v>
      </c>
      <c r="C1130">
        <v>18764.68</v>
      </c>
      <c r="D1130">
        <v>22861</v>
      </c>
      <c r="E1130">
        <v>24788</v>
      </c>
      <c r="I1130" s="2251"/>
    </row>
    <row r="1131" spans="1:9">
      <c r="A1131" t="s">
        <v>1252</v>
      </c>
      <c r="B1131" s="2251">
        <v>44658</v>
      </c>
      <c r="C1131">
        <v>18612.990000000002</v>
      </c>
      <c r="D1131">
        <v>22873</v>
      </c>
      <c r="E1131">
        <v>24910</v>
      </c>
      <c r="I1131" s="2251"/>
    </row>
    <row r="1132" spans="1:9">
      <c r="A1132" t="s">
        <v>1253</v>
      </c>
      <c r="B1132" s="2251">
        <v>44657</v>
      </c>
      <c r="C1132">
        <v>18460.18</v>
      </c>
      <c r="D1132">
        <v>22874</v>
      </c>
      <c r="E1132">
        <v>24968</v>
      </c>
      <c r="I1132" s="2251"/>
    </row>
    <row r="1133" spans="1:9">
      <c r="A1133" t="s">
        <v>1249</v>
      </c>
      <c r="B1133" s="2251">
        <v>44656</v>
      </c>
      <c r="E1133">
        <v>24957</v>
      </c>
      <c r="I1133" s="2251"/>
    </row>
    <row r="1134" spans="1:9">
      <c r="A1134" t="s">
        <v>1250</v>
      </c>
      <c r="B1134" s="2251">
        <v>44655</v>
      </c>
      <c r="C1134">
        <v>18793.71</v>
      </c>
      <c r="D1134">
        <v>22871</v>
      </c>
      <c r="E1134">
        <v>25071</v>
      </c>
      <c r="I1134" s="2251"/>
    </row>
    <row r="1135" spans="1:9">
      <c r="C1135">
        <v>18809.79</v>
      </c>
      <c r="D1135">
        <v>22868</v>
      </c>
    </row>
    <row r="1136" spans="1:9">
      <c r="A1136" t="s">
        <v>1251</v>
      </c>
      <c r="B1136" s="2251">
        <v>44652</v>
      </c>
      <c r="C1136">
        <v>18887.52</v>
      </c>
      <c r="D1136">
        <v>22878</v>
      </c>
      <c r="E1136">
        <v>25230</v>
      </c>
      <c r="I1136" s="2251"/>
    </row>
    <row r="1137" spans="1:9">
      <c r="A1137" t="s">
        <v>1252</v>
      </c>
      <c r="B1137" s="2251">
        <v>44651</v>
      </c>
      <c r="C1137">
        <v>18933</v>
      </c>
      <c r="D1137">
        <v>22872</v>
      </c>
      <c r="E1137">
        <v>25322</v>
      </c>
      <c r="I1137" s="2251"/>
    </row>
    <row r="1138" spans="1:9">
      <c r="A1138" t="s">
        <v>1253</v>
      </c>
      <c r="B1138" s="2251">
        <v>44650</v>
      </c>
      <c r="C1138">
        <v>19132.91</v>
      </c>
      <c r="D1138">
        <v>22860</v>
      </c>
      <c r="E1138">
        <v>25506</v>
      </c>
      <c r="I1138" s="2251"/>
    </row>
    <row r="1139" spans="1:9">
      <c r="A1139" t="s">
        <v>1249</v>
      </c>
      <c r="B1139" s="2251">
        <v>44649</v>
      </c>
      <c r="E1139">
        <v>25440</v>
      </c>
      <c r="I1139" s="2251"/>
    </row>
    <row r="1140" spans="1:9">
      <c r="A1140" t="s">
        <v>1250</v>
      </c>
      <c r="B1140" s="2251">
        <v>44648</v>
      </c>
      <c r="C1140">
        <v>19179.86</v>
      </c>
      <c r="D1140">
        <v>22864</v>
      </c>
      <c r="E1140">
        <v>25122</v>
      </c>
      <c r="I1140" s="2251"/>
    </row>
    <row r="1141" spans="1:9">
      <c r="C1141">
        <v>19303.95</v>
      </c>
      <c r="D1141">
        <v>22870</v>
      </c>
    </row>
    <row r="1142" spans="1:9">
      <c r="A1142" t="s">
        <v>1251</v>
      </c>
      <c r="B1142" s="2251">
        <v>44645</v>
      </c>
      <c r="C1142">
        <v>19341.73</v>
      </c>
      <c r="D1142">
        <v>22875</v>
      </c>
      <c r="E1142">
        <v>25190</v>
      </c>
      <c r="I1142" s="2251"/>
    </row>
    <row r="1143" spans="1:9">
      <c r="A1143" t="s">
        <v>1252</v>
      </c>
      <c r="B1143" s="2251">
        <v>44644</v>
      </c>
      <c r="C1143">
        <v>19352.89</v>
      </c>
      <c r="D1143">
        <v>22894</v>
      </c>
      <c r="E1143">
        <v>25109</v>
      </c>
      <c r="I1143" s="2251"/>
    </row>
    <row r="1144" spans="1:9">
      <c r="A1144" t="s">
        <v>1253</v>
      </c>
      <c r="B1144" s="2251">
        <v>44643</v>
      </c>
      <c r="C1144">
        <v>19361.25</v>
      </c>
      <c r="D1144">
        <v>22885</v>
      </c>
      <c r="E1144">
        <v>25180</v>
      </c>
      <c r="I1144" s="2251"/>
    </row>
    <row r="1145" spans="1:9">
      <c r="A1145" t="s">
        <v>1249</v>
      </c>
      <c r="B1145" s="2251">
        <v>44642</v>
      </c>
      <c r="E1145">
        <v>25219</v>
      </c>
      <c r="I1145" s="2251"/>
    </row>
    <row r="1146" spans="1:9">
      <c r="A1146" t="s">
        <v>1250</v>
      </c>
      <c r="B1146" s="2251">
        <v>44641</v>
      </c>
      <c r="C1146">
        <v>19503.43</v>
      </c>
      <c r="D1146">
        <v>22859</v>
      </c>
      <c r="E1146">
        <v>25242</v>
      </c>
      <c r="I1146" s="2251"/>
    </row>
    <row r="1147" spans="1:9">
      <c r="C1147">
        <v>19673.57</v>
      </c>
      <c r="D1147">
        <v>22842</v>
      </c>
    </row>
    <row r="1148" spans="1:9">
      <c r="A1148" t="s">
        <v>1251</v>
      </c>
      <c r="B1148" s="2251">
        <v>44638</v>
      </c>
      <c r="C1148">
        <v>19725.84</v>
      </c>
      <c r="D1148">
        <v>22845</v>
      </c>
      <c r="E1148">
        <v>25281</v>
      </c>
      <c r="I1148" s="2251"/>
    </row>
    <row r="1149" spans="1:9">
      <c r="A1149" t="s">
        <v>1252</v>
      </c>
      <c r="B1149" s="2251">
        <v>44637</v>
      </c>
      <c r="C1149">
        <v>19752.75</v>
      </c>
      <c r="D1149">
        <v>22849</v>
      </c>
      <c r="E1149">
        <v>25438</v>
      </c>
      <c r="I1149" s="2251"/>
    </row>
    <row r="1150" spans="1:9">
      <c r="A1150" t="s">
        <v>1253</v>
      </c>
      <c r="B1150" s="2251">
        <v>44636</v>
      </c>
      <c r="C1150">
        <v>19810.560000000001</v>
      </c>
      <c r="D1150">
        <v>22849</v>
      </c>
      <c r="E1150">
        <v>25222</v>
      </c>
      <c r="I1150" s="2251"/>
    </row>
    <row r="1151" spans="1:9">
      <c r="A1151" t="s">
        <v>1249</v>
      </c>
      <c r="B1151" s="2251">
        <v>44635</v>
      </c>
      <c r="E1151">
        <v>25171</v>
      </c>
      <c r="I1151" s="2251"/>
    </row>
    <row r="1152" spans="1:9">
      <c r="A1152" t="s">
        <v>1250</v>
      </c>
      <c r="B1152" s="2251">
        <v>44634</v>
      </c>
      <c r="C1152">
        <v>19802.330000000002</v>
      </c>
      <c r="D1152">
        <v>22841</v>
      </c>
      <c r="E1152">
        <v>25040</v>
      </c>
      <c r="I1152" s="2251"/>
    </row>
    <row r="1153" spans="1:9">
      <c r="C1153">
        <v>19786.07</v>
      </c>
      <c r="D1153">
        <v>22845</v>
      </c>
    </row>
    <row r="1154" spans="1:9">
      <c r="A1154" t="s">
        <v>1251</v>
      </c>
      <c r="B1154" s="2251">
        <v>44631</v>
      </c>
      <c r="C1154">
        <v>19749.98</v>
      </c>
      <c r="D1154">
        <v>22830</v>
      </c>
      <c r="E1154">
        <v>24954</v>
      </c>
      <c r="I1154" s="2251"/>
    </row>
    <row r="1155" spans="1:9">
      <c r="A1155" t="s">
        <v>1252</v>
      </c>
      <c r="B1155" s="2251">
        <v>44630</v>
      </c>
      <c r="C1155">
        <v>19851.66</v>
      </c>
      <c r="D1155">
        <v>22818</v>
      </c>
      <c r="E1155">
        <v>25103</v>
      </c>
      <c r="I1155" s="2251"/>
    </row>
    <row r="1156" spans="1:9">
      <c r="A1156" t="s">
        <v>1253</v>
      </c>
      <c r="B1156" s="2251">
        <v>44629</v>
      </c>
      <c r="C1156">
        <v>19848.66</v>
      </c>
      <c r="D1156">
        <v>22820</v>
      </c>
      <c r="E1156">
        <v>25282</v>
      </c>
      <c r="I1156" s="2251"/>
    </row>
    <row r="1157" spans="1:9">
      <c r="A1157" t="s">
        <v>1249</v>
      </c>
      <c r="B1157" s="2251">
        <v>44628</v>
      </c>
      <c r="E1157">
        <v>24899</v>
      </c>
      <c r="I1157" s="2251"/>
    </row>
    <row r="1158" spans="1:9">
      <c r="A1158" t="s">
        <v>1250</v>
      </c>
      <c r="B1158" s="2251">
        <v>44627</v>
      </c>
      <c r="C1158">
        <v>19758.09</v>
      </c>
      <c r="D1158">
        <v>22828</v>
      </c>
      <c r="E1158">
        <v>24846</v>
      </c>
      <c r="I1158" s="2251"/>
    </row>
    <row r="1159" spans="1:9">
      <c r="C1159">
        <v>19873.34</v>
      </c>
      <c r="D1159">
        <v>22830</v>
      </c>
    </row>
    <row r="1160" spans="1:9">
      <c r="A1160" t="s">
        <v>1251</v>
      </c>
      <c r="B1160" s="2251">
        <v>44624</v>
      </c>
      <c r="C1160">
        <v>19845.28</v>
      </c>
      <c r="D1160">
        <v>22831</v>
      </c>
      <c r="E1160">
        <v>24935</v>
      </c>
      <c r="I1160" s="2251"/>
    </row>
    <row r="1161" spans="1:9">
      <c r="A1161" t="s">
        <v>1252</v>
      </c>
      <c r="B1161" s="2251">
        <v>44623</v>
      </c>
      <c r="C1161">
        <v>19893.71</v>
      </c>
      <c r="D1161">
        <v>22811</v>
      </c>
      <c r="E1161">
        <v>25280</v>
      </c>
      <c r="I1161" s="2251"/>
    </row>
    <row r="1162" spans="1:9">
      <c r="A1162" t="s">
        <v>1253</v>
      </c>
      <c r="B1162" s="2251">
        <v>44622</v>
      </c>
      <c r="C1162">
        <v>19899.84</v>
      </c>
      <c r="D1162">
        <v>22830</v>
      </c>
      <c r="E1162">
        <v>25410</v>
      </c>
      <c r="I1162" s="2251"/>
    </row>
    <row r="1163" spans="1:9">
      <c r="A1163" t="s">
        <v>1249</v>
      </c>
      <c r="B1163" s="2251">
        <v>44621</v>
      </c>
      <c r="E1163">
        <v>25412</v>
      </c>
      <c r="I1163" s="2251"/>
    </row>
    <row r="1164" spans="1:9">
      <c r="A1164" t="s">
        <v>1250</v>
      </c>
      <c r="B1164" s="2251">
        <v>44620</v>
      </c>
      <c r="C1164">
        <v>19850.03</v>
      </c>
      <c r="D1164">
        <v>22832</v>
      </c>
      <c r="E1164">
        <v>25558</v>
      </c>
      <c r="I1164" s="2251"/>
    </row>
    <row r="1165" spans="1:9">
      <c r="C1165">
        <v>19752.77</v>
      </c>
      <c r="D1165">
        <v>22770</v>
      </c>
    </row>
    <row r="1166" spans="1:9">
      <c r="A1166" t="s">
        <v>1251</v>
      </c>
      <c r="B1166" s="2251">
        <v>44617</v>
      </c>
      <c r="C1166">
        <v>19723.16</v>
      </c>
      <c r="D1166">
        <v>22763</v>
      </c>
      <c r="E1166">
        <v>25733</v>
      </c>
      <c r="I1166" s="2251"/>
    </row>
    <row r="1167" spans="1:9">
      <c r="A1167" t="s">
        <v>1252</v>
      </c>
      <c r="B1167" s="2251">
        <v>44616</v>
      </c>
      <c r="C1167">
        <v>19671.82</v>
      </c>
      <c r="D1167">
        <v>22748</v>
      </c>
      <c r="E1167">
        <v>25496</v>
      </c>
      <c r="I1167" s="2251"/>
    </row>
    <row r="1168" spans="1:9">
      <c r="A1168" t="s">
        <v>1253</v>
      </c>
      <c r="B1168" s="2251">
        <v>44615</v>
      </c>
      <c r="C1168">
        <v>19742.46</v>
      </c>
      <c r="D1168">
        <v>22730</v>
      </c>
      <c r="E1168">
        <v>25829</v>
      </c>
      <c r="I1168" s="2251"/>
    </row>
    <row r="1169" spans="1:9">
      <c r="A1169" t="s">
        <v>1249</v>
      </c>
      <c r="B1169" s="2251">
        <v>44614</v>
      </c>
      <c r="E1169">
        <v>25880</v>
      </c>
      <c r="I1169" s="2251"/>
    </row>
    <row r="1170" spans="1:9">
      <c r="A1170" t="s">
        <v>1250</v>
      </c>
      <c r="B1170" s="2251">
        <v>44613</v>
      </c>
      <c r="C1170">
        <v>19579.84</v>
      </c>
      <c r="D1170">
        <v>22695</v>
      </c>
      <c r="E1170">
        <v>25874</v>
      </c>
      <c r="I1170" s="2251"/>
    </row>
    <row r="1171" spans="1:9">
      <c r="C1171">
        <v>19602.25</v>
      </c>
      <c r="D1171">
        <v>22696</v>
      </c>
    </row>
    <row r="1172" spans="1:9">
      <c r="A1172" t="s">
        <v>1251</v>
      </c>
      <c r="B1172" s="2251">
        <v>44610</v>
      </c>
      <c r="C1172">
        <v>19681.62</v>
      </c>
      <c r="D1172">
        <v>22716</v>
      </c>
      <c r="E1172">
        <v>25869</v>
      </c>
      <c r="I1172" s="2251"/>
    </row>
    <row r="1173" spans="1:9">
      <c r="A1173" t="s">
        <v>1252</v>
      </c>
      <c r="B1173" s="2251">
        <v>44609</v>
      </c>
      <c r="C1173">
        <v>19684.5</v>
      </c>
      <c r="D1173">
        <v>22711</v>
      </c>
      <c r="E1173">
        <v>25877</v>
      </c>
      <c r="I1173" s="2251"/>
    </row>
    <row r="1174" spans="1:9">
      <c r="A1174" t="s">
        <v>1253</v>
      </c>
      <c r="B1174" s="2251">
        <v>44608</v>
      </c>
      <c r="C1174">
        <v>19722.5</v>
      </c>
      <c r="D1174">
        <v>22672</v>
      </c>
      <c r="E1174">
        <v>25901</v>
      </c>
      <c r="I1174" s="2251"/>
    </row>
    <row r="1175" spans="1:9">
      <c r="A1175" t="s">
        <v>1249</v>
      </c>
      <c r="B1175" s="2251">
        <v>44607</v>
      </c>
      <c r="E1175">
        <v>25842</v>
      </c>
      <c r="I1175" s="2251"/>
    </row>
    <row r="1176" spans="1:9">
      <c r="A1176" t="s">
        <v>1250</v>
      </c>
      <c r="B1176" s="2251">
        <v>44606</v>
      </c>
      <c r="C1176">
        <v>19636.29</v>
      </c>
      <c r="D1176">
        <v>22663</v>
      </c>
      <c r="E1176">
        <v>25691</v>
      </c>
      <c r="I1176" s="2251"/>
    </row>
    <row r="1177" spans="1:9">
      <c r="C1177">
        <v>19759.400000000001</v>
      </c>
      <c r="D1177">
        <v>22650</v>
      </c>
    </row>
    <row r="1178" spans="1:9">
      <c r="A1178" t="s">
        <v>1251</v>
      </c>
      <c r="B1178" s="2251">
        <v>44603</v>
      </c>
      <c r="C1178">
        <v>19750.16</v>
      </c>
      <c r="D1178">
        <v>22649</v>
      </c>
      <c r="E1178">
        <v>25866</v>
      </c>
      <c r="I1178" s="2251"/>
    </row>
    <row r="1179" spans="1:9">
      <c r="A1179" t="s">
        <v>1252</v>
      </c>
      <c r="B1179" s="2251">
        <v>44602</v>
      </c>
      <c r="C1179">
        <v>19907.79</v>
      </c>
      <c r="D1179">
        <v>22668</v>
      </c>
      <c r="E1179">
        <v>25950</v>
      </c>
      <c r="I1179" s="2251"/>
    </row>
    <row r="1180" spans="1:9">
      <c r="A1180" t="s">
        <v>1253</v>
      </c>
      <c r="B1180" s="2251">
        <v>44601</v>
      </c>
      <c r="C1180">
        <v>19872.72</v>
      </c>
      <c r="D1180">
        <v>22640</v>
      </c>
      <c r="E1180">
        <v>25951</v>
      </c>
      <c r="I1180" s="2251"/>
    </row>
    <row r="1181" spans="1:9">
      <c r="A1181" t="s">
        <v>1249</v>
      </c>
      <c r="B1181" s="2251">
        <v>44600</v>
      </c>
      <c r="E1181">
        <v>25912</v>
      </c>
      <c r="I1181" s="2251"/>
    </row>
    <row r="1182" spans="1:9">
      <c r="A1182" t="s">
        <v>1250</v>
      </c>
      <c r="B1182" s="2251">
        <v>44599</v>
      </c>
      <c r="C1182">
        <v>19876.59</v>
      </c>
      <c r="D1182">
        <v>22628</v>
      </c>
      <c r="E1182">
        <v>25918</v>
      </c>
      <c r="I1182" s="2251"/>
    </row>
    <row r="1183" spans="1:9">
      <c r="C1183">
        <v>19840.32</v>
      </c>
      <c r="D1183">
        <v>22676</v>
      </c>
    </row>
    <row r="1184" spans="1:9">
      <c r="A1184" t="s">
        <v>1251</v>
      </c>
      <c r="B1184" s="2251">
        <v>44596</v>
      </c>
      <c r="C1184">
        <v>19867.93</v>
      </c>
      <c r="D1184">
        <v>22715</v>
      </c>
      <c r="E1184">
        <v>25660</v>
      </c>
      <c r="I1184" s="2251"/>
    </row>
    <row r="1185" spans="1:9">
      <c r="A1185" t="s">
        <v>1252</v>
      </c>
      <c r="B1185" s="2251">
        <v>44595</v>
      </c>
      <c r="C1185">
        <v>19858.189999999999</v>
      </c>
      <c r="D1185">
        <v>22755</v>
      </c>
      <c r="E1185">
        <v>25898</v>
      </c>
      <c r="I1185" s="2251"/>
    </row>
    <row r="1186" spans="1:9">
      <c r="A1186" t="s">
        <v>1253</v>
      </c>
      <c r="B1186" s="2251">
        <v>44594</v>
      </c>
      <c r="C1186">
        <v>19818.53</v>
      </c>
      <c r="D1186">
        <v>22715</v>
      </c>
      <c r="E1186">
        <v>25443</v>
      </c>
      <c r="I1186" s="2251"/>
    </row>
    <row r="1187" spans="1:9">
      <c r="A1187" t="s">
        <v>1249</v>
      </c>
      <c r="B1187" s="2251">
        <v>44593</v>
      </c>
      <c r="E1187">
        <v>25484</v>
      </c>
      <c r="I1187" s="2251"/>
    </row>
    <row r="1188" spans="1:9">
      <c r="A1188" t="s">
        <v>1250</v>
      </c>
      <c r="B1188" s="2251">
        <v>44592</v>
      </c>
      <c r="C1188">
        <v>19965.28</v>
      </c>
      <c r="D1188">
        <v>22711</v>
      </c>
      <c r="E1188">
        <v>25314</v>
      </c>
      <c r="I1188" s="2251"/>
    </row>
    <row r="1189" spans="1:9">
      <c r="C1189">
        <v>19873.060000000001</v>
      </c>
      <c r="D1189">
        <v>22700</v>
      </c>
    </row>
    <row r="1190" spans="1:9">
      <c r="A1190" t="s">
        <v>1251</v>
      </c>
      <c r="B1190" s="2251">
        <v>44589</v>
      </c>
      <c r="C1190">
        <v>19692.439999999999</v>
      </c>
      <c r="D1190">
        <v>22698</v>
      </c>
      <c r="E1190">
        <v>25271</v>
      </c>
      <c r="I1190" s="2251"/>
    </row>
    <row r="1191" spans="1:9">
      <c r="A1191" t="s">
        <v>1252</v>
      </c>
      <c r="B1191" s="2251">
        <v>44588</v>
      </c>
      <c r="C1191">
        <v>19629.55</v>
      </c>
      <c r="D1191">
        <v>22706</v>
      </c>
      <c r="E1191">
        <v>25245</v>
      </c>
      <c r="I1191" s="2251"/>
    </row>
    <row r="1192" spans="1:9">
      <c r="A1192" t="s">
        <v>1253</v>
      </c>
      <c r="B1192" s="2251">
        <v>44587</v>
      </c>
      <c r="C1192">
        <v>19687.599999999999</v>
      </c>
      <c r="D1192">
        <v>22687</v>
      </c>
      <c r="E1192">
        <v>25459</v>
      </c>
      <c r="I1192" s="2251"/>
    </row>
    <row r="1193" spans="1:9">
      <c r="A1193" t="s">
        <v>1249</v>
      </c>
      <c r="B1193" s="2251">
        <v>44586</v>
      </c>
      <c r="E1193">
        <v>25600</v>
      </c>
      <c r="I1193" s="2251"/>
    </row>
    <row r="1194" spans="1:9">
      <c r="A1194" t="s">
        <v>1250</v>
      </c>
      <c r="B1194" s="2251">
        <v>44585</v>
      </c>
      <c r="C1194">
        <v>19609.54</v>
      </c>
      <c r="D1194">
        <v>22706</v>
      </c>
      <c r="E1194">
        <v>25603</v>
      </c>
      <c r="I1194" s="2251"/>
    </row>
    <row r="1195" spans="1:9">
      <c r="C1195">
        <v>19652.53</v>
      </c>
      <c r="D1195">
        <v>22751</v>
      </c>
    </row>
    <row r="1196" spans="1:9">
      <c r="A1196" t="s">
        <v>1251</v>
      </c>
      <c r="B1196" s="2251">
        <v>44582</v>
      </c>
      <c r="C1196">
        <v>19648.12</v>
      </c>
      <c r="D1196">
        <v>22754</v>
      </c>
      <c r="E1196">
        <v>25683</v>
      </c>
      <c r="I1196" s="2251"/>
    </row>
    <row r="1197" spans="1:9">
      <c r="A1197" t="s">
        <v>1252</v>
      </c>
      <c r="B1197" s="2251">
        <v>44581</v>
      </c>
      <c r="C1197">
        <v>19594.57</v>
      </c>
      <c r="D1197">
        <v>22764</v>
      </c>
      <c r="E1197">
        <v>25714</v>
      </c>
      <c r="I1197" s="2251"/>
    </row>
    <row r="1198" spans="1:9">
      <c r="A1198" t="s">
        <v>1253</v>
      </c>
      <c r="B1198" s="2251">
        <v>44580</v>
      </c>
      <c r="C1198">
        <v>19771.439999999999</v>
      </c>
      <c r="D1198">
        <v>22794</v>
      </c>
      <c r="E1198">
        <v>25764</v>
      </c>
      <c r="I1198" s="2251"/>
    </row>
    <row r="1199" spans="1:9">
      <c r="A1199" t="s">
        <v>1249</v>
      </c>
      <c r="B1199" s="2251">
        <v>44579</v>
      </c>
      <c r="E1199">
        <v>25775</v>
      </c>
      <c r="I1199" s="2251"/>
    </row>
    <row r="1200" spans="1:9">
      <c r="A1200" t="s">
        <v>1250</v>
      </c>
      <c r="B1200" s="2251">
        <v>44578</v>
      </c>
      <c r="C1200">
        <v>19832.32</v>
      </c>
      <c r="D1200">
        <v>22826</v>
      </c>
      <c r="E1200">
        <v>25919</v>
      </c>
      <c r="I1200" s="2251"/>
    </row>
    <row r="1201" spans="1:9">
      <c r="C1201">
        <v>19795.11</v>
      </c>
      <c r="D1201">
        <v>22793</v>
      </c>
    </row>
    <row r="1202" spans="1:9">
      <c r="A1202" t="s">
        <v>1251</v>
      </c>
      <c r="B1202" s="2251">
        <v>44575</v>
      </c>
      <c r="C1202">
        <v>19884.79</v>
      </c>
      <c r="D1202">
        <v>22845</v>
      </c>
      <c r="E1202">
        <v>25926</v>
      </c>
      <c r="I1202" s="2251"/>
    </row>
    <row r="1203" spans="1:9">
      <c r="A1203" t="s">
        <v>1252</v>
      </c>
      <c r="B1203" s="2251">
        <v>44574</v>
      </c>
      <c r="C1203">
        <v>19903.68</v>
      </c>
      <c r="D1203">
        <v>22835</v>
      </c>
      <c r="E1203">
        <v>26043</v>
      </c>
      <c r="I1203" s="2251"/>
    </row>
    <row r="1204" spans="1:9">
      <c r="A1204" t="s">
        <v>1253</v>
      </c>
      <c r="B1204" s="2251">
        <v>44573</v>
      </c>
      <c r="C1204">
        <v>19883.650000000001</v>
      </c>
      <c r="D1204">
        <v>22816</v>
      </c>
      <c r="E1204">
        <v>25890</v>
      </c>
      <c r="I1204" s="2251"/>
    </row>
    <row r="1205" spans="1:9">
      <c r="A1205" t="s">
        <v>1249</v>
      </c>
      <c r="B1205" s="2251">
        <v>44572</v>
      </c>
      <c r="E1205">
        <v>25718</v>
      </c>
      <c r="I1205" s="2251"/>
    </row>
    <row r="1206" spans="1:9">
      <c r="A1206" t="s">
        <v>1250</v>
      </c>
      <c r="B1206" s="2251">
        <v>44571</v>
      </c>
      <c r="C1206">
        <v>20035.41</v>
      </c>
      <c r="D1206">
        <v>22915</v>
      </c>
      <c r="E1206">
        <v>25697</v>
      </c>
      <c r="I1206" s="2251"/>
    </row>
    <row r="1207" spans="1:9">
      <c r="C1207">
        <v>20062.93</v>
      </c>
      <c r="D1207">
        <v>22953</v>
      </c>
    </row>
    <row r="1208" spans="1:9">
      <c r="A1208" t="s">
        <v>1251</v>
      </c>
      <c r="B1208" s="2251">
        <v>44568</v>
      </c>
      <c r="C1208">
        <v>20064.740000000002</v>
      </c>
      <c r="D1208">
        <v>22935</v>
      </c>
      <c r="E1208">
        <v>25801</v>
      </c>
      <c r="I1208" s="2251"/>
    </row>
    <row r="1209" spans="1:9">
      <c r="A1209" t="s">
        <v>1252</v>
      </c>
      <c r="B1209" s="2251">
        <v>44567</v>
      </c>
      <c r="C1209">
        <v>20075.39</v>
      </c>
      <c r="D1209">
        <v>22901</v>
      </c>
      <c r="E1209">
        <v>25720</v>
      </c>
      <c r="I1209" s="2251"/>
    </row>
    <row r="1210" spans="1:9">
      <c r="A1210" t="s">
        <v>1253</v>
      </c>
      <c r="B1210" s="2251">
        <v>44566</v>
      </c>
      <c r="C1210">
        <v>20174.66</v>
      </c>
      <c r="D1210">
        <v>22928</v>
      </c>
      <c r="E1210">
        <v>25766</v>
      </c>
      <c r="I1210" s="2251"/>
    </row>
    <row r="1211" spans="1:9">
      <c r="A1211" t="s">
        <v>1249</v>
      </c>
      <c r="B1211" s="2251">
        <v>44565</v>
      </c>
      <c r="E1211">
        <v>25686</v>
      </c>
      <c r="I1211" s="2251"/>
    </row>
    <row r="1212" spans="1:9">
      <c r="A1212" t="s">
        <v>1250</v>
      </c>
      <c r="B1212" s="2251">
        <v>44564</v>
      </c>
      <c r="C1212">
        <v>20166.62</v>
      </c>
      <c r="D1212">
        <v>22937</v>
      </c>
      <c r="E1212">
        <v>25888</v>
      </c>
      <c r="I1212" s="2251"/>
    </row>
    <row r="1213" spans="1:9">
      <c r="C1213">
        <v>20225.07</v>
      </c>
      <c r="D1213">
        <v>23005</v>
      </c>
    </row>
    <row r="1214" spans="1:9">
      <c r="A1214" t="s">
        <v>1251</v>
      </c>
      <c r="B1214" s="2251">
        <v>44561</v>
      </c>
      <c r="C1214">
        <v>20267.79</v>
      </c>
      <c r="D1214">
        <v>23046</v>
      </c>
      <c r="E1214">
        <v>25887</v>
      </c>
      <c r="I1214" s="2251"/>
    </row>
    <row r="1215" spans="1:9">
      <c r="A1215" t="s">
        <v>1252</v>
      </c>
      <c r="B1215" s="2251">
        <v>44560</v>
      </c>
      <c r="C1215">
        <v>20213.63</v>
      </c>
      <c r="D1215">
        <v>22992</v>
      </c>
      <c r="E1215">
        <v>25831</v>
      </c>
      <c r="I1215" s="2251"/>
    </row>
    <row r="1216" spans="1:9">
      <c r="A1216" t="s">
        <v>1253</v>
      </c>
      <c r="B1216" s="2251">
        <v>44559</v>
      </c>
      <c r="C1216">
        <v>20234.310000000001</v>
      </c>
      <c r="D1216">
        <v>22971</v>
      </c>
      <c r="E1216">
        <v>25904</v>
      </c>
      <c r="I1216" s="2251"/>
    </row>
    <row r="1217" spans="1:9">
      <c r="A1217" t="s">
        <v>1249</v>
      </c>
      <c r="B1217" s="2251">
        <v>44558</v>
      </c>
      <c r="E1217">
        <v>25852</v>
      </c>
      <c r="I1217" s="2251"/>
    </row>
    <row r="1218" spans="1:9">
      <c r="A1218" t="s">
        <v>1250</v>
      </c>
      <c r="B1218" s="2251">
        <v>44557</v>
      </c>
      <c r="C1218">
        <v>20298.43</v>
      </c>
      <c r="D1218">
        <v>23024</v>
      </c>
      <c r="E1218">
        <v>25824</v>
      </c>
      <c r="I1218" s="2251"/>
    </row>
    <row r="1219" spans="1:9">
      <c r="C1219">
        <v>20221.16</v>
      </c>
      <c r="D1219">
        <v>22950</v>
      </c>
    </row>
    <row r="1220" spans="1:9">
      <c r="A1220" t="s">
        <v>1251</v>
      </c>
      <c r="B1220" s="2251">
        <v>44554</v>
      </c>
      <c r="C1220">
        <v>20224.3</v>
      </c>
      <c r="D1220">
        <v>22992</v>
      </c>
      <c r="E1220">
        <v>25942</v>
      </c>
      <c r="I1220" s="2251"/>
    </row>
    <row r="1221" spans="1:9">
      <c r="A1221" t="s">
        <v>1252</v>
      </c>
      <c r="B1221" s="2251">
        <v>44553</v>
      </c>
      <c r="C1221">
        <v>20331.03</v>
      </c>
      <c r="D1221">
        <v>23093</v>
      </c>
      <c r="E1221">
        <v>25998</v>
      </c>
      <c r="I1221" s="2251"/>
    </row>
    <row r="1222" spans="1:9">
      <c r="A1222" t="s">
        <v>1253</v>
      </c>
      <c r="B1222" s="2251">
        <v>44552</v>
      </c>
      <c r="C1222">
        <v>20303.8</v>
      </c>
      <c r="D1222">
        <v>23064</v>
      </c>
      <c r="E1222">
        <v>25935</v>
      </c>
      <c r="I1222" s="2251"/>
    </row>
    <row r="1223" spans="1:9">
      <c r="A1223" t="s">
        <v>1249</v>
      </c>
      <c r="B1223" s="2251">
        <v>44551</v>
      </c>
      <c r="E1223">
        <v>25802</v>
      </c>
      <c r="I1223" s="2251"/>
    </row>
    <row r="1224" spans="1:9">
      <c r="A1224" t="s">
        <v>1250</v>
      </c>
      <c r="B1224" s="2251">
        <v>44550</v>
      </c>
      <c r="C1224">
        <v>20124.939999999999</v>
      </c>
      <c r="D1224">
        <v>22792</v>
      </c>
      <c r="E1224">
        <v>25854</v>
      </c>
      <c r="I1224" s="2251"/>
    </row>
    <row r="1225" spans="1:9">
      <c r="C1225">
        <v>20074.650000000001</v>
      </c>
      <c r="D1225">
        <v>22723</v>
      </c>
    </row>
    <row r="1226" spans="1:9">
      <c r="A1226" t="s">
        <v>1251</v>
      </c>
      <c r="B1226" s="2251">
        <v>44547</v>
      </c>
      <c r="C1226">
        <v>20025.57</v>
      </c>
      <c r="D1226">
        <v>22710</v>
      </c>
      <c r="E1226">
        <v>25806</v>
      </c>
      <c r="I1226" s="2251"/>
    </row>
    <row r="1227" spans="1:9">
      <c r="A1227" t="s">
        <v>1252</v>
      </c>
      <c r="B1227" s="2251">
        <v>44546</v>
      </c>
      <c r="C1227">
        <v>20138.22</v>
      </c>
      <c r="D1227">
        <v>22729</v>
      </c>
      <c r="E1227">
        <v>26026</v>
      </c>
      <c r="I1227" s="2251"/>
    </row>
    <row r="1228" spans="1:9">
      <c r="A1228" t="s">
        <v>1253</v>
      </c>
      <c r="B1228" s="2251">
        <v>44545</v>
      </c>
      <c r="C1228">
        <v>19980.63</v>
      </c>
      <c r="D1228">
        <v>22685</v>
      </c>
      <c r="E1228">
        <v>25963</v>
      </c>
      <c r="I1228" s="2251"/>
    </row>
    <row r="1229" spans="1:9">
      <c r="A1229" t="s">
        <v>1249</v>
      </c>
      <c r="B1229" s="2251">
        <v>44544</v>
      </c>
      <c r="E1229">
        <v>25876</v>
      </c>
      <c r="I1229" s="2251"/>
    </row>
    <row r="1230" spans="1:9">
      <c r="A1230" t="s">
        <v>1250</v>
      </c>
      <c r="B1230" s="2251">
        <v>44543</v>
      </c>
      <c r="C1230">
        <v>19808.8</v>
      </c>
      <c r="D1230">
        <v>22674</v>
      </c>
      <c r="E1230">
        <v>25955</v>
      </c>
      <c r="I1230" s="2251"/>
    </row>
    <row r="1231" spans="1:9">
      <c r="C1231">
        <v>19666.990000000002</v>
      </c>
      <c r="D1231">
        <v>22679</v>
      </c>
    </row>
    <row r="1232" spans="1:9">
      <c r="A1232" t="s">
        <v>1251</v>
      </c>
      <c r="B1232" s="2251">
        <v>44540</v>
      </c>
      <c r="C1232">
        <v>19657.349999999999</v>
      </c>
      <c r="D1232">
        <v>22690</v>
      </c>
      <c r="E1232">
        <v>26057</v>
      </c>
      <c r="I1232" s="2251"/>
    </row>
    <row r="1233" spans="1:9">
      <c r="A1233" t="s">
        <v>1252</v>
      </c>
      <c r="B1233" s="2251">
        <v>44539</v>
      </c>
      <c r="C1233">
        <v>19694.689999999999</v>
      </c>
      <c r="D1233">
        <v>22675</v>
      </c>
      <c r="E1233">
        <v>25971</v>
      </c>
      <c r="I1233" s="2251"/>
    </row>
    <row r="1234" spans="1:9">
      <c r="A1234" t="s">
        <v>1253</v>
      </c>
      <c r="B1234" s="2251">
        <v>44538</v>
      </c>
      <c r="C1234">
        <v>19744.23</v>
      </c>
      <c r="D1234">
        <v>22671</v>
      </c>
      <c r="E1234">
        <v>26091</v>
      </c>
      <c r="I1234" s="2251"/>
    </row>
    <row r="1235" spans="1:9">
      <c r="A1235" t="s">
        <v>1249</v>
      </c>
      <c r="B1235" s="2251">
        <v>44537</v>
      </c>
      <c r="E1235">
        <v>25981</v>
      </c>
      <c r="I1235" s="2251"/>
    </row>
    <row r="1236" spans="1:9">
      <c r="A1236" t="s">
        <v>1250</v>
      </c>
      <c r="B1236" s="2251">
        <v>44536</v>
      </c>
      <c r="C1236">
        <v>19869.62</v>
      </c>
      <c r="D1236">
        <v>22650</v>
      </c>
      <c r="E1236">
        <v>26026</v>
      </c>
      <c r="I1236" s="2251"/>
    </row>
    <row r="1237" spans="1:9">
      <c r="C1237">
        <v>19832.38</v>
      </c>
      <c r="D1237">
        <v>22657</v>
      </c>
    </row>
    <row r="1238" spans="1:9">
      <c r="A1238" t="s">
        <v>1251</v>
      </c>
      <c r="B1238" s="2251">
        <v>44533</v>
      </c>
      <c r="C1238">
        <v>19772.150000000001</v>
      </c>
      <c r="D1238">
        <v>22649</v>
      </c>
      <c r="E1238">
        <v>25765</v>
      </c>
      <c r="I1238" s="2251"/>
    </row>
    <row r="1239" spans="1:9">
      <c r="A1239" t="s">
        <v>1252</v>
      </c>
      <c r="B1239" s="2251">
        <v>44532</v>
      </c>
      <c r="C1239">
        <v>19815.8</v>
      </c>
      <c r="D1239">
        <v>22646</v>
      </c>
      <c r="E1239">
        <v>25678</v>
      </c>
      <c r="I1239" s="2251"/>
    </row>
    <row r="1240" spans="1:9">
      <c r="A1240" t="s">
        <v>1253</v>
      </c>
      <c r="B1240" s="2251">
        <v>44531</v>
      </c>
      <c r="C1240">
        <v>19895.03</v>
      </c>
      <c r="D1240">
        <v>22649</v>
      </c>
      <c r="E1240">
        <v>25738</v>
      </c>
      <c r="I1240" s="2251"/>
    </row>
    <row r="1241" spans="1:9">
      <c r="A1241" t="s">
        <v>1249</v>
      </c>
      <c r="B1241" s="2251">
        <v>44530</v>
      </c>
      <c r="E1241">
        <v>25820</v>
      </c>
      <c r="I1241" s="2251"/>
    </row>
    <row r="1242" spans="1:9">
      <c r="A1242" t="s">
        <v>1250</v>
      </c>
      <c r="B1242" s="2251">
        <v>44529</v>
      </c>
      <c r="C1242">
        <v>19852.71</v>
      </c>
      <c r="D1242">
        <v>22645</v>
      </c>
      <c r="E1242">
        <v>25617</v>
      </c>
      <c r="I1242" s="2251"/>
    </row>
    <row r="1243" spans="1:9">
      <c r="C1243">
        <v>19862.79</v>
      </c>
      <c r="D1243">
        <v>22657</v>
      </c>
    </row>
    <row r="1244" spans="1:9">
      <c r="A1244" t="s">
        <v>1251</v>
      </c>
      <c r="B1244" s="2251">
        <v>44526</v>
      </c>
      <c r="C1244">
        <v>20015.900000000001</v>
      </c>
      <c r="D1244">
        <v>22657</v>
      </c>
      <c r="E1244">
        <v>25669</v>
      </c>
      <c r="I1244" s="2251"/>
    </row>
    <row r="1245" spans="1:9">
      <c r="A1245" t="s">
        <v>1252</v>
      </c>
      <c r="B1245" s="2251">
        <v>44525</v>
      </c>
      <c r="C1245">
        <v>20065.54</v>
      </c>
      <c r="D1245">
        <v>22658</v>
      </c>
      <c r="E1245">
        <v>25422</v>
      </c>
      <c r="I1245" s="2251"/>
    </row>
    <row r="1246" spans="1:9">
      <c r="A1246" t="s">
        <v>1253</v>
      </c>
      <c r="B1246" s="2251">
        <v>44524</v>
      </c>
      <c r="C1246">
        <v>20013.25</v>
      </c>
      <c r="D1246">
        <v>22658</v>
      </c>
      <c r="E1246">
        <v>25396</v>
      </c>
      <c r="I1246" s="2251"/>
    </row>
    <row r="1247" spans="1:9">
      <c r="A1247" t="s">
        <v>1249</v>
      </c>
      <c r="B1247" s="2251">
        <v>44523</v>
      </c>
      <c r="E1247">
        <v>25507</v>
      </c>
      <c r="I1247" s="2251"/>
    </row>
    <row r="1248" spans="1:9">
      <c r="A1248" t="s">
        <v>1250</v>
      </c>
      <c r="B1248" s="2251">
        <v>44522</v>
      </c>
      <c r="C1248">
        <v>20022.05</v>
      </c>
      <c r="D1248">
        <v>22698</v>
      </c>
      <c r="E1248">
        <v>25495</v>
      </c>
      <c r="I1248" s="2251"/>
    </row>
    <row r="1249" spans="1:9">
      <c r="C1249">
        <v>19940.66</v>
      </c>
      <c r="D1249">
        <v>22686</v>
      </c>
    </row>
    <row r="1250" spans="1:9">
      <c r="A1250" t="s">
        <v>1251</v>
      </c>
      <c r="B1250" s="2251">
        <v>44519</v>
      </c>
      <c r="C1250">
        <v>19938.63</v>
      </c>
      <c r="D1250">
        <v>22743</v>
      </c>
      <c r="E1250">
        <v>25576</v>
      </c>
      <c r="I1250" s="2251"/>
    </row>
    <row r="1251" spans="1:9">
      <c r="A1251" t="s">
        <v>1252</v>
      </c>
      <c r="B1251" s="2251">
        <v>44518</v>
      </c>
      <c r="C1251">
        <v>19957.740000000002</v>
      </c>
      <c r="D1251">
        <v>22744</v>
      </c>
      <c r="E1251">
        <v>25763</v>
      </c>
      <c r="I1251" s="2251"/>
    </row>
    <row r="1252" spans="1:9">
      <c r="A1252" t="s">
        <v>1253</v>
      </c>
      <c r="B1252" s="2251">
        <v>44517</v>
      </c>
      <c r="C1252">
        <v>19959.560000000001</v>
      </c>
      <c r="D1252">
        <v>22753</v>
      </c>
      <c r="E1252">
        <v>25646</v>
      </c>
      <c r="I1252" s="2251"/>
    </row>
    <row r="1253" spans="1:9">
      <c r="A1253" t="s">
        <v>1249</v>
      </c>
      <c r="B1253" s="2251">
        <v>44516</v>
      </c>
      <c r="E1253">
        <v>25697</v>
      </c>
      <c r="I1253" s="2251"/>
    </row>
    <row r="1254" spans="1:9">
      <c r="A1254" t="s">
        <v>1250</v>
      </c>
      <c r="B1254" s="2251">
        <v>44515</v>
      </c>
      <c r="C1254">
        <v>19940.84</v>
      </c>
      <c r="D1254">
        <v>22752</v>
      </c>
      <c r="E1254">
        <v>25920</v>
      </c>
      <c r="I1254" s="2251"/>
    </row>
    <row r="1255" spans="1:9">
      <c r="C1255">
        <v>20037.87</v>
      </c>
      <c r="D1255">
        <v>22756</v>
      </c>
    </row>
    <row r="1256" spans="1:9">
      <c r="A1256" t="s">
        <v>1251</v>
      </c>
      <c r="B1256" s="2251">
        <v>44512</v>
      </c>
      <c r="C1256">
        <v>19993.41</v>
      </c>
      <c r="D1256">
        <v>22754</v>
      </c>
      <c r="E1256">
        <v>25926</v>
      </c>
      <c r="I1256" s="2251"/>
    </row>
    <row r="1257" spans="1:9">
      <c r="A1257" t="s">
        <v>1252</v>
      </c>
      <c r="B1257" s="2251">
        <v>44511</v>
      </c>
      <c r="C1257">
        <v>19941.73</v>
      </c>
      <c r="D1257">
        <v>22757</v>
      </c>
      <c r="E1257">
        <v>25936</v>
      </c>
      <c r="I1257" s="2251"/>
    </row>
    <row r="1258" spans="1:9">
      <c r="A1258" t="s">
        <v>1253</v>
      </c>
      <c r="B1258" s="2251">
        <v>44510</v>
      </c>
      <c r="C1258">
        <v>20035.22</v>
      </c>
      <c r="D1258">
        <v>22755</v>
      </c>
      <c r="E1258">
        <v>26050</v>
      </c>
      <c r="I1258" s="2251"/>
    </row>
    <row r="1259" spans="1:9">
      <c r="A1259" t="s">
        <v>1249</v>
      </c>
      <c r="B1259" s="2251">
        <v>44509</v>
      </c>
      <c r="E1259">
        <v>26256</v>
      </c>
      <c r="I1259" s="2251"/>
    </row>
    <row r="1260" spans="1:9">
      <c r="A1260" t="s">
        <v>1250</v>
      </c>
      <c r="B1260" s="2251">
        <v>44508</v>
      </c>
      <c r="C1260">
        <v>20048.02</v>
      </c>
      <c r="D1260">
        <v>22755</v>
      </c>
      <c r="E1260">
        <v>26258</v>
      </c>
      <c r="I1260" s="2251"/>
    </row>
    <row r="1261" spans="1:9">
      <c r="C1261">
        <v>19983.75</v>
      </c>
      <c r="D1261">
        <v>22748</v>
      </c>
    </row>
    <row r="1262" spans="1:9">
      <c r="A1262" t="s">
        <v>1251</v>
      </c>
      <c r="B1262" s="2251">
        <v>44505</v>
      </c>
      <c r="C1262">
        <v>19909.45</v>
      </c>
      <c r="D1262">
        <v>22758</v>
      </c>
      <c r="E1262">
        <v>26234</v>
      </c>
      <c r="I1262" s="2251"/>
    </row>
    <row r="1263" spans="1:9">
      <c r="A1263" t="s">
        <v>1252</v>
      </c>
      <c r="B1263" s="2251">
        <v>44504</v>
      </c>
      <c r="C1263">
        <v>19892.03</v>
      </c>
      <c r="D1263">
        <v>22753</v>
      </c>
      <c r="E1263">
        <v>26232</v>
      </c>
      <c r="I1263" s="2251"/>
    </row>
    <row r="1264" spans="1:9">
      <c r="A1264" t="s">
        <v>1253</v>
      </c>
      <c r="B1264" s="2251">
        <v>44503</v>
      </c>
      <c r="C1264">
        <v>19925.580000000002</v>
      </c>
      <c r="D1264">
        <v>22758</v>
      </c>
      <c r="E1264">
        <v>26340</v>
      </c>
      <c r="I1264" s="2251"/>
    </row>
    <row r="1265" spans="1:9">
      <c r="A1265" t="s">
        <v>1249</v>
      </c>
      <c r="B1265" s="2251">
        <v>44502</v>
      </c>
      <c r="E1265">
        <v>26341</v>
      </c>
      <c r="I1265" s="2251"/>
    </row>
    <row r="1266" spans="1:9">
      <c r="A1266" t="s">
        <v>1250</v>
      </c>
      <c r="B1266" s="2251">
        <v>44501</v>
      </c>
      <c r="C1266">
        <v>19898.09</v>
      </c>
      <c r="D1266">
        <v>22749</v>
      </c>
      <c r="E1266">
        <v>26409</v>
      </c>
      <c r="I1266" s="2251"/>
    </row>
    <row r="1267" spans="1:9">
      <c r="C1267">
        <v>20067.89</v>
      </c>
      <c r="D1267">
        <v>22751</v>
      </c>
    </row>
    <row r="1268" spans="1:9">
      <c r="A1268" t="s">
        <v>1251</v>
      </c>
      <c r="B1268" s="2251">
        <v>44498</v>
      </c>
      <c r="C1268">
        <v>20088.29</v>
      </c>
      <c r="D1268">
        <v>22751</v>
      </c>
      <c r="E1268">
        <v>26267</v>
      </c>
      <c r="I1268" s="2251"/>
    </row>
    <row r="1269" spans="1:9">
      <c r="A1269" t="s">
        <v>1252</v>
      </c>
      <c r="B1269" s="2251">
        <v>44497</v>
      </c>
      <c r="C1269">
        <v>20040.96</v>
      </c>
      <c r="D1269">
        <v>22748</v>
      </c>
      <c r="E1269">
        <v>26586</v>
      </c>
      <c r="I1269" s="2251"/>
    </row>
    <row r="1270" spans="1:9">
      <c r="A1270" t="s">
        <v>1253</v>
      </c>
      <c r="B1270" s="2251">
        <v>44496</v>
      </c>
      <c r="C1270">
        <v>20073.21</v>
      </c>
      <c r="D1270">
        <v>22758</v>
      </c>
      <c r="E1270">
        <v>26405</v>
      </c>
      <c r="I1270" s="2251"/>
    </row>
    <row r="1271" spans="1:9">
      <c r="A1271" t="s">
        <v>1249</v>
      </c>
      <c r="B1271" s="2251">
        <v>44495</v>
      </c>
      <c r="E1271">
        <v>26398</v>
      </c>
      <c r="I1271" s="2251"/>
    </row>
    <row r="1272" spans="1:9">
      <c r="A1272" t="s">
        <v>1250</v>
      </c>
      <c r="B1272" s="2251">
        <v>44494</v>
      </c>
      <c r="C1272">
        <v>20317.75</v>
      </c>
      <c r="D1272">
        <v>22763</v>
      </c>
      <c r="E1272">
        <v>26411</v>
      </c>
      <c r="I1272" s="2251"/>
    </row>
    <row r="1273" spans="1:9">
      <c r="C1273">
        <v>20394.71</v>
      </c>
      <c r="D1273">
        <v>22761</v>
      </c>
    </row>
    <row r="1274" spans="1:9">
      <c r="A1274" t="s">
        <v>1251</v>
      </c>
      <c r="B1274" s="2251">
        <v>44491</v>
      </c>
      <c r="C1274">
        <v>20434.96</v>
      </c>
      <c r="D1274">
        <v>22762</v>
      </c>
      <c r="E1274">
        <v>26468</v>
      </c>
      <c r="I1274" s="2251"/>
    </row>
    <row r="1275" spans="1:9">
      <c r="A1275" t="s">
        <v>1252</v>
      </c>
      <c r="B1275" s="2251">
        <v>44490</v>
      </c>
      <c r="C1275">
        <v>20459.39</v>
      </c>
      <c r="D1275">
        <v>22758</v>
      </c>
      <c r="E1275">
        <v>26456</v>
      </c>
      <c r="I1275" s="2251"/>
    </row>
    <row r="1276" spans="1:9">
      <c r="A1276" t="s">
        <v>1253</v>
      </c>
      <c r="B1276" s="2251">
        <v>44489</v>
      </c>
      <c r="C1276">
        <v>20510.3</v>
      </c>
      <c r="D1276">
        <v>22749</v>
      </c>
      <c r="E1276">
        <v>26527</v>
      </c>
      <c r="I1276" s="2251"/>
    </row>
    <row r="1277" spans="1:9">
      <c r="A1277" t="s">
        <v>1249</v>
      </c>
      <c r="B1277" s="2251">
        <v>44488</v>
      </c>
      <c r="E1277">
        <v>26489</v>
      </c>
      <c r="I1277" s="2251"/>
    </row>
    <row r="1278" spans="1:9">
      <c r="A1278" t="s">
        <v>1250</v>
      </c>
      <c r="B1278" s="2251">
        <v>44487</v>
      </c>
      <c r="C1278">
        <v>20486.16</v>
      </c>
      <c r="D1278">
        <v>22755</v>
      </c>
      <c r="E1278">
        <v>26432</v>
      </c>
      <c r="I1278" s="2251"/>
    </row>
    <row r="1279" spans="1:9">
      <c r="C1279">
        <v>20335.5</v>
      </c>
      <c r="D1279">
        <v>22761</v>
      </c>
    </row>
    <row r="1280" spans="1:9">
      <c r="A1280" t="s">
        <v>1251</v>
      </c>
      <c r="B1280" s="2251">
        <v>44484</v>
      </c>
      <c r="C1280">
        <v>20317.900000000001</v>
      </c>
      <c r="D1280">
        <v>22753</v>
      </c>
      <c r="E1280">
        <v>26388</v>
      </c>
      <c r="I1280" s="2251"/>
    </row>
    <row r="1281" spans="1:9">
      <c r="A1281" t="s">
        <v>1252</v>
      </c>
      <c r="B1281" s="2251">
        <v>44483</v>
      </c>
      <c r="C1281">
        <v>20449.07</v>
      </c>
      <c r="D1281">
        <v>22768</v>
      </c>
      <c r="E1281">
        <v>26375</v>
      </c>
      <c r="I1281" s="2251"/>
    </row>
    <row r="1282" spans="1:9">
      <c r="A1282" t="s">
        <v>1253</v>
      </c>
      <c r="B1282" s="2251">
        <v>44482</v>
      </c>
      <c r="C1282">
        <v>20511.78</v>
      </c>
      <c r="D1282">
        <v>22765</v>
      </c>
      <c r="E1282">
        <v>26388</v>
      </c>
      <c r="I1282" s="2251"/>
    </row>
    <row r="1283" spans="1:9">
      <c r="A1283" t="s">
        <v>1249</v>
      </c>
      <c r="B1283" s="2251">
        <v>44481</v>
      </c>
      <c r="E1283">
        <v>26238</v>
      </c>
      <c r="I1283" s="2251"/>
    </row>
    <row r="1284" spans="1:9">
      <c r="A1284" t="s">
        <v>1250</v>
      </c>
      <c r="B1284" s="2251">
        <v>44480</v>
      </c>
      <c r="C1284">
        <v>20608.68</v>
      </c>
      <c r="D1284">
        <v>22770</v>
      </c>
      <c r="E1284">
        <v>26316</v>
      </c>
      <c r="I1284" s="2251"/>
    </row>
    <row r="1285" spans="1:9">
      <c r="C1285">
        <v>20731.72</v>
      </c>
      <c r="D1285">
        <v>22766</v>
      </c>
    </row>
    <row r="1286" spans="1:9">
      <c r="A1286" t="s">
        <v>1251</v>
      </c>
      <c r="B1286" s="2251">
        <v>44477</v>
      </c>
      <c r="C1286">
        <v>20754.89</v>
      </c>
      <c r="D1286">
        <v>22752</v>
      </c>
      <c r="E1286">
        <v>26322</v>
      </c>
      <c r="I1286" s="2251"/>
    </row>
    <row r="1287" spans="1:9">
      <c r="A1287" t="s">
        <v>1252</v>
      </c>
      <c r="B1287" s="2251">
        <v>44476</v>
      </c>
      <c r="C1287">
        <v>20838.740000000002</v>
      </c>
      <c r="D1287">
        <v>22760</v>
      </c>
      <c r="E1287">
        <v>26297</v>
      </c>
      <c r="I1287" s="2251"/>
    </row>
    <row r="1288" spans="1:9">
      <c r="A1288" t="s">
        <v>1253</v>
      </c>
      <c r="B1288" s="2251">
        <v>44475</v>
      </c>
      <c r="C1288">
        <v>20796.310000000001</v>
      </c>
      <c r="D1288">
        <v>22773</v>
      </c>
      <c r="E1288">
        <v>26279</v>
      </c>
      <c r="I1288" s="2251"/>
    </row>
    <row r="1289" spans="1:9">
      <c r="A1289" t="s">
        <v>1249</v>
      </c>
      <c r="B1289" s="2251">
        <v>44474</v>
      </c>
      <c r="E1289">
        <v>26410</v>
      </c>
      <c r="I1289" s="2251"/>
    </row>
    <row r="1290" spans="1:9">
      <c r="A1290" t="s">
        <v>1250</v>
      </c>
      <c r="B1290" s="2251">
        <v>44473</v>
      </c>
      <c r="C1290">
        <v>20701.91</v>
      </c>
      <c r="D1290">
        <v>22769</v>
      </c>
      <c r="E1290">
        <v>26446</v>
      </c>
      <c r="I1290" s="2251"/>
    </row>
    <row r="1291" spans="1:9">
      <c r="C1291">
        <v>20752.25</v>
      </c>
      <c r="D1291">
        <v>22758</v>
      </c>
    </row>
    <row r="1292" spans="1:9">
      <c r="A1292" t="s">
        <v>1251</v>
      </c>
      <c r="B1292" s="2251">
        <v>44470</v>
      </c>
      <c r="C1292">
        <v>20806.32</v>
      </c>
      <c r="D1292">
        <v>22759</v>
      </c>
      <c r="E1292">
        <v>26385</v>
      </c>
      <c r="I1292" s="2251"/>
    </row>
    <row r="1293" spans="1:9">
      <c r="A1293" t="s">
        <v>1252</v>
      </c>
      <c r="B1293" s="2251">
        <v>44469</v>
      </c>
      <c r="C1293">
        <v>20743.46</v>
      </c>
      <c r="D1293">
        <v>22754</v>
      </c>
      <c r="E1293">
        <v>26340</v>
      </c>
      <c r="I1293" s="2251"/>
    </row>
    <row r="1294" spans="1:9">
      <c r="A1294" t="s">
        <v>1253</v>
      </c>
      <c r="B1294" s="2251">
        <v>44468</v>
      </c>
      <c r="C1294">
        <v>20672.84</v>
      </c>
      <c r="D1294">
        <v>22752</v>
      </c>
      <c r="E1294">
        <v>26394</v>
      </c>
      <c r="I1294" s="2251"/>
    </row>
    <row r="1295" spans="1:9">
      <c r="A1295" t="s">
        <v>1249</v>
      </c>
      <c r="B1295" s="2251">
        <v>44467</v>
      </c>
      <c r="E1295">
        <v>26600</v>
      </c>
      <c r="I1295" s="2251"/>
    </row>
    <row r="1296" spans="1:9">
      <c r="A1296" t="s">
        <v>1250</v>
      </c>
      <c r="B1296" s="2251">
        <v>44466</v>
      </c>
      <c r="C1296">
        <v>20702.11</v>
      </c>
      <c r="D1296">
        <v>22763</v>
      </c>
      <c r="E1296">
        <v>26636</v>
      </c>
      <c r="I1296" s="2251"/>
    </row>
    <row r="1297" spans="1:9">
      <c r="C1297">
        <v>20711.13</v>
      </c>
      <c r="D1297">
        <v>22761</v>
      </c>
    </row>
    <row r="1298" spans="1:9">
      <c r="A1298" t="s">
        <v>1251</v>
      </c>
      <c r="B1298" s="2251">
        <v>44463</v>
      </c>
      <c r="C1298">
        <v>20645.16</v>
      </c>
      <c r="D1298">
        <v>22752</v>
      </c>
      <c r="E1298">
        <v>26658</v>
      </c>
      <c r="I1298" s="2251"/>
    </row>
    <row r="1299" spans="1:9">
      <c r="A1299" t="s">
        <v>1252</v>
      </c>
      <c r="B1299" s="2251">
        <v>44462</v>
      </c>
      <c r="C1299">
        <v>20641.39</v>
      </c>
      <c r="D1299">
        <v>22753</v>
      </c>
      <c r="E1299">
        <v>26661</v>
      </c>
      <c r="I1299" s="2251"/>
    </row>
    <row r="1300" spans="1:9">
      <c r="A1300" t="s">
        <v>1253</v>
      </c>
      <c r="B1300" s="2251">
        <v>44461</v>
      </c>
      <c r="C1300">
        <v>20731.060000000001</v>
      </c>
      <c r="D1300">
        <v>22771</v>
      </c>
      <c r="E1300">
        <v>26714</v>
      </c>
      <c r="I1300" s="2251"/>
    </row>
    <row r="1301" spans="1:9">
      <c r="A1301" t="s">
        <v>1249</v>
      </c>
      <c r="B1301" s="2251">
        <v>44460</v>
      </c>
      <c r="E1301">
        <v>26696</v>
      </c>
      <c r="I1301" s="2251"/>
    </row>
    <row r="1302" spans="1:9">
      <c r="A1302" t="s">
        <v>1250</v>
      </c>
      <c r="B1302" s="2251">
        <v>44459</v>
      </c>
      <c r="C1302">
        <v>20703.02</v>
      </c>
      <c r="D1302">
        <v>22764</v>
      </c>
      <c r="E1302">
        <v>26711</v>
      </c>
      <c r="I1302" s="2251"/>
    </row>
    <row r="1303" spans="1:9">
      <c r="C1303">
        <v>20689.439999999999</v>
      </c>
      <c r="D1303">
        <v>22784</v>
      </c>
    </row>
    <row r="1304" spans="1:9">
      <c r="A1304" t="s">
        <v>1251</v>
      </c>
      <c r="B1304" s="2251">
        <v>44456</v>
      </c>
      <c r="C1304">
        <v>20782.41</v>
      </c>
      <c r="D1304">
        <v>22779</v>
      </c>
      <c r="E1304">
        <v>26697</v>
      </c>
      <c r="I1304" s="2251"/>
    </row>
    <row r="1305" spans="1:9">
      <c r="A1305" t="s">
        <v>1252</v>
      </c>
      <c r="B1305" s="2251">
        <v>44455</v>
      </c>
      <c r="C1305">
        <v>20720.43</v>
      </c>
      <c r="E1305">
        <v>26765</v>
      </c>
      <c r="I1305" s="2251"/>
    </row>
    <row r="1306" spans="1:9">
      <c r="A1306" t="s">
        <v>1253</v>
      </c>
      <c r="B1306" s="2251">
        <v>44454</v>
      </c>
      <c r="D1306">
        <v>22780</v>
      </c>
      <c r="E1306">
        <v>26870</v>
      </c>
      <c r="I1306" s="2251"/>
    </row>
    <row r="1307" spans="1:9">
      <c r="A1307" t="s">
        <v>1249</v>
      </c>
      <c r="B1307" s="2251">
        <v>44453</v>
      </c>
      <c r="C1307">
        <v>20742.09</v>
      </c>
      <c r="D1307">
        <v>22782</v>
      </c>
      <c r="E1307">
        <v>26865</v>
      </c>
      <c r="I1307" s="2251"/>
    </row>
    <row r="1308" spans="1:9">
      <c r="A1308" t="s">
        <v>1250</v>
      </c>
      <c r="B1308" s="2251">
        <v>44452</v>
      </c>
      <c r="C1308">
        <v>20694.919999999998</v>
      </c>
      <c r="D1308">
        <v>22809</v>
      </c>
      <c r="E1308">
        <v>26877</v>
      </c>
      <c r="I1308" s="2251"/>
    </row>
    <row r="1309" spans="1:9">
      <c r="C1309">
        <v>20739.68</v>
      </c>
      <c r="D1309">
        <v>22818</v>
      </c>
    </row>
    <row r="1310" spans="1:9">
      <c r="A1310" t="s">
        <v>1251</v>
      </c>
      <c r="B1310" s="2251">
        <v>44449</v>
      </c>
      <c r="C1310">
        <v>20803.21</v>
      </c>
      <c r="D1310">
        <v>22830</v>
      </c>
      <c r="E1310">
        <v>26928</v>
      </c>
      <c r="I1310" s="2251"/>
    </row>
    <row r="1311" spans="1:9">
      <c r="A1311" t="s">
        <v>1252</v>
      </c>
      <c r="B1311" s="2251">
        <v>44448</v>
      </c>
      <c r="C1311">
        <v>20748.439999999999</v>
      </c>
      <c r="E1311">
        <v>26931</v>
      </c>
      <c r="I1311" s="2251"/>
    </row>
    <row r="1312" spans="1:9">
      <c r="A1312" t="s">
        <v>1253</v>
      </c>
      <c r="B1312" s="2251">
        <v>44447</v>
      </c>
      <c r="D1312">
        <v>22818</v>
      </c>
      <c r="E1312">
        <v>26886</v>
      </c>
      <c r="I1312" s="2251"/>
    </row>
    <row r="1313" spans="1:9">
      <c r="A1313" t="s">
        <v>1249</v>
      </c>
      <c r="B1313" s="2251">
        <v>44446</v>
      </c>
      <c r="C1313">
        <v>20778.13</v>
      </c>
      <c r="D1313">
        <v>22814</v>
      </c>
      <c r="E1313">
        <v>26958</v>
      </c>
      <c r="I1313" s="2251"/>
    </row>
    <row r="1314" spans="1:9">
      <c r="A1314" t="s">
        <v>1250</v>
      </c>
      <c r="B1314" s="2251">
        <v>44445</v>
      </c>
      <c r="C1314">
        <v>20800.05</v>
      </c>
      <c r="D1314">
        <v>22816</v>
      </c>
      <c r="E1314">
        <v>27018</v>
      </c>
      <c r="I1314" s="2251"/>
    </row>
    <row r="1315" spans="1:9">
      <c r="C1315">
        <v>20772.52</v>
      </c>
      <c r="D1315">
        <v>22823</v>
      </c>
    </row>
    <row r="1316" spans="1:9">
      <c r="A1316" t="s">
        <v>1251</v>
      </c>
      <c r="B1316" s="2251">
        <v>44442</v>
      </c>
      <c r="C1316">
        <v>20834.82</v>
      </c>
      <c r="D1316">
        <v>22831</v>
      </c>
      <c r="E1316">
        <v>27059</v>
      </c>
      <c r="I1316" s="2251"/>
    </row>
    <row r="1317" spans="1:9">
      <c r="A1317" t="s">
        <v>1252</v>
      </c>
      <c r="B1317" s="2251">
        <v>44441</v>
      </c>
      <c r="C1317">
        <v>20909.93</v>
      </c>
      <c r="E1317">
        <v>27005</v>
      </c>
      <c r="I1317" s="2251"/>
    </row>
    <row r="1318" spans="1:9">
      <c r="A1318" t="s">
        <v>1253</v>
      </c>
      <c r="B1318" s="2251">
        <v>44440</v>
      </c>
      <c r="D1318">
        <v>22822</v>
      </c>
      <c r="E1318">
        <v>26965</v>
      </c>
      <c r="I1318" s="2251"/>
    </row>
    <row r="1319" spans="1:9">
      <c r="A1319" t="s">
        <v>1249</v>
      </c>
      <c r="B1319" s="2251">
        <v>44439</v>
      </c>
      <c r="C1319">
        <v>20772.32</v>
      </c>
      <c r="D1319">
        <v>22809</v>
      </c>
      <c r="E1319">
        <v>26901</v>
      </c>
      <c r="I1319" s="2251"/>
    </row>
    <row r="1320" spans="1:9">
      <c r="A1320" t="s">
        <v>1250</v>
      </c>
      <c r="B1320" s="2251">
        <v>44438</v>
      </c>
      <c r="C1320">
        <v>20670.14</v>
      </c>
      <c r="D1320">
        <v>22838</v>
      </c>
      <c r="E1320">
        <v>26872</v>
      </c>
      <c r="I1320" s="2251"/>
    </row>
    <row r="1321" spans="1:9">
      <c r="C1321">
        <v>20679.55</v>
      </c>
      <c r="D1321">
        <v>22906</v>
      </c>
    </row>
    <row r="1322" spans="1:9">
      <c r="A1322" t="s">
        <v>1251</v>
      </c>
      <c r="B1322" s="2251">
        <v>44435</v>
      </c>
      <c r="C1322">
        <v>20720.490000000002</v>
      </c>
      <c r="D1322">
        <v>22922</v>
      </c>
      <c r="E1322">
        <v>26878</v>
      </c>
      <c r="I1322" s="2251"/>
    </row>
    <row r="1323" spans="1:9">
      <c r="A1323" t="s">
        <v>1252</v>
      </c>
      <c r="B1323" s="2251">
        <v>44434</v>
      </c>
      <c r="C1323">
        <v>20774.46</v>
      </c>
      <c r="E1323">
        <v>26778</v>
      </c>
      <c r="I1323" s="2251"/>
    </row>
    <row r="1324" spans="1:9">
      <c r="A1324" t="s">
        <v>1253</v>
      </c>
      <c r="B1324" s="2251">
        <v>44433</v>
      </c>
      <c r="D1324">
        <v>22934</v>
      </c>
      <c r="E1324">
        <v>26834</v>
      </c>
      <c r="I1324" s="2251"/>
    </row>
    <row r="1325" spans="1:9">
      <c r="A1325" t="s">
        <v>1249</v>
      </c>
      <c r="B1325" s="2251">
        <v>44432</v>
      </c>
      <c r="C1325">
        <v>20808.09</v>
      </c>
      <c r="D1325">
        <v>22949</v>
      </c>
      <c r="E1325">
        <v>26835</v>
      </c>
      <c r="I1325" s="2251"/>
    </row>
    <row r="1326" spans="1:9">
      <c r="A1326" t="s">
        <v>1250</v>
      </c>
      <c r="B1326" s="2251">
        <v>44431</v>
      </c>
      <c r="C1326">
        <v>20937.57</v>
      </c>
      <c r="D1326">
        <v>22950</v>
      </c>
      <c r="E1326">
        <v>26790</v>
      </c>
      <c r="I1326" s="2251"/>
    </row>
    <row r="1327" spans="1:9">
      <c r="C1327">
        <v>20954.63</v>
      </c>
      <c r="D1327">
        <v>22936</v>
      </c>
    </row>
    <row r="1328" spans="1:9">
      <c r="A1328" t="s">
        <v>1251</v>
      </c>
      <c r="B1328" s="2251">
        <v>44428</v>
      </c>
      <c r="C1328">
        <v>21053.79</v>
      </c>
      <c r="D1328">
        <v>22956</v>
      </c>
      <c r="E1328">
        <v>26694</v>
      </c>
      <c r="I1328" s="2251"/>
    </row>
    <row r="1329" spans="1:9">
      <c r="A1329" t="s">
        <v>1252</v>
      </c>
      <c r="B1329" s="2251">
        <v>44427</v>
      </c>
      <c r="C1329">
        <v>20926.66</v>
      </c>
      <c r="E1329">
        <v>26672</v>
      </c>
      <c r="I1329" s="2251"/>
    </row>
    <row r="1330" spans="1:9">
      <c r="A1330" t="s">
        <v>1253</v>
      </c>
      <c r="B1330" s="2251">
        <v>44426</v>
      </c>
      <c r="D1330">
        <v>22947</v>
      </c>
      <c r="E1330">
        <v>26725</v>
      </c>
      <c r="I1330" s="2251"/>
    </row>
    <row r="1331" spans="1:9">
      <c r="A1331" t="s">
        <v>1249</v>
      </c>
      <c r="B1331" s="2251">
        <v>44425</v>
      </c>
      <c r="C1331">
        <v>20914.14</v>
      </c>
      <c r="D1331">
        <v>22968</v>
      </c>
      <c r="E1331">
        <v>26738</v>
      </c>
      <c r="I1331" s="2251"/>
    </row>
    <row r="1332" spans="1:9">
      <c r="A1332" t="s">
        <v>1250</v>
      </c>
      <c r="B1332" s="2251">
        <v>44424</v>
      </c>
      <c r="C1332">
        <v>20976.75</v>
      </c>
      <c r="D1332">
        <v>22992</v>
      </c>
      <c r="E1332">
        <v>26892</v>
      </c>
      <c r="I1332" s="2251"/>
    </row>
    <row r="1333" spans="1:9">
      <c r="C1333">
        <v>20891.38</v>
      </c>
      <c r="D1333">
        <v>23010</v>
      </c>
    </row>
    <row r="1334" spans="1:9">
      <c r="A1334" t="s">
        <v>1251</v>
      </c>
      <c r="B1334" s="2251">
        <v>44421</v>
      </c>
      <c r="C1334">
        <v>20878.77</v>
      </c>
      <c r="D1334">
        <v>23012</v>
      </c>
      <c r="E1334">
        <v>26935</v>
      </c>
      <c r="I1334" s="2251"/>
    </row>
    <row r="1335" spans="1:9">
      <c r="A1335" t="s">
        <v>1252</v>
      </c>
      <c r="B1335" s="2251">
        <v>44420</v>
      </c>
      <c r="C1335">
        <v>20866.88</v>
      </c>
      <c r="E1335">
        <v>26771</v>
      </c>
      <c r="I1335" s="2251"/>
    </row>
    <row r="1336" spans="1:9">
      <c r="A1336" t="s">
        <v>1253</v>
      </c>
      <c r="B1336" s="2251">
        <v>44419</v>
      </c>
      <c r="D1336">
        <v>22999</v>
      </c>
      <c r="E1336">
        <v>26796</v>
      </c>
      <c r="I1336" s="2251"/>
    </row>
    <row r="1337" spans="1:9">
      <c r="A1337" t="s">
        <v>1249</v>
      </c>
      <c r="B1337" s="2251">
        <v>44418</v>
      </c>
      <c r="C1337">
        <v>20814.52</v>
      </c>
      <c r="D1337">
        <v>23045</v>
      </c>
      <c r="E1337">
        <v>26845</v>
      </c>
      <c r="I1337" s="2251"/>
    </row>
    <row r="1338" spans="1:9">
      <c r="A1338" t="s">
        <v>1250</v>
      </c>
      <c r="B1338" s="2251">
        <v>44417</v>
      </c>
      <c r="C1338">
        <v>20918.73</v>
      </c>
      <c r="D1338">
        <v>23024</v>
      </c>
      <c r="E1338">
        <v>26905</v>
      </c>
      <c r="I1338" s="2251"/>
    </row>
    <row r="1339" spans="1:9">
      <c r="C1339">
        <v>20874.13</v>
      </c>
      <c r="D1339">
        <v>23017</v>
      </c>
    </row>
    <row r="1340" spans="1:9">
      <c r="A1340" t="s">
        <v>1251</v>
      </c>
      <c r="B1340" s="2251">
        <v>44414</v>
      </c>
      <c r="C1340">
        <v>20955.61</v>
      </c>
      <c r="D1340">
        <v>23017</v>
      </c>
      <c r="E1340">
        <v>26967</v>
      </c>
      <c r="I1340" s="2251"/>
    </row>
    <row r="1341" spans="1:9">
      <c r="A1341" t="s">
        <v>1252</v>
      </c>
      <c r="B1341" s="2251">
        <v>44413</v>
      </c>
      <c r="C1341">
        <v>21043.16</v>
      </c>
      <c r="E1341">
        <v>27167</v>
      </c>
      <c r="I1341" s="2251"/>
    </row>
    <row r="1342" spans="1:9">
      <c r="A1342" t="s">
        <v>1253</v>
      </c>
      <c r="B1342" s="2251">
        <v>44412</v>
      </c>
      <c r="D1342">
        <v>23010</v>
      </c>
      <c r="E1342">
        <v>27167</v>
      </c>
      <c r="I1342" s="2251"/>
    </row>
    <row r="1343" spans="1:9">
      <c r="A1343" t="s">
        <v>1249</v>
      </c>
      <c r="B1343" s="2251">
        <v>44411</v>
      </c>
      <c r="C1343">
        <v>20902.04</v>
      </c>
      <c r="D1343">
        <v>23015</v>
      </c>
      <c r="E1343">
        <v>27218</v>
      </c>
      <c r="I1343" s="2251"/>
    </row>
    <row r="1344" spans="1:9">
      <c r="A1344" t="s">
        <v>1250</v>
      </c>
      <c r="B1344" s="2251">
        <v>44410</v>
      </c>
      <c r="C1344">
        <v>20946.07</v>
      </c>
      <c r="D1344">
        <v>23017</v>
      </c>
      <c r="E1344">
        <v>27280</v>
      </c>
      <c r="I1344" s="2251"/>
    </row>
    <row r="1345" spans="1:9">
      <c r="C1345">
        <v>20824.21</v>
      </c>
      <c r="D1345">
        <v>23013</v>
      </c>
    </row>
    <row r="1346" spans="1:9">
      <c r="A1346" t="s">
        <v>1251</v>
      </c>
      <c r="B1346" s="2251">
        <v>44407</v>
      </c>
      <c r="C1346">
        <v>20805.53</v>
      </c>
      <c r="D1346">
        <v>23009</v>
      </c>
      <c r="E1346">
        <v>27238</v>
      </c>
      <c r="I1346" s="2251"/>
    </row>
    <row r="1347" spans="1:9">
      <c r="A1347" t="s">
        <v>1252</v>
      </c>
      <c r="B1347" s="2251">
        <v>44406</v>
      </c>
      <c r="C1347">
        <v>20900.18</v>
      </c>
      <c r="E1347">
        <v>27314</v>
      </c>
      <c r="I1347" s="2251"/>
    </row>
    <row r="1348" spans="1:9">
      <c r="A1348" t="s">
        <v>1253</v>
      </c>
      <c r="B1348" s="2251">
        <v>44405</v>
      </c>
      <c r="D1348">
        <v>22992</v>
      </c>
      <c r="E1348">
        <v>27244</v>
      </c>
      <c r="I1348" s="2251"/>
    </row>
    <row r="1349" spans="1:9">
      <c r="A1349" t="s">
        <v>1249</v>
      </c>
      <c r="B1349" s="2251">
        <v>44404</v>
      </c>
      <c r="C1349">
        <v>20878.099999999999</v>
      </c>
      <c r="D1349">
        <v>23002</v>
      </c>
      <c r="E1349">
        <v>27183</v>
      </c>
      <c r="I1349" s="2251"/>
    </row>
    <row r="1350" spans="1:9">
      <c r="A1350" t="s">
        <v>1250</v>
      </c>
      <c r="B1350" s="2251">
        <v>44403</v>
      </c>
      <c r="C1350">
        <v>20955.68</v>
      </c>
      <c r="D1350">
        <v>23013</v>
      </c>
      <c r="E1350">
        <v>27181</v>
      </c>
      <c r="I1350" s="2251"/>
    </row>
    <row r="1351" spans="1:9">
      <c r="C1351">
        <v>20774.09</v>
      </c>
      <c r="D1351">
        <v>23010</v>
      </c>
    </row>
    <row r="1352" spans="1:9">
      <c r="A1352" t="s">
        <v>1251</v>
      </c>
      <c r="B1352" s="2251">
        <v>44400</v>
      </c>
      <c r="C1352">
        <v>20788.73</v>
      </c>
      <c r="D1352">
        <v>22988</v>
      </c>
      <c r="E1352">
        <v>27056</v>
      </c>
      <c r="I1352" s="2251"/>
    </row>
    <row r="1353" spans="1:9">
      <c r="A1353" t="s">
        <v>1252</v>
      </c>
      <c r="B1353" s="2251">
        <v>44399</v>
      </c>
      <c r="C1353">
        <v>20727.2</v>
      </c>
      <c r="E1353">
        <v>27085</v>
      </c>
      <c r="I1353" s="2251"/>
    </row>
    <row r="1354" spans="1:9">
      <c r="A1354" t="s">
        <v>1253</v>
      </c>
      <c r="B1354" s="2251">
        <v>44398</v>
      </c>
      <c r="D1354">
        <v>22997</v>
      </c>
      <c r="E1354">
        <v>27157</v>
      </c>
      <c r="I1354" s="2251"/>
    </row>
    <row r="1355" spans="1:9">
      <c r="A1355" t="s">
        <v>1249</v>
      </c>
      <c r="B1355" s="2251">
        <v>44397</v>
      </c>
      <c r="C1355">
        <v>20711.98</v>
      </c>
      <c r="D1355">
        <v>23017</v>
      </c>
      <c r="E1355">
        <v>27119</v>
      </c>
      <c r="I1355" s="2251"/>
    </row>
    <row r="1356" spans="1:9">
      <c r="A1356" t="s">
        <v>1250</v>
      </c>
      <c r="B1356" s="2251">
        <v>44396</v>
      </c>
      <c r="C1356">
        <v>20632.87</v>
      </c>
      <c r="D1356">
        <v>23008</v>
      </c>
      <c r="E1356">
        <v>27161</v>
      </c>
      <c r="I1356" s="2251"/>
    </row>
    <row r="1357" spans="1:9">
      <c r="C1357">
        <v>20708.34</v>
      </c>
      <c r="D1357">
        <v>23023</v>
      </c>
    </row>
    <row r="1358" spans="1:9">
      <c r="A1358" t="s">
        <v>1251</v>
      </c>
      <c r="B1358" s="2251">
        <v>44393</v>
      </c>
      <c r="C1358">
        <v>20820.71</v>
      </c>
      <c r="D1358">
        <v>23015</v>
      </c>
      <c r="E1358">
        <v>27164</v>
      </c>
      <c r="I1358" s="2251"/>
    </row>
    <row r="1359" spans="1:9">
      <c r="A1359" t="s">
        <v>1252</v>
      </c>
      <c r="B1359" s="2251">
        <v>44392</v>
      </c>
      <c r="C1359">
        <v>20822.89</v>
      </c>
      <c r="E1359">
        <v>27165</v>
      </c>
      <c r="I1359" s="2251"/>
    </row>
    <row r="1360" spans="1:9">
      <c r="A1360" t="s">
        <v>1253</v>
      </c>
      <c r="B1360" s="2251">
        <v>44391</v>
      </c>
      <c r="D1360">
        <v>23012</v>
      </c>
      <c r="E1360">
        <v>27239</v>
      </c>
      <c r="I1360" s="2251"/>
    </row>
    <row r="1361" spans="1:9">
      <c r="A1361" t="s">
        <v>1249</v>
      </c>
      <c r="B1361" s="2251">
        <v>44390</v>
      </c>
      <c r="C1361">
        <v>20770.38</v>
      </c>
      <c r="D1361">
        <v>23010</v>
      </c>
      <c r="E1361">
        <v>27128</v>
      </c>
      <c r="I1361" s="2251"/>
    </row>
    <row r="1362" spans="1:9">
      <c r="A1362" t="s">
        <v>1250</v>
      </c>
      <c r="B1362" s="2251">
        <v>44389</v>
      </c>
      <c r="C1362">
        <v>20755.43</v>
      </c>
      <c r="D1362">
        <v>23014</v>
      </c>
      <c r="E1362">
        <v>27302</v>
      </c>
      <c r="I1362" s="2251"/>
    </row>
    <row r="1363" spans="1:9">
      <c r="C1363">
        <v>20739.88</v>
      </c>
      <c r="D1363">
        <v>23014</v>
      </c>
    </row>
    <row r="1364" spans="1:9">
      <c r="A1364" t="s">
        <v>1251</v>
      </c>
      <c r="B1364" s="2251">
        <v>44386</v>
      </c>
      <c r="C1364">
        <v>20812.57</v>
      </c>
      <c r="D1364">
        <v>23016</v>
      </c>
      <c r="E1364">
        <v>27314</v>
      </c>
      <c r="I1364" s="2251"/>
    </row>
    <row r="1365" spans="1:9">
      <c r="A1365" t="s">
        <v>1252</v>
      </c>
      <c r="B1365" s="2251">
        <v>44385</v>
      </c>
      <c r="C1365">
        <v>20907.48</v>
      </c>
      <c r="E1365">
        <v>27255</v>
      </c>
      <c r="I1365" s="2251"/>
    </row>
    <row r="1366" spans="1:9">
      <c r="A1366" t="s">
        <v>1253</v>
      </c>
      <c r="B1366" s="2251">
        <v>44384</v>
      </c>
      <c r="D1366">
        <v>23010</v>
      </c>
      <c r="E1366">
        <v>27158</v>
      </c>
      <c r="I1366" s="2251"/>
    </row>
    <row r="1367" spans="1:9">
      <c r="A1367" t="s">
        <v>1249</v>
      </c>
      <c r="B1367" s="2251">
        <v>44383</v>
      </c>
      <c r="C1367">
        <v>20895.669999999998</v>
      </c>
      <c r="D1367">
        <v>22964</v>
      </c>
      <c r="E1367">
        <v>27183</v>
      </c>
      <c r="I1367" s="2251"/>
    </row>
    <row r="1368" spans="1:9">
      <c r="A1368" t="s">
        <v>1250</v>
      </c>
      <c r="B1368" s="2251">
        <v>44382</v>
      </c>
      <c r="C1368">
        <v>20831.400000000001</v>
      </c>
      <c r="D1368">
        <v>22963</v>
      </c>
      <c r="E1368">
        <v>27267</v>
      </c>
      <c r="I1368" s="2251"/>
    </row>
    <row r="1369" spans="1:9">
      <c r="C1369">
        <v>20742.060000000001</v>
      </c>
      <c r="D1369">
        <v>22951</v>
      </c>
    </row>
    <row r="1370" spans="1:9">
      <c r="A1370" t="s">
        <v>1251</v>
      </c>
      <c r="B1370" s="2251">
        <v>44379</v>
      </c>
      <c r="C1370">
        <v>20851.86</v>
      </c>
      <c r="D1370">
        <v>22998</v>
      </c>
      <c r="E1370">
        <v>27290</v>
      </c>
      <c r="I1370" s="2251"/>
    </row>
    <row r="1371" spans="1:9">
      <c r="A1371" t="s">
        <v>1252</v>
      </c>
      <c r="B1371" s="2251">
        <v>44378</v>
      </c>
      <c r="C1371">
        <v>20892.48</v>
      </c>
      <c r="E1371">
        <v>27276</v>
      </c>
      <c r="I1371" s="2251"/>
    </row>
    <row r="1372" spans="1:9">
      <c r="A1372" t="s">
        <v>1253</v>
      </c>
      <c r="B1372" s="2251">
        <v>44377</v>
      </c>
      <c r="D1372">
        <v>22944</v>
      </c>
      <c r="E1372">
        <v>27286</v>
      </c>
      <c r="I1372" s="2251"/>
    </row>
    <row r="1373" spans="1:9">
      <c r="A1373" t="s">
        <v>1249</v>
      </c>
      <c r="B1373" s="2251">
        <v>44376</v>
      </c>
      <c r="C1373">
        <v>20920.09</v>
      </c>
      <c r="D1373">
        <v>22962</v>
      </c>
      <c r="E1373">
        <v>27406</v>
      </c>
      <c r="I1373" s="2251"/>
    </row>
    <row r="1374" spans="1:9">
      <c r="A1374" t="s">
        <v>1250</v>
      </c>
      <c r="B1374" s="2251">
        <v>44375</v>
      </c>
      <c r="C1374">
        <v>21003.53</v>
      </c>
      <c r="D1374">
        <v>22990</v>
      </c>
      <c r="E1374">
        <v>27444</v>
      </c>
      <c r="I1374" s="2251"/>
    </row>
    <row r="1375" spans="1:9">
      <c r="C1375">
        <v>20970.48</v>
      </c>
      <c r="D1375">
        <v>22964</v>
      </c>
    </row>
    <row r="1376" spans="1:9">
      <c r="A1376" t="s">
        <v>1251</v>
      </c>
      <c r="B1376" s="2251">
        <v>44372</v>
      </c>
      <c r="C1376">
        <v>20974.11</v>
      </c>
      <c r="D1376">
        <v>23026</v>
      </c>
      <c r="E1376">
        <v>27468</v>
      </c>
      <c r="I1376" s="2251"/>
    </row>
    <row r="1377" spans="1:9">
      <c r="A1377" t="s">
        <v>1252</v>
      </c>
      <c r="B1377" s="2251">
        <v>44371</v>
      </c>
      <c r="C1377">
        <v>21075.35</v>
      </c>
      <c r="E1377">
        <v>27492</v>
      </c>
      <c r="I1377" s="2251"/>
    </row>
    <row r="1378" spans="1:9">
      <c r="A1378" t="s">
        <v>1253</v>
      </c>
      <c r="B1378" s="2251">
        <v>44370</v>
      </c>
      <c r="D1378">
        <v>23038</v>
      </c>
      <c r="E1378">
        <v>27452</v>
      </c>
      <c r="I1378" s="2251"/>
    </row>
    <row r="1379" spans="1:9">
      <c r="A1379" t="s">
        <v>1249</v>
      </c>
      <c r="B1379" s="2251">
        <v>44369</v>
      </c>
      <c r="C1379">
        <v>21034.26</v>
      </c>
      <c r="D1379">
        <v>23035</v>
      </c>
      <c r="E1379">
        <v>27395</v>
      </c>
      <c r="I1379" s="2251"/>
    </row>
    <row r="1380" spans="1:9">
      <c r="A1380" t="s">
        <v>1250</v>
      </c>
      <c r="B1380" s="2251">
        <v>44368</v>
      </c>
      <c r="C1380">
        <v>20882.48</v>
      </c>
      <c r="D1380">
        <v>23047</v>
      </c>
      <c r="E1380">
        <v>27391</v>
      </c>
      <c r="I1380" s="2251"/>
    </row>
    <row r="1381" spans="1:9">
      <c r="C1381">
        <v>21032.720000000001</v>
      </c>
      <c r="D1381">
        <v>23046</v>
      </c>
    </row>
    <row r="1382" spans="1:9">
      <c r="A1382" t="s">
        <v>1251</v>
      </c>
      <c r="B1382" s="2251">
        <v>44365</v>
      </c>
      <c r="C1382">
        <v>21047.73</v>
      </c>
      <c r="D1382">
        <v>23048</v>
      </c>
      <c r="E1382">
        <v>27314</v>
      </c>
      <c r="I1382" s="2251"/>
    </row>
    <row r="1383" spans="1:9">
      <c r="A1383" t="s">
        <v>1252</v>
      </c>
      <c r="B1383" s="2251">
        <v>44364</v>
      </c>
      <c r="C1383">
        <v>21032.37</v>
      </c>
      <c r="E1383">
        <v>27332</v>
      </c>
      <c r="I1383" s="2251"/>
    </row>
    <row r="1384" spans="1:9">
      <c r="A1384" t="s">
        <v>1253</v>
      </c>
      <c r="B1384" s="2251">
        <v>44363</v>
      </c>
      <c r="D1384">
        <v>23039</v>
      </c>
      <c r="E1384">
        <v>27536</v>
      </c>
      <c r="I1384" s="2251"/>
    </row>
    <row r="1385" spans="1:9">
      <c r="A1385" t="s">
        <v>1249</v>
      </c>
      <c r="B1385" s="2251">
        <v>44362</v>
      </c>
      <c r="C1385">
        <v>20973.7</v>
      </c>
      <c r="D1385">
        <v>23043</v>
      </c>
      <c r="E1385">
        <v>27824</v>
      </c>
      <c r="I1385" s="2251"/>
    </row>
    <row r="1386" spans="1:9">
      <c r="A1386" t="s">
        <v>1250</v>
      </c>
      <c r="B1386" s="2251">
        <v>44361</v>
      </c>
      <c r="C1386">
        <v>20978.240000000002</v>
      </c>
      <c r="D1386">
        <v>23046</v>
      </c>
      <c r="E1386">
        <v>27845</v>
      </c>
      <c r="I1386" s="2251"/>
    </row>
    <row r="1387" spans="1:9">
      <c r="C1387">
        <v>21114.3</v>
      </c>
      <c r="D1387">
        <v>23056</v>
      </c>
    </row>
    <row r="1388" spans="1:9">
      <c r="A1388" t="s">
        <v>1251</v>
      </c>
      <c r="B1388" s="2251">
        <v>44358</v>
      </c>
      <c r="C1388">
        <v>21196.46</v>
      </c>
      <c r="D1388">
        <v>23056</v>
      </c>
      <c r="E1388">
        <v>27758</v>
      </c>
      <c r="I1388" s="2251"/>
    </row>
    <row r="1389" spans="1:9">
      <c r="A1389" t="s">
        <v>1252</v>
      </c>
      <c r="B1389" s="2251">
        <v>44357</v>
      </c>
      <c r="C1389">
        <v>21197.85</v>
      </c>
      <c r="E1389">
        <v>27945</v>
      </c>
      <c r="I1389" s="2251"/>
    </row>
    <row r="1390" spans="1:9">
      <c r="A1390" t="s">
        <v>1253</v>
      </c>
      <c r="B1390" s="2251">
        <v>44356</v>
      </c>
      <c r="D1390">
        <v>23052</v>
      </c>
      <c r="E1390">
        <v>28021</v>
      </c>
      <c r="I1390" s="2251"/>
    </row>
    <row r="1391" spans="1:9">
      <c r="A1391" t="s">
        <v>1249</v>
      </c>
      <c r="B1391" s="2251">
        <v>44355</v>
      </c>
      <c r="C1391">
        <v>21156.61</v>
      </c>
      <c r="D1391">
        <v>23048</v>
      </c>
      <c r="E1391">
        <v>27945</v>
      </c>
      <c r="I1391" s="2251"/>
    </row>
    <row r="1392" spans="1:9">
      <c r="A1392" t="s">
        <v>1250</v>
      </c>
      <c r="B1392" s="2251">
        <v>44354</v>
      </c>
      <c r="C1392">
        <v>21185.43</v>
      </c>
      <c r="D1392">
        <v>23047</v>
      </c>
      <c r="E1392">
        <v>28077</v>
      </c>
      <c r="I1392" s="2251"/>
    </row>
    <row r="1393" spans="1:9">
      <c r="C1393">
        <v>21101.54</v>
      </c>
      <c r="D1393">
        <v>23047</v>
      </c>
    </row>
    <row r="1394" spans="1:9">
      <c r="A1394" t="s">
        <v>1251</v>
      </c>
      <c r="B1394" s="2251">
        <v>44351</v>
      </c>
      <c r="C1394">
        <v>21165.62</v>
      </c>
      <c r="D1394">
        <v>23045</v>
      </c>
      <c r="E1394">
        <v>28042</v>
      </c>
      <c r="I1394" s="2251"/>
    </row>
    <row r="1395" spans="1:9">
      <c r="A1395" t="s">
        <v>1252</v>
      </c>
      <c r="B1395" s="2251">
        <v>44350</v>
      </c>
      <c r="C1395">
        <v>21095.51</v>
      </c>
      <c r="E1395">
        <v>27988</v>
      </c>
      <c r="I1395" s="2251"/>
    </row>
    <row r="1396" spans="1:9">
      <c r="A1396" t="s">
        <v>1253</v>
      </c>
      <c r="B1396" s="2251">
        <v>44349</v>
      </c>
      <c r="D1396">
        <v>23040</v>
      </c>
      <c r="E1396">
        <v>28145</v>
      </c>
      <c r="I1396" s="2251"/>
    </row>
    <row r="1397" spans="1:9">
      <c r="A1397" t="s">
        <v>1249</v>
      </c>
      <c r="B1397" s="2251">
        <v>44348</v>
      </c>
      <c r="C1397">
        <v>21070.67</v>
      </c>
      <c r="D1397">
        <v>23042</v>
      </c>
      <c r="E1397">
        <v>28207</v>
      </c>
      <c r="I1397" s="2251"/>
    </row>
    <row r="1398" spans="1:9">
      <c r="A1398" t="s">
        <v>1250</v>
      </c>
      <c r="B1398" s="2251">
        <v>44347</v>
      </c>
      <c r="C1398">
        <v>21051.19</v>
      </c>
      <c r="D1398">
        <v>23057</v>
      </c>
      <c r="E1398">
        <v>28117</v>
      </c>
      <c r="I1398" s="2251"/>
    </row>
    <row r="1399" spans="1:9">
      <c r="C1399">
        <v>21017.599999999999</v>
      </c>
      <c r="D1399">
        <v>23050</v>
      </c>
    </row>
    <row r="1400" spans="1:9">
      <c r="A1400" t="s">
        <v>1251</v>
      </c>
      <c r="B1400" s="2251">
        <v>44344</v>
      </c>
      <c r="C1400">
        <v>21220.82</v>
      </c>
      <c r="D1400">
        <v>23056</v>
      </c>
      <c r="E1400">
        <v>28107</v>
      </c>
      <c r="I1400" s="2251"/>
    </row>
    <row r="1401" spans="1:9">
      <c r="A1401" t="s">
        <v>1252</v>
      </c>
      <c r="B1401" s="2251">
        <v>44343</v>
      </c>
      <c r="C1401">
        <v>21183.87</v>
      </c>
      <c r="E1401">
        <v>28104</v>
      </c>
      <c r="I1401" s="2251"/>
    </row>
    <row r="1402" spans="1:9">
      <c r="A1402" t="s">
        <v>1253</v>
      </c>
      <c r="B1402" s="2251">
        <v>44342</v>
      </c>
      <c r="D1402">
        <v>23065</v>
      </c>
      <c r="E1402">
        <v>28135</v>
      </c>
      <c r="I1402" s="2251"/>
    </row>
    <row r="1403" spans="1:9">
      <c r="A1403" t="s">
        <v>1249</v>
      </c>
      <c r="B1403" s="2251">
        <v>44341</v>
      </c>
      <c r="C1403">
        <v>21239.5</v>
      </c>
      <c r="D1403">
        <v>23058</v>
      </c>
      <c r="E1403">
        <v>28220</v>
      </c>
      <c r="I1403" s="2251"/>
    </row>
    <row r="1404" spans="1:9">
      <c r="A1404" t="s">
        <v>1250</v>
      </c>
      <c r="B1404" s="2251">
        <v>44340</v>
      </c>
      <c r="C1404">
        <v>21136.880000000001</v>
      </c>
      <c r="D1404">
        <v>23052</v>
      </c>
      <c r="E1404">
        <v>28149</v>
      </c>
      <c r="I1404" s="2251"/>
    </row>
    <row r="1405" spans="1:9">
      <c r="C1405">
        <v>21121.33</v>
      </c>
      <c r="D1405">
        <v>23051</v>
      </c>
    </row>
    <row r="1406" spans="1:9">
      <c r="A1406" t="s">
        <v>1251</v>
      </c>
      <c r="B1406" s="2251">
        <v>44337</v>
      </c>
      <c r="C1406">
        <v>21090.89</v>
      </c>
      <c r="D1406">
        <v>23048</v>
      </c>
      <c r="E1406">
        <v>28073</v>
      </c>
      <c r="I1406" s="2251"/>
    </row>
    <row r="1407" spans="1:9">
      <c r="A1407" t="s">
        <v>1252</v>
      </c>
      <c r="B1407" s="2251">
        <v>44336</v>
      </c>
      <c r="C1407">
        <v>21131.23</v>
      </c>
      <c r="E1407">
        <v>28118</v>
      </c>
      <c r="I1407" s="2251"/>
    </row>
    <row r="1408" spans="1:9">
      <c r="A1408" t="s">
        <v>1253</v>
      </c>
      <c r="B1408" s="2251">
        <v>44335</v>
      </c>
      <c r="D1408">
        <v>23053</v>
      </c>
      <c r="E1408">
        <v>28150</v>
      </c>
      <c r="I1408" s="2251"/>
    </row>
    <row r="1409" spans="1:9">
      <c r="A1409" t="s">
        <v>1249</v>
      </c>
      <c r="B1409" s="2251">
        <v>44334</v>
      </c>
      <c r="C1409">
        <v>21083.34</v>
      </c>
      <c r="D1409">
        <v>23047</v>
      </c>
      <c r="E1409">
        <v>28183</v>
      </c>
      <c r="I1409" s="2251"/>
    </row>
    <row r="1410" spans="1:9">
      <c r="A1410" t="s">
        <v>1250</v>
      </c>
      <c r="B1410" s="2251">
        <v>44333</v>
      </c>
      <c r="C1410">
        <v>21165.27</v>
      </c>
      <c r="D1410">
        <v>23047</v>
      </c>
      <c r="E1410">
        <v>28017</v>
      </c>
      <c r="I1410" s="2251"/>
    </row>
    <row r="1411" spans="1:9">
      <c r="C1411">
        <v>21220.94</v>
      </c>
      <c r="D1411">
        <v>23051</v>
      </c>
    </row>
    <row r="1412" spans="1:9">
      <c r="A1412" t="s">
        <v>1251</v>
      </c>
      <c r="B1412" s="2251">
        <v>44330</v>
      </c>
      <c r="C1412">
        <v>21195.47</v>
      </c>
      <c r="E1412">
        <v>27989</v>
      </c>
      <c r="I1412" s="2251"/>
    </row>
    <row r="1413" spans="1:9">
      <c r="A1413" t="s">
        <v>1252</v>
      </c>
      <c r="B1413" s="2251">
        <v>44329</v>
      </c>
      <c r="C1413">
        <v>21325.05</v>
      </c>
      <c r="D1413">
        <v>23061</v>
      </c>
      <c r="E1413">
        <v>27816</v>
      </c>
      <c r="I1413" s="2251"/>
    </row>
    <row r="1414" spans="1:9">
      <c r="A1414" t="s">
        <v>1253</v>
      </c>
      <c r="B1414" s="2251">
        <v>44328</v>
      </c>
      <c r="D1414">
        <v>23062</v>
      </c>
      <c r="E1414">
        <v>27969</v>
      </c>
      <c r="I1414" s="2251"/>
    </row>
    <row r="1415" spans="1:9">
      <c r="A1415" t="s">
        <v>1249</v>
      </c>
      <c r="B1415" s="2251">
        <v>44327</v>
      </c>
      <c r="C1415">
        <v>21378.36</v>
      </c>
      <c r="D1415">
        <v>23071</v>
      </c>
      <c r="E1415">
        <v>28050</v>
      </c>
      <c r="I1415" s="2251"/>
    </row>
    <row r="1416" spans="1:9">
      <c r="A1416" t="s">
        <v>1250</v>
      </c>
      <c r="B1416" s="2251">
        <v>44326</v>
      </c>
      <c r="C1416">
        <v>21359.19</v>
      </c>
      <c r="D1416">
        <v>23063</v>
      </c>
      <c r="E1416">
        <v>28044</v>
      </c>
      <c r="I1416" s="2251"/>
    </row>
    <row r="1417" spans="1:9">
      <c r="C1417">
        <v>21351.68</v>
      </c>
    </row>
    <row r="1418" spans="1:9">
      <c r="A1418" t="s">
        <v>1251</v>
      </c>
      <c r="B1418" s="2251">
        <v>44323</v>
      </c>
      <c r="C1418">
        <v>21345.89</v>
      </c>
      <c r="D1418">
        <v>23062</v>
      </c>
      <c r="E1418">
        <v>27833</v>
      </c>
      <c r="I1418" s="2251"/>
    </row>
    <row r="1419" spans="1:9">
      <c r="A1419" t="s">
        <v>1252</v>
      </c>
      <c r="B1419" s="2251">
        <v>44322</v>
      </c>
      <c r="C1419">
        <v>21327.93</v>
      </c>
      <c r="D1419">
        <v>23074</v>
      </c>
      <c r="E1419">
        <v>27786</v>
      </c>
      <c r="I1419" s="2251"/>
    </row>
    <row r="1420" spans="1:9">
      <c r="A1420" t="s">
        <v>1253</v>
      </c>
      <c r="B1420" s="2251">
        <v>44321</v>
      </c>
      <c r="D1420">
        <v>23078</v>
      </c>
      <c r="E1420">
        <v>27648</v>
      </c>
      <c r="I1420" s="2251"/>
    </row>
    <row r="1421" spans="1:9">
      <c r="A1421" t="s">
        <v>1249</v>
      </c>
      <c r="B1421" s="2251">
        <v>44320</v>
      </c>
      <c r="C1421">
        <v>21197.200000000001</v>
      </c>
      <c r="D1421">
        <v>23071</v>
      </c>
      <c r="E1421">
        <v>27709</v>
      </c>
      <c r="I1421" s="2251"/>
    </row>
    <row r="1422" spans="1:9">
      <c r="C1422">
        <v>21217.1</v>
      </c>
      <c r="D1422">
        <v>23057</v>
      </c>
      <c r="I1422" s="2251"/>
    </row>
    <row r="1423" spans="1:9">
      <c r="A1423" t="s">
        <v>1252</v>
      </c>
      <c r="B1423" s="2251">
        <v>44315</v>
      </c>
      <c r="C1423">
        <v>21183.62</v>
      </c>
      <c r="E1423">
        <v>27968</v>
      </c>
    </row>
    <row r="1424" spans="1:9">
      <c r="A1424" t="s">
        <v>1253</v>
      </c>
      <c r="B1424" s="2251">
        <v>44314</v>
      </c>
      <c r="C1424">
        <v>21155.14</v>
      </c>
      <c r="D1424">
        <v>23063</v>
      </c>
      <c r="E1424">
        <v>27837</v>
      </c>
      <c r="I1424" s="2251"/>
    </row>
    <row r="1425" spans="1:9">
      <c r="A1425" t="s">
        <v>1249</v>
      </c>
      <c r="B1425" s="2251">
        <v>44313</v>
      </c>
      <c r="C1425">
        <v>21079.65</v>
      </c>
      <c r="D1425">
        <v>23077</v>
      </c>
      <c r="E1425">
        <v>27807</v>
      </c>
      <c r="I1425" s="2251"/>
    </row>
    <row r="1426" spans="1:9">
      <c r="A1426" t="s">
        <v>1250</v>
      </c>
      <c r="B1426" s="2251">
        <v>44312</v>
      </c>
      <c r="D1426">
        <v>23082</v>
      </c>
      <c r="E1426">
        <v>27881</v>
      </c>
      <c r="I1426" s="2251"/>
    </row>
    <row r="1427" spans="1:9">
      <c r="C1427">
        <v>21030.11</v>
      </c>
      <c r="D1427">
        <v>23081</v>
      </c>
      <c r="I1427" s="2251"/>
    </row>
    <row r="1428" spans="1:9">
      <c r="A1428" t="s">
        <v>1251</v>
      </c>
      <c r="B1428" s="2251">
        <v>44309</v>
      </c>
      <c r="C1428">
        <v>21119.81</v>
      </c>
      <c r="D1428">
        <v>23076</v>
      </c>
      <c r="E1428">
        <v>27720</v>
      </c>
      <c r="I1428" s="2251"/>
    </row>
    <row r="1429" spans="1:9">
      <c r="A1429" t="s">
        <v>1252</v>
      </c>
      <c r="B1429" s="2251">
        <v>44308</v>
      </c>
      <c r="C1429">
        <v>21014.17</v>
      </c>
      <c r="E1429">
        <v>27772</v>
      </c>
    </row>
    <row r="1430" spans="1:9">
      <c r="A1430" t="s">
        <v>1249</v>
      </c>
      <c r="B1430" s="2251">
        <v>44306</v>
      </c>
      <c r="C1430">
        <v>21032.13</v>
      </c>
      <c r="D1430">
        <v>23073</v>
      </c>
      <c r="E1430">
        <v>27805</v>
      </c>
      <c r="I1430" s="2251"/>
    </row>
    <row r="1431" spans="1:9">
      <c r="C1431">
        <v>20943.55</v>
      </c>
      <c r="D1431">
        <v>23076</v>
      </c>
      <c r="I1431" s="2251"/>
    </row>
    <row r="1432" spans="1:9">
      <c r="A1432" t="s">
        <v>1251</v>
      </c>
      <c r="B1432" s="2251">
        <v>44302</v>
      </c>
      <c r="D1432">
        <v>23065</v>
      </c>
      <c r="E1432">
        <v>27628</v>
      </c>
      <c r="I1432" s="2251"/>
    </row>
    <row r="1433" spans="1:9">
      <c r="A1433" t="s">
        <v>1252</v>
      </c>
      <c r="B1433" s="2251">
        <v>44301</v>
      </c>
      <c r="C1433">
        <v>20847.13</v>
      </c>
      <c r="D1433">
        <v>23071</v>
      </c>
      <c r="E1433">
        <v>27648</v>
      </c>
      <c r="I1433" s="2251"/>
    </row>
    <row r="1434" spans="1:9">
      <c r="A1434" t="s">
        <v>1253</v>
      </c>
      <c r="B1434" s="2251">
        <v>44300</v>
      </c>
      <c r="C1434">
        <v>20863.05</v>
      </c>
      <c r="D1434">
        <v>23076</v>
      </c>
      <c r="E1434">
        <v>27614</v>
      </c>
      <c r="I1434" s="2251"/>
    </row>
    <row r="1435" spans="1:9">
      <c r="A1435" t="s">
        <v>1249</v>
      </c>
      <c r="B1435" s="2251">
        <v>44299</v>
      </c>
      <c r="C1435">
        <v>20832.759999999998</v>
      </c>
      <c r="E1435">
        <v>27461</v>
      </c>
    </row>
    <row r="1436" spans="1:9">
      <c r="A1436" t="s">
        <v>1250</v>
      </c>
      <c r="B1436" s="2251">
        <v>44298</v>
      </c>
      <c r="C1436">
        <v>20907.060000000001</v>
      </c>
      <c r="D1436">
        <v>23076</v>
      </c>
      <c r="E1436">
        <v>27435</v>
      </c>
      <c r="I1436" s="2251"/>
    </row>
    <row r="1437" spans="1:9">
      <c r="C1437">
        <v>21009.57</v>
      </c>
      <c r="D1437">
        <v>23074</v>
      </c>
      <c r="I1437" s="2251"/>
    </row>
    <row r="1438" spans="1:9">
      <c r="A1438" t="s">
        <v>1251</v>
      </c>
      <c r="B1438" s="2251">
        <v>44295</v>
      </c>
      <c r="D1438">
        <v>23072</v>
      </c>
      <c r="E1438">
        <v>27429</v>
      </c>
      <c r="I1438" s="2251"/>
    </row>
    <row r="1439" spans="1:9">
      <c r="A1439" t="s">
        <v>1252</v>
      </c>
      <c r="B1439" s="2251">
        <v>44294</v>
      </c>
      <c r="C1439">
        <v>21039.55</v>
      </c>
      <c r="D1439">
        <v>23069</v>
      </c>
      <c r="E1439">
        <v>27389</v>
      </c>
      <c r="I1439" s="2251"/>
    </row>
    <row r="1440" spans="1:9">
      <c r="A1440" t="s">
        <v>1253</v>
      </c>
      <c r="B1440" s="2251">
        <v>44293</v>
      </c>
      <c r="C1440">
        <v>21132.38</v>
      </c>
      <c r="D1440">
        <v>23068</v>
      </c>
      <c r="E1440">
        <v>27438</v>
      </c>
      <c r="I1440" s="2251"/>
    </row>
    <row r="1441" spans="1:9">
      <c r="A1441" t="s">
        <v>1249</v>
      </c>
      <c r="B1441" s="2251">
        <v>44292</v>
      </c>
      <c r="C1441">
        <v>21220.04</v>
      </c>
      <c r="E1441">
        <v>27276</v>
      </c>
    </row>
    <row r="1442" spans="1:9">
      <c r="C1442">
        <v>21245.78</v>
      </c>
      <c r="D1442">
        <v>23064</v>
      </c>
      <c r="I1442" s="2251"/>
    </row>
    <row r="1443" spans="1:9">
      <c r="A1443" t="s">
        <v>1251</v>
      </c>
      <c r="B1443" s="2251">
        <v>44288</v>
      </c>
      <c r="C1443">
        <v>21193.35</v>
      </c>
      <c r="D1443">
        <v>23064</v>
      </c>
      <c r="E1443">
        <v>27190</v>
      </c>
      <c r="I1443" s="2251"/>
    </row>
    <row r="1444" spans="1:9">
      <c r="A1444" t="s">
        <v>1252</v>
      </c>
      <c r="B1444" s="2251">
        <v>44287</v>
      </c>
      <c r="D1444">
        <v>23068</v>
      </c>
      <c r="E1444">
        <v>27089</v>
      </c>
      <c r="I1444" s="2251"/>
    </row>
    <row r="1445" spans="1:9">
      <c r="A1445" t="s">
        <v>1253</v>
      </c>
      <c r="B1445" s="2251">
        <v>44286</v>
      </c>
      <c r="C1445">
        <v>21182.78</v>
      </c>
      <c r="D1445">
        <v>23079</v>
      </c>
      <c r="E1445">
        <v>27091</v>
      </c>
      <c r="I1445" s="2251"/>
    </row>
    <row r="1446" spans="1:9">
      <c r="A1446" t="s">
        <v>1249</v>
      </c>
      <c r="B1446" s="2251">
        <v>44285</v>
      </c>
      <c r="C1446">
        <v>21180.52</v>
      </c>
      <c r="D1446">
        <v>23059</v>
      </c>
      <c r="E1446">
        <v>27107</v>
      </c>
      <c r="I1446" s="2251"/>
    </row>
    <row r="1447" spans="1:9">
      <c r="C1447">
        <v>21193.360000000001</v>
      </c>
    </row>
    <row r="1448" spans="1:9">
      <c r="A1448" t="s">
        <v>1251</v>
      </c>
      <c r="B1448" s="2251">
        <v>44281</v>
      </c>
      <c r="C1448">
        <v>21171.67</v>
      </c>
      <c r="D1448">
        <v>23046</v>
      </c>
      <c r="E1448">
        <v>27214</v>
      </c>
      <c r="I1448" s="2251"/>
    </row>
    <row r="1449" spans="1:9">
      <c r="A1449" t="s">
        <v>1252</v>
      </c>
      <c r="B1449" s="2251">
        <v>44280</v>
      </c>
      <c r="C1449">
        <v>21131.63</v>
      </c>
      <c r="D1449">
        <v>23051</v>
      </c>
      <c r="E1449">
        <v>27145</v>
      </c>
      <c r="I1449" s="2251"/>
    </row>
    <row r="1450" spans="1:9">
      <c r="A1450" t="s">
        <v>1253</v>
      </c>
      <c r="B1450" s="2251">
        <v>44279</v>
      </c>
      <c r="D1450">
        <v>23044</v>
      </c>
      <c r="E1450">
        <v>27254</v>
      </c>
      <c r="I1450" s="2251"/>
    </row>
    <row r="1451" spans="1:9">
      <c r="A1451" t="s">
        <v>1249</v>
      </c>
      <c r="B1451" s="2251">
        <v>44278</v>
      </c>
      <c r="C1451">
        <v>21137.06</v>
      </c>
      <c r="D1451">
        <v>23049</v>
      </c>
      <c r="E1451">
        <v>27335</v>
      </c>
      <c r="I1451" s="2251"/>
    </row>
    <row r="1452" spans="1:9">
      <c r="A1452" t="s">
        <v>1250</v>
      </c>
      <c r="B1452" s="2251">
        <v>44277</v>
      </c>
      <c r="C1452">
        <v>21243.040000000001</v>
      </c>
      <c r="D1452">
        <v>23046</v>
      </c>
      <c r="E1452">
        <v>27526</v>
      </c>
      <c r="I1452" s="2251"/>
    </row>
    <row r="1453" spans="1:9">
      <c r="C1453">
        <v>21258.31</v>
      </c>
    </row>
    <row r="1454" spans="1:9">
      <c r="A1454" t="s">
        <v>1251</v>
      </c>
      <c r="B1454" s="2251">
        <v>44274</v>
      </c>
      <c r="C1454">
        <v>21244.44</v>
      </c>
      <c r="D1454">
        <v>23035</v>
      </c>
      <c r="E1454">
        <v>27457</v>
      </c>
      <c r="I1454" s="2251"/>
    </row>
    <row r="1455" spans="1:9">
      <c r="A1455" t="s">
        <v>1252</v>
      </c>
      <c r="B1455" s="2251">
        <v>44273</v>
      </c>
      <c r="C1455">
        <v>21159.62</v>
      </c>
      <c r="D1455">
        <v>23022</v>
      </c>
      <c r="E1455">
        <v>27483</v>
      </c>
      <c r="I1455" s="2251"/>
    </row>
    <row r="1456" spans="1:9">
      <c r="A1456" t="s">
        <v>1253</v>
      </c>
      <c r="B1456" s="2251">
        <v>44272</v>
      </c>
      <c r="D1456">
        <v>23014</v>
      </c>
      <c r="E1456">
        <v>27636</v>
      </c>
      <c r="I1456" s="2251"/>
    </row>
    <row r="1457" spans="1:9">
      <c r="A1457" t="s">
        <v>1249</v>
      </c>
      <c r="B1457" s="2251">
        <v>44271</v>
      </c>
      <c r="C1457">
        <v>21251.47</v>
      </c>
      <c r="D1457">
        <v>23015</v>
      </c>
      <c r="E1457">
        <v>27469</v>
      </c>
      <c r="I1457" s="2251"/>
    </row>
    <row r="1458" spans="1:9">
      <c r="A1458" t="s">
        <v>1250</v>
      </c>
      <c r="B1458" s="2251">
        <v>44270</v>
      </c>
      <c r="C1458">
        <v>21320.25</v>
      </c>
      <c r="D1458">
        <v>23019</v>
      </c>
      <c r="E1458">
        <v>27510</v>
      </c>
      <c r="I1458" s="2251"/>
    </row>
    <row r="1459" spans="1:9">
      <c r="C1459">
        <v>21503.68</v>
      </c>
    </row>
    <row r="1460" spans="1:9">
      <c r="A1460" t="s">
        <v>1251</v>
      </c>
      <c r="B1460" s="2251">
        <v>44267</v>
      </c>
      <c r="C1460">
        <v>21571.87</v>
      </c>
      <c r="D1460">
        <v>23018</v>
      </c>
      <c r="E1460">
        <v>27547</v>
      </c>
      <c r="I1460" s="2251"/>
    </row>
    <row r="1461" spans="1:9">
      <c r="A1461" t="s">
        <v>1252</v>
      </c>
      <c r="B1461" s="2251">
        <v>44266</v>
      </c>
      <c r="C1461">
        <v>21561.11</v>
      </c>
      <c r="D1461">
        <v>23022</v>
      </c>
      <c r="E1461">
        <v>27627</v>
      </c>
      <c r="I1461" s="2251"/>
    </row>
    <row r="1462" spans="1:9">
      <c r="A1462" t="s">
        <v>1253</v>
      </c>
      <c r="B1462" s="2251">
        <v>44265</v>
      </c>
      <c r="D1462">
        <v>23107</v>
      </c>
      <c r="E1462">
        <v>27489</v>
      </c>
      <c r="I1462" s="2251"/>
    </row>
    <row r="1463" spans="1:9">
      <c r="A1463" t="s">
        <v>1249</v>
      </c>
      <c r="B1463" s="2251">
        <v>44264</v>
      </c>
      <c r="C1463">
        <v>21601.79</v>
      </c>
      <c r="D1463">
        <v>23026</v>
      </c>
      <c r="E1463">
        <v>27431</v>
      </c>
      <c r="I1463" s="2251"/>
    </row>
    <row r="1464" spans="1:9">
      <c r="A1464" t="s">
        <v>1250</v>
      </c>
      <c r="B1464" s="2251">
        <v>44263</v>
      </c>
      <c r="C1464">
        <v>21668.17</v>
      </c>
      <c r="D1464">
        <v>23015</v>
      </c>
      <c r="E1464">
        <v>27301</v>
      </c>
      <c r="I1464" s="2251"/>
    </row>
    <row r="1465" spans="1:9">
      <c r="C1465">
        <v>21831.39</v>
      </c>
    </row>
    <row r="1466" spans="1:9">
      <c r="A1466" t="s">
        <v>1251</v>
      </c>
      <c r="B1466" s="2251">
        <v>44260</v>
      </c>
      <c r="C1466">
        <v>21877.23</v>
      </c>
      <c r="D1466">
        <v>23015</v>
      </c>
      <c r="E1466">
        <v>27441</v>
      </c>
      <c r="I1466" s="2251"/>
    </row>
    <row r="1467" spans="1:9">
      <c r="A1467" t="s">
        <v>1252</v>
      </c>
      <c r="B1467" s="2251">
        <v>44259</v>
      </c>
      <c r="C1467">
        <v>21903.52</v>
      </c>
      <c r="D1467">
        <v>23010</v>
      </c>
      <c r="E1467">
        <v>27565</v>
      </c>
      <c r="I1467" s="2251"/>
    </row>
    <row r="1468" spans="1:9">
      <c r="A1468" t="s">
        <v>1253</v>
      </c>
      <c r="B1468" s="2251">
        <v>44258</v>
      </c>
      <c r="D1468">
        <v>23015</v>
      </c>
      <c r="E1468">
        <v>27760</v>
      </c>
      <c r="I1468" s="2251"/>
    </row>
    <row r="1469" spans="1:9">
      <c r="A1469" t="s">
        <v>1249</v>
      </c>
      <c r="B1469" s="2251">
        <v>44257</v>
      </c>
      <c r="C1469">
        <v>21828.87</v>
      </c>
      <c r="D1469">
        <v>22996</v>
      </c>
      <c r="E1469">
        <v>27827</v>
      </c>
      <c r="I1469" s="2251"/>
    </row>
    <row r="1470" spans="1:9">
      <c r="A1470" t="s">
        <v>1250</v>
      </c>
      <c r="B1470" s="2251">
        <v>44256</v>
      </c>
      <c r="C1470">
        <v>21775.38</v>
      </c>
      <c r="E1470">
        <v>27735</v>
      </c>
      <c r="I1470" s="2251"/>
    </row>
    <row r="1471" spans="1:9">
      <c r="C1471">
        <v>21739.73</v>
      </c>
      <c r="D1471">
        <v>22996</v>
      </c>
    </row>
    <row r="1472" spans="1:9">
      <c r="A1472" t="s">
        <v>1251</v>
      </c>
      <c r="B1472" s="2251">
        <v>44253</v>
      </c>
      <c r="C1472">
        <v>21684</v>
      </c>
      <c r="D1472">
        <v>22996</v>
      </c>
      <c r="E1472">
        <v>27789</v>
      </c>
      <c r="I1472" s="2251"/>
    </row>
    <row r="1473" spans="1:9">
      <c r="A1473" t="s">
        <v>1252</v>
      </c>
      <c r="B1473" s="2251">
        <v>44252</v>
      </c>
      <c r="C1473">
        <v>21822.69</v>
      </c>
      <c r="D1473">
        <v>22976</v>
      </c>
      <c r="E1473">
        <v>28029</v>
      </c>
      <c r="I1473" s="2251"/>
    </row>
    <row r="1474" spans="1:9">
      <c r="A1474" t="s">
        <v>1253</v>
      </c>
      <c r="B1474" s="2251">
        <v>44251</v>
      </c>
      <c r="D1474">
        <v>22970</v>
      </c>
      <c r="E1474">
        <v>28121</v>
      </c>
      <c r="I1474" s="2251"/>
    </row>
    <row r="1475" spans="1:9">
      <c r="A1475" t="s">
        <v>1249</v>
      </c>
      <c r="B1475" s="2251">
        <v>44250</v>
      </c>
      <c r="C1475">
        <v>21917.17</v>
      </c>
      <c r="E1475">
        <v>27978</v>
      </c>
      <c r="I1475" s="2251"/>
    </row>
    <row r="1476" spans="1:9">
      <c r="A1476" t="s">
        <v>1250</v>
      </c>
      <c r="B1476" s="2251">
        <v>44249</v>
      </c>
      <c r="C1476">
        <v>21954.799999999999</v>
      </c>
      <c r="D1476">
        <v>22999</v>
      </c>
      <c r="E1476">
        <v>27983</v>
      </c>
      <c r="I1476" s="2251"/>
    </row>
    <row r="1477" spans="1:9">
      <c r="C1477">
        <v>21966.16</v>
      </c>
      <c r="D1477">
        <v>23026</v>
      </c>
    </row>
    <row r="1478" spans="1:9">
      <c r="A1478" t="s">
        <v>1251</v>
      </c>
      <c r="B1478" s="2251">
        <v>44246</v>
      </c>
      <c r="C1478">
        <v>21973.56</v>
      </c>
      <c r="D1478">
        <v>23029</v>
      </c>
      <c r="E1478">
        <v>27890</v>
      </c>
      <c r="I1478" s="2251"/>
    </row>
    <row r="1479" spans="1:9">
      <c r="A1479" t="s">
        <v>1252</v>
      </c>
      <c r="B1479" s="2251">
        <v>44245</v>
      </c>
      <c r="C1479">
        <v>21828.14</v>
      </c>
      <c r="D1479">
        <v>23027</v>
      </c>
      <c r="E1479">
        <v>27826</v>
      </c>
      <c r="I1479" s="2251"/>
    </row>
    <row r="1480" spans="1:9">
      <c r="A1480" t="s">
        <v>1253</v>
      </c>
      <c r="B1480" s="2251">
        <v>44244</v>
      </c>
      <c r="D1480">
        <v>23041</v>
      </c>
      <c r="E1480">
        <v>27711</v>
      </c>
      <c r="I1480" s="2251"/>
    </row>
    <row r="1481" spans="1:9">
      <c r="A1481" t="s">
        <v>1249</v>
      </c>
      <c r="B1481" s="2251">
        <v>44243</v>
      </c>
      <c r="C1481">
        <v>21823.21</v>
      </c>
      <c r="E1481">
        <v>27835</v>
      </c>
      <c r="I1481" s="2251"/>
    </row>
    <row r="1482" spans="1:9">
      <c r="A1482" t="s">
        <v>1250</v>
      </c>
      <c r="B1482" s="2251">
        <v>44242</v>
      </c>
      <c r="C1482">
        <v>21812.2</v>
      </c>
      <c r="D1482">
        <v>23049</v>
      </c>
      <c r="E1482">
        <v>27890</v>
      </c>
      <c r="I1482" s="2251"/>
    </row>
    <row r="1483" spans="1:9">
      <c r="C1483">
        <v>21925.73</v>
      </c>
      <c r="D1483">
        <v>23053</v>
      </c>
    </row>
    <row r="1484" spans="1:9">
      <c r="A1484" t="s">
        <v>1251</v>
      </c>
      <c r="B1484" s="2251">
        <v>44239</v>
      </c>
      <c r="C1484">
        <v>21936.22</v>
      </c>
      <c r="D1484">
        <v>23069</v>
      </c>
      <c r="E1484">
        <v>27871</v>
      </c>
      <c r="I1484" s="2251"/>
    </row>
    <row r="1485" spans="1:9">
      <c r="A1485" t="s">
        <v>1252</v>
      </c>
      <c r="B1485" s="2251">
        <v>44238</v>
      </c>
      <c r="C1485">
        <v>21955.360000000001</v>
      </c>
      <c r="D1485">
        <v>23060</v>
      </c>
      <c r="E1485">
        <v>27898</v>
      </c>
      <c r="I1485" s="2251"/>
    </row>
    <row r="1486" spans="1:9">
      <c r="A1486" t="s">
        <v>1253</v>
      </c>
      <c r="B1486" s="2251">
        <v>44237</v>
      </c>
      <c r="D1486">
        <v>23061</v>
      </c>
      <c r="E1486">
        <v>27844</v>
      </c>
      <c r="I1486" s="2251"/>
    </row>
    <row r="1487" spans="1:9">
      <c r="A1487" t="s">
        <v>1249</v>
      </c>
      <c r="B1487" s="2251">
        <v>44236</v>
      </c>
      <c r="C1487">
        <v>22009.52</v>
      </c>
      <c r="E1487">
        <v>27846</v>
      </c>
      <c r="I1487" s="2251"/>
    </row>
    <row r="1488" spans="1:9">
      <c r="A1488" t="s">
        <v>1250</v>
      </c>
      <c r="B1488" s="2251">
        <v>44235</v>
      </c>
      <c r="C1488">
        <v>22110.9</v>
      </c>
      <c r="D1488">
        <v>23074</v>
      </c>
      <c r="E1488">
        <v>27680</v>
      </c>
      <c r="I1488" s="2251"/>
    </row>
    <row r="1489" spans="1:9">
      <c r="C1489">
        <v>22157.63</v>
      </c>
      <c r="D1489">
        <v>23073</v>
      </c>
    </row>
    <row r="1490" spans="1:9">
      <c r="A1490" t="s">
        <v>1251</v>
      </c>
      <c r="B1490" s="2251">
        <v>44232</v>
      </c>
      <c r="C1490">
        <v>22253.13</v>
      </c>
      <c r="D1490">
        <v>23077</v>
      </c>
      <c r="E1490">
        <v>27711</v>
      </c>
      <c r="I1490" s="2251"/>
    </row>
    <row r="1491" spans="1:9">
      <c r="A1491" t="s">
        <v>1252</v>
      </c>
      <c r="B1491" s="2251">
        <v>44231</v>
      </c>
      <c r="C1491">
        <v>22224.95</v>
      </c>
      <c r="D1491">
        <v>23061</v>
      </c>
      <c r="E1491">
        <v>27543</v>
      </c>
      <c r="I1491" s="2251"/>
    </row>
    <row r="1492" spans="1:9">
      <c r="A1492" t="s">
        <v>1253</v>
      </c>
      <c r="B1492" s="2251">
        <v>44230</v>
      </c>
      <c r="D1492">
        <v>23070</v>
      </c>
      <c r="E1492">
        <v>27716</v>
      </c>
      <c r="I1492" s="2251"/>
    </row>
    <row r="1493" spans="1:9">
      <c r="A1493" t="s">
        <v>1249</v>
      </c>
      <c r="B1493" s="2251">
        <v>44229</v>
      </c>
      <c r="C1493">
        <v>22237.94</v>
      </c>
      <c r="E1493">
        <v>27938</v>
      </c>
      <c r="I1493" s="2251"/>
    </row>
    <row r="1494" spans="1:9">
      <c r="A1494" t="s">
        <v>1250</v>
      </c>
      <c r="B1494" s="2251">
        <v>44228</v>
      </c>
      <c r="C1494">
        <v>22294.02</v>
      </c>
      <c r="D1494">
        <v>23067</v>
      </c>
      <c r="E1494">
        <v>27950</v>
      </c>
      <c r="I1494" s="2251"/>
    </row>
    <row r="1495" spans="1:9">
      <c r="C1495">
        <v>22288.84</v>
      </c>
      <c r="D1495">
        <v>23055</v>
      </c>
    </row>
    <row r="1496" spans="1:9">
      <c r="A1496" t="s">
        <v>1251</v>
      </c>
      <c r="B1496" s="2251">
        <v>44225</v>
      </c>
      <c r="C1496">
        <v>22194.47</v>
      </c>
      <c r="D1496">
        <v>23065</v>
      </c>
      <c r="E1496">
        <v>28038</v>
      </c>
      <c r="I1496" s="2251"/>
    </row>
    <row r="1497" spans="1:9">
      <c r="A1497" t="s">
        <v>1252</v>
      </c>
      <c r="B1497" s="2251">
        <v>44224</v>
      </c>
      <c r="C1497">
        <v>22248.5</v>
      </c>
      <c r="D1497">
        <v>23057</v>
      </c>
      <c r="E1497">
        <v>27989</v>
      </c>
      <c r="I1497" s="2251"/>
    </row>
    <row r="1498" spans="1:9">
      <c r="A1498" t="s">
        <v>1253</v>
      </c>
      <c r="B1498" s="2251">
        <v>44223</v>
      </c>
      <c r="D1498">
        <v>23054</v>
      </c>
      <c r="E1498">
        <v>28148</v>
      </c>
      <c r="I1498" s="2251"/>
    </row>
    <row r="1499" spans="1:9">
      <c r="A1499" t="s">
        <v>1249</v>
      </c>
      <c r="B1499" s="2251">
        <v>44222</v>
      </c>
      <c r="C1499">
        <v>22205.27</v>
      </c>
      <c r="E1499">
        <v>28084</v>
      </c>
      <c r="I1499" s="2251"/>
    </row>
    <row r="1500" spans="1:9">
      <c r="A1500" t="s">
        <v>1250</v>
      </c>
      <c r="B1500" s="2251">
        <v>44221</v>
      </c>
      <c r="C1500">
        <v>22211.07</v>
      </c>
      <c r="D1500">
        <v>23067</v>
      </c>
      <c r="E1500">
        <v>28164</v>
      </c>
      <c r="I1500" s="2251"/>
    </row>
    <row r="1501" spans="1:9">
      <c r="C1501">
        <v>22204.639999999999</v>
      </c>
      <c r="D1501">
        <v>23080</v>
      </c>
    </row>
    <row r="1502" spans="1:9">
      <c r="A1502" t="s">
        <v>1251</v>
      </c>
      <c r="B1502" s="2251">
        <v>44218</v>
      </c>
      <c r="C1502">
        <v>22222.69</v>
      </c>
      <c r="D1502">
        <v>23093</v>
      </c>
      <c r="E1502">
        <v>28150</v>
      </c>
      <c r="I1502" s="2251"/>
    </row>
    <row r="1503" spans="1:9">
      <c r="A1503" t="s">
        <v>1252</v>
      </c>
      <c r="B1503" s="2251">
        <v>44217</v>
      </c>
      <c r="C1503">
        <v>22114.36</v>
      </c>
      <c r="D1503">
        <v>23080</v>
      </c>
      <c r="E1503">
        <v>28064</v>
      </c>
      <c r="I1503" s="2251"/>
    </row>
    <row r="1504" spans="1:9">
      <c r="A1504" t="s">
        <v>1253</v>
      </c>
      <c r="B1504" s="2251">
        <v>44216</v>
      </c>
      <c r="D1504">
        <v>23074</v>
      </c>
      <c r="E1504">
        <v>28096</v>
      </c>
      <c r="I1504" s="2251"/>
    </row>
    <row r="1505" spans="1:9">
      <c r="A1505" t="s">
        <v>1249</v>
      </c>
      <c r="B1505" s="2251">
        <v>44215</v>
      </c>
      <c r="C1505">
        <v>22189.119999999999</v>
      </c>
      <c r="E1505">
        <v>27984</v>
      </c>
      <c r="I1505" s="2251"/>
    </row>
    <row r="1506" spans="1:9">
      <c r="A1506" t="s">
        <v>1250</v>
      </c>
      <c r="B1506" s="2251">
        <v>44214</v>
      </c>
      <c r="C1506">
        <v>22228.83</v>
      </c>
      <c r="D1506">
        <v>23098</v>
      </c>
      <c r="E1506">
        <v>27947</v>
      </c>
      <c r="I1506" s="2251"/>
    </row>
    <row r="1507" spans="1:9">
      <c r="C1507">
        <v>22407.01</v>
      </c>
      <c r="D1507">
        <v>23086</v>
      </c>
    </row>
    <row r="1508" spans="1:9">
      <c r="A1508" t="s">
        <v>1251</v>
      </c>
      <c r="B1508" s="2251">
        <v>44211</v>
      </c>
      <c r="C1508">
        <v>22468.799999999999</v>
      </c>
      <c r="D1508">
        <v>23115</v>
      </c>
      <c r="E1508">
        <v>28115</v>
      </c>
      <c r="I1508" s="2251"/>
    </row>
    <row r="1509" spans="1:9">
      <c r="A1509" t="s">
        <v>1252</v>
      </c>
      <c r="B1509" s="2251">
        <v>44210</v>
      </c>
      <c r="C1509">
        <v>22372.73</v>
      </c>
      <c r="D1509">
        <v>23127</v>
      </c>
      <c r="E1509">
        <v>28144</v>
      </c>
      <c r="I1509" s="2251"/>
    </row>
    <row r="1510" spans="1:9">
      <c r="A1510" t="s">
        <v>1253</v>
      </c>
      <c r="B1510" s="2251">
        <v>44209</v>
      </c>
      <c r="E1510">
        <v>28240</v>
      </c>
      <c r="I1510" s="2251"/>
    </row>
    <row r="1511" spans="1:9">
      <c r="A1511" t="s">
        <v>1249</v>
      </c>
      <c r="B1511" s="2251">
        <v>44208</v>
      </c>
      <c r="C1511">
        <v>22359.94</v>
      </c>
      <c r="D1511">
        <v>23131</v>
      </c>
      <c r="E1511">
        <v>28137</v>
      </c>
      <c r="I1511" s="2251"/>
    </row>
    <row r="1512" spans="1:9">
      <c r="A1512" t="s">
        <v>1250</v>
      </c>
      <c r="B1512" s="2251">
        <v>44207</v>
      </c>
      <c r="C1512">
        <v>22368.5</v>
      </c>
      <c r="D1512">
        <v>23133</v>
      </c>
      <c r="E1512">
        <v>28189</v>
      </c>
      <c r="I1512" s="2251"/>
    </row>
    <row r="1513" spans="1:9">
      <c r="C1513">
        <v>22326.36</v>
      </c>
      <c r="D1513">
        <v>23124</v>
      </c>
    </row>
    <row r="1514" spans="1:9">
      <c r="A1514" t="s">
        <v>1251</v>
      </c>
      <c r="B1514" s="2251">
        <v>44204</v>
      </c>
      <c r="C1514">
        <v>22283.68</v>
      </c>
      <c r="D1514">
        <v>23129</v>
      </c>
      <c r="E1514">
        <v>28343</v>
      </c>
      <c r="I1514" s="2251"/>
    </row>
    <row r="1515" spans="1:9">
      <c r="A1515" t="s">
        <v>1252</v>
      </c>
      <c r="B1515" s="2251">
        <v>44203</v>
      </c>
      <c r="D1515">
        <v>23119</v>
      </c>
      <c r="E1515">
        <v>28512</v>
      </c>
      <c r="I1515" s="2251"/>
    </row>
    <row r="1516" spans="1:9">
      <c r="A1516" t="s">
        <v>1253</v>
      </c>
      <c r="B1516" s="2251">
        <v>44202</v>
      </c>
      <c r="C1516">
        <v>22361.37</v>
      </c>
      <c r="E1516">
        <v>28464</v>
      </c>
      <c r="I1516" s="2251"/>
    </row>
    <row r="1517" spans="1:9">
      <c r="A1517" t="s">
        <v>1249</v>
      </c>
      <c r="B1517" s="2251">
        <v>44201</v>
      </c>
      <c r="C1517">
        <v>22316.47</v>
      </c>
      <c r="D1517">
        <v>23125</v>
      </c>
      <c r="E1517">
        <v>28342</v>
      </c>
      <c r="I1517" s="2251"/>
    </row>
    <row r="1518" spans="1:9">
      <c r="A1518" t="s">
        <v>1250</v>
      </c>
      <c r="B1518" s="2251">
        <v>44200</v>
      </c>
      <c r="C1518">
        <v>22333.56</v>
      </c>
      <c r="D1518">
        <v>23121</v>
      </c>
      <c r="E1518">
        <v>28314</v>
      </c>
      <c r="I1518" s="2251"/>
    </row>
    <row r="1519" spans="1:9">
      <c r="C1519">
        <v>22321.14</v>
      </c>
      <c r="D1519">
        <v>23127</v>
      </c>
    </row>
    <row r="1520" spans="1:9">
      <c r="A1520" t="s">
        <v>1252</v>
      </c>
      <c r="B1520" s="2251">
        <v>44196</v>
      </c>
      <c r="C1520">
        <v>22383.68</v>
      </c>
      <c r="D1520">
        <v>23127</v>
      </c>
      <c r="E1520">
        <v>28469</v>
      </c>
      <c r="I1520" s="2251"/>
    </row>
    <row r="1521" spans="1:9">
      <c r="A1521" t="s">
        <v>1253</v>
      </c>
      <c r="B1521" s="2251">
        <v>44195</v>
      </c>
      <c r="D1521">
        <v>23114</v>
      </c>
      <c r="E1521">
        <v>28389</v>
      </c>
      <c r="I1521" s="2251"/>
    </row>
    <row r="1522" spans="1:9">
      <c r="A1522" t="s">
        <v>1249</v>
      </c>
      <c r="B1522" s="2251">
        <v>44194</v>
      </c>
      <c r="C1522">
        <v>22385.5</v>
      </c>
      <c r="E1522">
        <v>28304</v>
      </c>
      <c r="I1522" s="2251"/>
    </row>
    <row r="1523" spans="1:9">
      <c r="A1523" t="s">
        <v>1250</v>
      </c>
      <c r="B1523" s="2251">
        <v>44193</v>
      </c>
      <c r="C1523">
        <v>22428.63</v>
      </c>
      <c r="D1523">
        <v>23119</v>
      </c>
      <c r="E1523">
        <v>28233</v>
      </c>
      <c r="I1523" s="2251"/>
    </row>
    <row r="1524" spans="1:9">
      <c r="C1524">
        <v>22359.48</v>
      </c>
      <c r="D1524">
        <v>23130</v>
      </c>
      <c r="I1524" s="2251"/>
    </row>
    <row r="1525" spans="1:9">
      <c r="A1525" t="s">
        <v>1251</v>
      </c>
      <c r="B1525" s="2251">
        <v>44190</v>
      </c>
      <c r="C1525">
        <v>22312.799999999999</v>
      </c>
      <c r="D1525">
        <v>23119</v>
      </c>
      <c r="E1525">
        <v>28196</v>
      </c>
    </row>
    <row r="1526" spans="1:9">
      <c r="A1526" t="s">
        <v>1252</v>
      </c>
      <c r="B1526" s="2251">
        <v>44189</v>
      </c>
      <c r="C1526">
        <v>22217.62</v>
      </c>
      <c r="D1526">
        <v>23130</v>
      </c>
      <c r="E1526">
        <v>28272</v>
      </c>
      <c r="I1526" s="2251"/>
    </row>
    <row r="1527" spans="1:9">
      <c r="A1527" t="s">
        <v>1253</v>
      </c>
      <c r="B1527" s="2251">
        <v>44188</v>
      </c>
      <c r="D1527">
        <v>23128</v>
      </c>
      <c r="E1527">
        <v>28187</v>
      </c>
      <c r="I1527" s="2251"/>
    </row>
    <row r="1528" spans="1:9">
      <c r="A1528" t="s">
        <v>1249</v>
      </c>
      <c r="B1528" s="2251">
        <v>44187</v>
      </c>
      <c r="C1528">
        <v>22222.48</v>
      </c>
      <c r="E1528">
        <v>28326</v>
      </c>
      <c r="I1528" s="2251"/>
    </row>
    <row r="1529" spans="1:9">
      <c r="A1529" t="s">
        <v>1250</v>
      </c>
      <c r="B1529" s="2251">
        <v>44186</v>
      </c>
      <c r="C1529">
        <v>22193.599999999999</v>
      </c>
      <c r="D1529">
        <v>23121</v>
      </c>
      <c r="E1529">
        <v>28280</v>
      </c>
      <c r="I1529" s="2251"/>
    </row>
    <row r="1530" spans="1:9">
      <c r="C1530">
        <v>22179.93</v>
      </c>
      <c r="D1530">
        <v>23123</v>
      </c>
      <c r="I1530" s="2251"/>
    </row>
    <row r="1531" spans="1:9">
      <c r="A1531" t="s">
        <v>1251</v>
      </c>
      <c r="B1531" s="2251">
        <v>44183</v>
      </c>
      <c r="C1531">
        <v>22204.57</v>
      </c>
      <c r="D1531">
        <v>23120</v>
      </c>
      <c r="E1531">
        <v>28353</v>
      </c>
    </row>
    <row r="1532" spans="1:9">
      <c r="A1532" t="s">
        <v>1252</v>
      </c>
      <c r="B1532" s="2251">
        <v>44182</v>
      </c>
      <c r="C1532">
        <v>22228.7</v>
      </c>
      <c r="D1532">
        <v>23122</v>
      </c>
      <c r="E1532">
        <v>28225</v>
      </c>
      <c r="I1532" s="2251"/>
    </row>
    <row r="1533" spans="1:9">
      <c r="A1533" t="s">
        <v>1253</v>
      </c>
      <c r="B1533" s="2251">
        <v>44181</v>
      </c>
      <c r="D1533">
        <v>23133</v>
      </c>
      <c r="E1533">
        <v>28126</v>
      </c>
      <c r="I1533" s="2251"/>
    </row>
    <row r="1534" spans="1:9">
      <c r="A1534" t="s">
        <v>1249</v>
      </c>
      <c r="B1534" s="2251">
        <v>44180</v>
      </c>
      <c r="C1534">
        <v>22191.49</v>
      </c>
      <c r="E1534">
        <v>28142</v>
      </c>
      <c r="I1534" s="2251"/>
    </row>
    <row r="1535" spans="1:9">
      <c r="A1535" t="s">
        <v>1250</v>
      </c>
      <c r="B1535" s="2251">
        <v>44179</v>
      </c>
      <c r="C1535">
        <v>22267.119999999999</v>
      </c>
      <c r="E1535">
        <v>28052</v>
      </c>
      <c r="I1535" s="2251"/>
    </row>
    <row r="1536" spans="1:9">
      <c r="C1536">
        <v>22143.82</v>
      </c>
      <c r="I1536" s="2251"/>
    </row>
    <row r="1537" spans="1:9">
      <c r="A1537" t="s">
        <v>1251</v>
      </c>
      <c r="B1537" s="2251">
        <v>44176</v>
      </c>
      <c r="C1537">
        <v>22165.53</v>
      </c>
      <c r="E1537">
        <v>28127</v>
      </c>
    </row>
    <row r="1538" spans="1:9">
      <c r="A1538" t="s">
        <v>1252</v>
      </c>
      <c r="B1538" s="2251">
        <v>44175</v>
      </c>
      <c r="C1538">
        <v>22175.58</v>
      </c>
      <c r="E1538">
        <v>27966</v>
      </c>
      <c r="I1538" s="2251"/>
    </row>
    <row r="1539" spans="1:9">
      <c r="A1539" t="s">
        <v>1253</v>
      </c>
      <c r="B1539" s="2251">
        <v>44174</v>
      </c>
      <c r="E1539">
        <v>28012</v>
      </c>
      <c r="I1539" s="2251"/>
    </row>
    <row r="1540" spans="1:9">
      <c r="A1540" t="s">
        <v>1249</v>
      </c>
      <c r="B1540" s="2251">
        <v>44173</v>
      </c>
      <c r="E1540">
        <v>28021</v>
      </c>
      <c r="I1540" s="2251"/>
    </row>
    <row r="1541" spans="1:9">
      <c r="A1541" t="s">
        <v>1250</v>
      </c>
      <c r="B1541" s="2251">
        <v>44172</v>
      </c>
      <c r="E1541">
        <v>28064</v>
      </c>
      <c r="I1541" s="2251"/>
    </row>
    <row r="1542" spans="1:9">
      <c r="I1542" s="2251"/>
    </row>
    <row r="1543" spans="1:9">
      <c r="A1543" t="s">
        <v>1251</v>
      </c>
      <c r="B1543" s="2251">
        <v>44169</v>
      </c>
      <c r="E1543">
        <v>28122</v>
      </c>
    </row>
    <row r="1544" spans="1:9">
      <c r="A1544" t="s">
        <v>1252</v>
      </c>
      <c r="B1544" s="2251">
        <v>44168</v>
      </c>
      <c r="E1544">
        <v>28025</v>
      </c>
      <c r="I1544" s="2251"/>
    </row>
    <row r="1545" spans="1:9">
      <c r="A1545" t="s">
        <v>1253</v>
      </c>
      <c r="B1545" s="2251">
        <v>44167</v>
      </c>
      <c r="E1545">
        <v>27934</v>
      </c>
      <c r="I1545" s="2251"/>
    </row>
    <row r="1546" spans="1:9">
      <c r="A1546" t="s">
        <v>1249</v>
      </c>
      <c r="B1546" s="2251">
        <v>44166</v>
      </c>
      <c r="E1546">
        <v>27642</v>
      </c>
      <c r="I1546" s="2251"/>
    </row>
    <row r="1547" spans="1:9">
      <c r="A1547" t="s">
        <v>1250</v>
      </c>
      <c r="B1547" s="2251">
        <v>44165</v>
      </c>
      <c r="E1547">
        <v>27720</v>
      </c>
      <c r="I1547" s="2251"/>
    </row>
    <row r="1548" spans="1:9">
      <c r="I1548" s="2251"/>
    </row>
    <row r="1550" spans="1:9">
      <c r="I1550" s="2251"/>
    </row>
    <row r="1551" spans="1:9">
      <c r="I1551" s="2251"/>
    </row>
    <row r="1552" spans="1:9">
      <c r="I1552" s="2251"/>
    </row>
    <row r="1553" spans="1:9">
      <c r="I1553" s="2251"/>
    </row>
    <row r="1554" spans="1:9">
      <c r="I1554" s="2251"/>
    </row>
    <row r="1561" spans="1:9" ht="13.5" thickBot="1"/>
    <row r="1562" spans="1:9">
      <c r="A1562" s="2871" t="s">
        <v>1826</v>
      </c>
      <c r="B1562" s="2871"/>
      <c r="C1562" s="2862"/>
      <c r="D1562" s="2862"/>
      <c r="E1562" s="2862"/>
      <c r="F1562" s="2863"/>
    </row>
    <row r="1563" spans="1:9">
      <c r="A1563" s="2864"/>
      <c r="B1563" s="2864"/>
      <c r="C1563" s="2385" t="s">
        <v>1829</v>
      </c>
      <c r="D1563" s="2009" t="s">
        <v>1809</v>
      </c>
      <c r="E1563" s="2385" t="s">
        <v>1830</v>
      </c>
      <c r="F1563" s="2872" t="s">
        <v>1810</v>
      </c>
    </row>
    <row r="1564" spans="1:9">
      <c r="A1564" s="2010" t="s">
        <v>1808</v>
      </c>
      <c r="B1564" s="2010" t="s">
        <v>1821</v>
      </c>
      <c r="C1564" s="2010" t="s">
        <v>1822</v>
      </c>
      <c r="D1564" s="2010" t="s">
        <v>1823</v>
      </c>
      <c r="E1564" s="2010" t="s">
        <v>1824</v>
      </c>
      <c r="F1564" s="2866" t="s">
        <v>1825</v>
      </c>
    </row>
    <row r="1565" spans="1:9">
      <c r="A1565" s="2864" t="s">
        <v>1811</v>
      </c>
      <c r="B1565" s="2010" t="s">
        <v>1815</v>
      </c>
      <c r="C1565" s="2009">
        <v>329</v>
      </c>
      <c r="D1565" s="2009">
        <v>39.4</v>
      </c>
      <c r="E1565" s="2009">
        <v>406</v>
      </c>
      <c r="F1565" s="2865">
        <v>23.2</v>
      </c>
    </row>
    <row r="1566" spans="1:9">
      <c r="A1566" s="2864" t="s">
        <v>1812</v>
      </c>
      <c r="B1566" s="2010" t="s">
        <v>1816</v>
      </c>
      <c r="C1566" s="2009">
        <v>734</v>
      </c>
      <c r="D1566" s="2009">
        <v>6</v>
      </c>
      <c r="E1566" s="2009">
        <v>810</v>
      </c>
      <c r="F1566" s="2865">
        <v>10.4</v>
      </c>
    </row>
    <row r="1567" spans="1:9">
      <c r="A1567" s="2864" t="s">
        <v>1683</v>
      </c>
      <c r="B1567" s="2010" t="s">
        <v>1817</v>
      </c>
      <c r="C1567" s="2009">
        <v>1092</v>
      </c>
      <c r="D1567" s="2009">
        <v>12</v>
      </c>
      <c r="E1567" s="2009">
        <v>1247</v>
      </c>
      <c r="F1567" s="2865">
        <v>14.2</v>
      </c>
    </row>
    <row r="1568" spans="1:9">
      <c r="A1568" s="2864" t="s">
        <v>1813</v>
      </c>
      <c r="B1568" s="2010" t="s">
        <v>1818</v>
      </c>
      <c r="C1568" s="2009">
        <v>1588</v>
      </c>
      <c r="D1568" s="2009">
        <v>5.6</v>
      </c>
      <c r="E1568" s="2009">
        <v>1731</v>
      </c>
      <c r="F1568" s="2865">
        <v>9</v>
      </c>
    </row>
    <row r="1569" spans="1:6">
      <c r="A1569" s="2864" t="s">
        <v>1814</v>
      </c>
      <c r="B1569" s="2010" t="s">
        <v>1819</v>
      </c>
      <c r="C1569" s="2009">
        <v>1372</v>
      </c>
      <c r="D1569" s="2009">
        <v>2.2999999999999998</v>
      </c>
      <c r="E1569" s="2009">
        <v>1424</v>
      </c>
      <c r="F1569" s="2865">
        <v>3.8</v>
      </c>
    </row>
    <row r="1570" spans="1:6" ht="13.5" thickBot="1">
      <c r="A1570" s="2867" t="s">
        <v>1681</v>
      </c>
      <c r="B1570" s="2868" t="s">
        <v>1820</v>
      </c>
      <c r="C1570" s="2869">
        <v>5115</v>
      </c>
      <c r="D1570" s="2869">
        <v>7.7</v>
      </c>
      <c r="E1570" s="2869">
        <v>5618</v>
      </c>
      <c r="F1570" s="2870">
        <v>9.8000000000000007</v>
      </c>
    </row>
    <row r="1571" spans="1:6">
      <c r="A1571" s="1"/>
    </row>
    <row r="1580" spans="1:6">
      <c r="B1580" t="s">
        <v>1237</v>
      </c>
      <c r="C1580" s="1447" t="s">
        <v>1827</v>
      </c>
      <c r="D1580" s="1447" t="s">
        <v>1828</v>
      </c>
    </row>
    <row r="1581" spans="1:6">
      <c r="B1581">
        <v>2023</v>
      </c>
      <c r="C1581">
        <v>2200</v>
      </c>
      <c r="D1581">
        <v>4200</v>
      </c>
    </row>
    <row r="1582" spans="1:6">
      <c r="B1582">
        <v>2024</v>
      </c>
      <c r="C1582">
        <v>2500</v>
      </c>
      <c r="D1582">
        <v>4500</v>
      </c>
    </row>
    <row r="1583" spans="1:6">
      <c r="B1583">
        <v>2025</v>
      </c>
      <c r="C1583">
        <v>3000</v>
      </c>
      <c r="D1583">
        <v>5000</v>
      </c>
    </row>
    <row r="1584" spans="1:6">
      <c r="B1584">
        <v>2026</v>
      </c>
      <c r="C1584">
        <v>3400</v>
      </c>
      <c r="D1584">
        <v>5400</v>
      </c>
    </row>
    <row r="1585" spans="2:5">
      <c r="B1585">
        <v>2027</v>
      </c>
      <c r="C1585">
        <v>3900</v>
      </c>
      <c r="D1585">
        <v>5900</v>
      </c>
    </row>
    <row r="1590" spans="2:5" ht="15">
      <c r="B1590" s="2874" t="s">
        <v>1679</v>
      </c>
      <c r="C1590" s="2874" t="s">
        <v>1831</v>
      </c>
      <c r="D1590" s="2874" t="s">
        <v>1832</v>
      </c>
      <c r="E1590" s="2874" t="s">
        <v>1833</v>
      </c>
    </row>
    <row r="1591" spans="2:5" ht="15">
      <c r="B1591" s="2873" t="s">
        <v>921</v>
      </c>
      <c r="C1591" s="2873">
        <v>2200</v>
      </c>
      <c r="D1591" s="2873">
        <v>1410</v>
      </c>
      <c r="E1591" s="2873">
        <v>64.099999999999994</v>
      </c>
    </row>
    <row r="1592" spans="2:5" ht="15">
      <c r="B1592" s="2873" t="s">
        <v>897</v>
      </c>
      <c r="C1592" s="2873">
        <v>2300</v>
      </c>
      <c r="D1592" s="2873">
        <v>1032</v>
      </c>
      <c r="E1592" s="2873">
        <v>44.9</v>
      </c>
    </row>
    <row r="1593" spans="2:5" ht="15">
      <c r="B1593" s="2873" t="s">
        <v>1227</v>
      </c>
      <c r="C1593" s="2873">
        <v>2000</v>
      </c>
      <c r="D1593" s="2873">
        <v>724</v>
      </c>
      <c r="E1593" s="2873">
        <v>36.200000000000003</v>
      </c>
    </row>
    <row r="1607" spans="1:10">
      <c r="A1607" s="3131" t="s">
        <v>1244</v>
      </c>
      <c r="B1607" s="3130"/>
      <c r="C1607" s="3133">
        <v>2020</v>
      </c>
      <c r="D1607" s="3133">
        <v>2021</v>
      </c>
      <c r="E1607" s="3133">
        <v>2022</v>
      </c>
      <c r="F1607" s="3133">
        <v>2023</v>
      </c>
      <c r="G1607" s="3133">
        <v>2024</v>
      </c>
      <c r="H1607" s="3132" t="s">
        <v>2059</v>
      </c>
      <c r="J1607" s="3132" t="s">
        <v>2008</v>
      </c>
    </row>
    <row r="1608" spans="1:10">
      <c r="A1608" s="2244" t="s">
        <v>883</v>
      </c>
      <c r="C1608" s="3135">
        <v>16804.932000000001</v>
      </c>
      <c r="D1608" s="3135">
        <v>20872.243999999999</v>
      </c>
      <c r="E1608" s="3135">
        <v>25762.901999999998</v>
      </c>
      <c r="F1608" s="3135">
        <v>31449</v>
      </c>
      <c r="G1608" s="1452">
        <f>Revenue!H12+Revenue!H13</f>
        <v>39110</v>
      </c>
      <c r="H1608" s="3134">
        <f>SUM(H1609:H1613)</f>
        <v>30949</v>
      </c>
      <c r="J1608" s="3134">
        <f>SUM(J1609:J1613)</f>
        <v>20128</v>
      </c>
    </row>
    <row r="1609" spans="1:10">
      <c r="A1609" s="1653" t="s">
        <v>888</v>
      </c>
      <c r="B1609" s="1739"/>
      <c r="C1609" s="3135">
        <v>6011</v>
      </c>
      <c r="D1609" s="3135">
        <v>6332</v>
      </c>
      <c r="E1609" s="3135">
        <v>7342</v>
      </c>
      <c r="F1609" s="3135">
        <v>8839.8073390006793</v>
      </c>
      <c r="G1609" s="1452">
        <f>Revenue!H159</f>
        <v>12325</v>
      </c>
      <c r="H1609" s="1469">
        <v>11264</v>
      </c>
      <c r="J1609" s="1469">
        <v>7320</v>
      </c>
    </row>
    <row r="1610" spans="1:10">
      <c r="A1610" s="1653" t="s">
        <v>889</v>
      </c>
      <c r="B1610" s="1739"/>
      <c r="C1610" s="3135">
        <v>2878</v>
      </c>
      <c r="D1610" s="3135">
        <v>4369</v>
      </c>
      <c r="E1610" s="3135">
        <v>6550</v>
      </c>
      <c r="F1610" s="3135">
        <v>7366.5061158339004</v>
      </c>
      <c r="G1610" s="1452">
        <f>Revenue!H160</f>
        <v>7751</v>
      </c>
      <c r="H1610" s="1469">
        <v>6087</v>
      </c>
      <c r="J1610" s="1469">
        <v>4025</v>
      </c>
    </row>
    <row r="1611" spans="1:10">
      <c r="A1611" s="1653" t="s">
        <v>890</v>
      </c>
      <c r="B1611" s="1739"/>
      <c r="C1611" s="3135">
        <v>993</v>
      </c>
      <c r="D1611" s="3135">
        <v>1144</v>
      </c>
      <c r="E1611" s="3135">
        <v>1366</v>
      </c>
      <c r="F1611" s="3135">
        <v>2578.2771405418648</v>
      </c>
      <c r="G1611" s="1452">
        <f>Revenue!H161</f>
        <v>2636</v>
      </c>
      <c r="H1611" s="1469">
        <v>2528</v>
      </c>
      <c r="J1611" s="1469">
        <v>1558</v>
      </c>
    </row>
    <row r="1612" spans="1:10">
      <c r="A1612" s="1653" t="s">
        <v>891</v>
      </c>
      <c r="B1612" s="1739"/>
      <c r="C1612" s="3135">
        <v>2119</v>
      </c>
      <c r="D1612" s="3135">
        <v>2696</v>
      </c>
      <c r="E1612" s="3135">
        <v>3677</v>
      </c>
      <c r="F1612" s="3135">
        <v>5682.7332893575795</v>
      </c>
      <c r="G1612" s="1452">
        <f>Revenue!H162</f>
        <v>8240</v>
      </c>
      <c r="H1612" s="1469">
        <v>5694</v>
      </c>
      <c r="J1612" s="1469">
        <v>3766</v>
      </c>
    </row>
    <row r="1613" spans="1:10">
      <c r="A1613" s="1816" t="s">
        <v>740</v>
      </c>
      <c r="B1613" s="790"/>
      <c r="C1613" s="3135">
        <v>4803.9320000000007</v>
      </c>
      <c r="D1613" s="3135">
        <v>6331.2439999999988</v>
      </c>
      <c r="E1613" s="3135">
        <v>6827.9019999999982</v>
      </c>
      <c r="F1613" s="3135">
        <v>6981.6761152659747</v>
      </c>
      <c r="G1613" s="1452">
        <f>Revenue!H156</f>
        <v>8157</v>
      </c>
      <c r="H1613" s="3129">
        <v>5376</v>
      </c>
      <c r="J1613" s="3129">
        <f>Revenue!AZ156+Revenue!AY156</f>
        <v>3459</v>
      </c>
    </row>
    <row r="1614" spans="1:10">
      <c r="A1614" s="2244"/>
      <c r="H1614" s="1985"/>
      <c r="J1614" s="1985"/>
    </row>
    <row r="1615" spans="1:10">
      <c r="A1615" s="1727" t="s">
        <v>1245</v>
      </c>
      <c r="C1615" s="399">
        <v>2020</v>
      </c>
      <c r="D1615" s="399">
        <v>2021</v>
      </c>
      <c r="E1615" s="399">
        <v>2022</v>
      </c>
      <c r="F1615" s="399">
        <v>2023</v>
      </c>
      <c r="G1615" s="1471">
        <v>2024</v>
      </c>
      <c r="H1615" s="1489" t="s">
        <v>2059</v>
      </c>
      <c r="J1615" s="1489" t="s">
        <v>2008</v>
      </c>
    </row>
    <row r="1616" spans="1:10">
      <c r="A1616" s="1653" t="s">
        <v>888</v>
      </c>
      <c r="B1616" s="1739"/>
      <c r="C1616" s="3136">
        <v>0.35769261071690145</v>
      </c>
      <c r="D1616" s="3136">
        <v>0.3033693933436194</v>
      </c>
      <c r="E1616" s="3136">
        <v>0.28498342306313162</v>
      </c>
      <c r="F1616" s="3136">
        <v>0.28108389261981875</v>
      </c>
      <c r="G1616" s="3136">
        <f>G1609/G$1608</f>
        <v>0.31513679365891079</v>
      </c>
      <c r="H1616" s="3137">
        <f>H1609/H$1608</f>
        <v>0.36395360108565705</v>
      </c>
      <c r="J1616" s="3137">
        <f>J1609/J$1608</f>
        <v>0.36367249602543722</v>
      </c>
    </row>
    <row r="1617" spans="1:10">
      <c r="A1617" s="1653" t="s">
        <v>889</v>
      </c>
      <c r="B1617" s="1739"/>
      <c r="C1617" s="3136">
        <v>0.17125924698772954</v>
      </c>
      <c r="D1617" s="3136">
        <v>0.20932104856574119</v>
      </c>
      <c r="E1617" s="3136">
        <v>0.25424154468312615</v>
      </c>
      <c r="F1617" s="3136">
        <v>0.2342365771831823</v>
      </c>
      <c r="G1617" s="3136">
        <f t="shared" ref="G1617:G1620" si="42">G1610/G$1608</f>
        <v>0.19818460751725903</v>
      </c>
      <c r="H1617" s="3137">
        <f>H1610/H$1608</f>
        <v>0.19667840641054637</v>
      </c>
      <c r="J1617" s="3137">
        <f>J1610/J$1608</f>
        <v>0.19997019077901432</v>
      </c>
    </row>
    <row r="1618" spans="1:10">
      <c r="A1618" s="1653" t="s">
        <v>890</v>
      </c>
      <c r="B1618" s="1739"/>
      <c r="C1618" s="3136">
        <v>5.9089795781381321E-2</v>
      </c>
      <c r="D1618" s="3136">
        <v>5.4809631393730358E-2</v>
      </c>
      <c r="E1618" s="3136">
        <v>5.3021977104908448E-2</v>
      </c>
      <c r="F1618" s="3136">
        <v>8.1982802014113801E-2</v>
      </c>
      <c r="G1618" s="3136">
        <f t="shared" si="42"/>
        <v>6.739964203528509E-2</v>
      </c>
      <c r="H1618" s="3137">
        <f>H1611/H$1608</f>
        <v>8.1682768425474173E-2</v>
      </c>
      <c r="J1618" s="3137">
        <f>J1611/J$1608</f>
        <v>7.7404610492845791E-2</v>
      </c>
    </row>
    <row r="1619" spans="1:10">
      <c r="A1619" s="1653" t="s">
        <v>1016</v>
      </c>
      <c r="B1619" s="1739"/>
      <c r="C1619" s="3136">
        <v>0.12609393480437767</v>
      </c>
      <c r="D1619" s="3136">
        <v>0.1291667537041058</v>
      </c>
      <c r="E1619" s="3136">
        <v>0.14272460454959618</v>
      </c>
      <c r="F1619" s="3136">
        <v>0.18069678811274062</v>
      </c>
      <c r="G1619" s="3136">
        <f t="shared" si="42"/>
        <v>0.21068780363078496</v>
      </c>
      <c r="H1619" s="3137">
        <f>H1612/H$1608</f>
        <v>0.18398009628744064</v>
      </c>
      <c r="J1619" s="3137">
        <f>J1612/J$1608</f>
        <v>0.18710254372019078</v>
      </c>
    </row>
    <row r="1620" spans="1:10">
      <c r="A1620" s="1918" t="s">
        <v>887</v>
      </c>
      <c r="B1620" s="2245"/>
      <c r="C1620" s="3138">
        <v>0.28586441170961002</v>
      </c>
      <c r="D1620" s="3138">
        <v>0.30333317299280321</v>
      </c>
      <c r="E1620" s="3138">
        <v>0.26502845059923757</v>
      </c>
      <c r="F1620" s="3138">
        <v>0.22199994007014451</v>
      </c>
      <c r="G1620" s="3138">
        <f t="shared" si="42"/>
        <v>0.20856558424955254</v>
      </c>
      <c r="H1620" s="3128">
        <f>H1613/H$1608</f>
        <v>0.17370512779088176</v>
      </c>
      <c r="J1620" s="3128">
        <f>J1613/J$1608</f>
        <v>0.17185015898251194</v>
      </c>
    </row>
    <row r="1663" spans="1:14">
      <c r="A1663" s="1447" t="s">
        <v>2037</v>
      </c>
      <c r="B1663" s="1447" t="s">
        <v>2046</v>
      </c>
      <c r="C1663" s="1447" t="s">
        <v>2045</v>
      </c>
      <c r="D1663" s="1447" t="s">
        <v>2044</v>
      </c>
      <c r="E1663" s="1447" t="s">
        <v>2043</v>
      </c>
      <c r="F1663" s="1447" t="s">
        <v>2042</v>
      </c>
      <c r="G1663" s="1447" t="s">
        <v>2041</v>
      </c>
      <c r="H1663" s="1447" t="s">
        <v>2040</v>
      </c>
      <c r="I1663" s="1447"/>
      <c r="J1663" s="1447"/>
      <c r="K1663" s="1447"/>
      <c r="L1663" s="1447"/>
      <c r="M1663" s="1447"/>
      <c r="N1663" s="1447"/>
    </row>
    <row r="1664" spans="1:14">
      <c r="A1664" s="1447" t="s">
        <v>2038</v>
      </c>
    </row>
    <row r="1665" spans="1:8">
      <c r="A1665" s="1447" t="s">
        <v>2039</v>
      </c>
    </row>
    <row r="1666" spans="1:8">
      <c r="A1666" s="3213" t="s">
        <v>740</v>
      </c>
      <c r="B1666" s="3214">
        <v>9.9000000000000005E-2</v>
      </c>
      <c r="C1666" s="3214">
        <v>4.2000000000000003E-2</v>
      </c>
      <c r="D1666" s="3214">
        <v>0.115</v>
      </c>
      <c r="E1666" s="3214">
        <v>0.23899999999999999</v>
      </c>
      <c r="F1666" s="3214">
        <v>-0.34200000000000003</v>
      </c>
      <c r="G1666" s="3214">
        <v>0.25700000000000001</v>
      </c>
      <c r="H1666" s="3214">
        <v>4.3999999999999997E-2</v>
      </c>
    </row>
    <row r="1718" spans="20:24" ht="38.25">
      <c r="T1718" s="3279" t="s">
        <v>2064</v>
      </c>
      <c r="U1718" s="3279" t="s">
        <v>2065</v>
      </c>
      <c r="V1718" s="3279" t="s">
        <v>1980</v>
      </c>
      <c r="W1718" s="3279" t="s">
        <v>2066</v>
      </c>
      <c r="X1718" s="3279" t="s">
        <v>1980</v>
      </c>
    </row>
    <row r="1719" spans="20:24" ht="38.25">
      <c r="T1719" s="3281" t="s">
        <v>2067</v>
      </c>
      <c r="U1719" s="3282">
        <v>25574</v>
      </c>
      <c r="V1719" s="3283">
        <v>0.128</v>
      </c>
      <c r="W1719" s="3282">
        <v>4073</v>
      </c>
      <c r="X1719" s="3283">
        <v>0.127</v>
      </c>
    </row>
    <row r="1720" spans="20:24" ht="38.25">
      <c r="T1720" s="3281" t="s">
        <v>2068</v>
      </c>
      <c r="U1720" s="3282">
        <v>5376</v>
      </c>
      <c r="V1720" s="3283">
        <v>1.4999999999999999E-2</v>
      </c>
      <c r="W1720" s="3280">
        <v>260</v>
      </c>
      <c r="X1720" s="3283">
        <v>0.31900000000000001</v>
      </c>
    </row>
    <row r="1721" spans="20:24" ht="25.5">
      <c r="T1721" s="3281" t="s">
        <v>2069</v>
      </c>
      <c r="U1721" s="3282">
        <v>13738</v>
      </c>
      <c r="V1721" s="3283">
        <v>0.115</v>
      </c>
      <c r="W1721" s="3282">
        <v>3091</v>
      </c>
      <c r="X1721" s="3283">
        <v>0.21299999999999999</v>
      </c>
    </row>
    <row r="1722" spans="20:24" ht="25.5">
      <c r="T1722" s="3281" t="s">
        <v>2070</v>
      </c>
      <c r="U1722" s="3280">
        <v>549</v>
      </c>
      <c r="V1722" s="3283">
        <v>0.14399999999999999</v>
      </c>
      <c r="W1722" s="3280">
        <v>137</v>
      </c>
      <c r="X1722" s="3283">
        <v>0.14799999999999999</v>
      </c>
    </row>
    <row r="1723" spans="20:24" ht="38.25">
      <c r="T1723" s="3281" t="s">
        <v>2071</v>
      </c>
      <c r="U1723" s="3282">
        <v>4651</v>
      </c>
      <c r="V1723" s="3283">
        <v>3.9E-2</v>
      </c>
      <c r="W1723" s="3282">
        <v>1979</v>
      </c>
      <c r="X1723" s="3283">
        <v>0.21199999999999999</v>
      </c>
    </row>
  </sheetData>
  <mergeCells count="7">
    <mergeCell ref="B462:F462"/>
    <mergeCell ref="B244:D244"/>
    <mergeCell ref="E244:G244"/>
    <mergeCell ref="H244:I244"/>
    <mergeCell ref="B245:D245"/>
    <mergeCell ref="E245:G245"/>
    <mergeCell ref="H245:I245"/>
  </mergeCells>
  <phoneticPr fontId="234" type="noConversion"/>
  <pageMargins left="0.7" right="0.7" top="0.75" bottom="0.75" header="0.3" footer="0.3"/>
  <pageSetup paperSize="9" orientation="portrait" r:id="rId1"/>
  <ignoredErrors>
    <ignoredError sqref="E304" formula="1"/>
  </ignoredError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B1542-DCF8-4D57-9CA3-3D761CB41CB2}">
  <sheetPr>
    <tabColor rgb="FFED7D31"/>
  </sheetPr>
  <dimension ref="A1:AK221"/>
  <sheetViews>
    <sheetView showGridLines="0" zoomScale="175" zoomScaleNormal="175" workbookViewId="0">
      <pane xSplit="1" ySplit="1" topLeftCell="B2" activePane="bottomRight" state="frozen"/>
      <selection activeCell="G189" sqref="G189"/>
      <selection pane="topRight"/>
      <selection pane="bottomLeft"/>
      <selection pane="bottomRight" activeCell="B2" sqref="B2"/>
    </sheetView>
  </sheetViews>
  <sheetFormatPr defaultColWidth="8.85546875" defaultRowHeight="12.75"/>
  <cols>
    <col min="1" max="1" width="39.85546875" customWidth="1"/>
    <col min="2" max="3" width="9.28515625" hidden="1" customWidth="1"/>
    <col min="4" max="4" width="10.7109375" hidden="1" customWidth="1"/>
    <col min="5" max="5" width="9.28515625" hidden="1" customWidth="1"/>
    <col min="6" max="8" width="9.28515625" customWidth="1"/>
    <col min="9" max="9" width="10.28515625" bestFit="1" customWidth="1"/>
    <col min="10" max="10" width="10.28515625" customWidth="1"/>
    <col min="11" max="11" width="10" bestFit="1" customWidth="1"/>
    <col min="12" max="12" width="10.28515625" customWidth="1"/>
    <col min="13" max="14" width="10.28515625" bestFit="1" customWidth="1"/>
    <col min="16" max="16" width="15.5703125" customWidth="1"/>
  </cols>
  <sheetData>
    <row r="1" spans="1:10" ht="28.5">
      <c r="A1" s="334" t="s">
        <v>418</v>
      </c>
      <c r="B1" s="330"/>
      <c r="I1" s="2"/>
      <c r="J1" s="2"/>
    </row>
    <row r="2" spans="1:10">
      <c r="A2" s="683" t="s">
        <v>462</v>
      </c>
      <c r="B2" s="684">
        <v>2020</v>
      </c>
      <c r="C2" s="684">
        <v>2021</v>
      </c>
      <c r="D2" s="684">
        <v>2022</v>
      </c>
      <c r="E2" s="684">
        <v>2023</v>
      </c>
      <c r="F2" s="684">
        <v>2024</v>
      </c>
      <c r="G2" s="684">
        <v>2025</v>
      </c>
      <c r="H2" s="684" t="s">
        <v>263</v>
      </c>
      <c r="I2" s="684" t="s">
        <v>812</v>
      </c>
      <c r="J2" s="684" t="s">
        <v>948</v>
      </c>
    </row>
    <row r="3" spans="1:10" s="1" customFormat="1">
      <c r="A3" s="331" t="s">
        <v>197</v>
      </c>
      <c r="B3" s="685">
        <f>PL!K9</f>
        <v>29830.400526824</v>
      </c>
      <c r="C3" s="685">
        <f>PL!L9</f>
        <v>35657.262545026999</v>
      </c>
      <c r="D3" s="685">
        <f>PL!M9</f>
        <v>44009.527680911</v>
      </c>
      <c r="E3" s="685">
        <f>PL!N9</f>
        <v>52617.900827384998</v>
      </c>
      <c r="F3" s="685">
        <f>PL!O9</f>
        <v>62848.79</v>
      </c>
      <c r="G3" s="685">
        <f>PL!P9</f>
        <v>70207.69</v>
      </c>
      <c r="H3" s="685">
        <f ca="1">PL!Q9</f>
        <v>57194.606680421704</v>
      </c>
      <c r="I3" s="685">
        <f ca="1">PL!R9</f>
        <v>65945.020200000014</v>
      </c>
      <c r="J3" s="685">
        <f ca="1">PL!S9</f>
        <v>76536.739860000016</v>
      </c>
    </row>
    <row r="4" spans="1:10" s="6" customFormat="1" ht="13.5" thickBot="1">
      <c r="A4" s="646" t="s">
        <v>419</v>
      </c>
      <c r="B4" s="652">
        <f>PL!K11</f>
        <v>18016.743052097001</v>
      </c>
      <c r="C4" s="652">
        <f>PL!L11</f>
        <v>22025.298308248999</v>
      </c>
      <c r="D4" s="652">
        <f>PL!M11</f>
        <v>26842.249039712999</v>
      </c>
      <c r="E4" s="652">
        <f>PL!N11</f>
        <v>32298.347382702999</v>
      </c>
      <c r="F4" s="652">
        <f>PL!O11</f>
        <v>39150.449999999997</v>
      </c>
      <c r="G4" s="652">
        <f>PL!P11</f>
        <v>44217.42</v>
      </c>
      <c r="H4" s="652">
        <f ca="1">PL!Q11</f>
        <v>37370.88195262997</v>
      </c>
      <c r="I4" s="652">
        <f ca="1">PL!R11</f>
        <v>43668.412058185721</v>
      </c>
      <c r="J4" s="652">
        <f ca="1">PL!S11</f>
        <v>50958.990178573622</v>
      </c>
    </row>
    <row r="5" spans="1:10" s="1" customFormat="1">
      <c r="A5" s="650" t="s">
        <v>141</v>
      </c>
      <c r="B5" s="651">
        <f>PL!K13</f>
        <v>11813.657474726999</v>
      </c>
      <c r="C5" s="651">
        <f>PL!L13</f>
        <v>13631.964236778</v>
      </c>
      <c r="D5" s="651">
        <f>PL!M13</f>
        <v>17167.278641198001</v>
      </c>
      <c r="E5" s="651">
        <f>PL!N13</f>
        <v>20319.553444681998</v>
      </c>
      <c r="F5" s="651">
        <f>PL!O13</f>
        <v>23698.340000000004</v>
      </c>
      <c r="G5" s="651">
        <f>PL!P13</f>
        <v>25990.270000000004</v>
      </c>
      <c r="H5" s="651">
        <f ca="1">PL!Q13</f>
        <v>19823.724727791734</v>
      </c>
      <c r="I5" s="651">
        <f ca="1">PL!R13</f>
        <v>22276.608141814293</v>
      </c>
      <c r="J5" s="651">
        <f ca="1">PL!S13</f>
        <v>25577.749681426394</v>
      </c>
    </row>
    <row r="6" spans="1:10" s="6" customFormat="1" ht="13.5" thickBot="1">
      <c r="A6" s="646" t="s">
        <v>420</v>
      </c>
      <c r="B6" s="652">
        <f>PL!K17+PL!K20</f>
        <v>7208.9277961389998</v>
      </c>
      <c r="C6" s="652">
        <f>PL!L17+PL!L20</f>
        <v>8216.9367205550006</v>
      </c>
      <c r="D6" s="652">
        <f>PL!M17+PL!M20</f>
        <v>10372.721345328999</v>
      </c>
      <c r="E6" s="652">
        <f>PL!N17+PL!N20</f>
        <v>11867.925545319002</v>
      </c>
      <c r="F6" s="652">
        <f>PL!O17+PL!O20</f>
        <v>13190</v>
      </c>
      <c r="G6" s="652">
        <f>PL!P17+PL!P20</f>
        <v>14911.630000000001</v>
      </c>
      <c r="H6" s="652">
        <f ca="1">PL!Q17+PL!Q20</f>
        <v>10066.250775754219</v>
      </c>
      <c r="I6" s="652">
        <f ca="1">PL!R17+PL!R20</f>
        <v>11474.433514800003</v>
      </c>
      <c r="J6" s="652">
        <f ca="1">PL!S17+PL!S20</f>
        <v>13317.392735640004</v>
      </c>
    </row>
    <row r="7" spans="1:10" s="1" customFormat="1">
      <c r="A7" s="650" t="s">
        <v>421</v>
      </c>
      <c r="B7" s="651">
        <f>PL!K24</f>
        <v>4604.7296785879989</v>
      </c>
      <c r="C7" s="651">
        <f>PL!L24</f>
        <v>5415.027516223</v>
      </c>
      <c r="D7" s="651">
        <f>PL!M24</f>
        <v>6794.5572958690018</v>
      </c>
      <c r="E7" s="651">
        <f>PL!N24</f>
        <v>8451.6278993629967</v>
      </c>
      <c r="F7" s="651">
        <f>PL!O24</f>
        <v>10508.340000000004</v>
      </c>
      <c r="G7" s="651">
        <f>PL!P24</f>
        <v>11078.640000000003</v>
      </c>
      <c r="H7" s="651">
        <f ca="1">PL!Q24</f>
        <v>9757.4739520375151</v>
      </c>
      <c r="I7" s="651">
        <f ca="1">PL!R24</f>
        <v>10802.174627014292</v>
      </c>
      <c r="J7" s="651">
        <f ca="1">PL!S24</f>
        <v>12260.356945786389</v>
      </c>
    </row>
    <row r="8" spans="1:10" s="1" customFormat="1" ht="13.5" thickBot="1">
      <c r="A8" s="646" t="s">
        <v>18</v>
      </c>
      <c r="B8" s="652">
        <f t="shared" ref="B8:E8" si="0">B7</f>
        <v>4604.7296785879989</v>
      </c>
      <c r="C8" s="652">
        <f t="shared" si="0"/>
        <v>5415.027516223</v>
      </c>
      <c r="D8" s="652">
        <f t="shared" si="0"/>
        <v>6794.5572958690018</v>
      </c>
      <c r="E8" s="652">
        <f t="shared" si="0"/>
        <v>8451.6278993629967</v>
      </c>
      <c r="F8" s="652">
        <f t="shared" ref="F8:G8" si="1">F7</f>
        <v>10508.340000000004</v>
      </c>
      <c r="G8" s="652">
        <f t="shared" si="1"/>
        <v>11078.640000000003</v>
      </c>
      <c r="H8" s="652">
        <f t="shared" ref="H8:I8" ca="1" si="2">H7</f>
        <v>9757.4739520375151</v>
      </c>
      <c r="I8" s="652">
        <f t="shared" ca="1" si="2"/>
        <v>10802.174627014292</v>
      </c>
      <c r="J8" s="652">
        <f t="shared" ref="J8" ca="1" si="3">J7</f>
        <v>12260.356945786389</v>
      </c>
    </row>
    <row r="9" spans="1:10" s="1" customFormat="1">
      <c r="A9" s="650" t="s">
        <v>422</v>
      </c>
      <c r="B9" s="651">
        <f t="shared" ref="B9:E9" si="4">SUM(B12:B14)</f>
        <v>658.72695137900018</v>
      </c>
      <c r="C9" s="651">
        <f t="shared" si="4"/>
        <v>922.17892473500001</v>
      </c>
      <c r="D9" s="651">
        <f t="shared" si="4"/>
        <v>867.72566401100005</v>
      </c>
      <c r="E9" s="651">
        <f t="shared" si="4"/>
        <v>751.37819920700008</v>
      </c>
      <c r="F9" s="651">
        <f t="shared" ref="F9:G9" si="5">SUM(F12:F14)</f>
        <v>561.31999999999994</v>
      </c>
      <c r="G9" s="651">
        <f t="shared" si="5"/>
        <v>2055.08</v>
      </c>
      <c r="H9" s="651">
        <f t="shared" ref="H9:I9" ca="1" si="6">SUM(H12:H14)</f>
        <v>3514.3483850176453</v>
      </c>
      <c r="I9" s="651">
        <f t="shared" ca="1" si="6"/>
        <v>4214.2420555991157</v>
      </c>
      <c r="J9" s="651">
        <f t="shared" ref="J9" ca="1" si="7">SUM(J12:J14)</f>
        <v>4754.3710564574612</v>
      </c>
    </row>
    <row r="10" spans="1:10" s="1" customFormat="1">
      <c r="A10" s="645" t="s">
        <v>691</v>
      </c>
      <c r="B10" s="649">
        <f>PL!K32</f>
        <v>821.89642478200005</v>
      </c>
      <c r="C10" s="649">
        <f>PL!L32</f>
        <v>1270.7893862670001</v>
      </c>
      <c r="D10" s="649">
        <f>PL!M32</f>
        <v>1998.503979865</v>
      </c>
      <c r="E10" s="649">
        <f>PL!N32</f>
        <v>2336.0690898190001</v>
      </c>
      <c r="F10" s="649">
        <f>PL!O32</f>
        <v>1935.75</v>
      </c>
      <c r="G10" s="649">
        <f>PL!P32</f>
        <v>2977.16</v>
      </c>
      <c r="H10" s="649">
        <f ca="1">PL!Q32</f>
        <v>1882.0365615655039</v>
      </c>
      <c r="I10" s="649">
        <f ca="1">PL!R32</f>
        <v>2443.6027689855273</v>
      </c>
      <c r="J10" s="649">
        <f ca="1">PL!S32</f>
        <v>2553.6584037516691</v>
      </c>
    </row>
    <row r="11" spans="1:10" s="1" customFormat="1">
      <c r="A11" s="681" t="s">
        <v>692</v>
      </c>
      <c r="B11" s="682">
        <f>PL!K34</f>
        <v>548.16521161699995</v>
      </c>
      <c r="C11" s="682">
        <f>PL!L34</f>
        <v>1144.1874468450001</v>
      </c>
      <c r="D11" s="682">
        <f>PL!M34</f>
        <v>1687.369701824</v>
      </c>
      <c r="E11" s="682">
        <f>PL!N34</f>
        <v>1718.2984637100001</v>
      </c>
      <c r="F11" s="682">
        <f>PL!O34</f>
        <v>1811.55</v>
      </c>
      <c r="G11" s="682">
        <f>PL!P34</f>
        <v>1672.05</v>
      </c>
      <c r="H11" s="682">
        <f ca="1">PL!Q34</f>
        <v>1324.2605667049495</v>
      </c>
      <c r="I11" s="682">
        <f ca="1">PL!R34</f>
        <v>1439.2748992700413</v>
      </c>
      <c r="J11" s="682">
        <f ca="1">PL!S34</f>
        <v>1524.2063599370615</v>
      </c>
    </row>
    <row r="12" spans="1:10">
      <c r="A12" s="645" t="s">
        <v>689</v>
      </c>
      <c r="B12" s="649">
        <f>PL!K39</f>
        <v>273.7312131650001</v>
      </c>
      <c r="C12" s="649">
        <f>PL!L39</f>
        <v>126.60193942199999</v>
      </c>
      <c r="D12" s="649">
        <f>PL!M39</f>
        <v>311.13427804100002</v>
      </c>
      <c r="E12" s="649">
        <f>PL!N39</f>
        <v>617.77062610899998</v>
      </c>
      <c r="F12" s="649">
        <f>PL!O39</f>
        <v>124.20000000000005</v>
      </c>
      <c r="G12" s="649">
        <f>PL!P39</f>
        <v>1305.1099999999999</v>
      </c>
      <c r="H12" s="649">
        <f ca="1">PL!Q39</f>
        <v>557.77599486055442</v>
      </c>
      <c r="I12" s="649">
        <f ca="1">PL!R39</f>
        <v>1004.327869715486</v>
      </c>
      <c r="J12" s="649">
        <f ca="1">PL!S39</f>
        <v>1029.4520438146076</v>
      </c>
    </row>
    <row r="13" spans="1:10">
      <c r="A13" s="645" t="s">
        <v>690</v>
      </c>
      <c r="B13" s="649">
        <f>PL!K44</f>
        <v>72.802166035999988</v>
      </c>
      <c r="C13" s="649">
        <f>PL!L44</f>
        <v>108.71230419399998</v>
      </c>
      <c r="D13" s="649">
        <f>PL!M44</f>
        <v>72.993337569000005</v>
      </c>
      <c r="E13" s="649">
        <f>PL!N44</f>
        <v>91.260564137000017</v>
      </c>
      <c r="F13" s="649">
        <f>PL!O44</f>
        <v>44.589999999999975</v>
      </c>
      <c r="G13" s="649">
        <f>PL!P44</f>
        <v>91.949999999999989</v>
      </c>
      <c r="H13" s="649">
        <f ca="1">PL!Q44</f>
        <v>96.842056136005169</v>
      </c>
      <c r="I13" s="649">
        <f ca="1">PL!R44</f>
        <v>110.4982364836286</v>
      </c>
      <c r="J13" s="649">
        <f ca="1">PL!S44</f>
        <v>127.69223922285282</v>
      </c>
    </row>
    <row r="14" spans="1:10" ht="13.5" thickBot="1">
      <c r="A14" s="646" t="s">
        <v>423</v>
      </c>
      <c r="B14" s="652">
        <f>PL!K45</f>
        <v>312.19357217800001</v>
      </c>
      <c r="C14" s="652">
        <f>PL!L45</f>
        <v>686.86468111900001</v>
      </c>
      <c r="D14" s="652">
        <f>PL!M45</f>
        <v>483.59804840100003</v>
      </c>
      <c r="E14" s="652">
        <f>PL!N45</f>
        <v>42.347008961</v>
      </c>
      <c r="F14" s="652">
        <f>PL!O45</f>
        <v>392.53</v>
      </c>
      <c r="G14" s="652">
        <f>PL!P45</f>
        <v>658.02</v>
      </c>
      <c r="H14" s="652">
        <f ca="1">PL!Q45</f>
        <v>2859.7303340210856</v>
      </c>
      <c r="I14" s="652">
        <f ca="1">PL!R45</f>
        <v>3099.4159494000005</v>
      </c>
      <c r="J14" s="652">
        <f ca="1">PL!S45</f>
        <v>3597.2267734200009</v>
      </c>
    </row>
    <row r="15" spans="1:10">
      <c r="A15" s="650" t="s">
        <v>424</v>
      </c>
      <c r="B15" s="651">
        <f>PL!K47</f>
        <v>5263.4566299669987</v>
      </c>
      <c r="C15" s="651">
        <f>PL!L47</f>
        <v>6337.2064409580007</v>
      </c>
      <c r="D15" s="651">
        <f>PL!M47</f>
        <v>7662.2829598800017</v>
      </c>
      <c r="E15" s="651">
        <f>PL!N47</f>
        <v>9203.0060985699965</v>
      </c>
      <c r="F15" s="651">
        <f>PL!O47</f>
        <v>11069.660000000005</v>
      </c>
      <c r="G15" s="651">
        <f>PL!P47</f>
        <v>13133.720000000005</v>
      </c>
      <c r="H15" s="651">
        <f ca="1">PL!Q47</f>
        <v>13271.82233705516</v>
      </c>
      <c r="I15" s="651">
        <f ca="1">PL!R47</f>
        <v>15016.416682613406</v>
      </c>
      <c r="J15" s="651">
        <f ca="1">PL!S47</f>
        <v>17014.72800224385</v>
      </c>
    </row>
    <row r="16" spans="1:10">
      <c r="A16" s="645" t="s">
        <v>425</v>
      </c>
      <c r="B16" s="649">
        <f>PL!K50</f>
        <v>839.71141236899996</v>
      </c>
      <c r="C16" s="649">
        <f>PL!L50</f>
        <v>987.90534146200002</v>
      </c>
      <c r="D16" s="649">
        <f>PL!M50</f>
        <v>1170.939505411</v>
      </c>
      <c r="E16" s="649">
        <f>PL!N50</f>
        <v>1414.9563589540001</v>
      </c>
      <c r="F16" s="649">
        <f>PL!O50</f>
        <v>1642.24</v>
      </c>
      <c r="G16" s="649">
        <f>PL!P50</f>
        <v>1813.35</v>
      </c>
      <c r="H16" s="649">
        <f ca="1">PL!Q50</f>
        <v>1990.7733505582739</v>
      </c>
      <c r="I16" s="649">
        <f ca="1">PL!R50</f>
        <v>2252.4625023920107</v>
      </c>
      <c r="J16" s="649">
        <f ca="1">PL!S50</f>
        <v>2552.2092003365774</v>
      </c>
    </row>
    <row r="17" spans="1:13">
      <c r="A17" s="645" t="s">
        <v>426</v>
      </c>
      <c r="B17" s="649">
        <f t="shared" ref="B17:E17" si="8">B15</f>
        <v>5263.4566299669987</v>
      </c>
      <c r="C17" s="649">
        <f t="shared" si="8"/>
        <v>6337.2064409580007</v>
      </c>
      <c r="D17" s="649">
        <f t="shared" si="8"/>
        <v>7662.2829598800017</v>
      </c>
      <c r="E17" s="649">
        <f t="shared" si="8"/>
        <v>9203.0060985699965</v>
      </c>
      <c r="F17" s="649">
        <f t="shared" ref="F17:G17" si="9">F15</f>
        <v>11069.660000000005</v>
      </c>
      <c r="G17" s="649">
        <f t="shared" si="9"/>
        <v>13133.720000000005</v>
      </c>
      <c r="H17" s="649">
        <f t="shared" ref="H17:I17" ca="1" si="10">H15</f>
        <v>13271.82233705516</v>
      </c>
      <c r="I17" s="649">
        <f t="shared" ca="1" si="10"/>
        <v>15016.416682613406</v>
      </c>
      <c r="J17" s="649">
        <f t="shared" ref="J17" ca="1" si="11">J15</f>
        <v>17014.72800224385</v>
      </c>
    </row>
    <row r="18" spans="1:13" ht="13.5" thickBot="1">
      <c r="A18" s="646" t="s">
        <v>427</v>
      </c>
      <c r="B18" s="652">
        <v>0</v>
      </c>
      <c r="C18" s="652">
        <v>0</v>
      </c>
      <c r="D18" s="652">
        <v>0</v>
      </c>
      <c r="E18" s="652">
        <v>0</v>
      </c>
      <c r="F18" s="652">
        <v>0</v>
      </c>
      <c r="G18" s="652">
        <v>1</v>
      </c>
      <c r="H18" s="652">
        <v>0</v>
      </c>
      <c r="I18" s="652">
        <v>0</v>
      </c>
      <c r="J18" s="652">
        <v>0</v>
      </c>
    </row>
    <row r="19" spans="1:13" s="1" customFormat="1">
      <c r="A19" s="650" t="s">
        <v>172</v>
      </c>
      <c r="B19" s="651">
        <f>PL!K53</f>
        <v>4423.7452175979988</v>
      </c>
      <c r="C19" s="651">
        <f>PL!L53</f>
        <v>5349.3010994960005</v>
      </c>
      <c r="D19" s="651">
        <f>PL!M53</f>
        <v>6491.3434544690017</v>
      </c>
      <c r="E19" s="651">
        <f>PL!N53</f>
        <v>7788.0497396159963</v>
      </c>
      <c r="F19" s="651">
        <f>PL!O53</f>
        <v>9427.4200000000055</v>
      </c>
      <c r="G19" s="651">
        <f>PL!P53</f>
        <v>11320.370000000004</v>
      </c>
      <c r="H19" s="651">
        <f ca="1">PL!Q53</f>
        <v>11281.048986496886</v>
      </c>
      <c r="I19" s="651">
        <f ca="1">PL!R53</f>
        <v>12763.954180221395</v>
      </c>
      <c r="J19" s="651">
        <f ca="1">PL!S53</f>
        <v>14462.518801907272</v>
      </c>
    </row>
    <row r="20" spans="1:13">
      <c r="A20" s="645" t="s">
        <v>428</v>
      </c>
      <c r="B20" s="649">
        <f>PL!K55</f>
        <v>3538.0077388219988</v>
      </c>
      <c r="C20" s="649">
        <f>PL!L55</f>
        <v>4337.4118798020008</v>
      </c>
      <c r="D20" s="649">
        <f>PL!M55</f>
        <v>5310.1085914080013</v>
      </c>
      <c r="E20" s="649">
        <f>PL!N55</f>
        <v>6465.1904326219965</v>
      </c>
      <c r="F20" s="649">
        <f>PL!O55</f>
        <v>7856.7700000000059</v>
      </c>
      <c r="G20" s="649">
        <f>PL!P55</f>
        <v>9464.1600000000035</v>
      </c>
      <c r="H20" s="649">
        <f ca="1">PL!Q55</f>
        <v>11112.888759006528</v>
      </c>
      <c r="I20" s="649">
        <f ca="1">PL!R55</f>
        <v>12554.662616528081</v>
      </c>
      <c r="J20" s="649">
        <f ca="1">PL!S55</f>
        <v>14225.375740105508</v>
      </c>
    </row>
    <row r="21" spans="1:13" ht="13.5" thickBot="1">
      <c r="A21" s="646" t="s">
        <v>429</v>
      </c>
      <c r="B21" s="652">
        <f>PL!K54</f>
        <v>885.73747877599999</v>
      </c>
      <c r="C21" s="652">
        <f>PL!L54</f>
        <v>1011.889219694</v>
      </c>
      <c r="D21" s="652">
        <f>PL!M54</f>
        <v>1181.2348630609999</v>
      </c>
      <c r="E21" s="652">
        <f>PL!N54</f>
        <v>1322.859306994</v>
      </c>
      <c r="F21" s="652">
        <f>PL!O54</f>
        <v>1570.65</v>
      </c>
      <c r="G21" s="652">
        <f>PL!P54</f>
        <v>1856.21</v>
      </c>
      <c r="H21" s="652">
        <f ca="1">PL!Q54</f>
        <v>168.16022749035889</v>
      </c>
      <c r="I21" s="652">
        <f ca="1">PL!R54</f>
        <v>209.29156369331344</v>
      </c>
      <c r="J21" s="652">
        <f ca="1">PL!S54</f>
        <v>237.14306180176339</v>
      </c>
    </row>
    <row r="22" spans="1:13">
      <c r="A22" s="645" t="s">
        <v>198</v>
      </c>
      <c r="B22" s="649">
        <f>PL!K29</f>
        <v>6095.3371554799987</v>
      </c>
      <c r="C22" s="649">
        <f>PL!L29</f>
        <v>7058.9432015550001</v>
      </c>
      <c r="D22" s="649">
        <f>PL!M29</f>
        <v>8627.6217949970014</v>
      </c>
      <c r="E22" s="649">
        <f>PL!N29</f>
        <v>10738.142058050997</v>
      </c>
      <c r="F22" s="649">
        <f>PL!O29</f>
        <v>13043.640000000003</v>
      </c>
      <c r="G22" s="649">
        <f>PL!P29</f>
        <v>13978.160000000003</v>
      </c>
      <c r="H22" s="649">
        <f ca="1">PL!Q29</f>
        <v>12455.330662171225</v>
      </c>
      <c r="I22" s="649">
        <f ca="1">PL!R29</f>
        <v>13502.971749592678</v>
      </c>
      <c r="J22" s="649">
        <f ca="1">PL!S29</f>
        <v>14995.330980579267</v>
      </c>
    </row>
    <row r="23" spans="1:13">
      <c r="A23" s="331" t="s">
        <v>162</v>
      </c>
      <c r="B23" s="647">
        <f>PL!K14</f>
        <v>0.39602745072443657</v>
      </c>
      <c r="C23" s="647">
        <f>PL!L14</f>
        <v>0.38230540607439883</v>
      </c>
      <c r="D23" s="647">
        <f>PL!M14</f>
        <v>0.39008095623448957</v>
      </c>
      <c r="E23" s="647">
        <f>PL!N14</f>
        <v>0.38617187544864356</v>
      </c>
      <c r="F23" s="647">
        <f>PL!O14</f>
        <v>0.37706915280310094</v>
      </c>
      <c r="G23" s="647">
        <f>PL!P14</f>
        <v>0.37019121409634759</v>
      </c>
      <c r="H23" s="647">
        <f ca="1">PL!Q14</f>
        <v>0.3466012947437157</v>
      </c>
      <c r="I23" s="647">
        <f ca="1">PL!R14</f>
        <v>0.33780576720202882</v>
      </c>
      <c r="J23" s="647">
        <f ca="1">PL!S14</f>
        <v>0.33418917147781407</v>
      </c>
    </row>
    <row r="24" spans="1:13">
      <c r="A24" s="645" t="s">
        <v>430</v>
      </c>
      <c r="B24" s="647">
        <f>PL!K30</f>
        <v>0.20433306451916289</v>
      </c>
      <c r="C24" s="647">
        <f>PL!L30</f>
        <v>0.19796649259435334</v>
      </c>
      <c r="D24" s="647">
        <f>PL!M30</f>
        <v>0.19603986340301505</v>
      </c>
      <c r="E24" s="647">
        <f>PL!N30</f>
        <v>0.20407773569831064</v>
      </c>
      <c r="F24" s="647">
        <f>PL!O30</f>
        <v>0.20754003378585337</v>
      </c>
      <c r="G24" s="647">
        <f>PL!P30</f>
        <v>0.19909727837506125</v>
      </c>
      <c r="H24" s="647">
        <f ca="1">PL!Q30</f>
        <v>0.21777106942558644</v>
      </c>
      <c r="I24" s="647">
        <f ca="1">PL!R30</f>
        <v>0.20476105259563898</v>
      </c>
      <c r="J24" s="647">
        <f ca="1">PL!S30</f>
        <v>0.19592330438961114</v>
      </c>
    </row>
    <row r="25" spans="1:13">
      <c r="A25" s="645" t="s">
        <v>431</v>
      </c>
      <c r="B25" s="647">
        <f>PL!K26</f>
        <v>0.15436365577617198</v>
      </c>
      <c r="C25" s="647">
        <f>PL!L26</f>
        <v>0.15186324270925325</v>
      </c>
      <c r="D25" s="647">
        <f>PL!M26</f>
        <v>0.15438832575374628</v>
      </c>
      <c r="E25" s="647">
        <f>PL!N26</f>
        <v>0.16062267339567346</v>
      </c>
      <c r="F25" s="647">
        <f>PL!O26</f>
        <v>0.16720035501081251</v>
      </c>
      <c r="G25" s="647">
        <f>PL!P26</f>
        <v>0.15779809875527884</v>
      </c>
      <c r="H25" s="647">
        <f ca="1">PL!Q26</f>
        <v>0.17060129474371571</v>
      </c>
      <c r="I25" s="647">
        <f ca="1">PL!R26</f>
        <v>0.16380576720202886</v>
      </c>
      <c r="J25" s="647">
        <f ca="1">PL!S26</f>
        <v>0.16018917147781406</v>
      </c>
    </row>
    <row r="26" spans="1:13" ht="13.5" thickBot="1">
      <c r="A26" s="646" t="s">
        <v>432</v>
      </c>
      <c r="B26" s="648">
        <f>PL!K57</f>
        <v>0.14829654109471618</v>
      </c>
      <c r="C26" s="648">
        <f>PL!L57</f>
        <v>0.1500199599658289</v>
      </c>
      <c r="D26" s="648">
        <f>PL!M57</f>
        <v>0.14749859397569956</v>
      </c>
      <c r="E26" s="648">
        <f>PL!N57</f>
        <v>0.14801141089160866</v>
      </c>
      <c r="F26" s="648">
        <f>PL!O57</f>
        <v>0.15000161498733716</v>
      </c>
      <c r="G26" s="648">
        <f>PL!P57</f>
        <v>0.16124116888050302</v>
      </c>
      <c r="H26" s="648">
        <f ca="1">PL!Q57</f>
        <v>0.1972397336261166</v>
      </c>
      <c r="I26" s="648">
        <f ca="1">PL!R57</f>
        <v>0.19355448131656486</v>
      </c>
      <c r="J26" s="648">
        <f ca="1">PL!S57</f>
        <v>0.18896178264663374</v>
      </c>
    </row>
    <row r="29" spans="1:13" ht="28.5">
      <c r="A29" s="334" t="s">
        <v>433</v>
      </c>
      <c r="B29" s="330"/>
      <c r="K29" s="1948"/>
      <c r="L29" s="1948"/>
      <c r="M29" s="1948"/>
    </row>
    <row r="30" spans="1:13" ht="13.5" thickBot="1">
      <c r="A30" s="355" t="s">
        <v>462</v>
      </c>
      <c r="B30" s="356">
        <v>2020</v>
      </c>
      <c r="C30" s="356">
        <v>2021</v>
      </c>
      <c r="D30" s="356">
        <v>2022</v>
      </c>
      <c r="E30" s="356">
        <v>2023</v>
      </c>
      <c r="F30" s="356">
        <v>2024</v>
      </c>
      <c r="G30" s="356" t="s">
        <v>262</v>
      </c>
      <c r="H30" s="356" t="s">
        <v>263</v>
      </c>
      <c r="I30" s="356" t="s">
        <v>812</v>
      </c>
      <c r="J30" s="356" t="s">
        <v>948</v>
      </c>
      <c r="K30" s="2932"/>
      <c r="L30" s="2932"/>
      <c r="M30" s="2932"/>
    </row>
    <row r="31" spans="1:13">
      <c r="A31" s="337" t="s">
        <v>434</v>
      </c>
      <c r="B31" s="347">
        <f>BS!K14</f>
        <v>25265.933056475998</v>
      </c>
      <c r="C31" s="347">
        <f>BS!L14</f>
        <v>35118.372900846007</v>
      </c>
      <c r="D31" s="347">
        <f>BS!M14</f>
        <v>30937.711076140997</v>
      </c>
      <c r="E31" s="347">
        <f>BS!N14</f>
        <v>36705.751751876</v>
      </c>
      <c r="F31" s="347">
        <f>BS!O14</f>
        <v>45535.94</v>
      </c>
      <c r="G31" s="347">
        <f>BS!P14</f>
        <v>58102.970741619007</v>
      </c>
      <c r="H31" s="347">
        <f ca="1">BS!Q14</f>
        <v>60543.796756577503</v>
      </c>
      <c r="I31" s="347">
        <f ca="1">BS!R14</f>
        <v>65227.135114528246</v>
      </c>
      <c r="J31" s="347">
        <f ca="1">BS!S14</f>
        <v>70001.695701355464</v>
      </c>
      <c r="K31" s="2933"/>
      <c r="L31" s="2933"/>
      <c r="M31" s="2933"/>
    </row>
    <row r="32" spans="1:13">
      <c r="A32" s="331" t="s">
        <v>435</v>
      </c>
      <c r="B32" s="344">
        <f>BS!K6</f>
        <v>4686.1913740379996</v>
      </c>
      <c r="C32" s="344">
        <f>BS!L6</f>
        <v>5417.8452932419996</v>
      </c>
      <c r="D32" s="344">
        <f>BS!M6</f>
        <v>6440.1771743219997</v>
      </c>
      <c r="E32" s="344">
        <f>BS!N6</f>
        <v>8279.1566832209992</v>
      </c>
      <c r="F32" s="344">
        <f>BS!O6</f>
        <v>9315.44</v>
      </c>
      <c r="G32" s="344">
        <f>BS!P6</f>
        <v>10540.18164092</v>
      </c>
      <c r="H32" s="344">
        <f ca="1">BS!Q6</f>
        <v>17810.10807520993</v>
      </c>
      <c r="I32" s="344">
        <f ca="1">BS!R6</f>
        <v>20356.573508863479</v>
      </c>
      <c r="J32" s="344">
        <f ca="1">BS!S6</f>
        <v>22560.07773287105</v>
      </c>
      <c r="K32" s="2934"/>
      <c r="L32" s="2934"/>
      <c r="M32" s="2934"/>
    </row>
    <row r="33" spans="1:13">
      <c r="A33" s="331" t="s">
        <v>694</v>
      </c>
      <c r="B33" s="344">
        <f>BS!K9+BS!K10</f>
        <v>4941.7374053079993</v>
      </c>
      <c r="C33" s="344">
        <f>BS!L9+BS!L10</f>
        <v>5681.9605480070004</v>
      </c>
      <c r="D33" s="344">
        <f>BS!M9+BS!M10</f>
        <v>7290.6409257300002</v>
      </c>
      <c r="E33" s="344">
        <f>BS!N9+BS!N10</f>
        <v>8145.4905619050005</v>
      </c>
      <c r="F33" s="344">
        <f>BS!O9+BS!O10</f>
        <v>9917.49</v>
      </c>
      <c r="G33" s="344">
        <f>BS!P9+BS!P10</f>
        <v>12147.337944248</v>
      </c>
      <c r="H33" s="344">
        <f ca="1">BS!Q9+BS!Q10</f>
        <v>8502.2913035738329</v>
      </c>
      <c r="I33" s="344">
        <f ca="1">BS!R9+BS!R10</f>
        <v>9892.7679724383324</v>
      </c>
      <c r="J33" s="344">
        <f ca="1">BS!S9+BS!S10</f>
        <v>11575.835754027374</v>
      </c>
      <c r="K33" s="2934"/>
      <c r="L33" s="2934"/>
      <c r="M33" s="2934"/>
    </row>
    <row r="34" spans="1:13">
      <c r="A34" s="331" t="s">
        <v>436</v>
      </c>
      <c r="B34" s="344">
        <f>BS!K11+BS!K12</f>
        <v>1290.0915243520001</v>
      </c>
      <c r="C34" s="344">
        <f>BS!L11+BS!L12</f>
        <v>1507.342901619</v>
      </c>
      <c r="D34" s="344">
        <f>BS!M11+BS!M12</f>
        <v>1965.787736563</v>
      </c>
      <c r="E34" s="344">
        <f>BS!N11+BS!N12</f>
        <v>1593.411075233</v>
      </c>
      <c r="F34" s="344">
        <f>BS!O11+BS!O12</f>
        <v>1856.75</v>
      </c>
      <c r="G34" s="344">
        <f>BS!P11+BS!P12</f>
        <v>2167.1886829189998</v>
      </c>
      <c r="H34" s="344">
        <f ca="1">BS!Q11+BS!Q12</f>
        <v>1656.9378173529851</v>
      </c>
      <c r="I34" s="344">
        <f ca="1">BS!R11+BS!R12</f>
        <v>1950.2474387076365</v>
      </c>
      <c r="J34" s="344">
        <f ca="1">BS!S11+BS!S12</f>
        <v>2289.8086114380317</v>
      </c>
      <c r="K34" s="2934"/>
      <c r="L34" s="2934"/>
      <c r="M34" s="2934"/>
    </row>
    <row r="35" spans="1:13">
      <c r="A35" s="331" t="s">
        <v>174</v>
      </c>
      <c r="B35" s="344">
        <f>BS!K13+BS!K7+BS!K8</f>
        <v>14347.912752778</v>
      </c>
      <c r="C35" s="344">
        <f>BS!L13+BS!L7+BS!L8</f>
        <v>22511.224157978002</v>
      </c>
      <c r="D35" s="344">
        <f>BS!M13+BS!M7+BS!M8</f>
        <v>15241.105239525999</v>
      </c>
      <c r="E35" s="344">
        <f>BS!N13+BS!N7+BS!N8</f>
        <v>18687.693431517</v>
      </c>
      <c r="F35" s="344">
        <f>BS!O13+BS!O7+BS!O8</f>
        <v>24446.26</v>
      </c>
      <c r="G35" s="344">
        <f>BS!P13+BS!P7+BS!P8</f>
        <v>33248.262473531999</v>
      </c>
      <c r="H35" s="344">
        <f ca="1">BS!Q13+BS!Q7+BS!Q8</f>
        <v>32574.459560440762</v>
      </c>
      <c r="I35" s="344">
        <f ca="1">BS!R13+BS!R7+BS!R8</f>
        <v>33027.5461945188</v>
      </c>
      <c r="J35" s="344">
        <f ca="1">BS!S13+BS!S7+BS!S8</f>
        <v>33575.973603019018</v>
      </c>
      <c r="K35" s="2934"/>
      <c r="L35" s="2934"/>
      <c r="M35" s="2934"/>
    </row>
    <row r="36" spans="1:13">
      <c r="A36" s="335" t="s">
        <v>437</v>
      </c>
      <c r="B36" s="343">
        <f>BS!K36</f>
        <v>16468.390178718</v>
      </c>
      <c r="C36" s="343">
        <f>BS!L36</f>
        <v>18579.567995029</v>
      </c>
      <c r="D36" s="343">
        <f>BS!M36</f>
        <v>20712.692658988999</v>
      </c>
      <c r="E36" s="343">
        <f>BS!N36</f>
        <v>23577.075781022999</v>
      </c>
      <c r="F36" s="343">
        <f>BS!O36</f>
        <v>26464.059999999998</v>
      </c>
      <c r="G36" s="343">
        <f>BS!P36</f>
        <v>29986.651038243006</v>
      </c>
      <c r="H36" s="343">
        <f ca="1">BS!Q36</f>
        <v>31568.142055921635</v>
      </c>
      <c r="I36" s="343">
        <f ca="1">BS!R36</f>
        <v>37772.297629565452</v>
      </c>
      <c r="J36" s="343">
        <f ca="1">BS!S36</f>
        <v>45398.936310462654</v>
      </c>
      <c r="K36" s="2933"/>
      <c r="L36" s="2933"/>
      <c r="M36" s="2933"/>
    </row>
    <row r="37" spans="1:13">
      <c r="A37" s="331" t="s">
        <v>438</v>
      </c>
      <c r="B37" s="344">
        <f>BS!K16+BS!K26</f>
        <v>7219.5516257649997</v>
      </c>
      <c r="C37" s="344">
        <f>BS!L16+BS!L26</f>
        <v>9260.9346990630002</v>
      </c>
      <c r="D37" s="344">
        <f>BS!M16+BS!M26</f>
        <v>10714.231138519999</v>
      </c>
      <c r="E37" s="344">
        <f>BS!N16+BS!N26</f>
        <v>12382.116875248999</v>
      </c>
      <c r="F37" s="344">
        <f>BS!O16+BS!O26</f>
        <v>12774.56</v>
      </c>
      <c r="G37" s="344">
        <f>BS!P16+BS!P26</f>
        <v>15385.816846287002</v>
      </c>
      <c r="H37" s="344">
        <f ca="1">BS!Q16+BS!Q26</f>
        <v>12430.373453873352</v>
      </c>
      <c r="I37" s="344">
        <f ca="1">BS!R16+BS!R26</f>
        <v>11351.649941593918</v>
      </c>
      <c r="J37" s="344">
        <f ca="1">BS!S16+BS!S26</f>
        <v>7969.9679404782182</v>
      </c>
      <c r="K37" s="2934"/>
      <c r="L37" s="2934"/>
      <c r="M37" s="2934"/>
    </row>
    <row r="38" spans="1:13">
      <c r="A38" s="331" t="s">
        <v>36</v>
      </c>
      <c r="B38" s="344">
        <f>BS!K29</f>
        <v>2373.3932965650001</v>
      </c>
      <c r="C38" s="344">
        <f>BS!L29</f>
        <v>1290.5987456840001</v>
      </c>
      <c r="D38" s="344">
        <f>BS!M29</f>
        <v>1062.184742251</v>
      </c>
      <c r="E38" s="344">
        <f>BS!N29</f>
        <v>1315.2701360030001</v>
      </c>
      <c r="F38" s="344">
        <f>BS!O29</f>
        <v>2559.77</v>
      </c>
      <c r="G38" s="344">
        <f>BS!P29</f>
        <v>1604.9159574190001</v>
      </c>
      <c r="H38" s="344">
        <f ca="1">BS!Q29</f>
        <v>-1479.0525287557052</v>
      </c>
      <c r="I38" s="344">
        <f ca="1">BS!R29</f>
        <v>2273.7842964960005</v>
      </c>
      <c r="J38" s="344">
        <f ca="1">BS!S29</f>
        <v>9142.7402711694813</v>
      </c>
      <c r="K38" s="2934"/>
      <c r="L38" s="2934"/>
      <c r="M38" s="2934"/>
    </row>
    <row r="39" spans="1:13">
      <c r="A39" s="331" t="s">
        <v>439</v>
      </c>
      <c r="B39" s="344">
        <f>BS!K19</f>
        <v>1095.369004232</v>
      </c>
      <c r="C39" s="344">
        <f>BS!L19</f>
        <v>1133.0600578470001</v>
      </c>
      <c r="D39" s="344">
        <f>BS!M19</f>
        <v>1287.0601899539997</v>
      </c>
      <c r="E39" s="344">
        <f>BS!N19</f>
        <v>1257.0971414329999</v>
      </c>
      <c r="F39" s="344">
        <f>BS!O19</f>
        <v>2039.5200000000002</v>
      </c>
      <c r="G39" s="344">
        <f>BS!P19</f>
        <v>1942.9395476930001</v>
      </c>
      <c r="H39" s="344">
        <f>BS!Q19</f>
        <v>1843.6307281423426</v>
      </c>
      <c r="I39" s="344">
        <f>BS!R19</f>
        <v>1744.3219085916853</v>
      </c>
      <c r="J39" s="344">
        <f>BS!S19</f>
        <v>1645.0130890410278</v>
      </c>
      <c r="K39" s="2934"/>
      <c r="L39" s="2934"/>
      <c r="M39" s="2934"/>
    </row>
    <row r="40" spans="1:13">
      <c r="A40" s="331" t="s">
        <v>696</v>
      </c>
      <c r="B40" s="344">
        <f>SUM(BS!K30:K35)</f>
        <v>5777.1741745389991</v>
      </c>
      <c r="C40" s="344">
        <f>SUM(BS!L30:L35)</f>
        <v>6890.1317025609997</v>
      </c>
      <c r="D40" s="344">
        <f>SUM(BS!M30:M35)</f>
        <v>7617.5929518310004</v>
      </c>
      <c r="E40" s="344">
        <f>SUM(BS!N30:N35)</f>
        <v>8618.5729951869998</v>
      </c>
      <c r="F40" s="344">
        <f>SUM(BS!O30:O35)</f>
        <v>9088.16</v>
      </c>
      <c r="G40" s="344">
        <f>SUM(BS!P30:P35)</f>
        <v>11051.701474238002</v>
      </c>
      <c r="H40" s="344">
        <f ca="1">SUM(BS!Q30:Q35)</f>
        <v>18763.725602875646</v>
      </c>
      <c r="I40" s="344">
        <f ca="1">SUM(BS!R30:R35)</f>
        <v>22393.076683097846</v>
      </c>
      <c r="J40" s="344">
        <f ca="1">SUM(BS!S30:S35)</f>
        <v>26631.750209987924</v>
      </c>
      <c r="K40" s="2934"/>
      <c r="L40" s="2934"/>
      <c r="M40" s="2934"/>
    </row>
    <row r="41" spans="1:13" ht="13.5" thickBot="1">
      <c r="A41" s="336" t="s">
        <v>43</v>
      </c>
      <c r="B41" s="338">
        <f>BS!K38</f>
        <v>41734.323235193995</v>
      </c>
      <c r="C41" s="338">
        <f>BS!L38</f>
        <v>53697.940895875006</v>
      </c>
      <c r="D41" s="338">
        <f>BS!M38</f>
        <v>51650.403735129992</v>
      </c>
      <c r="E41" s="338">
        <f>BS!N38</f>
        <v>60282.827532898998</v>
      </c>
      <c r="F41" s="338">
        <f>BS!O38</f>
        <v>72000</v>
      </c>
      <c r="G41" s="338">
        <f>BS!P38</f>
        <v>88089.621779862005</v>
      </c>
      <c r="H41" s="338">
        <f ca="1">BS!Q38</f>
        <v>92111.938812499138</v>
      </c>
      <c r="I41" s="338">
        <f ca="1">BS!R38</f>
        <v>102999.4327440937</v>
      </c>
      <c r="J41" s="338">
        <f ca="1">BS!S38</f>
        <v>115400.63201181812</v>
      </c>
      <c r="K41" s="2933"/>
      <c r="L41" s="2933"/>
      <c r="M41" s="2933"/>
    </row>
    <row r="42" spans="1:13">
      <c r="A42" s="335" t="s">
        <v>440</v>
      </c>
      <c r="B42" s="343">
        <f>BS!K51</f>
        <v>22364.710509820001</v>
      </c>
      <c r="C42" s="343">
        <f>BS!L51</f>
        <v>29761.106035256998</v>
      </c>
      <c r="D42" s="343">
        <f>BS!M51</f>
        <v>24521.161696202002</v>
      </c>
      <c r="E42" s="343">
        <f>BS!N51</f>
        <v>29651.673556227001</v>
      </c>
      <c r="F42" s="343">
        <f>BS!O51</f>
        <v>34836.18</v>
      </c>
      <c r="G42" s="343">
        <f>BS!P51</f>
        <v>41552.785100161003</v>
      </c>
      <c r="H42" s="343">
        <f ca="1">BS!Q51</f>
        <v>38948.08678888197</v>
      </c>
      <c r="I42" s="343">
        <f ca="1">BS!R51</f>
        <v>41810.513781954993</v>
      </c>
      <c r="J42" s="343">
        <f ca="1">BS!S51</f>
        <v>44586.408991313969</v>
      </c>
      <c r="K42" s="1948"/>
      <c r="L42" s="1948"/>
      <c r="M42" s="1948"/>
    </row>
    <row r="43" spans="1:13">
      <c r="A43" s="331" t="s">
        <v>695</v>
      </c>
      <c r="B43" s="342">
        <f>BS!K43</f>
        <v>2824.5055523589999</v>
      </c>
      <c r="C43" s="342">
        <f>BS!L43</f>
        <v>2865.8150395809998</v>
      </c>
      <c r="D43" s="342">
        <f>BS!M43</f>
        <v>3209.205494368</v>
      </c>
      <c r="E43" s="342">
        <f>BS!N43</f>
        <v>2602.97729071</v>
      </c>
      <c r="F43" s="342">
        <f>BS!O43</f>
        <v>4423.91</v>
      </c>
      <c r="G43" s="342">
        <f>BS!P43</f>
        <v>3837.0814381260002</v>
      </c>
      <c r="H43" s="342">
        <f ca="1">BS!Q43</f>
        <v>3378.7372724295592</v>
      </c>
      <c r="I43" s="342">
        <f ca="1">BS!R43</f>
        <v>3948.1030080003529</v>
      </c>
      <c r="J43" s="342">
        <f ca="1">BS!S43</f>
        <v>4607.2511668299439</v>
      </c>
      <c r="K43" s="1948"/>
      <c r="L43" s="1948"/>
      <c r="M43" s="1948"/>
    </row>
    <row r="44" spans="1:13">
      <c r="A44" s="331" t="s">
        <v>441</v>
      </c>
      <c r="B44" s="342">
        <f>BS!K50</f>
        <v>12062.410192740001</v>
      </c>
      <c r="C44" s="342">
        <f>BS!L50</f>
        <v>17799.441187777</v>
      </c>
      <c r="D44" s="342">
        <f>BS!M50</f>
        <v>10904.344845014</v>
      </c>
      <c r="E44" s="342">
        <f>BS!N50</f>
        <v>13837.894474107001</v>
      </c>
      <c r="F44" s="342">
        <f>BS!O50</f>
        <v>14446.24</v>
      </c>
      <c r="G44" s="342">
        <f>BS!P50</f>
        <v>19169.697497955</v>
      </c>
      <c r="H44" s="342">
        <f ca="1">BS!Q50</f>
        <v>19582.217452327575</v>
      </c>
      <c r="I44" s="342">
        <f ca="1">BS!R50</f>
        <v>20061.747365528478</v>
      </c>
      <c r="J44" s="342">
        <f ca="1">BS!S50</f>
        <v>20061.747365528478</v>
      </c>
    </row>
    <row r="45" spans="1:13">
      <c r="A45" s="331" t="s">
        <v>442</v>
      </c>
      <c r="B45" s="342">
        <f>SUM(BS!K44:K49)</f>
        <v>7477.7947647210012</v>
      </c>
      <c r="C45" s="342">
        <f>SUM(BS!L44:L49)</f>
        <v>9095.8498078989978</v>
      </c>
      <c r="D45" s="342">
        <f>SUM(BS!M44:M49)</f>
        <v>10407.61135682</v>
      </c>
      <c r="E45" s="342">
        <f>SUM(BS!N44:N49)</f>
        <v>13210.80179141</v>
      </c>
      <c r="F45" s="342">
        <f>SUM(BS!O44:O49)</f>
        <v>15966.029999999999</v>
      </c>
      <c r="G45" s="342">
        <f>SUM(BS!P44:P49)</f>
        <v>18546.006164080005</v>
      </c>
      <c r="H45" s="342">
        <f ca="1">SUM(BS!Q44:Q49)</f>
        <v>15987.132064124835</v>
      </c>
      <c r="I45" s="342">
        <f ca="1">SUM(BS!R44:R49)</f>
        <v>17800.66340842616</v>
      </c>
      <c r="J45" s="342">
        <f ca="1">SUM(BS!S44:S49)</f>
        <v>19917.410458955546</v>
      </c>
    </row>
    <row r="46" spans="1:13">
      <c r="A46" s="335" t="s">
        <v>443</v>
      </c>
      <c r="B46" s="339">
        <f>BS!K55</f>
        <v>763.94532464600002</v>
      </c>
      <c r="C46" s="339">
        <f>BS!L55</f>
        <v>2518.8496305809999</v>
      </c>
      <c r="D46" s="339">
        <f>BS!M55</f>
        <v>1773.117351116</v>
      </c>
      <c r="E46" s="339">
        <f>BS!N55</f>
        <v>698.14276043899997</v>
      </c>
      <c r="F46" s="339">
        <f>BS!O55</f>
        <v>1436.27</v>
      </c>
      <c r="G46" s="339">
        <f>BS!P55</f>
        <v>2785.3703871110001</v>
      </c>
      <c r="H46" s="339">
        <f>BS!Q55</f>
        <v>2785.3703871110001</v>
      </c>
      <c r="I46" s="339">
        <f>BS!R55</f>
        <v>2785.3703871110001</v>
      </c>
      <c r="J46" s="339">
        <f>BS!S55</f>
        <v>2785.3703871110001</v>
      </c>
    </row>
    <row r="47" spans="1:13">
      <c r="A47" s="331" t="s">
        <v>444</v>
      </c>
      <c r="B47" s="342">
        <f>BS!K53</f>
        <v>677.79691341299997</v>
      </c>
      <c r="C47" s="342">
        <f>BS!L53</f>
        <v>2296.308493046</v>
      </c>
      <c r="D47" s="342">
        <f>BS!M53</f>
        <v>1477.8303339900001</v>
      </c>
      <c r="E47" s="342">
        <f>BS!N53</f>
        <v>208.074996962</v>
      </c>
      <c r="F47" s="342">
        <f>BS!O53</f>
        <v>501.12</v>
      </c>
      <c r="G47" s="342">
        <f>BS!P53</f>
        <v>1903.7899881840001</v>
      </c>
      <c r="H47" s="342">
        <f>BS!Q53</f>
        <v>1903.7899881840001</v>
      </c>
      <c r="I47" s="342">
        <f>BS!R53</f>
        <v>1903.7899881840001</v>
      </c>
      <c r="J47" s="342">
        <f>BS!S53</f>
        <v>1903.7899881840001</v>
      </c>
    </row>
    <row r="48" spans="1:13">
      <c r="A48" s="331" t="s">
        <v>445</v>
      </c>
      <c r="B48" s="649">
        <f>BS!K54</f>
        <v>86.148411233000047</v>
      </c>
      <c r="C48" s="649">
        <f>BS!L54</f>
        <v>222.54113753499996</v>
      </c>
      <c r="D48" s="649">
        <f>BS!M54</f>
        <v>295.28701712599991</v>
      </c>
      <c r="E48" s="649">
        <f>BS!N54</f>
        <v>490.06776347699997</v>
      </c>
      <c r="F48" s="649">
        <f>BS!O54</f>
        <v>935.15</v>
      </c>
      <c r="G48" s="649">
        <f>BS!P54</f>
        <v>881.58039892700003</v>
      </c>
      <c r="H48" s="649">
        <f>BS!Q54</f>
        <v>881.58039892700003</v>
      </c>
      <c r="I48" s="649">
        <f>BS!R54</f>
        <v>881.58039892700003</v>
      </c>
      <c r="J48" s="649">
        <f>BS!S54</f>
        <v>881.58039892700003</v>
      </c>
    </row>
    <row r="49" spans="1:10" ht="13.5" thickBot="1">
      <c r="A49" s="336" t="s">
        <v>175</v>
      </c>
      <c r="B49" s="338">
        <f>BS!K61</f>
        <v>23128.655834466001</v>
      </c>
      <c r="C49" s="338">
        <f>BS!L61</f>
        <v>32279.955665837999</v>
      </c>
      <c r="D49" s="338">
        <f>BS!M61</f>
        <v>26294.279047318003</v>
      </c>
      <c r="E49" s="338">
        <f>BS!N61</f>
        <v>30349.816316666002</v>
      </c>
      <c r="F49" s="338">
        <f>BS!O61</f>
        <v>36272.449999999997</v>
      </c>
      <c r="G49" s="338">
        <f>BS!P61</f>
        <v>44338.155487272001</v>
      </c>
      <c r="H49" s="338">
        <f ca="1">BS!Q61</f>
        <v>41733.457175992968</v>
      </c>
      <c r="I49" s="338">
        <f ca="1">BS!R61</f>
        <v>44595.88416906599</v>
      </c>
      <c r="J49" s="338">
        <f ca="1">BS!S61</f>
        <v>47371.779378424966</v>
      </c>
    </row>
    <row r="50" spans="1:10">
      <c r="A50" s="331" t="s">
        <v>446</v>
      </c>
      <c r="B50" s="342">
        <f>BS!K64</f>
        <v>7839.8748599999999</v>
      </c>
      <c r="C50" s="342">
        <f>BS!L64</f>
        <v>9075.51649</v>
      </c>
      <c r="D50" s="342">
        <f>BS!M64</f>
        <v>10970.265719999999</v>
      </c>
      <c r="E50" s="342">
        <f>BS!N64</f>
        <v>12699.688749999999</v>
      </c>
      <c r="F50" s="342">
        <f>BS!O64</f>
        <v>14710.69</v>
      </c>
      <c r="G50" s="342">
        <f>BS!P64</f>
        <v>17035.071209999998</v>
      </c>
      <c r="H50" s="342">
        <f>BS!Q64</f>
        <v>18738.578410999999</v>
      </c>
      <c r="I50" s="342">
        <f>BS!R64</f>
        <v>20612.436332099998</v>
      </c>
      <c r="J50" s="342">
        <f>BS!S64</f>
        <v>22673.680045309997</v>
      </c>
    </row>
    <row r="51" spans="1:10">
      <c r="A51" s="331" t="s">
        <v>50</v>
      </c>
      <c r="B51" s="342">
        <f>BS!K70</f>
        <v>6390.9061284520003</v>
      </c>
      <c r="C51" s="342">
        <f>BS!L70</f>
        <v>7000.4805850040002</v>
      </c>
      <c r="D51" s="342">
        <f>BS!M70</f>
        <v>7711.6814845409999</v>
      </c>
      <c r="E51" s="342">
        <f>BS!N70</f>
        <v>8674.1267086700009</v>
      </c>
      <c r="F51" s="342">
        <f>BS!O70</f>
        <v>11030.53</v>
      </c>
      <c r="G51" s="342">
        <f>BS!P70</f>
        <v>14324.284500434</v>
      </c>
      <c r="H51" s="342">
        <f ca="1">BS!Q70</f>
        <v>18833.631458142583</v>
      </c>
      <c r="I51" s="342">
        <f ca="1">BS!R70</f>
        <v>24497.632062844525</v>
      </c>
      <c r="J51" s="342">
        <f ca="1">BS!S70</f>
        <v>31509.648681587732</v>
      </c>
    </row>
    <row r="52" spans="1:10">
      <c r="A52" s="331" t="s">
        <v>796</v>
      </c>
      <c r="B52" s="342">
        <f>BS!K73+BS!K75+BS!K72</f>
        <v>1465.9028344409999</v>
      </c>
      <c r="C52" s="342">
        <f>BS!L73+BS!L75+BS!L72</f>
        <v>1816.0575627850001</v>
      </c>
      <c r="D52" s="342">
        <f>BS!M73+BS!M75+BS!M72</f>
        <v>2314.8079966620003</v>
      </c>
      <c r="E52" s="342">
        <f>BS!N73+BS!N75+BS!N72</f>
        <v>3550.6276884650001</v>
      </c>
      <c r="F52" s="342">
        <f>BS!O73+BS!O75+BS!O72</f>
        <v>4003.29</v>
      </c>
      <c r="G52" s="342">
        <f>BS!P73+BS!P75+BS!P72</f>
        <v>5077.2989824719998</v>
      </c>
      <c r="H52" s="342">
        <f ca="1">BS!Q73+BS!Q75+BS!Q72</f>
        <v>5323.2999401892348</v>
      </c>
      <c r="I52" s="342">
        <f ca="1">BS!R73+BS!R75+BS!R72</f>
        <v>5601.2167892155167</v>
      </c>
      <c r="J52" s="342">
        <f ca="1">BS!S73+BS!S75+BS!S72</f>
        <v>5916.1174538259957</v>
      </c>
    </row>
    <row r="53" spans="1:10">
      <c r="A53" s="331" t="s">
        <v>55</v>
      </c>
      <c r="B53" s="342">
        <f>BS!K77</f>
        <v>2860.0941244239998</v>
      </c>
      <c r="C53" s="342">
        <f>BS!L77</f>
        <v>3477.0411388369998</v>
      </c>
      <c r="D53" s="342">
        <f>BS!M77</f>
        <v>4309.6562731980002</v>
      </c>
      <c r="E53" s="342">
        <f>BS!N77</f>
        <v>4958.8548556870001</v>
      </c>
      <c r="F53" s="342">
        <f>BS!O77</f>
        <v>5933.31</v>
      </c>
      <c r="G53" s="342">
        <f>BS!P77</f>
        <v>7265.098386273</v>
      </c>
      <c r="H53" s="342">
        <f ca="1">BS!Q77</f>
        <v>7433.2586137633589</v>
      </c>
      <c r="I53" s="342">
        <f ca="1">BS!R77</f>
        <v>7642.5501774566719</v>
      </c>
      <c r="J53" s="342">
        <f ca="1">BS!S77</f>
        <v>7879.6932392584349</v>
      </c>
    </row>
    <row r="54" spans="1:10" ht="13.5" thickBot="1">
      <c r="A54" s="336" t="s">
        <v>447</v>
      </c>
      <c r="B54" s="338">
        <f t="shared" ref="B54:E54" si="12">SUM(B50:B53)</f>
        <v>18556.777947316998</v>
      </c>
      <c r="C54" s="338">
        <f t="shared" si="12"/>
        <v>21369.095776626003</v>
      </c>
      <c r="D54" s="338">
        <f t="shared" si="12"/>
        <v>25306.411474401</v>
      </c>
      <c r="E54" s="338">
        <f t="shared" si="12"/>
        <v>29883.298002822001</v>
      </c>
      <c r="F54" s="338">
        <f t="shared" ref="F54:G54" si="13">SUM(F50:F53)</f>
        <v>35677.82</v>
      </c>
      <c r="G54" s="338">
        <f t="shared" si="13"/>
        <v>43701.753079178998</v>
      </c>
      <c r="H54" s="338">
        <f t="shared" ref="H54:I54" ca="1" si="14">SUM(H50:H53)</f>
        <v>50328.768423095171</v>
      </c>
      <c r="I54" s="338">
        <f t="shared" ca="1" si="14"/>
        <v>58353.835361616715</v>
      </c>
      <c r="J54" s="338">
        <f t="shared" ref="J54" ca="1" si="15">SUM(J50:J53)</f>
        <v>67979.139419982152</v>
      </c>
    </row>
    <row r="57" spans="1:10" ht="15">
      <c r="A57" s="340" t="s">
        <v>448</v>
      </c>
    </row>
    <row r="58" spans="1:10" ht="13.5" thickBot="1">
      <c r="A58" s="355" t="s">
        <v>462</v>
      </c>
      <c r="B58" s="356">
        <v>2020</v>
      </c>
      <c r="C58" s="356">
        <v>2021</v>
      </c>
      <c r="D58" s="356">
        <v>2022</v>
      </c>
      <c r="E58" s="356">
        <v>2023</v>
      </c>
      <c r="F58" s="356">
        <v>2024</v>
      </c>
      <c r="G58" s="356">
        <v>2025</v>
      </c>
      <c r="H58" s="356" t="s">
        <v>263</v>
      </c>
      <c r="I58" s="356" t="s">
        <v>812</v>
      </c>
      <c r="J58" s="356" t="s">
        <v>948</v>
      </c>
    </row>
    <row r="59" spans="1:10" s="1" customFormat="1">
      <c r="A59" s="335" t="s">
        <v>449</v>
      </c>
      <c r="B59" s="361">
        <f t="shared" ref="B59:E59" si="16">SUM(B60:B64,B66:B69)</f>
        <v>6339.5704935159984</v>
      </c>
      <c r="C59" s="361">
        <f t="shared" si="16"/>
        <v>5779.8816011320005</v>
      </c>
      <c r="D59" s="361">
        <f t="shared" si="16"/>
        <v>5038.4081600780019</v>
      </c>
      <c r="E59" s="361">
        <f t="shared" si="16"/>
        <v>9555.7376133050002</v>
      </c>
      <c r="F59" s="361">
        <f t="shared" ref="F59:I59" si="17">SUM(F60:F64,F66:F69)</f>
        <v>11695.869999999999</v>
      </c>
      <c r="G59" s="361">
        <f t="shared" ref="G59" si="18">SUM(G60:G64,G66:G69)</f>
        <v>10083.040000000003</v>
      </c>
      <c r="H59" s="361">
        <f t="shared" ca="1" si="17"/>
        <v>9127.4844910240827</v>
      </c>
      <c r="I59" s="361">
        <f t="shared" ca="1" si="17"/>
        <v>7715.3722681619365</v>
      </c>
      <c r="J59" s="361">
        <f t="shared" ref="J59" ca="1" si="19">SUM(J60:J64,J66:J69)</f>
        <v>8276.6276925796283</v>
      </c>
    </row>
    <row r="60" spans="1:10">
      <c r="A60" s="331" t="s">
        <v>172</v>
      </c>
      <c r="B60" s="350">
        <f>CF!F57</f>
        <v>4485.1697011849992</v>
      </c>
      <c r="C60" s="350">
        <f>CF!G57</f>
        <v>5292.1717863889999</v>
      </c>
      <c r="D60" s="350">
        <f>CF!H57</f>
        <v>6440.4362681510001</v>
      </c>
      <c r="E60" s="350">
        <f>CF!I57</f>
        <v>8231.6612685159998</v>
      </c>
      <c r="F60" s="350">
        <f>CF!J57</f>
        <v>9859.75</v>
      </c>
      <c r="G60" s="350">
        <f>CF!K57</f>
        <v>10791.69</v>
      </c>
      <c r="H60" s="350">
        <f ca="1">CF!L57</f>
        <v>11281.048986496886</v>
      </c>
      <c r="I60" s="350">
        <f ca="1">CF!M57</f>
        <v>12763.954180221395</v>
      </c>
      <c r="J60" s="350">
        <f ca="1">CF!N57</f>
        <v>14462.518801907272</v>
      </c>
    </row>
    <row r="61" spans="1:10">
      <c r="A61" s="331" t="s">
        <v>798</v>
      </c>
      <c r="B61" s="350">
        <f>CF!F59</f>
        <v>313.85113848600002</v>
      </c>
      <c r="C61" s="350">
        <f>CF!G59</f>
        <v>352.20792415400001</v>
      </c>
      <c r="D61" s="350">
        <f>CF!H59</f>
        <v>880.25374025199994</v>
      </c>
      <c r="E61" s="350">
        <f>CF!I59</f>
        <v>677.92874905300005</v>
      </c>
      <c r="F61" s="350">
        <f>CF!J59</f>
        <v>1148.95</v>
      </c>
      <c r="G61" s="350">
        <f>CF!K59</f>
        <v>630.21</v>
      </c>
      <c r="H61" s="350">
        <f>CF!L59</f>
        <v>0</v>
      </c>
      <c r="I61" s="350">
        <f>CF!M59</f>
        <v>0</v>
      </c>
      <c r="J61" s="350">
        <f>CF!N59</f>
        <v>0</v>
      </c>
    </row>
    <row r="62" spans="1:10">
      <c r="A62" s="331" t="s">
        <v>801</v>
      </c>
      <c r="B62" s="350">
        <f>CF!F60</f>
        <v>0</v>
      </c>
      <c r="C62" s="350">
        <f>CF!G60</f>
        <v>0</v>
      </c>
      <c r="D62" s="350">
        <f>CF!H60</f>
        <v>0</v>
      </c>
      <c r="E62" s="350">
        <f>CF!I60</f>
        <v>0</v>
      </c>
      <c r="F62" s="350">
        <f>CF!J60</f>
        <v>0</v>
      </c>
      <c r="G62" s="350">
        <f>CF!K60</f>
        <v>0</v>
      </c>
      <c r="H62" s="350">
        <f ca="1">CF!L60</f>
        <v>-2859.7303340210856</v>
      </c>
      <c r="I62" s="350">
        <f ca="1">CF!M60</f>
        <v>-3099.4159494000005</v>
      </c>
      <c r="J62" s="350">
        <f ca="1">CF!N60</f>
        <v>-3597.2267734200009</v>
      </c>
    </row>
    <row r="63" spans="1:10">
      <c r="A63" s="331" t="s">
        <v>797</v>
      </c>
      <c r="B63" s="2320">
        <f>CF!F58</f>
        <v>1490.607476892</v>
      </c>
      <c r="C63" s="2320">
        <f>CF!G58</f>
        <v>1643.9156853320001</v>
      </c>
      <c r="D63" s="2320">
        <f>CF!H58</f>
        <v>1833.0644991280001</v>
      </c>
      <c r="E63" s="2320">
        <f>CF!I58</f>
        <v>2286.514158688</v>
      </c>
      <c r="F63" s="2320">
        <f>CF!J58</f>
        <v>2535.3000000000002</v>
      </c>
      <c r="G63" s="2320">
        <f>CF!K58</f>
        <v>2899.52</v>
      </c>
      <c r="H63" s="2320">
        <f ca="1">CF!L58</f>
        <v>2697.8567101337107</v>
      </c>
      <c r="I63" s="2320">
        <f ca="1">CF!M58</f>
        <v>2700.7971225783858</v>
      </c>
      <c r="J63" s="2320">
        <f ca="1">CF!N58</f>
        <v>2734.9740347928778</v>
      </c>
    </row>
    <row r="64" spans="1:10">
      <c r="A64" s="331" t="s">
        <v>686</v>
      </c>
      <c r="B64" s="2320">
        <f>CF!F61+CF!F62</f>
        <v>-16.576029836000032</v>
      </c>
      <c r="C64" s="2320">
        <f>CF!G61+CF!G62</f>
        <v>32.440180966000014</v>
      </c>
      <c r="D64" s="2320">
        <f>CF!H61+CF!H62</f>
        <v>10.036586769999985</v>
      </c>
      <c r="E64" s="2320">
        <f>CF!I61+CF!I62</f>
        <v>0.61023531600005754</v>
      </c>
      <c r="F64" s="2320">
        <f>CF!J61+CF!J62</f>
        <v>-55.509999999999991</v>
      </c>
      <c r="G64" s="2320">
        <f>CF!K61+CF!K62</f>
        <v>-2.7100000000000364</v>
      </c>
      <c r="H64" s="2320">
        <f ca="1">CF!L61+CF!L62</f>
        <v>0</v>
      </c>
      <c r="I64" s="2320">
        <f ca="1">CF!M61+CF!M62</f>
        <v>0</v>
      </c>
      <c r="J64" s="2320">
        <f ca="1">CF!N61+CF!N62</f>
        <v>0</v>
      </c>
    </row>
    <row r="65" spans="1:10">
      <c r="A65" s="2321" t="s">
        <v>450</v>
      </c>
      <c r="B65" s="2320">
        <f t="shared" ref="B65:E65" si="20">SUM(B66:B69)</f>
        <v>66.51820678900026</v>
      </c>
      <c r="C65" s="2320">
        <f t="shared" si="20"/>
        <v>-1540.8539757090002</v>
      </c>
      <c r="D65" s="2320">
        <f t="shared" si="20"/>
        <v>-4125.3829342230001</v>
      </c>
      <c r="E65" s="2320">
        <f t="shared" si="20"/>
        <v>-1640.976798268</v>
      </c>
      <c r="F65" s="2320">
        <f t="shared" ref="F65:I65" si="21">SUM(F66:F69)</f>
        <v>-1792.6200000000003</v>
      </c>
      <c r="G65" s="2320">
        <f t="shared" ref="G65" si="22">SUM(G66:G69)</f>
        <v>-4235.67</v>
      </c>
      <c r="H65" s="2320">
        <f t="shared" ca="1" si="21"/>
        <v>-1991.6908715854288</v>
      </c>
      <c r="I65" s="2320">
        <f t="shared" ca="1" si="21"/>
        <v>-4649.9630852378459</v>
      </c>
      <c r="J65" s="2320">
        <f t="shared" ref="J65" ca="1" si="23">SUM(J66:J69)</f>
        <v>-5323.6383707005216</v>
      </c>
    </row>
    <row r="66" spans="1:10">
      <c r="A66" s="2322" t="s">
        <v>799</v>
      </c>
      <c r="B66" s="2320">
        <f>CF!F64</f>
        <v>311.57147517200002</v>
      </c>
      <c r="C66" s="2320">
        <f>CF!G64</f>
        <v>-693.50320010600001</v>
      </c>
      <c r="D66" s="2320">
        <f>CF!H64</f>
        <v>-1949.0233272959999</v>
      </c>
      <c r="E66" s="2320">
        <f>CF!I64</f>
        <v>-1163.209212196</v>
      </c>
      <c r="F66" s="2320">
        <f>CF!J64</f>
        <v>-1913.66</v>
      </c>
      <c r="G66" s="2320">
        <f>CF!K64</f>
        <v>-2814.39</v>
      </c>
      <c r="H66" s="2320">
        <f ca="1">CF!L64</f>
        <v>3645.0466406741671</v>
      </c>
      <c r="I66" s="2320">
        <f ca="1">CF!M64</f>
        <v>-1390.4766688644995</v>
      </c>
      <c r="J66" s="2320">
        <f ca="1">CF!N64</f>
        <v>-1683.0677815890413</v>
      </c>
    </row>
    <row r="67" spans="1:10">
      <c r="A67" s="2322" t="s">
        <v>451</v>
      </c>
      <c r="B67" s="2320">
        <f>CF!F65</f>
        <v>-55.124600921999999</v>
      </c>
      <c r="C67" s="2320">
        <f>CF!G65</f>
        <v>-218.23182623899999</v>
      </c>
      <c r="D67" s="2320">
        <f>CF!H65</f>
        <v>-497.80271100800002</v>
      </c>
      <c r="E67" s="2320">
        <f>CF!I65</f>
        <v>396.16111489100001</v>
      </c>
      <c r="F67" s="2320">
        <f>CF!J65</f>
        <v>-265.27</v>
      </c>
      <c r="G67" s="2320">
        <f>CF!K65</f>
        <v>-308.49</v>
      </c>
      <c r="H67" s="2320">
        <f ca="1">CF!L65</f>
        <v>510.25086556601491</v>
      </c>
      <c r="I67" s="2320">
        <f ca="1">CF!M65</f>
        <v>-293.30962135465143</v>
      </c>
      <c r="J67" s="2320">
        <f ca="1">CF!N65</f>
        <v>-339.56117273039536</v>
      </c>
    </row>
    <row r="68" spans="1:10">
      <c r="A68" s="2322" t="s">
        <v>800</v>
      </c>
      <c r="B68" s="2320">
        <f>CF!F68</f>
        <v>1060.519849887</v>
      </c>
      <c r="C68" s="2320">
        <f>CF!G68</f>
        <v>1910.0900014490001</v>
      </c>
      <c r="D68" s="2320">
        <f>CF!H68</f>
        <v>1299.834862339</v>
      </c>
      <c r="E68" s="2320">
        <f>CF!I68</f>
        <v>1380.2557708889999</v>
      </c>
      <c r="F68" s="2320">
        <f>CF!J68</f>
        <v>2875.57</v>
      </c>
      <c r="G68" s="2320">
        <f>CF!K68</f>
        <v>2571.04</v>
      </c>
      <c r="H68" s="2320">
        <f ca="1">CF!L68</f>
        <v>-1292.7567303474316</v>
      </c>
      <c r="I68" s="2320">
        <f ca="1">CF!M68</f>
        <v>739.39904842079898</v>
      </c>
      <c r="J68" s="2320">
        <f ca="1">CF!N68</f>
        <v>855.99376808006423</v>
      </c>
    </row>
    <row r="69" spans="1:10" ht="13.5" thickBot="1">
      <c r="A69" s="676" t="s">
        <v>685</v>
      </c>
      <c r="B69" s="351">
        <f>SUM(CF!F63,CF!F66,CF!F67,CF!F69)</f>
        <v>-1250.4485173479998</v>
      </c>
      <c r="C69" s="351">
        <f>SUM(CF!G63,CF!G66,CF!G67,CF!G69)</f>
        <v>-2539.2089508130002</v>
      </c>
      <c r="D69" s="351">
        <f>SUM(CF!H63,CF!H66,CF!H67,CF!H69)</f>
        <v>-2978.3917582579998</v>
      </c>
      <c r="E69" s="351">
        <f>SUM(CF!I63,CF!I66,CF!I67,CF!I69)</f>
        <v>-2254.1844718520001</v>
      </c>
      <c r="F69" s="351">
        <f>SUM(CF!J63,CF!J66,CF!J67,CF!J69)</f>
        <v>-2489.2600000000002</v>
      </c>
      <c r="G69" s="351">
        <f>SUM(CF!K63,CF!K66,CF!K67,CF!K69)</f>
        <v>-3683.83</v>
      </c>
      <c r="H69" s="351">
        <f ca="1">SUM(CF!L63,CF!L66,CF!L67,CF!L69)</f>
        <v>-4854.2316474781792</v>
      </c>
      <c r="I69" s="351">
        <f ca="1">SUM(CF!M63,CF!M66,CF!M67,CF!M69)</f>
        <v>-3705.5758434394938</v>
      </c>
      <c r="J69" s="351">
        <f ca="1">SUM(CF!N63,CF!N66,CF!N67,CF!N69)</f>
        <v>-4157.0031844611494</v>
      </c>
    </row>
    <row r="70" spans="1:10" s="1" customFormat="1">
      <c r="A70" s="335" t="s">
        <v>452</v>
      </c>
      <c r="B70" s="361">
        <f>CF!F77</f>
        <v>-8144.1242870840006</v>
      </c>
      <c r="C70" s="361">
        <f>CF!G77</f>
        <v>-10412.890116330998</v>
      </c>
      <c r="D70" s="361">
        <f>CF!H77</f>
        <v>5757.2319373249975</v>
      </c>
      <c r="E70" s="361">
        <f>CF!I77</f>
        <v>-6548.3741657109995</v>
      </c>
      <c r="F70" s="361">
        <f>CF!J77</f>
        <v>-8461.8099999999977</v>
      </c>
      <c r="G70" s="361">
        <f>CF!K77</f>
        <v>-11659.619999999995</v>
      </c>
      <c r="H70" s="361">
        <f ca="1">CF!L77</f>
        <v>1729.9219888932716</v>
      </c>
      <c r="I70" s="361">
        <f ca="1">CF!M77</f>
        <v>-1648.436747709286</v>
      </c>
      <c r="J70" s="361">
        <f ca="1">CF!N77</f>
        <v>-2073.123468572056</v>
      </c>
    </row>
    <row r="71" spans="1:10">
      <c r="A71" s="331" t="s">
        <v>833</v>
      </c>
      <c r="B71" s="350">
        <f>CF!F72</f>
        <v>-3014.3222869030001</v>
      </c>
      <c r="C71" s="350">
        <f>CF!G72</f>
        <v>-2908.1342824399999</v>
      </c>
      <c r="D71" s="350">
        <f>CF!H72</f>
        <v>-3209.5811708430001</v>
      </c>
      <c r="E71" s="350">
        <f>CF!I72</f>
        <v>-3948.982427209</v>
      </c>
      <c r="F71" s="350">
        <f>CF!J72</f>
        <v>-3261.08</v>
      </c>
      <c r="G71" s="350">
        <f>CF!K72</f>
        <v>-5143.4800000000005</v>
      </c>
      <c r="H71" s="350">
        <f ca="1">CF!L72</f>
        <v>3432.6764008253026</v>
      </c>
      <c r="I71" s="350">
        <f ca="1">CF!M72</f>
        <v>-5275.6016160000008</v>
      </c>
      <c r="J71" s="350">
        <f ca="1">CF!N72</f>
        <v>-6122.9391888000018</v>
      </c>
    </row>
    <row r="72" spans="1:10">
      <c r="A72" s="850" t="s">
        <v>807</v>
      </c>
      <c r="B72" s="350">
        <f>CF!F74</f>
        <v>-70.172751758000004</v>
      </c>
      <c r="C72" s="350">
        <f>CF!G74</f>
        <v>-450.45853233599996</v>
      </c>
      <c r="D72" s="350">
        <f>CF!H74</f>
        <v>-500.891806594</v>
      </c>
      <c r="E72" s="350">
        <f>CF!I74</f>
        <v>-1658.6792765179998</v>
      </c>
      <c r="F72" s="350">
        <f>CF!J74</f>
        <v>-1058.0900000000001</v>
      </c>
      <c r="G72" s="350">
        <f>CF!K74</f>
        <v>-687.17000000000007</v>
      </c>
      <c r="H72" s="350">
        <f>CF!L74</f>
        <v>-5829</v>
      </c>
      <c r="I72" s="350">
        <f>CF!M74</f>
        <v>0</v>
      </c>
      <c r="J72" s="350">
        <f>CF!N74</f>
        <v>0</v>
      </c>
    </row>
    <row r="73" spans="1:10">
      <c r="A73" s="331" t="s">
        <v>453</v>
      </c>
      <c r="B73" s="350">
        <f>CF!F73</f>
        <v>-5954.0913217389998</v>
      </c>
      <c r="C73" s="350">
        <f>CF!G73</f>
        <v>-8237.1091357039986</v>
      </c>
      <c r="D73" s="350">
        <f>CF!H73</f>
        <v>7674.0800992419972</v>
      </c>
      <c r="E73" s="350">
        <f>CF!I73</f>
        <v>-3077.9379873139987</v>
      </c>
      <c r="F73" s="350">
        <f>CF!J73</f>
        <v>-5672.8099999999977</v>
      </c>
      <c r="G73" s="350">
        <f>CF!K73</f>
        <v>-7829.7299999999959</v>
      </c>
      <c r="H73" s="350">
        <f>CF!L73</f>
        <v>0</v>
      </c>
      <c r="I73" s="350">
        <f>CF!M73</f>
        <v>0</v>
      </c>
      <c r="J73" s="350">
        <f>CF!N73</f>
        <v>0</v>
      </c>
    </row>
    <row r="74" spans="1:10" ht="13.5" thickBot="1">
      <c r="A74" s="332" t="s">
        <v>693</v>
      </c>
      <c r="B74" s="351">
        <f>CF!F75</f>
        <v>894.46207331599999</v>
      </c>
      <c r="C74" s="351">
        <f>CF!G75</f>
        <v>1182.8118341490001</v>
      </c>
      <c r="D74" s="351">
        <f>CF!H75</f>
        <v>1793.6248155200001</v>
      </c>
      <c r="E74" s="351">
        <f>CF!I75</f>
        <v>2137.22552533</v>
      </c>
      <c r="F74" s="351">
        <f>CF!J75</f>
        <v>1530.17</v>
      </c>
      <c r="G74" s="351">
        <f>CF!K75</f>
        <v>2000.76</v>
      </c>
      <c r="H74" s="351">
        <f ca="1">CF!L75</f>
        <v>3417.50632888164</v>
      </c>
      <c r="I74" s="351">
        <f ca="1">CF!M75</f>
        <v>4103.743819115487</v>
      </c>
      <c r="J74" s="351">
        <f ca="1">CF!N75</f>
        <v>4626.6788172346087</v>
      </c>
    </row>
    <row r="75" spans="1:10" s="1" customFormat="1">
      <c r="A75" s="335" t="s">
        <v>454</v>
      </c>
      <c r="B75" s="361">
        <f>CF!F85</f>
        <v>3037.3565500370005</v>
      </c>
      <c r="C75" s="361">
        <f>CF!G85</f>
        <v>5364.662434402997</v>
      </c>
      <c r="D75" s="361">
        <f>CF!H85</f>
        <v>-9773.308216323001</v>
      </c>
      <c r="E75" s="361">
        <f>CF!I85</f>
        <v>-1168.3839386950015</v>
      </c>
      <c r="F75" s="361">
        <f>CF!J85</f>
        <v>-2197.7800000000011</v>
      </c>
      <c r="G75" s="361">
        <f>CF!K85</f>
        <v>2801.3299999999945</v>
      </c>
      <c r="H75" s="361">
        <f ca="1">CF!L85</f>
        <v>-3587.4800456274243</v>
      </c>
      <c r="I75" s="361">
        <f ca="1">CF!M85</f>
        <v>-3520.4700867990978</v>
      </c>
      <c r="J75" s="361">
        <f ca="1">CF!N85</f>
        <v>-4000</v>
      </c>
    </row>
    <row r="76" spans="1:10">
      <c r="A76" s="331" t="s">
        <v>455</v>
      </c>
      <c r="B76" s="350">
        <f>CF!F79+CF!F80</f>
        <v>4878.5561456220003</v>
      </c>
      <c r="C76" s="350">
        <f>CF!G79+CF!G80</f>
        <v>7532.5413440149969</v>
      </c>
      <c r="D76" s="350">
        <f>CF!H79+CF!H80</f>
        <v>-7619.8259641790028</v>
      </c>
      <c r="E76" s="350">
        <f>CF!I79+CF!I80</f>
        <v>1719.3637845509984</v>
      </c>
      <c r="F76" s="350">
        <f>CF!J79+CF!J80</f>
        <v>933.04999999999927</v>
      </c>
      <c r="G76" s="350">
        <f>CF!K79+CF!K80</f>
        <v>6179.8299999999945</v>
      </c>
      <c r="H76" s="350">
        <f ca="1">CF!L79+CF!L80</f>
        <v>412.51995437257574</v>
      </c>
      <c r="I76" s="350">
        <f ca="1">CF!M79+CF!M80</f>
        <v>479.52991320090223</v>
      </c>
      <c r="J76" s="350">
        <f ca="1">CF!N79+CF!N80</f>
        <v>0</v>
      </c>
    </row>
    <row r="77" spans="1:10">
      <c r="A77" s="331" t="s">
        <v>456</v>
      </c>
      <c r="B77" s="350">
        <f>CF!F81+CF!F82</f>
        <v>59.633580760000001</v>
      </c>
      <c r="C77" s="350">
        <f>CF!G81+CF!G82</f>
        <v>87.611404675000003</v>
      </c>
      <c r="D77" s="350">
        <f>CF!H81+CF!H82</f>
        <v>77.028689275000005</v>
      </c>
      <c r="E77" s="350">
        <f>CF!I81+CF!I82</f>
        <v>73.0505</v>
      </c>
      <c r="F77" s="350">
        <f>CF!J81+CF!J82</f>
        <v>163.34</v>
      </c>
      <c r="G77" s="350">
        <f>CF!K81+CF!K82</f>
        <v>1196.24</v>
      </c>
      <c r="H77" s="350">
        <f>CF!L81+CF!L82</f>
        <v>0</v>
      </c>
      <c r="I77" s="350">
        <f>CF!M81+CF!M82</f>
        <v>0</v>
      </c>
      <c r="J77" s="350">
        <f>CF!N81+CF!N82</f>
        <v>0</v>
      </c>
    </row>
    <row r="78" spans="1:10">
      <c r="A78" s="331" t="s">
        <v>457</v>
      </c>
      <c r="B78" s="350">
        <f>CF!F83</f>
        <v>-1899.0793829249999</v>
      </c>
      <c r="C78" s="350">
        <f>CF!G83</f>
        <v>-2254.1839459749999</v>
      </c>
      <c r="D78" s="350">
        <f>CF!H83</f>
        <v>-2222.1347959949999</v>
      </c>
      <c r="E78" s="350">
        <f>CF!I83</f>
        <v>-2930.6284481349999</v>
      </c>
      <c r="F78" s="350">
        <f>CF!J83</f>
        <v>-3291.86</v>
      </c>
      <c r="G78" s="350">
        <f>CF!K83</f>
        <v>-4573.75</v>
      </c>
      <c r="H78" s="350">
        <f>CF!L83</f>
        <v>-4000</v>
      </c>
      <c r="I78" s="350">
        <f>CF!M83</f>
        <v>-4000</v>
      </c>
      <c r="J78" s="350">
        <f>CF!N83</f>
        <v>-4000</v>
      </c>
    </row>
    <row r="79" spans="1:10" ht="13.5" thickBot="1">
      <c r="A79" s="332" t="s">
        <v>146</v>
      </c>
      <c r="B79" s="351">
        <f>CF!F84</f>
        <v>-1.75379342</v>
      </c>
      <c r="C79" s="351">
        <f>CF!G84</f>
        <v>-1.306368312</v>
      </c>
      <c r="D79" s="351">
        <f>CF!H84</f>
        <v>-8.3761454240000006</v>
      </c>
      <c r="E79" s="351">
        <f>CF!I84</f>
        <v>-30.169775111</v>
      </c>
      <c r="F79" s="351">
        <f>CF!J84</f>
        <v>-2.31</v>
      </c>
      <c r="G79" s="351">
        <f>CF!K84</f>
        <v>-0.99</v>
      </c>
      <c r="H79" s="351">
        <f>CF!L84</f>
        <v>0</v>
      </c>
      <c r="I79" s="351">
        <f>CF!M84</f>
        <v>0</v>
      </c>
      <c r="J79" s="351">
        <f>CF!N84</f>
        <v>0</v>
      </c>
    </row>
    <row r="80" spans="1:10">
      <c r="A80" s="650" t="s">
        <v>458</v>
      </c>
      <c r="B80" s="651">
        <f>CF!F87</f>
        <v>1232.8027564689992</v>
      </c>
      <c r="C80" s="651">
        <f>CF!G87</f>
        <v>731.65391920399998</v>
      </c>
      <c r="D80" s="651">
        <f>CF!H87</f>
        <v>1022.3318810799956</v>
      </c>
      <c r="E80" s="651">
        <f>CF!I87</f>
        <v>1838.9795088989993</v>
      </c>
      <c r="F80" s="651">
        <f>CF!J87</f>
        <v>1036.280000000002</v>
      </c>
      <c r="G80" s="651">
        <f>CF!K87</f>
        <v>1224.7500000000018</v>
      </c>
      <c r="H80" s="651">
        <f ca="1">CF!L87</f>
        <v>7269.9264342899296</v>
      </c>
      <c r="I80" s="651">
        <f ca="1">CF!M87</f>
        <v>2546.4654336535496</v>
      </c>
      <c r="J80" s="651">
        <f ca="1">CF!N87</f>
        <v>2203.5042240075709</v>
      </c>
    </row>
    <row r="81" spans="1:10" s="1" customFormat="1">
      <c r="A81" s="645" t="s">
        <v>459</v>
      </c>
      <c r="B81" s="649">
        <f>CF!F89</f>
        <v>3453.388617569</v>
      </c>
      <c r="C81" s="649">
        <f>CF!G89</f>
        <v>4686.1913740379996</v>
      </c>
      <c r="D81" s="649">
        <f>CF!H89</f>
        <v>5417.8452932419996</v>
      </c>
      <c r="E81" s="649">
        <f>CF!I89</f>
        <v>6440.1771743219997</v>
      </c>
      <c r="F81" s="649">
        <f>CF!J89</f>
        <v>8279.16</v>
      </c>
      <c r="G81" s="649">
        <f>CF!K89</f>
        <v>9315.44</v>
      </c>
      <c r="H81" s="649">
        <f>CF!L89</f>
        <v>10540.18</v>
      </c>
      <c r="I81" s="649">
        <f ca="1">CF!M89</f>
        <v>17810.10643428993</v>
      </c>
      <c r="J81" s="649">
        <f ca="1">CF!N89</f>
        <v>20356.571867943479</v>
      </c>
    </row>
    <row r="82" spans="1:10" s="1" customFormat="1" ht="13.5" thickBot="1">
      <c r="A82" s="341" t="s">
        <v>460</v>
      </c>
      <c r="B82" s="362">
        <f>CF!F90</f>
        <v>4686.1913740379996</v>
      </c>
      <c r="C82" s="362">
        <f>CF!G90</f>
        <v>5417.8452932419996</v>
      </c>
      <c r="D82" s="362">
        <f>CF!H90</f>
        <v>6440.1771743219997</v>
      </c>
      <c r="E82" s="362">
        <f>CF!I90</f>
        <v>8279.1566832209992</v>
      </c>
      <c r="F82" s="362">
        <f>CF!J90</f>
        <v>9315.44</v>
      </c>
      <c r="G82" s="362">
        <f>CF!K90</f>
        <v>10540.18</v>
      </c>
      <c r="H82" s="362">
        <f ca="1">CF!L90</f>
        <v>17810.10643428993</v>
      </c>
      <c r="I82" s="362">
        <f ca="1">CF!M90</f>
        <v>20356.571867943479</v>
      </c>
      <c r="J82" s="362">
        <f ca="1">CF!N90</f>
        <v>22560.07609195105</v>
      </c>
    </row>
    <row r="85" spans="1:10" ht="15">
      <c r="A85" s="340" t="s">
        <v>461</v>
      </c>
    </row>
    <row r="86" spans="1:10" ht="13.5" thickBot="1">
      <c r="A86" s="357"/>
      <c r="B86" s="356">
        <v>2020</v>
      </c>
      <c r="C86" s="356">
        <v>2021</v>
      </c>
      <c r="D86" s="356">
        <v>2022</v>
      </c>
      <c r="E86" s="356">
        <v>2023</v>
      </c>
      <c r="F86" s="356">
        <v>2024</v>
      </c>
      <c r="G86" s="356">
        <v>2025</v>
      </c>
      <c r="H86" s="356" t="s">
        <v>263</v>
      </c>
      <c r="I86" s="356" t="s">
        <v>812</v>
      </c>
      <c r="J86" s="356" t="s">
        <v>948</v>
      </c>
    </row>
    <row r="87" spans="1:10">
      <c r="A87" s="850" t="s">
        <v>177</v>
      </c>
      <c r="B87" s="851">
        <f ca="1">PL!ES20</f>
        <v>25.921886396214017</v>
      </c>
      <c r="C87" s="851">
        <f ca="1">PL!ET20</f>
        <v>24.569030350683938</v>
      </c>
      <c r="D87" s="851">
        <f ca="1">PL!EU20</f>
        <v>24.134314512448555</v>
      </c>
      <c r="E87" s="851">
        <f ca="1">PL!EV20</f>
        <v>22.947373213795313</v>
      </c>
      <c r="F87" s="851">
        <f t="shared" ref="F87:G87" ca="1" si="24">H166</f>
        <v>19.972093623907501</v>
      </c>
      <c r="G87" s="851">
        <f t="shared" ca="1" si="24"/>
        <v>19.199789570990738</v>
      </c>
      <c r="H87" s="851">
        <f t="shared" ref="H87:I88" ca="1" si="25">J166</f>
        <v>16.351273229376979</v>
      </c>
      <c r="I87" s="851">
        <f t="shared" ca="1" si="25"/>
        <v>14.473497696940788</v>
      </c>
      <c r="J87" s="851">
        <f t="shared" ref="J87:J88" ca="1" si="26">L166</f>
        <v>12.773643648223249</v>
      </c>
    </row>
    <row r="88" spans="1:10" s="6" customFormat="1">
      <c r="A88" s="850" t="s">
        <v>178</v>
      </c>
      <c r="B88" s="851">
        <f ca="1">PL!ES21</f>
        <v>5.311109342015488</v>
      </c>
      <c r="C88" s="851">
        <f ca="1">PL!ET21</f>
        <v>5.3958596735725344</v>
      </c>
      <c r="D88" s="851">
        <f ca="1">PL!EU21</f>
        <v>5.5599707205171471</v>
      </c>
      <c r="E88" s="851">
        <f ca="1">PL!EV21</f>
        <v>5.4242143094977608</v>
      </c>
      <c r="F88" s="851">
        <f t="shared" ref="F88:G88" ca="1" si="27">H167</f>
        <v>5.2666640046796935</v>
      </c>
      <c r="G88" s="851">
        <f t="shared" ca="1" si="27"/>
        <v>4.9802129094556378</v>
      </c>
      <c r="H88" s="851">
        <f t="shared" ca="1" si="25"/>
        <v>4.2312012297609529</v>
      </c>
      <c r="I88" s="851">
        <f t="shared" ca="1" si="25"/>
        <v>3.5797144698178913</v>
      </c>
      <c r="J88" s="851">
        <f t="shared" ca="1" si="26"/>
        <v>3.0209878624489424</v>
      </c>
    </row>
    <row r="89" spans="1:10">
      <c r="A89" s="850" t="s">
        <v>687</v>
      </c>
      <c r="B89" s="851">
        <f ca="1">PL!$EV$16/PL!K24</f>
        <v>30.498864469200768</v>
      </c>
      <c r="C89" s="851">
        <f ca="1">PL!$EV$16/PL!L24</f>
        <v>25.935053139400939</v>
      </c>
      <c r="D89" s="851">
        <f ca="1">PL!$EV$16/PL!M24</f>
        <v>20.669341690583256</v>
      </c>
      <c r="E89" s="851">
        <f ca="1">PL!$EV$16/PL!N24</f>
        <v>16.616801882054787</v>
      </c>
      <c r="F89" s="851">
        <f ca="1">PL!$EV$16/PL!O24</f>
        <v>13.364530114610085</v>
      </c>
      <c r="G89" s="851">
        <f ca="1">PL!$EV$16/PL!P24</f>
        <v>12.676558348728882</v>
      </c>
      <c r="H89" s="851">
        <f ca="1">PL!$EV$16/PL!Q24</f>
        <v>14.392969643053558</v>
      </c>
      <c r="I89" s="851">
        <f ca="1">PL!$EV$16/PL!R24</f>
        <v>13.000995747036814</v>
      </c>
      <c r="J89" s="851">
        <f ca="1">PL!$EV$16/PL!S24</f>
        <v>11.454725747836203</v>
      </c>
    </row>
    <row r="90" spans="1:10" ht="13.5" thickBot="1">
      <c r="A90" s="852" t="s">
        <v>219</v>
      </c>
      <c r="B90" s="853">
        <f ca="1">PL!ES22</f>
        <v>23.040403311948118</v>
      </c>
      <c r="C90" s="853">
        <f ca="1">PL!ET22</f>
        <v>19.8951914436179</v>
      </c>
      <c r="D90" s="853">
        <f ca="1">PL!EU22</f>
        <v>16.277837592046488</v>
      </c>
      <c r="E90" s="853">
        <f ca="1">PL!EV22</f>
        <v>13.078521929151297</v>
      </c>
      <c r="F90" s="853">
        <f ca="1">PL!EW22</f>
        <v>15.462803317501599</v>
      </c>
      <c r="G90" s="853">
        <f ca="1">PL!EX22</f>
        <v>13.678902398641657</v>
      </c>
      <c r="H90" s="853">
        <f ca="1">PL!EY22</f>
        <v>11.275415337715355</v>
      </c>
      <c r="I90" s="853">
        <f ca="1">PL!EZ22</f>
        <v>10.400601363088699</v>
      </c>
      <c r="J90" s="853">
        <f ca="1">PL!FA22</f>
        <v>9.3655169443373403</v>
      </c>
    </row>
    <row r="91" spans="1:10">
      <c r="A91" s="850" t="s">
        <v>144</v>
      </c>
      <c r="B91" s="1346">
        <f>PL!K94</f>
        <v>4114.9824409595221</v>
      </c>
      <c r="C91" s="1346">
        <f>PL!L94</f>
        <v>4341.5676497790164</v>
      </c>
      <c r="D91" s="1346">
        <f>PL!M94</f>
        <v>4419.7695071036078</v>
      </c>
      <c r="E91" s="1346">
        <f>PL!N94</f>
        <v>4648.3798543374169</v>
      </c>
      <c r="F91" s="1346">
        <f>PL!O94</f>
        <v>4876.6811591306641</v>
      </c>
      <c r="G91" s="1346">
        <f>PL!P94</f>
        <v>5072.8437582077886</v>
      </c>
      <c r="H91" s="1346">
        <f ca="1">PL!Q94</f>
        <v>6139.6016415160148</v>
      </c>
      <c r="I91" s="1346">
        <f ca="1">PL!R94</f>
        <v>6936.1467464204525</v>
      </c>
      <c r="J91" s="1346">
        <f ca="1">PL!S94</f>
        <v>7859.1752458918472</v>
      </c>
    </row>
    <row r="92" spans="1:10">
      <c r="A92" s="850" t="s">
        <v>463</v>
      </c>
      <c r="B92" s="1346">
        <f>PL!ES19</f>
        <v>20083.959957881267</v>
      </c>
      <c r="C92" s="1346">
        <f>PL!ET19</f>
        <v>19768.510267121997</v>
      </c>
      <c r="D92" s="1346">
        <f>PL!EU19</f>
        <v>19185.012425217719</v>
      </c>
      <c r="E92" s="1346">
        <f>PL!EV19</f>
        <v>19665.171999231869</v>
      </c>
      <c r="F92" s="1346">
        <f>PL!EW19</f>
        <v>20253.448342667816</v>
      </c>
      <c r="G92" s="1346">
        <f>PL!EX19</f>
        <v>21418.382968014022</v>
      </c>
      <c r="H92" s="1346">
        <f ca="1">PL!EY19</f>
        <v>25209.887586224428</v>
      </c>
      <c r="I92" s="1346">
        <f ca="1">PL!EZ19</f>
        <v>29797.937309339271</v>
      </c>
      <c r="J92" s="1346">
        <f ca="1">PL!FA19</f>
        <v>35309.015531925521</v>
      </c>
    </row>
    <row r="93" spans="1:10" ht="13.5" thickBot="1">
      <c r="A93" s="852" t="s">
        <v>173</v>
      </c>
      <c r="B93" s="1347">
        <f>PL!K120</f>
        <v>2000</v>
      </c>
      <c r="C93" s="1347">
        <f>PL!L120</f>
        <v>2000</v>
      </c>
      <c r="D93" s="1347">
        <f>PL!M120</f>
        <v>2000</v>
      </c>
      <c r="E93" s="1347">
        <f>PL!N120</f>
        <v>2000</v>
      </c>
      <c r="F93" s="1347">
        <f>PL!O120</f>
        <v>2000</v>
      </c>
      <c r="G93" s="1347">
        <f>PL!P120</f>
        <v>2000</v>
      </c>
      <c r="H93" s="1347">
        <f>PL!Q120</f>
        <v>2000</v>
      </c>
      <c r="I93" s="1347">
        <f>PL!R120</f>
        <v>2000</v>
      </c>
      <c r="J93" s="1347">
        <f>PL!S120</f>
        <v>2000</v>
      </c>
    </row>
    <row r="94" spans="1:10">
      <c r="A94" s="331" t="s">
        <v>406</v>
      </c>
      <c r="B94" s="352">
        <f>PL!K118/PL!K55</f>
        <v>0.41423679883978193</v>
      </c>
      <c r="C94" s="352">
        <f>PL!L118/PL!L55</f>
        <v>0.3911512318902598</v>
      </c>
      <c r="D94" s="352">
        <f>PL!M118/PL!M55</f>
        <v>0.37875364794879163</v>
      </c>
      <c r="E94" s="352">
        <f>PL!N118/PL!N55</f>
        <v>0.36724362951782208</v>
      </c>
      <c r="F94" s="352">
        <f>PL!O118/PL!O55</f>
        <v>0.3818363016863161</v>
      </c>
      <c r="G94" s="352">
        <f>PL!P118/PL!P55</f>
        <v>0.31698534259775818</v>
      </c>
      <c r="H94" s="352">
        <f ca="1">PL!Q118/PL!Q55</f>
        <v>0.3599424134213679</v>
      </c>
      <c r="I94" s="352">
        <f ca="1">PL!R118/PL!R55</f>
        <v>0.31860672980045213</v>
      </c>
      <c r="J94" s="352">
        <f ca="1">PL!S118/PL!S55</f>
        <v>0.28118765177659427</v>
      </c>
    </row>
    <row r="95" spans="1:10">
      <c r="A95" s="850" t="s">
        <v>407</v>
      </c>
      <c r="B95" s="859">
        <f>PL!ES23/100</f>
        <v>1.9900497512437811E-2</v>
      </c>
      <c r="C95" s="859">
        <f>PL!ET23/100</f>
        <v>1.9900497512437811E-2</v>
      </c>
      <c r="D95" s="859">
        <f>PL!EU23/100</f>
        <v>1.9900497512437811E-2</v>
      </c>
      <c r="E95" s="859">
        <f>PL!EV23/100</f>
        <v>1.9900497512437811E-2</v>
      </c>
      <c r="F95" s="859">
        <f>PL!EW23/100</f>
        <v>1.8192614139098586E-2</v>
      </c>
      <c r="G95" s="859">
        <f ca="1">PL!EX23/100</f>
        <v>2.0209272219697805E-2</v>
      </c>
      <c r="H95" s="859">
        <f>PL!EY23/100</f>
        <v>1.9900497512437811E-2</v>
      </c>
      <c r="I95" s="859">
        <f>PL!EZ23/100</f>
        <v>1.9900497512437811E-2</v>
      </c>
      <c r="J95" s="859">
        <f>PL!FA23/100</f>
        <v>1.9900497512437811E-2</v>
      </c>
    </row>
    <row r="96" spans="1:10">
      <c r="A96" s="331" t="s">
        <v>223</v>
      </c>
      <c r="B96" s="352">
        <f>PL!K10</f>
        <v>7.6250799616477183E-2</v>
      </c>
      <c r="C96" s="352">
        <f>PL!L10</f>
        <v>0.19533301314420459</v>
      </c>
      <c r="D96" s="352">
        <f>PL!M10</f>
        <v>0.23423741868397752</v>
      </c>
      <c r="E96" s="352">
        <f>PL!N10</f>
        <v>0.19560248882670583</v>
      </c>
      <c r="F96" s="352">
        <f>PL!O10</f>
        <v>0.19443742550995746</v>
      </c>
      <c r="G96" s="352">
        <f>PL!P10</f>
        <v>0.11708896861817064</v>
      </c>
      <c r="H96" s="352">
        <f ca="1">PL!Q10</f>
        <v>-0.18535125311170753</v>
      </c>
      <c r="I96" s="352">
        <f ca="1">PL!R10</f>
        <v>0.15299368292663984</v>
      </c>
      <c r="J96" s="352">
        <f ca="1">PL!S10</f>
        <v>0.16061439708225311</v>
      </c>
    </row>
    <row r="97" spans="1:11">
      <c r="A97" s="331" t="s">
        <v>408</v>
      </c>
      <c r="B97" s="352">
        <f>PL!K29/PL!J29-1</f>
        <v>0.10795088910478134</v>
      </c>
      <c r="C97" s="352">
        <f>PL!L29/PL!K29-1</f>
        <v>0.15808904765976295</v>
      </c>
      <c r="D97" s="352">
        <f>PL!M29/PL!L29-1</f>
        <v>0.22222569988896357</v>
      </c>
      <c r="E97" s="352">
        <f>PL!N29/PL!M29-1</f>
        <v>0.24462364174074569</v>
      </c>
      <c r="F97" s="352">
        <f>PL!O29/PL!N29-1</f>
        <v>0.21470175468766906</v>
      </c>
      <c r="G97" s="352">
        <f>PL!P29/PL!O29-1</f>
        <v>7.1645644927336161E-2</v>
      </c>
      <c r="H97" s="352">
        <f ca="1">PL!Q29/PL!P29-1</f>
        <v>-0.10894347595311382</v>
      </c>
      <c r="I97" s="352">
        <f ca="1">PL!R29/PL!Q29-1</f>
        <v>8.4111864697683281E-2</v>
      </c>
      <c r="J97" s="352">
        <f ca="1">PL!S29/PL!R29-1</f>
        <v>0.11052079932194236</v>
      </c>
      <c r="K97" s="352"/>
    </row>
    <row r="98" spans="1:11">
      <c r="A98" s="331" t="s">
        <v>409</v>
      </c>
      <c r="B98" s="352">
        <f>PL!K25</f>
        <v>0.11041968851986006</v>
      </c>
      <c r="C98" s="352">
        <f>PL!L25</f>
        <v>0.17597077226984403</v>
      </c>
      <c r="D98" s="352">
        <f>PL!M25</f>
        <v>0.25475951424310184</v>
      </c>
      <c r="E98" s="352">
        <f>PL!N25</f>
        <v>0.24388205608354663</v>
      </c>
      <c r="F98" s="352">
        <f>PL!O25</f>
        <v>0.24335099996440013</v>
      </c>
      <c r="G98" s="352">
        <f>PL!P25</f>
        <v>5.4271178892194127E-2</v>
      </c>
      <c r="H98" s="352">
        <f ca="1">PL!Q25</f>
        <v>-0.11925345060065928</v>
      </c>
      <c r="I98" s="352">
        <f ca="1">PL!R25</f>
        <v>0.10706671420410263</v>
      </c>
      <c r="J98" s="352">
        <f ca="1">PL!S25</f>
        <v>0.13498970060393622</v>
      </c>
    </row>
    <row r="99" spans="1:11" ht="13.5" thickBot="1">
      <c r="A99" s="332" t="s">
        <v>161</v>
      </c>
      <c r="B99" s="353">
        <f>PL!K95</f>
        <v>-2.3583656532116692E-2</v>
      </c>
      <c r="C99" s="353">
        <f>PL!L95</f>
        <v>5.5063469181331426E-2</v>
      </c>
      <c r="D99" s="353">
        <f>PL!M95</f>
        <v>1.8012354898713001E-2</v>
      </c>
      <c r="E99" s="353">
        <f>PL!N95</f>
        <v>5.1724495330894182E-2</v>
      </c>
      <c r="F99" s="353">
        <f>PL!O95</f>
        <v>4.9114167074839843E-2</v>
      </c>
      <c r="G99" s="353">
        <f>PL!P95</f>
        <v>4.0224610278210893E-2</v>
      </c>
      <c r="H99" s="353">
        <f ca="1">PL!Q95</f>
        <v>0.21028794383470362</v>
      </c>
      <c r="I99" s="353">
        <f ca="1">PL!R95</f>
        <v>0.12973889047103571</v>
      </c>
      <c r="J99" s="353">
        <f ca="1">PL!S95</f>
        <v>0.13307511118442572</v>
      </c>
    </row>
    <row r="100" spans="1:11">
      <c r="A100" s="331" t="s">
        <v>688</v>
      </c>
      <c r="B100" s="680">
        <f>PL!K9/AVERAGE(BS!J38:K38)</f>
        <v>0.79411689280355957</v>
      </c>
      <c r="C100" s="680">
        <f>PL!L9/AVERAGE(BS!K38:L38)</f>
        <v>0.74727898095458456</v>
      </c>
      <c r="D100" s="680">
        <f>PL!M9/AVERAGE(BS!L38:M38)</f>
        <v>0.83550487357081049</v>
      </c>
      <c r="E100" s="680">
        <f>PL!N9/AVERAGE(BS!M38:N38)</f>
        <v>0.94016585121873497</v>
      </c>
      <c r="F100" s="680">
        <f>PL!O9/AVERAGE(BS!N38:O38)</f>
        <v>0.95021842475160867</v>
      </c>
      <c r="G100" s="680">
        <f>PL!P9/AVERAGE(BS!O38:P38)</f>
        <v>0.87710482690179692</v>
      </c>
      <c r="H100" s="680">
        <f ca="1">PL!Q9/AVERAGE(BS!P38:Q38)</f>
        <v>0.63478480976980201</v>
      </c>
      <c r="I100" s="680">
        <f ca="1">PL!R9/AVERAGE(BS!Q38:R38)</f>
        <v>0.67597310883412443</v>
      </c>
      <c r="J100" s="680">
        <f ca="1">PL!S9/AVERAGE(BS!R38:S38)</f>
        <v>0.70088568834023901</v>
      </c>
    </row>
    <row r="101" spans="1:11">
      <c r="A101" s="331" t="s">
        <v>410</v>
      </c>
      <c r="B101" s="345">
        <f>Ratios!K13</f>
        <v>5.2438313260121685</v>
      </c>
      <c r="C101" s="345">
        <f>Ratios!L13</f>
        <v>6.0557416306410135</v>
      </c>
      <c r="D101" s="345">
        <f>Ratios!M13</f>
        <v>6.1976375153956562</v>
      </c>
      <c r="E101" s="345">
        <f>Ratios!N13</f>
        <v>6.1730117575799381</v>
      </c>
      <c r="F101" s="345">
        <f>Ratios!O13</f>
        <v>6.4148872074332548</v>
      </c>
      <c r="G101" s="345">
        <f>Ratios!P13</f>
        <v>6.0340444351587292</v>
      </c>
      <c r="H101" s="345">
        <f ca="1">Ratios!Q13</f>
        <v>5.2419305606362929</v>
      </c>
      <c r="I101" s="345">
        <f ca="1">Ratios!R13</f>
        <v>6.7402970843859711</v>
      </c>
      <c r="J101" s="345">
        <f ca="1">Ratios!S13</f>
        <v>6.7609162229597821</v>
      </c>
    </row>
    <row r="102" spans="1:11">
      <c r="A102" s="331" t="s">
        <v>411</v>
      </c>
      <c r="B102" s="345">
        <f>Ratios!K15</f>
        <v>13.079103993352945</v>
      </c>
      <c r="C102" s="345">
        <f>Ratios!L15</f>
        <v>14.545837281233419</v>
      </c>
      <c r="D102" s="345">
        <f>Ratios!M15</f>
        <v>14.337148722301123</v>
      </c>
      <c r="E102" s="345">
        <f>Ratios!N15</f>
        <v>16.795485102638434</v>
      </c>
      <c r="F102" s="345">
        <f>Ratios!O15</f>
        <v>21.075954547422793</v>
      </c>
      <c r="G102" s="345">
        <f>Ratios!P15</f>
        <v>20.852195825600685</v>
      </c>
      <c r="H102" s="345">
        <f ca="1">Ratios!Q15</f>
        <v>18.725822670097699</v>
      </c>
      <c r="I102" s="345">
        <f ca="1">Ratios!R15</f>
        <v>23.139058789562643</v>
      </c>
      <c r="J102" s="345">
        <f ca="1">Ratios!S15</f>
        <v>23.124791955570039</v>
      </c>
    </row>
    <row r="103" spans="1:11" ht="13.5" thickBot="1">
      <c r="A103" s="332" t="s">
        <v>412</v>
      </c>
      <c r="B103" s="346">
        <f>Ratios!K17</f>
        <v>6.5919300303785793</v>
      </c>
      <c r="C103" s="346">
        <f>Ratios!L17</f>
        <v>7.7413207050043971</v>
      </c>
      <c r="D103" s="346">
        <f>Ratios!M17</f>
        <v>8.8369245469083175</v>
      </c>
      <c r="E103" s="346">
        <f>Ratios!N17</f>
        <v>11.114016395225793</v>
      </c>
      <c r="F103" s="346">
        <f>Ratios!O17</f>
        <v>11.143041970164921</v>
      </c>
      <c r="G103" s="346">
        <f>Ratios!P17</f>
        <v>10.705112172354626</v>
      </c>
      <c r="H103" s="346">
        <f ca="1">Ratios!Q17</f>
        <v>10.358043474114032</v>
      </c>
      <c r="I103" s="346">
        <f ca="1">Ratios!R17</f>
        <v>11.92012119462318</v>
      </c>
      <c r="J103" s="346">
        <f ca="1">Ratios!S17</f>
        <v>11.912771613475474</v>
      </c>
    </row>
    <row r="104" spans="1:11">
      <c r="A104" s="331" t="s">
        <v>224</v>
      </c>
      <c r="B104" s="352">
        <f>Ratios!K33</f>
        <v>7.4146993598785682E-2</v>
      </c>
      <c r="C104" s="352">
        <f>Ratios!L33</f>
        <v>8.2344186707333608E-2</v>
      </c>
      <c r="D104" s="352">
        <f>Ratios!M33</f>
        <v>9.487993031654228E-2</v>
      </c>
      <c r="E104" s="352">
        <f>Ratios!N33</f>
        <v>9.7747992739482259E-2</v>
      </c>
      <c r="F104" s="352">
        <f>Ratios!O33</f>
        <v>9.8154645037562632E-2</v>
      </c>
      <c r="G104" s="352">
        <f ca="1">Ratios!P33</f>
        <v>0.10503971185254203</v>
      </c>
      <c r="H104" s="352">
        <f ca="1">Ratios!Q33</f>
        <v>0.12064547660458715</v>
      </c>
      <c r="I104" s="352">
        <f ca="1">Ratios!R33</f>
        <v>0.1218905996086469</v>
      </c>
      <c r="J104" s="352">
        <f ca="1">Ratios!S33</f>
        <v>0.12326947861644895</v>
      </c>
    </row>
    <row r="105" spans="1:11">
      <c r="A105" s="331" t="s">
        <v>225</v>
      </c>
      <c r="B105" s="352">
        <f>Ratios!K37</f>
        <v>0.23817128151997052</v>
      </c>
      <c r="C105" s="352">
        <f>Ratios!L37</f>
        <v>0.2575161945346196</v>
      </c>
      <c r="D105" s="352">
        <f>Ratios!M37</f>
        <v>0.27240118028433569</v>
      </c>
      <c r="E105" s="352">
        <f>Ratios!N37</f>
        <v>0.28096925950955953</v>
      </c>
      <c r="F105" s="352">
        <f>Ratios!O37</f>
        <v>0.28690899829777899</v>
      </c>
      <c r="G105" s="352">
        <f>Ratios!P37</f>
        <v>0.28557863769636249</v>
      </c>
      <c r="H105" s="352">
        <f ca="1">Ratios!Q37</f>
        <v>0.27981030290407821</v>
      </c>
      <c r="I105" s="352">
        <f ca="1">Ratios!R37</f>
        <v>0.26795793120746736</v>
      </c>
      <c r="J105" s="352">
        <f ca="1">Ratios!S37</f>
        <v>0.25652070150006279</v>
      </c>
    </row>
    <row r="106" spans="1:11" ht="13.5" thickBot="1">
      <c r="A106" s="332" t="s">
        <v>413</v>
      </c>
      <c r="B106" s="353">
        <f>Ratios!K38</f>
        <v>0.1721662559266329</v>
      </c>
      <c r="C106" s="353">
        <f>Ratios!L38</f>
        <v>0.14909860926341631</v>
      </c>
      <c r="D106" s="353">
        <f>Ratios!M38</f>
        <v>0.21506248797831096</v>
      </c>
      <c r="E106" s="353">
        <f>Ratios!N38</f>
        <v>0.23353559479112226</v>
      </c>
      <c r="F106" s="353">
        <f>Ratios!O38</f>
        <v>0.24845571375271855</v>
      </c>
      <c r="G106" s="353">
        <f>Ratios!P38</f>
        <v>0.20082241240478227</v>
      </c>
      <c r="H106" s="353">
        <f ca="1">Ratios!Q38</f>
        <v>0.17761542172459369</v>
      </c>
      <c r="I106" s="353">
        <f ca="1">Ratios!R38</f>
        <v>0.17739281639611928</v>
      </c>
      <c r="J106" s="353">
        <f ca="1">Ratios!S38</f>
        <v>0.17946566266845076</v>
      </c>
    </row>
    <row r="107" spans="1:11">
      <c r="A107" s="331" t="s">
        <v>414</v>
      </c>
      <c r="B107" s="352">
        <f>Ratios!K52</f>
        <v>1.4688989361392786</v>
      </c>
      <c r="C107" s="352">
        <f>Ratios!L52</f>
        <v>1.7992339478763137</v>
      </c>
      <c r="D107" s="352">
        <f>Ratios!M52</f>
        <v>1.2493440005858698</v>
      </c>
      <c r="E107" s="352">
        <f>Ratios!N52</f>
        <v>1.2152489108545999</v>
      </c>
      <c r="F107" s="352">
        <f>Ratios!O52</f>
        <v>1.2174324415943762</v>
      </c>
      <c r="G107" s="352">
        <f>Ratios!P52</f>
        <v>1.2151978404952606</v>
      </c>
      <c r="H107" s="352">
        <f ca="1">Ratios!Q52</f>
        <v>0.97178345432952751</v>
      </c>
      <c r="I107" s="352">
        <f ca="1">Ratios!R52</f>
        <v>0.87854623779819008</v>
      </c>
      <c r="J107" s="352">
        <f ca="1">Ratios!S52</f>
        <v>0.78757176086228553</v>
      </c>
    </row>
    <row r="108" spans="1:11">
      <c r="A108" s="331" t="s">
        <v>415</v>
      </c>
      <c r="B108" s="352">
        <f>Ratios!K8</f>
        <v>1.1297232327412472</v>
      </c>
      <c r="C108" s="352">
        <f>Ratios!L8</f>
        <v>1.1800089976240276</v>
      </c>
      <c r="D108" s="352">
        <f>Ratios!M8</f>
        <v>1.2616739557217973</v>
      </c>
      <c r="E108" s="352">
        <f>Ratios!N8</f>
        <v>1.2378981470395827</v>
      </c>
      <c r="F108" s="352">
        <f>Ratios!O8</f>
        <v>1.3071450428835769</v>
      </c>
      <c r="G108" s="352">
        <f>Ratios!P8</f>
        <v>1.3982930530785018</v>
      </c>
      <c r="H108" s="352">
        <f ca="1">Ratios!Q8</f>
        <v>1.5544742180727653</v>
      </c>
      <c r="I108" s="352">
        <f ca="1">Ratios!R8</f>
        <v>1.5600653810353231</v>
      </c>
      <c r="J108" s="352">
        <f ca="1">Ratios!S8</f>
        <v>1.5700231816155621</v>
      </c>
    </row>
    <row r="109" spans="1:11">
      <c r="A109" s="331" t="s">
        <v>416</v>
      </c>
      <c r="B109" s="352">
        <f>BS!K57/BS!K76</f>
        <v>-0.27829424278558723</v>
      </c>
      <c r="C109" s="352">
        <f>BS!L57/BS!L76</f>
        <v>-0.33737446129403514</v>
      </c>
      <c r="D109" s="352">
        <f>BS!M57/BS!M76</f>
        <v>-0.33759754783060653</v>
      </c>
      <c r="E109" s="352">
        <f>BS!N57/BS!N76</f>
        <v>-0.41392359449198213</v>
      </c>
      <c r="F109" s="352">
        <f>BS!O57/BS!O76</f>
        <v>-0.54216186897995655</v>
      </c>
      <c r="G109" s="352">
        <f>BS!P57/BS!P76</f>
        <v>-0.52292628691379495</v>
      </c>
      <c r="H109" s="352">
        <f ca="1">BS!Q57/BS!Q76</f>
        <v>-0.60395744966565112</v>
      </c>
      <c r="I109" s="352">
        <f ca="1">BS!R57/BS!R76</f>
        <v>-0.55168384737544918</v>
      </c>
      <c r="J109" s="352">
        <f ca="1">BS!S57/BS!S76</f>
        <v>-0.50221029555309415</v>
      </c>
    </row>
    <row r="110" spans="1:11" ht="13.5" thickBot="1">
      <c r="A110" s="333" t="s">
        <v>417</v>
      </c>
      <c r="B110" s="348">
        <f>Ratios!K58</f>
        <v>14.65933278816027</v>
      </c>
      <c r="C110" s="348">
        <f>Ratios!L58</f>
        <v>14.09351409274454</v>
      </c>
      <c r="D110" s="348">
        <f>Ratios!M58</f>
        <v>12.866160298331485</v>
      </c>
      <c r="E110" s="348">
        <f>Ratios!N58</f>
        <v>12.052688942376971</v>
      </c>
      <c r="F110" s="348">
        <f>Ratios!O58</f>
        <v>21.066818939888343</v>
      </c>
      <c r="G110" s="348">
        <f>Ratios!P58</f>
        <v>17.219274846868213</v>
      </c>
      <c r="H110" s="348">
        <f ca="1">Ratios!Q58</f>
        <v>15.365024863221278</v>
      </c>
      <c r="I110" s="348">
        <f ca="1">Ratios!R58</f>
        <v>16.35955281142861</v>
      </c>
      <c r="J110" s="348">
        <f ca="1">Ratios!S58</f>
        <v>18.213558704614393</v>
      </c>
    </row>
    <row r="113" spans="1:37" ht="15">
      <c r="A113" s="442" t="s">
        <v>28</v>
      </c>
    </row>
    <row r="114" spans="1:37" s="453" customFormat="1" ht="12.95" customHeight="1">
      <c r="A114" s="589" t="s">
        <v>462</v>
      </c>
      <c r="B114" s="455">
        <f>PL!L4</f>
        <v>2021</v>
      </c>
      <c r="C114" s="455">
        <f>PL!M4</f>
        <v>2022</v>
      </c>
      <c r="D114" s="455">
        <f>PL!N4</f>
        <v>2023</v>
      </c>
      <c r="E114" s="455" t="str">
        <f>PL!V4&amp;"F"</f>
        <v>2024F</v>
      </c>
      <c r="F114" s="455" t="str">
        <f>PL!W4</f>
        <v>2025F</v>
      </c>
      <c r="G114" s="455" t="str">
        <f>PL!Q4</f>
        <v>2026F</v>
      </c>
      <c r="H114" s="455" t="s">
        <v>812</v>
      </c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</row>
    <row r="115" spans="1:37" ht="12.95" customHeight="1">
      <c r="A115" s="335" t="s">
        <v>809</v>
      </c>
      <c r="B115" s="447">
        <f>PL!L9</f>
        <v>35657.262545026999</v>
      </c>
      <c r="C115" s="447">
        <f>PL!M9</f>
        <v>44009.527680911</v>
      </c>
      <c r="D115" s="447">
        <f>PL!N9</f>
        <v>52617.900827384998</v>
      </c>
      <c r="E115" s="447">
        <f>PL!O9</f>
        <v>62848.79</v>
      </c>
      <c r="F115" s="447">
        <f>PL!P9</f>
        <v>70207.69</v>
      </c>
      <c r="G115" s="447">
        <f ca="1">PL!Q9</f>
        <v>57194.606680421704</v>
      </c>
      <c r="H115" s="447">
        <f ca="1">PL!R9</f>
        <v>65945.020200000014</v>
      </c>
      <c r="L115" s="3456" t="s">
        <v>2087</v>
      </c>
      <c r="M115" s="3457" t="s">
        <v>2080</v>
      </c>
      <c r="N115" s="3457" t="s">
        <v>1915</v>
      </c>
      <c r="O115" s="3457" t="s">
        <v>625</v>
      </c>
      <c r="P115" s="3458" t="s">
        <v>2083</v>
      </c>
      <c r="Q115" s="3462" t="s">
        <v>2084</v>
      </c>
      <c r="R115" s="3463"/>
    </row>
    <row r="116" spans="1:37" ht="12.95" customHeight="1">
      <c r="A116" s="854"/>
      <c r="B116" s="855"/>
      <c r="C116" s="855"/>
      <c r="D116" s="855"/>
      <c r="E116" s="855"/>
      <c r="F116" s="855"/>
      <c r="G116" s="855"/>
      <c r="H116" s="855"/>
      <c r="I116" s="855"/>
      <c r="L116" s="3459" t="s">
        <v>140</v>
      </c>
      <c r="M116" s="3459">
        <v>70113</v>
      </c>
      <c r="N116" s="3459">
        <v>62849</v>
      </c>
      <c r="O116" s="3460">
        <f t="shared" ref="O116:O127" si="28">M116/N116-1</f>
        <v>0.11557860904708117</v>
      </c>
      <c r="P116" s="3461">
        <v>72592</v>
      </c>
      <c r="Q116" s="3468">
        <f t="shared" ref="Q116:Q127" si="29">M116/P116-1</f>
        <v>-3.4149768569539329E-2</v>
      </c>
      <c r="R116" s="3464"/>
    </row>
    <row r="117" spans="1:37" ht="12.95" customHeight="1">
      <c r="A117" s="854"/>
      <c r="B117" s="855"/>
      <c r="C117" s="855"/>
      <c r="D117" s="855"/>
      <c r="E117" s="855"/>
      <c r="F117" s="855"/>
      <c r="G117" s="855"/>
      <c r="H117" s="855"/>
      <c r="I117" s="855"/>
      <c r="L117" s="3459" t="s">
        <v>147</v>
      </c>
      <c r="M117" s="3459">
        <v>44217</v>
      </c>
      <c r="N117" s="3459">
        <v>39150</v>
      </c>
      <c r="O117" s="3460">
        <f t="shared" si="28"/>
        <v>0.12942528735632175</v>
      </c>
      <c r="P117" s="3461">
        <v>45566</v>
      </c>
      <c r="Q117" s="3468">
        <f t="shared" si="29"/>
        <v>-2.9605407540710171E-2</v>
      </c>
      <c r="R117" s="3464"/>
    </row>
    <row r="118" spans="1:37" ht="12.95" customHeight="1">
      <c r="A118" s="854"/>
      <c r="B118" s="855"/>
      <c r="C118" s="855"/>
      <c r="D118" s="855"/>
      <c r="E118" s="855"/>
      <c r="F118" s="855"/>
      <c r="G118" s="855"/>
      <c r="H118" s="855"/>
      <c r="I118" s="855"/>
      <c r="L118" s="3459" t="s">
        <v>141</v>
      </c>
      <c r="M118" s="3459">
        <v>25895</v>
      </c>
      <c r="N118" s="3459">
        <v>23698</v>
      </c>
      <c r="O118" s="3460">
        <f t="shared" si="28"/>
        <v>9.2708245421554647E-2</v>
      </c>
      <c r="P118" s="3461">
        <v>27386</v>
      </c>
      <c r="Q118" s="3468">
        <f t="shared" si="29"/>
        <v>-5.4443876433214022E-2</v>
      </c>
      <c r="R118" s="3464"/>
    </row>
    <row r="119" spans="1:37" ht="12.95" customHeight="1">
      <c r="A119" s="854"/>
      <c r="B119" s="855"/>
      <c r="C119" s="855"/>
      <c r="D119" s="855"/>
      <c r="E119" s="855"/>
      <c r="F119" s="855"/>
      <c r="G119" s="855"/>
      <c r="H119" s="855"/>
      <c r="I119" s="855"/>
      <c r="L119" s="3459" t="s">
        <v>2082</v>
      </c>
      <c r="M119" s="3459">
        <v>14912</v>
      </c>
      <c r="N119" s="3459">
        <v>13190</v>
      </c>
      <c r="O119" s="3460">
        <f t="shared" si="28"/>
        <v>0.1305534495830174</v>
      </c>
      <c r="P119" s="3461">
        <v>16122</v>
      </c>
      <c r="Q119" s="3468">
        <f t="shared" si="29"/>
        <v>-7.5052722987222431E-2</v>
      </c>
      <c r="R119" s="3465"/>
    </row>
    <row r="120" spans="1:37" ht="12.95" customHeight="1">
      <c r="A120" s="445" t="s">
        <v>147</v>
      </c>
      <c r="B120" s="447">
        <f>PL!L11</f>
        <v>22025.298308248999</v>
      </c>
      <c r="C120" s="447">
        <f>PL!M11</f>
        <v>26842.249039712999</v>
      </c>
      <c r="D120" s="447">
        <f>PL!N11</f>
        <v>32298.347382702999</v>
      </c>
      <c r="E120" s="447">
        <f>PL!O11</f>
        <v>39150.449999999997</v>
      </c>
      <c r="F120" s="447">
        <f>PL!P11</f>
        <v>44217.42</v>
      </c>
      <c r="G120" s="447">
        <f ca="1">PL!Q11</f>
        <v>37370.88195262997</v>
      </c>
      <c r="H120" s="447">
        <f ca="1">PL!R11</f>
        <v>43668.412058185721</v>
      </c>
      <c r="I120" s="447"/>
      <c r="L120" s="3459" t="s">
        <v>912</v>
      </c>
      <c r="M120" s="3459">
        <v>10984</v>
      </c>
      <c r="N120" s="3459">
        <v>10508</v>
      </c>
      <c r="O120" s="3460">
        <f t="shared" si="28"/>
        <v>4.5298819946707258E-2</v>
      </c>
      <c r="P120" s="3461">
        <v>11417</v>
      </c>
      <c r="Q120" s="3468">
        <f t="shared" si="29"/>
        <v>-3.792589997372342E-2</v>
      </c>
      <c r="R120" s="3465"/>
    </row>
    <row r="121" spans="1:37" ht="12.95" customHeight="1">
      <c r="A121" s="854"/>
      <c r="B121" s="855"/>
      <c r="C121" s="855"/>
      <c r="D121" s="855"/>
      <c r="E121" s="855"/>
      <c r="F121" s="855"/>
      <c r="G121" s="855"/>
      <c r="H121" s="855"/>
      <c r="I121" s="855"/>
      <c r="L121" s="3459" t="s">
        <v>488</v>
      </c>
      <c r="M121" s="3459">
        <v>1305</v>
      </c>
      <c r="N121" s="3459">
        <v>124</v>
      </c>
      <c r="O121" s="3460">
        <f t="shared" si="28"/>
        <v>9.5241935483870961</v>
      </c>
      <c r="P121" s="3461">
        <v>1170</v>
      </c>
      <c r="Q121" s="3468">
        <f t="shared" si="29"/>
        <v>0.11538461538461542</v>
      </c>
      <c r="R121" s="3464"/>
    </row>
    <row r="122" spans="1:37" ht="12.95" customHeight="1">
      <c r="A122" s="854"/>
      <c r="B122" s="855"/>
      <c r="C122" s="855"/>
      <c r="D122" s="855"/>
      <c r="E122" s="855"/>
      <c r="F122" s="855"/>
      <c r="G122" s="855"/>
      <c r="H122" s="855"/>
      <c r="I122" s="855"/>
      <c r="L122" s="3459" t="s">
        <v>489</v>
      </c>
      <c r="M122" s="3459">
        <v>92</v>
      </c>
      <c r="N122" s="3459">
        <v>45</v>
      </c>
      <c r="O122" s="3460">
        <f t="shared" si="28"/>
        <v>1.0444444444444443</v>
      </c>
      <c r="P122" s="3461">
        <v>109</v>
      </c>
      <c r="Q122" s="3468">
        <f t="shared" si="29"/>
        <v>-0.15596330275229353</v>
      </c>
      <c r="R122" s="3464"/>
    </row>
    <row r="123" spans="1:37" ht="12.95" customHeight="1">
      <c r="A123" s="854"/>
      <c r="B123" s="855"/>
      <c r="C123" s="855"/>
      <c r="D123" s="855"/>
      <c r="E123" s="855"/>
      <c r="F123" s="855"/>
      <c r="G123" s="855"/>
      <c r="H123" s="855"/>
      <c r="I123" s="855"/>
      <c r="L123" s="3459" t="s">
        <v>2081</v>
      </c>
      <c r="M123" s="3459">
        <v>658</v>
      </c>
      <c r="N123" s="3459">
        <v>393</v>
      </c>
      <c r="O123" s="3460">
        <f t="shared" si="28"/>
        <v>0.67430025445292618</v>
      </c>
      <c r="P123" s="3461">
        <v>438</v>
      </c>
      <c r="Q123" s="3468">
        <f t="shared" si="29"/>
        <v>0.50228310502283113</v>
      </c>
      <c r="R123" s="3464"/>
    </row>
    <row r="124" spans="1:37" ht="12.95" customHeight="1">
      <c r="A124" s="854"/>
      <c r="B124" s="855"/>
      <c r="C124" s="855"/>
      <c r="D124" s="855"/>
      <c r="E124" s="855"/>
      <c r="F124" s="855"/>
      <c r="G124" s="855"/>
      <c r="H124" s="855"/>
      <c r="I124" s="855"/>
      <c r="L124" s="3459" t="s">
        <v>22</v>
      </c>
      <c r="M124" s="3459">
        <v>13039</v>
      </c>
      <c r="N124" s="3459">
        <v>11070</v>
      </c>
      <c r="O124" s="3460">
        <f t="shared" si="28"/>
        <v>0.17786811201445341</v>
      </c>
      <c r="P124" s="3461">
        <v>13134</v>
      </c>
      <c r="Q124" s="3468">
        <f t="shared" si="29"/>
        <v>-7.2331353738388504E-3</v>
      </c>
      <c r="R124" s="3464"/>
    </row>
    <row r="125" spans="1:37" s="453" customFormat="1" ht="12.95" customHeight="1">
      <c r="A125" s="451" t="s">
        <v>141</v>
      </c>
      <c r="B125" s="454">
        <f>PL!L13</f>
        <v>13631.964236778</v>
      </c>
      <c r="C125" s="454">
        <f>PL!M13</f>
        <v>17167.278641198001</v>
      </c>
      <c r="D125" s="454">
        <f>PL!N13</f>
        <v>20319.553444681998</v>
      </c>
      <c r="E125" s="454">
        <f>PL!O13</f>
        <v>23698.340000000004</v>
      </c>
      <c r="F125" s="454">
        <f>PL!P13</f>
        <v>25990.270000000004</v>
      </c>
      <c r="G125" s="454">
        <f ca="1">PL!Q13</f>
        <v>19823.724727791734</v>
      </c>
      <c r="H125" s="454">
        <f ca="1">PL!R13</f>
        <v>22276.608141814293</v>
      </c>
      <c r="I125" s="454"/>
      <c r="J125"/>
      <c r="K125"/>
      <c r="L125" s="3459" t="s">
        <v>23</v>
      </c>
      <c r="M125" s="3459">
        <v>11226</v>
      </c>
      <c r="N125" s="3459">
        <v>9427</v>
      </c>
      <c r="O125" s="3460">
        <f t="shared" si="28"/>
        <v>0.19083483610904839</v>
      </c>
      <c r="P125" s="3461">
        <v>11110</v>
      </c>
      <c r="Q125" s="3468">
        <f t="shared" si="29"/>
        <v>1.0441044104410491E-2</v>
      </c>
      <c r="R125" s="3464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</row>
    <row r="126" spans="1:37" ht="12.95" customHeight="1">
      <c r="A126" s="444" t="s">
        <v>616</v>
      </c>
      <c r="B126" s="446">
        <f>PL!L17+PL!L20</f>
        <v>8216.9367205550006</v>
      </c>
      <c r="C126" s="446">
        <f>PL!M17+PL!M20</f>
        <v>10372.721345328999</v>
      </c>
      <c r="D126" s="446">
        <f>PL!N17+PL!N20</f>
        <v>11867.925545319002</v>
      </c>
      <c r="E126" s="446">
        <f>PL!O17+PL!O20</f>
        <v>13190</v>
      </c>
      <c r="F126" s="446">
        <f>PL!P17+PL!P20</f>
        <v>14911.630000000001</v>
      </c>
      <c r="G126" s="446">
        <f ca="1">PL!Q17+PL!Q20</f>
        <v>10066.250775754219</v>
      </c>
      <c r="H126" s="446">
        <f ca="1">PL!R17+PL!R20</f>
        <v>11474.433514800003</v>
      </c>
      <c r="I126" s="446"/>
      <c r="L126" s="3459" t="s">
        <v>221</v>
      </c>
      <c r="M126" s="3459">
        <v>1856</v>
      </c>
      <c r="N126" s="3459">
        <v>1571</v>
      </c>
      <c r="O126" s="3460">
        <f t="shared" si="28"/>
        <v>0.18141311266709104</v>
      </c>
      <c r="P126" s="3461">
        <v>1851</v>
      </c>
      <c r="Q126" s="3468">
        <f t="shared" si="29"/>
        <v>2.7012425715828847E-3</v>
      </c>
      <c r="R126" s="3465"/>
    </row>
    <row r="127" spans="1:37" s="453" customFormat="1" ht="12.95" customHeight="1">
      <c r="A127" s="451" t="s">
        <v>18</v>
      </c>
      <c r="B127" s="454">
        <f>PL!L24</f>
        <v>5415.027516223</v>
      </c>
      <c r="C127" s="454">
        <f>PL!M24</f>
        <v>6794.5572958690018</v>
      </c>
      <c r="D127" s="454">
        <f>PL!N24</f>
        <v>8451.6278993629967</v>
      </c>
      <c r="E127" s="454">
        <f>PL!O24</f>
        <v>10508.340000000004</v>
      </c>
      <c r="F127" s="454">
        <f>PL!P24</f>
        <v>11078.640000000003</v>
      </c>
      <c r="G127" s="454">
        <f ca="1">PL!Q24</f>
        <v>9757.4739520375151</v>
      </c>
      <c r="H127" s="454">
        <f ca="1">PL!R24</f>
        <v>10802.174627014292</v>
      </c>
      <c r="I127" s="454"/>
      <c r="J127"/>
      <c r="K127"/>
      <c r="L127" s="3459" t="s">
        <v>806</v>
      </c>
      <c r="M127" s="3459">
        <v>9369</v>
      </c>
      <c r="N127" s="3459">
        <v>7857</v>
      </c>
      <c r="O127" s="3460">
        <f t="shared" si="28"/>
        <v>0.19243986254295531</v>
      </c>
      <c r="P127" s="3461">
        <v>9259</v>
      </c>
      <c r="Q127" s="3468">
        <f t="shared" si="29"/>
        <v>1.1880332649314207E-2</v>
      </c>
      <c r="R127" s="3464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</row>
    <row r="128" spans="1:37" ht="12.95" customHeight="1">
      <c r="A128" s="445" t="s">
        <v>198</v>
      </c>
      <c r="B128" s="447">
        <f>PL!L29</f>
        <v>7058.9432015550001</v>
      </c>
      <c r="C128" s="447">
        <f>PL!M29</f>
        <v>8627.6217949970014</v>
      </c>
      <c r="D128" s="447">
        <f>PL!N29</f>
        <v>10738.142058050997</v>
      </c>
      <c r="E128" s="447">
        <f>PL!O29</f>
        <v>13043.640000000003</v>
      </c>
      <c r="F128" s="447">
        <f>PL!P29</f>
        <v>13978.160000000003</v>
      </c>
      <c r="G128" s="447">
        <f ca="1">PL!Q29</f>
        <v>12455.330662171225</v>
      </c>
      <c r="H128" s="447">
        <f ca="1">PL!R29</f>
        <v>13502.971749592678</v>
      </c>
      <c r="I128" s="447"/>
      <c r="R128" s="3479"/>
      <c r="S128" s="3479"/>
    </row>
    <row r="129" spans="1:37" ht="12.95" customHeight="1">
      <c r="A129" s="444" t="s">
        <v>498</v>
      </c>
      <c r="B129" s="446">
        <f>PL!L32</f>
        <v>1270.7893862670001</v>
      </c>
      <c r="C129" s="446">
        <f>PL!M32</f>
        <v>1998.503979865</v>
      </c>
      <c r="D129" s="446">
        <f>PL!N32</f>
        <v>2336.0690898190001</v>
      </c>
      <c r="E129" s="446">
        <f>PL!O32</f>
        <v>1935.75</v>
      </c>
      <c r="F129" s="446">
        <f>PL!P32</f>
        <v>2977.16</v>
      </c>
      <c r="G129" s="446">
        <f ca="1">PL!Q32</f>
        <v>1882.0365615655039</v>
      </c>
      <c r="H129" s="446">
        <f ca="1">PL!R32</f>
        <v>2443.6027689855273</v>
      </c>
      <c r="I129" s="446"/>
    </row>
    <row r="130" spans="1:37" ht="12.95" customHeight="1">
      <c r="A130" s="444" t="s">
        <v>19</v>
      </c>
      <c r="B130" s="446">
        <f>PL!L34</f>
        <v>1144.1874468450001</v>
      </c>
      <c r="C130" s="446">
        <f>PL!M34</f>
        <v>1687.369701824</v>
      </c>
      <c r="D130" s="446">
        <f>PL!N34</f>
        <v>1718.2984637100001</v>
      </c>
      <c r="E130" s="446">
        <f>PL!O34</f>
        <v>1811.55</v>
      </c>
      <c r="F130" s="446">
        <f>PL!P34</f>
        <v>1672.05</v>
      </c>
      <c r="G130" s="446">
        <f ca="1">PL!Q34</f>
        <v>1324.2605667049495</v>
      </c>
      <c r="H130" s="446">
        <f ca="1">PL!R34</f>
        <v>1439.2748992700413</v>
      </c>
      <c r="I130" s="446"/>
    </row>
    <row r="131" spans="1:37" s="453" customFormat="1" ht="12.95" customHeight="1">
      <c r="A131" s="451" t="s">
        <v>488</v>
      </c>
      <c r="B131" s="454">
        <f>PL!L39</f>
        <v>126.60193942199999</v>
      </c>
      <c r="C131" s="454">
        <f>PL!M39</f>
        <v>311.13427804100002</v>
      </c>
      <c r="D131" s="454">
        <f>PL!N39</f>
        <v>617.77062610899998</v>
      </c>
      <c r="E131" s="454">
        <f>PL!O39</f>
        <v>124.20000000000005</v>
      </c>
      <c r="F131" s="454">
        <f>PL!P39</f>
        <v>1305.1099999999999</v>
      </c>
      <c r="G131" s="454">
        <f ca="1">PL!Q39</f>
        <v>557.77599486055442</v>
      </c>
      <c r="H131" s="454">
        <f ca="1">PL!R39</f>
        <v>1004.327869715486</v>
      </c>
      <c r="I131" s="454"/>
      <c r="J131"/>
      <c r="K131"/>
      <c r="L131" s="3469" t="s">
        <v>2018</v>
      </c>
      <c r="M131" s="3470">
        <f>M118/M116</f>
        <v>0.36933236347039777</v>
      </c>
      <c r="N131" s="3470">
        <f>N118/N116</f>
        <v>0.37706248309440088</v>
      </c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</row>
    <row r="132" spans="1:37" ht="12.95" customHeight="1">
      <c r="A132" s="444" t="s">
        <v>20</v>
      </c>
      <c r="B132" s="446">
        <f>PL!L42</f>
        <v>133.21917762199999</v>
      </c>
      <c r="C132" s="446">
        <f>PL!M42</f>
        <v>184.323926142</v>
      </c>
      <c r="D132" s="446">
        <f>PL!N42</f>
        <v>200.95601092000001</v>
      </c>
      <c r="E132" s="446">
        <f>PL!O42</f>
        <v>175.45</v>
      </c>
      <c r="F132" s="446">
        <f>PL!P42</f>
        <v>142.88999999999999</v>
      </c>
      <c r="G132" s="446">
        <f ca="1">PL!Q42</f>
        <v>171.58382004126511</v>
      </c>
      <c r="H132" s="446">
        <f ca="1">PL!R42</f>
        <v>197.83506060000005</v>
      </c>
      <c r="I132" s="446"/>
      <c r="L132" s="3471" t="s">
        <v>2086</v>
      </c>
      <c r="M132" s="3470">
        <f>M119/M116</f>
        <v>0.21268523668934433</v>
      </c>
      <c r="N132" s="3470">
        <f>N119/N116</f>
        <v>0.20986809654887109</v>
      </c>
    </row>
    <row r="133" spans="1:37" ht="12.95" customHeight="1">
      <c r="A133" s="444" t="s">
        <v>21</v>
      </c>
      <c r="B133" s="446">
        <f>PL!L43</f>
        <v>24.506873427999999</v>
      </c>
      <c r="C133" s="446">
        <f>PL!M43</f>
        <v>111.330588573</v>
      </c>
      <c r="D133" s="446">
        <f>PL!N43</f>
        <v>109.69544678299999</v>
      </c>
      <c r="E133" s="446">
        <f>PL!O43</f>
        <v>130.86000000000001</v>
      </c>
      <c r="F133" s="446">
        <f>PL!P43</f>
        <v>50.94</v>
      </c>
      <c r="G133" s="446">
        <f ca="1">PL!Q43</f>
        <v>74.741763905259944</v>
      </c>
      <c r="H133" s="446">
        <f ca="1">PL!R43</f>
        <v>87.336824116371446</v>
      </c>
      <c r="I133" s="446"/>
      <c r="L133" s="3471" t="s">
        <v>821</v>
      </c>
      <c r="M133" s="3470">
        <f>M124/M116</f>
        <v>0.18597121789111862</v>
      </c>
      <c r="N133" s="3470">
        <f>N124/N116</f>
        <v>0.17613645404063707</v>
      </c>
    </row>
    <row r="134" spans="1:37" s="453" customFormat="1" ht="12.95" customHeight="1">
      <c r="A134" s="451" t="s">
        <v>489</v>
      </c>
      <c r="B134" s="454">
        <f>PL!L44</f>
        <v>108.71230419399998</v>
      </c>
      <c r="C134" s="454">
        <f>PL!M44</f>
        <v>72.993337569000005</v>
      </c>
      <c r="D134" s="454">
        <f>PL!N44</f>
        <v>91.260564137000017</v>
      </c>
      <c r="E134" s="454">
        <f>PL!O44</f>
        <v>44.589999999999975</v>
      </c>
      <c r="F134" s="454">
        <f>PL!P44</f>
        <v>91.949999999999989</v>
      </c>
      <c r="G134" s="454">
        <f ca="1">PL!Q44</f>
        <v>96.842056136005169</v>
      </c>
      <c r="H134" s="454">
        <f ca="1">PL!R44</f>
        <v>110.4982364836286</v>
      </c>
      <c r="I134" s="45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</row>
    <row r="135" spans="1:37" s="453" customFormat="1" ht="12.95" customHeight="1">
      <c r="A135" s="451" t="s">
        <v>499</v>
      </c>
      <c r="B135" s="454">
        <f>PL!L45</f>
        <v>686.86468111900001</v>
      </c>
      <c r="C135" s="454">
        <f>PL!M45</f>
        <v>483.59804840100003</v>
      </c>
      <c r="D135" s="454">
        <f>PL!N45</f>
        <v>42.347008961</v>
      </c>
      <c r="E135" s="454">
        <f>PL!O45</f>
        <v>392.53</v>
      </c>
      <c r="F135" s="454">
        <f>PL!P45</f>
        <v>658.02</v>
      </c>
      <c r="G135" s="454">
        <f ca="1">PL!Q45</f>
        <v>2859.7303340210856</v>
      </c>
      <c r="H135" s="454">
        <f ca="1">PL!R45</f>
        <v>3099.4159494000005</v>
      </c>
      <c r="I135" s="454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</row>
    <row r="136" spans="1:37" ht="12.95" customHeight="1">
      <c r="A136" s="444" t="s">
        <v>22</v>
      </c>
      <c r="B136" s="446">
        <f>PL!L47</f>
        <v>6337.2064409580007</v>
      </c>
      <c r="C136" s="446">
        <f>PL!M47</f>
        <v>7662.2829598800017</v>
      </c>
      <c r="D136" s="446">
        <f>PL!N47</f>
        <v>9203.0060985699965</v>
      </c>
      <c r="E136" s="446">
        <f>PL!O47</f>
        <v>11069.660000000005</v>
      </c>
      <c r="F136" s="446">
        <f>PL!P47</f>
        <v>13133.720000000005</v>
      </c>
      <c r="G136" s="446">
        <f ca="1">PL!Q47</f>
        <v>13271.82233705516</v>
      </c>
      <c r="H136" s="446">
        <f ca="1">PL!R47</f>
        <v>15016.416682613406</v>
      </c>
      <c r="I136" s="446"/>
    </row>
    <row r="137" spans="1:37" s="453" customFormat="1" ht="12.95" customHeight="1">
      <c r="A137" s="456" t="s">
        <v>617</v>
      </c>
      <c r="B137" s="452">
        <f>PL!L50</f>
        <v>987.90534146200002</v>
      </c>
      <c r="C137" s="452">
        <f>PL!M50</f>
        <v>1170.939505411</v>
      </c>
      <c r="D137" s="452">
        <f>PL!N50</f>
        <v>1414.9563589540001</v>
      </c>
      <c r="E137" s="452">
        <f>PL!O50</f>
        <v>1642.24</v>
      </c>
      <c r="F137" s="452">
        <f>PL!P50</f>
        <v>1813.35</v>
      </c>
      <c r="G137" s="452">
        <f ca="1">PL!Q50</f>
        <v>1990.7733505582739</v>
      </c>
      <c r="H137" s="452">
        <f ca="1">PL!R50</f>
        <v>2252.4625023920107</v>
      </c>
      <c r="I137" s="452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</row>
    <row r="138" spans="1:37" ht="12.95" customHeight="1">
      <c r="A138" s="445" t="s">
        <v>23</v>
      </c>
      <c r="B138" s="447">
        <f>PL!L53</f>
        <v>5349.3010994960005</v>
      </c>
      <c r="C138" s="447">
        <f>PL!M53</f>
        <v>6491.3434544690017</v>
      </c>
      <c r="D138" s="447">
        <f>PL!N53</f>
        <v>7788.0497396159963</v>
      </c>
      <c r="E138" s="447">
        <f>PL!O53</f>
        <v>9427.4200000000055</v>
      </c>
      <c r="F138" s="447">
        <f>PL!P53</f>
        <v>11320.370000000004</v>
      </c>
      <c r="G138" s="447">
        <f ca="1">PL!Q53</f>
        <v>11281.048986496886</v>
      </c>
      <c r="H138" s="447">
        <f ca="1">PL!R53</f>
        <v>12763.954180221395</v>
      </c>
      <c r="I138" s="447"/>
    </row>
    <row r="139" spans="1:37" s="453" customFormat="1" ht="12.95" customHeight="1">
      <c r="A139" s="457" t="s">
        <v>24</v>
      </c>
      <c r="B139" s="458">
        <f>PL!L54</f>
        <v>1011.889219694</v>
      </c>
      <c r="C139" s="458">
        <f>PL!M54</f>
        <v>1181.2348630609999</v>
      </c>
      <c r="D139" s="458">
        <f>PL!N54</f>
        <v>1322.859306994</v>
      </c>
      <c r="E139" s="458">
        <f>PL!O54</f>
        <v>1570.65</v>
      </c>
      <c r="F139" s="458">
        <f>PL!P54</f>
        <v>1856.21</v>
      </c>
      <c r="G139" s="458">
        <f ca="1">PL!Q54</f>
        <v>168.16022749035889</v>
      </c>
      <c r="H139" s="458">
        <f ca="1">PL!R54</f>
        <v>209.29156369331344</v>
      </c>
      <c r="I139" s="458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</row>
    <row r="140" spans="1:37" s="453" customFormat="1" ht="12.95" customHeight="1">
      <c r="A140" s="451" t="s">
        <v>25</v>
      </c>
      <c r="B140" s="454">
        <f>PL!L55</f>
        <v>4337.4118798020008</v>
      </c>
      <c r="C140" s="454">
        <f>PL!M55</f>
        <v>5310.1085914080013</v>
      </c>
      <c r="D140" s="454">
        <f>PL!N55</f>
        <v>6465.1904326219965</v>
      </c>
      <c r="E140" s="454">
        <f>PL!O55</f>
        <v>7856.7700000000059</v>
      </c>
      <c r="F140" s="454">
        <f>PL!P55</f>
        <v>9464.1600000000035</v>
      </c>
      <c r="G140" s="454">
        <f ca="1">PL!Q55</f>
        <v>11112.888759006528</v>
      </c>
      <c r="H140" s="454">
        <f ca="1">PL!R55</f>
        <v>12554.662616528081</v>
      </c>
      <c r="I140" s="454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</row>
    <row r="143" spans="1:37">
      <c r="A143" s="1" t="s">
        <v>618</v>
      </c>
    </row>
    <row r="144" spans="1:37">
      <c r="A144" s="589" t="s">
        <v>462</v>
      </c>
      <c r="B144" s="455">
        <f t="shared" ref="B144:F144" si="30">B114</f>
        <v>2021</v>
      </c>
      <c r="C144" s="455">
        <f t="shared" si="30"/>
        <v>2022</v>
      </c>
      <c r="D144" s="455">
        <f t="shared" ref="D144" si="31">D114</f>
        <v>2023</v>
      </c>
      <c r="E144" s="455" t="str">
        <f t="shared" si="30"/>
        <v>2024F</v>
      </c>
      <c r="F144" s="455" t="str">
        <f t="shared" si="30"/>
        <v>2025F</v>
      </c>
      <c r="G144" s="455" t="str">
        <f t="shared" ref="G144:H144" si="32">G114</f>
        <v>2026F</v>
      </c>
      <c r="H144" s="455" t="str">
        <f t="shared" si="32"/>
        <v>2027F</v>
      </c>
      <c r="I144" s="455"/>
    </row>
    <row r="145" spans="1:37" ht="15" customHeight="1">
      <c r="A145" s="451" t="str">
        <f>CF!B7</f>
        <v>Net profit attributable to equity shareholders</v>
      </c>
      <c r="B145" s="454">
        <f>CF!G7</f>
        <v>4337.4118798020008</v>
      </c>
      <c r="C145" s="454">
        <f>CF!H7</f>
        <v>5310.1085914080013</v>
      </c>
      <c r="D145" s="454">
        <f>CF!I7</f>
        <v>6465.1904326219965</v>
      </c>
      <c r="E145" s="454">
        <f>CF!J7</f>
        <v>7856.7700000000059</v>
      </c>
      <c r="F145" s="454" t="e">
        <f>CF!#REF!</f>
        <v>#REF!</v>
      </c>
      <c r="G145" s="454">
        <f ca="1">CF!L7</f>
        <v>11112.888759006528</v>
      </c>
      <c r="H145" s="454">
        <f ca="1">CF!M7</f>
        <v>12554.662616528081</v>
      </c>
      <c r="I145" s="454"/>
    </row>
    <row r="146" spans="1:37" ht="13.5">
      <c r="A146" s="443" t="str">
        <f>CF!B8</f>
        <v xml:space="preserve"> + Depreciation</v>
      </c>
      <c r="B146" s="450">
        <f>CF!G8</f>
        <v>1643.9156853320001</v>
      </c>
      <c r="C146" s="450">
        <f>CF!H8</f>
        <v>1833.0644991280001</v>
      </c>
      <c r="D146" s="450">
        <f>CF!I8</f>
        <v>2286.514158688</v>
      </c>
      <c r="E146" s="450">
        <f>CF!J8</f>
        <v>2535.3000000000002</v>
      </c>
      <c r="F146" s="450" t="e">
        <f>CF!#REF!</f>
        <v>#REF!</v>
      </c>
      <c r="G146" s="450">
        <f ca="1">CF!L8</f>
        <v>2697.8567101337107</v>
      </c>
      <c r="H146" s="450">
        <f ca="1">CF!M8</f>
        <v>2700.7971225783858</v>
      </c>
      <c r="I146" s="450"/>
    </row>
    <row r="147" spans="1:37" ht="13.5">
      <c r="A147" s="443" t="str">
        <f>CF!B9</f>
        <v xml:space="preserve"> + Interest expenses after tax</v>
      </c>
      <c r="B147" s="450">
        <f>CF!G9</f>
        <v>408.54586947442851</v>
      </c>
      <c r="C147" s="450">
        <f>CF!H9</f>
        <v>547.04666811064044</v>
      </c>
      <c r="D147" s="450">
        <f>CF!I9</f>
        <v>704.62941463555865</v>
      </c>
      <c r="E147" s="450">
        <f>CF!J9</f>
        <v>469.80141836334633</v>
      </c>
      <c r="F147" s="450" t="e">
        <f>CF!#REF!</f>
        <v>#REF!</v>
      </c>
      <c r="G147" s="450">
        <f ca="1">CF!L9</f>
        <v>785.31357195069791</v>
      </c>
      <c r="H147" s="450">
        <f ca="1">CF!M9</f>
        <v>831.01079418953486</v>
      </c>
      <c r="I147" s="450"/>
    </row>
    <row r="148" spans="1:37" ht="13.5">
      <c r="A148" s="443" t="str">
        <f>CF!B10</f>
        <v>-  Bonus fund</v>
      </c>
      <c r="B148" s="450">
        <f>CF!G10</f>
        <v>-397.21499999999997</v>
      </c>
      <c r="C148" s="450">
        <f>CF!H10</f>
        <v>-461.50400000000002</v>
      </c>
      <c r="D148" s="450">
        <f>CF!I10</f>
        <v>-561.8926984364432</v>
      </c>
      <c r="E148" s="450">
        <f>CF!J10</f>
        <v>-682.83552391881938</v>
      </c>
      <c r="F148" s="450" t="e">
        <f>CF!#REF!</f>
        <v>#REF!</v>
      </c>
      <c r="G148" s="450">
        <f ca="1">CF!L10</f>
        <v>-654.03364258070803</v>
      </c>
      <c r="H148" s="450">
        <f ca="1">CF!M10</f>
        <v>-738.88724169985915</v>
      </c>
      <c r="I148" s="450"/>
    </row>
    <row r="149" spans="1:37" ht="13.5">
      <c r="A149" s="443"/>
      <c r="B149" s="450">
        <f>CF!G11</f>
        <v>0</v>
      </c>
      <c r="C149" s="450">
        <f>CF!H11</f>
        <v>0</v>
      </c>
      <c r="D149" s="450">
        <f>CF!I11</f>
        <v>0</v>
      </c>
      <c r="E149" s="450">
        <f>CF!J11</f>
        <v>0</v>
      </c>
      <c r="F149" s="450" t="e">
        <f>CF!#REF!</f>
        <v>#REF!</v>
      </c>
      <c r="G149" s="450">
        <f>CF!L11</f>
        <v>0</v>
      </c>
      <c r="H149" s="450">
        <f>CF!M11</f>
        <v>0</v>
      </c>
      <c r="I149" s="450"/>
    </row>
    <row r="150" spans="1:37" s="1" customFormat="1">
      <c r="A150" s="451" t="str">
        <f>CF!B12</f>
        <v>Cash flow before WC movement</v>
      </c>
      <c r="B150" s="454">
        <f>CF!G12</f>
        <v>5992.6584346084292</v>
      </c>
      <c r="C150" s="454">
        <f>CF!H12</f>
        <v>7228.7157586466428</v>
      </c>
      <c r="D150" s="454">
        <f>CF!I12</f>
        <v>8894.4413075091143</v>
      </c>
      <c r="E150" s="454">
        <f>CF!J12</f>
        <v>10179.035894444534</v>
      </c>
      <c r="F150" s="454" t="e">
        <f>CF!#REF!</f>
        <v>#REF!</v>
      </c>
      <c r="G150" s="454">
        <f ca="1">CF!L12</f>
        <v>13942.025398510228</v>
      </c>
      <c r="H150" s="454">
        <f ca="1">CF!M12</f>
        <v>15347.583291596144</v>
      </c>
      <c r="I150" s="454"/>
    </row>
    <row r="151" spans="1:37" s="459" customFormat="1">
      <c r="A151" s="451" t="str">
        <f>CF!B14</f>
        <v>WC movement</v>
      </c>
      <c r="B151" s="454">
        <f>CF!G14</f>
        <v>-9366.2682380240076</v>
      </c>
      <c r="C151" s="454">
        <f>CF!H14</f>
        <v>4417.0488086550067</v>
      </c>
      <c r="D151" s="454">
        <f>CF!I14</f>
        <v>-4292.8470121230057</v>
      </c>
      <c r="E151" s="454">
        <f>CF!J14</f>
        <v>-4986.0753878869937</v>
      </c>
      <c r="F151" s="454" t="e">
        <f>CF!#REF!</f>
        <v>#REF!</v>
      </c>
      <c r="G151" s="454">
        <f ca="1">CF!L14</f>
        <v>-1991.6908715854242</v>
      </c>
      <c r="H151" s="454">
        <f ca="1">CF!M14</f>
        <v>-4649.9630852378514</v>
      </c>
      <c r="I151" s="454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1:37" ht="13.5" hidden="1">
      <c r="A152" s="443" t="str">
        <f>CF!B15</f>
        <v>Inventory movement</v>
      </c>
      <c r="B152" s="450">
        <f>CF!G13</f>
        <v>0</v>
      </c>
      <c r="C152" s="450">
        <f>CF!H13</f>
        <v>0</v>
      </c>
      <c r="D152" s="450">
        <f>CF!I13</f>
        <v>0</v>
      </c>
      <c r="E152" s="450">
        <f>CF!J13</f>
        <v>0</v>
      </c>
      <c r="F152" s="450" t="e">
        <f>CF!#REF!</f>
        <v>#REF!</v>
      </c>
      <c r="G152" s="450">
        <f>CF!L13</f>
        <v>0</v>
      </c>
      <c r="H152" s="450">
        <f>CF!M13</f>
        <v>0</v>
      </c>
      <c r="I152" s="450"/>
    </row>
    <row r="153" spans="1:37" ht="13.5" hidden="1">
      <c r="A153" s="443" t="str">
        <f>CF!B16</f>
        <v>Account receivable movement</v>
      </c>
      <c r="B153" s="450">
        <f>CF!G14</f>
        <v>-9366.2682380240076</v>
      </c>
      <c r="C153" s="450">
        <f>CF!H14</f>
        <v>4417.0488086550067</v>
      </c>
      <c r="D153" s="450">
        <f>CF!I14</f>
        <v>-4292.8470121230057</v>
      </c>
      <c r="E153" s="450">
        <f>CF!J14</f>
        <v>-4986.0753878869937</v>
      </c>
      <c r="F153" s="450" t="e">
        <f>CF!#REF!</f>
        <v>#REF!</v>
      </c>
      <c r="G153" s="450">
        <f ca="1">CF!L14</f>
        <v>-1991.6908715854242</v>
      </c>
      <c r="H153" s="450">
        <f ca="1">CF!M14</f>
        <v>-4649.9630852378514</v>
      </c>
      <c r="I153" s="450"/>
    </row>
    <row r="154" spans="1:37" ht="13.5" hidden="1">
      <c r="A154" s="443" t="str">
        <f>CF!B17</f>
        <v>Account payable movement</v>
      </c>
      <c r="B154" s="450">
        <f>CF!G15</f>
        <v>-218.23182623899993</v>
      </c>
      <c r="C154" s="450">
        <f>CF!H15</f>
        <v>-497.80271100799996</v>
      </c>
      <c r="D154" s="450">
        <f>CF!I15</f>
        <v>396.1611148909999</v>
      </c>
      <c r="E154" s="450">
        <f>CF!J15</f>
        <v>-265.263075329</v>
      </c>
      <c r="F154" s="450" t="e">
        <f>CF!#REF!</f>
        <v>#REF!</v>
      </c>
      <c r="G154" s="450">
        <f ca="1">CF!L15</f>
        <v>510.25086556601491</v>
      </c>
      <c r="H154" s="450">
        <f ca="1">CF!M15</f>
        <v>-293.30962135465143</v>
      </c>
      <c r="I154" s="450"/>
    </row>
    <row r="155" spans="1:37" s="459" customFormat="1">
      <c r="A155" s="451" t="str">
        <f>CF!B20</f>
        <v>Capital Expenditure</v>
      </c>
      <c r="B155" s="454">
        <f>CF!G20</f>
        <v>-2266.5732898640017</v>
      </c>
      <c r="C155" s="454">
        <f>CF!H20</f>
        <v>-3043.9538832070011</v>
      </c>
      <c r="D155" s="454">
        <f>CF!I20</f>
        <v>-3535.3617280950002</v>
      </c>
      <c r="E155" s="454">
        <f>CF!J20</f>
        <v>-4471.6683882279995</v>
      </c>
      <c r="F155" s="454" t="e">
        <f>CF!#REF!</f>
        <v>#REF!</v>
      </c>
      <c r="G155" s="454">
        <f ca="1">CF!L20</f>
        <v>348.70791465059688</v>
      </c>
      <c r="H155" s="454">
        <f ca="1">CF!M20</f>
        <v>-1522.7647907482951</v>
      </c>
      <c r="I155" s="454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1:37" s="459" customFormat="1">
      <c r="A156" s="451" t="str">
        <f>CF!B23</f>
        <v>Free Cash Flow to Firm (FCFF)</v>
      </c>
      <c r="B156" s="454">
        <f>CF!G23</f>
        <v>-5640.1830932795801</v>
      </c>
      <c r="C156" s="454">
        <f>CF!H23</f>
        <v>8601.8106840946475</v>
      </c>
      <c r="D156" s="454">
        <f>CF!I23</f>
        <v>1066.2325672911084</v>
      </c>
      <c r="E156" s="454">
        <f>CF!J23</f>
        <v>721.29211832954115</v>
      </c>
      <c r="F156" s="454" t="e">
        <f>CF!#REF!</f>
        <v>#REF!</v>
      </c>
      <c r="G156" s="454">
        <f ca="1">CF!L23</f>
        <v>12299.042441575401</v>
      </c>
      <c r="H156" s="454">
        <f ca="1">CF!M23</f>
        <v>9174.8554156099981</v>
      </c>
      <c r="I156" s="454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9" spans="1:37">
      <c r="A159" s="856" t="s">
        <v>802</v>
      </c>
      <c r="B159" s="856">
        <v>43465</v>
      </c>
      <c r="C159" s="2623">
        <v>2019</v>
      </c>
      <c r="D159" s="2623">
        <v>2020</v>
      </c>
      <c r="E159" s="2623">
        <v>2021</v>
      </c>
      <c r="F159" s="2623">
        <v>2022</v>
      </c>
      <c r="G159" s="2623">
        <v>2023</v>
      </c>
      <c r="H159" s="2623">
        <v>2024</v>
      </c>
      <c r="I159" s="2623">
        <v>2025</v>
      </c>
      <c r="J159" s="2623">
        <v>2026</v>
      </c>
      <c r="K159" s="2623">
        <v>2027</v>
      </c>
      <c r="L159" s="2623">
        <v>2028</v>
      </c>
      <c r="R159" s="856">
        <v>45291</v>
      </c>
      <c r="S159" s="856">
        <v>45657</v>
      </c>
      <c r="T159" s="856">
        <v>46022</v>
      </c>
      <c r="U159" s="2623">
        <v>2025</v>
      </c>
    </row>
    <row r="160" spans="1:37" ht="13.5">
      <c r="A160" s="3085" t="s">
        <v>803</v>
      </c>
      <c r="B160" s="869">
        <f>PL!I9</f>
        <v>23213.536857725001</v>
      </c>
      <c r="C160" s="869">
        <f>PL!J9</f>
        <v>27716.960152274998</v>
      </c>
      <c r="D160" s="869">
        <f>PL!K9</f>
        <v>29830.400526824</v>
      </c>
      <c r="E160" s="869">
        <f>PL!L9</f>
        <v>35657.262545026999</v>
      </c>
      <c r="F160" s="869">
        <f>PL!M9</f>
        <v>44009.527680911</v>
      </c>
      <c r="G160" s="869">
        <f>PL!N9</f>
        <v>52617.900827384998</v>
      </c>
      <c r="H160" s="869">
        <f>PL!O9</f>
        <v>62848.79</v>
      </c>
      <c r="I160" s="869">
        <f>PL!P9</f>
        <v>70207.69</v>
      </c>
      <c r="J160" s="869">
        <f ca="1">PL!Q9</f>
        <v>57194.606680421704</v>
      </c>
      <c r="K160" s="869">
        <f ca="1">PL!R9</f>
        <v>65945.020200000014</v>
      </c>
      <c r="L160" s="869">
        <f ca="1">PL!S9</f>
        <v>76536.739860000016</v>
      </c>
      <c r="R160" s="869">
        <f>PL!N9</f>
        <v>52617.900827384998</v>
      </c>
      <c r="S160" s="869">
        <f>PL!V9</f>
        <v>55744.610000000008</v>
      </c>
      <c r="T160" s="869">
        <f ca="1">PL!W9</f>
        <v>66308.23</v>
      </c>
      <c r="U160" s="869">
        <f ca="1">PL!W9</f>
        <v>66308.23</v>
      </c>
    </row>
    <row r="161" spans="1:21" ht="13.5">
      <c r="A161" s="3085" t="s">
        <v>804</v>
      </c>
      <c r="B161" s="869">
        <f>PL!I24</f>
        <v>3121.7572969170019</v>
      </c>
      <c r="C161" s="869">
        <f>PL!J24</f>
        <v>4146.8372059629983</v>
      </c>
      <c r="D161" s="869">
        <f>PL!K24</f>
        <v>4604.7296785879989</v>
      </c>
      <c r="E161" s="869">
        <f>PL!L24</f>
        <v>5415.027516223</v>
      </c>
      <c r="F161" s="869">
        <f>PL!M24</f>
        <v>6794.5572958690018</v>
      </c>
      <c r="G161" s="869">
        <f>PL!N24</f>
        <v>8451.6278993629967</v>
      </c>
      <c r="H161" s="869">
        <f>PL!O24</f>
        <v>10508.340000000004</v>
      </c>
      <c r="I161" s="869">
        <f>PL!P24</f>
        <v>11078.640000000003</v>
      </c>
      <c r="J161" s="869">
        <f ca="1">PL!Q24</f>
        <v>9757.4739520375151</v>
      </c>
      <c r="K161" s="869">
        <f ca="1">PL!R24</f>
        <v>10802.174627014292</v>
      </c>
      <c r="L161" s="869">
        <f ca="1">PL!S24</f>
        <v>12260.356945786389</v>
      </c>
      <c r="R161" s="869">
        <f>PL!N24</f>
        <v>8451.6278993629967</v>
      </c>
      <c r="S161" s="869">
        <f>PL!V24</f>
        <v>6884.7028244333451</v>
      </c>
      <c r="T161" s="869">
        <f ca="1">PL!W24</f>
        <v>10266.834449999998</v>
      </c>
      <c r="U161" s="869">
        <f ca="1">PL!W24</f>
        <v>10266.834449999998</v>
      </c>
    </row>
    <row r="162" spans="1:21" ht="13.5">
      <c r="A162" s="870" t="s">
        <v>805</v>
      </c>
      <c r="B162" s="871">
        <f>PL!I26*100</f>
        <v>13.448003705984785</v>
      </c>
      <c r="C162" s="871">
        <f>PL!J26*100</f>
        <v>14.961370883316825</v>
      </c>
      <c r="D162" s="871">
        <f>PL!K26*100</f>
        <v>15.436365577617197</v>
      </c>
      <c r="E162" s="871">
        <f>PL!L26*100</f>
        <v>15.186324270925326</v>
      </c>
      <c r="F162" s="871">
        <f>PL!M26*100</f>
        <v>15.438832575374628</v>
      </c>
      <c r="G162" s="871">
        <f>PL!N26*100</f>
        <v>16.062267339567345</v>
      </c>
      <c r="H162" s="871">
        <f>PL!O26*100</f>
        <v>16.720035501081252</v>
      </c>
      <c r="I162" s="871">
        <f>PL!P26*100</f>
        <v>15.779809875527883</v>
      </c>
      <c r="J162" s="871">
        <f ca="1">PL!Q26*100</f>
        <v>17.060129474371571</v>
      </c>
      <c r="K162" s="871">
        <f ca="1">PL!R26*100</f>
        <v>16.380576720202885</v>
      </c>
      <c r="L162" s="871">
        <f ca="1">PL!S26*100</f>
        <v>16.018917147781405</v>
      </c>
      <c r="R162" s="871">
        <f>PL!N26*100</f>
        <v>16.062267339567345</v>
      </c>
      <c r="S162" s="871">
        <f>PL!V26*100</f>
        <v>12.35043679457681</v>
      </c>
      <c r="T162" s="871">
        <f ca="1">PL!W26*100</f>
        <v>15.483499484151514</v>
      </c>
      <c r="U162" s="871">
        <f ca="1">PL!W26*100</f>
        <v>15.483499484151514</v>
      </c>
    </row>
    <row r="163" spans="1:21" ht="13.5">
      <c r="A163" s="3085" t="s">
        <v>808</v>
      </c>
      <c r="B163" s="873">
        <f>PL!I55</f>
        <v>2620.1786319860016</v>
      </c>
      <c r="C163" s="873">
        <f>PL!J55</f>
        <v>3135.3503766539989</v>
      </c>
      <c r="D163" s="873">
        <f>PL!K55</f>
        <v>3538.0077388219988</v>
      </c>
      <c r="E163" s="873">
        <f>PL!L55</f>
        <v>4337.4118798020008</v>
      </c>
      <c r="F163" s="873">
        <f>PL!M55</f>
        <v>5310.1085914080013</v>
      </c>
      <c r="G163" s="873">
        <f>PL!N55</f>
        <v>6465.1904326219965</v>
      </c>
      <c r="H163" s="873">
        <f>PL!O55</f>
        <v>7856.7700000000059</v>
      </c>
      <c r="I163" s="873">
        <f>PL!P55</f>
        <v>9464.1600000000035</v>
      </c>
      <c r="J163" s="873">
        <f ca="1">PL!Q55</f>
        <v>11112.888759006528</v>
      </c>
      <c r="K163" s="873">
        <f ca="1">PL!R55</f>
        <v>12554.662616528081</v>
      </c>
      <c r="L163" s="873">
        <f ca="1">PL!S55</f>
        <v>14225.375740105508</v>
      </c>
      <c r="R163" s="871"/>
      <c r="S163" s="871"/>
      <c r="T163" s="871"/>
      <c r="U163" s="873">
        <f ca="1">PL!W55</f>
        <v>7824.7877198639235</v>
      </c>
    </row>
    <row r="164" spans="1:21" ht="13.5">
      <c r="A164" s="3085" t="s">
        <v>144</v>
      </c>
      <c r="B164" s="3087">
        <f>PL!I94</f>
        <v>3896.8323625592666</v>
      </c>
      <c r="C164" s="3087">
        <f>PL!J94</f>
        <v>4214.3727606448792</v>
      </c>
      <c r="D164" s="3087">
        <f>PL!K94</f>
        <v>4114.9824409595221</v>
      </c>
      <c r="E164" s="3087">
        <f>PL!L94</f>
        <v>4341.5676497790164</v>
      </c>
      <c r="F164" s="3087">
        <f>PL!M94</f>
        <v>4419.7695071036078</v>
      </c>
      <c r="G164" s="3087">
        <f>PL!N94</f>
        <v>4648.3798543374169</v>
      </c>
      <c r="H164" s="3087">
        <f>PL!O94</f>
        <v>4876.6811591306641</v>
      </c>
      <c r="I164" s="3087">
        <f>PL!P94</f>
        <v>5072.8437582077886</v>
      </c>
      <c r="J164" s="3087">
        <f ca="1">PL!Q94</f>
        <v>6139.6016415160148</v>
      </c>
      <c r="K164" s="3087">
        <f ca="1">PL!R94</f>
        <v>6936.1467464204525</v>
      </c>
      <c r="L164" s="3087">
        <f ca="1">PL!S94</f>
        <v>7859.1752458918472</v>
      </c>
      <c r="R164" s="877">
        <f>PL!N29</f>
        <v>10738.142058050997</v>
      </c>
      <c r="S164" s="877">
        <f>PL!V29</f>
        <v>9082.3781109344927</v>
      </c>
      <c r="T164" s="877">
        <f ca="1">PL!W29</f>
        <v>10266.834449999998</v>
      </c>
      <c r="U164" s="3087">
        <f ca="1">PL!W94</f>
        <v>4593.3401882526814</v>
      </c>
    </row>
    <row r="165" spans="1:21" ht="13.5">
      <c r="A165" s="3085" t="s">
        <v>225</v>
      </c>
      <c r="B165" s="3088">
        <f>Ratios!I37*100</f>
        <v>21.924245366524552</v>
      </c>
      <c r="C165" s="3088">
        <f>Ratios!J37*100</f>
        <v>23.719122010994901</v>
      </c>
      <c r="D165" s="3088">
        <f>Ratios!K37*100</f>
        <v>23.817128151997053</v>
      </c>
      <c r="E165" s="3088">
        <f>Ratios!L37*100</f>
        <v>25.751619453461959</v>
      </c>
      <c r="F165" s="3088">
        <f>Ratios!M37*100</f>
        <v>27.240118028433567</v>
      </c>
      <c r="G165" s="3088">
        <f>Ratios!N37*100</f>
        <v>28.096925950955953</v>
      </c>
      <c r="H165" s="3088">
        <f>Ratios!O37*100</f>
        <v>28.690899829777898</v>
      </c>
      <c r="I165" s="3088">
        <f>Ratios!P37*100</f>
        <v>28.557863769636249</v>
      </c>
      <c r="J165" s="3088">
        <f ca="1">Ratios!Q37*100</f>
        <v>27.981030290407823</v>
      </c>
      <c r="K165" s="3088">
        <f ca="1">Ratios!R37*100</f>
        <v>26.795793120746737</v>
      </c>
      <c r="L165" s="3088">
        <f ca="1">Ratios!S37*100</f>
        <v>25.652070150006278</v>
      </c>
      <c r="R165" s="874">
        <f>Ratios!N37*100</f>
        <v>28.096925950955953</v>
      </c>
      <c r="S165" s="874">
        <f>Ratios!O37*100</f>
        <v>28.690899829777898</v>
      </c>
      <c r="T165" s="874">
        <f>Ratios!P37*100</f>
        <v>28.557863769636249</v>
      </c>
      <c r="U165" s="3088">
        <f>Ratios!P37*100</f>
        <v>28.557863769636249</v>
      </c>
    </row>
    <row r="166" spans="1:21" ht="13.5">
      <c r="A166" s="875" t="s">
        <v>177</v>
      </c>
      <c r="B166" s="1050">
        <f ca="1">PL!$ET$6/PL!I117</f>
        <v>24.981301761195766</v>
      </c>
      <c r="C166" s="1050">
        <f ca="1">PL!$ET$6/PL!J117</f>
        <v>23.078517124244609</v>
      </c>
      <c r="D166" s="1050">
        <f ca="1">PL!$ET$6/PL!K117</f>
        <v>23.636596496256264</v>
      </c>
      <c r="E166" s="1050">
        <f ca="1">PL!$ET$6/PL!L117</f>
        <v>22.319027892722204</v>
      </c>
      <c r="F166" s="1050">
        <f ca="1">PL!$ET$6/PL!M117</f>
        <v>22.036790046983761</v>
      </c>
      <c r="G166" s="1050">
        <f ca="1">PL!$ET$6/PL!N117</f>
        <v>20.953006366986379</v>
      </c>
      <c r="H166" s="1050">
        <f ca="1">PL!$ET$6/PL!O117</f>
        <v>19.972093623907501</v>
      </c>
      <c r="I166" s="1050">
        <f ca="1">PL!$ET$6/PL!P117</f>
        <v>19.199789570990738</v>
      </c>
      <c r="J166" s="1050">
        <f ca="1">PL!$ET$6/PL!Q117</f>
        <v>16.351273229376979</v>
      </c>
      <c r="K166" s="1050">
        <f ca="1">PL!$ET$6/PL!R117</f>
        <v>14.473497696940788</v>
      </c>
      <c r="L166" s="1050">
        <f ca="1">PL!$ET$6/PL!S117</f>
        <v>12.773643648223249</v>
      </c>
      <c r="R166" s="876">
        <f ca="1">PL!$ET$6/PL!N117</f>
        <v>20.953006366986379</v>
      </c>
      <c r="S166" s="876">
        <f ca="1">PL!$ET$6/PL!V117</f>
        <v>22.627319138360207</v>
      </c>
      <c r="T166" s="876">
        <f ca="1">PL!$ET$6/PL!W117</f>
        <v>23.222339949862285</v>
      </c>
      <c r="U166" s="1050">
        <f ca="1">PL!$ET$6/PL!W117</f>
        <v>23.222339949862285</v>
      </c>
    </row>
    <row r="167" spans="1:21" ht="13.5">
      <c r="A167" s="875" t="s">
        <v>178</v>
      </c>
      <c r="B167" s="1050">
        <f ca="1">PL!$ET$6/PL!I122</f>
        <v>5.2477227858022983</v>
      </c>
      <c r="C167" s="1050">
        <f ca="1">PL!$ET$6/PL!J122</f>
        <v>5.1817663789234647</v>
      </c>
      <c r="D167" s="1050">
        <f ca="1">PL!$ET$6/PL!K122</f>
        <v>5.311109342015488</v>
      </c>
      <c r="E167" s="1050">
        <f ca="1">PL!$ET$6/PL!L122</f>
        <v>5.3958596735725344</v>
      </c>
      <c r="F167" s="1050">
        <f ca="1">PL!$ET$6/PL!M122</f>
        <v>5.5599707205171471</v>
      </c>
      <c r="G167" s="1050">
        <f ca="1">PL!$ET$6/PL!N122</f>
        <v>5.4242143094977608</v>
      </c>
      <c r="H167" s="1050">
        <f ca="1">PL!$ET$6/PL!O122</f>
        <v>5.2666640046796935</v>
      </c>
      <c r="I167" s="1050">
        <f ca="1">PL!$ET$6/PL!P122</f>
        <v>4.9802129094556378</v>
      </c>
      <c r="J167" s="1050">
        <f ca="1">PL!$ET$6/PL!Q122</f>
        <v>4.2312012297609529</v>
      </c>
      <c r="K167" s="1050">
        <f ca="1">PL!$ET$6/PL!R122</f>
        <v>3.5797144698178913</v>
      </c>
      <c r="L167" s="1050">
        <f ca="1">PL!$ET$6/PL!S122</f>
        <v>3.0209878624489424</v>
      </c>
      <c r="R167" s="876">
        <f ca="1">PL!$ET$6/PL!N122</f>
        <v>5.4242143094977608</v>
      </c>
      <c r="S167" s="876" t="e">
        <f ca="1">PL!$ET$6/PL!V122</f>
        <v>#REF!</v>
      </c>
      <c r="T167" s="876" t="e">
        <f ca="1">PL!$ET$6/PL!W122</f>
        <v>#DIV/0!</v>
      </c>
      <c r="U167" s="1050" t="e">
        <f ca="1">PL!$ET$6/PL!W122</f>
        <v>#DIV/0!</v>
      </c>
    </row>
    <row r="168" spans="1:21" ht="13.5">
      <c r="A168" s="872" t="s">
        <v>831</v>
      </c>
      <c r="B168" s="873">
        <f>BS!I79</f>
        <v>29757.067149568</v>
      </c>
      <c r="C168" s="873">
        <f>BS!J79</f>
        <v>33394.164263694001</v>
      </c>
      <c r="D168" s="873">
        <f>BS!K79</f>
        <v>41734.323235194002</v>
      </c>
      <c r="E168" s="873">
        <f>BS!L79</f>
        <v>53697.940895874999</v>
      </c>
      <c r="F168" s="873">
        <f>BS!M79</f>
        <v>51650.403735129999</v>
      </c>
      <c r="G168" s="873">
        <f>BS!N79</f>
        <v>60282.827532898998</v>
      </c>
      <c r="H168" s="873">
        <f>BS!O79</f>
        <v>71999.98</v>
      </c>
      <c r="I168" s="873">
        <f>BS!P79</f>
        <v>88089.621779862005</v>
      </c>
      <c r="J168" s="873">
        <f ca="1">BS!Q79</f>
        <v>92111.938812499153</v>
      </c>
      <c r="K168" s="873">
        <f ca="1">BS!R79</f>
        <v>102999.43274409369</v>
      </c>
      <c r="L168" s="873">
        <f ca="1">BS!S79</f>
        <v>115400.63201181812</v>
      </c>
      <c r="R168" s="873">
        <f>BS!N79</f>
        <v>60282.827532898998</v>
      </c>
      <c r="S168" s="873" t="e">
        <f>BS!W79</f>
        <v>#REF!</v>
      </c>
      <c r="T168" s="873">
        <f>BS!X79</f>
        <v>0</v>
      </c>
      <c r="U168" s="873">
        <f>BS!X79</f>
        <v>0</v>
      </c>
    </row>
    <row r="169" spans="1:21" ht="13.5">
      <c r="A169" s="1051" t="s">
        <v>832</v>
      </c>
      <c r="B169" s="1052">
        <f>BS!I76</f>
        <v>12473.119435913999</v>
      </c>
      <c r="C169" s="1052">
        <f>BS!J76</f>
        <v>13964.202950644998</v>
      </c>
      <c r="D169" s="1052">
        <f>BS!K76</f>
        <v>15745.573276304</v>
      </c>
      <c r="E169" s="1052">
        <f>BS!L76</f>
        <v>17940.944091199999</v>
      </c>
      <c r="F169" s="1052">
        <f>BS!M76</f>
        <v>21046.468414613999</v>
      </c>
      <c r="G169" s="1052">
        <f>BS!N76</f>
        <v>24974.156360545996</v>
      </c>
      <c r="H169" s="1052">
        <f>BS!O76</f>
        <v>29794.22</v>
      </c>
      <c r="I169" s="1052">
        <f>BS!P76</f>
        <v>36486.367906316998</v>
      </c>
      <c r="J169" s="1052">
        <f ca="1">BS!Q76</f>
        <v>42945.223022742815</v>
      </c>
      <c r="K169" s="1052">
        <f ca="1">BS!R76</f>
        <v>50760.998397571035</v>
      </c>
      <c r="L169" s="1052">
        <f ca="1">BS!S76</f>
        <v>60149.159394134724</v>
      </c>
      <c r="R169" s="1052">
        <f>BS!N76</f>
        <v>24974.156360545996</v>
      </c>
      <c r="S169" s="1052" t="e">
        <f>BS!W76</f>
        <v>#REF!</v>
      </c>
      <c r="T169" s="1052">
        <f>BS!X76</f>
        <v>0</v>
      </c>
      <c r="U169" s="1052">
        <f>BS!X76</f>
        <v>0</v>
      </c>
    </row>
    <row r="170" spans="1:21" ht="13.5">
      <c r="A170" s="3089" t="s">
        <v>237</v>
      </c>
      <c r="B170" s="3090">
        <f>PL!I120/PL!$ET$14*100</f>
        <v>1.9900497512437811</v>
      </c>
      <c r="C170" s="3090">
        <f>PL!J120/PL!$ET$14*100</f>
        <v>1.9900497512437811</v>
      </c>
      <c r="D170" s="3090">
        <f>PL!K120/PL!$ET$14*100</f>
        <v>1.9900497512437811</v>
      </c>
      <c r="E170" s="3090">
        <f>PL!L120/PL!$ET$14*100</f>
        <v>1.9900497512437811</v>
      </c>
      <c r="F170" s="3090">
        <f>PL!M120/PL!$ET$14*100</f>
        <v>1.9900497512437811</v>
      </c>
      <c r="G170" s="3090">
        <f>PL!N120/PL!$ET$14*100</f>
        <v>1.9900497512437811</v>
      </c>
      <c r="H170" s="3090">
        <f>PL!O120/PL!$ET$14*100</f>
        <v>1.9900497512437811</v>
      </c>
      <c r="I170" s="3090">
        <f>PL!P120/PL!$ET$14*100</f>
        <v>1.9900497512437811</v>
      </c>
      <c r="J170" s="3090">
        <f>PL!Q120/PL!$ET$14*100</f>
        <v>1.9900497512437811</v>
      </c>
      <c r="K170" s="3090">
        <f>PL!R120/PL!$ET$14*100</f>
        <v>1.9900497512437811</v>
      </c>
      <c r="L170" s="3090">
        <f>PL!S120/PL!$ET$14*100</f>
        <v>1.9900497512437811</v>
      </c>
      <c r="R170" s="1050">
        <f>PL!N120/PL!$ET$14*100</f>
        <v>1.9900497512437811</v>
      </c>
      <c r="S170" s="1050">
        <f>PL!V120/PL!$ET$14*100</f>
        <v>1.8192614139098586</v>
      </c>
      <c r="T170" s="1050">
        <f ca="1">PL!W120/PL!$ET$14*100</f>
        <v>2.0209272219697807</v>
      </c>
      <c r="U170" s="3090">
        <f ca="1">PL!W120/PL!$ET$14*100</f>
        <v>2.0209272219697807</v>
      </c>
    </row>
    <row r="171" spans="1:21">
      <c r="H171" s="268"/>
      <c r="I171" s="268"/>
    </row>
    <row r="172" spans="1:21" ht="13.5">
      <c r="A172" s="870" t="s">
        <v>810</v>
      </c>
      <c r="B172" s="1350"/>
      <c r="C172" s="1351">
        <f t="shared" ref="C172:L172" si="33">C160/B160-1</f>
        <v>0.19399987697485854</v>
      </c>
      <c r="D172" s="1351">
        <f t="shared" si="33"/>
        <v>7.6250799616477183E-2</v>
      </c>
      <c r="E172" s="1351">
        <f t="shared" si="33"/>
        <v>0.19533301314420459</v>
      </c>
      <c r="F172" s="1351">
        <f t="shared" si="33"/>
        <v>0.23423741868397752</v>
      </c>
      <c r="G172" s="1351">
        <f t="shared" si="33"/>
        <v>0.19560248882670583</v>
      </c>
      <c r="H172" s="1351">
        <f t="shared" si="33"/>
        <v>0.19443742550995746</v>
      </c>
      <c r="I172" s="1351">
        <f t="shared" si="33"/>
        <v>0.11708896861817064</v>
      </c>
      <c r="J172" s="1351">
        <f t="shared" ca="1" si="33"/>
        <v>-0.18535125311170753</v>
      </c>
      <c r="K172" s="1351">
        <f t="shared" ca="1" si="33"/>
        <v>0.15299368292663984</v>
      </c>
      <c r="L172" s="1351">
        <f t="shared" ca="1" si="33"/>
        <v>0.16061439708225311</v>
      </c>
      <c r="R172" s="1351">
        <f>R160/F160-1</f>
        <v>0.19560248882670583</v>
      </c>
      <c r="S172" s="1351">
        <f>S160/R160-1</f>
        <v>5.9422917361760641E-2</v>
      </c>
      <c r="T172" s="1351">
        <f ca="1">T160/S160-1</f>
        <v>0.18950029428854176</v>
      </c>
      <c r="U172" s="1351">
        <f ca="1">U160/H160-1</f>
        <v>5.5043860032945702E-2</v>
      </c>
    </row>
    <row r="173" spans="1:21" ht="13.5">
      <c r="A173" s="872" t="s">
        <v>811</v>
      </c>
      <c r="B173" s="3086">
        <f>PL!I29</f>
        <v>4286.4492999910017</v>
      </c>
      <c r="C173" s="3086">
        <f>PL!J29</f>
        <v>5501.4506648439983</v>
      </c>
      <c r="D173" s="3086">
        <f>PL!K29</f>
        <v>6095.3371554799987</v>
      </c>
      <c r="E173" s="3086">
        <f>PL!L29</f>
        <v>7058.9432015550001</v>
      </c>
      <c r="F173" s="3086">
        <f>PL!M29</f>
        <v>8627.6217949970014</v>
      </c>
      <c r="G173" s="3086">
        <f>PL!N29</f>
        <v>10738.142058050997</v>
      </c>
      <c r="H173" s="3086">
        <f>PL!O29</f>
        <v>13043.640000000003</v>
      </c>
      <c r="I173" s="3086">
        <f>PL!P29</f>
        <v>13978.160000000003</v>
      </c>
      <c r="J173" s="3086">
        <f ca="1">PL!Q29</f>
        <v>12455.330662171225</v>
      </c>
      <c r="K173" s="3086">
        <f ca="1">PL!R29</f>
        <v>13502.971749592678</v>
      </c>
      <c r="L173" s="3086">
        <f ca="1">PL!S29</f>
        <v>14995.330980579267</v>
      </c>
      <c r="U173" s="3086">
        <f ca="1">PL!W29</f>
        <v>10266.834449999998</v>
      </c>
    </row>
    <row r="184" spans="1:13">
      <c r="H184" s="3097">
        <f>H189-41320</f>
        <v>45780</v>
      </c>
      <c r="I184" s="1452">
        <f>J189+I189</f>
        <v>38810</v>
      </c>
    </row>
    <row r="188" spans="1:13" ht="13.5">
      <c r="A188" s="3092" t="s">
        <v>1978</v>
      </c>
      <c r="B188" s="3093">
        <v>2022</v>
      </c>
      <c r="C188" s="3093">
        <v>2023</v>
      </c>
      <c r="D188" s="3094">
        <v>2020</v>
      </c>
      <c r="E188" s="3094">
        <v>2021</v>
      </c>
      <c r="F188" s="3094">
        <v>2022</v>
      </c>
      <c r="G188" s="3094">
        <v>2023</v>
      </c>
      <c r="H188" s="3094">
        <v>2024</v>
      </c>
      <c r="I188" s="3094" t="s">
        <v>1793</v>
      </c>
      <c r="J188" s="3094" t="s">
        <v>1794</v>
      </c>
      <c r="K188" s="3094">
        <v>2027</v>
      </c>
      <c r="L188" s="3094">
        <v>2028</v>
      </c>
      <c r="M188" s="3091"/>
    </row>
    <row r="189" spans="1:13" ht="13.5">
      <c r="A189" s="3095" t="s">
        <v>1977</v>
      </c>
      <c r="B189" s="3096">
        <v>44010</v>
      </c>
      <c r="C189" s="3096">
        <v>52618</v>
      </c>
      <c r="D189" s="3097">
        <v>47640</v>
      </c>
      <c r="E189" s="3097">
        <v>53900</v>
      </c>
      <c r="F189" s="3097">
        <v>64910</v>
      </c>
      <c r="G189" s="3097">
        <v>73420</v>
      </c>
      <c r="H189" s="3097">
        <v>87100</v>
      </c>
      <c r="I189" s="3097">
        <v>19020</v>
      </c>
      <c r="J189" s="3097">
        <v>19790</v>
      </c>
      <c r="K189" s="3098"/>
      <c r="L189" s="3098"/>
      <c r="M189" s="3091"/>
    </row>
    <row r="190" spans="1:13" ht="13.5">
      <c r="A190" s="3095" t="s">
        <v>1979</v>
      </c>
      <c r="B190" s="3096"/>
      <c r="C190" s="3096"/>
      <c r="D190" s="3097"/>
      <c r="E190" s="3097"/>
      <c r="F190" s="3097"/>
      <c r="G190" s="3097"/>
      <c r="J190" s="3210"/>
      <c r="K190" s="3098"/>
      <c r="L190" s="3098"/>
      <c r="M190" s="3091"/>
    </row>
    <row r="191" spans="1:13" ht="13.5">
      <c r="A191" s="3099" t="s">
        <v>1195</v>
      </c>
      <c r="B191" s="3096">
        <v>6795</v>
      </c>
      <c r="C191" s="3096">
        <v>8452</v>
      </c>
      <c r="D191" s="3100">
        <v>-2.1600000000000001E-2</v>
      </c>
      <c r="E191" s="3100">
        <f t="shared" ref="E191" si="34">E189/D189-1</f>
        <v>0.13140218303946272</v>
      </c>
      <c r="F191" s="3100">
        <v>0.20419999999999999</v>
      </c>
      <c r="G191" s="3100">
        <f>G189/F189-1</f>
        <v>0.13110460637806187</v>
      </c>
      <c r="H191" s="3100">
        <v>0.18759999999999999</v>
      </c>
      <c r="I191" s="3211">
        <v>0.15</v>
      </c>
      <c r="J191" s="3098">
        <v>3.8600000000000002E-2</v>
      </c>
      <c r="K191" s="3098"/>
      <c r="L191" s="3098"/>
      <c r="M191" s="3091"/>
    </row>
    <row r="192" spans="1:13" ht="13.5">
      <c r="A192" s="854" t="s">
        <v>1980</v>
      </c>
      <c r="B192" s="3084">
        <v>15.4</v>
      </c>
      <c r="C192" s="3084">
        <v>16.100000000000001</v>
      </c>
      <c r="D192" s="3091"/>
      <c r="E192" s="3091"/>
      <c r="F192" s="3091"/>
      <c r="G192" s="3091"/>
      <c r="H192" s="3091"/>
      <c r="I192" s="3091"/>
      <c r="J192" s="3091"/>
      <c r="K192" s="3091"/>
      <c r="L192" s="3091"/>
      <c r="M192" s="3091"/>
    </row>
    <row r="193" spans="1:13" ht="13.5">
      <c r="A193" s="854"/>
      <c r="B193" s="3083">
        <v>4420</v>
      </c>
      <c r="C193" s="3083">
        <v>4648</v>
      </c>
      <c r="D193" s="3091"/>
      <c r="E193" s="3091"/>
      <c r="F193" s="3091"/>
      <c r="G193" s="3091"/>
      <c r="H193" s="3091"/>
      <c r="I193" s="3091"/>
      <c r="J193" s="3091"/>
      <c r="K193" s="3091"/>
      <c r="L193" s="3091"/>
      <c r="M193" s="3091"/>
    </row>
    <row r="194" spans="1:13" ht="13.5">
      <c r="A194" s="854"/>
      <c r="B194" s="3084">
        <v>27.2</v>
      </c>
      <c r="C194" s="3084">
        <v>28.1</v>
      </c>
      <c r="D194" s="3091"/>
      <c r="E194" s="3091"/>
      <c r="F194" s="3091"/>
      <c r="G194" s="3091"/>
      <c r="H194" s="3091"/>
      <c r="I194" s="3091"/>
      <c r="J194" s="3091"/>
      <c r="K194" s="3091"/>
      <c r="L194" s="3091"/>
      <c r="M194" s="3091"/>
    </row>
    <row r="195" spans="1:13" ht="13.5">
      <c r="A195" s="854"/>
      <c r="B195" s="3084">
        <v>22.9</v>
      </c>
      <c r="C195" s="3084">
        <v>21.8</v>
      </c>
      <c r="D195" s="3091"/>
      <c r="E195" s="3091"/>
      <c r="F195" s="3091"/>
      <c r="G195" s="3091"/>
      <c r="H195" s="3091"/>
      <c r="I195" s="3091"/>
      <c r="J195" s="3091"/>
      <c r="K195" s="3091"/>
      <c r="L195" s="3091"/>
      <c r="M195" s="3091"/>
    </row>
    <row r="196" spans="1:13" ht="13.5">
      <c r="A196" s="854"/>
      <c r="B196" s="3084">
        <v>5.8</v>
      </c>
      <c r="C196" s="3084">
        <v>5.6</v>
      </c>
      <c r="D196" s="3091"/>
      <c r="E196" s="3091"/>
      <c r="F196" s="3091"/>
      <c r="G196" s="3091"/>
      <c r="H196" s="3091"/>
      <c r="I196" s="3091"/>
      <c r="J196" s="3091"/>
      <c r="K196" s="3091"/>
      <c r="L196" s="3091"/>
      <c r="M196" s="3091"/>
    </row>
    <row r="197" spans="1:13" ht="13.5">
      <c r="A197" s="854"/>
      <c r="B197" s="3083">
        <v>51650</v>
      </c>
      <c r="C197" s="3083">
        <v>60283</v>
      </c>
      <c r="D197" s="3091"/>
      <c r="E197" s="3091"/>
      <c r="F197" s="3091"/>
      <c r="G197" s="3091"/>
      <c r="H197" s="3091"/>
      <c r="I197" s="3091"/>
      <c r="J197" s="3091"/>
      <c r="K197" s="3091"/>
      <c r="L197" s="3091"/>
      <c r="M197" s="3091"/>
    </row>
    <row r="198" spans="1:13" ht="13.5">
      <c r="A198" s="854"/>
      <c r="B198" s="3083">
        <v>21046</v>
      </c>
      <c r="C198" s="3083">
        <v>24974</v>
      </c>
      <c r="D198" s="3091"/>
      <c r="E198" s="3091"/>
      <c r="F198" s="3091"/>
      <c r="G198" s="3091"/>
      <c r="H198" s="3091"/>
      <c r="I198" s="3091"/>
      <c r="J198" s="3091"/>
      <c r="K198" s="3091"/>
      <c r="L198" s="3091"/>
      <c r="M198" s="3091"/>
    </row>
    <row r="213" spans="1:6">
      <c r="A213" t="s">
        <v>1992</v>
      </c>
    </row>
    <row r="214" spans="1:6">
      <c r="D214" t="s">
        <v>1993</v>
      </c>
    </row>
    <row r="215" spans="1:6">
      <c r="D215" t="s">
        <v>1994</v>
      </c>
    </row>
    <row r="216" spans="1:6">
      <c r="A216" t="s">
        <v>1987</v>
      </c>
      <c r="D216" s="9">
        <v>6393241</v>
      </c>
      <c r="F216" t="s">
        <v>1986</v>
      </c>
    </row>
    <row r="217" spans="1:6">
      <c r="A217" t="s">
        <v>887</v>
      </c>
      <c r="D217" s="9">
        <v>6935600</v>
      </c>
    </row>
    <row r="218" spans="1:6">
      <c r="A218" t="s">
        <v>1988</v>
      </c>
      <c r="D218" s="9">
        <v>7110438</v>
      </c>
    </row>
    <row r="219" spans="1:6">
      <c r="A219" t="s">
        <v>1989</v>
      </c>
      <c r="D219" s="9">
        <v>7668994</v>
      </c>
    </row>
    <row r="220" spans="1:6">
      <c r="A220" t="s">
        <v>1990</v>
      </c>
      <c r="D220" s="9">
        <v>8784484</v>
      </c>
    </row>
    <row r="221" spans="1:6">
      <c r="A221" t="s">
        <v>1991</v>
      </c>
      <c r="D221" s="9">
        <v>9024147</v>
      </c>
    </row>
  </sheetData>
  <phoneticPr fontId="24" type="noConversion"/>
  <pageMargins left="0.7" right="0.7" top="0.75" bottom="0.75" header="0.3" footer="0.3"/>
  <pageSetup orientation="portrait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61FAD-E6F2-461A-ABF7-2491B6ACCDE0}">
  <sheetPr>
    <tabColor rgb="FFED7D31"/>
    <pageSetUpPr fitToPage="1"/>
  </sheetPr>
  <dimension ref="A1:S67"/>
  <sheetViews>
    <sheetView showGridLines="0" zoomScale="85" zoomScaleNormal="85" workbookViewId="0">
      <pane xSplit="1" ySplit="1" topLeftCell="B2" activePane="bottomRight" state="frozen"/>
      <selection activeCell="Q52" sqref="Q52"/>
      <selection pane="topRight"/>
      <selection pane="bottomLeft"/>
      <selection pane="bottomRight" activeCell="B2" sqref="B2"/>
    </sheetView>
  </sheetViews>
  <sheetFormatPr defaultColWidth="14.42578125" defaultRowHeight="12.75" outlineLevelCol="1"/>
  <cols>
    <col min="1" max="1" width="3.140625" style="6" customWidth="1"/>
    <col min="2" max="2" width="64.85546875" style="6" customWidth="1"/>
    <col min="3" max="7" width="11.7109375" style="6" hidden="1" customWidth="1" outlineLevel="1"/>
    <col min="8" max="8" width="14.42578125" style="6" hidden="1" customWidth="1" outlineLevel="1"/>
    <col min="9" max="9" width="14.42578125" style="6" collapsed="1"/>
    <col min="10" max="14" width="14.42578125" style="6"/>
    <col min="15" max="15" width="16.140625" style="6" bestFit="1" customWidth="1"/>
    <col min="16" max="16384" width="14.42578125" style="6"/>
  </cols>
  <sheetData>
    <row r="1" spans="1:19">
      <c r="A1" s="1"/>
    </row>
    <row r="2" spans="1:19">
      <c r="A2" s="1"/>
    </row>
    <row r="3" spans="1:19" ht="12.75" customHeight="1">
      <c r="B3" s="959" t="s">
        <v>70</v>
      </c>
      <c r="C3" s="922"/>
      <c r="D3" s="291"/>
      <c r="E3" s="291"/>
      <c r="F3" s="291"/>
      <c r="G3" s="291"/>
      <c r="H3" s="923"/>
      <c r="I3" s="1562"/>
      <c r="J3" s="1563"/>
      <c r="K3" s="1563"/>
      <c r="L3" s="1563"/>
      <c r="M3" s="1563"/>
      <c r="N3" s="1563" t="s">
        <v>200</v>
      </c>
      <c r="O3" s="1564"/>
      <c r="P3" s="1564"/>
      <c r="Q3" s="1564"/>
      <c r="R3" s="1565"/>
      <c r="S3" s="1565"/>
    </row>
    <row r="4" spans="1:19">
      <c r="B4" s="1558"/>
      <c r="C4" s="1552">
        <v>2012</v>
      </c>
      <c r="D4" s="1553">
        <v>2013</v>
      </c>
      <c r="E4" s="1553">
        <v>2014</v>
      </c>
      <c r="F4" s="1553">
        <v>2015</v>
      </c>
      <c r="G4" s="1553">
        <v>2016</v>
      </c>
      <c r="H4" s="1559">
        <v>2017</v>
      </c>
      <c r="I4" s="1560">
        <f t="shared" ref="I4:S4" si="0">H4+1</f>
        <v>2018</v>
      </c>
      <c r="J4" s="1561">
        <f t="shared" si="0"/>
        <v>2019</v>
      </c>
      <c r="K4" s="1561">
        <f t="shared" si="0"/>
        <v>2020</v>
      </c>
      <c r="L4" s="1561">
        <f t="shared" si="0"/>
        <v>2021</v>
      </c>
      <c r="M4" s="1561">
        <f t="shared" si="0"/>
        <v>2022</v>
      </c>
      <c r="N4" s="1561">
        <f t="shared" si="0"/>
        <v>2023</v>
      </c>
      <c r="O4" s="1566">
        <f>2024</f>
        <v>2024</v>
      </c>
      <c r="P4" s="1566">
        <f t="shared" si="0"/>
        <v>2025</v>
      </c>
      <c r="Q4" s="1566">
        <f t="shared" si="0"/>
        <v>2026</v>
      </c>
      <c r="R4" s="1567">
        <f t="shared" si="0"/>
        <v>2027</v>
      </c>
      <c r="S4" s="1567">
        <f t="shared" si="0"/>
        <v>2028</v>
      </c>
    </row>
    <row r="5" spans="1:19">
      <c r="B5" s="962"/>
      <c r="C5" s="962"/>
      <c r="D5" s="969"/>
      <c r="E5" s="969"/>
      <c r="F5" s="969"/>
      <c r="G5" s="969"/>
      <c r="H5" s="970"/>
      <c r="I5" s="924"/>
      <c r="J5" s="702"/>
      <c r="K5" s="702"/>
      <c r="L5" s="702"/>
      <c r="M5" s="587"/>
      <c r="N5" s="587"/>
      <c r="O5" s="391"/>
      <c r="P5" s="391"/>
      <c r="Q5" s="391"/>
      <c r="R5" s="391"/>
      <c r="S5" s="391"/>
    </row>
    <row r="6" spans="1:19">
      <c r="B6" s="963" t="s">
        <v>71</v>
      </c>
      <c r="C6" s="963"/>
      <c r="D6" s="699"/>
      <c r="E6" s="699"/>
      <c r="F6" s="699"/>
      <c r="G6" s="699"/>
      <c r="H6" s="293"/>
      <c r="I6" s="925"/>
      <c r="J6" s="292"/>
      <c r="K6" s="292"/>
      <c r="L6" s="292"/>
      <c r="M6" s="293"/>
      <c r="N6" s="293"/>
      <c r="O6" s="435"/>
      <c r="P6" s="435"/>
      <c r="Q6" s="435"/>
      <c r="R6" s="435"/>
      <c r="S6" s="435"/>
    </row>
    <row r="7" spans="1:19">
      <c r="B7" s="964"/>
      <c r="C7" s="964"/>
      <c r="D7" s="700"/>
      <c r="E7" s="700"/>
      <c r="F7" s="700"/>
      <c r="G7" s="700"/>
      <c r="H7" s="241"/>
      <c r="I7" s="240"/>
      <c r="J7" s="239"/>
      <c r="K7" s="239"/>
      <c r="L7" s="239"/>
      <c r="M7" s="241"/>
      <c r="N7" s="241"/>
      <c r="O7" s="391"/>
      <c r="P7" s="391"/>
      <c r="Q7" s="391"/>
      <c r="R7" s="391"/>
      <c r="S7" s="391"/>
    </row>
    <row r="8" spans="1:19">
      <c r="B8" s="235" t="s">
        <v>293</v>
      </c>
      <c r="C8" s="926">
        <f>BS!C14/BS!C51</f>
        <v>1.5000309141078427</v>
      </c>
      <c r="D8" s="294">
        <f>BS!D14/BS!D51</f>
        <v>1.4233778119641842</v>
      </c>
      <c r="E8" s="294">
        <f>BS!E14/BS!E51</f>
        <v>1.288297118438378</v>
      </c>
      <c r="F8" s="294">
        <f>BS!F14/BS!F51</f>
        <v>1.2666738149450483</v>
      </c>
      <c r="G8" s="294">
        <f>BS!G14/BS!G51</f>
        <v>1.2569762333615537</v>
      </c>
      <c r="H8" s="295">
        <f>BS!H14/BS!H51</f>
        <v>1.4467963111628519</v>
      </c>
      <c r="I8" s="926">
        <f>BS!I14/BS!I51</f>
        <v>1.2736762982955805</v>
      </c>
      <c r="J8" s="294">
        <f>BS!J14/BS!J51</f>
        <v>1.1786655897941385</v>
      </c>
      <c r="K8" s="294">
        <f>BS!K14/BS!K51</f>
        <v>1.1297232327412472</v>
      </c>
      <c r="L8" s="294">
        <f>BS!L14/BS!L51</f>
        <v>1.1800089976240276</v>
      </c>
      <c r="M8" s="295">
        <f>BS!M14/BS!M51</f>
        <v>1.2616739557217973</v>
      </c>
      <c r="N8" s="295">
        <f>BS!N14/BS!N51</f>
        <v>1.2378981470395827</v>
      </c>
      <c r="O8" s="295">
        <f>BS!O14/BS!O51</f>
        <v>1.3071450428835769</v>
      </c>
      <c r="P8" s="295">
        <f>BS!P14/BS!P51</f>
        <v>1.3982930530785018</v>
      </c>
      <c r="Q8" s="295">
        <f ca="1">BS!Q14/BS!Q51</f>
        <v>1.5544742180727653</v>
      </c>
      <c r="R8" s="295">
        <f ca="1">BS!R14/BS!R51</f>
        <v>1.5600653810353231</v>
      </c>
      <c r="S8" s="295">
        <f ca="1">BS!S14/BS!S51</f>
        <v>1.5700231816155621</v>
      </c>
    </row>
    <row r="9" spans="1:19">
      <c r="B9" s="235" t="s">
        <v>116</v>
      </c>
      <c r="C9" s="926">
        <f>(BS!C14-BS!C11)/BS!C51</f>
        <v>1.1025972704956659</v>
      </c>
      <c r="D9" s="294">
        <f>(BS!D14-BS!D11)/BS!D51</f>
        <v>1.0535573575187289</v>
      </c>
      <c r="E9" s="294">
        <f>(BS!E14-BS!E11)/BS!E51</f>
        <v>0.92959634765026578</v>
      </c>
      <c r="F9" s="294">
        <f>(BS!F14-BS!F11)/BS!F51</f>
        <v>0.91043447624583063</v>
      </c>
      <c r="G9" s="294">
        <f>(BS!G14-BS!G11)/BS!G51</f>
        <v>0.9920811475517064</v>
      </c>
      <c r="H9" s="295">
        <f>(BS!H14-BS!H11)/BS!H51</f>
        <v>1.3545429643862328</v>
      </c>
      <c r="I9" s="926">
        <f>(BS!I14-BS!I11)/BS!I51</f>
        <v>1.1767080523568723</v>
      </c>
      <c r="J9" s="294">
        <f>(BS!J14-BS!J11)/BS!J51</f>
        <v>1.0948289630670789</v>
      </c>
      <c r="K9" s="294">
        <f>(BS!K14-BS!K11)/BS!K51</f>
        <v>1.0668973132330091</v>
      </c>
      <c r="L9" s="294">
        <f>(BS!L14-BS!L11)/BS!L51</f>
        <v>1.1254641387524884</v>
      </c>
      <c r="M9" s="295">
        <f>(BS!M14-BS!M11)/BS!M51</f>
        <v>1.1751724242755717</v>
      </c>
      <c r="N9" s="295">
        <f>(BS!N14-BS!N11)/BS!N51</f>
        <v>1.1797241312829325</v>
      </c>
      <c r="O9" s="295">
        <f>(BS!O14-BS!O11)/BS!O51</f>
        <v>1.2500142093650912</v>
      </c>
      <c r="P9" s="295">
        <f>(BS!P14-BS!P11)/BS!P51</f>
        <v>1.3441255048544412</v>
      </c>
      <c r="Q9" s="295">
        <f ca="1">(BS!Q14-BS!Q11)/BS!Q51</f>
        <v>1.5097849465656514</v>
      </c>
      <c r="R9" s="295">
        <f ca="1">(BS!R14-BS!R11)/BS!R51</f>
        <v>1.5114204096495989</v>
      </c>
      <c r="S9" s="295">
        <f ca="1">(BS!S14-BS!S11)/BS!S51</f>
        <v>1.5167909865819051</v>
      </c>
    </row>
    <row r="10" spans="1:19">
      <c r="B10" s="235" t="s">
        <v>117</v>
      </c>
      <c r="C10" s="926">
        <f>(BS!C6+BS!C7)/BS!C51</f>
        <v>0.43940753136619143</v>
      </c>
      <c r="D10" s="294">
        <f>(BS!D6+BS!D7)/BS!D51</f>
        <v>0.46355127056360218</v>
      </c>
      <c r="E10" s="294">
        <f>(BS!E6+BS!E7)/BS!E51</f>
        <v>0.44447039538995625</v>
      </c>
      <c r="F10" s="294">
        <f>(BS!F6+BS!F7)/BS!F51</f>
        <v>0.41437304553507515</v>
      </c>
      <c r="G10" s="294">
        <f>(BS!G6+BS!G7)/BS!G51</f>
        <v>0.54421319872687457</v>
      </c>
      <c r="H10" s="295">
        <f>(BS!H6+BS!H7)/BS!H51</f>
        <v>0.70809564133890157</v>
      </c>
      <c r="I10" s="926">
        <f>(BS!I6+BS!I7)/BS!I51</f>
        <v>0.65699622103830257</v>
      </c>
      <c r="J10" s="294">
        <f>(BS!J6+BS!J7)/BS!J51</f>
        <v>0.6311144357878623</v>
      </c>
      <c r="K10" s="294">
        <f>(BS!K6+BS!K7)/BS!K51</f>
        <v>0.76558601063890119</v>
      </c>
      <c r="L10" s="294">
        <f>(BS!L6+BS!L7)/BS!L51</f>
        <v>0.87861539815491607</v>
      </c>
      <c r="M10" s="295">
        <f>(BS!M6+BS!M7)/BS!M51</f>
        <v>0.79471811114439728</v>
      </c>
      <c r="N10" s="295">
        <f>(BS!N6+BS!N7)/BS!N51</f>
        <v>0.82232667221949662</v>
      </c>
      <c r="O10" s="295">
        <f>(BS!O6+BS!O7)/BS!O51</f>
        <v>0.89276866751750628</v>
      </c>
      <c r="P10" s="295">
        <f>(BS!P6+BS!P7)/BS!P51</f>
        <v>0.96631713810693332</v>
      </c>
      <c r="Q10" s="295">
        <f ca="1">(BS!Q6+BS!Q7)/BS!Q51</f>
        <v>1.2175975438718396</v>
      </c>
      <c r="R10" s="295">
        <f ca="1">(BS!R6+BS!R7)/BS!R51</f>
        <v>1.195143415526978</v>
      </c>
      <c r="S10" s="295">
        <f ca="1">(BS!S6+BS!S7)/BS!S51</f>
        <v>1.1701562348399723</v>
      </c>
    </row>
    <row r="11" spans="1:19">
      <c r="B11" s="235" t="s">
        <v>294</v>
      </c>
      <c r="C11" s="926" t="e">
        <f>CF!#REF!/BS!C51</f>
        <v>#REF!</v>
      </c>
      <c r="D11" s="294" t="e">
        <f>CF!#REF!/BS!D51</f>
        <v>#REF!</v>
      </c>
      <c r="E11" s="294" t="e">
        <f>CF!#REF!/BS!E51</f>
        <v>#REF!</v>
      </c>
      <c r="F11" s="294">
        <f>CF!A23/BS!F51</f>
        <v>0</v>
      </c>
      <c r="G11" s="294" t="e">
        <f>CF!B23/BS!G51</f>
        <v>#VALUE!</v>
      </c>
      <c r="H11" s="295">
        <f>CF!C23/BS!H51</f>
        <v>0.51132947488611857</v>
      </c>
      <c r="I11" s="926">
        <f>CF!D23/BS!I51</f>
        <v>-4.6952277064076516E-2</v>
      </c>
      <c r="J11" s="294">
        <f>CF!E23/BS!J51</f>
        <v>4.6423290762162103E-2</v>
      </c>
      <c r="K11" s="294">
        <f>CF!F23/BS!K51</f>
        <v>-9.8223299612328244E-2</v>
      </c>
      <c r="L11" s="294">
        <f>CF!G23/BS!L51</f>
        <v>-0.18951523799545089</v>
      </c>
      <c r="M11" s="295">
        <f>CF!H23/BS!M51</f>
        <v>0.35079132019373099</v>
      </c>
      <c r="N11" s="295">
        <f>CF!I23/BS!N51</f>
        <v>3.5958596578680939E-2</v>
      </c>
      <c r="O11" s="295">
        <f>CF!J23/BS!O51</f>
        <v>2.070525868018655E-2</v>
      </c>
      <c r="P11" s="295">
        <f>CF!K23/BS!P51</f>
        <v>-9.6537725886320272E-2</v>
      </c>
      <c r="Q11" s="1219">
        <f ca="1">CF!L23/BS!Q51</f>
        <v>0.31578040041459127</v>
      </c>
      <c r="R11" s="1219">
        <f ca="1">CF!M23/BS!R51</f>
        <v>0.21943895412186434</v>
      </c>
      <c r="S11" s="1219">
        <f ca="1">CF!N23/BS!S51</f>
        <v>0.27779082304479652</v>
      </c>
    </row>
    <row r="12" spans="1:19">
      <c r="B12" s="964" t="s">
        <v>295</v>
      </c>
      <c r="C12" s="240"/>
      <c r="D12" s="239"/>
      <c r="E12" s="239"/>
      <c r="F12" s="239"/>
      <c r="G12" s="239"/>
      <c r="H12" s="241"/>
      <c r="I12" s="240"/>
      <c r="J12" s="239"/>
      <c r="K12" s="239"/>
      <c r="L12" s="239"/>
      <c r="M12" s="241"/>
      <c r="N12" s="241"/>
      <c r="O12" s="241"/>
      <c r="P12" s="241"/>
      <c r="Q12" s="1218"/>
      <c r="R12" s="1218"/>
      <c r="S12" s="1218"/>
    </row>
    <row r="13" spans="1:19">
      <c r="B13" s="235" t="s">
        <v>296</v>
      </c>
      <c r="C13" s="927" t="e">
        <f>PL!C9/((BS!C9+BS!B9)/2)</f>
        <v>#VALUE!</v>
      </c>
      <c r="D13" s="270">
        <f>PL!D9/((BS!D9+BS!C9)/2)</f>
        <v>7.871968895279811</v>
      </c>
      <c r="E13" s="270">
        <f>PL!E9/((BS!E9+BS!D9)/2)</f>
        <v>8.6158552210128043</v>
      </c>
      <c r="F13" s="270">
        <f>PL!F9/((BS!F9+BS!E9)/2)</f>
        <v>9.0416135179555148</v>
      </c>
      <c r="G13" s="270">
        <f>PL!G9/((BS!G9+BS!F9)/2)</f>
        <v>8.5098396464777188</v>
      </c>
      <c r="H13" s="270">
        <f>PL!H9/((BS!H9+BS!G9)/2)</f>
        <v>8.6598675518131731</v>
      </c>
      <c r="I13" s="927">
        <f>PL!I9/((BS!I9+BS!H9)/2)</f>
        <v>4.3799437131947503</v>
      </c>
      <c r="J13" s="270">
        <f>PL!J9/((BS!J9+BS!I9)/2)</f>
        <v>4.8735327881947503</v>
      </c>
      <c r="K13" s="270">
        <f>PL!K9/((BS!K9+BS!J9)/2)</f>
        <v>5.2438313260121685</v>
      </c>
      <c r="L13" s="270">
        <f>PL!L9/((BS!L9+BS!K9)/2)</f>
        <v>6.0557416306410135</v>
      </c>
      <c r="M13" s="296">
        <f>PL!M9/((BS!M9+BS!L9)/2)</f>
        <v>6.1976375153956562</v>
      </c>
      <c r="N13" s="296">
        <f>PL!N9/((BS!N9+BS!M9)/2)</f>
        <v>6.1730117575799381</v>
      </c>
      <c r="O13" s="296">
        <f>PL!O9/((BS!O9+BS!N9)/2)</f>
        <v>6.4148872074332548</v>
      </c>
      <c r="P13" s="296">
        <f>PL!P9/((BS!P9+BS!O9)/2)</f>
        <v>6.0340444351587292</v>
      </c>
      <c r="Q13" s="1213">
        <f ca="1">PL!Q9/((BS!Q9+BS!P9)/2)</f>
        <v>5.2419305606362929</v>
      </c>
      <c r="R13" s="1213">
        <f ca="1">PL!R9/((BS!R9+BS!Q9)/2)</f>
        <v>6.7402970843859711</v>
      </c>
      <c r="S13" s="1213">
        <f ca="1">PL!S9/((BS!S9+BS!R9)/2)</f>
        <v>6.7609162229597821</v>
      </c>
    </row>
    <row r="14" spans="1:19" s="1206" customFormat="1">
      <c r="B14" s="1207" t="s">
        <v>118</v>
      </c>
      <c r="C14" s="1208" t="e">
        <f t="shared" ref="C14:K14" si="1">365/C13</f>
        <v>#VALUE!</v>
      </c>
      <c r="D14" s="1209">
        <f t="shared" si="1"/>
        <v>46.367053129346239</v>
      </c>
      <c r="E14" s="1209">
        <f t="shared" si="1"/>
        <v>42.363757356300354</v>
      </c>
      <c r="F14" s="1209">
        <f t="shared" si="1"/>
        <v>40.368900890881434</v>
      </c>
      <c r="G14" s="1209">
        <f t="shared" si="1"/>
        <v>42.891525006711028</v>
      </c>
      <c r="H14" s="1209">
        <f t="shared" si="1"/>
        <v>42.14845063347159</v>
      </c>
      <c r="I14" s="1208">
        <f t="shared" si="1"/>
        <v>83.334404252827113</v>
      </c>
      <c r="J14" s="1209">
        <f t="shared" si="1"/>
        <v>74.894335559647061</v>
      </c>
      <c r="K14" s="1209">
        <f t="shared" si="1"/>
        <v>69.605595090255392</v>
      </c>
      <c r="L14" s="1209">
        <f t="shared" ref="L14:M14" si="2">365/L13</f>
        <v>60.273377277716513</v>
      </c>
      <c r="M14" s="1210">
        <f t="shared" si="2"/>
        <v>58.893408834139997</v>
      </c>
      <c r="N14" s="1210">
        <f t="shared" ref="N14:O14" si="3">365/N13</f>
        <v>59.128350039478015</v>
      </c>
      <c r="O14" s="1210">
        <f t="shared" si="3"/>
        <v>56.898895989481467</v>
      </c>
      <c r="P14" s="1210">
        <f t="shared" ref="P14" si="4">365/P13</f>
        <v>60.490108072994069</v>
      </c>
      <c r="Q14" s="1216">
        <f ca="1">365/Q13</f>
        <v>69.630834628166909</v>
      </c>
      <c r="R14" s="1216">
        <f ca="1">365/R13</f>
        <v>54.151915773197828</v>
      </c>
      <c r="S14" s="1216">
        <f ca="1">365/S13</f>
        <v>53.986765693157921</v>
      </c>
    </row>
    <row r="15" spans="1:19">
      <c r="B15" s="235" t="s">
        <v>297</v>
      </c>
      <c r="C15" s="927" t="e">
        <f>PL!C11/((BS!C11+BS!B11)/2)</f>
        <v>#VALUE!</v>
      </c>
      <c r="D15" s="270">
        <f>PL!D11/((BS!D11+BS!C11)/2)</f>
        <v>7.0871891460663194</v>
      </c>
      <c r="E15" s="270">
        <f>PL!E11/((BS!E11+BS!D11)/2)</f>
        <v>6.6089623412292378</v>
      </c>
      <c r="F15" s="270">
        <f>PL!F11/((BS!F11+BS!E11)/2)</f>
        <v>6.1027174358598693</v>
      </c>
      <c r="G15" s="270">
        <f>PL!G11/((BS!G11+BS!F11)/2)</f>
        <v>6.2505056723746142</v>
      </c>
      <c r="H15" s="270">
        <f>PL!H11/((BS!H11+BS!G11)/2)</f>
        <v>11.691463582543925</v>
      </c>
      <c r="I15" s="927">
        <f>PL!I11/((BS!I11+BS!H11)/2)</f>
        <v>11.949350051088507</v>
      </c>
      <c r="J15" s="270">
        <f>PL!J11/((BS!J11+BS!I11)/2)</f>
        <v>12.361536778874815</v>
      </c>
      <c r="K15" s="270">
        <f>PL!K11/((BS!K11+BS!J11)/2)</f>
        <v>13.079103993352945</v>
      </c>
      <c r="L15" s="270">
        <f>PL!L11/((BS!L11+BS!K11)/2)</f>
        <v>14.545837281233419</v>
      </c>
      <c r="M15" s="296">
        <f>PL!M11/((BS!M11+BS!L11)/2)</f>
        <v>14.337148722301123</v>
      </c>
      <c r="N15" s="296">
        <f>PL!N11/((BS!N11+BS!M11)/2)</f>
        <v>16.795485102638434</v>
      </c>
      <c r="O15" s="296">
        <f>PL!O11/((BS!O11+BS!N11)/2)</f>
        <v>21.075954547422793</v>
      </c>
      <c r="P15" s="296">
        <f>PL!P11/((BS!P11+BS!O11)/2)</f>
        <v>20.852195825600685</v>
      </c>
      <c r="Q15" s="1213">
        <f ca="1">PL!Q11/((BS!Q11+BS!P11)/2)</f>
        <v>18.725822670097699</v>
      </c>
      <c r="R15" s="1213">
        <f ca="1">PL!R11/((BS!R11+BS!Q11)/2)</f>
        <v>23.139058789562643</v>
      </c>
      <c r="S15" s="1213">
        <f ca="1">PL!S11/((BS!S11+BS!R11)/2)</f>
        <v>23.124791955570039</v>
      </c>
    </row>
    <row r="16" spans="1:19" s="1206" customFormat="1">
      <c r="B16" s="1207" t="s">
        <v>119</v>
      </c>
      <c r="C16" s="1208" t="e">
        <f t="shared" ref="C16:K16" si="5">365/C15</f>
        <v>#VALUE!</v>
      </c>
      <c r="D16" s="1209">
        <f t="shared" si="5"/>
        <v>51.501376988448229</v>
      </c>
      <c r="E16" s="1209">
        <f t="shared" si="5"/>
        <v>55.228034471158992</v>
      </c>
      <c r="F16" s="1209">
        <f t="shared" si="5"/>
        <v>59.809421595573468</v>
      </c>
      <c r="G16" s="1209">
        <f t="shared" si="5"/>
        <v>58.395275379589208</v>
      </c>
      <c r="H16" s="1209">
        <f t="shared" si="5"/>
        <v>31.219359101025425</v>
      </c>
      <c r="I16" s="1208">
        <f t="shared" si="5"/>
        <v>30.545594399651126</v>
      </c>
      <c r="J16" s="1209">
        <f t="shared" si="5"/>
        <v>29.527073092058011</v>
      </c>
      <c r="K16" s="1209">
        <f t="shared" si="5"/>
        <v>27.90711047067904</v>
      </c>
      <c r="L16" s="1209">
        <f t="shared" ref="L16:M16" si="6">365/L15</f>
        <v>25.093089723402276</v>
      </c>
      <c r="M16" s="1210">
        <f t="shared" si="6"/>
        <v>25.458339525504847</v>
      </c>
      <c r="N16" s="1210">
        <f t="shared" ref="N16:O16" si="7">365/N15</f>
        <v>21.732030826704818</v>
      </c>
      <c r="O16" s="1210">
        <f t="shared" si="7"/>
        <v>17.318314061586971</v>
      </c>
      <c r="P16" s="1210">
        <f t="shared" ref="P16" si="8">365/P15</f>
        <v>17.504151747504775</v>
      </c>
      <c r="Q16" s="1216">
        <f ca="1">365/Q15</f>
        <v>19.491800516879277</v>
      </c>
      <c r="R16" s="1216">
        <f ca="1">365/R15</f>
        <v>15.774193899565219</v>
      </c>
      <c r="S16" s="1216">
        <f ca="1">365/S15</f>
        <v>15.783925784122911</v>
      </c>
    </row>
    <row r="17" spans="2:19">
      <c r="B17" s="235" t="s">
        <v>298</v>
      </c>
      <c r="C17" s="927" t="e">
        <f>PL!C11/((BS!C42+BS!B42)/2)</f>
        <v>#VALUE!</v>
      </c>
      <c r="D17" s="270">
        <f>PL!D11/((BS!D43+BS!C43)/2)</f>
        <v>10.719195417536326</v>
      </c>
      <c r="E17" s="270">
        <f>PL!E11/((BS!E43+BS!D43)/2)</f>
        <v>10.138625529416723</v>
      </c>
      <c r="F17" s="270">
        <f>PL!F11/((BS!F43+BS!E43)/2)</f>
        <v>10.444407726149135</v>
      </c>
      <c r="G17" s="270">
        <f>PL!G11/((BS!G43+BS!F43)/2)</f>
        <v>9.4617529842836152</v>
      </c>
      <c r="H17" s="270">
        <f>PL!H11/((BS!H43+BS!G43)/2)</f>
        <v>10.925526972215321</v>
      </c>
      <c r="I17" s="927">
        <f>PL!I11/((BS!I43+BS!H43)/2)</f>
        <v>6.0512801491912258</v>
      </c>
      <c r="J17" s="270">
        <f>PL!J11/((BS!J43+BS!I43)/2)</f>
        <v>6.6013984201879996</v>
      </c>
      <c r="K17" s="270">
        <f>PL!K11/((BS!K43+BS!J43)/2)</f>
        <v>6.5919300303785793</v>
      </c>
      <c r="L17" s="270">
        <f>PL!L11/((BS!L43+BS!K43)/2)</f>
        <v>7.7413207050043971</v>
      </c>
      <c r="M17" s="296">
        <f>PL!M11/((BS!M43+BS!L43)/2)</f>
        <v>8.8369245469083175</v>
      </c>
      <c r="N17" s="296">
        <f>PL!N11/((BS!N43+BS!M43)/2)</f>
        <v>11.114016395225793</v>
      </c>
      <c r="O17" s="296">
        <f>PL!O11/((BS!O43+BS!N43)/2)</f>
        <v>11.143041970164921</v>
      </c>
      <c r="P17" s="296">
        <f>PL!P11/((BS!P43+BS!O43)/2)</f>
        <v>10.705112172354626</v>
      </c>
      <c r="Q17" s="1213">
        <f ca="1">PL!Q11/((BS!Q43+BS!P43)/2)</f>
        <v>10.358043474114032</v>
      </c>
      <c r="R17" s="1213">
        <f ca="1">PL!R11/((BS!R43+BS!Q43)/2)</f>
        <v>11.92012119462318</v>
      </c>
      <c r="S17" s="1213">
        <f ca="1">PL!S11/((BS!S43+BS!R43)/2)</f>
        <v>11.912771613475474</v>
      </c>
    </row>
    <row r="18" spans="2:19" s="1206" customFormat="1">
      <c r="B18" s="1207" t="s">
        <v>120</v>
      </c>
      <c r="C18" s="1208" t="e">
        <f t="shared" ref="C18:K18" si="9">365/C17</f>
        <v>#VALUE!</v>
      </c>
      <c r="D18" s="1209">
        <f t="shared" si="9"/>
        <v>34.051063142562867</v>
      </c>
      <c r="E18" s="1209">
        <f t="shared" si="9"/>
        <v>36.000935130799583</v>
      </c>
      <c r="F18" s="1209">
        <f t="shared" si="9"/>
        <v>34.946931369422508</v>
      </c>
      <c r="G18" s="1209">
        <f t="shared" si="9"/>
        <v>38.576361125288408</v>
      </c>
      <c r="H18" s="1209">
        <f t="shared" si="9"/>
        <v>33.407999534322741</v>
      </c>
      <c r="I18" s="1208">
        <f t="shared" si="9"/>
        <v>60.31781556978212</v>
      </c>
      <c r="J18" s="1209">
        <f t="shared" si="9"/>
        <v>55.291315077087141</v>
      </c>
      <c r="K18" s="1209">
        <f t="shared" si="9"/>
        <v>55.370733353951849</v>
      </c>
      <c r="L18" s="1209">
        <f t="shared" ref="L18:M18" si="10">365/L17</f>
        <v>47.149577431153936</v>
      </c>
      <c r="M18" s="1210">
        <f t="shared" si="10"/>
        <v>41.303962488589846</v>
      </c>
      <c r="N18" s="1210">
        <f t="shared" ref="N18:O18" si="11">365/N17</f>
        <v>32.841412772865056</v>
      </c>
      <c r="O18" s="1210">
        <f t="shared" si="11"/>
        <v>32.755866932680853</v>
      </c>
      <c r="P18" s="1210">
        <f t="shared" ref="P18" si="12">365/P17</f>
        <v>34.095859447656494</v>
      </c>
      <c r="Q18" s="1216">
        <f ca="1">365/Q17</f>
        <v>35.238315123138641</v>
      </c>
      <c r="R18" s="1216">
        <f ca="1">365/R17</f>
        <v>30.620494040332485</v>
      </c>
      <c r="S18" s="1216">
        <f ca="1">365/S17</f>
        <v>30.639385345650357</v>
      </c>
    </row>
    <row r="19" spans="2:19">
      <c r="B19" s="235" t="s">
        <v>121</v>
      </c>
      <c r="C19" s="928" t="e">
        <f t="shared" ref="C19:K19" si="13">C14+C16-C18</f>
        <v>#VALUE!</v>
      </c>
      <c r="D19" s="297">
        <f t="shared" si="13"/>
        <v>63.817366975231607</v>
      </c>
      <c r="E19" s="297">
        <f t="shared" si="13"/>
        <v>61.590856696659763</v>
      </c>
      <c r="F19" s="297">
        <f t="shared" si="13"/>
        <v>65.231391117032388</v>
      </c>
      <c r="G19" s="297">
        <f t="shared" si="13"/>
        <v>62.710439261011821</v>
      </c>
      <c r="H19" s="297">
        <f t="shared" si="13"/>
        <v>39.959810200174275</v>
      </c>
      <c r="I19" s="928">
        <f t="shared" si="13"/>
        <v>53.562183082696116</v>
      </c>
      <c r="J19" s="297">
        <f t="shared" si="13"/>
        <v>49.130093574617923</v>
      </c>
      <c r="K19" s="297">
        <f t="shared" si="13"/>
        <v>42.141972206982587</v>
      </c>
      <c r="L19" s="297">
        <f t="shared" ref="L19:M19" si="14">L14+L16-L18</f>
        <v>38.216889569964856</v>
      </c>
      <c r="M19" s="298">
        <f t="shared" si="14"/>
        <v>43.047785871054998</v>
      </c>
      <c r="N19" s="298">
        <f t="shared" ref="N19:O19" si="15">N14+N16-N18</f>
        <v>48.018968093317781</v>
      </c>
      <c r="O19" s="298">
        <f t="shared" si="15"/>
        <v>41.461343118387582</v>
      </c>
      <c r="P19" s="298">
        <f t="shared" ref="P19" si="16">P14+P16-P18</f>
        <v>43.898400372842346</v>
      </c>
      <c r="Q19" s="1214">
        <f ca="1">Q14+Q16-Q18</f>
        <v>53.884320021907548</v>
      </c>
      <c r="R19" s="1214">
        <f ca="1">R14+R16-R18</f>
        <v>39.305615632430559</v>
      </c>
      <c r="S19" s="1214">
        <f ca="1">S14+S16-S18</f>
        <v>39.131306131630481</v>
      </c>
    </row>
    <row r="20" spans="2:19">
      <c r="B20" s="235"/>
      <c r="C20" s="929"/>
      <c r="D20" s="299"/>
      <c r="E20" s="299"/>
      <c r="F20" s="299"/>
      <c r="G20" s="299"/>
      <c r="H20" s="299"/>
      <c r="I20" s="929"/>
      <c r="J20" s="299"/>
      <c r="K20" s="299"/>
      <c r="L20" s="299"/>
      <c r="M20" s="300"/>
      <c r="N20" s="300"/>
      <c r="O20" s="300"/>
      <c r="P20" s="300"/>
      <c r="Q20" s="1217"/>
      <c r="R20" s="1217"/>
      <c r="S20" s="1217"/>
    </row>
    <row r="21" spans="2:19">
      <c r="B21" s="963" t="s">
        <v>75</v>
      </c>
      <c r="C21" s="930"/>
      <c r="D21" s="301"/>
      <c r="E21" s="301"/>
      <c r="F21" s="301"/>
      <c r="G21" s="301"/>
      <c r="H21" s="301"/>
      <c r="I21" s="930"/>
      <c r="J21" s="301"/>
      <c r="K21" s="301"/>
      <c r="L21" s="301"/>
      <c r="M21" s="302"/>
      <c r="N21" s="302"/>
      <c r="O21" s="302"/>
      <c r="P21" s="302"/>
      <c r="Q21" s="1211"/>
      <c r="R21" s="1211"/>
      <c r="S21" s="1211"/>
    </row>
    <row r="22" spans="2:19">
      <c r="B22" s="964"/>
      <c r="C22" s="931"/>
      <c r="D22" s="303"/>
      <c r="E22" s="303"/>
      <c r="F22" s="303"/>
      <c r="G22" s="303"/>
      <c r="H22" s="304"/>
      <c r="I22" s="931"/>
      <c r="J22" s="303"/>
      <c r="K22" s="303"/>
      <c r="L22" s="303"/>
      <c r="M22" s="304"/>
      <c r="N22" s="304"/>
      <c r="O22" s="304"/>
      <c r="P22" s="304"/>
      <c r="Q22" s="1212"/>
      <c r="R22" s="1212"/>
      <c r="S22" s="1212"/>
    </row>
    <row r="23" spans="2:19">
      <c r="B23" s="235" t="s">
        <v>299</v>
      </c>
      <c r="C23" s="927" t="e">
        <f>PL!C9/((BS!C36+BS!B36)/2)</f>
        <v>#VALUE!</v>
      </c>
      <c r="D23" s="270">
        <f>PL!D9/((BS!D36+BS!C36)/2)</f>
        <v>6.2549888474659383</v>
      </c>
      <c r="E23" s="270">
        <f>PL!E9/((BS!E36+BS!D36)/2)</f>
        <v>6.1526936371616134</v>
      </c>
      <c r="F23" s="270">
        <f>PL!F9/((BS!F36+BS!E36)/2)</f>
        <v>5.8239305400072094</v>
      </c>
      <c r="G23" s="270">
        <f>PL!G9/((BS!G36+BS!F36)/2)</f>
        <v>5.266937473653365</v>
      </c>
      <c r="H23" s="296">
        <f>PL!H9/((BS!H36+BS!G36)/2)</f>
        <v>5.0590317880832432</v>
      </c>
      <c r="I23" s="927">
        <f>PL!I9/((BS!I36+BS!H36)/2)</f>
        <v>2.2880940649917183</v>
      </c>
      <c r="J23" s="270">
        <f>PL!J9/((BS!J36+BS!I36)/2)</f>
        <v>2.1514394560740135</v>
      </c>
      <c r="K23" s="270">
        <f>PL!K9/((BS!K36+BS!J36)/2)</f>
        <v>1.9318094169640549</v>
      </c>
      <c r="L23" s="270">
        <f>PL!L9/((BS!L36+BS!K36)/2)</f>
        <v>2.0347697499671411</v>
      </c>
      <c r="M23" s="296">
        <f>PL!M9/((BS!M36+BS!L36)/2)</f>
        <v>2.2401117649315307</v>
      </c>
      <c r="N23" s="296">
        <f>PL!N9/((BS!N36+BS!M36)/2)</f>
        <v>2.3760747766677981</v>
      </c>
      <c r="O23" s="296">
        <f>PL!O9/((BS!O36+BS!N36)/2)</f>
        <v>2.5118850329465952</v>
      </c>
      <c r="P23" s="296">
        <f>PL!P9/((BS!P36+BS!O36)/2)</f>
        <v>2.4873978984051139</v>
      </c>
      <c r="Q23" s="1213">
        <f ca="1">PL!Q9/((BS!Q36+BS!P36)/2)</f>
        <v>1.858331538631838</v>
      </c>
      <c r="R23" s="1213">
        <f ca="1">PL!R9/((BS!R36+BS!Q36)/2)</f>
        <v>1.902065245017541</v>
      </c>
      <c r="S23" s="1213">
        <f ca="1">PL!S9/((BS!S36+BS!R36)/2)</f>
        <v>1.8404618095527596</v>
      </c>
    </row>
    <row r="24" spans="2:19">
      <c r="B24" s="235" t="s">
        <v>300</v>
      </c>
      <c r="C24" s="927" t="e">
        <f>PL!C9/((BS!C16+BS!B16)/2)</f>
        <v>#VALUE!</v>
      </c>
      <c r="D24" s="270">
        <f>PL!D9/((BS!D16+BS!C16)/2)</f>
        <v>13.279896834590367</v>
      </c>
      <c r="E24" s="270">
        <f>PL!E9/((BS!E16+BS!D16)/2)</f>
        <v>12.408667525488347</v>
      </c>
      <c r="F24" s="270">
        <f>PL!F9/((BS!F16+BS!E16)/2)</f>
        <v>10.893240295653232</v>
      </c>
      <c r="G24" s="270">
        <f>PL!G9/((BS!G16+BS!F16)/2)</f>
        <v>9.7576030732680223</v>
      </c>
      <c r="H24" s="296">
        <f>PL!H9/((BS!H16+BS!G16)/2)</f>
        <v>9.7876862417421631</v>
      </c>
      <c r="I24" s="927">
        <f>PL!I9/((BS!I16+BS!H16)/2)</f>
        <v>4.7410272645953313</v>
      </c>
      <c r="J24" s="270">
        <f>PL!J9/((BS!J16+BS!I16)/2)</f>
        <v>4.8193402349296939</v>
      </c>
      <c r="K24" s="270">
        <f>PL!K9/((BS!K16+BS!J16)/2)</f>
        <v>4.4144746190810293</v>
      </c>
      <c r="L24" s="270">
        <f>PL!L9/((BS!L16+BS!K16)/2)</f>
        <v>4.3272099915290738</v>
      </c>
      <c r="M24" s="296">
        <f>PL!M9/((BS!M16+BS!L16)/2)</f>
        <v>4.4064242608797448</v>
      </c>
      <c r="N24" s="296">
        <f>PL!N9/((BS!N16+BS!M16)/2)</f>
        <v>4.5563827489970778</v>
      </c>
      <c r="O24" s="296">
        <f>PL!O9/((BS!O16+BS!N16)/2)</f>
        <v>4.9965892006853494</v>
      </c>
      <c r="P24" s="296">
        <f>PL!P9/((BS!P16+BS!O16)/2)</f>
        <v>4.9862748913643902</v>
      </c>
      <c r="Q24" s="1213">
        <f ca="1">PL!Q9/((BS!Q16+BS!P16)/2)</f>
        <v>4.1123249491208718</v>
      </c>
      <c r="R24" s="1213">
        <f ca="1">PL!R9/((BS!R16+BS!Q16)/2)</f>
        <v>5.5457871774332537</v>
      </c>
      <c r="S24" s="1213">
        <f ca="1">PL!S9/((BS!S16+BS!R16)/2)</f>
        <v>7.9223945248410921</v>
      </c>
    </row>
    <row r="25" spans="2:19">
      <c r="B25" s="235" t="s">
        <v>301</v>
      </c>
      <c r="C25" s="927" t="e">
        <f>PL!C9/((BS!C38+BS!B38)/2)</f>
        <v>#VALUE!</v>
      </c>
      <c r="D25" s="270">
        <f>PL!D9/((BS!D38+BS!C38)/2)</f>
        <v>1.7009509097184325</v>
      </c>
      <c r="E25" s="270">
        <f>PL!E9/((BS!E38+BS!D38)/2)</f>
        <v>1.6229454636683092</v>
      </c>
      <c r="F25" s="270">
        <f>PL!F9/((BS!F38+BS!E38)/2)</f>
        <v>1.5587939951170677</v>
      </c>
      <c r="G25" s="270">
        <f>PL!G9/((BS!G38+BS!F38)/2)</f>
        <v>1.4148991402030446</v>
      </c>
      <c r="H25" s="296">
        <f>PL!H9/((BS!H38+BS!G38)/2)</f>
        <v>1.5559483713595323</v>
      </c>
      <c r="I25" s="927">
        <f>PL!I9/((BS!I38+BS!H38)/2)</f>
        <v>0.84787864079221886</v>
      </c>
      <c r="J25" s="270">
        <f>PL!J9/((BS!J38+BS!I38)/2)</f>
        <v>0.87779634797285455</v>
      </c>
      <c r="K25" s="270">
        <f>PL!K9/((BS!K38+BS!J38)/2)</f>
        <v>0.79411689280355957</v>
      </c>
      <c r="L25" s="270">
        <f>PL!L9/((BS!L38+BS!K38)/2)</f>
        <v>0.74727898095458456</v>
      </c>
      <c r="M25" s="296">
        <f>PL!M9/((BS!M38+BS!L38)/2)</f>
        <v>0.83550487357081049</v>
      </c>
      <c r="N25" s="296">
        <f>PL!N9/((BS!N38+BS!M38)/2)</f>
        <v>0.94016585121873497</v>
      </c>
      <c r="O25" s="296">
        <f>PL!O9/((BS!O38+BS!N38)/2)</f>
        <v>0.95021842475160867</v>
      </c>
      <c r="P25" s="296">
        <f>PL!P9/((BS!P38+BS!O38)/2)</f>
        <v>0.87710482690179692</v>
      </c>
      <c r="Q25" s="1213">
        <f ca="1">PL!Q9/((BS!Q38+BS!P38)/2)</f>
        <v>0.63478480976980201</v>
      </c>
      <c r="R25" s="1213">
        <f ca="1">PL!R9/((BS!R38+BS!Q38)/2)</f>
        <v>0.67597310883412443</v>
      </c>
      <c r="S25" s="1213">
        <f ca="1">PL!S9/((BS!S38+BS!R38)/2)</f>
        <v>0.70088568834023901</v>
      </c>
    </row>
    <row r="26" spans="2:19">
      <c r="B26" s="235" t="s">
        <v>122</v>
      </c>
      <c r="C26" s="927" t="e">
        <f>PL!C9/((BS!C76+BS!B76)/2)</f>
        <v>#VALUE!</v>
      </c>
      <c r="D26" s="270">
        <f>PL!D9/((BS!D76+BS!C76)/2)</f>
        <v>4.0368972952768942</v>
      </c>
      <c r="E26" s="270">
        <f>PL!E9/((BS!E76+BS!D76)/2)</f>
        <v>4.3175023681293023</v>
      </c>
      <c r="F26" s="270">
        <f>PL!F9/((BS!F76+BS!E76)/2)</f>
        <v>4.6027591936575023</v>
      </c>
      <c r="G26" s="270">
        <f>PL!G9/((BS!G76+BS!F76)/2)</f>
        <v>4.3666462139242634</v>
      </c>
      <c r="H26" s="296">
        <f>PL!H9/((BS!H76+BS!G76)/2)</f>
        <v>4.0716216190725261</v>
      </c>
      <c r="I26" s="927">
        <f>PL!I9/((BS!I76+BS!H76)/2)</f>
        <v>1.9423838958180746</v>
      </c>
      <c r="J26" s="270">
        <f>PL!J9/((BS!J76+BS!I76)/2)</f>
        <v>2.0968053985956296</v>
      </c>
      <c r="K26" s="270">
        <f>PL!K9/((BS!K76+BS!J76)/2)</f>
        <v>2.0081201755916012</v>
      </c>
      <c r="L26" s="270">
        <f>PL!L9/((BS!L76+BS!K76)/2)</f>
        <v>2.1170049819055561</v>
      </c>
      <c r="M26" s="296">
        <f>PL!M9/((BS!M76+BS!L76)/2)</f>
        <v>2.2576275188484529</v>
      </c>
      <c r="N26" s="296">
        <f>PL!N9/((BS!N76+BS!M76)/2)</f>
        <v>2.286709538797306</v>
      </c>
      <c r="O26" s="296">
        <f>PL!O9/((BS!O76+BS!N76)/2)</f>
        <v>2.2950758878174438</v>
      </c>
      <c r="P26" s="296">
        <f>PL!P9/((BS!P76+BS!O76)/2)</f>
        <v>2.1184993138332957</v>
      </c>
      <c r="Q26" s="1213">
        <f ca="1">PL!Q9/((BS!Q76+BS!P76)/2)</f>
        <v>1.440097221054079</v>
      </c>
      <c r="R26" s="1213">
        <f ca="1">PL!R9/((BS!R76+BS!Q76)/2)</f>
        <v>1.4074843527028464</v>
      </c>
      <c r="S26" s="1213">
        <f ca="1">PL!S9/((BS!S76+BS!R76)/2)</f>
        <v>1.3801574424542691</v>
      </c>
    </row>
    <row r="27" spans="2:19">
      <c r="B27" s="965" t="s">
        <v>613</v>
      </c>
      <c r="C27" s="928">
        <f>BS!C38-SUM(BS!C6,(BS!C51-BS!C50))</f>
        <v>7930.4453138300032</v>
      </c>
      <c r="D27" s="297">
        <f>BS!D38-SUM(BS!D6,(BS!D51-BS!D50))</f>
        <v>9917.480519378998</v>
      </c>
      <c r="E27" s="297">
        <f>BS!E38-SUM(BS!E6,(BS!E51-BS!E50))</f>
        <v>12074.517634650001</v>
      </c>
      <c r="F27" s="297">
        <f>BS!F38-SUM(BS!F6,(BS!F51-BS!F50))</f>
        <v>15684.650077261</v>
      </c>
      <c r="G27" s="297">
        <f>BS!G38-SUM(BS!G6,(BS!G51-BS!G50))</f>
        <v>15596.910970406994</v>
      </c>
      <c r="H27" s="297">
        <f>BS!H38-SUM(BS!H6,(BS!H51-BS!H50))</f>
        <v>14535.661350661998</v>
      </c>
      <c r="I27" s="928">
        <f>BS!I38-SUM(BS!I6,(BS!I51-BS!I50))</f>
        <v>17979.058802102001</v>
      </c>
      <c r="J27" s="297">
        <f>BS!J38-SUM(BS!J6,(BS!J51-BS!J50))</f>
        <v>21352.154397694001</v>
      </c>
      <c r="K27" s="297">
        <f>BS!K38-SUM(BS!K6,(BS!K51-BS!K50))</f>
        <v>26745.831544075994</v>
      </c>
      <c r="L27" s="297">
        <f>BS!L38-SUM(BS!L6,(BS!L51-BS!L50))</f>
        <v>36318.430755153007</v>
      </c>
      <c r="M27" s="297">
        <f>BS!M38-SUM(BS!M6,(BS!M51-BS!M50))</f>
        <v>31593.409709619991</v>
      </c>
      <c r="N27" s="297">
        <f>BS!N38-SUM(BS!N6,(BS!N51-BS!N50))</f>
        <v>36189.891767558001</v>
      </c>
      <c r="O27" s="297">
        <f>BS!O38-SUM(BS!O6,(BS!O51-BS!O50))</f>
        <v>42294.619999999995</v>
      </c>
      <c r="P27" s="297">
        <f>BS!P38-SUM(BS!P6,(BS!P51-BS!P50))</f>
        <v>55166.352536735998</v>
      </c>
      <c r="Q27" s="1214">
        <f ca="1">BS!Q38-SUM(BS!Q6,(BS!Q51-BS!Q50))</f>
        <v>54935.961400734814</v>
      </c>
      <c r="R27" s="1214">
        <f ca="1">BS!R38-SUM(BS!R6,(BS!R51-BS!R50))</f>
        <v>60894.092818803707</v>
      </c>
      <c r="S27" s="1214">
        <f ca="1">BS!S38-SUM(BS!S6,(BS!S51-BS!S50))</f>
        <v>68315.892653161573</v>
      </c>
    </row>
    <row r="28" spans="2:19">
      <c r="B28" s="235" t="s">
        <v>1032</v>
      </c>
      <c r="C28" s="932">
        <f>PL!C14</f>
        <v>0.19078177615238984</v>
      </c>
      <c r="D28" s="271">
        <f>PL!D14</f>
        <v>0.20494211681338564</v>
      </c>
      <c r="E28" s="271">
        <f>PL!E14</f>
        <v>0.18957226109619471</v>
      </c>
      <c r="F28" s="271">
        <f>PL!F14</f>
        <v>0.19741515667911261</v>
      </c>
      <c r="G28" s="271">
        <f>PL!G14</f>
        <v>0.21345361962026688</v>
      </c>
      <c r="H28" s="305">
        <f>PL!H14</f>
        <v>0.2269742144349132</v>
      </c>
      <c r="I28" s="932">
        <f>PL!I14</f>
        <v>0.37576690872016782</v>
      </c>
      <c r="J28" s="271">
        <f>PL!J14</f>
        <v>0.38647995899516985</v>
      </c>
      <c r="K28" s="271">
        <f>PL!K14</f>
        <v>0.39602745072443657</v>
      </c>
      <c r="L28" s="271">
        <f>PL!L14</f>
        <v>0.38230540607439883</v>
      </c>
      <c r="M28" s="305">
        <f>PL!M14</f>
        <v>0.39008095623448957</v>
      </c>
      <c r="N28" s="305">
        <f>PL!N14</f>
        <v>0.38617187544864356</v>
      </c>
      <c r="O28" s="305">
        <f>PL!O14</f>
        <v>0.37706915280310094</v>
      </c>
      <c r="P28" s="305">
        <f>PL!P14</f>
        <v>0.37019121409634759</v>
      </c>
      <c r="Q28" s="1215">
        <f ca="1">PL!Q14</f>
        <v>0.3466012947437157</v>
      </c>
      <c r="R28" s="1215">
        <f ca="1">PL!R14</f>
        <v>0.33780576720202882</v>
      </c>
      <c r="S28" s="1215">
        <f ca="1">PL!S14</f>
        <v>0.33418917147781407</v>
      </c>
    </row>
    <row r="29" spans="2:19">
      <c r="B29" s="966" t="s">
        <v>123</v>
      </c>
      <c r="C29" s="932">
        <f>PL!C26</f>
        <v>9.0735465728255832E-2</v>
      </c>
      <c r="D29" s="271">
        <f>PL!D26</f>
        <v>8.6431896219560572E-2</v>
      </c>
      <c r="E29" s="271">
        <f>PL!E26</f>
        <v>7.1517639650412385E-2</v>
      </c>
      <c r="F29" s="271">
        <f>PL!F26</f>
        <v>7.7323047100798181E-2</v>
      </c>
      <c r="G29" s="271">
        <f>PL!G26</f>
        <v>7.7116337683009226E-2</v>
      </c>
      <c r="H29" s="305">
        <f>PL!H26</f>
        <v>7.4232107060368702E-2</v>
      </c>
      <c r="I29" s="932">
        <f>PL!I26</f>
        <v>0.13448003705984785</v>
      </c>
      <c r="J29" s="271">
        <f>PL!J26</f>
        <v>0.14961370883316824</v>
      </c>
      <c r="K29" s="271">
        <f>PL!K26</f>
        <v>0.15436365577617198</v>
      </c>
      <c r="L29" s="271">
        <f>PL!L26</f>
        <v>0.15186324270925325</v>
      </c>
      <c r="M29" s="305">
        <f>PL!M26</f>
        <v>0.15438832575374628</v>
      </c>
      <c r="N29" s="305">
        <f>PL!N26</f>
        <v>0.16062267339567346</v>
      </c>
      <c r="O29" s="305">
        <f>PL!O26</f>
        <v>0.16720035501081251</v>
      </c>
      <c r="P29" s="305">
        <f>PL!P26</f>
        <v>0.15779809875527884</v>
      </c>
      <c r="Q29" s="1215">
        <f ca="1">PL!Q26</f>
        <v>0.17060129474371571</v>
      </c>
      <c r="R29" s="1215">
        <f ca="1">PL!R26</f>
        <v>0.16380576720202886</v>
      </c>
      <c r="S29" s="1215">
        <f ca="1">PL!S26</f>
        <v>0.16018917147781406</v>
      </c>
    </row>
    <row r="30" spans="2:19">
      <c r="B30" s="966" t="s">
        <v>226</v>
      </c>
      <c r="C30" s="932">
        <f>PL!C30</f>
        <v>0.10698149543334613</v>
      </c>
      <c r="D30" s="271">
        <f>PL!D30</f>
        <v>0.10282185397311716</v>
      </c>
      <c r="E30" s="271">
        <f>PL!E30</f>
        <v>8.8282210245650999E-2</v>
      </c>
      <c r="F30" s="271">
        <f>PL!F30</f>
        <v>9.6629842025974827E-2</v>
      </c>
      <c r="G30" s="271">
        <f>PL!G30</f>
        <v>0.10072891036658814</v>
      </c>
      <c r="H30" s="305">
        <f>PL!H30</f>
        <v>9.8598038060971546E-2</v>
      </c>
      <c r="I30" s="932">
        <f>PL!I30</f>
        <v>0.18465300338602031</v>
      </c>
      <c r="J30" s="271">
        <f>PL!J30</f>
        <v>0.19848679778083245</v>
      </c>
      <c r="K30" s="271">
        <f>PL!K30</f>
        <v>0.20433306451916289</v>
      </c>
      <c r="L30" s="271">
        <f>PL!L30</f>
        <v>0.19796649259435334</v>
      </c>
      <c r="M30" s="305">
        <f>PL!M30</f>
        <v>0.19603986340301505</v>
      </c>
      <c r="N30" s="305">
        <f>PL!N30</f>
        <v>0.20407773569831064</v>
      </c>
      <c r="O30" s="305">
        <f>PL!O30</f>
        <v>0.20754003378585337</v>
      </c>
      <c r="P30" s="305">
        <f>PL!P30</f>
        <v>0.19909727837506125</v>
      </c>
      <c r="Q30" s="1215">
        <f ca="1">PL!Q30</f>
        <v>0.21777106942558644</v>
      </c>
      <c r="R30" s="1215">
        <f ca="1">PL!R30</f>
        <v>0.20476105259563898</v>
      </c>
      <c r="S30" s="1215">
        <f ca="1">PL!S30</f>
        <v>0.19592330438961114</v>
      </c>
    </row>
    <row r="31" spans="2:19">
      <c r="B31" s="306" t="s">
        <v>124</v>
      </c>
      <c r="C31" s="932">
        <f>PL!C47/PL!C9</f>
        <v>9.7850324587394261E-2</v>
      </c>
      <c r="D31" s="271">
        <f>PL!D47/PL!D9</f>
        <v>9.3075342202495623E-2</v>
      </c>
      <c r="E31" s="271">
        <f>PL!E47/PL!E9</f>
        <v>7.5333131860856842E-2</v>
      </c>
      <c r="F31" s="271">
        <f>PL!F47/PL!F9</f>
        <v>7.5109890783015942E-2</v>
      </c>
      <c r="G31" s="271">
        <f>PL!G47/PL!G9</f>
        <v>7.6240493159059647E-2</v>
      </c>
      <c r="H31" s="305">
        <f>PL!H47/PL!H9</f>
        <v>9.9748156200670499E-2</v>
      </c>
      <c r="I31" s="932">
        <f>PL!I47/PL!I9</f>
        <v>0.16617900920696058</v>
      </c>
      <c r="J31" s="271">
        <f>PL!J47/PL!J9</f>
        <v>0.16829156177587301</v>
      </c>
      <c r="K31" s="271">
        <f>PL!K47/PL!K9</f>
        <v>0.17644605962410762</v>
      </c>
      <c r="L31" s="271">
        <f>PL!L47/PL!L9</f>
        <v>0.17772554561516193</v>
      </c>
      <c r="M31" s="305">
        <f>PL!M47/PL!M9</f>
        <v>0.17410509413859249</v>
      </c>
      <c r="N31" s="305">
        <f>PL!N47/PL!N9</f>
        <v>0.17490257030132775</v>
      </c>
      <c r="O31" s="305">
        <f>PL!O47/PL!O9</f>
        <v>0.17613163276492683</v>
      </c>
      <c r="P31" s="305">
        <f>PL!P47/PL!P9</f>
        <v>0.18706953611491853</v>
      </c>
      <c r="Q31" s="1215">
        <f ca="1">PL!Q47/PL!Q9</f>
        <v>0.23204674544249013</v>
      </c>
      <c r="R31" s="1215">
        <f ca="1">PL!R47/PL!R9</f>
        <v>0.22771115449007631</v>
      </c>
      <c r="S31" s="1215">
        <f ca="1">PL!S47/PL!S9</f>
        <v>0.22230797958427501</v>
      </c>
    </row>
    <row r="32" spans="2:19">
      <c r="B32" s="306" t="s">
        <v>125</v>
      </c>
      <c r="C32" s="932">
        <f>PL!C53/PL!C9</f>
        <v>8.0729540056111646E-2</v>
      </c>
      <c r="D32" s="271">
        <f>PL!D53/PL!D9</f>
        <v>7.6414144523940214E-2</v>
      </c>
      <c r="E32" s="271">
        <f>PL!E53/PL!E9</f>
        <v>6.3689590604879415E-2</v>
      </c>
      <c r="F32" s="271">
        <f>PL!F53/PL!F9</f>
        <v>6.4228243243848612E-2</v>
      </c>
      <c r="G32" s="271">
        <f>PL!G53/PL!G9</f>
        <v>6.5155455446770399E-2</v>
      </c>
      <c r="H32" s="305">
        <f>PL!H53/PL!H9</f>
        <v>8.2705785415796512E-2</v>
      </c>
      <c r="I32" s="932">
        <f>PL!I53/PL!I9</f>
        <v>0.13931514016438179</v>
      </c>
      <c r="J32" s="271">
        <f>PL!J53/PL!J9</f>
        <v>0.14113063428970318</v>
      </c>
      <c r="K32" s="271">
        <f>PL!K53/PL!K9</f>
        <v>0.14829654109471618</v>
      </c>
      <c r="L32" s="271">
        <f>PL!L53/PL!L9</f>
        <v>0.1500199599658289</v>
      </c>
      <c r="M32" s="305">
        <f>PL!M53/PL!M9</f>
        <v>0.14749859397569956</v>
      </c>
      <c r="N32" s="305">
        <f>PL!N53/PL!N9</f>
        <v>0.14801141089160866</v>
      </c>
      <c r="O32" s="305">
        <f>PL!O53/PL!O9</f>
        <v>0.15000161498733716</v>
      </c>
      <c r="P32" s="305">
        <f>PL!P53/PL!P9</f>
        <v>0.16124116888050302</v>
      </c>
      <c r="Q32" s="1215">
        <f ca="1">PL!Q53/PL!Q9</f>
        <v>0.1972397336261166</v>
      </c>
      <c r="R32" s="1215">
        <f ca="1">PL!R53/PL!R9</f>
        <v>0.19355448131656486</v>
      </c>
      <c r="S32" s="1215">
        <f ca="1">PL!S53/PL!S9</f>
        <v>0.18896178264663374</v>
      </c>
    </row>
    <row r="33" spans="2:19">
      <c r="B33" s="306" t="s">
        <v>227</v>
      </c>
      <c r="C33" s="932">
        <f>PL!C55/AVERAGE(BS!C38,BS!D38)</f>
        <v>9.6937665716806426E-2</v>
      </c>
      <c r="D33" s="271">
        <f>PL!D55/AVERAGE(BS!D38,BS!E38)</f>
        <v>7.9928020445676512E-2</v>
      </c>
      <c r="E33" s="271">
        <f>PL!E55/AVERAGE(BS!E38,BS!F38)</f>
        <v>6.702066973155206E-2</v>
      </c>
      <c r="F33" s="271">
        <f>PL!F55/AVERAGE(BS!F38,BS!G38)</f>
        <v>6.9110080405673596E-2</v>
      </c>
      <c r="G33" s="271">
        <f>PL!G55/AVERAGE(BS!G38,BS!H38)</f>
        <v>7.2607546676222517E-2</v>
      </c>
      <c r="H33" s="305">
        <f>PL!H55/AVERAGE(BS!H38,BS!I38)</f>
        <v>0.10707469604582694</v>
      </c>
      <c r="I33" s="932">
        <f>PL!I55/AVERAGE(BS!I38,BS!J38)</f>
        <v>8.2981078067648067E-2</v>
      </c>
      <c r="J33" s="271">
        <f>PL!J55/AVERAGE(BS!J38,BS!K38)</f>
        <v>8.3466351607315581E-2</v>
      </c>
      <c r="K33" s="271">
        <f>PL!K55/AVERAGE(BS!K38,BS!L38)</f>
        <v>7.4146993598785682E-2</v>
      </c>
      <c r="L33" s="271">
        <f>PL!L55/AVERAGE(BS!L38,BS!M38)</f>
        <v>8.2344186707333608E-2</v>
      </c>
      <c r="M33" s="271">
        <f>PL!M55/AVERAGE(BS!M38,BS!N38)</f>
        <v>9.487993031654228E-2</v>
      </c>
      <c r="N33" s="271">
        <f>PL!N55/AVERAGE(BS!N38,BS!O38)</f>
        <v>9.7747992739482259E-2</v>
      </c>
      <c r="O33" s="271">
        <f>PL!O55/AVERAGE(BS!O38,BS!P38)</f>
        <v>9.8154645037562632E-2</v>
      </c>
      <c r="P33" s="271">
        <f ca="1">PL!P55/AVERAGE(BS!P38,BS!Q38)</f>
        <v>0.10503971185254203</v>
      </c>
      <c r="Q33" s="1215">
        <f ca="1">PL!Q55/AVERAGE(BS!Q38,BS!Z38)</f>
        <v>0.12064547660458715</v>
      </c>
      <c r="R33" s="1215">
        <f ca="1">PL!R55/AVERAGE(BS!R38,BS!AA38)</f>
        <v>0.1218905996086469</v>
      </c>
      <c r="S33" s="1215">
        <f ca="1">PL!S55/AVERAGE(BS!S38,BS!AB38)</f>
        <v>0.12326947861644895</v>
      </c>
    </row>
    <row r="34" spans="2:19">
      <c r="B34" s="306" t="s">
        <v>126</v>
      </c>
      <c r="C34" s="932" t="e">
        <f>(PL!C55+PL!C35*(1-PL!C52))/((BS!C38+BS!B38)/2)</f>
        <v>#VALUE!</v>
      </c>
      <c r="D34" s="271">
        <f>(PL!D55+PL!D35*(1-PL!D52))/((BS!D38+BS!C38)/2)</f>
        <v>0.10951627663377295</v>
      </c>
      <c r="E34" s="271">
        <f>(PL!E55+PL!E35*(1-PL!E52))/((BS!E38+BS!D38)/2)</f>
        <v>8.9400919267824425E-2</v>
      </c>
      <c r="F34" s="271">
        <f>(PL!F55+PL!F35*(1-PL!F52))/((BS!F38+BS!E38)/2)</f>
        <v>9.0070683654052977E-2</v>
      </c>
      <c r="G34" s="271">
        <f>(PL!G55+PL!G35*(1-PL!G52))/((BS!G38+BS!F38)/2)</f>
        <v>8.4641278122785685E-2</v>
      </c>
      <c r="H34" s="305">
        <f>(PL!H55+PL!H35*(1-PL!H52))/((BS!H38+BS!G38)/2)</f>
        <v>0.12036839971544804</v>
      </c>
      <c r="I34" s="932">
        <f>(PL!I55+PL!I35*(1-PL!I52))/((BS!I38+BS!H38)/2)</f>
        <v>0.10440807296216019</v>
      </c>
      <c r="J34" s="271">
        <f>(PL!J55+PL!J35*(1-PL!J52))/((BS!J38+BS!I38)/2)</f>
        <v>0.11066570946935406</v>
      </c>
      <c r="K34" s="271">
        <f>(PL!K55+PL!K35*(1-PL!K52))/((BS!K38+BS!J38)/2)</f>
        <v>0.10444361717720112</v>
      </c>
      <c r="L34" s="271">
        <f>(PL!L55+PL!L35*(1-PL!L52))/((BS!L38+BS!K38)/2)</f>
        <v>0.1010435573441737</v>
      </c>
      <c r="M34" s="305">
        <f>(PL!M55+PL!M35*(1-PL!M52))/((BS!M38+BS!L38)/2)</f>
        <v>0.11306934472633648</v>
      </c>
      <c r="N34" s="305">
        <f>(PL!N55+PL!N35*(1-PL!N52))/((BS!N38+BS!M38)/2)</f>
        <v>0.13039629002414849</v>
      </c>
      <c r="O34" s="305">
        <f>(PL!O55+PL!O35*(1-PL!O52))/((BS!O38+BS!N38)/2)</f>
        <v>0.12712776339633075</v>
      </c>
      <c r="P34" s="305">
        <f>(PL!P55+PL!P35*(1-PL!P52))/((BS!P38+BS!O38)/2)</f>
        <v>0.12835210534918487</v>
      </c>
      <c r="Q34" s="1215">
        <f ca="1">(PL!Q55+PL!Q35*(1-PL!Q52))/((BS!Q38+BS!P38)/2)</f>
        <v>0.13359248432012494</v>
      </c>
      <c r="R34" s="1215">
        <f ca="1">(PL!R55+PL!R35*(1-PL!R52))/((BS!R38+BS!Q38)/2)</f>
        <v>0.13871382550835093</v>
      </c>
      <c r="S34" s="1215">
        <f ca="1">(PL!S55+PL!S35*(1-PL!S52))/((BS!S38+BS!R38)/2)</f>
        <v>0.13932069972621883</v>
      </c>
    </row>
    <row r="35" spans="2:19">
      <c r="B35" s="306" t="s">
        <v>127</v>
      </c>
      <c r="C35" s="932">
        <f>PL!C24/(BS!C79-BS!C51)</f>
        <v>0.30198556743890159</v>
      </c>
      <c r="D35" s="271">
        <f>PL!D24/(BS!D79-BS!D51)</f>
        <v>0.27477322051797004</v>
      </c>
      <c r="E35" s="271">
        <f>PL!E24/(BS!E79-BS!E51)</f>
        <v>0.24097598098674392</v>
      </c>
      <c r="F35" s="271">
        <f>PL!F24/(BS!F79-BS!F51)</f>
        <v>0.26495310598138716</v>
      </c>
      <c r="G35" s="271">
        <f>PL!G24/(BS!G79-BS!G51)</f>
        <v>0.24577707934021267</v>
      </c>
      <c r="H35" s="271">
        <f>PL!H24/(BS!H79-BS!H51)</f>
        <v>0.22782667046333605</v>
      </c>
      <c r="I35" s="932">
        <f>PL!I24/(BS!I79-BS!I51)</f>
        <v>0.20395754560005561</v>
      </c>
      <c r="J35" s="271">
        <f>PL!J24/(BS!J79-BS!J51)</f>
        <v>0.23981375329679255</v>
      </c>
      <c r="K35" s="271">
        <f>PL!K24/(BS!K79-BS!K51)</f>
        <v>0.23772956867412473</v>
      </c>
      <c r="L35" s="271">
        <f>PL!L24/(BS!L79-BS!L51)</f>
        <v>0.22622153462453201</v>
      </c>
      <c r="M35" s="271">
        <f>PL!M24/(BS!M79-BS!M51)</f>
        <v>0.25045142382228847</v>
      </c>
      <c r="N35" s="271">
        <f>PL!N24/(BS!N79-BS!N51)</f>
        <v>0.27591607896325315</v>
      </c>
      <c r="O35" s="271">
        <f>PL!O24/(BS!O79-BS!O51)</f>
        <v>0.28275741447322406</v>
      </c>
      <c r="P35" s="271">
        <f>PL!P24/(BS!P79-BS!P51)</f>
        <v>0.23806173325125077</v>
      </c>
      <c r="Q35" s="1215">
        <f ca="1">PL!Q24/(BS!Q79-BS!Q51)</f>
        <v>0.18353587222579196</v>
      </c>
      <c r="R35" s="1215">
        <f ca="1">PL!R24/(BS!R79-BS!R51)</f>
        <v>0.17653808582070643</v>
      </c>
      <c r="S35" s="1215">
        <f ca="1">PL!S24/(BS!S79-BS!S51)</f>
        <v>0.17313410248441788</v>
      </c>
    </row>
    <row r="36" spans="2:19">
      <c r="B36" s="306" t="s">
        <v>128</v>
      </c>
      <c r="C36" s="932">
        <f>PL!C55/BS!C76</f>
        <v>0.2491727898577232</v>
      </c>
      <c r="D36" s="271">
        <f>PL!D55/BS!D76</f>
        <v>0.2230244148966464</v>
      </c>
      <c r="E36" s="271">
        <f>PL!E55/BS!E76</f>
        <v>0.20624465110112661</v>
      </c>
      <c r="F36" s="271">
        <f>PL!F55/BS!F76</f>
        <v>0.2250204926249928</v>
      </c>
      <c r="G36" s="271">
        <f>PL!G55/BS!G76</f>
        <v>0.20898865065336894</v>
      </c>
      <c r="H36" s="305">
        <f>PL!H55/BS!H76</f>
        <v>0.25649954149184229</v>
      </c>
      <c r="I36" s="932">
        <f>PL!I55/BS!I76</f>
        <v>0.21006602602085975</v>
      </c>
      <c r="J36" s="271">
        <f>PL!J55/BS!J76</f>
        <v>0.22452770041624029</v>
      </c>
      <c r="K36" s="271">
        <f>PL!K55/BS!K76</f>
        <v>0.22469856617710174</v>
      </c>
      <c r="L36" s="271">
        <f>PL!L55/BS!L76</f>
        <v>0.24176051481758384</v>
      </c>
      <c r="M36" s="305">
        <f>PL!M55/BS!M76</f>
        <v>0.2523040201709485</v>
      </c>
      <c r="N36" s="305">
        <f>PL!N55/BS!N76</f>
        <v>0.25887522842756205</v>
      </c>
      <c r="O36" s="305">
        <f>PL!O55/BS!O76</f>
        <v>0.26370114740375838</v>
      </c>
      <c r="P36" s="305">
        <f>PL!P55/BS!P76</f>
        <v>0.25938893189643697</v>
      </c>
      <c r="Q36" s="1215">
        <f ca="1">PL!Q55/BS!Q76</f>
        <v>0.2587689148364975</v>
      </c>
      <c r="R36" s="1215">
        <f ca="1">PL!R55/BS!R76</f>
        <v>0.24732891418323313</v>
      </c>
      <c r="S36" s="1215">
        <f ca="1">PL!S55/BS!S76</f>
        <v>0.23650165494237407</v>
      </c>
    </row>
    <row r="37" spans="2:19">
      <c r="B37" s="967" t="s">
        <v>129</v>
      </c>
      <c r="C37" s="933" t="e">
        <f>PL!C55/((BS!C76+BS!B76)/2)</f>
        <v>#VALUE!</v>
      </c>
      <c r="D37" s="349">
        <f>PL!D55/((BS!D76+BS!C76)/2)</f>
        <v>0.24012800357867894</v>
      </c>
      <c r="E37" s="349">
        <f>PL!E55/((BS!E76+BS!D76)/2)</f>
        <v>0.21585557989873719</v>
      </c>
      <c r="F37" s="349">
        <f>PL!F55/((BS!F76+BS!E76)/2)</f>
        <v>0.23412854268926378</v>
      </c>
      <c r="G37" s="349">
        <f>PL!G55/((BS!G76+BS!F76)/2)</f>
        <v>0.21988638854027026</v>
      </c>
      <c r="H37" s="398">
        <f>PL!H55/((BS!H76+BS!G76)/2)</f>
        <v>0.27980480849167033</v>
      </c>
      <c r="I37" s="933">
        <f>PL!I55/((BS!I76+BS!H76)/2)</f>
        <v>0.21924245366524553</v>
      </c>
      <c r="J37" s="349">
        <f>PL!J55/((BS!J76+BS!I76)/2)</f>
        <v>0.23719122010994903</v>
      </c>
      <c r="K37" s="349">
        <f>PL!K55/((BS!K76+BS!J76)/2)</f>
        <v>0.23817128151997052</v>
      </c>
      <c r="L37" s="349">
        <f>PL!L55/((BS!L76+BS!K76)/2)</f>
        <v>0.2575161945346196</v>
      </c>
      <c r="M37" s="398">
        <f>PL!M55/((BS!M76+BS!L76)/2)</f>
        <v>0.27240118028433569</v>
      </c>
      <c r="N37" s="398">
        <f>PL!N55/((BS!N76+BS!M76)/2)</f>
        <v>0.28096925950955953</v>
      </c>
      <c r="O37" s="398">
        <f>PL!O55/((BS!O76+BS!N76)/2)</f>
        <v>0.28690899829777899</v>
      </c>
      <c r="P37" s="398">
        <f>PL!P55/((BS!P76+BS!O76)/2)</f>
        <v>0.28557863769636249</v>
      </c>
      <c r="Q37" s="1220">
        <f ca="1">PL!Q55/((BS!Q76+BS!P76)/2)</f>
        <v>0.27981030290407821</v>
      </c>
      <c r="R37" s="1220">
        <f ca="1">PL!R55/((BS!R76+BS!Q76)/2)</f>
        <v>0.26795793120746736</v>
      </c>
      <c r="S37" s="1220">
        <f ca="1">PL!S55/((BS!S76+BS!R76)/2)</f>
        <v>0.25652070150006279</v>
      </c>
    </row>
    <row r="38" spans="2:19" s="1" customFormat="1">
      <c r="B38" s="306" t="s">
        <v>614</v>
      </c>
      <c r="C38" s="932">
        <f>PL!C24/Ratios!C27</f>
        <v>0.28139348053460855</v>
      </c>
      <c r="D38" s="271">
        <f>PL!D24/Ratios!D27</f>
        <v>0.23555092131123997</v>
      </c>
      <c r="E38" s="271">
        <f>PL!E24/Ratios!E27</f>
        <v>0.19335503418266944</v>
      </c>
      <c r="F38" s="271">
        <f>PL!F24/Ratios!F27</f>
        <v>0.1871358022261064</v>
      </c>
      <c r="G38" s="271">
        <f>PL!G24/Ratios!G27</f>
        <v>0.19545678579419715</v>
      </c>
      <c r="H38" s="305">
        <f>PL!H24/Ratios!H27</f>
        <v>0.21785307806980359</v>
      </c>
      <c r="I38" s="932">
        <f>PL!I24/Ratios!I27</f>
        <v>0.17363296551163318</v>
      </c>
      <c r="J38" s="271">
        <f>PL!J24/Ratios!J27</f>
        <v>0.19421165324707704</v>
      </c>
      <c r="K38" s="271">
        <f>PL!K24/Ratios!K27</f>
        <v>0.1721662559266329</v>
      </c>
      <c r="L38" s="271">
        <f>PL!L24/Ratios!L27</f>
        <v>0.14909860926341631</v>
      </c>
      <c r="M38" s="305">
        <f>PL!M24/Ratios!M27</f>
        <v>0.21506248797831096</v>
      </c>
      <c r="N38" s="305">
        <f>PL!N24/Ratios!N27</f>
        <v>0.23353559479112226</v>
      </c>
      <c r="O38" s="305">
        <f>PL!O24/Ratios!O27</f>
        <v>0.24845571375271855</v>
      </c>
      <c r="P38" s="305">
        <f>PL!P24/Ratios!P27</f>
        <v>0.20082241240478227</v>
      </c>
      <c r="Q38" s="1215">
        <f ca="1">PL!Q24/Ratios!Q27</f>
        <v>0.17761542172459369</v>
      </c>
      <c r="R38" s="1215">
        <f ca="1">PL!R24/Ratios!R27</f>
        <v>0.17739281639611928</v>
      </c>
      <c r="S38" s="1215">
        <f ca="1">PL!S24/Ratios!S27</f>
        <v>0.17946566266845076</v>
      </c>
    </row>
    <row r="39" spans="2:19">
      <c r="B39" s="963" t="s">
        <v>74</v>
      </c>
      <c r="C39" s="930"/>
      <c r="D39" s="301"/>
      <c r="E39" s="301"/>
      <c r="F39" s="301"/>
      <c r="G39" s="301"/>
      <c r="H39" s="302"/>
      <c r="I39" s="930"/>
      <c r="J39" s="301"/>
      <c r="K39" s="301"/>
      <c r="L39" s="301"/>
      <c r="M39" s="302"/>
      <c r="N39" s="302"/>
      <c r="O39" s="302"/>
      <c r="P39" s="302"/>
      <c r="Q39" s="1211"/>
      <c r="R39" s="1211"/>
      <c r="S39" s="1211"/>
    </row>
    <row r="40" spans="2:19">
      <c r="B40" s="964" t="s">
        <v>302</v>
      </c>
      <c r="C40" s="240"/>
      <c r="D40" s="239"/>
      <c r="E40" s="239"/>
      <c r="F40" s="239"/>
      <c r="G40" s="239"/>
      <c r="H40" s="241"/>
      <c r="I40" s="240"/>
      <c r="J40" s="239"/>
      <c r="K40" s="239"/>
      <c r="L40" s="239"/>
      <c r="M40" s="241"/>
      <c r="N40" s="241"/>
      <c r="O40" s="241"/>
      <c r="P40" s="241"/>
      <c r="Q40" s="1218"/>
      <c r="R40" s="1218"/>
      <c r="S40" s="1218"/>
    </row>
    <row r="41" spans="2:19">
      <c r="B41" s="306" t="s">
        <v>130</v>
      </c>
      <c r="C41" s="932">
        <f t="shared" ref="C41:K41" si="17">C32</f>
        <v>8.0729540056111646E-2</v>
      </c>
      <c r="D41" s="271">
        <f t="shared" si="17"/>
        <v>7.6414144523940214E-2</v>
      </c>
      <c r="E41" s="271">
        <f t="shared" si="17"/>
        <v>6.3689590604879415E-2</v>
      </c>
      <c r="F41" s="271">
        <f t="shared" si="17"/>
        <v>6.4228243243848612E-2</v>
      </c>
      <c r="G41" s="271">
        <f t="shared" si="17"/>
        <v>6.5155455446770399E-2</v>
      </c>
      <c r="H41" s="305">
        <f t="shared" si="17"/>
        <v>8.2705785415796512E-2</v>
      </c>
      <c r="I41" s="932">
        <f t="shared" si="17"/>
        <v>0.13931514016438179</v>
      </c>
      <c r="J41" s="271">
        <f t="shared" si="17"/>
        <v>0.14113063428970318</v>
      </c>
      <c r="K41" s="271">
        <f t="shared" si="17"/>
        <v>0.14829654109471618</v>
      </c>
      <c r="L41" s="271">
        <f t="shared" ref="L41:M41" si="18">L32</f>
        <v>0.1500199599658289</v>
      </c>
      <c r="M41" s="305">
        <f t="shared" si="18"/>
        <v>0.14749859397569956</v>
      </c>
      <c r="N41" s="305">
        <f t="shared" ref="N41:O41" si="19">N32</f>
        <v>0.14801141089160866</v>
      </c>
      <c r="O41" s="305">
        <f t="shared" si="19"/>
        <v>0.15000161498733716</v>
      </c>
      <c r="P41" s="305">
        <f t="shared" ref="P41" si="20">P32</f>
        <v>0.16124116888050302</v>
      </c>
      <c r="Q41" s="1215">
        <f ca="1">Q32</f>
        <v>0.1972397336261166</v>
      </c>
      <c r="R41" s="1215">
        <f ca="1">R32</f>
        <v>0.19355448131656486</v>
      </c>
      <c r="S41" s="1215">
        <f ca="1">S32</f>
        <v>0.18896178264663374</v>
      </c>
    </row>
    <row r="42" spans="2:19">
      <c r="B42" s="306" t="s">
        <v>131</v>
      </c>
      <c r="C42" s="926">
        <f>PL!C9/BS!C38</f>
        <v>1.7308739318735278</v>
      </c>
      <c r="D42" s="294">
        <f>PL!D9/BS!D38</f>
        <v>1.538248806588344</v>
      </c>
      <c r="E42" s="294">
        <f>PL!E9/BS!E38</f>
        <v>1.4407344345145285</v>
      </c>
      <c r="F42" s="294">
        <f>PL!F9/BS!F38</f>
        <v>1.4574329426755388</v>
      </c>
      <c r="G42" s="294">
        <f>PL!G9/BS!G38</f>
        <v>1.3250803385231178</v>
      </c>
      <c r="H42" s="295">
        <f>PL!H9/BS!H38</f>
        <v>1.7063664870168032</v>
      </c>
      <c r="I42" s="926">
        <f>PL!I9/BS!I38</f>
        <v>0.78010163908448238</v>
      </c>
      <c r="J42" s="294">
        <f>PL!J9/BS!J38</f>
        <v>0.82999412512349546</v>
      </c>
      <c r="K42" s="294">
        <f>PL!K9/BS!K38</f>
        <v>0.71476900101421614</v>
      </c>
      <c r="L42" s="294">
        <f>PL!L9/BS!L38</f>
        <v>0.66403407561138228</v>
      </c>
      <c r="M42" s="295">
        <f>PL!M9/BS!M38</f>
        <v>0.85206551156110222</v>
      </c>
      <c r="N42" s="295">
        <f>PL!N9/BS!N38</f>
        <v>0.87285057753253337</v>
      </c>
      <c r="O42" s="295">
        <f>PL!O9/BS!O38</f>
        <v>0.87289986111111117</v>
      </c>
      <c r="P42" s="295">
        <f>PL!P9/BS!P38</f>
        <v>0.79700296790296865</v>
      </c>
      <c r="Q42" s="1219">
        <f ca="1">PL!Q9/BS!Q38</f>
        <v>0.62092501165180858</v>
      </c>
      <c r="R42" s="1219">
        <f ca="1">PL!R9/BS!R38</f>
        <v>0.64024644061723246</v>
      </c>
      <c r="S42" s="1219">
        <f ca="1">PL!S9/BS!S38</f>
        <v>0.66322634916039225</v>
      </c>
    </row>
    <row r="43" spans="2:19">
      <c r="B43" s="306" t="s">
        <v>132</v>
      </c>
      <c r="C43" s="926">
        <f>BS!C38/BS!C76</f>
        <v>2.2985651129446478</v>
      </c>
      <c r="D43" s="294">
        <f>BS!D38/BS!D76</f>
        <v>2.437421918113174</v>
      </c>
      <c r="E43" s="294">
        <f>BS!E38/BS!E76</f>
        <v>2.863307972922887</v>
      </c>
      <c r="F43" s="294">
        <f>BS!F38/BS!F76</f>
        <v>3.0352703645807466</v>
      </c>
      <c r="G43" s="294">
        <f>BS!G38/BS!G76</f>
        <v>3.1320605711988581</v>
      </c>
      <c r="H43" s="295">
        <f>BS!H38/BS!H76</f>
        <v>2.1873914899295128</v>
      </c>
      <c r="I43" s="926">
        <f>BS!I38/BS!I76</f>
        <v>2.3856956796138844</v>
      </c>
      <c r="J43" s="294">
        <f>BS!J38/BS!J76</f>
        <v>2.3914121258278866</v>
      </c>
      <c r="K43" s="294">
        <f>BS!K38/BS!K76</f>
        <v>2.6505432671671136</v>
      </c>
      <c r="L43" s="294">
        <f>BS!L38/BS!L76</f>
        <v>2.993038751077417</v>
      </c>
      <c r="M43" s="295">
        <f>BS!M38/BS!M76</f>
        <v>2.4541126196386274</v>
      </c>
      <c r="N43" s="295">
        <f>BS!N38/BS!N76</f>
        <v>2.4138083650398459</v>
      </c>
      <c r="O43" s="295">
        <f>BS!O38/BS!O76</f>
        <v>2.4165761010021405</v>
      </c>
      <c r="P43" s="295">
        <f>BS!P38/BS!P76</f>
        <v>2.4143159989517833</v>
      </c>
      <c r="Q43" s="1219">
        <f ca="1">BS!Q38/BS!Q76</f>
        <v>2.1448704263037297</v>
      </c>
      <c r="R43" s="1219">
        <f ca="1">BS!R38/BS!R76</f>
        <v>2.0291057306907172</v>
      </c>
      <c r="S43" s="1219">
        <f ca="1">BS!S38/BS!S76</f>
        <v>1.9185743105010222</v>
      </c>
    </row>
    <row r="44" spans="2:19">
      <c r="B44" s="235" t="s">
        <v>303</v>
      </c>
      <c r="C44" s="932">
        <f t="shared" ref="C44:K44" si="21">C41*C42*C43</f>
        <v>0.32118460917520564</v>
      </c>
      <c r="D44" s="271">
        <f t="shared" si="21"/>
        <v>0.28650424058257568</v>
      </c>
      <c r="E44" s="271">
        <f t="shared" si="21"/>
        <v>0.2627365277196122</v>
      </c>
      <c r="F44" s="271">
        <f t="shared" si="21"/>
        <v>0.28412667356001381</v>
      </c>
      <c r="G44" s="271">
        <f t="shared" si="21"/>
        <v>0.27041024847875172</v>
      </c>
      <c r="H44" s="305">
        <f t="shared" si="21"/>
        <v>0.30869864374507378</v>
      </c>
      <c r="I44" s="932">
        <f t="shared" si="21"/>
        <v>0.2592773329607761</v>
      </c>
      <c r="J44" s="271">
        <f t="shared" si="21"/>
        <v>0.2801242706582347</v>
      </c>
      <c r="K44" s="271">
        <f t="shared" si="21"/>
        <v>0.2809516770186723</v>
      </c>
      <c r="L44" s="271">
        <f t="shared" ref="L44:M44" si="22">L41*L42*L43</f>
        <v>0.29816162807841445</v>
      </c>
      <c r="M44" s="305">
        <f t="shared" si="22"/>
        <v>0.30842910680262253</v>
      </c>
      <c r="N44" s="305">
        <f t="shared" ref="N44:O44" si="23">N41*N42*N43</f>
        <v>0.31184435731008331</v>
      </c>
      <c r="O44" s="305">
        <f t="shared" si="23"/>
        <v>0.31641774814041129</v>
      </c>
      <c r="P44" s="305">
        <f t="shared" ref="P44" si="24">P41*P42*P43</f>
        <v>0.31026300093959402</v>
      </c>
      <c r="Q44" s="1215">
        <f ca="1">Q41*Q42*Q43</f>
        <v>0.26268460593446441</v>
      </c>
      <c r="R44" s="1215">
        <f ca="1">R41*R42*R43</f>
        <v>0.25145199233969684</v>
      </c>
      <c r="S44" s="1215">
        <f ca="1">S41*S42*S43</f>
        <v>0.24044423808385834</v>
      </c>
    </row>
    <row r="45" spans="2:19">
      <c r="B45" s="964"/>
      <c r="C45" s="934"/>
      <c r="D45" s="307"/>
      <c r="E45" s="307"/>
      <c r="F45" s="307"/>
      <c r="G45" s="307"/>
      <c r="H45" s="308"/>
      <c r="I45" s="934"/>
      <c r="J45" s="307"/>
      <c r="K45" s="307"/>
      <c r="L45" s="307"/>
      <c r="M45" s="308"/>
      <c r="N45" s="308"/>
      <c r="O45" s="308"/>
      <c r="P45" s="308"/>
      <c r="Q45" s="1221"/>
      <c r="R45" s="1221"/>
      <c r="S45" s="1221"/>
    </row>
    <row r="46" spans="2:19" hidden="1">
      <c r="B46" s="235" t="s">
        <v>304</v>
      </c>
      <c r="C46" s="932" t="e">
        <f>(PL!C47+PL!C35)*(1-PL!C52)/BS!#REF!</f>
        <v>#REF!</v>
      </c>
      <c r="D46" s="271" t="e">
        <f>(PL!D47+PL!D35)*(1-PL!D52)/BS!#REF!</f>
        <v>#REF!</v>
      </c>
      <c r="E46" s="271" t="e">
        <f>(PL!E47+PL!E35)*(1-PL!E52)/BS!#REF!</f>
        <v>#REF!</v>
      </c>
      <c r="F46" s="271" t="e">
        <f>(PL!F47+PL!F35)*(1-PL!F52)/BS!#REF!</f>
        <v>#REF!</v>
      </c>
      <c r="G46" s="271" t="e">
        <f>(PL!G47+PL!G35)*(1-PL!G52)/BS!#REF!</f>
        <v>#REF!</v>
      </c>
      <c r="H46" s="305" t="e">
        <f>(PL!H47+PL!H35)*(1-PL!H52)/BS!#REF!</f>
        <v>#REF!</v>
      </c>
      <c r="I46" s="932" t="e">
        <f>(PL!I47+PL!I35)*(1-PL!I52)/BS!#REF!</f>
        <v>#REF!</v>
      </c>
      <c r="J46" s="271" t="e">
        <f>(PL!J47+PL!J35)*(1-PL!J52)/BS!#REF!</f>
        <v>#REF!</v>
      </c>
      <c r="K46" s="271" t="e">
        <f>(PL!K47+PL!K35)*(1-PL!K52)/BS!#REF!</f>
        <v>#REF!</v>
      </c>
      <c r="L46" s="271" t="e">
        <f>(PL!L47+PL!L35)*(1-PL!L52)/BS!#REF!</f>
        <v>#REF!</v>
      </c>
      <c r="M46" s="305" t="e">
        <f>(PL!M47+PL!M35)*(1-PL!M52)/BS!#REF!</f>
        <v>#REF!</v>
      </c>
      <c r="N46" s="305" t="e">
        <f>(PL!N47+PL!N35)*(1-PL!N52)/BS!#REF!</f>
        <v>#REF!</v>
      </c>
      <c r="O46" s="305" t="e">
        <f>(PL!O47+PL!O35)*(1-PL!O52)/BS!#REF!</f>
        <v>#REF!</v>
      </c>
      <c r="P46" s="305" t="e">
        <f>(PL!P47+PL!P35)*(1-PL!P52)/BS!#REF!</f>
        <v>#REF!</v>
      </c>
      <c r="Q46" s="1215" t="e">
        <f ca="1">(PL!Q47+PL!Q35)*(1-PL!Q52)/BS!#REF!</f>
        <v>#REF!</v>
      </c>
      <c r="R46" s="1215" t="e">
        <f ca="1">(PL!R47+PL!R35)*(1-PL!R52)/BS!#REF!</f>
        <v>#REF!</v>
      </c>
      <c r="S46" s="1215" t="e">
        <f ca="1">(PL!S47+PL!S35)*(1-PL!S52)/BS!#REF!</f>
        <v>#REF!</v>
      </c>
    </row>
    <row r="47" spans="2:19" hidden="1">
      <c r="B47" s="235" t="s">
        <v>305</v>
      </c>
      <c r="C47" s="932" t="e">
        <f>C46-PL!C35*(1-PL!C52)/BS!#REF!</f>
        <v>#REF!</v>
      </c>
      <c r="D47" s="271" t="e">
        <f>D46-PL!D35*(1-PL!D52)/BS!#REF!</f>
        <v>#REF!</v>
      </c>
      <c r="E47" s="271" t="e">
        <f>E46-PL!E35*(1-PL!E52)/BS!#REF!</f>
        <v>#REF!</v>
      </c>
      <c r="F47" s="271" t="e">
        <f>F46-PL!F35*(1-PL!F52)/BS!#REF!</f>
        <v>#REF!</v>
      </c>
      <c r="G47" s="271" t="e">
        <f>G46-PL!G35*(1-PL!G52)/BS!#REF!</f>
        <v>#REF!</v>
      </c>
      <c r="H47" s="305" t="e">
        <f>H46-PL!H35*(1-PL!H52)/BS!#REF!</f>
        <v>#REF!</v>
      </c>
      <c r="I47" s="932" t="e">
        <f>I46-PL!I35*(1-PL!I52)/BS!#REF!</f>
        <v>#REF!</v>
      </c>
      <c r="J47" s="271" t="e">
        <f>J46-PL!J35*(1-PL!J52)/BS!#REF!</f>
        <v>#REF!</v>
      </c>
      <c r="K47" s="271" t="e">
        <f>K46-PL!K35*(1-PL!K52)/BS!#REF!</f>
        <v>#REF!</v>
      </c>
      <c r="L47" s="271" t="e">
        <f>L46-PL!L35*(1-PL!L52)/BS!#REF!</f>
        <v>#REF!</v>
      </c>
      <c r="M47" s="305" t="e">
        <f>M46-PL!M35*(1-PL!M52)/BS!#REF!</f>
        <v>#REF!</v>
      </c>
      <c r="N47" s="305" t="e">
        <f>N46-PL!N35*(1-PL!N52)/BS!#REF!</f>
        <v>#REF!</v>
      </c>
      <c r="O47" s="305" t="e">
        <f>O46-PL!O35*(1-PL!O52)/BS!#REF!</f>
        <v>#REF!</v>
      </c>
      <c r="P47" s="305" t="e">
        <f>P46-PL!P35*(1-PL!P52)/BS!#REF!</f>
        <v>#REF!</v>
      </c>
      <c r="Q47" s="1215" t="e">
        <f ca="1">Q46-PL!Q35*(1-PL!Q52)/BS!#REF!</f>
        <v>#REF!</v>
      </c>
      <c r="R47" s="1215" t="e">
        <f ca="1">R46-PL!R35*(1-PL!R52)/BS!#REF!</f>
        <v>#REF!</v>
      </c>
      <c r="S47" s="1215" t="e">
        <f ca="1">S46-PL!S35*(1-PL!S52)/BS!#REF!</f>
        <v>#REF!</v>
      </c>
    </row>
    <row r="48" spans="2:19" hidden="1">
      <c r="B48" s="235" t="s">
        <v>306</v>
      </c>
      <c r="C48" s="932" t="e">
        <f>BS!#REF!/BS!#REF!</f>
        <v>#REF!</v>
      </c>
      <c r="D48" s="271" t="e">
        <f>BS!#REF!/BS!#REF!</f>
        <v>#REF!</v>
      </c>
      <c r="E48" s="271" t="e">
        <f>BS!#REF!/BS!#REF!</f>
        <v>#REF!</v>
      </c>
      <c r="F48" s="271" t="e">
        <f>BS!#REF!/BS!#REF!</f>
        <v>#REF!</v>
      </c>
      <c r="G48" s="271" t="e">
        <f>BS!#REF!/BS!#REF!</f>
        <v>#REF!</v>
      </c>
      <c r="H48" s="305" t="e">
        <f>BS!#REF!/BS!#REF!</f>
        <v>#REF!</v>
      </c>
      <c r="I48" s="932" t="e">
        <f>BS!#REF!/BS!#REF!</f>
        <v>#REF!</v>
      </c>
      <c r="J48" s="271" t="e">
        <f>BS!#REF!/BS!#REF!</f>
        <v>#REF!</v>
      </c>
      <c r="K48" s="271" t="e">
        <f>BS!#REF!/BS!#REF!</f>
        <v>#REF!</v>
      </c>
      <c r="L48" s="271" t="e">
        <f>BS!#REF!/BS!#REF!</f>
        <v>#REF!</v>
      </c>
      <c r="M48" s="305" t="e">
        <f>BS!#REF!/BS!#REF!</f>
        <v>#REF!</v>
      </c>
      <c r="N48" s="305" t="e">
        <f>BS!#REF!/BS!#REF!</f>
        <v>#REF!</v>
      </c>
      <c r="O48" s="305" t="e">
        <f>BS!#REF!/BS!#REF!</f>
        <v>#REF!</v>
      </c>
      <c r="P48" s="305" t="e">
        <f>BS!#REF!/BS!#REF!</f>
        <v>#REF!</v>
      </c>
      <c r="Q48" s="1215" t="e">
        <f>BS!#REF!/BS!#REF!</f>
        <v>#REF!</v>
      </c>
      <c r="R48" s="1215" t="e">
        <f>BS!#REF!/BS!#REF!</f>
        <v>#REF!</v>
      </c>
      <c r="S48" s="1215" t="e">
        <f>BS!#REF!/BS!#REF!</f>
        <v>#REF!</v>
      </c>
    </row>
    <row r="49" spans="2:19" hidden="1">
      <c r="B49" s="235" t="s">
        <v>307</v>
      </c>
      <c r="C49" s="932" t="e">
        <f t="shared" ref="C49:K49" si="25">C46+C47*C48</f>
        <v>#REF!</v>
      </c>
      <c r="D49" s="271" t="e">
        <f t="shared" si="25"/>
        <v>#REF!</v>
      </c>
      <c r="E49" s="271" t="e">
        <f t="shared" si="25"/>
        <v>#REF!</v>
      </c>
      <c r="F49" s="271" t="e">
        <f t="shared" si="25"/>
        <v>#REF!</v>
      </c>
      <c r="G49" s="271" t="e">
        <f t="shared" si="25"/>
        <v>#REF!</v>
      </c>
      <c r="H49" s="305" t="e">
        <f t="shared" si="25"/>
        <v>#REF!</v>
      </c>
      <c r="I49" s="932" t="e">
        <f t="shared" si="25"/>
        <v>#REF!</v>
      </c>
      <c r="J49" s="271" t="e">
        <f t="shared" si="25"/>
        <v>#REF!</v>
      </c>
      <c r="K49" s="271" t="e">
        <f t="shared" si="25"/>
        <v>#REF!</v>
      </c>
      <c r="L49" s="271" t="e">
        <f t="shared" ref="L49:M49" si="26">L46+L47*L48</f>
        <v>#REF!</v>
      </c>
      <c r="M49" s="305" t="e">
        <f t="shared" si="26"/>
        <v>#REF!</v>
      </c>
      <c r="N49" s="305" t="e">
        <f t="shared" ref="N49:O49" si="27">N46+N47*N48</f>
        <v>#REF!</v>
      </c>
      <c r="O49" s="305" t="e">
        <f t="shared" si="27"/>
        <v>#REF!</v>
      </c>
      <c r="P49" s="305" t="e">
        <f t="shared" ref="P49" si="28">P46+P47*P48</f>
        <v>#REF!</v>
      </c>
      <c r="Q49" s="1215" t="e">
        <f ca="1">Q46+Q47*Q48</f>
        <v>#REF!</v>
      </c>
      <c r="R49" s="1215" t="e">
        <f ca="1">R46+R47*R48</f>
        <v>#REF!</v>
      </c>
      <c r="S49" s="1215" t="e">
        <f ca="1">S46+S47*S48</f>
        <v>#REF!</v>
      </c>
    </row>
    <row r="50" spans="2:19" hidden="1">
      <c r="B50" s="235"/>
      <c r="C50" s="240"/>
      <c r="D50" s="239"/>
      <c r="E50" s="239"/>
      <c r="F50" s="239"/>
      <c r="G50" s="239"/>
      <c r="H50" s="241"/>
      <c r="I50" s="240"/>
      <c r="J50" s="239"/>
      <c r="K50" s="239"/>
      <c r="L50" s="239"/>
      <c r="M50" s="241"/>
      <c r="N50" s="241"/>
      <c r="O50" s="241"/>
      <c r="P50" s="241"/>
      <c r="Q50" s="1218"/>
      <c r="R50" s="1218"/>
      <c r="S50" s="1218"/>
    </row>
    <row r="51" spans="2:19">
      <c r="B51" s="963" t="s">
        <v>72</v>
      </c>
      <c r="C51" s="930"/>
      <c r="D51" s="301"/>
      <c r="E51" s="301"/>
      <c r="F51" s="301"/>
      <c r="G51" s="301"/>
      <c r="H51" s="302"/>
      <c r="I51" s="930"/>
      <c r="J51" s="301"/>
      <c r="K51" s="301"/>
      <c r="L51" s="301"/>
      <c r="M51" s="302"/>
      <c r="N51" s="302"/>
      <c r="O51" s="302"/>
      <c r="P51" s="302"/>
      <c r="Q51" s="1211"/>
      <c r="R51" s="1211"/>
      <c r="S51" s="1211"/>
    </row>
    <row r="52" spans="2:19">
      <c r="B52" s="235" t="s">
        <v>308</v>
      </c>
      <c r="C52" s="935">
        <f>(BS!C51+BS!C55)/BS!C76</f>
        <v>1.1509534847855598</v>
      </c>
      <c r="D52" s="309">
        <f>(BS!D51+BS!D55)/BS!D76</f>
        <v>1.2924308091647656</v>
      </c>
      <c r="E52" s="309">
        <f>(BS!E51+BS!E55)/BS!E76</f>
        <v>1.693408428650673</v>
      </c>
      <c r="F52" s="309">
        <f>(BS!F51+BS!F55)/BS!F76</f>
        <v>1.8486590450812967</v>
      </c>
      <c r="G52" s="309">
        <f>(BS!G51+BS!G55)/BS!G76</f>
        <v>1.9301784110641367</v>
      </c>
      <c r="H52" s="310">
        <f>(BS!H51+BS!H55)/BS!H76</f>
        <v>1.0290760590997385</v>
      </c>
      <c r="I52" s="935">
        <f>(BS!I51+BS!I55)/BS!I76</f>
        <v>1.2011507194678881</v>
      </c>
      <c r="J52" s="309">
        <f>(BS!J51+BS!J55)/BS!J76</f>
        <v>1.1883868289039363</v>
      </c>
      <c r="K52" s="309">
        <f>(BS!K51+BS!K55)/BS!K76</f>
        <v>1.4688989361392786</v>
      </c>
      <c r="L52" s="309">
        <f>(BS!L51+BS!L55)/BS!L76</f>
        <v>1.7992339478763137</v>
      </c>
      <c r="M52" s="310">
        <f>(BS!M51+BS!M55)/BS!M76</f>
        <v>1.2493440005858698</v>
      </c>
      <c r="N52" s="310">
        <f>(BS!N51+BS!N55)/BS!N76</f>
        <v>1.2152489108545999</v>
      </c>
      <c r="O52" s="310">
        <f>(BS!O51+BS!O55)/BS!O76</f>
        <v>1.2174324415943762</v>
      </c>
      <c r="P52" s="310">
        <f>(BS!P51+BS!P55)/BS!P76</f>
        <v>1.2151978404952606</v>
      </c>
      <c r="Q52" s="1222">
        <f ca="1">(BS!Q51+BS!Q55)/BS!Q76</f>
        <v>0.97178345432952751</v>
      </c>
      <c r="R52" s="1222">
        <f ca="1">(BS!R51+BS!R55)/BS!R76</f>
        <v>0.87854623779819008</v>
      </c>
      <c r="S52" s="1222">
        <f ca="1">(BS!S51+BS!S55)/BS!S76</f>
        <v>0.78757176086228553</v>
      </c>
    </row>
    <row r="53" spans="2:19">
      <c r="B53" s="235" t="s">
        <v>133</v>
      </c>
      <c r="C53" s="935">
        <f>BS!C61/BS!C79</f>
        <v>0.50072694408517127</v>
      </c>
      <c r="D53" s="309">
        <f>BS!D61/BS!D79</f>
        <v>0.53024500992640844</v>
      </c>
      <c r="E53" s="309">
        <f>BS!E61/BS!E79</f>
        <v>0.59141679646916534</v>
      </c>
      <c r="F53" s="309">
        <f>BS!F61/BS!F79</f>
        <v>0.60905910282448483</v>
      </c>
      <c r="G53" s="309">
        <f>BS!G61/BS!G79</f>
        <v>0.61626471365632696</v>
      </c>
      <c r="H53" s="310">
        <f>BS!H61/BS!H79</f>
        <v>0.47045810676208671</v>
      </c>
      <c r="I53" s="935">
        <f>BS!I61/BS!I79</f>
        <v>0.50348027610222679</v>
      </c>
      <c r="J53" s="309">
        <f>BS!J61/BS!J79</f>
        <v>0.49693936735916105</v>
      </c>
      <c r="K53" s="309">
        <f>BS!K61/BS!K79</f>
        <v>0.5541878732314488</v>
      </c>
      <c r="L53" s="309">
        <f>BS!L61/BS!L79</f>
        <v>0.60113954329145791</v>
      </c>
      <c r="M53" s="310">
        <f>BS!M61/BS!M79</f>
        <v>0.50908177179327563</v>
      </c>
      <c r="N53" s="310">
        <f>BS!N61/BS!N79</f>
        <v>0.50345707988071342</v>
      </c>
      <c r="O53" s="310">
        <f>BS!O61/BS!O79</f>
        <v>0.5037841677178243</v>
      </c>
      <c r="P53" s="310">
        <f>BS!P61/BS!P79</f>
        <v>0.50333006989261542</v>
      </c>
      <c r="Q53" s="1222">
        <f ca="1">BS!Q61/BS!Q79</f>
        <v>0.45307326839514894</v>
      </c>
      <c r="R53" s="1222">
        <f ca="1">BS!R61/BS!R79</f>
        <v>0.43297213373850602</v>
      </c>
      <c r="S53" s="1222">
        <f ca="1">BS!S61/BS!S79</f>
        <v>0.41049843967556127</v>
      </c>
    </row>
    <row r="54" spans="2:19">
      <c r="B54" s="235" t="s">
        <v>309</v>
      </c>
      <c r="C54" s="935">
        <f>(BS!C50+BS!C53)/BS!C76</f>
        <v>0.46612739008286447</v>
      </c>
      <c r="D54" s="309">
        <f>(BS!D50+BS!D53)/BS!D76</f>
        <v>0.58568969161062301</v>
      </c>
      <c r="E54" s="309">
        <f>(BS!E50+BS!E53)/BS!E76</f>
        <v>0.86750048687048653</v>
      </c>
      <c r="F54" s="309">
        <f>(BS!F50+BS!F53)/BS!F76</f>
        <v>1.0261860003742951</v>
      </c>
      <c r="G54" s="309">
        <f>(BS!G50+BS!G53)/BS!G76</f>
        <v>1.0434893041942961</v>
      </c>
      <c r="H54" s="310">
        <f>(BS!H50+BS!H53)/BS!H76</f>
        <v>0.40967734313163096</v>
      </c>
      <c r="I54" s="935">
        <f>(BS!I50+BS!I53)/BS!I76</f>
        <v>0.55845389824005753</v>
      </c>
      <c r="J54" s="309">
        <f>(BS!J50+BS!J53)/BS!J76</f>
        <v>0.56311160627945422</v>
      </c>
      <c r="K54" s="309">
        <f>(BS!K50+BS!K53)/BS!K76</f>
        <v>0.8091294538844217</v>
      </c>
      <c r="L54" s="309">
        <f>(BS!L50+BS!L53)/BS!L76</f>
        <v>1.1201054737515139</v>
      </c>
      <c r="M54" s="310">
        <f>(BS!M50+BS!M53)/BS!M76</f>
        <v>0.58832555348840432</v>
      </c>
      <c r="N54" s="310">
        <f>(BS!N50+BS!N53)/BS!N76</f>
        <v>0.56242017821505785</v>
      </c>
      <c r="O54" s="310">
        <f>(BS!O50+BS!O53)/BS!O76</f>
        <v>0.50168656873715778</v>
      </c>
      <c r="P54" s="310">
        <f>(BS!P50+BS!P53)/BS!P76</f>
        <v>0.57757153412056894</v>
      </c>
      <c r="Q54" s="1222">
        <f ca="1">(BS!Q50+BS!Q53)/BS!Q76</f>
        <v>0.50031193059896495</v>
      </c>
      <c r="R54" s="1222">
        <f ca="1">(BS!R50+BS!R53)/BS!R76</f>
        <v>0.43272469114326068</v>
      </c>
      <c r="S54" s="1222">
        <f ca="1">(BS!S50+BS!S53)/BS!S76</f>
        <v>0.36518444438733727</v>
      </c>
    </row>
    <row r="55" spans="2:19">
      <c r="B55" s="235" t="s">
        <v>310</v>
      </c>
      <c r="C55" s="935">
        <f>BS!C57/BS!C76</f>
        <v>-1.8611811992028861E-2</v>
      </c>
      <c r="D55" s="309">
        <f>BS!D57/BS!D76</f>
        <v>2.5267617583560236E-3</v>
      </c>
      <c r="E55" s="309">
        <f>BS!E57/BS!E76</f>
        <v>0.13901443210101622</v>
      </c>
      <c r="F55" s="309">
        <f>BS!F57/BS!F76</f>
        <v>0.30340696599919842</v>
      </c>
      <c r="G55" s="309">
        <f>BS!G57/BS!G76</f>
        <v>4.7654521468446738E-2</v>
      </c>
      <c r="H55" s="309">
        <f>BS!H57/BS!H76</f>
        <v>-0.27805668033189124</v>
      </c>
      <c r="I55" s="935">
        <f>BS!I57/BS!I76</f>
        <v>-0.2027310629247337</v>
      </c>
      <c r="J55" s="309">
        <f>BS!J57/BS!J76</f>
        <v>-0.16463252747539114</v>
      </c>
      <c r="K55" s="309">
        <f>BS!K57/BS!K76</f>
        <v>-0.27829424278558723</v>
      </c>
      <c r="L55" s="309">
        <f>BS!L57/BS!L76</f>
        <v>-0.33737446129403514</v>
      </c>
      <c r="M55" s="309">
        <f>BS!M57/BS!M76</f>
        <v>-0.33759754783060653</v>
      </c>
      <c r="N55" s="309">
        <f>BS!N57/BS!N76</f>
        <v>-0.41392359449198213</v>
      </c>
      <c r="O55" s="309">
        <f>BS!O57/BS!O76</f>
        <v>-0.54216186897995655</v>
      </c>
      <c r="P55" s="309">
        <f>BS!P57/BS!P76</f>
        <v>-0.52292628691379495</v>
      </c>
      <c r="Q55" s="1222">
        <f ca="1">BS!Q57/BS!Q76</f>
        <v>-0.60395744966565112</v>
      </c>
      <c r="R55" s="1222">
        <f ca="1">BS!R57/BS!R76</f>
        <v>-0.55168384737544918</v>
      </c>
      <c r="S55" s="1222">
        <f ca="1">BS!S57/BS!S76</f>
        <v>-0.50221029555309415</v>
      </c>
    </row>
    <row r="56" spans="2:19">
      <c r="B56" s="235" t="s">
        <v>311</v>
      </c>
      <c r="C56" s="935">
        <f>(BS!C50+BS!C53)/BS!C79</f>
        <v>0.20279059638459304</v>
      </c>
      <c r="D56" s="309">
        <f>(BS!D50+BS!D53)/BS!D79</f>
        <v>0.24029064777755407</v>
      </c>
      <c r="E56" s="309">
        <f>(BS!E50+BS!E53)/BS!E79</f>
        <v>0.30297142154252288</v>
      </c>
      <c r="F56" s="309">
        <f>(BS!F50+BS!F53)/BS!F79</f>
        <v>0.3380871807497251</v>
      </c>
      <c r="G56" s="309">
        <f>(BS!G50+BS!G53)/BS!G79</f>
        <v>0.33316383271440997</v>
      </c>
      <c r="H56" s="310">
        <f>(BS!H50+BS!H53)/BS!H79</f>
        <v>0.18729036161004381</v>
      </c>
      <c r="I56" s="935">
        <f>(BS!I50+BS!I53)/BS!I79</f>
        <v>0.23408429793126048</v>
      </c>
      <c r="J56" s="309">
        <f>(BS!J50+BS!J53)/BS!J79</f>
        <v>0.23547242242259259</v>
      </c>
      <c r="K56" s="309">
        <f>(BS!K50+BS!K53)/BS!K79</f>
        <v>0.30526928720888785</v>
      </c>
      <c r="L56" s="309">
        <f>(BS!L50+BS!L53)/BS!L79</f>
        <v>0.37423687660184984</v>
      </c>
      <c r="M56" s="310">
        <f>(BS!M50+BS!M53)/BS!M79</f>
        <v>0.23973046256330169</v>
      </c>
      <c r="N56" s="310">
        <f>(BS!N50+BS!N53)/BS!N79</f>
        <v>0.23300117207348137</v>
      </c>
      <c r="O56" s="310">
        <f>(BS!O50+BS!O53)/BS!O79</f>
        <v>0.20760227988952221</v>
      </c>
      <c r="P56" s="310">
        <f>(BS!P50+BS!P53)/BS!P79</f>
        <v>0.23922781208894425</v>
      </c>
      <c r="Q56" s="1222">
        <f ca="1">(BS!Q50+BS!Q53)/BS!Q79</f>
        <v>0.23325974588644771</v>
      </c>
      <c r="R56" s="1222">
        <f ca="1">(BS!R50+BS!R53)/BS!R79</f>
        <v>0.21325881869938793</v>
      </c>
      <c r="S56" s="1222">
        <f ca="1">(BS!S50+BS!S53)/BS!S79</f>
        <v>0.19034156893926713</v>
      </c>
    </row>
    <row r="57" spans="2:19">
      <c r="B57" s="235" t="s">
        <v>312</v>
      </c>
      <c r="C57" s="935">
        <f>BS!C53/BS!C79</f>
        <v>1.5345459158619249E-3</v>
      </c>
      <c r="D57" s="309">
        <f>BS!D53/BS!D79</f>
        <v>3.1533463270167739E-3</v>
      </c>
      <c r="E57" s="309">
        <f>BS!E53/BS!E79</f>
        <v>6.2854752140609448E-3</v>
      </c>
      <c r="F57" s="309">
        <f>BS!F53/BS!F79</f>
        <v>2.3587664076127408E-2</v>
      </c>
      <c r="G57" s="309">
        <f>BS!G53/BS!G79</f>
        <v>2.4559755395585168E-2</v>
      </c>
      <c r="H57" s="310">
        <f>BS!H53/BS!H79</f>
        <v>2.2608684903862274E-2</v>
      </c>
      <c r="I57" s="935">
        <f>BS!I53/BS!I79</f>
        <v>1.2326259204523956E-2</v>
      </c>
      <c r="J57" s="309">
        <f>BS!J53/BS!J79</f>
        <v>1.0473958778548249E-2</v>
      </c>
      <c r="K57" s="309">
        <f>BS!K53/BS!K79</f>
        <v>1.6240754872033549E-2</v>
      </c>
      <c r="L57" s="309">
        <f>BS!L53/BS!L79</f>
        <v>4.2763436637146719E-2</v>
      </c>
      <c r="M57" s="310">
        <f>BS!M53/BS!M79</f>
        <v>2.8612173906103554E-2</v>
      </c>
      <c r="N57" s="310">
        <f>BS!N53/BS!N79</f>
        <v>3.4516462727041844E-3</v>
      </c>
      <c r="O57" s="310">
        <f>BS!O53/BS!O79</f>
        <v>6.9600019333338706E-3</v>
      </c>
      <c r="P57" s="310">
        <f>BS!P53/BS!P79</f>
        <v>2.1611966877796516E-2</v>
      </c>
      <c r="Q57" s="310">
        <f ca="1">BS!Q53/BS!Q79</f>
        <v>2.066822186925529E-2</v>
      </c>
      <c r="R57" s="310">
        <f ca="1">BS!R53/BS!R79</f>
        <v>1.8483499738431029E-2</v>
      </c>
      <c r="S57" s="310">
        <f ca="1">BS!S53/BS!S79</f>
        <v>1.6497223238682385E-2</v>
      </c>
    </row>
    <row r="58" spans="2:19">
      <c r="B58" s="235" t="s">
        <v>313</v>
      </c>
      <c r="C58" s="927">
        <f>IF(PL!C35&gt;0,(PL!C47+PL!C35)/PL!C35,"N/a")</f>
        <v>11.524686931535459</v>
      </c>
      <c r="D58" s="270">
        <f>IF(PL!D35&gt;0,(PL!D47+PL!D35)/PL!D35,"N/a")</f>
        <v>19.987151661731534</v>
      </c>
      <c r="E58" s="270">
        <f>IF(PL!E35&gt;0,(PL!E47+PL!E35)/PL!E35,"N/a")</f>
        <v>15.799867309336532</v>
      </c>
      <c r="F58" s="270">
        <f>IF(PL!F35&gt;0,(PL!F47+PL!F35)/PL!F35,"N/a")</f>
        <v>11.86142303448864</v>
      </c>
      <c r="G58" s="270">
        <f>IF(PL!G35&gt;0,(PL!G47+PL!G35)/PL!G35,"N/a")</f>
        <v>9.0545451501201146</v>
      </c>
      <c r="H58" s="296">
        <f>IF(PL!H35&gt;0,(PL!H47+PL!H35)/PL!H35,"N/a")</f>
        <v>12.54569979690347</v>
      </c>
      <c r="I58" s="927">
        <f>IF(PL!I35&gt;0,(PL!I47+PL!I35)/PL!I35,"N/a")</f>
        <v>17.184991304100635</v>
      </c>
      <c r="J58" s="270">
        <f>IF(PL!J35&gt;0,(PL!J47+PL!J35)/PL!J35,"N/a")</f>
        <v>13.993572269426455</v>
      </c>
      <c r="K58" s="270">
        <f>IF(PL!K35&gt;0,(PL!K47+PL!K35)/PL!K35,"N/a")</f>
        <v>14.65933278816027</v>
      </c>
      <c r="L58" s="270">
        <f>IF(PL!L35&gt;0,(PL!L47+PL!L35)/PL!L35,"N/a")</f>
        <v>14.09351409274454</v>
      </c>
      <c r="M58" s="296">
        <f>IF(PL!M35&gt;0,(PL!M47+PL!M35)/PL!M35,"N/a")</f>
        <v>12.866160298331485</v>
      </c>
      <c r="N58" s="296">
        <f>IF(PL!N35&gt;0,(PL!N47+PL!N35)/PL!N35,"N/a")</f>
        <v>12.052688942376971</v>
      </c>
      <c r="O58" s="296">
        <f>IF(PL!O35&gt;0,(PL!O47+PL!O35)/PL!O35,"N/a")</f>
        <v>21.066818939888343</v>
      </c>
      <c r="P58" s="296">
        <f>IF(PL!P35&gt;0,(PL!P47+PL!P35)/PL!P35,"N/a")</f>
        <v>17.219274846868213</v>
      </c>
      <c r="Q58" s="296">
        <f ca="1">IF(PL!Q35&gt;0,(PL!Q47+PL!Q35)/PL!Q35,"N/a")</f>
        <v>15.365024863221278</v>
      </c>
      <c r="R58" s="296">
        <f ca="1">IF(PL!R35&gt;0,(PL!R47+PL!R35)/PL!R35,"N/a")</f>
        <v>16.35955281142861</v>
      </c>
      <c r="S58" s="296">
        <f ca="1">IF(PL!S35&gt;0,(PL!S47+PL!S35)/PL!S35,"N/a")</f>
        <v>18.213558704614393</v>
      </c>
    </row>
    <row r="59" spans="2:19">
      <c r="B59" s="235"/>
      <c r="C59" s="936"/>
      <c r="D59" s="267"/>
      <c r="E59" s="267"/>
      <c r="F59" s="267"/>
      <c r="G59" s="267"/>
      <c r="H59" s="311"/>
      <c r="I59" s="936"/>
      <c r="J59" s="267"/>
      <c r="K59" s="267"/>
      <c r="L59" s="267"/>
      <c r="M59" s="311"/>
      <c r="N59" s="311"/>
      <c r="O59" s="311"/>
      <c r="P59" s="311"/>
      <c r="Q59" s="311"/>
      <c r="R59" s="311"/>
      <c r="S59" s="311"/>
    </row>
    <row r="60" spans="2:19">
      <c r="B60" s="963" t="s">
        <v>73</v>
      </c>
      <c r="C60" s="930"/>
      <c r="D60" s="301"/>
      <c r="E60" s="301"/>
      <c r="F60" s="301"/>
      <c r="G60" s="301"/>
      <c r="H60" s="302"/>
      <c r="I60" s="930"/>
      <c r="J60" s="301"/>
      <c r="K60" s="301"/>
      <c r="L60" s="301"/>
      <c r="M60" s="302"/>
      <c r="N60" s="302"/>
      <c r="O60" s="302"/>
      <c r="P60" s="302"/>
      <c r="Q60" s="302"/>
      <c r="R60" s="302"/>
      <c r="S60" s="302"/>
    </row>
    <row r="61" spans="2:19">
      <c r="B61" s="306" t="s">
        <v>134</v>
      </c>
      <c r="C61" s="240" t="e">
        <f>PL!C10</f>
        <v>#VALUE!</v>
      </c>
      <c r="D61" s="239">
        <f>PL!D10</f>
        <v>9.8949128718582635E-2</v>
      </c>
      <c r="E61" s="239">
        <f>PL!E10</f>
        <v>0.20781377670543089</v>
      </c>
      <c r="F61" s="239">
        <f>PL!F10</f>
        <v>0.16281508185270765</v>
      </c>
      <c r="G61" s="239">
        <f>PL!G10</f>
        <v>4.1406279802804091E-2</v>
      </c>
      <c r="H61" s="241">
        <f>PL!H10</f>
        <v>7.9105135303566554E-2</v>
      </c>
      <c r="I61" s="932">
        <f>PL!I10</f>
        <v>-0.45582998602426605</v>
      </c>
      <c r="J61" s="271">
        <f>PL!J10</f>
        <v>0.19399987697485854</v>
      </c>
      <c r="K61" s="271">
        <f>PL!K10</f>
        <v>7.6250799616477183E-2</v>
      </c>
      <c r="L61" s="271">
        <f>PL!L10</f>
        <v>0.19533301314420459</v>
      </c>
      <c r="M61" s="305">
        <f>PL!M10</f>
        <v>0.23423741868397752</v>
      </c>
      <c r="N61" s="305">
        <f>PL!N10</f>
        <v>0.19560248882670583</v>
      </c>
      <c r="O61" s="305">
        <f>PL!O10</f>
        <v>0.19443742550995746</v>
      </c>
      <c r="P61" s="305">
        <f>PL!P10</f>
        <v>0.11708896861817064</v>
      </c>
      <c r="Q61" s="305">
        <f ca="1">PL!Q10</f>
        <v>-0.18535125311170753</v>
      </c>
      <c r="R61" s="305">
        <f ca="1">PL!R10</f>
        <v>0.15299368292663984</v>
      </c>
      <c r="S61" s="305">
        <f ca="1">PL!S10</f>
        <v>0.16061439708225311</v>
      </c>
    </row>
    <row r="62" spans="2:19">
      <c r="B62" s="306" t="s">
        <v>135</v>
      </c>
      <c r="C62" s="240" t="e">
        <f>IF(PL!B47=0,"N/a",PL!C47/PL!B47-1)</f>
        <v>#VALUE!</v>
      </c>
      <c r="D62" s="239">
        <f>IF(PL!C47=0,"N/a",PL!D47/PL!C47-1)</f>
        <v>4.5321685440719905E-2</v>
      </c>
      <c r="E62" s="239">
        <f>IF(PL!D47=0,"N/a",PL!E47/PL!D47-1)</f>
        <v>-2.2422132964555641E-2</v>
      </c>
      <c r="F62" s="239">
        <f>IF(PL!E47=0,"N/a",PL!F47/PL!E47-1)</f>
        <v>0.1593692130060238</v>
      </c>
      <c r="G62" s="239">
        <f>IF(PL!F47=0,"N/a",PL!G47/PL!F47-1)</f>
        <v>5.7082196810502861E-2</v>
      </c>
      <c r="H62" s="241">
        <f>IF(PL!G47=0,"N/a",PL!H47/PL!G47-1)</f>
        <v>0.41183173315314714</v>
      </c>
      <c r="I62" s="932">
        <f>IF(PL!H47=0,"N/a",PL!I47/PL!H47-1)</f>
        <v>-9.3420498112249839E-2</v>
      </c>
      <c r="J62" s="271">
        <f>IF(PL!I47=0,"N/a",PL!J47/PL!I47-1)</f>
        <v>0.20917861416568506</v>
      </c>
      <c r="K62" s="271">
        <f>IF(PL!J47=0,"N/a",PL!K47/PL!J47-1)</f>
        <v>0.12840008587315466</v>
      </c>
      <c r="L62" s="271">
        <f>IF(PL!K47=0,"N/a",PL!L47/PL!K47-1)</f>
        <v>0.20400088506053371</v>
      </c>
      <c r="M62" s="305">
        <f>IF(PL!L47=0,"N/a",PL!M47/PL!L47-1)</f>
        <v>0.20909473776298326</v>
      </c>
      <c r="N62" s="305">
        <f>IF(PL!M47=0,"N/a",PL!N47/PL!M47-1)</f>
        <v>0.20107886210379844</v>
      </c>
      <c r="O62" s="305">
        <f>IF(PL!N47=0,"N/a",PL!O47/PL!N47-1)</f>
        <v>0.20283088823770945</v>
      </c>
      <c r="P62" s="305">
        <f>IF(PL!O47=0,"N/a",PL!P47/PL!O47-1)</f>
        <v>0.1864610114493126</v>
      </c>
      <c r="Q62" s="305">
        <f ca="1">IF(PL!P47=0,"N/a",PL!Q47/PL!P47-1)</f>
        <v>1.0515096793228151E-2</v>
      </c>
      <c r="R62" s="305">
        <f ca="1">IF(PL!Q47=0,"N/a",PL!R47/PL!Q47-1)</f>
        <v>0.13145100207432003</v>
      </c>
      <c r="S62" s="305">
        <f ca="1">IF(PL!R47=0,"N/a",PL!S47/PL!R47-1)</f>
        <v>0.13307511118442572</v>
      </c>
    </row>
    <row r="63" spans="2:19">
      <c r="B63" s="306" t="s">
        <v>136</v>
      </c>
      <c r="C63" s="240" t="e">
        <f>PL!C53/PL!B53-1</f>
        <v>#VALUE!</v>
      </c>
      <c r="D63" s="239">
        <f>PL!D53/PL!C53-1</f>
        <v>4.020483069756553E-2</v>
      </c>
      <c r="E63" s="239">
        <f>PL!E53/PL!D53-1</f>
        <v>6.6875111217377103E-3</v>
      </c>
      <c r="F63" s="239">
        <f>PL!F53/PL!E53-1</f>
        <v>0.17264955254916647</v>
      </c>
      <c r="G63" s="239">
        <f>PL!G53/PL!F53-1</f>
        <v>5.6440236237927488E-2</v>
      </c>
      <c r="H63" s="241">
        <f>PL!H53/PL!G53-1</f>
        <v>0.36977383013481302</v>
      </c>
      <c r="I63" s="932">
        <f>PL!I53/PL!H53-1</f>
        <v>-8.3363740648265239E-2</v>
      </c>
      <c r="J63" s="271">
        <f>PL!J53/PL!I53-1</f>
        <v>0.2095595624456883</v>
      </c>
      <c r="K63" s="271">
        <f>PL!K53/PL!J53-1</f>
        <v>0.13089742518921499</v>
      </c>
      <c r="L63" s="271">
        <f>PL!L53/PL!K53-1</f>
        <v>0.20922450013985183</v>
      </c>
      <c r="M63" s="305">
        <f>PL!M53/PL!L53-1</f>
        <v>0.21349375062858256</v>
      </c>
      <c r="N63" s="305">
        <f>PL!N53/PL!M53-1</f>
        <v>0.19975930933900443</v>
      </c>
      <c r="O63" s="305">
        <f>PL!O53/PL!N53-1</f>
        <v>0.21049817543471949</v>
      </c>
      <c r="P63" s="305">
        <f>PL!P53/PL!O53-1</f>
        <v>0.20079194519815569</v>
      </c>
      <c r="Q63" s="305">
        <f ca="1">PL!Q53/PL!P53-1</f>
        <v>-3.4734742330081447E-3</v>
      </c>
      <c r="R63" s="305">
        <f ca="1">PL!R53/PL!Q53-1</f>
        <v>0.13145100207432026</v>
      </c>
      <c r="S63" s="305">
        <f ca="1">PL!S53/PL!R53-1</f>
        <v>0.13307511118442572</v>
      </c>
    </row>
    <row r="64" spans="2:19">
      <c r="B64" s="306" t="s">
        <v>137</v>
      </c>
      <c r="C64" s="240" t="e">
        <f>PL!C117/PL!B117-1</f>
        <v>#VALUE!</v>
      </c>
      <c r="D64" s="239">
        <f>PL!D117/PL!C117-1</f>
        <v>3.8613653223009026E-2</v>
      </c>
      <c r="E64" s="239">
        <f>PL!E117/PL!D117-1</f>
        <v>-0.18780957687400635</v>
      </c>
      <c r="F64" s="239">
        <f>PL!F117/PL!E117-1</f>
        <v>2.3701330085759365E-2</v>
      </c>
      <c r="G64" s="239">
        <f>PL!G117/PL!F117-1</f>
        <v>-0.10794853963361961</v>
      </c>
      <c r="H64" s="241">
        <f>PL!H117/PL!G117-1</f>
        <v>0.27425013731687908</v>
      </c>
      <c r="I64" s="932">
        <f>PL!I117/PL!H117-1</f>
        <v>-0.22662921575258321</v>
      </c>
      <c r="J64" s="271">
        <f>PL!J117/PL!I117-1</f>
        <v>8.244830578617357E-2</v>
      </c>
      <c r="K64" s="271">
        <f>PL!K117/PL!J117-1</f>
        <v>-2.3610817746118729E-2</v>
      </c>
      <c r="L64" s="271">
        <f>PL!L117/PL!K117-1</f>
        <v>5.9033422506886701E-2</v>
      </c>
      <c r="M64" s="305">
        <f>PL!M117/PL!L117-1</f>
        <v>1.2807575202046007E-2</v>
      </c>
      <c r="N64" s="305">
        <f>PL!N117/PL!M117-1</f>
        <v>5.172449533089396E-2</v>
      </c>
      <c r="O64" s="305">
        <f>PL!O117/PL!N117-1</f>
        <v>4.9114167074836956E-2</v>
      </c>
      <c r="P64" s="305">
        <f>PL!P117/PL!O117-1</f>
        <v>4.0224610278210893E-2</v>
      </c>
      <c r="Q64" s="305">
        <f ca="1">PL!Q117/PL!P117-1</f>
        <v>0.17420761684148633</v>
      </c>
      <c r="R64" s="305">
        <f ca="1">PL!R117/PL!Q117-1</f>
        <v>0.12973889047103593</v>
      </c>
      <c r="S64" s="305">
        <f ca="1">PL!S117/PL!R117-1</f>
        <v>0.1330751111844255</v>
      </c>
    </row>
    <row r="65" spans="2:19">
      <c r="B65" s="306" t="s">
        <v>138</v>
      </c>
      <c r="C65" s="240" t="e">
        <f>BS!C79/BS!B79-1</f>
        <v>#VALUE!</v>
      </c>
      <c r="D65" s="239">
        <f>BS!D79/BS!C79-1</f>
        <v>0.23656354629187137</v>
      </c>
      <c r="E65" s="239">
        <f>BS!E79/BS!D79-1</f>
        <v>0.28956319505484385</v>
      </c>
      <c r="F65" s="239">
        <f>BS!F79/BS!E79-1</f>
        <v>0.14949215181215525</v>
      </c>
      <c r="G65" s="239">
        <f>BS!G79/BS!F79-1</f>
        <v>0.1454247525742054</v>
      </c>
      <c r="H65" s="241">
        <f>BS!H79/BS!G79-1</f>
        <v>-0.16201999460857686</v>
      </c>
      <c r="I65" s="932">
        <f>BS!I79/BS!H79-1</f>
        <v>0.19029806959179929</v>
      </c>
      <c r="J65" s="271">
        <f>BS!J79/BS!I79-1</f>
        <v>0.12222633016368367</v>
      </c>
      <c r="K65" s="271">
        <f>BS!K79/BS!J79-1</f>
        <v>0.24974899523290017</v>
      </c>
      <c r="L65" s="271">
        <f>BS!L79/BS!K79-1</f>
        <v>0.28666135528926562</v>
      </c>
      <c r="M65" s="305">
        <f>BS!M79/BS!L79-1</f>
        <v>-3.8130645730259038E-2</v>
      </c>
      <c r="N65" s="305">
        <f>BS!N79/BS!M79-1</f>
        <v>0.16713177775022237</v>
      </c>
      <c r="O65" s="305">
        <f>BS!O79/BS!N79-1</f>
        <v>0.19436965627908598</v>
      </c>
      <c r="P65" s="305">
        <f>BS!P79/BS!O79-1</f>
        <v>0.22346730901678047</v>
      </c>
      <c r="Q65" s="305">
        <f ca="1">BS!Q79/BS!P79-1</f>
        <v>4.5661644940297341E-2</v>
      </c>
      <c r="R65" s="305">
        <f ca="1">BS!R79/BS!Q79-1</f>
        <v>0.11819851011666205</v>
      </c>
      <c r="S65" s="305">
        <f ca="1">BS!S79/BS!R79-1</f>
        <v>0.12040065597774419</v>
      </c>
    </row>
    <row r="66" spans="2:19">
      <c r="B66" s="306" t="s">
        <v>139</v>
      </c>
      <c r="C66" s="240" t="e">
        <f>BS!C76/BS!B76-1</f>
        <v>#VALUE!</v>
      </c>
      <c r="D66" s="239">
        <f>BS!D76/BS!C76-1</f>
        <v>0.16611810467589083</v>
      </c>
      <c r="E66" s="239">
        <f>BS!E76/BS!D76-1</f>
        <v>9.7754634200287738E-2</v>
      </c>
      <c r="F66" s="239">
        <f>BS!F76/BS!E76-1</f>
        <v>8.4367996177056703E-2</v>
      </c>
      <c r="G66" s="239">
        <f>BS!G76/BS!F76-1</f>
        <v>0.11002764068989679</v>
      </c>
      <c r="H66" s="241">
        <f>BS!H76/BS!G76-1</f>
        <v>0.19987855234092544</v>
      </c>
      <c r="I66" s="932">
        <f>BS!I76/BS!H76-1</f>
        <v>9.1357917169895941E-2</v>
      </c>
      <c r="J66" s="271">
        <f>BS!J76/BS!I76-1</f>
        <v>0.11954375346055812</v>
      </c>
      <c r="K66" s="271">
        <f>BS!K76/BS!J76-1</f>
        <v>0.12756691749289706</v>
      </c>
      <c r="L66" s="271">
        <f>BS!L76/BS!K76-1</f>
        <v>0.13942781100259349</v>
      </c>
      <c r="M66" s="305">
        <f>BS!M76/BS!L76-1</f>
        <v>0.17309704035794038</v>
      </c>
      <c r="N66" s="305">
        <f>BS!N76/BS!M76-1</f>
        <v>0.18661981043835052</v>
      </c>
      <c r="O66" s="305">
        <f>BS!O76/BS!N76-1</f>
        <v>0.19300206060488634</v>
      </c>
      <c r="P66" s="305">
        <f>BS!P76/BS!O76-1</f>
        <v>0.22461228742746076</v>
      </c>
      <c r="Q66" s="305">
        <f ca="1">BS!Q76/BS!P76-1</f>
        <v>0.17702104887528636</v>
      </c>
      <c r="R66" s="305">
        <f ca="1">BS!R76/BS!Q76-1</f>
        <v>0.1819940571897638</v>
      </c>
      <c r="S66" s="305">
        <f ca="1">BS!S76/BS!R76-1</f>
        <v>0.18494831254171951</v>
      </c>
    </row>
    <row r="67" spans="2:19">
      <c r="B67" s="968"/>
      <c r="C67" s="968"/>
      <c r="D67" s="701"/>
      <c r="E67" s="701"/>
      <c r="F67" s="701"/>
      <c r="G67" s="701"/>
      <c r="H67" s="313"/>
      <c r="I67" s="937"/>
      <c r="J67" s="312"/>
      <c r="K67" s="312"/>
      <c r="L67" s="312"/>
      <c r="M67" s="313"/>
      <c r="N67" s="313"/>
      <c r="O67" s="858"/>
      <c r="P67" s="858"/>
      <c r="Q67" s="858"/>
      <c r="R67" s="858"/>
      <c r="S67" s="858"/>
    </row>
  </sheetData>
  <phoneticPr fontId="24" type="noConversion"/>
  <printOptions horizontalCentered="1" verticalCentered="1"/>
  <pageMargins left="0.52" right="0.64" top="0.25" bottom="0.25" header="0.51180555555555596" footer="0.51180555555555596"/>
  <pageSetup scale="10" firstPageNumber="0" orientation="landscape" horizontalDpi="300" verticalDpi="300"/>
  <headerFooter alignWithMargins="0"/>
  <rowBreaks count="1" manualBreakCount="1">
    <brk id="38" max="16383" man="1"/>
  </rowBreaks>
  <ignoredErrors>
    <ignoredError sqref="L15:L16" formula="1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81036-523D-4D34-9475-B18D0A861A3B}">
  <sheetPr>
    <tabColor rgb="FF5B9BD5"/>
    <pageSetUpPr fitToPage="1"/>
  </sheetPr>
  <dimension ref="A1:T1888"/>
  <sheetViews>
    <sheetView showGridLines="0" zoomScaleNormal="100" workbookViewId="0">
      <pane xSplit="1" ySplit="1" topLeftCell="B2" activePane="bottomRight" state="frozen"/>
      <selection activeCell="K58" sqref="K58"/>
      <selection pane="topRight"/>
      <selection pane="bottomLeft"/>
      <selection pane="bottomRight" activeCell="B2" sqref="B2"/>
    </sheetView>
  </sheetViews>
  <sheetFormatPr defaultColWidth="14.42578125" defaultRowHeight="12.75"/>
  <cols>
    <col min="1" max="1" width="14.42578125" style="22"/>
    <col min="2" max="2" width="22.85546875" style="22" customWidth="1"/>
    <col min="3" max="4" width="14.42578125" style="22"/>
    <col min="5" max="6" width="0" style="22" hidden="1" customWidth="1"/>
    <col min="7" max="7" width="14.42578125" style="22"/>
    <col min="8" max="8" width="16" style="22" bestFit="1" customWidth="1"/>
    <col min="9" max="15" width="14.42578125" style="22"/>
    <col min="16" max="16" width="23.42578125" style="22" customWidth="1"/>
    <col min="17" max="16384" width="14.42578125" style="22"/>
  </cols>
  <sheetData>
    <row r="1" spans="1:13" ht="12.75" customHeight="1">
      <c r="A1" s="3659"/>
      <c r="B1" s="3659"/>
      <c r="C1" s="3659"/>
      <c r="D1" s="3659"/>
      <c r="E1" s="3659"/>
      <c r="F1" s="3659"/>
    </row>
    <row r="2" spans="1:13">
      <c r="A2" s="3659"/>
      <c r="B2" s="3659"/>
      <c r="C2" s="3659"/>
      <c r="D2" s="3659"/>
      <c r="E2" s="3659"/>
      <c r="F2" s="3659"/>
      <c r="H2" s="3656" t="s">
        <v>153</v>
      </c>
      <c r="I2" s="3656"/>
      <c r="J2" s="3656"/>
    </row>
    <row r="3" spans="1:13">
      <c r="A3" s="3659"/>
      <c r="B3" s="3659"/>
      <c r="C3" s="3659"/>
      <c r="D3" s="3659"/>
      <c r="E3" s="3659"/>
      <c r="F3" s="3659"/>
      <c r="H3" s="3" t="s">
        <v>154</v>
      </c>
      <c r="I3" s="3" t="s">
        <v>155</v>
      </c>
      <c r="J3" s="3" t="s">
        <v>846</v>
      </c>
      <c r="L3" s="3656" t="s">
        <v>156</v>
      </c>
      <c r="M3" s="3656"/>
    </row>
    <row r="4" spans="1:13" ht="15.75" thickBot="1">
      <c r="A4" s="3659"/>
      <c r="B4" s="3659"/>
      <c r="C4" s="3659"/>
      <c r="D4" s="3659"/>
      <c r="E4" s="3659"/>
      <c r="F4" s="3659"/>
      <c r="H4" s="1045">
        <v>44565</v>
      </c>
      <c r="I4" s="1046">
        <v>1525.58</v>
      </c>
      <c r="J4" s="1047">
        <v>76324.358550000004</v>
      </c>
      <c r="L4" s="3" t="str">
        <f>I3</f>
        <v>VN-Index</v>
      </c>
      <c r="M4" s="3" t="str">
        <f>J3</f>
        <v>FPT (VND)</v>
      </c>
    </row>
    <row r="5" spans="1:13" ht="26.25" customHeight="1" thickBot="1">
      <c r="A5" s="3659"/>
      <c r="B5" s="3659"/>
      <c r="C5" s="3659"/>
      <c r="D5" s="3659"/>
      <c r="E5" s="3659"/>
      <c r="F5" s="3659"/>
      <c r="H5" s="1045">
        <v>44566</v>
      </c>
      <c r="I5" s="1046">
        <v>1522.5</v>
      </c>
      <c r="J5" s="1047">
        <v>76405.988880000004</v>
      </c>
      <c r="L5" s="274">
        <f>(I5-I4)/I4</f>
        <v>-2.0189042855831402E-3</v>
      </c>
      <c r="M5" s="275">
        <f t="shared" ref="M5:M68" si="0">(J5-J4)/J4</f>
        <v>1.0695187165775395E-3</v>
      </c>
    </row>
    <row r="6" spans="1:13" ht="15.75" thickBot="1">
      <c r="A6" s="276"/>
      <c r="B6" s="276"/>
      <c r="C6" s="276"/>
      <c r="D6" s="276"/>
      <c r="E6" s="276"/>
      <c r="F6" s="276"/>
      <c r="H6" s="1045">
        <v>44567</v>
      </c>
      <c r="I6" s="1046">
        <v>1528.57</v>
      </c>
      <c r="J6" s="1047">
        <v>76324.358550000004</v>
      </c>
      <c r="L6" s="277">
        <f t="shared" ref="L6:L68" si="1">(I6-I5)/I5</f>
        <v>3.9868637110015998E-3</v>
      </c>
      <c r="M6" s="275">
        <f t="shared" si="0"/>
        <v>-1.0683760683760678E-3</v>
      </c>
    </row>
    <row r="7" spans="1:13" ht="15.75" thickBot="1">
      <c r="A7" s="276"/>
      <c r="B7" s="276"/>
      <c r="C7" s="276"/>
      <c r="D7" s="276"/>
      <c r="E7" s="276"/>
      <c r="F7" s="276"/>
      <c r="H7" s="1045">
        <v>44568</v>
      </c>
      <c r="I7" s="1046">
        <v>1528.48</v>
      </c>
      <c r="J7" s="1047">
        <v>76242.728220000005</v>
      </c>
      <c r="L7" s="277">
        <f t="shared" si="1"/>
        <v>-5.8878559699534957E-5</v>
      </c>
      <c r="M7" s="275">
        <f t="shared" si="0"/>
        <v>-1.0695187165775395E-3</v>
      </c>
    </row>
    <row r="8" spans="1:13" ht="15.75" thickBot="1">
      <c r="A8" s="3656" t="s">
        <v>157</v>
      </c>
      <c r="B8" s="3656"/>
      <c r="C8" s="4" t="s">
        <v>845</v>
      </c>
      <c r="H8" s="1045">
        <v>44571</v>
      </c>
      <c r="I8" s="1046">
        <v>1503.71</v>
      </c>
      <c r="J8" s="1047">
        <v>75099.903600000005</v>
      </c>
      <c r="L8" s="277">
        <f t="shared" si="1"/>
        <v>-1.6205642206636648E-2</v>
      </c>
      <c r="M8" s="275">
        <f t="shared" si="0"/>
        <v>-1.498929336188436E-2</v>
      </c>
    </row>
    <row r="9" spans="1:13" ht="15.75" thickBot="1">
      <c r="H9" s="1045">
        <v>44572</v>
      </c>
      <c r="I9" s="1046">
        <v>1492.31</v>
      </c>
      <c r="J9" s="1047">
        <v>73059.145350000006</v>
      </c>
      <c r="L9" s="277">
        <f t="shared" si="1"/>
        <v>-7.5812490440311563E-3</v>
      </c>
      <c r="M9" s="275">
        <f t="shared" si="0"/>
        <v>-2.7173913043478246E-2</v>
      </c>
    </row>
    <row r="10" spans="1:13" ht="15.75" thickBot="1">
      <c r="H10" s="1045">
        <v>44573</v>
      </c>
      <c r="I10" s="1046">
        <v>1510.51</v>
      </c>
      <c r="J10" s="1047">
        <v>73140.775680000006</v>
      </c>
      <c r="L10" s="277">
        <f t="shared" si="1"/>
        <v>1.2195857429086481E-2</v>
      </c>
      <c r="M10" s="275">
        <f t="shared" si="0"/>
        <v>1.1173184357541892E-3</v>
      </c>
    </row>
    <row r="11" spans="1:13" ht="15.75" thickBot="1">
      <c r="H11" s="1045">
        <v>44574</v>
      </c>
      <c r="I11" s="1046">
        <v>1496.05</v>
      </c>
      <c r="J11" s="1047">
        <v>75181.533930000005</v>
      </c>
      <c r="L11" s="277">
        <f t="shared" si="1"/>
        <v>-9.5729257005912147E-3</v>
      </c>
      <c r="M11" s="275">
        <f t="shared" si="0"/>
        <v>2.7901785714285698E-2</v>
      </c>
    </row>
    <row r="12" spans="1:13" ht="15.75" thickBot="1">
      <c r="A12" s="3657" t="s">
        <v>101</v>
      </c>
      <c r="B12" s="3658"/>
      <c r="E12" s="3657" t="s">
        <v>158</v>
      </c>
      <c r="F12" s="3658"/>
      <c r="H12" s="1045">
        <v>44575</v>
      </c>
      <c r="I12" s="1046">
        <v>1496.02</v>
      </c>
      <c r="J12" s="1047">
        <v>74528.491290000005</v>
      </c>
      <c r="L12" s="277">
        <f t="shared" si="1"/>
        <v>-2.0052805721715662E-5</v>
      </c>
      <c r="M12" s="275">
        <f t="shared" si="0"/>
        <v>-8.6862106406080299E-3</v>
      </c>
    </row>
    <row r="13" spans="1:13" ht="15.75" thickBot="1">
      <c r="A13" s="278" t="str">
        <f>I3</f>
        <v>VN-Index</v>
      </c>
      <c r="B13" s="279" t="str">
        <f>J3</f>
        <v>FPT (VND)</v>
      </c>
      <c r="E13" s="278" t="str">
        <f>+A13</f>
        <v>VN-Index</v>
      </c>
      <c r="F13" s="279" t="str">
        <f>+B13</f>
        <v>FPT (VND)</v>
      </c>
      <c r="H13" s="1045">
        <v>44578</v>
      </c>
      <c r="I13" s="1046">
        <v>1452.84</v>
      </c>
      <c r="J13" s="1047">
        <v>72650.993700000006</v>
      </c>
      <c r="L13" s="277">
        <f t="shared" si="1"/>
        <v>-2.8863250491303637E-2</v>
      </c>
      <c r="M13" s="275">
        <f t="shared" si="0"/>
        <v>-2.5191675794085419E-2</v>
      </c>
    </row>
    <row r="14" spans="1:13" ht="15.75" thickBot="1">
      <c r="A14" s="280">
        <f>COVAR(L5:L727,$L$5:$L$727)/VARP($L$5:$L$727)</f>
        <v>1.0000000000000002</v>
      </c>
      <c r="B14" s="281">
        <f>COVAR(M5:M755,$L$5:$L$755)/VARP($L$5:$L$755)</f>
        <v>0.92304719080268205</v>
      </c>
      <c r="E14" s="280">
        <f>INTERCEPT(L5:L104,L5:L104)</f>
        <v>0</v>
      </c>
      <c r="F14" s="282">
        <f>INTERCEPT(M5:M229,L5:L229)</f>
        <v>1.711259416741194E-3</v>
      </c>
      <c r="H14" s="1045">
        <v>44579</v>
      </c>
      <c r="I14" s="1046">
        <v>1438.94</v>
      </c>
      <c r="J14" s="1047">
        <v>71916.320730000007</v>
      </c>
      <c r="L14" s="277">
        <f t="shared" si="1"/>
        <v>-9.5674678560611383E-3</v>
      </c>
      <c r="M14" s="275">
        <f t="shared" si="0"/>
        <v>-1.0112359550561792E-2</v>
      </c>
    </row>
    <row r="15" spans="1:13" ht="15.75" thickBot="1">
      <c r="H15" s="1045">
        <v>44580</v>
      </c>
      <c r="I15" s="1046">
        <v>1442.79</v>
      </c>
      <c r="J15" s="1047">
        <v>72079.581390000007</v>
      </c>
      <c r="L15" s="277">
        <f t="shared" si="1"/>
        <v>2.6755806357456938E-3</v>
      </c>
      <c r="M15" s="275">
        <f t="shared" si="0"/>
        <v>2.2701475595913721E-3</v>
      </c>
    </row>
    <row r="16" spans="1:13" ht="15.75" thickBot="1">
      <c r="A16" s="276"/>
      <c r="B16" s="276"/>
      <c r="C16" s="276"/>
      <c r="D16" s="276"/>
      <c r="E16" s="276"/>
      <c r="F16" s="276"/>
      <c r="H16" s="1045">
        <v>44581</v>
      </c>
      <c r="I16" s="1046">
        <v>1465.3</v>
      </c>
      <c r="J16" s="1047">
        <v>72487.733040000006</v>
      </c>
      <c r="L16" s="277">
        <f t="shared" si="1"/>
        <v>1.5601716119462979E-2</v>
      </c>
      <c r="M16" s="275">
        <f t="shared" si="0"/>
        <v>5.662514156285387E-3</v>
      </c>
    </row>
    <row r="17" spans="1:20" ht="15.75" thickBot="1">
      <c r="A17" s="276"/>
      <c r="B17" s="276"/>
      <c r="C17" s="276"/>
      <c r="D17" s="276"/>
      <c r="E17" s="276"/>
      <c r="F17" s="276"/>
      <c r="H17" s="1045">
        <v>44582</v>
      </c>
      <c r="I17" s="1046">
        <v>1472.89</v>
      </c>
      <c r="J17" s="1047">
        <v>71997.951060000007</v>
      </c>
      <c r="L17" s="277">
        <f t="shared" si="1"/>
        <v>5.1798266566574396E-3</v>
      </c>
      <c r="M17" s="275">
        <f t="shared" si="0"/>
        <v>-6.7567567567567528E-3</v>
      </c>
    </row>
    <row r="18" spans="1:20" ht="15.75" thickBot="1">
      <c r="A18" s="276"/>
      <c r="B18" s="276"/>
      <c r="C18" s="276"/>
      <c r="D18" s="276"/>
      <c r="E18" s="276"/>
      <c r="F18" s="276"/>
      <c r="H18" s="1045">
        <v>44585</v>
      </c>
      <c r="I18" s="1046">
        <v>1439.71</v>
      </c>
      <c r="J18" s="1047">
        <v>69630.671489999993</v>
      </c>
      <c r="L18" s="277">
        <f t="shared" si="1"/>
        <v>-2.2527140519658671E-2</v>
      </c>
      <c r="M18" s="275">
        <f t="shared" si="0"/>
        <v>-3.2879818594104493E-2</v>
      </c>
    </row>
    <row r="19" spans="1:20" ht="15.75" thickBot="1">
      <c r="A19" s="276"/>
      <c r="B19" s="276"/>
      <c r="C19" s="276"/>
      <c r="D19" s="276"/>
      <c r="E19" s="276"/>
      <c r="F19" s="276"/>
      <c r="H19" s="1045">
        <v>44586</v>
      </c>
      <c r="I19" s="1046">
        <v>1479.58</v>
      </c>
      <c r="J19" s="1047">
        <v>70610.235449999993</v>
      </c>
      <c r="L19" s="277">
        <f t="shared" si="1"/>
        <v>2.7693077078022581E-2</v>
      </c>
      <c r="M19" s="275">
        <f t="shared" si="0"/>
        <v>1.4067995310668224E-2</v>
      </c>
    </row>
    <row r="20" spans="1:20" ht="15.75" thickBot="1">
      <c r="H20" s="1045">
        <v>44587</v>
      </c>
      <c r="I20" s="1046">
        <v>1481.58</v>
      </c>
      <c r="J20" s="1047">
        <v>70202.083799999993</v>
      </c>
      <c r="L20" s="277">
        <f t="shared" si="1"/>
        <v>1.351734951810649E-3</v>
      </c>
      <c r="M20" s="275">
        <f t="shared" si="0"/>
        <v>-5.7803468208092465E-3</v>
      </c>
    </row>
    <row r="21" spans="1:20" ht="15.75" thickBot="1">
      <c r="H21" s="1045">
        <v>44588</v>
      </c>
      <c r="I21" s="1046">
        <v>1470.76</v>
      </c>
      <c r="J21" s="1047">
        <v>70120.453469999993</v>
      </c>
      <c r="L21" s="277">
        <f t="shared" si="1"/>
        <v>-7.3030143495457127E-3</v>
      </c>
      <c r="M21" s="275">
        <f t="shared" si="0"/>
        <v>-1.1627906976744182E-3</v>
      </c>
    </row>
    <row r="22" spans="1:20" ht="15.75" thickBot="1">
      <c r="H22" s="1045">
        <v>44589</v>
      </c>
      <c r="I22" s="1046">
        <v>1478.96</v>
      </c>
      <c r="J22" s="1047">
        <v>73059.145350000006</v>
      </c>
      <c r="L22" s="277">
        <f t="shared" si="1"/>
        <v>5.5753487992602777E-3</v>
      </c>
      <c r="M22" s="275">
        <f t="shared" si="0"/>
        <v>4.1909196740395997E-2</v>
      </c>
    </row>
    <row r="23" spans="1:20" ht="15.75" thickBot="1">
      <c r="H23" s="1045">
        <v>44599</v>
      </c>
      <c r="I23" s="1046">
        <v>1497.66</v>
      </c>
      <c r="J23" s="1047">
        <v>73059.145350000006</v>
      </c>
      <c r="L23" s="277">
        <f t="shared" si="1"/>
        <v>1.2644020122248096E-2</v>
      </c>
      <c r="M23" s="275">
        <f t="shared" si="0"/>
        <v>0</v>
      </c>
    </row>
    <row r="24" spans="1:20" ht="15.75" thickBot="1">
      <c r="H24" s="1045">
        <v>44600</v>
      </c>
      <c r="I24" s="1046">
        <v>1500.99</v>
      </c>
      <c r="J24" s="1047">
        <v>73957.078980000006</v>
      </c>
      <c r="L24" s="277">
        <f t="shared" si="1"/>
        <v>2.223468611033163E-3</v>
      </c>
      <c r="M24" s="275">
        <f t="shared" si="0"/>
        <v>1.2290502793296082E-2</v>
      </c>
    </row>
    <row r="25" spans="1:20" ht="15.75" thickBot="1">
      <c r="H25" s="1045">
        <v>44601</v>
      </c>
      <c r="I25" s="1046">
        <v>1505.38</v>
      </c>
      <c r="J25" s="1047">
        <v>74038.709310000006</v>
      </c>
      <c r="L25" s="277">
        <f t="shared" si="1"/>
        <v>2.9247363406818831E-3</v>
      </c>
      <c r="M25" s="275">
        <f t="shared" si="0"/>
        <v>1.1037527593818978E-3</v>
      </c>
      <c r="S25" s="251"/>
      <c r="T25" s="6"/>
    </row>
    <row r="26" spans="1:20" ht="15.75" thickBot="1">
      <c r="H26" s="1045">
        <v>44602</v>
      </c>
      <c r="I26" s="1046">
        <v>1506.79</v>
      </c>
      <c r="J26" s="1047">
        <v>75099.903600000005</v>
      </c>
      <c r="L26" s="277">
        <f t="shared" si="1"/>
        <v>9.3664058244420309E-4</v>
      </c>
      <c r="M26" s="275">
        <f t="shared" si="0"/>
        <v>1.4332965821389187E-2</v>
      </c>
      <c r="S26" s="251"/>
      <c r="T26" s="6"/>
    </row>
    <row r="27" spans="1:20" ht="15.75" thickBot="1">
      <c r="H27" s="1045">
        <v>44603</v>
      </c>
      <c r="I27" s="1046">
        <v>1501.71</v>
      </c>
      <c r="J27" s="1047">
        <v>74773.382280000005</v>
      </c>
      <c r="L27" s="277">
        <f t="shared" si="1"/>
        <v>-3.3714054380503768E-3</v>
      </c>
      <c r="M27" s="275">
        <f t="shared" si="0"/>
        <v>-4.3478260869565192E-3</v>
      </c>
      <c r="S27" s="251"/>
      <c r="T27" s="6"/>
    </row>
    <row r="28" spans="1:20" ht="15.75" thickBot="1">
      <c r="H28" s="1045">
        <v>44606</v>
      </c>
      <c r="I28" s="1046">
        <v>1471.96</v>
      </c>
      <c r="J28" s="1047">
        <v>74283.600300000006</v>
      </c>
      <c r="L28" s="277">
        <f t="shared" si="1"/>
        <v>-1.9810749079382836E-2</v>
      </c>
      <c r="M28" s="275">
        <f t="shared" si="0"/>
        <v>-6.5502183406113499E-3</v>
      </c>
      <c r="S28" s="251"/>
      <c r="T28" s="6"/>
    </row>
    <row r="29" spans="1:20" ht="15.75" thickBot="1">
      <c r="H29" s="1045">
        <v>44607</v>
      </c>
      <c r="I29" s="1046">
        <v>1492.75</v>
      </c>
      <c r="J29" s="1047">
        <v>74365.230630000005</v>
      </c>
      <c r="L29" s="277">
        <f t="shared" si="1"/>
        <v>1.4124025109377948E-2</v>
      </c>
      <c r="M29" s="275">
        <f t="shared" si="0"/>
        <v>1.0989010989010982E-3</v>
      </c>
      <c r="S29" s="251"/>
      <c r="T29" s="6"/>
    </row>
    <row r="30" spans="1:20" ht="15.75" thickBot="1">
      <c r="A30" s="5"/>
      <c r="H30" s="1045">
        <v>44608</v>
      </c>
      <c r="I30" s="1046">
        <v>1492.1</v>
      </c>
      <c r="J30" s="1047">
        <v>74528.491290000005</v>
      </c>
      <c r="L30" s="277">
        <f t="shared" si="1"/>
        <v>-4.3543795009217279E-4</v>
      </c>
      <c r="M30" s="275">
        <f t="shared" si="0"/>
        <v>2.1953896816684949E-3</v>
      </c>
      <c r="S30" s="251"/>
      <c r="T30" s="6"/>
    </row>
    <row r="31" spans="1:20" ht="15.75" thickBot="1">
      <c r="H31" s="1045">
        <v>44609</v>
      </c>
      <c r="I31" s="1046">
        <v>1507.99</v>
      </c>
      <c r="J31" s="1047">
        <v>75752.946240000005</v>
      </c>
      <c r="L31" s="277">
        <f t="shared" si="1"/>
        <v>1.0649420280142149E-2</v>
      </c>
      <c r="M31" s="275">
        <f t="shared" si="0"/>
        <v>1.6429353778751359E-2</v>
      </c>
      <c r="S31" s="251"/>
      <c r="T31" s="6"/>
    </row>
    <row r="32" spans="1:20" ht="15.75" thickBot="1">
      <c r="H32" s="1045">
        <v>44610</v>
      </c>
      <c r="I32" s="1046">
        <v>1504.84</v>
      </c>
      <c r="J32" s="1047">
        <v>75263.164260000005</v>
      </c>
      <c r="L32" s="277">
        <f t="shared" si="1"/>
        <v>-2.0888732683904342E-3</v>
      </c>
      <c r="M32" s="275">
        <f t="shared" si="0"/>
        <v>-6.4655172413793068E-3</v>
      </c>
      <c r="S32" s="251"/>
      <c r="T32" s="6"/>
    </row>
    <row r="33" spans="8:20" ht="15.75" thickBot="1">
      <c r="H33" s="1045">
        <v>44613</v>
      </c>
      <c r="I33" s="1046">
        <v>1510.84</v>
      </c>
      <c r="J33" s="1047">
        <v>76324.358550000004</v>
      </c>
      <c r="L33" s="277">
        <f t="shared" si="1"/>
        <v>3.987134844900455E-3</v>
      </c>
      <c r="M33" s="275">
        <f t="shared" si="0"/>
        <v>1.4099783080260296E-2</v>
      </c>
      <c r="S33" s="251"/>
      <c r="T33" s="6"/>
    </row>
    <row r="34" spans="8:20" ht="15.75" thickBot="1">
      <c r="H34" s="1045">
        <v>44614</v>
      </c>
      <c r="I34" s="1046">
        <v>1503.47</v>
      </c>
      <c r="J34" s="1047">
        <v>75834.576570000005</v>
      </c>
      <c r="L34" s="277">
        <f t="shared" si="1"/>
        <v>-4.8780810674855651E-3</v>
      </c>
      <c r="M34" s="275">
        <f t="shared" si="0"/>
        <v>-6.4171122994652373E-3</v>
      </c>
      <c r="S34" s="251"/>
      <c r="T34" s="6"/>
    </row>
    <row r="35" spans="8:20" ht="15.75" thickBot="1">
      <c r="H35" s="1045">
        <v>44615</v>
      </c>
      <c r="I35" s="1046">
        <v>1512.3</v>
      </c>
      <c r="J35" s="1047">
        <v>75916.206900000005</v>
      </c>
      <c r="L35" s="277">
        <f t="shared" si="1"/>
        <v>5.8730802742987401E-3</v>
      </c>
      <c r="M35" s="275">
        <f t="shared" si="0"/>
        <v>1.0764262648008606E-3</v>
      </c>
      <c r="S35" s="251"/>
      <c r="T35" s="6"/>
    </row>
    <row r="36" spans="8:20" ht="15.75" thickBot="1">
      <c r="H36" s="1045">
        <v>44616</v>
      </c>
      <c r="I36" s="1046">
        <v>1494.85</v>
      </c>
      <c r="J36" s="1047">
        <v>75099.903600000005</v>
      </c>
      <c r="L36" s="277">
        <f t="shared" si="1"/>
        <v>-1.1538715863254676E-2</v>
      </c>
      <c r="M36" s="275">
        <f t="shared" si="0"/>
        <v>-1.0752688172043005E-2</v>
      </c>
      <c r="S36" s="251"/>
      <c r="T36" s="6"/>
    </row>
    <row r="37" spans="8:20" ht="15.75" thickBot="1">
      <c r="H37" s="1045">
        <v>44617</v>
      </c>
      <c r="I37" s="1046">
        <v>1498.89</v>
      </c>
      <c r="J37" s="1047">
        <v>75344.794590000005</v>
      </c>
      <c r="L37" s="277">
        <f t="shared" si="1"/>
        <v>2.7026123022378108E-3</v>
      </c>
      <c r="M37" s="275">
        <f t="shared" si="0"/>
        <v>3.2608695652173894E-3</v>
      </c>
      <c r="S37" s="251"/>
      <c r="T37" s="6"/>
    </row>
    <row r="38" spans="8:20" ht="15.75" thickBot="1">
      <c r="H38" s="1045">
        <v>44620</v>
      </c>
      <c r="I38" s="1046">
        <v>1490.13</v>
      </c>
      <c r="J38" s="1047">
        <v>76161.097890000005</v>
      </c>
      <c r="L38" s="277">
        <f t="shared" si="1"/>
        <v>-5.8443248003522538E-3</v>
      </c>
      <c r="M38" s="275">
        <f t="shared" si="0"/>
        <v>1.0834236186348855E-2</v>
      </c>
      <c r="S38" s="251"/>
      <c r="T38" s="6"/>
    </row>
    <row r="39" spans="8:20" ht="15.75" thickBot="1">
      <c r="H39" s="1045">
        <v>44621</v>
      </c>
      <c r="I39" s="1046">
        <v>1498.78</v>
      </c>
      <c r="J39" s="1047">
        <v>76242.728220000005</v>
      </c>
      <c r="L39" s="277">
        <f t="shared" si="1"/>
        <v>5.804862662989043E-3</v>
      </c>
      <c r="M39" s="275">
        <f t="shared" si="0"/>
        <v>1.0718113612004281E-3</v>
      </c>
      <c r="S39" s="251"/>
      <c r="T39" s="6"/>
    </row>
    <row r="40" spans="8:20" ht="15.75" thickBot="1">
      <c r="H40" s="1045">
        <v>44622</v>
      </c>
      <c r="I40" s="1046">
        <v>1485.52</v>
      </c>
      <c r="J40" s="1047">
        <v>75997.837230000005</v>
      </c>
      <c r="L40" s="277">
        <f t="shared" si="1"/>
        <v>-8.8471957191849308E-3</v>
      </c>
      <c r="M40" s="275">
        <f t="shared" si="0"/>
        <v>-3.2119914346895057E-3</v>
      </c>
      <c r="S40" s="251"/>
      <c r="T40" s="6"/>
    </row>
    <row r="41" spans="8:20" ht="15.75" thickBot="1">
      <c r="H41" s="1045">
        <v>44623</v>
      </c>
      <c r="I41" s="1046">
        <v>1505</v>
      </c>
      <c r="J41" s="1047">
        <v>76242.728220000005</v>
      </c>
      <c r="L41" s="277">
        <f t="shared" si="1"/>
        <v>1.3113253271581681E-2</v>
      </c>
      <c r="M41" s="275">
        <f t="shared" si="0"/>
        <v>3.2223415682062278E-3</v>
      </c>
      <c r="S41" s="251"/>
      <c r="T41" s="6"/>
    </row>
    <row r="42" spans="8:20" ht="15.75" thickBot="1">
      <c r="H42" s="1045">
        <v>44624</v>
      </c>
      <c r="I42" s="1046">
        <v>1505.33</v>
      </c>
      <c r="J42" s="1047">
        <v>76324.358550000004</v>
      </c>
      <c r="L42" s="277">
        <f t="shared" si="1"/>
        <v>2.1926910298998488E-4</v>
      </c>
      <c r="M42" s="275">
        <f t="shared" si="0"/>
        <v>1.0706638115631686E-3</v>
      </c>
      <c r="S42" s="251"/>
      <c r="T42" s="6"/>
    </row>
    <row r="43" spans="8:20" ht="15.75" thickBot="1">
      <c r="H43" s="1045">
        <v>44627</v>
      </c>
      <c r="I43" s="1046">
        <v>1499.05</v>
      </c>
      <c r="J43" s="1047">
        <v>76569.249540000004</v>
      </c>
      <c r="L43" s="277">
        <f t="shared" si="1"/>
        <v>-4.1718427188722563E-3</v>
      </c>
      <c r="M43" s="275">
        <f t="shared" si="0"/>
        <v>3.2085561497326187E-3</v>
      </c>
      <c r="S43" s="251"/>
      <c r="T43" s="6"/>
    </row>
    <row r="44" spans="8:20" ht="15.75" thickBot="1">
      <c r="H44" s="1045">
        <v>44628</v>
      </c>
      <c r="I44" s="1046">
        <v>1473.71</v>
      </c>
      <c r="J44" s="1047">
        <v>77385.552840000004</v>
      </c>
      <c r="L44" s="277">
        <f t="shared" si="1"/>
        <v>-1.6904039224842345E-2</v>
      </c>
      <c r="M44" s="275">
        <f t="shared" si="0"/>
        <v>1.0660980810234536E-2</v>
      </c>
      <c r="S44" s="251"/>
      <c r="T44" s="6"/>
    </row>
    <row r="45" spans="8:20" ht="15.75" thickBot="1">
      <c r="H45" s="1045">
        <v>44629</v>
      </c>
      <c r="I45" s="1046">
        <v>1473.74</v>
      </c>
      <c r="J45" s="1047">
        <v>77956.965150000004</v>
      </c>
      <c r="L45" s="277">
        <f t="shared" si="1"/>
        <v>2.0356786613358607E-5</v>
      </c>
      <c r="M45" s="275">
        <f t="shared" si="0"/>
        <v>7.3839662447257341E-3</v>
      </c>
      <c r="S45" s="251"/>
      <c r="T45" s="6"/>
    </row>
    <row r="46" spans="8:20" ht="15.75" thickBot="1">
      <c r="H46" s="1045">
        <v>44630</v>
      </c>
      <c r="I46" s="1046">
        <v>1479.08</v>
      </c>
      <c r="J46" s="1047">
        <v>77222.292180000004</v>
      </c>
      <c r="L46" s="277">
        <f t="shared" si="1"/>
        <v>3.6234342557031215E-3</v>
      </c>
      <c r="M46" s="275">
        <f t="shared" si="0"/>
        <v>-9.4240837696335025E-3</v>
      </c>
      <c r="S46" s="251"/>
      <c r="T46" s="6"/>
    </row>
    <row r="47" spans="8:20" ht="15.75" thickBot="1">
      <c r="H47" s="1045">
        <v>44631</v>
      </c>
      <c r="I47" s="1046">
        <v>1466.54</v>
      </c>
      <c r="J47" s="1047">
        <v>76079.467560000005</v>
      </c>
      <c r="L47" s="277">
        <f t="shared" si="1"/>
        <v>-8.4782432322795011E-3</v>
      </c>
      <c r="M47" s="275">
        <f t="shared" si="0"/>
        <v>-1.4799154334038047E-2</v>
      </c>
      <c r="S47" s="251"/>
      <c r="T47" s="6"/>
    </row>
    <row r="48" spans="8:20" ht="15.75" thickBot="1">
      <c r="H48" s="1045">
        <v>44634</v>
      </c>
      <c r="I48" s="1046">
        <v>1446.25</v>
      </c>
      <c r="J48" s="1047">
        <v>74936.642940000005</v>
      </c>
      <c r="L48" s="277">
        <f t="shared" si="1"/>
        <v>-1.3835285774680517E-2</v>
      </c>
      <c r="M48" s="275">
        <f t="shared" si="0"/>
        <v>-1.5021459227467802E-2</v>
      </c>
      <c r="S48" s="251"/>
      <c r="T48" s="6"/>
    </row>
    <row r="49" spans="8:20" ht="15.75" thickBot="1">
      <c r="H49" s="1045">
        <v>44635</v>
      </c>
      <c r="I49" s="1046">
        <v>1452.74</v>
      </c>
      <c r="J49" s="1047">
        <v>74283.600300000006</v>
      </c>
      <c r="L49" s="277">
        <f t="shared" si="1"/>
        <v>4.4874675885911907E-3</v>
      </c>
      <c r="M49" s="275">
        <f t="shared" si="0"/>
        <v>-8.7145969498910632E-3</v>
      </c>
      <c r="S49" s="251"/>
      <c r="T49" s="6"/>
    </row>
    <row r="50" spans="8:20" ht="15.75" thickBot="1">
      <c r="H50" s="1045">
        <v>44636</v>
      </c>
      <c r="I50" s="1046">
        <v>1459.33</v>
      </c>
      <c r="J50" s="1047">
        <v>74773.382280000005</v>
      </c>
      <c r="L50" s="277">
        <f t="shared" si="1"/>
        <v>4.5362556272973264E-3</v>
      </c>
      <c r="M50" s="275">
        <f t="shared" si="0"/>
        <v>6.5934065934065899E-3</v>
      </c>
      <c r="S50" s="251"/>
      <c r="T50" s="6"/>
    </row>
    <row r="51" spans="8:20" ht="15.75" thickBot="1">
      <c r="H51" s="1045">
        <v>44637</v>
      </c>
      <c r="I51" s="1046">
        <v>1461.34</v>
      </c>
      <c r="J51" s="1047">
        <v>75099.903600000005</v>
      </c>
      <c r="L51" s="277">
        <f t="shared" si="1"/>
        <v>1.3773443977715739E-3</v>
      </c>
      <c r="M51" s="275">
        <f t="shared" si="0"/>
        <v>4.366812227074233E-3</v>
      </c>
      <c r="S51" s="251"/>
      <c r="T51" s="6"/>
    </row>
    <row r="52" spans="8:20" ht="15.75" thickBot="1">
      <c r="H52" s="1045">
        <v>44638</v>
      </c>
      <c r="I52" s="1046">
        <v>1469.1</v>
      </c>
      <c r="J52" s="1047">
        <v>77630.443830000004</v>
      </c>
      <c r="L52" s="277">
        <f t="shared" si="1"/>
        <v>5.3101947527611588E-3</v>
      </c>
      <c r="M52" s="275">
        <f t="shared" si="0"/>
        <v>3.3695652173913022E-2</v>
      </c>
      <c r="S52" s="251"/>
      <c r="T52" s="6"/>
    </row>
    <row r="53" spans="8:20" ht="15.75" thickBot="1">
      <c r="H53" s="1045">
        <v>44641</v>
      </c>
      <c r="I53" s="1046">
        <v>1494.95</v>
      </c>
      <c r="J53" s="1047">
        <v>77793.704490000004</v>
      </c>
      <c r="L53" s="277">
        <f t="shared" si="1"/>
        <v>1.7595806956640214E-2</v>
      </c>
      <c r="M53" s="275">
        <f t="shared" si="0"/>
        <v>2.1030494216614077E-3</v>
      </c>
      <c r="S53" s="251"/>
      <c r="T53" s="6"/>
    </row>
    <row r="54" spans="8:20" ht="15.75" thickBot="1">
      <c r="H54" s="1045">
        <v>44642</v>
      </c>
      <c r="I54" s="1046">
        <v>1503.78</v>
      </c>
      <c r="J54" s="1047">
        <v>78691.638120000003</v>
      </c>
      <c r="L54" s="277">
        <f t="shared" si="1"/>
        <v>5.9065520585972284E-3</v>
      </c>
      <c r="M54" s="275">
        <f t="shared" si="0"/>
        <v>1.1542497376705135E-2</v>
      </c>
      <c r="S54" s="251"/>
      <c r="T54" s="6"/>
    </row>
    <row r="55" spans="8:20" ht="15.75" thickBot="1">
      <c r="H55" s="1045">
        <v>44643</v>
      </c>
      <c r="I55" s="1046">
        <v>1502.34</v>
      </c>
      <c r="J55" s="1047">
        <v>78773.268450000003</v>
      </c>
      <c r="L55" s="277">
        <f t="shared" si="1"/>
        <v>-9.575868810597658E-4</v>
      </c>
      <c r="M55" s="275">
        <f t="shared" si="0"/>
        <v>1.0373443983402483E-3</v>
      </c>
      <c r="S55" s="251"/>
      <c r="T55" s="6"/>
    </row>
    <row r="56" spans="8:20" ht="15.75" thickBot="1">
      <c r="H56" s="1045">
        <v>44644</v>
      </c>
      <c r="I56" s="1046">
        <v>1498.26</v>
      </c>
      <c r="J56" s="1047">
        <v>78365.116800000003</v>
      </c>
      <c r="L56" s="277">
        <f t="shared" si="1"/>
        <v>-2.715763409081784E-3</v>
      </c>
      <c r="M56" s="275">
        <f t="shared" si="0"/>
        <v>-5.1813471502590641E-3</v>
      </c>
      <c r="S56" s="251"/>
      <c r="T56" s="6"/>
    </row>
    <row r="57" spans="8:20" ht="15.75" thickBot="1">
      <c r="H57" s="1045">
        <v>44645</v>
      </c>
      <c r="I57" s="1046">
        <v>1498.5</v>
      </c>
      <c r="J57" s="1047">
        <v>78120.225810000004</v>
      </c>
      <c r="L57" s="277">
        <f t="shared" si="1"/>
        <v>1.6018581554603947E-4</v>
      </c>
      <c r="M57" s="275">
        <f t="shared" si="0"/>
        <v>-3.1249999999999984E-3</v>
      </c>
      <c r="S57" s="251"/>
      <c r="T57" s="6"/>
    </row>
    <row r="58" spans="8:20" ht="15.75" thickBot="1">
      <c r="H58" s="1045">
        <v>44648</v>
      </c>
      <c r="I58" s="1046">
        <v>1483.18</v>
      </c>
      <c r="J58" s="1047">
        <v>80079.353730000003</v>
      </c>
      <c r="L58" s="277">
        <f t="shared" si="1"/>
        <v>-1.0223556890223515E-2</v>
      </c>
      <c r="M58" s="275">
        <f t="shared" si="0"/>
        <v>2.5078369905956098E-2</v>
      </c>
      <c r="S58" s="251"/>
      <c r="T58" s="6"/>
    </row>
    <row r="59" spans="8:20" ht="15.75" thickBot="1">
      <c r="H59" s="1045">
        <v>44649</v>
      </c>
      <c r="I59" s="1046">
        <v>1497.76</v>
      </c>
      <c r="J59" s="1047">
        <v>85630.21617</v>
      </c>
      <c r="L59" s="277">
        <f t="shared" si="1"/>
        <v>9.8302296417157233E-3</v>
      </c>
      <c r="M59" s="275">
        <f t="shared" si="0"/>
        <v>6.9317023445463768E-2</v>
      </c>
      <c r="S59" s="251"/>
      <c r="T59" s="6"/>
    </row>
    <row r="60" spans="8:20" ht="15.75" thickBot="1">
      <c r="H60" s="1045">
        <v>44650</v>
      </c>
      <c r="I60" s="1046">
        <v>1490.51</v>
      </c>
      <c r="J60" s="1047">
        <v>86528.149799999999</v>
      </c>
      <c r="L60" s="277">
        <f t="shared" si="1"/>
        <v>-4.8405619057792972E-3</v>
      </c>
      <c r="M60" s="275">
        <f t="shared" si="0"/>
        <v>1.0486177311725447E-2</v>
      </c>
      <c r="S60" s="251"/>
      <c r="T60" s="6"/>
    </row>
    <row r="61" spans="8:20" ht="15.75" thickBot="1">
      <c r="H61" s="1045">
        <v>44651</v>
      </c>
      <c r="I61" s="1046">
        <v>1492.15</v>
      </c>
      <c r="J61" s="1047">
        <v>87344.453099999999</v>
      </c>
      <c r="L61" s="277">
        <f t="shared" si="1"/>
        <v>1.1002945300602478E-3</v>
      </c>
      <c r="M61" s="275">
        <f t="shared" si="0"/>
        <v>9.4339622641509378E-3</v>
      </c>
      <c r="S61" s="251"/>
      <c r="T61" s="6"/>
    </row>
    <row r="62" spans="8:20" ht="15.75" thickBot="1">
      <c r="H62" s="1045">
        <v>44652</v>
      </c>
      <c r="I62" s="1046">
        <v>1516.44</v>
      </c>
      <c r="J62" s="1047">
        <v>90609.666299999997</v>
      </c>
      <c r="L62" s="277">
        <f t="shared" si="1"/>
        <v>1.6278524277049868E-2</v>
      </c>
      <c r="M62" s="275">
        <f t="shared" si="0"/>
        <v>3.7383177570093441E-2</v>
      </c>
      <c r="S62" s="251"/>
      <c r="T62" s="6"/>
    </row>
    <row r="63" spans="8:20" ht="15.75" thickBot="1">
      <c r="H63" s="1045">
        <v>44655</v>
      </c>
      <c r="I63" s="1046">
        <v>1524.7</v>
      </c>
      <c r="J63" s="1047">
        <v>89221.950689999998</v>
      </c>
      <c r="L63" s="277">
        <f t="shared" si="1"/>
        <v>5.4469678984991098E-3</v>
      </c>
      <c r="M63" s="275">
        <f t="shared" si="0"/>
        <v>-1.5315315315315308E-2</v>
      </c>
      <c r="S63" s="251"/>
      <c r="T63" s="6"/>
    </row>
    <row r="64" spans="8:20" ht="15.75" thickBot="1">
      <c r="H64" s="1045">
        <v>44656</v>
      </c>
      <c r="I64" s="1046">
        <v>1520.03</v>
      </c>
      <c r="J64" s="1047">
        <v>88977.059699999998</v>
      </c>
      <c r="L64" s="277">
        <f t="shared" si="1"/>
        <v>-3.0628976192038256E-3</v>
      </c>
      <c r="M64" s="275">
        <f t="shared" si="0"/>
        <v>-2.7447392497712705E-3</v>
      </c>
      <c r="S64" s="251"/>
      <c r="T64" s="6"/>
    </row>
    <row r="65" spans="8:20" ht="15.75" thickBot="1">
      <c r="H65" s="1045">
        <v>44657</v>
      </c>
      <c r="I65" s="1046">
        <v>1522.9</v>
      </c>
      <c r="J65" s="1047">
        <v>92242.272899999996</v>
      </c>
      <c r="L65" s="277">
        <f t="shared" si="1"/>
        <v>1.8881206291981858E-3</v>
      </c>
      <c r="M65" s="275">
        <f t="shared" si="0"/>
        <v>3.6697247706422E-2</v>
      </c>
      <c r="S65" s="251"/>
      <c r="T65" s="6"/>
    </row>
    <row r="66" spans="8:20" ht="15.75" thickBot="1">
      <c r="H66" s="1045">
        <v>44658</v>
      </c>
      <c r="I66" s="1046">
        <v>1502.35</v>
      </c>
      <c r="J66" s="1047">
        <v>92487.163889999996</v>
      </c>
      <c r="L66" s="277">
        <f t="shared" si="1"/>
        <v>-1.3493991726311761E-2</v>
      </c>
      <c r="M66" s="275">
        <f t="shared" si="0"/>
        <v>2.6548672566371668E-3</v>
      </c>
      <c r="S66" s="251"/>
      <c r="T66" s="6"/>
    </row>
    <row r="67" spans="8:20" ht="15.75" thickBot="1">
      <c r="H67" s="1045">
        <v>44659</v>
      </c>
      <c r="I67" s="1046">
        <v>1482</v>
      </c>
      <c r="J67" s="1047">
        <v>88568.908049999998</v>
      </c>
      <c r="L67" s="277">
        <f t="shared" si="1"/>
        <v>-1.354544546876554E-2</v>
      </c>
      <c r="M67" s="275">
        <f t="shared" si="0"/>
        <v>-4.2365401588702542E-2</v>
      </c>
      <c r="S67" s="251"/>
      <c r="T67" s="6"/>
    </row>
    <row r="68" spans="8:20" ht="15.75" thickBot="1">
      <c r="H68" s="1045">
        <v>44663</v>
      </c>
      <c r="I68" s="1046">
        <v>1455.25</v>
      </c>
      <c r="J68" s="1047">
        <v>89630.102339999998</v>
      </c>
      <c r="L68" s="277">
        <f t="shared" si="1"/>
        <v>-1.8049932523616734E-2</v>
      </c>
      <c r="M68" s="275">
        <f t="shared" si="0"/>
        <v>1.1981566820276492E-2</v>
      </c>
      <c r="S68" s="251"/>
      <c r="T68" s="6"/>
    </row>
    <row r="69" spans="8:20" ht="15.75" thickBot="1">
      <c r="H69" s="1045">
        <v>44664</v>
      </c>
      <c r="I69" s="1046">
        <v>1477.2</v>
      </c>
      <c r="J69" s="1047">
        <v>93956.509829999995</v>
      </c>
      <c r="L69" s="277">
        <f t="shared" ref="L69:M132" si="2">(I69-I68)/I68</f>
        <v>1.5083319017351002E-2</v>
      </c>
      <c r="M69" s="275">
        <f t="shared" si="2"/>
        <v>4.8269581056466282E-2</v>
      </c>
      <c r="S69" s="251"/>
      <c r="T69" s="6"/>
    </row>
    <row r="70" spans="8:20" ht="15.75" thickBot="1">
      <c r="H70" s="1045">
        <v>44665</v>
      </c>
      <c r="I70" s="1046">
        <v>1472.12</v>
      </c>
      <c r="J70" s="1047">
        <v>95180.964779999995</v>
      </c>
      <c r="L70" s="277">
        <f t="shared" si="2"/>
        <v>-3.4389385323586206E-3</v>
      </c>
      <c r="M70" s="275">
        <f t="shared" si="2"/>
        <v>1.3032145960034746E-2</v>
      </c>
      <c r="S70" s="251"/>
      <c r="T70" s="6"/>
    </row>
    <row r="71" spans="8:20" ht="15.75" thickBot="1">
      <c r="H71" s="1045">
        <v>44666</v>
      </c>
      <c r="I71" s="1046">
        <v>1458.56</v>
      </c>
      <c r="J71" s="1047">
        <v>93874.879499999995</v>
      </c>
      <c r="L71" s="277">
        <f t="shared" si="2"/>
        <v>-9.2112056082384233E-3</v>
      </c>
      <c r="M71" s="275">
        <f t="shared" si="2"/>
        <v>-1.3722126929674092E-2</v>
      </c>
      <c r="S71" s="251"/>
      <c r="T71" s="6"/>
    </row>
    <row r="72" spans="8:20" ht="15.75" thickBot="1">
      <c r="H72" s="1045">
        <v>44669</v>
      </c>
      <c r="I72" s="1046">
        <v>1432.6</v>
      </c>
      <c r="J72" s="1047">
        <v>94283.031149999995</v>
      </c>
      <c r="L72" s="277">
        <f t="shared" si="2"/>
        <v>-1.7798376480912707E-2</v>
      </c>
      <c r="M72" s="275">
        <f t="shared" si="2"/>
        <v>4.3478260869565201E-3</v>
      </c>
      <c r="S72" s="251"/>
      <c r="T72" s="6"/>
    </row>
    <row r="73" spans="8:20" ht="15.75" thickBot="1">
      <c r="H73" s="1045">
        <v>44670</v>
      </c>
      <c r="I73" s="1046">
        <v>1406.45</v>
      </c>
      <c r="J73" s="1047">
        <v>91425.969599999997</v>
      </c>
      <c r="L73" s="277">
        <f t="shared" si="2"/>
        <v>-1.8253525059332587E-2</v>
      </c>
      <c r="M73" s="275">
        <f t="shared" si="2"/>
        <v>-3.030303030303029E-2</v>
      </c>
      <c r="S73" s="251"/>
      <c r="T73" s="6"/>
    </row>
    <row r="74" spans="8:20" ht="15.75" thickBot="1">
      <c r="H74" s="1045">
        <v>44671</v>
      </c>
      <c r="I74" s="1046">
        <v>1384.72</v>
      </c>
      <c r="J74" s="1047">
        <v>91425.969599999997</v>
      </c>
      <c r="L74" s="277">
        <f t="shared" si="2"/>
        <v>-1.5450247075971429E-2</v>
      </c>
      <c r="M74" s="275">
        <f t="shared" si="2"/>
        <v>0</v>
      </c>
      <c r="S74" s="251"/>
      <c r="T74" s="6"/>
    </row>
    <row r="75" spans="8:20" ht="15.75" thickBot="1">
      <c r="H75" s="1045">
        <v>44672</v>
      </c>
      <c r="I75" s="1046">
        <v>1370.21</v>
      </c>
      <c r="J75" s="1047">
        <v>91425.969599999997</v>
      </c>
      <c r="L75" s="277">
        <f t="shared" si="2"/>
        <v>-1.04786527240164E-2</v>
      </c>
      <c r="M75" s="275">
        <f t="shared" si="2"/>
        <v>0</v>
      </c>
      <c r="S75" s="251"/>
      <c r="T75" s="6"/>
    </row>
    <row r="76" spans="8:20" ht="15.75" thickBot="1">
      <c r="H76" s="1045">
        <v>44673</v>
      </c>
      <c r="I76" s="1046">
        <v>1379.23</v>
      </c>
      <c r="J76" s="1047">
        <v>90691.296629999997</v>
      </c>
      <c r="L76" s="277">
        <f t="shared" si="2"/>
        <v>6.5829325431867973E-3</v>
      </c>
      <c r="M76" s="275">
        <f t="shared" si="2"/>
        <v>-8.0357142857142815E-3</v>
      </c>
      <c r="S76" s="251"/>
      <c r="T76" s="6"/>
    </row>
    <row r="77" spans="8:20" ht="15.75" thickBot="1">
      <c r="H77" s="1045">
        <v>44676</v>
      </c>
      <c r="I77" s="1046">
        <v>1310.92</v>
      </c>
      <c r="J77" s="1047">
        <v>84405.76122</v>
      </c>
      <c r="L77" s="277">
        <f t="shared" si="2"/>
        <v>-4.952763498473782E-2</v>
      </c>
      <c r="M77" s="275">
        <f t="shared" si="2"/>
        <v>-6.9306930693069271E-2</v>
      </c>
      <c r="S77" s="251"/>
      <c r="T77" s="6"/>
    </row>
    <row r="78" spans="8:20" ht="15.75" thickBot="1">
      <c r="H78" s="1045">
        <v>44677</v>
      </c>
      <c r="I78" s="1046">
        <v>1341.34</v>
      </c>
      <c r="J78" s="1047">
        <v>85140.43419</v>
      </c>
      <c r="L78" s="277">
        <f t="shared" si="2"/>
        <v>2.3205077350257716E-2</v>
      </c>
      <c r="M78" s="275">
        <f t="shared" si="2"/>
        <v>8.704061895551252E-3</v>
      </c>
      <c r="S78" s="251"/>
      <c r="T78" s="6"/>
    </row>
    <row r="79" spans="8:20" ht="15.75" thickBot="1">
      <c r="H79" s="1045">
        <v>44678</v>
      </c>
      <c r="I79" s="1046">
        <v>1353.77</v>
      </c>
      <c r="J79" s="1047">
        <v>84079.2399</v>
      </c>
      <c r="L79" s="277">
        <f t="shared" si="2"/>
        <v>9.2668525504346882E-3</v>
      </c>
      <c r="M79" s="275">
        <f t="shared" si="2"/>
        <v>-1.2464046021092995E-2</v>
      </c>
      <c r="S79" s="251"/>
      <c r="T79" s="6"/>
    </row>
    <row r="80" spans="8:20" ht="15.75" thickBot="1">
      <c r="H80" s="1045">
        <v>44679</v>
      </c>
      <c r="I80" s="1046">
        <v>1350.99</v>
      </c>
      <c r="J80" s="1047">
        <v>86119.998149999999</v>
      </c>
      <c r="L80" s="277">
        <f t="shared" si="2"/>
        <v>-2.0535246016679144E-3</v>
      </c>
      <c r="M80" s="275">
        <f t="shared" si="2"/>
        <v>2.4271844660194161E-2</v>
      </c>
      <c r="S80" s="251"/>
      <c r="T80" s="6"/>
    </row>
    <row r="81" spans="8:20" ht="15.75" thickBot="1">
      <c r="H81" s="1045">
        <v>44680</v>
      </c>
      <c r="I81" s="1046">
        <v>1366.8</v>
      </c>
      <c r="J81" s="1047">
        <v>85711.8465</v>
      </c>
      <c r="L81" s="277">
        <f t="shared" si="2"/>
        <v>1.17025292563231E-2</v>
      </c>
      <c r="M81" s="275">
        <f t="shared" si="2"/>
        <v>-4.739336492890993E-3</v>
      </c>
      <c r="S81" s="251"/>
      <c r="T81" s="6"/>
    </row>
    <row r="82" spans="8:20" ht="15.75" thickBot="1">
      <c r="H82" s="1045">
        <v>44685</v>
      </c>
      <c r="I82" s="1046">
        <v>1348.68</v>
      </c>
      <c r="J82" s="1047">
        <v>85303.69485</v>
      </c>
      <c r="L82" s="277">
        <f t="shared" si="2"/>
        <v>-1.3257243195785697E-2</v>
      </c>
      <c r="M82" s="275">
        <f t="shared" si="2"/>
        <v>-4.7619047619047597E-3</v>
      </c>
      <c r="S82" s="251"/>
      <c r="T82" s="6"/>
    </row>
    <row r="83" spans="8:20" ht="15.75" thickBot="1">
      <c r="H83" s="1045">
        <v>44686</v>
      </c>
      <c r="I83" s="1046">
        <v>1360.68</v>
      </c>
      <c r="J83" s="1047">
        <v>85466.95551</v>
      </c>
      <c r="L83" s="277">
        <f t="shared" si="2"/>
        <v>8.897588753447816E-3</v>
      </c>
      <c r="M83" s="275">
        <f t="shared" si="2"/>
        <v>1.9138755980861234E-3</v>
      </c>
      <c r="S83" s="251"/>
      <c r="T83" s="6"/>
    </row>
    <row r="84" spans="8:20" ht="15.75" thickBot="1">
      <c r="H84" s="1045">
        <v>44687</v>
      </c>
      <c r="I84" s="1046">
        <v>1329.26</v>
      </c>
      <c r="J84" s="1047">
        <v>81793.590660000002</v>
      </c>
      <c r="L84" s="277">
        <f t="shared" si="2"/>
        <v>-2.3091395478731274E-2</v>
      </c>
      <c r="M84" s="275">
        <f t="shared" si="2"/>
        <v>-4.2979942693409719E-2</v>
      </c>
      <c r="S84" s="251"/>
      <c r="T84" s="6"/>
    </row>
    <row r="85" spans="8:20" ht="15.75" thickBot="1">
      <c r="H85" s="1045">
        <v>44690</v>
      </c>
      <c r="I85" s="1046">
        <v>1269.6199999999999</v>
      </c>
      <c r="J85" s="1047">
        <v>76732.510200000004</v>
      </c>
      <c r="L85" s="277">
        <f t="shared" si="2"/>
        <v>-4.4867068895475752E-2</v>
      </c>
      <c r="M85" s="275">
        <f t="shared" si="2"/>
        <v>-6.187624750498999E-2</v>
      </c>
      <c r="S85" s="251"/>
      <c r="T85" s="6"/>
    </row>
    <row r="86" spans="8:20" ht="15.75" thickBot="1">
      <c r="H86" s="1045">
        <v>44691</v>
      </c>
      <c r="I86" s="1046">
        <v>1293.56</v>
      </c>
      <c r="J86" s="1047">
        <v>80324.244720000002</v>
      </c>
      <c r="L86" s="277">
        <f t="shared" si="2"/>
        <v>1.8856035664214534E-2</v>
      </c>
      <c r="M86" s="275">
        <f t="shared" si="2"/>
        <v>4.6808510638297843E-2</v>
      </c>
      <c r="S86" s="251"/>
      <c r="T86" s="6"/>
    </row>
    <row r="87" spans="8:20" ht="15.75" thickBot="1">
      <c r="H87" s="1045">
        <v>44692</v>
      </c>
      <c r="I87" s="1046">
        <v>1301.53</v>
      </c>
      <c r="J87" s="1047">
        <v>83181.306270000001</v>
      </c>
      <c r="L87" s="277">
        <f t="shared" si="2"/>
        <v>6.1612913200779461E-3</v>
      </c>
      <c r="M87" s="275">
        <f t="shared" si="2"/>
        <v>3.5569105691056889E-2</v>
      </c>
      <c r="S87" s="251"/>
      <c r="T87" s="6"/>
    </row>
    <row r="88" spans="8:20" ht="15.75" thickBot="1">
      <c r="H88" s="1045">
        <v>44693</v>
      </c>
      <c r="I88" s="1046">
        <v>1238.8399999999999</v>
      </c>
      <c r="J88" s="1047">
        <v>78038.595480000004</v>
      </c>
      <c r="L88" s="277">
        <f t="shared" si="2"/>
        <v>-4.8166388788579637E-2</v>
      </c>
      <c r="M88" s="275">
        <f t="shared" si="2"/>
        <v>-6.1825318940137354E-2</v>
      </c>
      <c r="S88" s="251"/>
      <c r="T88" s="6"/>
    </row>
    <row r="89" spans="8:20" ht="15.75" thickBot="1">
      <c r="H89" s="1045">
        <v>44694</v>
      </c>
      <c r="I89" s="1046">
        <v>1182.77</v>
      </c>
      <c r="J89" s="1047">
        <v>76405.988880000004</v>
      </c>
      <c r="L89" s="277">
        <f t="shared" si="2"/>
        <v>-4.5260082012204918E-2</v>
      </c>
      <c r="M89" s="275">
        <f t="shared" si="2"/>
        <v>-2.0920502092050198E-2</v>
      </c>
      <c r="S89" s="251"/>
      <c r="T89" s="6"/>
    </row>
    <row r="90" spans="8:20" ht="15.75" thickBot="1">
      <c r="H90" s="1045">
        <v>44697</v>
      </c>
      <c r="I90" s="1046">
        <v>1171.95</v>
      </c>
      <c r="J90" s="1047">
        <v>76079.467560000005</v>
      </c>
      <c r="L90" s="277">
        <f t="shared" si="2"/>
        <v>-9.1480169432771683E-3</v>
      </c>
      <c r="M90" s="275">
        <f t="shared" si="2"/>
        <v>-4.2735042735042713E-3</v>
      </c>
      <c r="S90" s="251"/>
      <c r="T90" s="6"/>
    </row>
    <row r="91" spans="8:20" ht="15.75" thickBot="1">
      <c r="H91" s="1045">
        <v>44698</v>
      </c>
      <c r="I91" s="1046">
        <v>1228.3699999999999</v>
      </c>
      <c r="J91" s="1047">
        <v>81385.439010000002</v>
      </c>
      <c r="L91" s="277">
        <f t="shared" si="2"/>
        <v>4.8141985579589437E-2</v>
      </c>
      <c r="M91" s="275">
        <f t="shared" si="2"/>
        <v>6.9742489270386232E-2</v>
      </c>
      <c r="S91" s="251"/>
      <c r="T91" s="6"/>
    </row>
    <row r="92" spans="8:20" ht="15.75" thickBot="1">
      <c r="H92" s="1045">
        <v>44699</v>
      </c>
      <c r="I92" s="1046">
        <v>1240.76</v>
      </c>
      <c r="J92" s="1047">
        <v>79752.832410000003</v>
      </c>
      <c r="L92" s="277">
        <f t="shared" si="2"/>
        <v>1.0086537443929842E-2</v>
      </c>
      <c r="M92" s="275">
        <f t="shared" si="2"/>
        <v>-2.0060180541624863E-2</v>
      </c>
      <c r="S92" s="251"/>
      <c r="T92" s="6"/>
    </row>
    <row r="93" spans="8:20" ht="15.75" thickBot="1">
      <c r="H93" s="1045">
        <v>44700</v>
      </c>
      <c r="I93" s="1046">
        <v>1241.6400000000001</v>
      </c>
      <c r="J93" s="1047">
        <v>79181.420100000003</v>
      </c>
      <c r="L93" s="277">
        <f t="shared" si="2"/>
        <v>7.0924272220260903E-4</v>
      </c>
      <c r="M93" s="275">
        <f t="shared" si="2"/>
        <v>-7.1647901740020436E-3</v>
      </c>
      <c r="S93" s="251"/>
      <c r="T93" s="6"/>
    </row>
    <row r="94" spans="8:20" ht="15.75" thickBot="1">
      <c r="H94" s="1045">
        <v>44701</v>
      </c>
      <c r="I94" s="1046">
        <v>1240.71</v>
      </c>
      <c r="J94" s="1047">
        <v>79589.571750000003</v>
      </c>
      <c r="L94" s="277">
        <f t="shared" si="2"/>
        <v>-7.4900937469803131E-4</v>
      </c>
      <c r="M94" s="275">
        <f t="shared" si="2"/>
        <v>5.1546391752577293E-3</v>
      </c>
      <c r="S94" s="251"/>
      <c r="T94" s="6"/>
    </row>
    <row r="95" spans="8:20" ht="15.75" thickBot="1">
      <c r="H95" s="1045">
        <v>44704</v>
      </c>
      <c r="I95" s="1046">
        <v>1218.81</v>
      </c>
      <c r="J95" s="1047">
        <v>78773.268450000003</v>
      </c>
      <c r="L95" s="277">
        <f t="shared" si="2"/>
        <v>-1.7651183596489178E-2</v>
      </c>
      <c r="M95" s="275">
        <f t="shared" si="2"/>
        <v>-1.0256410256410251E-2</v>
      </c>
      <c r="S95" s="251"/>
      <c r="T95" s="6"/>
    </row>
    <row r="96" spans="8:20" ht="15.75" thickBot="1">
      <c r="H96" s="1045">
        <v>44705</v>
      </c>
      <c r="I96" s="1046">
        <v>1233.3800000000001</v>
      </c>
      <c r="J96" s="1047">
        <v>80160.984060000003</v>
      </c>
      <c r="L96" s="277">
        <f t="shared" si="2"/>
        <v>1.1954283276310634E-2</v>
      </c>
      <c r="M96" s="275">
        <f t="shared" si="2"/>
        <v>1.7616580310880821E-2</v>
      </c>
      <c r="S96" s="251"/>
      <c r="T96" s="6"/>
    </row>
    <row r="97" spans="8:20" ht="15.75" thickBot="1">
      <c r="H97" s="1045">
        <v>44706</v>
      </c>
      <c r="I97" s="1046">
        <v>1268.43</v>
      </c>
      <c r="J97" s="1047">
        <v>85711.8465</v>
      </c>
      <c r="L97" s="277">
        <f t="shared" si="2"/>
        <v>2.8417843649159183E-2</v>
      </c>
      <c r="M97" s="275">
        <f t="shared" si="2"/>
        <v>6.9246435845213811E-2</v>
      </c>
      <c r="S97" s="251"/>
      <c r="T97" s="6"/>
    </row>
    <row r="98" spans="8:20" ht="15.75" thickBot="1">
      <c r="H98" s="1045">
        <v>44707</v>
      </c>
      <c r="I98" s="1046">
        <v>1268.57</v>
      </c>
      <c r="J98" s="1047">
        <v>86201.628479999999</v>
      </c>
      <c r="L98" s="277">
        <f t="shared" si="2"/>
        <v>1.1037266542093192E-4</v>
      </c>
      <c r="M98" s="275">
        <f t="shared" si="2"/>
        <v>5.7142857142857117E-3</v>
      </c>
      <c r="S98" s="251"/>
      <c r="T98" s="6"/>
    </row>
    <row r="99" spans="8:20" ht="15.75" thickBot="1">
      <c r="H99" s="1045">
        <v>44708</v>
      </c>
      <c r="I99" s="1046">
        <v>1285.45</v>
      </c>
      <c r="J99" s="1047">
        <v>91262.708939999997</v>
      </c>
      <c r="L99" s="277">
        <f t="shared" si="2"/>
        <v>1.3306321290902442E-2</v>
      </c>
      <c r="M99" s="275">
        <f t="shared" si="2"/>
        <v>5.8712121212121181E-2</v>
      </c>
      <c r="S99" s="251"/>
      <c r="T99" s="6"/>
    </row>
    <row r="100" spans="8:20" ht="15.75" thickBot="1">
      <c r="H100" s="1045">
        <v>44711</v>
      </c>
      <c r="I100" s="1046">
        <v>1293.92</v>
      </c>
      <c r="J100" s="1047">
        <v>90854.557289999997</v>
      </c>
      <c r="L100" s="277">
        <f t="shared" si="2"/>
        <v>6.5891322105099594E-3</v>
      </c>
      <c r="M100" s="275">
        <f t="shared" si="2"/>
        <v>-4.4722719141323773E-3</v>
      </c>
      <c r="S100" s="251"/>
      <c r="T100" s="6"/>
    </row>
    <row r="101" spans="8:20" ht="15.75" thickBot="1">
      <c r="H101" s="1045">
        <v>44712</v>
      </c>
      <c r="I101" s="1046">
        <v>1292.68</v>
      </c>
      <c r="J101" s="1047">
        <v>89711.732669999998</v>
      </c>
      <c r="L101" s="277">
        <f t="shared" si="2"/>
        <v>-9.5832818103129178E-4</v>
      </c>
      <c r="M101" s="275">
        <f t="shared" si="2"/>
        <v>-1.2578616352201252E-2</v>
      </c>
      <c r="S101" s="251"/>
      <c r="T101" s="6"/>
    </row>
    <row r="102" spans="8:20" ht="15.75" thickBot="1">
      <c r="H102" s="1045">
        <v>44713</v>
      </c>
      <c r="I102" s="1046">
        <v>1299.52</v>
      </c>
      <c r="J102" s="1047">
        <v>91262.708939999997</v>
      </c>
      <c r="L102" s="277">
        <f t="shared" si="2"/>
        <v>5.2913327350929216E-3</v>
      </c>
      <c r="M102" s="275">
        <f t="shared" si="2"/>
        <v>1.7288444040036387E-2</v>
      </c>
      <c r="S102" s="251"/>
      <c r="T102" s="6"/>
    </row>
    <row r="103" spans="8:20" ht="15.75" thickBot="1">
      <c r="H103" s="1045">
        <v>44714</v>
      </c>
      <c r="I103" s="1046">
        <v>1288.6199999999999</v>
      </c>
      <c r="J103" s="1047">
        <v>91017.817949999997</v>
      </c>
      <c r="L103" s="277">
        <f t="shared" si="2"/>
        <v>-8.387712386111865E-3</v>
      </c>
      <c r="M103" s="275">
        <f t="shared" si="2"/>
        <v>-2.6833631484794265E-3</v>
      </c>
      <c r="S103" s="251"/>
      <c r="T103" s="6"/>
    </row>
    <row r="104" spans="8:20" ht="15.75" thickBot="1">
      <c r="H104" s="1045">
        <v>44715</v>
      </c>
      <c r="I104" s="1046">
        <v>1287.98</v>
      </c>
      <c r="J104" s="1047">
        <v>93058.576199999996</v>
      </c>
      <c r="K104" s="283"/>
      <c r="L104" s="277">
        <f t="shared" si="2"/>
        <v>-4.9665533671669905E-4</v>
      </c>
      <c r="M104" s="275">
        <f t="shared" si="2"/>
        <v>2.2421524663677118E-2</v>
      </c>
      <c r="S104" s="251"/>
      <c r="T104" s="6"/>
    </row>
    <row r="105" spans="8:20" ht="15.75" thickBot="1">
      <c r="H105" s="1045">
        <v>44718</v>
      </c>
      <c r="I105" s="1046">
        <v>1290.01</v>
      </c>
      <c r="J105" s="1047">
        <v>92242.272899999996</v>
      </c>
      <c r="K105" s="283"/>
      <c r="L105" s="277">
        <f t="shared" si="2"/>
        <v>1.5761114303016915E-3</v>
      </c>
      <c r="M105" s="275">
        <f t="shared" si="2"/>
        <v>-8.7719298245613996E-3</v>
      </c>
      <c r="S105" s="251"/>
      <c r="T105" s="6"/>
    </row>
    <row r="106" spans="8:20" ht="15.75" thickBot="1">
      <c r="H106" s="1045">
        <v>44719</v>
      </c>
      <c r="I106" s="1046">
        <v>1291.3499999999999</v>
      </c>
      <c r="J106" s="1047">
        <v>94364.661479999995</v>
      </c>
      <c r="L106" s="277">
        <f t="shared" si="2"/>
        <v>1.0387516375841414E-3</v>
      </c>
      <c r="M106" s="275">
        <f t="shared" si="2"/>
        <v>2.3008849557522113E-2</v>
      </c>
      <c r="S106" s="251"/>
      <c r="T106" s="6"/>
    </row>
    <row r="107" spans="8:20" ht="15.75" thickBot="1">
      <c r="H107" s="1045">
        <v>44720</v>
      </c>
      <c r="I107" s="1046">
        <v>1307.9100000000001</v>
      </c>
      <c r="J107" s="1047">
        <v>93874.879499999995</v>
      </c>
      <c r="L107" s="277">
        <f t="shared" si="2"/>
        <v>1.2823789057962732E-2</v>
      </c>
      <c r="M107" s="275">
        <f t="shared" si="2"/>
        <v>-5.1903114186851191E-3</v>
      </c>
      <c r="S107" s="251"/>
      <c r="T107" s="6"/>
    </row>
    <row r="108" spans="8:20" ht="15.75" thickBot="1">
      <c r="H108" s="1045">
        <v>44721</v>
      </c>
      <c r="I108" s="1046">
        <v>1307.8</v>
      </c>
      <c r="J108" s="1047">
        <v>94119.770489999995</v>
      </c>
      <c r="L108" s="277">
        <f t="shared" si="2"/>
        <v>-8.4103646275452687E-5</v>
      </c>
      <c r="M108" s="275">
        <f t="shared" si="2"/>
        <v>2.6086956521739119E-3</v>
      </c>
      <c r="S108" s="251"/>
      <c r="T108" s="6"/>
    </row>
    <row r="109" spans="8:20" ht="15.75" thickBot="1">
      <c r="H109" s="1045">
        <v>44722</v>
      </c>
      <c r="I109" s="1046">
        <v>1284.08</v>
      </c>
      <c r="J109" s="1047">
        <v>89793.362999999998</v>
      </c>
      <c r="L109" s="277">
        <f t="shared" si="2"/>
        <v>-1.8137329866952157E-2</v>
      </c>
      <c r="M109" s="275">
        <f t="shared" si="2"/>
        <v>-4.596704249783172E-2</v>
      </c>
      <c r="S109" s="251"/>
      <c r="T109" s="6"/>
    </row>
    <row r="110" spans="8:20" ht="15.75" thickBot="1">
      <c r="H110" s="1045">
        <v>44725</v>
      </c>
      <c r="I110" s="1046">
        <v>1227.04</v>
      </c>
      <c r="J110" s="1047">
        <v>85208.7</v>
      </c>
      <c r="L110" s="277">
        <f t="shared" si="2"/>
        <v>-4.4420908354619627E-2</v>
      </c>
      <c r="M110" s="275">
        <f t="shared" si="2"/>
        <v>-5.1057927299147939E-2</v>
      </c>
      <c r="S110" s="251"/>
      <c r="T110" s="6"/>
    </row>
    <row r="111" spans="8:20" ht="15.75" thickBot="1">
      <c r="H111" s="1045">
        <v>44726</v>
      </c>
      <c r="I111" s="1046">
        <v>1230.31</v>
      </c>
      <c r="J111" s="1047">
        <v>88075.35</v>
      </c>
      <c r="L111" s="277">
        <f t="shared" si="2"/>
        <v>2.6649497978875848E-3</v>
      </c>
      <c r="M111" s="275">
        <f t="shared" si="2"/>
        <v>3.3642691415313328E-2</v>
      </c>
      <c r="S111" s="251"/>
      <c r="T111" s="6"/>
    </row>
    <row r="112" spans="8:20" ht="15.75" thickBot="1">
      <c r="H112" s="1045">
        <v>44727</v>
      </c>
      <c r="I112" s="1046">
        <v>1213.93</v>
      </c>
      <c r="J112" s="1047">
        <v>89459.25</v>
      </c>
      <c r="L112" s="277">
        <f t="shared" si="2"/>
        <v>-1.3313717680909594E-2</v>
      </c>
      <c r="M112" s="275">
        <f t="shared" si="2"/>
        <v>1.5712682379348978E-2</v>
      </c>
      <c r="S112" s="251"/>
      <c r="T112" s="6"/>
    </row>
    <row r="113" spans="8:20" ht="15.75" thickBot="1">
      <c r="H113" s="1045">
        <v>44728</v>
      </c>
      <c r="I113" s="1046">
        <v>1236.6300000000001</v>
      </c>
      <c r="J113" s="1047">
        <v>90942</v>
      </c>
      <c r="L113" s="277">
        <f t="shared" si="2"/>
        <v>1.8699595528572525E-2</v>
      </c>
      <c r="M113" s="275">
        <f t="shared" si="2"/>
        <v>1.6574585635359115E-2</v>
      </c>
      <c r="S113" s="251"/>
      <c r="T113" s="6"/>
    </row>
    <row r="114" spans="8:20" ht="15.75" thickBot="1">
      <c r="H114" s="1045">
        <v>44729</v>
      </c>
      <c r="I114" s="1046">
        <v>1217.3</v>
      </c>
      <c r="J114" s="1047">
        <v>90942</v>
      </c>
      <c r="L114" s="277">
        <f t="shared" si="2"/>
        <v>-1.563119122130318E-2</v>
      </c>
      <c r="M114" s="275">
        <f t="shared" si="2"/>
        <v>0</v>
      </c>
      <c r="S114" s="251"/>
      <c r="T114" s="6"/>
    </row>
    <row r="115" spans="8:20" ht="15.75" thickBot="1">
      <c r="H115" s="1045">
        <v>44732</v>
      </c>
      <c r="I115" s="1046">
        <v>1180.4000000000001</v>
      </c>
      <c r="J115" s="1047">
        <v>90942</v>
      </c>
      <c r="L115" s="277">
        <f t="shared" si="2"/>
        <v>-3.031298775979616E-2</v>
      </c>
      <c r="M115" s="275">
        <f t="shared" si="2"/>
        <v>0</v>
      </c>
      <c r="S115" s="251"/>
      <c r="T115" s="6"/>
    </row>
    <row r="116" spans="8:20" ht="15.75" thickBot="1">
      <c r="H116" s="1045">
        <v>44733</v>
      </c>
      <c r="I116" s="1046">
        <v>1172.47</v>
      </c>
      <c r="J116" s="1047">
        <v>88075.35</v>
      </c>
      <c r="L116" s="277">
        <f t="shared" si="2"/>
        <v>-6.7180616740088643E-3</v>
      </c>
      <c r="M116" s="275">
        <f t="shared" si="2"/>
        <v>-3.1521739130434719E-2</v>
      </c>
      <c r="S116" s="251"/>
      <c r="T116" s="6"/>
    </row>
    <row r="117" spans="8:20" ht="15.75" thickBot="1">
      <c r="H117" s="1045">
        <v>44734</v>
      </c>
      <c r="I117" s="1046">
        <v>1169.27</v>
      </c>
      <c r="J117" s="1047">
        <v>83528.25</v>
      </c>
      <c r="L117" s="277">
        <f t="shared" si="2"/>
        <v>-2.7292809197677088E-3</v>
      </c>
      <c r="M117" s="275">
        <f t="shared" si="2"/>
        <v>-5.1627384960718357E-2</v>
      </c>
      <c r="S117" s="251"/>
      <c r="T117" s="6"/>
    </row>
    <row r="118" spans="8:20" ht="15.75" thickBot="1">
      <c r="H118" s="1045">
        <v>44735</v>
      </c>
      <c r="I118" s="1046">
        <v>1188.8800000000001</v>
      </c>
      <c r="J118" s="1047">
        <v>84516.75</v>
      </c>
      <c r="L118" s="277">
        <f t="shared" si="2"/>
        <v>1.6771147810172266E-2</v>
      </c>
      <c r="M118" s="275">
        <f t="shared" si="2"/>
        <v>1.1834319526627219E-2</v>
      </c>
      <c r="S118" s="251"/>
      <c r="T118" s="6"/>
    </row>
    <row r="119" spans="8:20" ht="15.75" thickBot="1">
      <c r="H119" s="1045">
        <v>44736</v>
      </c>
      <c r="I119" s="1046">
        <v>1185.48</v>
      </c>
      <c r="J119" s="1047">
        <v>84516.75</v>
      </c>
      <c r="L119" s="277">
        <f t="shared" si="2"/>
        <v>-2.859834466052159E-3</v>
      </c>
      <c r="M119" s="275">
        <f t="shared" si="2"/>
        <v>0</v>
      </c>
      <c r="S119" s="251"/>
      <c r="T119" s="6"/>
    </row>
    <row r="120" spans="8:20" ht="15.75" thickBot="1">
      <c r="H120" s="1045">
        <v>44739</v>
      </c>
      <c r="I120" s="1046">
        <v>1202.82</v>
      </c>
      <c r="J120" s="1047">
        <v>85505.25</v>
      </c>
      <c r="L120" s="277">
        <f t="shared" si="2"/>
        <v>1.4626986537098827E-2</v>
      </c>
      <c r="M120" s="275">
        <f t="shared" si="2"/>
        <v>1.1695906432748537E-2</v>
      </c>
      <c r="S120" s="251"/>
      <c r="T120" s="6"/>
    </row>
    <row r="121" spans="8:20" ht="15.75" thickBot="1">
      <c r="H121" s="1045">
        <v>44740</v>
      </c>
      <c r="I121" s="1046">
        <v>1218.0999999999999</v>
      </c>
      <c r="J121" s="1047">
        <v>88668.45</v>
      </c>
      <c r="L121" s="277">
        <f t="shared" si="2"/>
        <v>1.2703480154969134E-2</v>
      </c>
      <c r="M121" s="275">
        <f t="shared" si="2"/>
        <v>3.6994219653179158E-2</v>
      </c>
      <c r="S121" s="251"/>
      <c r="T121" s="6"/>
    </row>
    <row r="122" spans="8:20" ht="15.75" thickBot="1">
      <c r="H122" s="1045">
        <v>44741</v>
      </c>
      <c r="I122" s="1046">
        <v>1218.0899999999999</v>
      </c>
      <c r="J122" s="1047">
        <v>88965</v>
      </c>
      <c r="L122" s="277">
        <f t="shared" si="2"/>
        <v>-8.2095066086453546E-6</v>
      </c>
      <c r="M122" s="275">
        <f t="shared" si="2"/>
        <v>3.3444816053512035E-3</v>
      </c>
      <c r="S122" s="251"/>
      <c r="T122" s="6"/>
    </row>
    <row r="123" spans="8:20" ht="15.75" thickBot="1">
      <c r="H123" s="1045">
        <v>44742</v>
      </c>
      <c r="I123" s="1046">
        <v>1197.5999999999999</v>
      </c>
      <c r="J123" s="1047">
        <v>85208.7</v>
      </c>
      <c r="L123" s="277">
        <f t="shared" si="2"/>
        <v>-1.6821417136664785E-2</v>
      </c>
      <c r="M123" s="275">
        <f t="shared" si="2"/>
        <v>-4.2222222222222258E-2</v>
      </c>
      <c r="S123" s="251"/>
      <c r="T123" s="6"/>
    </row>
    <row r="124" spans="8:20" ht="15.75" thickBot="1">
      <c r="H124" s="1045">
        <v>44743</v>
      </c>
      <c r="I124" s="1046">
        <v>1198.9000000000001</v>
      </c>
      <c r="J124" s="1047">
        <v>86988</v>
      </c>
      <c r="L124" s="277">
        <f t="shared" si="2"/>
        <v>1.0855043420175199E-3</v>
      </c>
      <c r="M124" s="275">
        <f t="shared" si="2"/>
        <v>2.0881670533642725E-2</v>
      </c>
      <c r="S124" s="251"/>
      <c r="T124" s="6"/>
    </row>
    <row r="125" spans="8:20" ht="15.75" thickBot="1">
      <c r="H125" s="1045">
        <v>44746</v>
      </c>
      <c r="I125" s="1046">
        <v>1195.53</v>
      </c>
      <c r="J125" s="1047">
        <v>85702.95</v>
      </c>
      <c r="L125" s="277">
        <f t="shared" si="2"/>
        <v>-2.8109100008341962E-3</v>
      </c>
      <c r="M125" s="275">
        <f t="shared" si="2"/>
        <v>-1.4772727272727305E-2</v>
      </c>
      <c r="S125" s="251"/>
      <c r="T125" s="6"/>
    </row>
    <row r="126" spans="8:20" ht="15.75" thickBot="1">
      <c r="H126" s="1045">
        <v>44747</v>
      </c>
      <c r="I126" s="1046">
        <v>1181.29</v>
      </c>
      <c r="J126" s="1047">
        <v>84417.9</v>
      </c>
      <c r="L126" s="277">
        <f t="shared" si="2"/>
        <v>-1.1911035273058819E-2</v>
      </c>
      <c r="M126" s="275">
        <f t="shared" si="2"/>
        <v>-1.4994232987312606E-2</v>
      </c>
      <c r="S126" s="251"/>
      <c r="T126" s="6"/>
    </row>
    <row r="127" spans="8:20" ht="15.75" thickBot="1">
      <c r="H127" s="1045">
        <v>44748</v>
      </c>
      <c r="I127" s="1046">
        <v>1149.6099999999999</v>
      </c>
      <c r="J127" s="1047">
        <v>82539.75</v>
      </c>
      <c r="L127" s="277">
        <f t="shared" si="2"/>
        <v>-2.6818139491572825E-2</v>
      </c>
      <c r="M127" s="275">
        <f t="shared" si="2"/>
        <v>-2.2248243559718901E-2</v>
      </c>
      <c r="S127" s="251"/>
      <c r="T127" s="6"/>
    </row>
    <row r="128" spans="8:20" ht="15.75" thickBot="1">
      <c r="H128" s="1045">
        <v>44749</v>
      </c>
      <c r="I128" s="1046">
        <v>1166.48</v>
      </c>
      <c r="J128" s="1047">
        <v>82144.350000000006</v>
      </c>
      <c r="L128" s="277">
        <f t="shared" si="2"/>
        <v>1.4674541801132663E-2</v>
      </c>
      <c r="M128" s="275">
        <f t="shared" si="2"/>
        <v>-4.7904191616765764E-3</v>
      </c>
      <c r="S128" s="251"/>
      <c r="T128" s="6"/>
    </row>
    <row r="129" spans="8:20" ht="15.75" thickBot="1">
      <c r="H129" s="1045">
        <v>44750</v>
      </c>
      <c r="I129" s="1046">
        <v>1171.31</v>
      </c>
      <c r="J129" s="1047">
        <v>82638.600000000006</v>
      </c>
      <c r="L129" s="277">
        <f t="shared" si="2"/>
        <v>4.1406625060008981E-3</v>
      </c>
      <c r="M129" s="275">
        <f t="shared" si="2"/>
        <v>6.0168471720818285E-3</v>
      </c>
      <c r="S129" s="251"/>
      <c r="T129" s="6"/>
    </row>
    <row r="130" spans="8:20" ht="15.75" thickBot="1">
      <c r="H130" s="1045">
        <v>44753</v>
      </c>
      <c r="I130" s="1046">
        <v>1155.29</v>
      </c>
      <c r="J130" s="1047">
        <v>81847.8</v>
      </c>
      <c r="L130" s="277">
        <f t="shared" si="2"/>
        <v>-1.3676994134772164E-2</v>
      </c>
      <c r="M130" s="275">
        <f t="shared" si="2"/>
        <v>-9.5693779904306563E-3</v>
      </c>
      <c r="S130" s="251"/>
      <c r="T130" s="6"/>
    </row>
    <row r="131" spans="8:20" ht="15.75" thickBot="1">
      <c r="H131" s="1045">
        <v>44754</v>
      </c>
      <c r="I131" s="1046">
        <v>1174.82</v>
      </c>
      <c r="J131" s="1047">
        <v>82539.75</v>
      </c>
      <c r="L131" s="277">
        <f t="shared" si="2"/>
        <v>1.6904846402202023E-2</v>
      </c>
      <c r="M131" s="275">
        <f t="shared" si="2"/>
        <v>8.4541062801932014E-3</v>
      </c>
      <c r="S131" s="251"/>
      <c r="T131" s="6"/>
    </row>
    <row r="132" spans="8:20" ht="15.75" thickBot="1">
      <c r="H132" s="1045">
        <v>44755</v>
      </c>
      <c r="I132" s="1046">
        <v>1173.92</v>
      </c>
      <c r="J132" s="1047">
        <v>81551.25</v>
      </c>
      <c r="L132" s="277">
        <f t="shared" si="2"/>
        <v>-7.660748029484207E-4</v>
      </c>
      <c r="M132" s="275">
        <f t="shared" si="2"/>
        <v>-1.1976047904191617E-2</v>
      </c>
      <c r="S132" s="251"/>
      <c r="T132" s="6"/>
    </row>
    <row r="133" spans="8:20" ht="15.75" thickBot="1">
      <c r="H133" s="1045">
        <v>44756</v>
      </c>
      <c r="I133" s="1046">
        <v>1182.17</v>
      </c>
      <c r="J133" s="1047">
        <v>81847.8</v>
      </c>
      <c r="L133" s="277">
        <f t="shared" ref="L133:M196" si="3">(I133-I132)/I132</f>
        <v>7.0277361319340328E-3</v>
      </c>
      <c r="M133" s="275">
        <f t="shared" si="3"/>
        <v>3.6363636363636719E-3</v>
      </c>
      <c r="S133" s="251"/>
      <c r="T133" s="6"/>
    </row>
    <row r="134" spans="8:20" ht="15.75" thickBot="1">
      <c r="H134" s="1045">
        <v>44757</v>
      </c>
      <c r="I134" s="1046">
        <v>1179.25</v>
      </c>
      <c r="J134" s="1047">
        <v>81254.7</v>
      </c>
      <c r="L134" s="277">
        <f t="shared" si="3"/>
        <v>-2.4700339206713694E-3</v>
      </c>
      <c r="M134" s="275">
        <f t="shared" si="3"/>
        <v>-7.2463768115942741E-3</v>
      </c>
      <c r="S134" s="251"/>
      <c r="T134" s="6"/>
    </row>
    <row r="135" spans="8:20" ht="15.75" thickBot="1">
      <c r="H135" s="1045">
        <v>44760</v>
      </c>
      <c r="I135" s="1046">
        <v>1176.49</v>
      </c>
      <c r="J135" s="1047">
        <v>82045.5</v>
      </c>
      <c r="L135" s="277">
        <f t="shared" si="3"/>
        <v>-2.3404706381174398E-3</v>
      </c>
      <c r="M135" s="275">
        <f t="shared" si="3"/>
        <v>9.7323600973236377E-3</v>
      </c>
      <c r="S135" s="251"/>
      <c r="T135" s="6"/>
    </row>
    <row r="136" spans="8:20" ht="15.75" thickBot="1">
      <c r="H136" s="1045">
        <v>44761</v>
      </c>
      <c r="I136" s="1046">
        <v>1178.33</v>
      </c>
      <c r="J136" s="1047">
        <v>82045.5</v>
      </c>
      <c r="L136" s="277">
        <f t="shared" si="3"/>
        <v>1.5639741944257224E-3</v>
      </c>
      <c r="M136" s="275">
        <f t="shared" si="3"/>
        <v>0</v>
      </c>
      <c r="S136" s="251"/>
      <c r="T136" s="6"/>
    </row>
    <row r="137" spans="8:20" ht="15.75" thickBot="1">
      <c r="H137" s="1045">
        <v>44762</v>
      </c>
      <c r="I137" s="1046">
        <v>1194.1400000000001</v>
      </c>
      <c r="J137" s="1047">
        <v>83923.65</v>
      </c>
      <c r="L137" s="277">
        <f t="shared" si="3"/>
        <v>1.3417293966885485E-2</v>
      </c>
      <c r="M137" s="275">
        <f t="shared" si="3"/>
        <v>2.289156626506017E-2</v>
      </c>
      <c r="S137" s="251"/>
      <c r="T137" s="6"/>
    </row>
    <row r="138" spans="8:20" ht="15.75" thickBot="1">
      <c r="H138" s="1045">
        <v>44763</v>
      </c>
      <c r="I138" s="1046">
        <v>1198.47</v>
      </c>
      <c r="J138" s="1047">
        <v>84022.5</v>
      </c>
      <c r="L138" s="277">
        <f t="shared" si="3"/>
        <v>3.6260404977640202E-3</v>
      </c>
      <c r="M138" s="275">
        <f t="shared" si="3"/>
        <v>1.1778563015312827E-3</v>
      </c>
      <c r="S138" s="251"/>
      <c r="T138" s="6"/>
    </row>
    <row r="139" spans="8:20" ht="15.75" thickBot="1">
      <c r="H139" s="1045">
        <v>44764</v>
      </c>
      <c r="I139" s="1046">
        <v>1194.76</v>
      </c>
      <c r="J139" s="1047">
        <v>84121.35</v>
      </c>
      <c r="L139" s="277">
        <f t="shared" si="3"/>
        <v>-3.0956135739735133E-3</v>
      </c>
      <c r="M139" s="275">
        <f t="shared" si="3"/>
        <v>1.1764705882353634E-3</v>
      </c>
      <c r="S139" s="251"/>
      <c r="T139" s="6"/>
    </row>
    <row r="140" spans="8:20" ht="15.75" thickBot="1">
      <c r="H140" s="1045">
        <v>44767</v>
      </c>
      <c r="I140" s="1046">
        <v>1188.5</v>
      </c>
      <c r="J140" s="1047">
        <v>84417.9</v>
      </c>
      <c r="L140" s="277">
        <f t="shared" si="3"/>
        <v>-5.2395460176102235E-3</v>
      </c>
      <c r="M140" s="275">
        <f t="shared" si="3"/>
        <v>3.5252643948294735E-3</v>
      </c>
      <c r="S140" s="251"/>
      <c r="T140" s="6"/>
    </row>
    <row r="141" spans="8:20" ht="15.75" thickBot="1">
      <c r="H141" s="1045">
        <v>44768</v>
      </c>
      <c r="I141" s="1046">
        <v>1185.07</v>
      </c>
      <c r="J141" s="1047">
        <v>83824.800000000003</v>
      </c>
      <c r="L141" s="277">
        <f t="shared" si="3"/>
        <v>-2.8859907446361494E-3</v>
      </c>
      <c r="M141" s="275">
        <f t="shared" si="3"/>
        <v>-7.0257611241216766E-3</v>
      </c>
      <c r="S141" s="251"/>
      <c r="T141" s="6"/>
    </row>
    <row r="142" spans="8:20" ht="15.75" thickBot="1">
      <c r="H142" s="1045">
        <v>44769</v>
      </c>
      <c r="I142" s="1046">
        <v>1191.04</v>
      </c>
      <c r="J142" s="1047">
        <v>84220.2</v>
      </c>
      <c r="L142" s="277">
        <f t="shared" si="3"/>
        <v>5.0376770992431059E-3</v>
      </c>
      <c r="M142" s="275">
        <f t="shared" si="3"/>
        <v>4.7169811320754021E-3</v>
      </c>
      <c r="S142" s="251"/>
      <c r="T142" s="6"/>
    </row>
    <row r="143" spans="8:20" ht="15.75" thickBot="1">
      <c r="H143" s="1045">
        <v>44770</v>
      </c>
      <c r="I143" s="1046">
        <v>1208.1199999999999</v>
      </c>
      <c r="J143" s="1047">
        <v>83923.65</v>
      </c>
      <c r="L143" s="277">
        <f t="shared" si="3"/>
        <v>1.4340408382589945E-2</v>
      </c>
      <c r="M143" s="275">
        <f t="shared" si="3"/>
        <v>-3.5211267605634151E-3</v>
      </c>
      <c r="S143" s="251"/>
      <c r="T143" s="6"/>
    </row>
    <row r="144" spans="8:20" ht="15.75" thickBot="1">
      <c r="H144" s="1045">
        <v>44771</v>
      </c>
      <c r="I144" s="1046">
        <v>1206.33</v>
      </c>
      <c r="J144" s="1047">
        <v>82539.75</v>
      </c>
      <c r="L144" s="277">
        <f t="shared" si="3"/>
        <v>-1.4816408965996457E-3</v>
      </c>
      <c r="M144" s="275">
        <f t="shared" si="3"/>
        <v>-1.6489988221436918E-2</v>
      </c>
      <c r="S144" s="251"/>
      <c r="T144" s="6"/>
    </row>
    <row r="145" spans="8:20" ht="15.75" thickBot="1">
      <c r="H145" s="1045">
        <v>44774</v>
      </c>
      <c r="I145" s="1046">
        <v>1231.3499999999999</v>
      </c>
      <c r="J145" s="1047">
        <v>83034</v>
      </c>
      <c r="L145" s="277">
        <f t="shared" si="3"/>
        <v>2.0740593369973376E-2</v>
      </c>
      <c r="M145" s="275">
        <f t="shared" si="3"/>
        <v>5.9880239520958087E-3</v>
      </c>
      <c r="S145" s="251"/>
      <c r="T145" s="6"/>
    </row>
    <row r="146" spans="8:20" ht="15.75" thickBot="1">
      <c r="H146" s="1045">
        <v>44775</v>
      </c>
      <c r="I146" s="1046">
        <v>1241.6199999999999</v>
      </c>
      <c r="J146" s="1047">
        <v>84022.5</v>
      </c>
      <c r="L146" s="277">
        <f t="shared" si="3"/>
        <v>8.3404393551792608E-3</v>
      </c>
      <c r="M146" s="275">
        <f t="shared" si="3"/>
        <v>1.1904761904761904E-2</v>
      </c>
      <c r="S146" s="251"/>
      <c r="T146" s="6"/>
    </row>
    <row r="147" spans="8:20" ht="15.75" thickBot="1">
      <c r="H147" s="1045">
        <v>44776</v>
      </c>
      <c r="I147" s="1046">
        <v>1249.76</v>
      </c>
      <c r="J147" s="1047">
        <v>83824.800000000003</v>
      </c>
      <c r="L147" s="277">
        <f t="shared" si="3"/>
        <v>6.555951096148661E-3</v>
      </c>
      <c r="M147" s="275">
        <f t="shared" si="3"/>
        <v>-2.3529411764705538E-3</v>
      </c>
      <c r="S147" s="251"/>
      <c r="T147" s="6"/>
    </row>
    <row r="148" spans="8:20" ht="15.75" thickBot="1">
      <c r="H148" s="1045">
        <v>44777</v>
      </c>
      <c r="I148" s="1046">
        <v>1254.1500000000001</v>
      </c>
      <c r="J148" s="1047">
        <v>85109.85</v>
      </c>
      <c r="L148" s="277">
        <f t="shared" si="3"/>
        <v>3.5126744334913105E-3</v>
      </c>
      <c r="M148" s="275">
        <f t="shared" si="3"/>
        <v>1.5330188679245318E-2</v>
      </c>
      <c r="S148" s="251"/>
      <c r="T148" s="6"/>
    </row>
    <row r="149" spans="8:20" ht="15.75" thickBot="1">
      <c r="H149" s="1045">
        <v>44778</v>
      </c>
      <c r="I149" s="1046">
        <v>1252.74</v>
      </c>
      <c r="J149" s="1047">
        <v>84813.3</v>
      </c>
      <c r="L149" s="277">
        <f t="shared" si="3"/>
        <v>-1.124267432125409E-3</v>
      </c>
      <c r="M149" s="275">
        <f t="shared" si="3"/>
        <v>-3.484320557491323E-3</v>
      </c>
      <c r="S149" s="251"/>
      <c r="T149" s="6"/>
    </row>
    <row r="150" spans="8:20" ht="15.75" thickBot="1">
      <c r="H150" s="1045">
        <v>44781</v>
      </c>
      <c r="I150" s="1046">
        <v>1256.75</v>
      </c>
      <c r="J150" s="1047">
        <v>85011</v>
      </c>
      <c r="L150" s="277">
        <f t="shared" si="3"/>
        <v>3.2009834442901087E-3</v>
      </c>
      <c r="M150" s="275">
        <f t="shared" si="3"/>
        <v>2.3310023310022967E-3</v>
      </c>
      <c r="S150" s="251"/>
      <c r="T150" s="6"/>
    </row>
    <row r="151" spans="8:20" ht="15.75" thickBot="1">
      <c r="H151" s="1045">
        <v>44782</v>
      </c>
      <c r="I151" s="1046">
        <v>1258.8499999999999</v>
      </c>
      <c r="J151" s="1047">
        <v>85208.7</v>
      </c>
      <c r="L151" s="277">
        <f t="shared" si="3"/>
        <v>1.6709767256812484E-3</v>
      </c>
      <c r="M151" s="275">
        <f t="shared" si="3"/>
        <v>2.3255813953488029E-3</v>
      </c>
      <c r="S151" s="251"/>
      <c r="T151" s="6"/>
    </row>
    <row r="152" spans="8:20" ht="15.75" thickBot="1">
      <c r="H152" s="1045">
        <v>44783</v>
      </c>
      <c r="I152" s="1046">
        <v>1256.5</v>
      </c>
      <c r="J152" s="1047">
        <v>85011</v>
      </c>
      <c r="L152" s="277">
        <f t="shared" si="3"/>
        <v>-1.8667831751200772E-3</v>
      </c>
      <c r="M152" s="275">
        <f t="shared" si="3"/>
        <v>-2.320185614849154E-3</v>
      </c>
      <c r="S152" s="251"/>
      <c r="T152" s="6"/>
    </row>
    <row r="153" spans="8:20" ht="15.75" thickBot="1">
      <c r="H153" s="1045">
        <v>44784</v>
      </c>
      <c r="I153" s="1046">
        <v>1252.07</v>
      </c>
      <c r="J153" s="1047">
        <v>85011</v>
      </c>
      <c r="L153" s="277">
        <f t="shared" si="3"/>
        <v>-3.5256665340231306E-3</v>
      </c>
      <c r="M153" s="275">
        <f t="shared" si="3"/>
        <v>0</v>
      </c>
      <c r="S153" s="251"/>
      <c r="T153" s="6"/>
    </row>
    <row r="154" spans="8:20" ht="15.75" thickBot="1">
      <c r="H154" s="1045">
        <v>44785</v>
      </c>
      <c r="I154" s="1046">
        <v>1262.33</v>
      </c>
      <c r="J154" s="1047">
        <v>85505.25</v>
      </c>
      <c r="L154" s="277">
        <f t="shared" si="3"/>
        <v>8.194430023880447E-3</v>
      </c>
      <c r="M154" s="275">
        <f t="shared" si="3"/>
        <v>5.8139534883720929E-3</v>
      </c>
      <c r="S154" s="251"/>
      <c r="T154" s="6"/>
    </row>
    <row r="155" spans="8:20" s="284" customFormat="1" ht="15.75" thickBot="1">
      <c r="H155" s="1045">
        <v>44788</v>
      </c>
      <c r="I155" s="1046">
        <v>1274.2</v>
      </c>
      <c r="J155" s="1047">
        <v>87877.65</v>
      </c>
      <c r="L155" s="277">
        <f t="shared" si="3"/>
        <v>9.4032463777301654E-3</v>
      </c>
      <c r="M155" s="275">
        <f t="shared" si="3"/>
        <v>2.7745664739884324E-2</v>
      </c>
      <c r="S155" s="251"/>
      <c r="T155" s="6"/>
    </row>
    <row r="156" spans="8:20" ht="15.75" thickBot="1">
      <c r="H156" s="1045">
        <v>44789</v>
      </c>
      <c r="I156" s="1046">
        <v>1274.69</v>
      </c>
      <c r="J156" s="1047">
        <v>87679.95</v>
      </c>
      <c r="L156" s="277">
        <f t="shared" si="3"/>
        <v>3.8455501491132404E-4</v>
      </c>
      <c r="M156" s="275">
        <f t="shared" si="3"/>
        <v>-2.2497187851518228E-3</v>
      </c>
      <c r="S156" s="251"/>
      <c r="T156" s="6"/>
    </row>
    <row r="157" spans="8:20" ht="15.75" thickBot="1">
      <c r="H157" s="1045">
        <v>44790</v>
      </c>
      <c r="I157" s="1046">
        <v>1275.28</v>
      </c>
      <c r="J157" s="1047">
        <v>87284.55</v>
      </c>
      <c r="L157" s="277">
        <f t="shared" si="3"/>
        <v>4.6285763597417263E-4</v>
      </c>
      <c r="M157" s="275">
        <f t="shared" si="3"/>
        <v>-4.5095828635850523E-3</v>
      </c>
      <c r="S157" s="251"/>
      <c r="T157" s="6"/>
    </row>
    <row r="158" spans="8:20" ht="15.75" thickBot="1">
      <c r="H158" s="1045">
        <v>44791</v>
      </c>
      <c r="I158" s="1046">
        <v>1273.6600000000001</v>
      </c>
      <c r="J158" s="1047">
        <v>87284.55</v>
      </c>
      <c r="L158" s="277">
        <f t="shared" si="3"/>
        <v>-1.2703092654161368E-3</v>
      </c>
      <c r="M158" s="275">
        <f t="shared" si="3"/>
        <v>0</v>
      </c>
      <c r="S158" s="251"/>
      <c r="T158" s="6"/>
    </row>
    <row r="159" spans="8:20" ht="15.75" thickBot="1">
      <c r="H159" s="1045">
        <v>44792</v>
      </c>
      <c r="I159" s="1046">
        <v>1269.18</v>
      </c>
      <c r="J159" s="1047">
        <v>85900.65</v>
      </c>
      <c r="L159" s="277">
        <f t="shared" si="3"/>
        <v>-3.5174222319928534E-3</v>
      </c>
      <c r="M159" s="275">
        <f t="shared" si="3"/>
        <v>-1.5855039637599194E-2</v>
      </c>
      <c r="S159" s="251"/>
      <c r="T159" s="6"/>
    </row>
    <row r="160" spans="8:20" ht="15.75" thickBot="1">
      <c r="H160" s="1045">
        <v>44795</v>
      </c>
      <c r="I160" s="1046">
        <v>1260.43</v>
      </c>
      <c r="J160" s="1047">
        <v>85801.8</v>
      </c>
      <c r="L160" s="277">
        <f t="shared" si="3"/>
        <v>-6.8942151625458956E-3</v>
      </c>
      <c r="M160" s="275">
        <f t="shared" si="3"/>
        <v>-1.1507479861909227E-3</v>
      </c>
      <c r="S160" s="251"/>
      <c r="T160" s="6"/>
    </row>
    <row r="161" spans="8:20" ht="15.75" thickBot="1">
      <c r="H161" s="1045">
        <v>44796</v>
      </c>
      <c r="I161" s="1046">
        <v>1270.81</v>
      </c>
      <c r="J161" s="1047">
        <v>85999.5</v>
      </c>
      <c r="L161" s="277">
        <f t="shared" si="3"/>
        <v>8.2352847837641775E-3</v>
      </c>
      <c r="M161" s="275">
        <f t="shared" si="3"/>
        <v>2.3041474654377542E-3</v>
      </c>
      <c r="S161" s="251"/>
      <c r="T161" s="6"/>
    </row>
    <row r="162" spans="8:20" ht="15.75" thickBot="1">
      <c r="H162" s="1045">
        <v>44797</v>
      </c>
      <c r="I162" s="1046">
        <v>1277.1600000000001</v>
      </c>
      <c r="J162" s="1047">
        <v>86200</v>
      </c>
      <c r="L162" s="277">
        <f t="shared" si="3"/>
        <v>4.9968130562398289E-3</v>
      </c>
      <c r="M162" s="275">
        <f t="shared" si="3"/>
        <v>2.3314089035401369E-3</v>
      </c>
      <c r="S162" s="251"/>
      <c r="T162" s="6"/>
    </row>
    <row r="163" spans="8:20" ht="15.75" thickBot="1">
      <c r="H163" s="1045">
        <v>44798</v>
      </c>
      <c r="I163" s="1046">
        <v>1288.8800000000001</v>
      </c>
      <c r="J163" s="1047">
        <v>86300</v>
      </c>
      <c r="L163" s="277">
        <f t="shared" si="3"/>
        <v>9.1766106047793741E-3</v>
      </c>
      <c r="M163" s="275">
        <f t="shared" si="3"/>
        <v>1.1600928074245939E-3</v>
      </c>
      <c r="S163" s="251"/>
      <c r="T163" s="6"/>
    </row>
    <row r="164" spans="8:20" ht="15.75" thickBot="1">
      <c r="H164" s="1045">
        <v>44799</v>
      </c>
      <c r="I164" s="1046">
        <v>1282.57</v>
      </c>
      <c r="J164" s="1047">
        <v>87200</v>
      </c>
      <c r="L164" s="277">
        <f t="shared" si="3"/>
        <v>-4.895723418782332E-3</v>
      </c>
      <c r="M164" s="275">
        <f t="shared" si="3"/>
        <v>1.0428736964078795E-2</v>
      </c>
      <c r="S164" s="251"/>
      <c r="T164" s="6"/>
    </row>
    <row r="165" spans="8:20" ht="15.75" thickBot="1">
      <c r="H165" s="1045">
        <v>44802</v>
      </c>
      <c r="I165" s="1046">
        <v>1270.8</v>
      </c>
      <c r="J165" s="1047">
        <v>86500</v>
      </c>
      <c r="L165" s="277">
        <f t="shared" si="3"/>
        <v>-9.1768870315070382E-3</v>
      </c>
      <c r="M165" s="275">
        <f t="shared" si="3"/>
        <v>-8.027522935779817E-3</v>
      </c>
      <c r="S165" s="251"/>
      <c r="T165" s="6"/>
    </row>
    <row r="166" spans="8:20" ht="15.75" thickBot="1">
      <c r="H166" s="1045">
        <v>44803</v>
      </c>
      <c r="I166" s="1046">
        <v>1279.3900000000001</v>
      </c>
      <c r="J166" s="1047">
        <v>86400</v>
      </c>
      <c r="L166" s="277">
        <f t="shared" si="3"/>
        <v>6.7595215612213924E-3</v>
      </c>
      <c r="M166" s="275">
        <f t="shared" si="3"/>
        <v>-1.1560693641618498E-3</v>
      </c>
      <c r="S166" s="251"/>
      <c r="T166" s="6"/>
    </row>
    <row r="167" spans="8:20" ht="15.75" thickBot="1">
      <c r="H167" s="1045">
        <v>44804</v>
      </c>
      <c r="I167" s="1046">
        <v>1280.51</v>
      </c>
      <c r="J167" s="1047">
        <v>86600</v>
      </c>
      <c r="L167" s="277">
        <f t="shared" si="3"/>
        <v>8.7541719100500302E-4</v>
      </c>
      <c r="M167" s="275">
        <f t="shared" si="3"/>
        <v>2.3148148148148147E-3</v>
      </c>
      <c r="S167" s="251"/>
      <c r="T167" s="6"/>
    </row>
    <row r="168" spans="8:20" ht="15.75" thickBot="1">
      <c r="H168" s="1045">
        <v>44809</v>
      </c>
      <c r="I168" s="1046">
        <v>1277.3499999999999</v>
      </c>
      <c r="J168" s="1047">
        <v>86200</v>
      </c>
      <c r="L168" s="277">
        <f t="shared" si="3"/>
        <v>-2.4677667491859352E-3</v>
      </c>
      <c r="M168" s="275">
        <f t="shared" si="3"/>
        <v>-4.6189376443418013E-3</v>
      </c>
      <c r="S168" s="251"/>
      <c r="T168" s="6"/>
    </row>
    <row r="169" spans="8:20" ht="15.75" thickBot="1">
      <c r="H169" s="1045">
        <v>44810</v>
      </c>
      <c r="I169" s="1046">
        <v>1277.4000000000001</v>
      </c>
      <c r="J169" s="1047">
        <v>85800</v>
      </c>
      <c r="L169" s="277">
        <f t="shared" si="3"/>
        <v>3.914353935897123E-5</v>
      </c>
      <c r="M169" s="275">
        <f t="shared" si="3"/>
        <v>-4.6403712296983757E-3</v>
      </c>
      <c r="S169" s="251"/>
      <c r="T169" s="6"/>
    </row>
    <row r="170" spans="8:20" ht="15.75" thickBot="1">
      <c r="H170" s="1045">
        <v>44811</v>
      </c>
      <c r="I170" s="1046">
        <v>1243.17</v>
      </c>
      <c r="J170" s="1047">
        <v>84000</v>
      </c>
      <c r="L170" s="277">
        <f t="shared" si="3"/>
        <v>-2.6796618130577748E-2</v>
      </c>
      <c r="M170" s="275">
        <f t="shared" si="3"/>
        <v>-2.097902097902098E-2</v>
      </c>
      <c r="S170" s="251"/>
      <c r="T170" s="6"/>
    </row>
    <row r="171" spans="8:20" ht="15.75" thickBot="1">
      <c r="H171" s="1045">
        <v>44812</v>
      </c>
      <c r="I171" s="1046">
        <v>1234.5999999999999</v>
      </c>
      <c r="J171" s="1047">
        <v>84300</v>
      </c>
      <c r="L171" s="277">
        <f t="shared" si="3"/>
        <v>-6.8936669964688359E-3</v>
      </c>
      <c r="M171" s="275">
        <f t="shared" si="3"/>
        <v>3.5714285714285713E-3</v>
      </c>
      <c r="S171" s="251"/>
      <c r="T171" s="6"/>
    </row>
    <row r="172" spans="8:20" ht="15.75" thickBot="1">
      <c r="H172" s="1045">
        <v>44813</v>
      </c>
      <c r="I172" s="1046">
        <v>1248.78</v>
      </c>
      <c r="J172" s="1047">
        <v>84300</v>
      </c>
      <c r="L172" s="277">
        <f t="shared" si="3"/>
        <v>1.1485501376964252E-2</v>
      </c>
      <c r="M172" s="275">
        <f t="shared" si="3"/>
        <v>0</v>
      </c>
      <c r="S172" s="251"/>
      <c r="T172" s="6"/>
    </row>
    <row r="173" spans="8:20" ht="15.75" thickBot="1">
      <c r="H173" s="1045">
        <v>44816</v>
      </c>
      <c r="I173" s="1046">
        <v>1249.6199999999999</v>
      </c>
      <c r="J173" s="1047">
        <v>84600</v>
      </c>
      <c r="L173" s="277">
        <f t="shared" si="3"/>
        <v>6.7265651275638476E-4</v>
      </c>
      <c r="M173" s="275">
        <f t="shared" si="3"/>
        <v>3.5587188612099642E-3</v>
      </c>
      <c r="S173" s="251"/>
      <c r="T173" s="6"/>
    </row>
    <row r="174" spans="8:20" ht="15.75" thickBot="1">
      <c r="H174" s="1045">
        <v>44817</v>
      </c>
      <c r="I174" s="1046">
        <v>1248.4000000000001</v>
      </c>
      <c r="J174" s="1047">
        <v>84600</v>
      </c>
      <c r="L174" s="277">
        <f t="shared" si="3"/>
        <v>-9.7629679422528448E-4</v>
      </c>
      <c r="M174" s="275">
        <f t="shared" si="3"/>
        <v>0</v>
      </c>
      <c r="S174" s="251"/>
      <c r="T174" s="6"/>
    </row>
    <row r="175" spans="8:20" ht="15.75" thickBot="1">
      <c r="H175" s="1045">
        <v>44818</v>
      </c>
      <c r="I175" s="1046">
        <v>1240.77</v>
      </c>
      <c r="J175" s="1047">
        <v>84000</v>
      </c>
      <c r="L175" s="277">
        <f t="shared" si="3"/>
        <v>-6.1118231336111089E-3</v>
      </c>
      <c r="M175" s="275">
        <f t="shared" si="3"/>
        <v>-7.0921985815602835E-3</v>
      </c>
      <c r="S175" s="251"/>
      <c r="T175" s="6"/>
    </row>
    <row r="176" spans="8:20" ht="15.75" thickBot="1">
      <c r="H176" s="1045">
        <v>44819</v>
      </c>
      <c r="I176" s="1046">
        <v>1245.6600000000001</v>
      </c>
      <c r="J176" s="1047">
        <v>83700</v>
      </c>
      <c r="L176" s="277">
        <f t="shared" si="3"/>
        <v>3.9411010904519773E-3</v>
      </c>
      <c r="M176" s="275">
        <f t="shared" si="3"/>
        <v>-3.5714285714285713E-3</v>
      </c>
      <c r="S176" s="251"/>
      <c r="T176" s="6"/>
    </row>
    <row r="177" spans="8:20" ht="15.75" thickBot="1">
      <c r="H177" s="1045">
        <v>44820</v>
      </c>
      <c r="I177" s="1046">
        <v>1234.03</v>
      </c>
      <c r="J177" s="1047">
        <v>82500</v>
      </c>
      <c r="L177" s="277">
        <f t="shared" si="3"/>
        <v>-9.3364160364787403E-3</v>
      </c>
      <c r="M177" s="275">
        <f t="shared" si="3"/>
        <v>-1.4336917562724014E-2</v>
      </c>
      <c r="S177" s="251"/>
      <c r="T177" s="6"/>
    </row>
    <row r="178" spans="8:20" ht="15.75" thickBot="1">
      <c r="H178" s="1045">
        <v>44823</v>
      </c>
      <c r="I178" s="1046">
        <v>1205.43</v>
      </c>
      <c r="J178" s="1047">
        <v>83100</v>
      </c>
      <c r="L178" s="277">
        <f t="shared" si="3"/>
        <v>-2.3176097825822639E-2</v>
      </c>
      <c r="M178" s="275">
        <f t="shared" si="3"/>
        <v>7.2727272727272727E-3</v>
      </c>
      <c r="S178" s="251"/>
      <c r="T178" s="6"/>
    </row>
    <row r="179" spans="8:20" ht="15.75" thickBot="1">
      <c r="H179" s="1045">
        <v>44824</v>
      </c>
      <c r="I179" s="1046">
        <v>1218.93</v>
      </c>
      <c r="J179" s="1047">
        <v>83400</v>
      </c>
      <c r="L179" s="277">
        <f t="shared" si="3"/>
        <v>1.1199323063139295E-2</v>
      </c>
      <c r="M179" s="275">
        <f t="shared" si="3"/>
        <v>3.6101083032490976E-3</v>
      </c>
      <c r="S179" s="251"/>
      <c r="T179" s="6"/>
    </row>
    <row r="180" spans="8:20" ht="15.75" thickBot="1">
      <c r="H180" s="1045">
        <v>44825</v>
      </c>
      <c r="I180" s="1046">
        <v>1210.55</v>
      </c>
      <c r="J180" s="1047">
        <v>82300</v>
      </c>
      <c r="L180" s="277">
        <f t="shared" si="3"/>
        <v>-6.8748820686996863E-3</v>
      </c>
      <c r="M180" s="275">
        <f t="shared" si="3"/>
        <v>-1.3189448441247002E-2</v>
      </c>
      <c r="S180" s="251"/>
      <c r="T180" s="6"/>
    </row>
    <row r="181" spans="8:20" ht="15.75" thickBot="1">
      <c r="H181" s="1045">
        <v>44826</v>
      </c>
      <c r="I181" s="1046">
        <v>1214.7</v>
      </c>
      <c r="J181" s="1047">
        <v>82900</v>
      </c>
      <c r="L181" s="277">
        <f t="shared" si="3"/>
        <v>3.4281937962084104E-3</v>
      </c>
      <c r="M181" s="275">
        <f t="shared" si="3"/>
        <v>7.2904009720534627E-3</v>
      </c>
      <c r="S181" s="251"/>
      <c r="T181" s="6"/>
    </row>
    <row r="182" spans="8:20" ht="15.75" thickBot="1">
      <c r="H182" s="1045">
        <v>44827</v>
      </c>
      <c r="I182" s="1046">
        <v>1203.28</v>
      </c>
      <c r="J182" s="1047">
        <v>82400</v>
      </c>
      <c r="L182" s="277">
        <f t="shared" si="3"/>
        <v>-9.4014983123405556E-3</v>
      </c>
      <c r="M182" s="275">
        <f t="shared" si="3"/>
        <v>-6.0313630880579009E-3</v>
      </c>
      <c r="S182" s="251"/>
      <c r="T182" s="6"/>
    </row>
    <row r="183" spans="8:20" ht="15.75" thickBot="1">
      <c r="H183" s="1045">
        <v>44830</v>
      </c>
      <c r="I183" s="1046">
        <v>1174.3499999999999</v>
      </c>
      <c r="J183" s="1047">
        <v>81500</v>
      </c>
      <c r="L183" s="277">
        <f t="shared" si="3"/>
        <v>-2.4042616847284145E-2</v>
      </c>
      <c r="M183" s="275">
        <f t="shared" si="3"/>
        <v>-1.0922330097087379E-2</v>
      </c>
      <c r="S183" s="251"/>
      <c r="T183" s="6"/>
    </row>
    <row r="184" spans="8:20" ht="15.75" thickBot="1">
      <c r="H184" s="1045">
        <v>44831</v>
      </c>
      <c r="I184" s="1046">
        <v>1166.54</v>
      </c>
      <c r="J184" s="1047">
        <v>80500</v>
      </c>
      <c r="L184" s="277">
        <f t="shared" si="3"/>
        <v>-6.6504875037254191E-3</v>
      </c>
      <c r="M184" s="275">
        <f t="shared" si="3"/>
        <v>-1.2269938650306749E-2</v>
      </c>
      <c r="S184" s="251"/>
      <c r="T184" s="6"/>
    </row>
    <row r="185" spans="8:20" ht="15.75" thickBot="1">
      <c r="H185" s="1045">
        <v>44832</v>
      </c>
      <c r="I185" s="1046">
        <v>1143.6199999999999</v>
      </c>
      <c r="J185" s="1047">
        <v>78000</v>
      </c>
      <c r="L185" s="277">
        <f t="shared" si="3"/>
        <v>-1.964784748058367E-2</v>
      </c>
      <c r="M185" s="275">
        <f t="shared" si="3"/>
        <v>-3.1055900621118012E-2</v>
      </c>
      <c r="S185" s="251"/>
      <c r="T185" s="6"/>
    </row>
    <row r="186" spans="8:20" ht="15.75" thickBot="1">
      <c r="H186" s="1045">
        <v>44833</v>
      </c>
      <c r="I186" s="1046">
        <v>1126.07</v>
      </c>
      <c r="J186" s="1047">
        <v>77000</v>
      </c>
      <c r="L186" s="277">
        <f t="shared" si="3"/>
        <v>-1.5346006540634088E-2</v>
      </c>
      <c r="M186" s="275">
        <f t="shared" si="3"/>
        <v>-1.282051282051282E-2</v>
      </c>
      <c r="S186" s="251"/>
      <c r="T186" s="6"/>
    </row>
    <row r="187" spans="8:20" ht="15.75" thickBot="1">
      <c r="H187" s="1045">
        <v>44834</v>
      </c>
      <c r="I187" s="1046">
        <v>1132.1099999999999</v>
      </c>
      <c r="J187" s="1047">
        <v>80500</v>
      </c>
      <c r="L187" s="277">
        <f t="shared" si="3"/>
        <v>5.363787331160553E-3</v>
      </c>
      <c r="M187" s="275">
        <f t="shared" si="3"/>
        <v>4.5454545454545456E-2</v>
      </c>
      <c r="S187" s="251"/>
      <c r="T187" s="6"/>
    </row>
    <row r="188" spans="8:20" ht="15.75" thickBot="1">
      <c r="H188" s="1045">
        <v>44837</v>
      </c>
      <c r="I188" s="1046">
        <v>1086.44</v>
      </c>
      <c r="J188" s="1047">
        <v>77000</v>
      </c>
      <c r="L188" s="277">
        <f t="shared" si="3"/>
        <v>-4.0340602944943377E-2</v>
      </c>
      <c r="M188" s="275">
        <f t="shared" si="3"/>
        <v>-4.3478260869565216E-2</v>
      </c>
      <c r="S188" s="251"/>
      <c r="T188" s="6"/>
    </row>
    <row r="189" spans="8:20" ht="15.75" thickBot="1">
      <c r="H189" s="1045">
        <v>44838</v>
      </c>
      <c r="I189" s="1046">
        <v>1078.1400000000001</v>
      </c>
      <c r="J189" s="1047">
        <v>77500</v>
      </c>
      <c r="L189" s="277">
        <f t="shared" si="3"/>
        <v>-7.6396303523433911E-3</v>
      </c>
      <c r="M189" s="275">
        <f t="shared" si="3"/>
        <v>6.4935064935064939E-3</v>
      </c>
      <c r="S189" s="251"/>
      <c r="T189" s="6"/>
    </row>
    <row r="190" spans="8:20" ht="15.75" thickBot="1">
      <c r="H190" s="1045">
        <v>44839</v>
      </c>
      <c r="I190" s="1046">
        <v>1104.26</v>
      </c>
      <c r="J190" s="1047">
        <v>78400</v>
      </c>
      <c r="L190" s="277">
        <f t="shared" si="3"/>
        <v>2.4226909306768962E-2</v>
      </c>
      <c r="M190" s="275">
        <f t="shared" si="3"/>
        <v>1.1612903225806452E-2</v>
      </c>
      <c r="S190" s="251"/>
      <c r="T190" s="6"/>
    </row>
    <row r="191" spans="8:20" ht="15.75" thickBot="1">
      <c r="H191" s="1045">
        <v>44840</v>
      </c>
      <c r="I191" s="1046">
        <v>1074.52</v>
      </c>
      <c r="J191" s="1047">
        <v>76500</v>
      </c>
      <c r="L191" s="277">
        <f t="shared" si="3"/>
        <v>-2.6932063101081274E-2</v>
      </c>
      <c r="M191" s="275">
        <f t="shared" si="3"/>
        <v>-2.423469387755102E-2</v>
      </c>
      <c r="S191" s="251"/>
      <c r="T191" s="6"/>
    </row>
    <row r="192" spans="8:20" ht="15.75" thickBot="1">
      <c r="H192" s="1045">
        <v>44841</v>
      </c>
      <c r="I192" s="1046">
        <v>1035.9100000000001</v>
      </c>
      <c r="J192" s="1047">
        <v>74000</v>
      </c>
      <c r="L192" s="277">
        <f t="shared" si="3"/>
        <v>-3.5932323269925084E-2</v>
      </c>
      <c r="M192" s="275">
        <f t="shared" si="3"/>
        <v>-3.2679738562091505E-2</v>
      </c>
      <c r="S192" s="251"/>
      <c r="T192" s="6"/>
    </row>
    <row r="193" spans="8:20" ht="15.75" thickBot="1">
      <c r="H193" s="1045">
        <v>44844</v>
      </c>
      <c r="I193" s="1046">
        <v>1042.48</v>
      </c>
      <c r="J193" s="1047">
        <v>74000</v>
      </c>
      <c r="L193" s="277">
        <f t="shared" si="3"/>
        <v>6.3422498093463099E-3</v>
      </c>
      <c r="M193" s="275">
        <f t="shared" si="3"/>
        <v>0</v>
      </c>
      <c r="S193" s="251"/>
      <c r="T193" s="6"/>
    </row>
    <row r="194" spans="8:20" ht="15.75" thickBot="1">
      <c r="H194" s="1045">
        <v>44845</v>
      </c>
      <c r="I194" s="1046">
        <v>1006.2</v>
      </c>
      <c r="J194" s="1047">
        <v>71000</v>
      </c>
      <c r="L194" s="277">
        <f t="shared" si="3"/>
        <v>-3.4801626889724477E-2</v>
      </c>
      <c r="M194" s="275">
        <f t="shared" si="3"/>
        <v>-4.0540540540540543E-2</v>
      </c>
      <c r="S194" s="251"/>
      <c r="T194" s="6"/>
    </row>
    <row r="195" spans="8:20" ht="15.75" thickBot="1">
      <c r="H195" s="1045">
        <v>44846</v>
      </c>
      <c r="I195" s="1046">
        <v>1034.81</v>
      </c>
      <c r="J195" s="1047">
        <v>72400</v>
      </c>
      <c r="L195" s="277">
        <f t="shared" si="3"/>
        <v>2.8433710991850426E-2</v>
      </c>
      <c r="M195" s="275">
        <f t="shared" si="3"/>
        <v>1.9718309859154931E-2</v>
      </c>
      <c r="S195" s="251"/>
      <c r="T195" s="6"/>
    </row>
    <row r="196" spans="8:20" ht="15.75" thickBot="1">
      <c r="H196" s="1045">
        <v>44847</v>
      </c>
      <c r="I196" s="1046">
        <v>1050.99</v>
      </c>
      <c r="J196" s="1047">
        <v>73000</v>
      </c>
      <c r="L196" s="277">
        <f t="shared" si="3"/>
        <v>1.5635720567060682E-2</v>
      </c>
      <c r="M196" s="275">
        <f t="shared" si="3"/>
        <v>8.2872928176795577E-3</v>
      </c>
      <c r="S196" s="251"/>
      <c r="T196" s="6"/>
    </row>
    <row r="197" spans="8:20" ht="15.75" thickBot="1">
      <c r="H197" s="1045">
        <v>44848</v>
      </c>
      <c r="I197" s="1046">
        <v>1061.8499999999999</v>
      </c>
      <c r="J197" s="1047">
        <v>74000</v>
      </c>
      <c r="L197" s="277">
        <f t="shared" ref="L197:M253" si="4">(I197-I196)/I196</f>
        <v>1.0333114492050257E-2</v>
      </c>
      <c r="M197" s="275">
        <f t="shared" si="4"/>
        <v>1.3698630136986301E-2</v>
      </c>
      <c r="S197" s="251"/>
      <c r="T197" s="6"/>
    </row>
    <row r="198" spans="8:20" ht="15.75" thickBot="1">
      <c r="H198" s="1045">
        <v>44851</v>
      </c>
      <c r="I198" s="1046">
        <v>1051.58</v>
      </c>
      <c r="J198" s="1047">
        <v>73800</v>
      </c>
      <c r="L198" s="277">
        <f t="shared" si="4"/>
        <v>-9.6717992183453245E-3</v>
      </c>
      <c r="M198" s="275">
        <f t="shared" si="4"/>
        <v>-2.7027027027027029E-3</v>
      </c>
      <c r="S198" s="251"/>
      <c r="T198" s="6"/>
    </row>
    <row r="199" spans="8:20" ht="15.75" thickBot="1">
      <c r="H199" s="1045">
        <v>44852</v>
      </c>
      <c r="I199" s="1046">
        <v>1063.6600000000001</v>
      </c>
      <c r="J199" s="1047">
        <v>74900</v>
      </c>
      <c r="L199" s="277">
        <f t="shared" si="4"/>
        <v>1.1487475988512671E-2</v>
      </c>
      <c r="M199" s="275">
        <f t="shared" si="4"/>
        <v>1.4905149051490514E-2</v>
      </c>
      <c r="S199" s="251"/>
      <c r="T199" s="6"/>
    </row>
    <row r="200" spans="8:20" ht="15.75" thickBot="1">
      <c r="H200" s="1045">
        <v>44853</v>
      </c>
      <c r="I200" s="1046">
        <v>1060.07</v>
      </c>
      <c r="J200" s="1047">
        <v>75500</v>
      </c>
      <c r="L200" s="277">
        <f t="shared" si="4"/>
        <v>-3.375138672132209E-3</v>
      </c>
      <c r="M200" s="275">
        <f t="shared" si="4"/>
        <v>8.0106809078771702E-3</v>
      </c>
      <c r="S200" s="251"/>
      <c r="T200" s="6"/>
    </row>
    <row r="201" spans="8:20" ht="15.75" thickBot="1">
      <c r="H201" s="1045">
        <v>44854</v>
      </c>
      <c r="I201" s="1046">
        <v>1058.45</v>
      </c>
      <c r="J201" s="1047">
        <v>77800</v>
      </c>
      <c r="L201" s="277">
        <f t="shared" si="4"/>
        <v>-1.52820096786051E-3</v>
      </c>
      <c r="M201" s="275">
        <f t="shared" si="4"/>
        <v>3.0463576158940398E-2</v>
      </c>
      <c r="S201" s="251"/>
      <c r="T201" s="6"/>
    </row>
    <row r="202" spans="8:20" ht="15.75" thickBot="1">
      <c r="H202" s="1045">
        <v>44855</v>
      </c>
      <c r="I202" s="1046">
        <v>1019.82</v>
      </c>
      <c r="J202" s="1047">
        <v>73900</v>
      </c>
      <c r="L202" s="277">
        <f t="shared" si="4"/>
        <v>-3.6496764136236946E-2</v>
      </c>
      <c r="M202" s="275">
        <f t="shared" si="4"/>
        <v>-5.0128534704370183E-2</v>
      </c>
      <c r="S202" s="251"/>
      <c r="T202" s="6"/>
    </row>
    <row r="203" spans="8:20" ht="15.75" thickBot="1">
      <c r="H203" s="1045">
        <v>44858</v>
      </c>
      <c r="I203" s="1046">
        <v>986.15</v>
      </c>
      <c r="J203" s="1047">
        <v>71100</v>
      </c>
      <c r="L203" s="277">
        <f t="shared" si="4"/>
        <v>-3.3015630209252682E-2</v>
      </c>
      <c r="M203" s="275">
        <f t="shared" si="4"/>
        <v>-3.7889039242219216E-2</v>
      </c>
      <c r="S203" s="251"/>
      <c r="T203" s="6"/>
    </row>
    <row r="204" spans="8:20" ht="15.75" thickBot="1">
      <c r="H204" s="1045">
        <v>44859</v>
      </c>
      <c r="I204" s="1046">
        <v>997.7</v>
      </c>
      <c r="J204" s="1047">
        <v>73200</v>
      </c>
      <c r="L204" s="277">
        <f t="shared" si="4"/>
        <v>1.1712214166201966E-2</v>
      </c>
      <c r="M204" s="275">
        <f t="shared" si="4"/>
        <v>2.9535864978902954E-2</v>
      </c>
      <c r="S204" s="251"/>
      <c r="T204" s="6"/>
    </row>
    <row r="205" spans="8:20" ht="15.75" thickBot="1">
      <c r="H205" s="1045">
        <v>44860</v>
      </c>
      <c r="I205" s="1046">
        <v>993.36</v>
      </c>
      <c r="J205" s="1047">
        <v>73800</v>
      </c>
      <c r="L205" s="277">
        <f t="shared" si="4"/>
        <v>-4.3500050115265424E-3</v>
      </c>
      <c r="M205" s="275">
        <f t="shared" si="4"/>
        <v>8.1967213114754103E-3</v>
      </c>
      <c r="S205" s="251"/>
      <c r="T205" s="6"/>
    </row>
    <row r="206" spans="8:20" ht="15.75" thickBot="1">
      <c r="H206" s="1045">
        <v>44861</v>
      </c>
      <c r="I206" s="1046">
        <v>1028.01</v>
      </c>
      <c r="J206" s="1047">
        <v>75800</v>
      </c>
      <c r="L206" s="277">
        <f t="shared" si="4"/>
        <v>3.4881613916404902E-2</v>
      </c>
      <c r="M206" s="275">
        <f t="shared" si="4"/>
        <v>2.7100271002710029E-2</v>
      </c>
      <c r="S206" s="251"/>
      <c r="T206" s="6"/>
    </row>
    <row r="207" spans="8:20" ht="15.75" thickBot="1">
      <c r="H207" s="1045">
        <v>44862</v>
      </c>
      <c r="I207" s="1046">
        <v>1027.3599999999999</v>
      </c>
      <c r="J207" s="1047">
        <v>75000</v>
      </c>
      <c r="L207" s="277">
        <f t="shared" si="4"/>
        <v>-6.322895691677036E-4</v>
      </c>
      <c r="M207" s="275">
        <f t="shared" si="4"/>
        <v>-1.0554089709762533E-2</v>
      </c>
      <c r="S207" s="251"/>
      <c r="T207" s="6"/>
    </row>
    <row r="208" spans="8:20" ht="15.75" thickBot="1">
      <c r="H208" s="1045">
        <v>44865</v>
      </c>
      <c r="I208" s="1046">
        <v>1027.94</v>
      </c>
      <c r="J208" s="1047">
        <v>75600</v>
      </c>
      <c r="L208" s="277">
        <f t="shared" si="4"/>
        <v>5.6455380781824738E-4</v>
      </c>
      <c r="M208" s="275">
        <f t="shared" si="4"/>
        <v>8.0000000000000002E-3</v>
      </c>
      <c r="S208" s="251"/>
      <c r="T208" s="6"/>
    </row>
    <row r="209" spans="8:20" ht="15.75" thickBot="1">
      <c r="H209" s="1045">
        <v>44866</v>
      </c>
      <c r="I209" s="1046">
        <v>1033.75</v>
      </c>
      <c r="J209" s="1047">
        <v>75500</v>
      </c>
      <c r="L209" s="277">
        <f t="shared" si="4"/>
        <v>5.6520808607505744E-3</v>
      </c>
      <c r="M209" s="275">
        <f t="shared" si="4"/>
        <v>-1.3227513227513227E-3</v>
      </c>
      <c r="S209" s="251"/>
      <c r="T209" s="6"/>
    </row>
    <row r="210" spans="8:20" ht="15.75" thickBot="1">
      <c r="H210" s="1045">
        <v>44867</v>
      </c>
      <c r="I210" s="1046">
        <v>1023.19</v>
      </c>
      <c r="J210" s="1047">
        <v>74000</v>
      </c>
      <c r="L210" s="277">
        <f t="shared" si="4"/>
        <v>-1.0215235792019293E-2</v>
      </c>
      <c r="M210" s="275">
        <f t="shared" si="4"/>
        <v>-1.9867549668874173E-2</v>
      </c>
      <c r="S210" s="251"/>
      <c r="T210" s="6"/>
    </row>
    <row r="211" spans="8:20" ht="15.75" thickBot="1">
      <c r="H211" s="1045">
        <v>44868</v>
      </c>
      <c r="I211" s="1046">
        <v>1019.81</v>
      </c>
      <c r="J211" s="1047">
        <v>74100</v>
      </c>
      <c r="L211" s="277">
        <f t="shared" si="4"/>
        <v>-3.3033942864962606E-3</v>
      </c>
      <c r="M211" s="275">
        <f t="shared" si="4"/>
        <v>1.3513513513513514E-3</v>
      </c>
      <c r="S211" s="251"/>
      <c r="T211" s="6"/>
    </row>
    <row r="212" spans="8:20" ht="15.75" thickBot="1">
      <c r="H212" s="1045">
        <v>44869</v>
      </c>
      <c r="I212" s="1046">
        <v>997.15</v>
      </c>
      <c r="J212" s="1047">
        <v>72900</v>
      </c>
      <c r="L212" s="277">
        <f t="shared" si="4"/>
        <v>-2.22198252615683E-2</v>
      </c>
      <c r="M212" s="275">
        <f t="shared" si="4"/>
        <v>-1.6194331983805668E-2</v>
      </c>
      <c r="S212" s="251"/>
      <c r="T212" s="6"/>
    </row>
    <row r="213" spans="8:20" ht="15.75" thickBot="1">
      <c r="H213" s="1045">
        <v>44872</v>
      </c>
      <c r="I213" s="1046">
        <v>975.19</v>
      </c>
      <c r="J213" s="1047">
        <v>72600</v>
      </c>
      <c r="L213" s="277">
        <f t="shared" si="4"/>
        <v>-2.2022764879907661E-2</v>
      </c>
      <c r="M213" s="275">
        <f t="shared" si="4"/>
        <v>-4.11522633744856E-3</v>
      </c>
      <c r="S213" s="251"/>
      <c r="T213" s="6"/>
    </row>
    <row r="214" spans="8:20" ht="15.75" thickBot="1">
      <c r="H214" s="1045">
        <v>44873</v>
      </c>
      <c r="I214" s="1046">
        <v>981.65</v>
      </c>
      <c r="J214" s="1047">
        <v>73300</v>
      </c>
      <c r="L214" s="277">
        <f t="shared" si="4"/>
        <v>6.6243501266419081E-3</v>
      </c>
      <c r="M214" s="275">
        <f t="shared" si="4"/>
        <v>9.6418732782369149E-3</v>
      </c>
      <c r="S214" s="251"/>
      <c r="T214" s="6"/>
    </row>
    <row r="215" spans="8:20" ht="15.75" thickBot="1">
      <c r="H215" s="1045">
        <v>44874</v>
      </c>
      <c r="I215" s="1046">
        <v>985.59</v>
      </c>
      <c r="J215" s="1047">
        <v>74000</v>
      </c>
      <c r="L215" s="277">
        <f t="shared" si="4"/>
        <v>4.0136504864259712E-3</v>
      </c>
      <c r="M215" s="275">
        <f t="shared" si="4"/>
        <v>9.5497953615279671E-3</v>
      </c>
      <c r="S215" s="251"/>
      <c r="T215" s="6"/>
    </row>
    <row r="216" spans="8:20" ht="15.75" thickBot="1">
      <c r="H216" s="1045">
        <v>44875</v>
      </c>
      <c r="I216" s="1046">
        <v>947.24</v>
      </c>
      <c r="J216" s="1047">
        <v>73000</v>
      </c>
      <c r="L216" s="277">
        <f t="shared" si="4"/>
        <v>-3.891070323359614E-2</v>
      </c>
      <c r="M216" s="275">
        <f t="shared" si="4"/>
        <v>-1.3513513513513514E-2</v>
      </c>
      <c r="S216" s="251"/>
      <c r="T216" s="6"/>
    </row>
    <row r="217" spans="8:20" ht="15.75" thickBot="1">
      <c r="H217" s="1045">
        <v>44876</v>
      </c>
      <c r="I217" s="1046">
        <v>954.53</v>
      </c>
      <c r="J217" s="1047">
        <v>72800</v>
      </c>
      <c r="L217" s="277">
        <f t="shared" si="4"/>
        <v>7.6960432414171316E-3</v>
      </c>
      <c r="M217" s="275">
        <f t="shared" si="4"/>
        <v>-2.7397260273972603E-3</v>
      </c>
      <c r="S217" s="251"/>
      <c r="T217" s="6"/>
    </row>
    <row r="218" spans="8:20" ht="15.75" thickBot="1">
      <c r="H218" s="1045">
        <v>44879</v>
      </c>
      <c r="I218" s="1046">
        <v>941.04</v>
      </c>
      <c r="J218" s="1047">
        <v>70800</v>
      </c>
      <c r="L218" s="277">
        <f t="shared" si="4"/>
        <v>-1.4132609766062889E-2</v>
      </c>
      <c r="M218" s="275">
        <f t="shared" si="4"/>
        <v>-2.7472527472527472E-2</v>
      </c>
      <c r="S218" s="251"/>
      <c r="T218" s="6"/>
    </row>
    <row r="219" spans="8:20" ht="15.75" thickBot="1">
      <c r="H219" s="1045">
        <v>44880</v>
      </c>
      <c r="I219" s="1046">
        <v>911.9</v>
      </c>
      <c r="J219" s="1047">
        <v>65900</v>
      </c>
      <c r="L219" s="277">
        <f t="shared" si="4"/>
        <v>-3.0965740032304671E-2</v>
      </c>
      <c r="M219" s="275">
        <f t="shared" si="4"/>
        <v>-6.9209039548022599E-2</v>
      </c>
      <c r="S219" s="251"/>
      <c r="T219" s="6"/>
    </row>
    <row r="220" spans="8:20" ht="15.75" thickBot="1">
      <c r="H220" s="1045">
        <v>44881</v>
      </c>
      <c r="I220" s="1046">
        <v>942.9</v>
      </c>
      <c r="J220" s="1047">
        <v>69300</v>
      </c>
      <c r="L220" s="277">
        <f t="shared" si="4"/>
        <v>3.3994955587235441E-2</v>
      </c>
      <c r="M220" s="275">
        <f t="shared" si="4"/>
        <v>5.1593323216995446E-2</v>
      </c>
      <c r="S220" s="251"/>
      <c r="T220" s="6"/>
    </row>
    <row r="221" spans="8:20" ht="15.75" thickBot="1">
      <c r="H221" s="1045">
        <v>44882</v>
      </c>
      <c r="I221" s="1046">
        <v>969.26</v>
      </c>
      <c r="J221" s="1047">
        <v>71000</v>
      </c>
      <c r="L221" s="277">
        <f t="shared" si="4"/>
        <v>2.795630501643866E-2</v>
      </c>
      <c r="M221" s="275">
        <f t="shared" si="4"/>
        <v>2.4531024531024532E-2</v>
      </c>
      <c r="S221" s="251"/>
      <c r="T221" s="6"/>
    </row>
    <row r="222" spans="8:20" ht="15.75" thickBot="1">
      <c r="H222" s="1045">
        <v>44883</v>
      </c>
      <c r="I222" s="1046">
        <v>969.33</v>
      </c>
      <c r="J222" s="1047">
        <v>71500</v>
      </c>
      <c r="L222" s="277">
        <f t="shared" si="4"/>
        <v>7.2220044157450032E-5</v>
      </c>
      <c r="M222" s="275">
        <f t="shared" si="4"/>
        <v>7.0422535211267607E-3</v>
      </c>
      <c r="S222" s="251"/>
      <c r="T222" s="6"/>
    </row>
    <row r="223" spans="8:20" ht="15.75" thickBot="1">
      <c r="H223" s="1045">
        <v>44886</v>
      </c>
      <c r="I223" s="1046">
        <v>960.65</v>
      </c>
      <c r="J223" s="1047">
        <v>70100</v>
      </c>
      <c r="L223" s="277">
        <f t="shared" si="4"/>
        <v>-8.9546387711100066E-3</v>
      </c>
      <c r="M223" s="275">
        <f t="shared" si="4"/>
        <v>-1.9580419580419582E-2</v>
      </c>
      <c r="S223" s="251"/>
      <c r="T223" s="6"/>
    </row>
    <row r="224" spans="8:20" ht="15.75" thickBot="1">
      <c r="H224" s="1045">
        <v>44887</v>
      </c>
      <c r="I224" s="1046">
        <v>952.12</v>
      </c>
      <c r="J224" s="1047">
        <v>70500</v>
      </c>
      <c r="L224" s="277">
        <f t="shared" si="4"/>
        <v>-8.8794045698224883E-3</v>
      </c>
      <c r="M224" s="275">
        <f t="shared" si="4"/>
        <v>5.7061340941512127E-3</v>
      </c>
      <c r="S224" s="251"/>
      <c r="T224" s="6"/>
    </row>
    <row r="225" spans="8:20" ht="15.75" thickBot="1">
      <c r="H225" s="1045">
        <v>44888</v>
      </c>
      <c r="I225" s="1046">
        <v>946</v>
      </c>
      <c r="J225" s="1047">
        <v>70500</v>
      </c>
      <c r="L225" s="277">
        <f t="shared" si="4"/>
        <v>-6.427761206570605E-3</v>
      </c>
      <c r="M225" s="275">
        <f t="shared" si="4"/>
        <v>0</v>
      </c>
      <c r="S225" s="251"/>
      <c r="T225" s="6"/>
    </row>
    <row r="226" spans="8:20" ht="15.75" thickBot="1">
      <c r="H226" s="1045">
        <v>44889</v>
      </c>
      <c r="I226" s="1046">
        <v>947.71</v>
      </c>
      <c r="J226" s="1047">
        <v>70500</v>
      </c>
      <c r="L226" s="277">
        <f t="shared" si="4"/>
        <v>1.8076109936575437E-3</v>
      </c>
      <c r="M226" s="275">
        <f t="shared" si="4"/>
        <v>0</v>
      </c>
      <c r="S226" s="251"/>
      <c r="T226" s="6"/>
    </row>
    <row r="227" spans="8:20" ht="15.75" thickBot="1">
      <c r="H227" s="1045">
        <v>44890</v>
      </c>
      <c r="I227" s="1046">
        <v>971.46</v>
      </c>
      <c r="J227" s="1047">
        <v>72000</v>
      </c>
      <c r="L227" s="277">
        <f t="shared" si="4"/>
        <v>2.5060408774836184E-2</v>
      </c>
      <c r="M227" s="275">
        <f t="shared" si="4"/>
        <v>2.1276595744680851E-2</v>
      </c>
      <c r="S227" s="251"/>
      <c r="T227" s="6"/>
    </row>
    <row r="228" spans="8:20" ht="15.75" thickBot="1">
      <c r="H228" s="1045">
        <v>44893</v>
      </c>
      <c r="I228" s="1046">
        <v>1005.69</v>
      </c>
      <c r="J228" s="1047">
        <v>74300</v>
      </c>
      <c r="L228" s="277">
        <f t="shared" si="4"/>
        <v>3.5235624729788174E-2</v>
      </c>
      <c r="M228" s="275">
        <f t="shared" si="4"/>
        <v>3.1944444444444442E-2</v>
      </c>
      <c r="S228" s="251"/>
      <c r="T228" s="6"/>
    </row>
    <row r="229" spans="8:20" ht="15.75" thickBot="1">
      <c r="H229" s="1045">
        <v>44894</v>
      </c>
      <c r="I229" s="1046">
        <v>1032.1600000000001</v>
      </c>
      <c r="J229" s="1047">
        <v>74300</v>
      </c>
      <c r="L229" s="277">
        <f t="shared" si="4"/>
        <v>2.6320237846652574E-2</v>
      </c>
      <c r="M229" s="275">
        <f t="shared" si="4"/>
        <v>0</v>
      </c>
      <c r="S229" s="251"/>
      <c r="T229" s="6"/>
    </row>
    <row r="230" spans="8:20" ht="15.75" thickBot="1">
      <c r="H230" s="1045">
        <v>44895</v>
      </c>
      <c r="I230" s="1046">
        <v>1048.42</v>
      </c>
      <c r="J230" s="1047">
        <v>74600</v>
      </c>
      <c r="L230" s="277">
        <f t="shared" si="4"/>
        <v>1.5753371570299168E-2</v>
      </c>
      <c r="M230" s="275">
        <f t="shared" si="4"/>
        <v>4.0376850605652759E-3</v>
      </c>
      <c r="S230" s="251"/>
      <c r="T230" s="6"/>
    </row>
    <row r="231" spans="8:20" ht="15.75" thickBot="1">
      <c r="H231" s="1045">
        <v>44896</v>
      </c>
      <c r="I231" s="1046">
        <v>1036.28</v>
      </c>
      <c r="J231" s="1047">
        <v>74700</v>
      </c>
      <c r="L231" s="277">
        <f t="shared" si="4"/>
        <v>-1.1579328894908624E-2</v>
      </c>
      <c r="M231" s="275">
        <f t="shared" si="4"/>
        <v>1.3404825737265416E-3</v>
      </c>
      <c r="S231" s="251"/>
      <c r="T231" s="6"/>
    </row>
    <row r="232" spans="8:20" ht="15.75" thickBot="1">
      <c r="H232" s="1045">
        <v>44897</v>
      </c>
      <c r="I232" s="1046">
        <v>1080.01</v>
      </c>
      <c r="J232" s="1047">
        <v>77400</v>
      </c>
      <c r="L232" s="277">
        <f t="shared" si="4"/>
        <v>4.2199019570000405E-2</v>
      </c>
      <c r="M232" s="275">
        <f t="shared" si="4"/>
        <v>3.614457831325301E-2</v>
      </c>
      <c r="S232" s="251"/>
      <c r="T232" s="6"/>
    </row>
    <row r="233" spans="8:20" ht="15.75" thickBot="1">
      <c r="H233" s="1045">
        <v>44900</v>
      </c>
      <c r="I233" s="1046">
        <v>1093.67</v>
      </c>
      <c r="J233" s="1047">
        <v>78300</v>
      </c>
      <c r="L233" s="277">
        <f t="shared" si="4"/>
        <v>1.2648031036749736E-2</v>
      </c>
      <c r="M233" s="275">
        <f t="shared" si="4"/>
        <v>1.1627906976744186E-2</v>
      </c>
      <c r="S233" s="251"/>
      <c r="T233" s="6"/>
    </row>
    <row r="234" spans="8:20" ht="15.75" thickBot="1">
      <c r="H234" s="1045">
        <v>44901</v>
      </c>
      <c r="I234" s="1046">
        <v>1048.69</v>
      </c>
      <c r="J234" s="1047">
        <v>76000</v>
      </c>
      <c r="L234" s="277">
        <f t="shared" si="4"/>
        <v>-4.1127579617252018E-2</v>
      </c>
      <c r="M234" s="275">
        <f t="shared" si="4"/>
        <v>-2.9374201787994891E-2</v>
      </c>
      <c r="S234" s="251"/>
      <c r="T234" s="6"/>
    </row>
    <row r="235" spans="8:20" ht="15.75" thickBot="1">
      <c r="H235" s="1045">
        <v>44902</v>
      </c>
      <c r="I235" s="1046">
        <v>1041.02</v>
      </c>
      <c r="J235" s="1047">
        <v>76500</v>
      </c>
      <c r="L235" s="277">
        <f t="shared" si="4"/>
        <v>-7.3138868493073002E-3</v>
      </c>
      <c r="M235" s="275">
        <f t="shared" si="4"/>
        <v>6.5789473684210523E-3</v>
      </c>
      <c r="S235" s="251"/>
      <c r="T235" s="6"/>
    </row>
    <row r="236" spans="8:20" ht="15.75" thickBot="1">
      <c r="H236" s="1045">
        <v>44903</v>
      </c>
      <c r="I236" s="1046">
        <v>1050.53</v>
      </c>
      <c r="J236" s="1047">
        <v>77000</v>
      </c>
      <c r="L236" s="277">
        <f t="shared" si="4"/>
        <v>9.1352711763462678E-3</v>
      </c>
      <c r="M236" s="275">
        <f t="shared" si="4"/>
        <v>6.5359477124183009E-3</v>
      </c>
      <c r="S236" s="251"/>
      <c r="T236" s="6"/>
    </row>
    <row r="237" spans="8:20" ht="15.75" thickBot="1">
      <c r="H237" s="1045">
        <v>44904</v>
      </c>
      <c r="I237" s="1046">
        <v>1051.81</v>
      </c>
      <c r="J237" s="1047">
        <v>78000</v>
      </c>
      <c r="L237" s="277">
        <f t="shared" si="4"/>
        <v>1.2184326006872462E-3</v>
      </c>
      <c r="M237" s="275">
        <f t="shared" si="4"/>
        <v>1.2987012987012988E-2</v>
      </c>
      <c r="S237" s="251"/>
      <c r="T237" s="6"/>
    </row>
    <row r="238" spans="8:20" ht="15.75" thickBot="1">
      <c r="H238" s="1045">
        <v>44907</v>
      </c>
      <c r="I238" s="1046">
        <v>1032.07</v>
      </c>
      <c r="J238" s="1047">
        <v>77000</v>
      </c>
      <c r="L238" s="277">
        <f t="shared" si="4"/>
        <v>-1.87676481493806E-2</v>
      </c>
      <c r="M238" s="275">
        <f t="shared" si="4"/>
        <v>-1.282051282051282E-2</v>
      </c>
      <c r="S238" s="251"/>
      <c r="T238" s="6"/>
    </row>
    <row r="239" spans="8:20" ht="15.75" thickBot="1">
      <c r="H239" s="1045">
        <v>44908</v>
      </c>
      <c r="I239" s="1046">
        <v>1047.45</v>
      </c>
      <c r="J239" s="1047">
        <v>77200</v>
      </c>
      <c r="L239" s="277">
        <f t="shared" si="4"/>
        <v>1.4902089974517339E-2</v>
      </c>
      <c r="M239" s="275">
        <f t="shared" si="4"/>
        <v>2.5974025974025974E-3</v>
      </c>
      <c r="S239" s="251"/>
      <c r="T239" s="6"/>
    </row>
    <row r="240" spans="8:20" ht="15.75" thickBot="1">
      <c r="H240" s="1045">
        <v>44909</v>
      </c>
      <c r="I240" s="1046">
        <v>1050.43</v>
      </c>
      <c r="J240" s="1047">
        <v>76300</v>
      </c>
      <c r="L240" s="277">
        <f t="shared" si="4"/>
        <v>2.8450045348226817E-3</v>
      </c>
      <c r="M240" s="275">
        <f t="shared" si="4"/>
        <v>-1.1658031088082901E-2</v>
      </c>
      <c r="S240" s="251"/>
      <c r="T240" s="6"/>
    </row>
    <row r="241" spans="8:20" ht="15.75" thickBot="1">
      <c r="H241" s="1045">
        <v>44910</v>
      </c>
      <c r="I241" s="1046">
        <v>1055.32</v>
      </c>
      <c r="J241" s="1047">
        <v>77700</v>
      </c>
      <c r="L241" s="277">
        <f t="shared" si="4"/>
        <v>4.6552364269869216E-3</v>
      </c>
      <c r="M241" s="275">
        <f t="shared" si="4"/>
        <v>1.834862385321101E-2</v>
      </c>
      <c r="S241" s="251"/>
      <c r="T241" s="6"/>
    </row>
    <row r="242" spans="8:20" ht="15.75" thickBot="1">
      <c r="H242" s="1045">
        <v>44911</v>
      </c>
      <c r="I242" s="1046">
        <v>1052.48</v>
      </c>
      <c r="J242" s="1047">
        <v>77900</v>
      </c>
      <c r="L242" s="277">
        <f t="shared" si="4"/>
        <v>-2.6911268619943889E-3</v>
      </c>
      <c r="M242" s="275">
        <f t="shared" si="4"/>
        <v>2.5740025740025739E-3</v>
      </c>
      <c r="S242" s="251"/>
      <c r="T242" s="6"/>
    </row>
    <row r="243" spans="8:20" ht="15.75" thickBot="1">
      <c r="H243" s="1045">
        <v>44914</v>
      </c>
      <c r="I243" s="1046">
        <v>1038.4000000000001</v>
      </c>
      <c r="J243" s="1047">
        <v>76600</v>
      </c>
      <c r="L243" s="277">
        <f t="shared" si="4"/>
        <v>-1.3377926421404613E-2</v>
      </c>
      <c r="M243" s="275">
        <f t="shared" si="4"/>
        <v>-1.668806161745828E-2</v>
      </c>
      <c r="S243" s="251"/>
      <c r="T243" s="6"/>
    </row>
    <row r="244" spans="8:20" ht="15.75" thickBot="1">
      <c r="H244" s="1045">
        <v>44915</v>
      </c>
      <c r="I244" s="1046">
        <v>1023.13</v>
      </c>
      <c r="J244" s="1047">
        <v>76600</v>
      </c>
      <c r="L244" s="277">
        <f t="shared" si="4"/>
        <v>-1.4705315870570199E-2</v>
      </c>
      <c r="M244" s="275">
        <f t="shared" si="4"/>
        <v>0</v>
      </c>
      <c r="S244" s="251"/>
      <c r="T244" s="6"/>
    </row>
    <row r="245" spans="8:20" ht="15.75" thickBot="1">
      <c r="H245" s="1045">
        <v>44916</v>
      </c>
      <c r="I245" s="1046">
        <v>1018.88</v>
      </c>
      <c r="J245" s="1047">
        <v>77200</v>
      </c>
      <c r="L245" s="277">
        <f t="shared" si="4"/>
        <v>-4.1539198342341642E-3</v>
      </c>
      <c r="M245" s="275">
        <f t="shared" si="4"/>
        <v>7.832898172323759E-3</v>
      </c>
      <c r="S245" s="251"/>
      <c r="T245" s="6"/>
    </row>
    <row r="246" spans="8:20" ht="15.75" thickBot="1">
      <c r="H246" s="1045">
        <v>44917</v>
      </c>
      <c r="I246" s="1046">
        <v>1022.61</v>
      </c>
      <c r="J246" s="1047">
        <v>77200</v>
      </c>
      <c r="L246" s="277">
        <f t="shared" si="4"/>
        <v>3.66088253768846E-3</v>
      </c>
      <c r="M246" s="275">
        <f t="shared" si="4"/>
        <v>0</v>
      </c>
      <c r="S246" s="251"/>
      <c r="T246" s="6"/>
    </row>
    <row r="247" spans="8:20" ht="15.75" thickBot="1">
      <c r="H247" s="1045">
        <v>44918</v>
      </c>
      <c r="I247" s="1046">
        <v>1020.34</v>
      </c>
      <c r="J247" s="1047">
        <v>78000</v>
      </c>
      <c r="L247" s="277">
        <f t="shared" si="4"/>
        <v>-2.2198100937796243E-3</v>
      </c>
      <c r="M247" s="275">
        <f t="shared" si="4"/>
        <v>1.0362694300518135E-2</v>
      </c>
      <c r="S247" s="251"/>
      <c r="T247" s="6"/>
    </row>
    <row r="248" spans="8:20" ht="15.75" thickBot="1">
      <c r="H248" s="1045">
        <v>44921</v>
      </c>
      <c r="I248" s="1046">
        <v>985.21</v>
      </c>
      <c r="J248" s="1047">
        <v>76400</v>
      </c>
      <c r="L248" s="277">
        <f t="shared" si="4"/>
        <v>-3.442969990395358E-2</v>
      </c>
      <c r="M248" s="275">
        <f t="shared" si="4"/>
        <v>-2.0512820512820513E-2</v>
      </c>
      <c r="S248" s="251"/>
      <c r="T248" s="6"/>
    </row>
    <row r="249" spans="8:20" ht="15.75" thickBot="1">
      <c r="H249" s="1045">
        <v>44922</v>
      </c>
      <c r="I249" s="1046">
        <v>1004.57</v>
      </c>
      <c r="J249" s="1047">
        <v>76500</v>
      </c>
      <c r="L249" s="277">
        <f t="shared" si="4"/>
        <v>1.9650632859999403E-2</v>
      </c>
      <c r="M249" s="275">
        <f t="shared" si="4"/>
        <v>1.3089005235602095E-3</v>
      </c>
      <c r="S249" s="251"/>
      <c r="T249" s="6"/>
    </row>
    <row r="250" spans="8:20" ht="15.75" thickBot="1">
      <c r="H250" s="1045">
        <v>44923</v>
      </c>
      <c r="I250" s="1046">
        <v>1015.66</v>
      </c>
      <c r="J250" s="1047">
        <v>76700</v>
      </c>
      <c r="L250" s="277">
        <f t="shared" si="4"/>
        <v>1.1039549259882256E-2</v>
      </c>
      <c r="M250" s="275">
        <f t="shared" si="4"/>
        <v>2.6143790849673201E-3</v>
      </c>
      <c r="S250" s="251"/>
      <c r="T250" s="6"/>
    </row>
    <row r="251" spans="8:20" ht="15.75" thickBot="1">
      <c r="H251" s="1045">
        <v>44924</v>
      </c>
      <c r="I251" s="1046">
        <v>1009.29</v>
      </c>
      <c r="J251" s="1047">
        <v>76200</v>
      </c>
      <c r="L251" s="277">
        <f t="shared" si="4"/>
        <v>-6.2717838646791299E-3</v>
      </c>
      <c r="M251" s="275">
        <f t="shared" si="4"/>
        <v>-6.51890482398957E-3</v>
      </c>
      <c r="S251" s="251"/>
      <c r="T251" s="6"/>
    </row>
    <row r="252" spans="8:20" ht="15.75" thickBot="1">
      <c r="H252" s="1045">
        <v>44925</v>
      </c>
      <c r="I252" s="1046">
        <v>1007.09</v>
      </c>
      <c r="J252" s="1047">
        <v>76900</v>
      </c>
      <c r="L252" s="277">
        <f t="shared" si="4"/>
        <v>-2.1797501213723825E-3</v>
      </c>
      <c r="M252" s="275">
        <f t="shared" si="4"/>
        <v>9.1863517060367453E-3</v>
      </c>
      <c r="S252" s="251"/>
      <c r="T252" s="6"/>
    </row>
    <row r="253" spans="8:20" ht="15.75" thickBot="1">
      <c r="H253" s="1045">
        <v>44929</v>
      </c>
      <c r="I253" s="1046">
        <v>1043.9000000000001</v>
      </c>
      <c r="J253" s="1047">
        <v>80000</v>
      </c>
      <c r="L253" s="277">
        <f t="shared" si="4"/>
        <v>3.6550854442006231E-2</v>
      </c>
      <c r="M253" s="275">
        <f t="shared" si="4"/>
        <v>4.0312093628088429E-2</v>
      </c>
      <c r="S253" s="251"/>
      <c r="T253" s="6"/>
    </row>
    <row r="254" spans="8:20" ht="15.75" thickBot="1">
      <c r="H254" s="1045">
        <v>44930</v>
      </c>
      <c r="I254" s="1046">
        <v>1046.3499999999999</v>
      </c>
      <c r="J254" s="1047">
        <v>80000</v>
      </c>
      <c r="L254" s="277">
        <f t="shared" ref="L254:L280" si="5">(I254-I253)/I253</f>
        <v>2.3469681003925836E-3</v>
      </c>
      <c r="M254" s="275">
        <f t="shared" ref="M254:M280" si="6">(J254-J253)/J253</f>
        <v>0</v>
      </c>
      <c r="S254" s="251"/>
      <c r="T254" s="6"/>
    </row>
    <row r="255" spans="8:20" ht="15.75" thickBot="1">
      <c r="H255" s="1045">
        <v>44931</v>
      </c>
      <c r="I255" s="1046">
        <v>1055.82</v>
      </c>
      <c r="J255" s="1047">
        <v>80600</v>
      </c>
      <c r="L255" s="277">
        <f t="shared" si="5"/>
        <v>9.0505089119319801E-3</v>
      </c>
      <c r="M255" s="275">
        <f t="shared" si="6"/>
        <v>7.4999999999999997E-3</v>
      </c>
      <c r="S255" s="251"/>
      <c r="T255" s="6"/>
    </row>
    <row r="256" spans="8:20" ht="15.75" thickBot="1">
      <c r="H256" s="1045">
        <v>44932</v>
      </c>
      <c r="I256" s="1046">
        <v>1051.44</v>
      </c>
      <c r="J256" s="1047">
        <v>80300</v>
      </c>
      <c r="L256" s="277">
        <f t="shared" si="5"/>
        <v>-4.1484343922258355E-3</v>
      </c>
      <c r="M256" s="275">
        <f t="shared" si="6"/>
        <v>-3.7220843672456576E-3</v>
      </c>
      <c r="S256" s="251"/>
      <c r="T256" s="6"/>
    </row>
    <row r="257" spans="8:20" ht="15.75" thickBot="1">
      <c r="H257" s="1045">
        <v>44935</v>
      </c>
      <c r="I257" s="1046">
        <v>1054.21</v>
      </c>
      <c r="J257" s="1047">
        <v>80300</v>
      </c>
      <c r="L257" s="277">
        <f t="shared" si="5"/>
        <v>2.6344822338887448E-3</v>
      </c>
      <c r="M257" s="275">
        <f t="shared" si="6"/>
        <v>0</v>
      </c>
      <c r="S257" s="251"/>
      <c r="T257" s="6"/>
    </row>
    <row r="258" spans="8:20" ht="15.75" thickBot="1">
      <c r="H258" s="1045">
        <v>44936</v>
      </c>
      <c r="I258" s="1046">
        <v>1053.3499999999999</v>
      </c>
      <c r="J258" s="1047">
        <v>80400</v>
      </c>
      <c r="L258" s="277">
        <f t="shared" si="5"/>
        <v>-8.157767427743308E-4</v>
      </c>
      <c r="M258" s="275">
        <f t="shared" si="6"/>
        <v>1.2453300124533001E-3</v>
      </c>
      <c r="S258" s="251"/>
      <c r="T258" s="6"/>
    </row>
    <row r="259" spans="8:20" ht="15.75" thickBot="1">
      <c r="H259" s="1045">
        <v>44937</v>
      </c>
      <c r="I259" s="1046">
        <v>1055.76</v>
      </c>
      <c r="J259" s="1047">
        <v>80900</v>
      </c>
      <c r="L259" s="277">
        <f t="shared" si="5"/>
        <v>2.2879384819861222E-3</v>
      </c>
      <c r="M259" s="275">
        <f t="shared" si="6"/>
        <v>6.2189054726368162E-3</v>
      </c>
      <c r="S259" s="251"/>
      <c r="T259" s="6"/>
    </row>
    <row r="260" spans="8:20" ht="15.75" thickBot="1">
      <c r="H260" s="1045">
        <v>44938</v>
      </c>
      <c r="I260" s="1046">
        <v>1056.3900000000001</v>
      </c>
      <c r="J260" s="1047">
        <v>80700</v>
      </c>
      <c r="L260" s="277">
        <f t="shared" si="5"/>
        <v>5.9672652875663896E-4</v>
      </c>
      <c r="M260" s="275">
        <f t="shared" si="6"/>
        <v>-2.472187886279357E-3</v>
      </c>
      <c r="S260" s="251"/>
      <c r="T260" s="6"/>
    </row>
    <row r="261" spans="8:20" ht="15.75" thickBot="1">
      <c r="H261" s="1045">
        <v>44939</v>
      </c>
      <c r="I261" s="1046">
        <v>1060.17</v>
      </c>
      <c r="J261" s="1047">
        <v>80000</v>
      </c>
      <c r="L261" s="277">
        <f t="shared" si="5"/>
        <v>3.5782239513815657E-3</v>
      </c>
      <c r="M261" s="275">
        <f t="shared" si="6"/>
        <v>-8.6741016109045856E-3</v>
      </c>
      <c r="S261" s="251"/>
      <c r="T261" s="6"/>
    </row>
    <row r="262" spans="8:20" ht="15.75" thickBot="1">
      <c r="H262" s="1045">
        <v>44942</v>
      </c>
      <c r="I262" s="1046">
        <v>1066.68</v>
      </c>
      <c r="J262" s="1047">
        <v>80800</v>
      </c>
      <c r="L262" s="277">
        <f t="shared" si="5"/>
        <v>6.140524632841894E-3</v>
      </c>
      <c r="M262" s="275">
        <f t="shared" si="6"/>
        <v>0.01</v>
      </c>
      <c r="S262" s="251"/>
      <c r="T262" s="6"/>
    </row>
    <row r="263" spans="8:20" ht="15.75" thickBot="1">
      <c r="H263" s="1045">
        <v>44943</v>
      </c>
      <c r="I263" s="1046">
        <v>1088.29</v>
      </c>
      <c r="J263" s="1047">
        <v>82000</v>
      </c>
      <c r="L263" s="277">
        <f t="shared" si="5"/>
        <v>2.0259121760977893E-2</v>
      </c>
      <c r="M263" s="275">
        <f t="shared" si="6"/>
        <v>1.4851485148514851E-2</v>
      </c>
      <c r="S263" s="251"/>
      <c r="T263" s="6"/>
    </row>
    <row r="264" spans="8:20" ht="15.75" thickBot="1">
      <c r="H264" s="1045">
        <v>44944</v>
      </c>
      <c r="I264" s="1046">
        <v>1098.28</v>
      </c>
      <c r="J264" s="1047">
        <v>83400</v>
      </c>
      <c r="L264" s="277">
        <f t="shared" si="5"/>
        <v>9.1795385421165401E-3</v>
      </c>
      <c r="M264" s="275">
        <f t="shared" si="6"/>
        <v>1.7073170731707318E-2</v>
      </c>
      <c r="S264" s="251"/>
      <c r="T264" s="6"/>
    </row>
    <row r="265" spans="8:20" ht="15.75" thickBot="1">
      <c r="H265" s="1045">
        <v>44945</v>
      </c>
      <c r="I265" s="1046">
        <v>1108.08</v>
      </c>
      <c r="J265" s="1047">
        <v>83900</v>
      </c>
      <c r="L265" s="277">
        <f t="shared" si="5"/>
        <v>8.9230433040754231E-3</v>
      </c>
      <c r="M265" s="275">
        <f t="shared" si="6"/>
        <v>5.9952038369304557E-3</v>
      </c>
      <c r="S265" s="251"/>
      <c r="T265" s="6"/>
    </row>
    <row r="266" spans="8:20" ht="15.75" thickBot="1">
      <c r="H266" s="1045">
        <v>44953</v>
      </c>
      <c r="I266" s="1046">
        <v>1117.0999999999999</v>
      </c>
      <c r="J266" s="1047">
        <v>84000</v>
      </c>
      <c r="L266" s="277">
        <f t="shared" si="5"/>
        <v>8.1402064832863889E-3</v>
      </c>
      <c r="M266" s="275">
        <f t="shared" si="6"/>
        <v>1.1918951132300357E-3</v>
      </c>
      <c r="S266" s="251"/>
      <c r="T266" s="6"/>
    </row>
    <row r="267" spans="8:20" ht="15.75" thickBot="1">
      <c r="H267" s="1045">
        <v>44956</v>
      </c>
      <c r="I267" s="1046">
        <v>1102.57</v>
      </c>
      <c r="J267" s="1047">
        <v>83700</v>
      </c>
      <c r="L267" s="277">
        <f t="shared" si="5"/>
        <v>-1.3006892847551674E-2</v>
      </c>
      <c r="M267" s="275">
        <f t="shared" si="6"/>
        <v>-3.5714285714285713E-3</v>
      </c>
      <c r="S267" s="251"/>
      <c r="T267" s="6"/>
    </row>
    <row r="268" spans="8:20" ht="15.75" thickBot="1">
      <c r="H268" s="1045">
        <v>44957</v>
      </c>
      <c r="I268" s="1046">
        <v>1111.18</v>
      </c>
      <c r="J268" s="1047">
        <v>83500</v>
      </c>
      <c r="L268" s="277">
        <f t="shared" si="5"/>
        <v>7.8090279982224514E-3</v>
      </c>
      <c r="M268" s="275">
        <f t="shared" si="6"/>
        <v>-2.3894862604540022E-3</v>
      </c>
      <c r="S268" s="251"/>
      <c r="T268" s="6"/>
    </row>
    <row r="269" spans="8:20" ht="15.75" thickBot="1">
      <c r="H269" s="1045">
        <v>44958</v>
      </c>
      <c r="I269" s="1046">
        <v>1075.97</v>
      </c>
      <c r="J269" s="1047">
        <v>82000</v>
      </c>
      <c r="L269" s="277">
        <f t="shared" si="5"/>
        <v>-3.1687035403804992E-2</v>
      </c>
      <c r="M269" s="275">
        <f t="shared" si="6"/>
        <v>-1.7964071856287425E-2</v>
      </c>
      <c r="S269" s="251"/>
      <c r="T269" s="6"/>
    </row>
    <row r="270" spans="8:20" ht="15.75" thickBot="1">
      <c r="H270" s="1045">
        <v>44959</v>
      </c>
      <c r="I270" s="1046">
        <v>1077.5899999999999</v>
      </c>
      <c r="J270" s="1047">
        <v>81900</v>
      </c>
      <c r="L270" s="277">
        <f t="shared" si="5"/>
        <v>1.5056181863805597E-3</v>
      </c>
      <c r="M270" s="275">
        <f t="shared" si="6"/>
        <v>-1.2195121951219512E-3</v>
      </c>
      <c r="S270" s="251"/>
      <c r="T270" s="6"/>
    </row>
    <row r="271" spans="8:20" ht="15.75" thickBot="1">
      <c r="H271" s="1045">
        <v>44960</v>
      </c>
      <c r="I271" s="1046">
        <v>1077.1500000000001</v>
      </c>
      <c r="J271" s="1047">
        <v>80100</v>
      </c>
      <c r="L271" s="277">
        <f t="shared" si="5"/>
        <v>-4.0831856271849888E-4</v>
      </c>
      <c r="M271" s="275">
        <f t="shared" si="6"/>
        <v>-2.197802197802198E-2</v>
      </c>
      <c r="S271" s="251"/>
      <c r="T271" s="6"/>
    </row>
    <row r="272" spans="8:20" ht="15.75" thickBot="1">
      <c r="H272" s="1045">
        <v>44963</v>
      </c>
      <c r="I272" s="1046">
        <v>1089.29</v>
      </c>
      <c r="J272" s="1047">
        <v>80500</v>
      </c>
      <c r="L272" s="277">
        <f t="shared" si="5"/>
        <v>1.1270482291231371E-2</v>
      </c>
      <c r="M272" s="275">
        <f t="shared" si="6"/>
        <v>4.9937578027465668E-3</v>
      </c>
      <c r="S272" s="251"/>
      <c r="T272" s="6"/>
    </row>
    <row r="273" spans="8:20" ht="15.75" thickBot="1">
      <c r="H273" s="1045">
        <v>44964</v>
      </c>
      <c r="I273" s="1046">
        <v>1065.8399999999999</v>
      </c>
      <c r="J273" s="1047">
        <v>80700</v>
      </c>
      <c r="L273" s="277">
        <f t="shared" si="5"/>
        <v>-2.1527784152980425E-2</v>
      </c>
      <c r="M273" s="275">
        <f t="shared" si="6"/>
        <v>2.4844720496894411E-3</v>
      </c>
      <c r="S273" s="251"/>
      <c r="T273" s="6"/>
    </row>
    <row r="274" spans="8:20" ht="15.75" thickBot="1">
      <c r="H274" s="1045">
        <v>44965</v>
      </c>
      <c r="I274" s="1046">
        <v>1072.22</v>
      </c>
      <c r="J274" s="1047">
        <v>81200</v>
      </c>
      <c r="L274" s="277">
        <f t="shared" si="5"/>
        <v>5.9858890640247216E-3</v>
      </c>
      <c r="M274" s="275">
        <f t="shared" si="6"/>
        <v>6.1957868649318466E-3</v>
      </c>
      <c r="S274" s="251"/>
      <c r="T274" s="6"/>
    </row>
    <row r="275" spans="8:20" ht="15.75" thickBot="1">
      <c r="H275" s="1045">
        <v>44966</v>
      </c>
      <c r="I275" s="1046">
        <v>1064.03</v>
      </c>
      <c r="J275" s="1047">
        <v>80700</v>
      </c>
      <c r="L275" s="277">
        <f t="shared" si="5"/>
        <v>-7.6383577997053351E-3</v>
      </c>
      <c r="M275" s="275">
        <f t="shared" si="6"/>
        <v>-6.1576354679802959E-3</v>
      </c>
      <c r="S275" s="251"/>
      <c r="T275" s="6"/>
    </row>
    <row r="276" spans="8:20" ht="15.75" thickBot="1">
      <c r="H276" s="1045">
        <v>44967</v>
      </c>
      <c r="I276" s="1046">
        <v>1055.3</v>
      </c>
      <c r="J276" s="1047">
        <v>80700</v>
      </c>
      <c r="L276" s="277">
        <f t="shared" si="5"/>
        <v>-8.2046558837626932E-3</v>
      </c>
      <c r="M276" s="275">
        <f t="shared" si="6"/>
        <v>0</v>
      </c>
      <c r="S276" s="251"/>
      <c r="T276" s="6"/>
    </row>
    <row r="277" spans="8:20" ht="15.75" thickBot="1">
      <c r="H277" s="1045">
        <v>44970</v>
      </c>
      <c r="I277" s="1046">
        <v>1043.7</v>
      </c>
      <c r="J277" s="1047">
        <v>80700</v>
      </c>
      <c r="L277" s="277">
        <f t="shared" si="5"/>
        <v>-1.0992134937932255E-2</v>
      </c>
      <c r="M277" s="275">
        <f t="shared" si="6"/>
        <v>0</v>
      </c>
      <c r="S277" s="251"/>
      <c r="T277" s="6"/>
    </row>
    <row r="278" spans="8:20" ht="15.75" thickBot="1">
      <c r="H278" s="1045">
        <v>44971</v>
      </c>
      <c r="I278" s="1046">
        <v>1038.6400000000001</v>
      </c>
      <c r="J278" s="1047">
        <v>80800</v>
      </c>
      <c r="L278" s="277">
        <f t="shared" si="5"/>
        <v>-4.8481364376736086E-3</v>
      </c>
      <c r="M278" s="275">
        <f t="shared" si="6"/>
        <v>1.2391573729863693E-3</v>
      </c>
      <c r="S278" s="251"/>
      <c r="T278" s="6"/>
    </row>
    <row r="279" spans="8:20" ht="15.75" thickBot="1">
      <c r="H279" s="1045">
        <v>44972</v>
      </c>
      <c r="I279" s="1046">
        <v>1048.2</v>
      </c>
      <c r="J279" s="1047">
        <v>81600</v>
      </c>
      <c r="L279" s="277">
        <f t="shared" si="5"/>
        <v>9.2043441423399295E-3</v>
      </c>
      <c r="M279" s="275">
        <f t="shared" si="6"/>
        <v>9.9009900990099011E-3</v>
      </c>
      <c r="S279" s="251"/>
      <c r="T279" s="6"/>
    </row>
    <row r="280" spans="8:20" ht="15.75" thickBot="1">
      <c r="H280" s="1045">
        <v>44973</v>
      </c>
      <c r="I280" s="1046">
        <v>1058.29</v>
      </c>
      <c r="J280" s="1047">
        <v>81600</v>
      </c>
      <c r="L280" s="277">
        <f t="shared" si="5"/>
        <v>9.6260255676396851E-3</v>
      </c>
      <c r="M280" s="275">
        <f t="shared" si="6"/>
        <v>0</v>
      </c>
      <c r="S280" s="251"/>
      <c r="T280" s="6"/>
    </row>
    <row r="281" spans="8:20" ht="15.75" thickBot="1">
      <c r="H281" s="1045">
        <v>44974</v>
      </c>
      <c r="I281" s="6"/>
      <c r="J281" s="1047">
        <v>81600</v>
      </c>
      <c r="L281" s="277"/>
      <c r="M281" s="275"/>
      <c r="S281" s="251"/>
      <c r="T281" s="6"/>
    </row>
    <row r="282" spans="8:20" ht="15.75" thickBot="1">
      <c r="H282" s="1045">
        <v>44977</v>
      </c>
      <c r="I282" s="6"/>
      <c r="J282" s="1047">
        <v>82800</v>
      </c>
      <c r="L282" s="277"/>
      <c r="M282" s="275"/>
      <c r="S282" s="251"/>
      <c r="T282" s="6"/>
    </row>
    <row r="283" spans="8:20" ht="15.75" thickBot="1">
      <c r="H283" s="1045">
        <v>44978</v>
      </c>
      <c r="I283" s="6"/>
      <c r="J283" s="1047">
        <v>82800</v>
      </c>
      <c r="L283" s="277"/>
      <c r="M283" s="275"/>
      <c r="S283" s="251"/>
      <c r="T283" s="6"/>
    </row>
    <row r="284" spans="8:20" ht="15.75" thickBot="1">
      <c r="H284" s="1045">
        <v>44979</v>
      </c>
      <c r="I284" s="6"/>
      <c r="J284" s="1047">
        <v>81800</v>
      </c>
      <c r="L284" s="277"/>
      <c r="M284" s="275"/>
      <c r="S284" s="251"/>
      <c r="T284" s="6"/>
    </row>
    <row r="285" spans="8:20" ht="15.75" thickBot="1">
      <c r="H285" s="1045">
        <v>44980</v>
      </c>
      <c r="I285" s="6"/>
      <c r="J285" s="1047">
        <v>81400</v>
      </c>
      <c r="L285" s="277"/>
      <c r="M285" s="275"/>
      <c r="S285" s="251"/>
      <c r="T285" s="6"/>
    </row>
    <row r="286" spans="8:20" ht="15.75" thickBot="1">
      <c r="H286" s="1045">
        <v>44981</v>
      </c>
      <c r="I286" s="6"/>
      <c r="J286" s="1047">
        <v>80800</v>
      </c>
      <c r="L286" s="277"/>
      <c r="M286" s="275"/>
      <c r="S286" s="251"/>
      <c r="T286" s="6"/>
    </row>
    <row r="287" spans="8:20" ht="15.75" thickBot="1">
      <c r="H287" s="1045">
        <v>44984</v>
      </c>
      <c r="I287" s="6"/>
      <c r="J287" s="1047">
        <v>80300</v>
      </c>
      <c r="L287" s="277"/>
      <c r="M287" s="275"/>
      <c r="S287" s="251"/>
      <c r="T287" s="6"/>
    </row>
    <row r="288" spans="8:20" ht="15.75" thickBot="1">
      <c r="H288" s="1045">
        <v>44985</v>
      </c>
      <c r="I288" s="6"/>
      <c r="J288" s="1047">
        <v>80500</v>
      </c>
      <c r="L288" s="277"/>
      <c r="M288" s="275"/>
      <c r="S288" s="251"/>
      <c r="T288" s="6"/>
    </row>
    <row r="289" spans="8:20" ht="15.75" thickBot="1">
      <c r="H289" s="1045">
        <v>44986</v>
      </c>
      <c r="I289" s="6"/>
      <c r="J289" s="1047">
        <v>80500</v>
      </c>
      <c r="L289" s="277"/>
      <c r="M289" s="275"/>
      <c r="S289" s="251"/>
      <c r="T289" s="6"/>
    </row>
    <row r="290" spans="8:20" ht="15.75" thickBot="1">
      <c r="H290" s="1045">
        <v>44987</v>
      </c>
      <c r="I290" s="6"/>
      <c r="J290" s="1047">
        <v>80000</v>
      </c>
      <c r="L290" s="277"/>
      <c r="M290" s="275"/>
      <c r="S290" s="251"/>
      <c r="T290" s="6"/>
    </row>
    <row r="291" spans="8:20" ht="15.75" thickBot="1">
      <c r="H291" s="1045">
        <v>44988</v>
      </c>
      <c r="I291" s="6"/>
      <c r="J291" s="1047">
        <v>78500</v>
      </c>
      <c r="L291" s="277"/>
      <c r="M291" s="275"/>
      <c r="S291" s="251"/>
      <c r="T291" s="6"/>
    </row>
    <row r="292" spans="8:20" ht="15.75" thickBot="1">
      <c r="H292" s="1045">
        <v>44991</v>
      </c>
      <c r="I292" s="6"/>
      <c r="J292" s="1047">
        <v>78200</v>
      </c>
      <c r="L292" s="277"/>
      <c r="M292" s="275"/>
      <c r="S292" s="251"/>
      <c r="T292" s="6"/>
    </row>
    <row r="293" spans="8:20" ht="15.75" thickBot="1">
      <c r="H293" s="1045">
        <v>44992</v>
      </c>
      <c r="I293" s="6"/>
      <c r="J293" s="1047">
        <v>78800</v>
      </c>
      <c r="L293" s="277"/>
      <c r="M293" s="275"/>
      <c r="S293" s="251"/>
      <c r="T293" s="6"/>
    </row>
    <row r="294" spans="8:20" ht="15.75" thickBot="1">
      <c r="H294" s="1045">
        <v>44993</v>
      </c>
      <c r="I294" s="6"/>
      <c r="J294" s="1047">
        <v>79500</v>
      </c>
      <c r="L294" s="277"/>
      <c r="M294" s="275"/>
      <c r="S294" s="251"/>
      <c r="T294" s="6"/>
    </row>
    <row r="295" spans="8:20" ht="15.75" thickBot="1">
      <c r="H295" s="1045">
        <v>44994</v>
      </c>
      <c r="I295" s="6"/>
      <c r="J295" s="1047">
        <v>80600</v>
      </c>
      <c r="L295" s="277"/>
      <c r="M295" s="275"/>
      <c r="S295" s="251"/>
      <c r="T295" s="6"/>
    </row>
    <row r="296" spans="8:20" ht="15.75" thickBot="1">
      <c r="H296" s="1045">
        <v>44995</v>
      </c>
      <c r="I296" s="6"/>
      <c r="J296" s="1047">
        <v>79500</v>
      </c>
      <c r="L296" s="277"/>
      <c r="M296" s="275"/>
      <c r="S296" s="251"/>
      <c r="T296" s="6"/>
    </row>
    <row r="297" spans="8:20" ht="15.75" thickBot="1">
      <c r="H297" s="1045">
        <v>44998</v>
      </c>
      <c r="I297" s="6"/>
      <c r="J297" s="1047">
        <v>78900</v>
      </c>
      <c r="L297" s="277"/>
      <c r="M297" s="275"/>
      <c r="S297" s="251"/>
      <c r="T297" s="6"/>
    </row>
    <row r="298" spans="8:20" ht="15.75" thickBot="1">
      <c r="H298" s="1045">
        <v>44999</v>
      </c>
      <c r="I298" s="6"/>
      <c r="J298" s="1047">
        <v>78700</v>
      </c>
      <c r="L298" s="277"/>
      <c r="M298" s="275"/>
      <c r="S298" s="251"/>
      <c r="T298" s="6"/>
    </row>
    <row r="299" spans="8:20" ht="15.75" thickBot="1">
      <c r="H299" s="1045">
        <v>45000</v>
      </c>
      <c r="I299" s="6"/>
      <c r="J299" s="1047">
        <v>80500</v>
      </c>
      <c r="L299" s="277"/>
      <c r="M299" s="275"/>
      <c r="S299" s="251"/>
      <c r="T299" s="6"/>
    </row>
    <row r="300" spans="8:20" ht="15.75" thickBot="1">
      <c r="H300" s="1045">
        <v>45001</v>
      </c>
      <c r="I300" s="6"/>
      <c r="J300" s="1047">
        <v>79200</v>
      </c>
      <c r="L300" s="277"/>
      <c r="M300" s="275"/>
      <c r="S300" s="251"/>
      <c r="T300" s="6"/>
    </row>
    <row r="301" spans="8:20" ht="15.75" thickBot="1">
      <c r="H301" s="1045">
        <v>45002</v>
      </c>
      <c r="I301" s="6"/>
      <c r="J301" s="1047">
        <v>79000</v>
      </c>
      <c r="L301" s="277"/>
      <c r="M301" s="275"/>
      <c r="S301" s="251"/>
      <c r="T301" s="6"/>
    </row>
    <row r="302" spans="8:20" ht="15.75" thickBot="1">
      <c r="H302" s="1045">
        <v>45005</v>
      </c>
      <c r="I302" s="6"/>
      <c r="J302" s="1047">
        <v>77600</v>
      </c>
      <c r="L302" s="277"/>
      <c r="M302" s="275"/>
      <c r="S302" s="251"/>
      <c r="T302" s="6"/>
    </row>
    <row r="303" spans="8:20" ht="15.75" thickBot="1">
      <c r="H303" s="1045">
        <v>45006</v>
      </c>
      <c r="I303" s="6"/>
      <c r="J303" s="1047">
        <v>78100</v>
      </c>
      <c r="L303" s="277"/>
      <c r="M303" s="275"/>
      <c r="S303" s="251"/>
      <c r="T303" s="6"/>
    </row>
    <row r="304" spans="8:20" ht="15.75" thickBot="1">
      <c r="H304" s="1045">
        <v>45007</v>
      </c>
      <c r="I304" s="6"/>
      <c r="J304" s="1047">
        <v>78500</v>
      </c>
      <c r="L304" s="277"/>
      <c r="M304" s="275"/>
      <c r="S304" s="251"/>
      <c r="T304" s="6"/>
    </row>
    <row r="305" spans="8:20" ht="15.75" thickBot="1">
      <c r="H305" s="1045">
        <v>45008</v>
      </c>
      <c r="I305" s="6"/>
      <c r="J305" s="1047">
        <v>78000</v>
      </c>
      <c r="L305" s="277"/>
      <c r="M305" s="275"/>
      <c r="S305" s="251"/>
      <c r="T305" s="6"/>
    </row>
    <row r="306" spans="8:20" ht="15.75" thickBot="1">
      <c r="H306" s="1045">
        <v>45009</v>
      </c>
      <c r="I306" s="6"/>
      <c r="J306" s="1047">
        <v>78600</v>
      </c>
      <c r="L306" s="277"/>
      <c r="M306" s="275"/>
      <c r="S306" s="251"/>
      <c r="T306" s="6"/>
    </row>
    <row r="307" spans="8:20" ht="15.75" thickBot="1">
      <c r="H307" s="1045">
        <v>45012</v>
      </c>
      <c r="I307" s="6"/>
      <c r="J307" s="1047">
        <v>79100</v>
      </c>
      <c r="L307" s="277"/>
      <c r="M307" s="275"/>
      <c r="S307" s="251"/>
      <c r="T307" s="6"/>
    </row>
    <row r="308" spans="8:20" ht="15.75" thickBot="1">
      <c r="H308" s="1045">
        <v>45013</v>
      </c>
      <c r="I308" s="6"/>
      <c r="J308" s="1047">
        <v>79200</v>
      </c>
      <c r="L308" s="277"/>
      <c r="M308" s="275"/>
      <c r="S308" s="251"/>
      <c r="T308" s="6"/>
    </row>
    <row r="309" spans="8:20" ht="15.75" thickBot="1">
      <c r="H309" s="1045">
        <v>45014</v>
      </c>
      <c r="I309" s="6"/>
      <c r="J309" s="1047">
        <v>79000</v>
      </c>
      <c r="L309" s="277"/>
      <c r="M309" s="275"/>
      <c r="S309" s="251"/>
      <c r="T309" s="6"/>
    </row>
    <row r="310" spans="8:20" ht="13.5" thickBot="1">
      <c r="H310" s="285"/>
      <c r="I310" s="6"/>
      <c r="J310" s="6"/>
      <c r="L310" s="277"/>
      <c r="M310" s="275"/>
      <c r="S310" s="251"/>
      <c r="T310" s="6"/>
    </row>
    <row r="311" spans="8:20" ht="13.5" thickBot="1">
      <c r="H311" s="285"/>
      <c r="I311" s="6"/>
      <c r="J311" s="6"/>
      <c r="L311" s="277"/>
      <c r="M311" s="275"/>
      <c r="S311" s="251"/>
      <c r="T311" s="6"/>
    </row>
    <row r="312" spans="8:20" ht="13.5" thickBot="1">
      <c r="H312" s="285"/>
      <c r="I312" s="6"/>
      <c r="J312" s="6"/>
      <c r="L312" s="277"/>
      <c r="M312" s="275"/>
      <c r="S312" s="251"/>
      <c r="T312" s="6"/>
    </row>
    <row r="313" spans="8:20" ht="13.5" thickBot="1">
      <c r="H313" s="285"/>
      <c r="I313" s="6"/>
      <c r="J313" s="6"/>
      <c r="L313" s="277"/>
      <c r="M313" s="275"/>
      <c r="S313" s="251"/>
      <c r="T313" s="6"/>
    </row>
    <row r="314" spans="8:20" ht="13.5" thickBot="1">
      <c r="H314" s="285"/>
      <c r="I314" s="6"/>
      <c r="J314" s="6"/>
      <c r="L314" s="277"/>
      <c r="M314" s="275"/>
      <c r="S314" s="251"/>
      <c r="T314" s="6"/>
    </row>
    <row r="315" spans="8:20" ht="13.5" thickBot="1">
      <c r="H315" s="285"/>
      <c r="I315" s="6"/>
      <c r="J315" s="6"/>
      <c r="L315" s="277"/>
      <c r="M315" s="275"/>
      <c r="S315" s="251"/>
      <c r="T315" s="6"/>
    </row>
    <row r="316" spans="8:20" ht="13.5" thickBot="1">
      <c r="H316" s="285"/>
      <c r="I316" s="6"/>
      <c r="J316" s="6"/>
      <c r="L316" s="277"/>
      <c r="M316" s="275"/>
      <c r="S316" s="251"/>
      <c r="T316" s="6"/>
    </row>
    <row r="317" spans="8:20" ht="13.5" thickBot="1">
      <c r="H317" s="285"/>
      <c r="I317" s="6"/>
      <c r="J317" s="6"/>
      <c r="L317" s="277"/>
      <c r="M317" s="275"/>
      <c r="S317" s="251"/>
      <c r="T317" s="6"/>
    </row>
    <row r="318" spans="8:20" ht="13.5" thickBot="1">
      <c r="H318" s="285"/>
      <c r="I318" s="6"/>
      <c r="J318" s="6"/>
      <c r="L318" s="277"/>
      <c r="M318" s="275"/>
      <c r="S318" s="251"/>
      <c r="T318" s="6"/>
    </row>
    <row r="319" spans="8:20" ht="13.5" thickBot="1">
      <c r="H319" s="285"/>
      <c r="I319" s="6"/>
      <c r="J319" s="6"/>
      <c r="L319" s="277"/>
      <c r="M319" s="275"/>
      <c r="S319" s="251"/>
      <c r="T319" s="6"/>
    </row>
    <row r="320" spans="8:20" ht="13.5" thickBot="1">
      <c r="H320" s="285"/>
      <c r="I320" s="6"/>
      <c r="J320" s="6"/>
      <c r="L320" s="277"/>
      <c r="M320" s="275"/>
      <c r="S320" s="251"/>
      <c r="T320" s="6"/>
    </row>
    <row r="321" spans="8:20" ht="13.5" thickBot="1">
      <c r="H321" s="285"/>
      <c r="I321" s="6"/>
      <c r="J321" s="6"/>
      <c r="L321" s="277"/>
      <c r="M321" s="275"/>
      <c r="S321" s="251"/>
      <c r="T321" s="6"/>
    </row>
    <row r="322" spans="8:20" ht="13.5" thickBot="1">
      <c r="H322" s="285"/>
      <c r="I322" s="6"/>
      <c r="J322" s="6"/>
      <c r="L322" s="277"/>
      <c r="M322" s="275"/>
      <c r="S322" s="251"/>
      <c r="T322" s="6"/>
    </row>
    <row r="323" spans="8:20" ht="13.5" thickBot="1">
      <c r="H323" s="285"/>
      <c r="I323" s="6"/>
      <c r="J323" s="6"/>
      <c r="L323" s="277"/>
      <c r="M323" s="275"/>
      <c r="S323" s="251"/>
      <c r="T323" s="6"/>
    </row>
    <row r="324" spans="8:20" ht="13.5" thickBot="1">
      <c r="H324" s="285"/>
      <c r="I324" s="6"/>
      <c r="J324" s="6"/>
      <c r="L324" s="277"/>
      <c r="M324" s="275"/>
      <c r="S324" s="251"/>
      <c r="T324" s="6"/>
    </row>
    <row r="325" spans="8:20" ht="13.5" thickBot="1">
      <c r="H325" s="285"/>
      <c r="I325" s="6"/>
      <c r="J325" s="6"/>
      <c r="L325" s="277"/>
      <c r="M325" s="275"/>
      <c r="S325" s="251"/>
      <c r="T325" s="6"/>
    </row>
    <row r="326" spans="8:20" ht="13.5" thickBot="1">
      <c r="H326" s="285"/>
      <c r="I326" s="6"/>
      <c r="J326" s="6"/>
      <c r="L326" s="277"/>
      <c r="M326" s="275"/>
      <c r="S326" s="251"/>
      <c r="T326" s="6"/>
    </row>
    <row r="327" spans="8:20" ht="13.5" thickBot="1">
      <c r="H327" s="285"/>
      <c r="I327" s="6"/>
      <c r="J327" s="6"/>
      <c r="L327" s="277"/>
      <c r="M327" s="275"/>
      <c r="S327" s="251"/>
      <c r="T327" s="6"/>
    </row>
    <row r="328" spans="8:20" ht="13.5" thickBot="1">
      <c r="H328" s="285"/>
      <c r="I328" s="6"/>
      <c r="J328" s="6"/>
      <c r="L328" s="277"/>
      <c r="M328" s="275"/>
      <c r="S328" s="251"/>
      <c r="T328" s="6"/>
    </row>
    <row r="329" spans="8:20" ht="13.5" thickBot="1">
      <c r="H329" s="285"/>
      <c r="I329" s="6"/>
      <c r="J329" s="6"/>
      <c r="L329" s="277"/>
      <c r="M329" s="275"/>
      <c r="S329" s="251"/>
      <c r="T329" s="6"/>
    </row>
    <row r="330" spans="8:20" ht="13.5" thickBot="1">
      <c r="H330" s="285"/>
      <c r="I330" s="6"/>
      <c r="J330" s="6"/>
      <c r="L330" s="277"/>
      <c r="M330" s="275"/>
      <c r="S330" s="251"/>
      <c r="T330" s="6"/>
    </row>
    <row r="331" spans="8:20" ht="13.5" thickBot="1">
      <c r="H331" s="285"/>
      <c r="I331" s="6"/>
      <c r="J331" s="6"/>
      <c r="L331" s="277"/>
      <c r="M331" s="275"/>
      <c r="S331" s="251"/>
      <c r="T331" s="6"/>
    </row>
    <row r="332" spans="8:20" ht="13.5" thickBot="1">
      <c r="H332" s="285"/>
      <c r="I332" s="6"/>
      <c r="J332" s="6"/>
      <c r="L332" s="277"/>
      <c r="M332" s="275"/>
      <c r="S332" s="251"/>
      <c r="T332" s="6"/>
    </row>
    <row r="333" spans="8:20" ht="13.5" thickBot="1">
      <c r="H333" s="285"/>
      <c r="I333" s="6"/>
      <c r="J333" s="6"/>
      <c r="L333" s="277"/>
      <c r="M333" s="275"/>
      <c r="S333" s="251"/>
      <c r="T333" s="6"/>
    </row>
    <row r="334" spans="8:20" ht="13.5" thickBot="1">
      <c r="H334" s="285"/>
      <c r="I334" s="6"/>
      <c r="J334" s="6"/>
      <c r="L334" s="277"/>
      <c r="M334" s="275"/>
      <c r="S334" s="251"/>
      <c r="T334" s="6"/>
    </row>
    <row r="335" spans="8:20" ht="13.5" thickBot="1">
      <c r="H335" s="285"/>
      <c r="I335" s="6"/>
      <c r="J335" s="6"/>
      <c r="L335" s="277"/>
      <c r="M335" s="275"/>
      <c r="S335" s="251"/>
      <c r="T335" s="6"/>
    </row>
    <row r="336" spans="8:20" ht="13.5" thickBot="1">
      <c r="H336" s="285"/>
      <c r="I336" s="6"/>
      <c r="J336" s="6"/>
      <c r="L336" s="277"/>
      <c r="M336" s="275"/>
      <c r="S336" s="251"/>
      <c r="T336" s="6"/>
    </row>
    <row r="337" spans="8:20" ht="13.5" thickBot="1">
      <c r="H337" s="285"/>
      <c r="I337" s="6"/>
      <c r="J337" s="6"/>
      <c r="L337" s="277"/>
      <c r="M337" s="275"/>
      <c r="S337" s="251"/>
      <c r="T337" s="6"/>
    </row>
    <row r="338" spans="8:20" ht="13.5" thickBot="1">
      <c r="H338" s="285"/>
      <c r="I338" s="6"/>
      <c r="J338" s="6"/>
      <c r="L338" s="277"/>
      <c r="M338" s="275"/>
      <c r="S338" s="251"/>
      <c r="T338" s="6"/>
    </row>
    <row r="339" spans="8:20" ht="13.5" thickBot="1">
      <c r="H339" s="285"/>
      <c r="I339" s="6"/>
      <c r="J339" s="6"/>
      <c r="L339" s="277"/>
      <c r="M339" s="275"/>
      <c r="S339" s="251"/>
      <c r="T339" s="6"/>
    </row>
    <row r="340" spans="8:20" ht="13.5" thickBot="1">
      <c r="H340" s="285"/>
      <c r="I340" s="6"/>
      <c r="J340" s="6"/>
      <c r="L340" s="277"/>
      <c r="M340" s="275"/>
      <c r="S340" s="251"/>
      <c r="T340" s="6"/>
    </row>
    <row r="341" spans="8:20" ht="13.5" thickBot="1">
      <c r="H341" s="285"/>
      <c r="I341" s="6"/>
      <c r="J341" s="6"/>
      <c r="L341" s="277"/>
      <c r="M341" s="275"/>
      <c r="S341" s="251"/>
      <c r="T341" s="6"/>
    </row>
    <row r="342" spans="8:20" ht="13.5" thickBot="1">
      <c r="H342" s="285"/>
      <c r="I342" s="6"/>
      <c r="J342" s="6"/>
      <c r="L342" s="277"/>
      <c r="M342" s="275"/>
      <c r="S342" s="251"/>
      <c r="T342" s="6"/>
    </row>
    <row r="343" spans="8:20" ht="13.5" thickBot="1">
      <c r="H343" s="285"/>
      <c r="I343" s="6"/>
      <c r="J343" s="6"/>
      <c r="L343" s="277"/>
      <c r="M343" s="275"/>
      <c r="S343" s="251"/>
      <c r="T343" s="6"/>
    </row>
    <row r="344" spans="8:20" ht="13.5" thickBot="1">
      <c r="H344" s="285"/>
      <c r="I344" s="6"/>
      <c r="J344" s="6"/>
      <c r="L344" s="277"/>
      <c r="M344" s="275"/>
      <c r="S344" s="251"/>
      <c r="T344" s="6"/>
    </row>
    <row r="345" spans="8:20" ht="13.5" thickBot="1">
      <c r="H345" s="285"/>
      <c r="I345" s="6"/>
      <c r="J345" s="6"/>
      <c r="L345" s="277"/>
      <c r="M345" s="275"/>
      <c r="S345" s="251"/>
      <c r="T345" s="6"/>
    </row>
    <row r="346" spans="8:20" ht="13.5" thickBot="1">
      <c r="H346" s="285"/>
      <c r="I346" s="6"/>
      <c r="J346" s="6"/>
      <c r="L346" s="277"/>
      <c r="M346" s="275"/>
      <c r="S346" s="251"/>
      <c r="T346" s="6"/>
    </row>
    <row r="347" spans="8:20" ht="13.5" thickBot="1">
      <c r="H347" s="285"/>
      <c r="I347" s="6"/>
      <c r="J347" s="6"/>
      <c r="L347" s="277"/>
      <c r="M347" s="275"/>
      <c r="S347" s="251"/>
      <c r="T347" s="6"/>
    </row>
    <row r="348" spans="8:20" ht="13.5" thickBot="1">
      <c r="H348" s="285"/>
      <c r="I348" s="6"/>
      <c r="J348" s="6"/>
      <c r="L348" s="277"/>
      <c r="M348" s="275"/>
      <c r="S348" s="251"/>
      <c r="T348" s="6"/>
    </row>
    <row r="349" spans="8:20" ht="13.5" thickBot="1">
      <c r="H349" s="285"/>
      <c r="I349" s="6"/>
      <c r="J349" s="6"/>
      <c r="L349" s="277"/>
      <c r="M349" s="275"/>
      <c r="S349" s="251"/>
      <c r="T349" s="6"/>
    </row>
    <row r="350" spans="8:20" ht="13.5" thickBot="1">
      <c r="H350" s="285"/>
      <c r="I350" s="6"/>
      <c r="J350" s="6"/>
      <c r="L350" s="277"/>
      <c r="M350" s="275"/>
      <c r="S350" s="251"/>
      <c r="T350" s="6"/>
    </row>
    <row r="351" spans="8:20" ht="13.5" thickBot="1">
      <c r="H351" s="285"/>
      <c r="I351" s="6"/>
      <c r="J351" s="6"/>
      <c r="L351" s="277"/>
      <c r="M351" s="275"/>
      <c r="S351" s="251"/>
      <c r="T351" s="6"/>
    </row>
    <row r="352" spans="8:20" ht="13.5" thickBot="1">
      <c r="H352" s="285"/>
      <c r="I352" s="6"/>
      <c r="J352" s="6"/>
      <c r="L352" s="277"/>
      <c r="M352" s="275"/>
      <c r="S352" s="251"/>
      <c r="T352" s="6"/>
    </row>
    <row r="353" spans="8:20" ht="13.5" thickBot="1">
      <c r="H353" s="285"/>
      <c r="I353" s="6"/>
      <c r="J353" s="6"/>
      <c r="L353" s="277"/>
      <c r="M353" s="275"/>
      <c r="S353" s="251"/>
      <c r="T353" s="6"/>
    </row>
    <row r="354" spans="8:20" ht="13.5" thickBot="1">
      <c r="H354" s="285"/>
      <c r="I354" s="6"/>
      <c r="J354" s="6"/>
      <c r="L354" s="277"/>
      <c r="M354" s="275"/>
      <c r="S354" s="251"/>
      <c r="T354" s="6"/>
    </row>
    <row r="355" spans="8:20" ht="13.5" thickBot="1">
      <c r="H355" s="285"/>
      <c r="I355" s="6"/>
      <c r="J355" s="6"/>
      <c r="L355" s="277"/>
      <c r="M355" s="275"/>
      <c r="S355" s="251"/>
      <c r="T355" s="6"/>
    </row>
    <row r="356" spans="8:20" ht="13.5" thickBot="1">
      <c r="H356" s="285"/>
      <c r="I356" s="6"/>
      <c r="J356" s="6"/>
      <c r="L356" s="277"/>
      <c r="M356" s="275"/>
      <c r="S356" s="251"/>
      <c r="T356" s="6"/>
    </row>
    <row r="357" spans="8:20" ht="13.5" thickBot="1">
      <c r="H357" s="285"/>
      <c r="I357" s="6"/>
      <c r="J357" s="6"/>
      <c r="L357" s="277"/>
      <c r="M357" s="275"/>
      <c r="S357" s="251"/>
      <c r="T357" s="6"/>
    </row>
    <row r="358" spans="8:20" ht="13.5" thickBot="1">
      <c r="H358" s="285"/>
      <c r="I358" s="6"/>
      <c r="J358" s="6"/>
      <c r="L358" s="277"/>
      <c r="M358" s="275"/>
      <c r="S358" s="251"/>
      <c r="T358" s="6"/>
    </row>
    <row r="359" spans="8:20" ht="13.5" thickBot="1">
      <c r="H359" s="285"/>
      <c r="I359" s="6"/>
      <c r="J359" s="6"/>
      <c r="L359" s="277"/>
      <c r="M359" s="275"/>
      <c r="S359" s="251"/>
      <c r="T359" s="6"/>
    </row>
    <row r="360" spans="8:20" ht="13.5" thickBot="1">
      <c r="H360" s="285"/>
      <c r="I360" s="6"/>
      <c r="J360" s="6"/>
      <c r="L360" s="277"/>
      <c r="M360" s="275"/>
      <c r="S360" s="251"/>
      <c r="T360" s="6"/>
    </row>
    <row r="361" spans="8:20" ht="13.5" thickBot="1">
      <c r="H361" s="285"/>
      <c r="I361" s="6"/>
      <c r="J361" s="6"/>
      <c r="L361" s="277"/>
      <c r="M361" s="275"/>
      <c r="S361" s="251"/>
      <c r="T361" s="6"/>
    </row>
    <row r="362" spans="8:20" ht="13.5" thickBot="1">
      <c r="H362" s="285"/>
      <c r="I362" s="6"/>
      <c r="J362" s="6"/>
      <c r="L362" s="277"/>
      <c r="M362" s="275"/>
      <c r="S362" s="251"/>
      <c r="T362" s="6"/>
    </row>
    <row r="363" spans="8:20" ht="13.5" thickBot="1">
      <c r="H363" s="285"/>
      <c r="I363" s="6"/>
      <c r="J363" s="6"/>
      <c r="L363" s="277"/>
      <c r="M363" s="275"/>
      <c r="S363" s="251"/>
      <c r="T363" s="6"/>
    </row>
    <row r="364" spans="8:20" ht="13.5" thickBot="1">
      <c r="H364" s="285"/>
      <c r="I364" s="6"/>
      <c r="J364" s="6"/>
      <c r="L364" s="277"/>
      <c r="M364" s="275"/>
      <c r="S364" s="251"/>
      <c r="T364" s="6"/>
    </row>
    <row r="365" spans="8:20" ht="13.5" thickBot="1">
      <c r="H365" s="285"/>
      <c r="I365" s="6"/>
      <c r="J365" s="6"/>
      <c r="L365" s="277"/>
      <c r="M365" s="275"/>
      <c r="S365" s="251"/>
      <c r="T365" s="6"/>
    </row>
    <row r="366" spans="8:20" ht="13.5" thickBot="1">
      <c r="H366" s="285"/>
      <c r="I366" s="6"/>
      <c r="J366" s="6"/>
      <c r="L366" s="277"/>
      <c r="M366" s="275"/>
      <c r="S366" s="251"/>
      <c r="T366" s="6"/>
    </row>
    <row r="367" spans="8:20" ht="13.5" thickBot="1">
      <c r="H367" s="285"/>
      <c r="I367" s="6"/>
      <c r="J367" s="6"/>
      <c r="L367" s="277"/>
      <c r="M367" s="275"/>
      <c r="S367" s="251"/>
      <c r="T367" s="6"/>
    </row>
    <row r="368" spans="8:20" ht="13.5" thickBot="1">
      <c r="H368" s="285"/>
      <c r="I368" s="6"/>
      <c r="J368" s="6"/>
      <c r="L368" s="277"/>
      <c r="M368" s="275"/>
      <c r="S368" s="251"/>
      <c r="T368" s="6"/>
    </row>
    <row r="369" spans="8:20" ht="13.5" thickBot="1">
      <c r="H369" s="285"/>
      <c r="I369" s="6"/>
      <c r="J369" s="6"/>
      <c r="L369" s="277"/>
      <c r="M369" s="275"/>
      <c r="S369" s="251"/>
      <c r="T369" s="6"/>
    </row>
    <row r="370" spans="8:20" ht="13.5" thickBot="1">
      <c r="H370" s="285"/>
      <c r="I370" s="6"/>
      <c r="J370" s="6"/>
      <c r="L370" s="277"/>
      <c r="M370" s="275"/>
      <c r="S370" s="251"/>
      <c r="T370" s="6"/>
    </row>
    <row r="371" spans="8:20" ht="13.5" thickBot="1">
      <c r="H371" s="285"/>
      <c r="I371" s="6"/>
      <c r="J371" s="6"/>
      <c r="L371" s="277"/>
      <c r="M371" s="275"/>
      <c r="S371" s="251"/>
      <c r="T371" s="6"/>
    </row>
    <row r="372" spans="8:20" ht="13.5" thickBot="1">
      <c r="H372" s="285"/>
      <c r="I372" s="6"/>
      <c r="J372" s="6"/>
      <c r="L372" s="277"/>
      <c r="M372" s="275"/>
      <c r="S372" s="251"/>
      <c r="T372" s="6"/>
    </row>
    <row r="373" spans="8:20" ht="13.5" thickBot="1">
      <c r="H373" s="285"/>
      <c r="I373" s="6"/>
      <c r="J373" s="6"/>
      <c r="L373" s="277"/>
      <c r="M373" s="275"/>
      <c r="S373" s="251"/>
      <c r="T373" s="6"/>
    </row>
    <row r="374" spans="8:20" ht="13.5" thickBot="1">
      <c r="H374" s="285"/>
      <c r="I374" s="6"/>
      <c r="J374" s="6"/>
      <c r="L374" s="277"/>
      <c r="M374" s="275"/>
      <c r="S374" s="251"/>
      <c r="T374" s="6"/>
    </row>
    <row r="375" spans="8:20" ht="13.5" thickBot="1">
      <c r="H375" s="285"/>
      <c r="I375" s="6"/>
      <c r="J375" s="6"/>
      <c r="L375" s="277"/>
      <c r="M375" s="275"/>
      <c r="S375" s="251"/>
      <c r="T375" s="6"/>
    </row>
    <row r="376" spans="8:20" ht="13.5" thickBot="1">
      <c r="H376" s="285"/>
      <c r="I376" s="6"/>
      <c r="J376" s="6"/>
      <c r="L376" s="277"/>
      <c r="M376" s="275"/>
      <c r="S376" s="251"/>
      <c r="T376" s="6"/>
    </row>
    <row r="377" spans="8:20" ht="13.5" thickBot="1">
      <c r="H377" s="285"/>
      <c r="I377" s="6"/>
      <c r="J377" s="6"/>
      <c r="L377" s="277"/>
      <c r="M377" s="275"/>
      <c r="S377" s="251"/>
      <c r="T377" s="6"/>
    </row>
    <row r="378" spans="8:20" ht="13.5" thickBot="1">
      <c r="H378" s="285"/>
      <c r="I378" s="6"/>
      <c r="J378" s="6"/>
      <c r="L378" s="277"/>
      <c r="M378" s="275"/>
      <c r="S378" s="251"/>
      <c r="T378" s="6"/>
    </row>
    <row r="379" spans="8:20" ht="13.5" thickBot="1">
      <c r="H379" s="285"/>
      <c r="I379" s="6"/>
      <c r="J379" s="6"/>
      <c r="L379" s="277"/>
      <c r="M379" s="275"/>
      <c r="S379" s="251"/>
      <c r="T379" s="6"/>
    </row>
    <row r="380" spans="8:20" ht="13.5" thickBot="1">
      <c r="H380" s="285"/>
      <c r="I380" s="6"/>
      <c r="J380" s="6"/>
      <c r="L380" s="277"/>
      <c r="M380" s="275"/>
      <c r="S380" s="251"/>
      <c r="T380" s="6"/>
    </row>
    <row r="381" spans="8:20" ht="13.5" thickBot="1">
      <c r="H381" s="285"/>
      <c r="I381" s="6"/>
      <c r="J381" s="6"/>
      <c r="L381" s="277"/>
      <c r="M381" s="275"/>
      <c r="S381" s="251"/>
      <c r="T381" s="6"/>
    </row>
    <row r="382" spans="8:20" ht="13.5" thickBot="1">
      <c r="H382" s="285"/>
      <c r="I382" s="6"/>
      <c r="J382" s="6"/>
      <c r="L382" s="277"/>
      <c r="M382" s="275"/>
      <c r="S382" s="251"/>
      <c r="T382" s="6"/>
    </row>
    <row r="383" spans="8:20" ht="13.5" thickBot="1">
      <c r="H383" s="285"/>
      <c r="I383" s="6"/>
      <c r="J383" s="6"/>
      <c r="L383" s="277"/>
      <c r="M383" s="275"/>
      <c r="S383" s="251"/>
      <c r="T383" s="6"/>
    </row>
    <row r="384" spans="8:20" ht="13.5" thickBot="1">
      <c r="H384" s="285"/>
      <c r="I384" s="6"/>
      <c r="J384" s="6"/>
      <c r="L384" s="277"/>
      <c r="M384" s="275"/>
      <c r="S384" s="251"/>
      <c r="T384" s="6"/>
    </row>
    <row r="385" spans="8:20" ht="13.5" thickBot="1">
      <c r="H385" s="285"/>
      <c r="I385" s="6"/>
      <c r="J385" s="6"/>
      <c r="L385" s="277"/>
      <c r="M385" s="275"/>
      <c r="S385" s="251"/>
      <c r="T385" s="6"/>
    </row>
    <row r="386" spans="8:20" ht="13.5" thickBot="1">
      <c r="H386" s="285"/>
      <c r="I386" s="6"/>
      <c r="J386" s="6"/>
      <c r="L386" s="277"/>
      <c r="M386" s="275"/>
      <c r="S386" s="251"/>
      <c r="T386" s="6"/>
    </row>
    <row r="387" spans="8:20" ht="13.5" thickBot="1">
      <c r="H387" s="285"/>
      <c r="I387" s="6"/>
      <c r="J387" s="6"/>
      <c r="L387" s="277"/>
      <c r="M387" s="275"/>
      <c r="S387" s="251"/>
      <c r="T387" s="6"/>
    </row>
    <row r="388" spans="8:20" ht="13.5" thickBot="1">
      <c r="H388" s="285"/>
      <c r="I388" s="6"/>
      <c r="J388" s="6"/>
      <c r="L388" s="277"/>
      <c r="M388" s="275"/>
      <c r="S388" s="251"/>
      <c r="T388" s="6"/>
    </row>
    <row r="389" spans="8:20" ht="13.5" thickBot="1">
      <c r="H389" s="285"/>
      <c r="I389" s="6"/>
      <c r="J389" s="6"/>
      <c r="L389" s="277"/>
      <c r="M389" s="275"/>
      <c r="S389" s="251"/>
      <c r="T389" s="6"/>
    </row>
    <row r="390" spans="8:20" ht="13.5" thickBot="1">
      <c r="H390" s="285"/>
      <c r="I390" s="6"/>
      <c r="J390" s="6"/>
      <c r="L390" s="277"/>
      <c r="M390" s="275"/>
      <c r="S390" s="251"/>
      <c r="T390" s="6"/>
    </row>
    <row r="391" spans="8:20" ht="13.5" thickBot="1">
      <c r="H391" s="285"/>
      <c r="I391" s="6"/>
      <c r="J391" s="6"/>
      <c r="L391" s="277"/>
      <c r="M391" s="275"/>
      <c r="S391" s="251"/>
      <c r="T391" s="6"/>
    </row>
    <row r="392" spans="8:20" ht="13.5" thickBot="1">
      <c r="H392" s="285"/>
      <c r="I392" s="6"/>
      <c r="J392" s="6"/>
      <c r="L392" s="277"/>
      <c r="M392" s="275"/>
      <c r="S392" s="251"/>
      <c r="T392" s="6"/>
    </row>
    <row r="393" spans="8:20" ht="13.5" thickBot="1">
      <c r="H393" s="285"/>
      <c r="I393" s="6"/>
      <c r="J393" s="6"/>
      <c r="L393" s="277"/>
      <c r="M393" s="275"/>
      <c r="S393" s="251"/>
      <c r="T393" s="6"/>
    </row>
    <row r="394" spans="8:20" ht="13.5" thickBot="1">
      <c r="H394" s="285"/>
      <c r="I394" s="6"/>
      <c r="J394" s="6"/>
      <c r="L394" s="277"/>
      <c r="M394" s="275"/>
      <c r="S394" s="251"/>
      <c r="T394" s="6"/>
    </row>
    <row r="395" spans="8:20" ht="13.5" thickBot="1">
      <c r="H395" s="285"/>
      <c r="I395" s="6"/>
      <c r="J395" s="6"/>
      <c r="L395" s="277"/>
      <c r="M395" s="275"/>
      <c r="S395" s="251"/>
      <c r="T395" s="6"/>
    </row>
    <row r="396" spans="8:20" ht="13.5" thickBot="1">
      <c r="H396" s="285"/>
      <c r="I396" s="6"/>
      <c r="J396" s="6"/>
      <c r="L396" s="277"/>
      <c r="M396" s="275"/>
      <c r="S396" s="251"/>
      <c r="T396" s="6"/>
    </row>
    <row r="397" spans="8:20" ht="13.5" thickBot="1">
      <c r="H397" s="285"/>
      <c r="I397" s="6"/>
      <c r="J397" s="6"/>
      <c r="L397" s="277"/>
      <c r="M397" s="275"/>
      <c r="S397" s="251"/>
      <c r="T397" s="6"/>
    </row>
    <row r="398" spans="8:20" ht="13.5" thickBot="1">
      <c r="H398" s="285"/>
      <c r="I398" s="6"/>
      <c r="J398" s="6"/>
      <c r="L398" s="277"/>
      <c r="M398" s="275"/>
      <c r="S398" s="251"/>
      <c r="T398" s="6"/>
    </row>
    <row r="399" spans="8:20" ht="13.5" thickBot="1">
      <c r="H399" s="285"/>
      <c r="I399" s="6"/>
      <c r="J399" s="6"/>
      <c r="L399" s="277"/>
      <c r="M399" s="275"/>
      <c r="S399" s="251"/>
      <c r="T399" s="6"/>
    </row>
    <row r="400" spans="8:20" ht="13.5" thickBot="1">
      <c r="H400" s="285"/>
      <c r="I400" s="6"/>
      <c r="J400" s="6"/>
      <c r="L400" s="277"/>
      <c r="M400" s="275"/>
      <c r="S400" s="251"/>
      <c r="T400" s="6"/>
    </row>
    <row r="401" spans="8:20" ht="13.5" thickBot="1">
      <c r="H401" s="285"/>
      <c r="I401" s="6"/>
      <c r="J401" s="6"/>
      <c r="L401" s="277"/>
      <c r="M401" s="275"/>
      <c r="S401" s="251"/>
      <c r="T401" s="6"/>
    </row>
    <row r="402" spans="8:20" ht="13.5" thickBot="1">
      <c r="H402" s="285"/>
      <c r="I402" s="6"/>
      <c r="J402" s="6"/>
      <c r="L402" s="277"/>
      <c r="M402" s="275"/>
      <c r="S402" s="251"/>
      <c r="T402" s="6"/>
    </row>
    <row r="403" spans="8:20" ht="13.5" thickBot="1">
      <c r="H403" s="285"/>
      <c r="I403" s="6"/>
      <c r="J403" s="6"/>
      <c r="L403" s="277"/>
      <c r="M403" s="275"/>
      <c r="S403" s="251"/>
      <c r="T403" s="6"/>
    </row>
    <row r="404" spans="8:20" ht="13.5" thickBot="1">
      <c r="H404" s="285"/>
      <c r="I404" s="6"/>
      <c r="J404" s="6"/>
      <c r="L404" s="277"/>
      <c r="M404" s="275"/>
      <c r="S404" s="251"/>
      <c r="T404" s="6"/>
    </row>
    <row r="405" spans="8:20" ht="13.5" thickBot="1">
      <c r="H405" s="285"/>
      <c r="I405" s="6"/>
      <c r="J405" s="6"/>
      <c r="L405" s="277"/>
      <c r="M405" s="275"/>
      <c r="S405" s="251"/>
      <c r="T405" s="6"/>
    </row>
    <row r="406" spans="8:20" ht="13.5" thickBot="1">
      <c r="H406" s="285"/>
      <c r="I406" s="6"/>
      <c r="J406" s="6"/>
      <c r="L406" s="277"/>
      <c r="M406" s="275"/>
      <c r="S406" s="251"/>
      <c r="T406" s="6"/>
    </row>
    <row r="407" spans="8:20" ht="13.5" thickBot="1">
      <c r="H407" s="285"/>
      <c r="I407" s="6"/>
      <c r="J407" s="6"/>
      <c r="L407" s="277"/>
      <c r="M407" s="275"/>
      <c r="S407" s="251"/>
      <c r="T407" s="6"/>
    </row>
    <row r="408" spans="8:20" ht="13.5" thickBot="1">
      <c r="H408" s="285"/>
      <c r="I408" s="6"/>
      <c r="J408" s="6"/>
      <c r="L408" s="277"/>
      <c r="M408" s="275"/>
      <c r="S408" s="251"/>
      <c r="T408" s="6"/>
    </row>
    <row r="409" spans="8:20" ht="13.5" thickBot="1">
      <c r="H409" s="285"/>
      <c r="I409" s="6"/>
      <c r="J409" s="6"/>
      <c r="L409" s="277"/>
      <c r="M409" s="275"/>
      <c r="S409" s="251"/>
      <c r="T409" s="6"/>
    </row>
    <row r="410" spans="8:20" ht="13.5" thickBot="1">
      <c r="H410" s="285"/>
      <c r="I410" s="6"/>
      <c r="J410" s="6"/>
      <c r="L410" s="277"/>
      <c r="M410" s="275"/>
      <c r="S410" s="251"/>
      <c r="T410" s="6"/>
    </row>
    <row r="411" spans="8:20" ht="13.5" thickBot="1">
      <c r="H411" s="285"/>
      <c r="I411" s="6"/>
      <c r="J411" s="6"/>
      <c r="L411" s="277"/>
      <c r="M411" s="275"/>
      <c r="S411" s="251"/>
      <c r="T411" s="6"/>
    </row>
    <row r="412" spans="8:20" ht="13.5" thickBot="1">
      <c r="H412" s="285"/>
      <c r="I412" s="6"/>
      <c r="J412" s="6"/>
      <c r="L412" s="277"/>
      <c r="M412" s="275"/>
      <c r="S412" s="251"/>
      <c r="T412" s="6"/>
    </row>
    <row r="413" spans="8:20" ht="13.5" thickBot="1">
      <c r="H413" s="285"/>
      <c r="I413" s="6"/>
      <c r="J413" s="6"/>
      <c r="L413" s="277"/>
      <c r="M413" s="275"/>
      <c r="S413" s="251"/>
      <c r="T413" s="6"/>
    </row>
    <row r="414" spans="8:20" ht="13.5" thickBot="1">
      <c r="H414" s="285"/>
      <c r="I414" s="6"/>
      <c r="J414" s="6"/>
      <c r="L414" s="277"/>
      <c r="M414" s="275"/>
      <c r="S414" s="251"/>
      <c r="T414" s="6"/>
    </row>
    <row r="415" spans="8:20" ht="13.5" thickBot="1">
      <c r="H415" s="285"/>
      <c r="I415" s="6"/>
      <c r="J415" s="6"/>
      <c r="L415" s="277"/>
      <c r="M415" s="275"/>
      <c r="S415" s="251"/>
      <c r="T415" s="6"/>
    </row>
    <row r="416" spans="8:20" ht="13.5" thickBot="1">
      <c r="H416" s="285"/>
      <c r="I416" s="6"/>
      <c r="J416" s="6"/>
      <c r="L416" s="277"/>
      <c r="M416" s="275"/>
      <c r="S416" s="251"/>
      <c r="T416" s="6"/>
    </row>
    <row r="417" spans="8:20" ht="13.5" thickBot="1">
      <c r="H417" s="285"/>
      <c r="I417" s="6"/>
      <c r="J417" s="6"/>
      <c r="L417" s="277"/>
      <c r="M417" s="275"/>
      <c r="S417" s="251"/>
      <c r="T417" s="6"/>
    </row>
    <row r="418" spans="8:20" ht="13.5" thickBot="1">
      <c r="H418" s="285"/>
      <c r="I418" s="6"/>
      <c r="J418" s="6"/>
      <c r="L418" s="277"/>
      <c r="M418" s="275"/>
      <c r="S418" s="251"/>
      <c r="T418" s="6"/>
    </row>
    <row r="419" spans="8:20" ht="13.5" thickBot="1">
      <c r="H419" s="285"/>
      <c r="I419" s="6"/>
      <c r="J419" s="6"/>
      <c r="L419" s="277"/>
      <c r="M419" s="275"/>
      <c r="S419" s="251"/>
      <c r="T419" s="6"/>
    </row>
    <row r="420" spans="8:20" ht="13.5" thickBot="1">
      <c r="H420" s="285"/>
      <c r="I420" s="6"/>
      <c r="J420" s="6"/>
      <c r="L420" s="277"/>
      <c r="M420" s="275"/>
      <c r="S420" s="251"/>
      <c r="T420" s="6"/>
    </row>
    <row r="421" spans="8:20" ht="13.5" thickBot="1">
      <c r="H421" s="285"/>
      <c r="I421" s="6"/>
      <c r="J421" s="6"/>
      <c r="L421" s="277"/>
      <c r="M421" s="275"/>
      <c r="S421" s="251"/>
      <c r="T421" s="6"/>
    </row>
    <row r="422" spans="8:20" ht="13.5" thickBot="1">
      <c r="H422" s="285"/>
      <c r="I422" s="6"/>
      <c r="J422" s="6"/>
      <c r="L422" s="277"/>
      <c r="M422" s="275"/>
      <c r="S422" s="251"/>
      <c r="T422" s="6"/>
    </row>
    <row r="423" spans="8:20" ht="13.5" thickBot="1">
      <c r="H423" s="285"/>
      <c r="I423" s="6"/>
      <c r="J423" s="6"/>
      <c r="L423" s="277"/>
      <c r="M423" s="275"/>
      <c r="S423" s="251"/>
      <c r="T423" s="6"/>
    </row>
    <row r="424" spans="8:20" ht="13.5" thickBot="1">
      <c r="H424" s="285"/>
      <c r="I424" s="6"/>
      <c r="J424" s="6"/>
      <c r="L424" s="277"/>
      <c r="M424" s="275"/>
      <c r="S424" s="251"/>
      <c r="T424" s="6"/>
    </row>
    <row r="425" spans="8:20" ht="13.5" thickBot="1">
      <c r="H425" s="285"/>
      <c r="I425" s="6"/>
      <c r="J425" s="6"/>
      <c r="L425" s="277"/>
      <c r="M425" s="275"/>
      <c r="S425" s="251"/>
      <c r="T425" s="6"/>
    </row>
    <row r="426" spans="8:20" ht="13.5" thickBot="1">
      <c r="H426" s="285"/>
      <c r="I426" s="6"/>
      <c r="J426" s="6"/>
      <c r="L426" s="277"/>
      <c r="M426" s="275"/>
      <c r="S426" s="251"/>
      <c r="T426" s="6"/>
    </row>
    <row r="427" spans="8:20" ht="13.5" thickBot="1">
      <c r="H427" s="285"/>
      <c r="I427" s="6"/>
      <c r="J427" s="6"/>
      <c r="L427" s="277"/>
      <c r="M427" s="275"/>
      <c r="S427" s="251"/>
      <c r="T427" s="6"/>
    </row>
    <row r="428" spans="8:20" ht="13.5" thickBot="1">
      <c r="H428" s="285"/>
      <c r="I428" s="6"/>
      <c r="J428" s="6"/>
      <c r="L428" s="277"/>
      <c r="M428" s="275"/>
      <c r="S428" s="251"/>
      <c r="T428" s="6"/>
    </row>
    <row r="429" spans="8:20" ht="13.5" thickBot="1">
      <c r="H429" s="285"/>
      <c r="I429" s="6"/>
      <c r="J429" s="6"/>
      <c r="L429" s="277"/>
      <c r="M429" s="275"/>
      <c r="S429" s="251"/>
      <c r="T429" s="6"/>
    </row>
    <row r="430" spans="8:20" ht="13.5" thickBot="1">
      <c r="H430" s="285"/>
      <c r="I430" s="6"/>
      <c r="J430" s="6"/>
      <c r="L430" s="277"/>
      <c r="M430" s="275"/>
      <c r="S430" s="251"/>
      <c r="T430" s="6"/>
    </row>
    <row r="431" spans="8:20" ht="13.5" thickBot="1">
      <c r="H431" s="285"/>
      <c r="I431" s="6"/>
      <c r="J431" s="6"/>
      <c r="L431" s="277"/>
      <c r="M431" s="275"/>
      <c r="S431" s="251"/>
      <c r="T431" s="6"/>
    </row>
    <row r="432" spans="8:20" ht="13.5" thickBot="1">
      <c r="H432" s="285"/>
      <c r="I432" s="6"/>
      <c r="J432" s="6"/>
      <c r="L432" s="277"/>
      <c r="M432" s="275"/>
      <c r="S432" s="251"/>
      <c r="T432" s="6"/>
    </row>
    <row r="433" spans="8:20" ht="13.5" thickBot="1">
      <c r="H433" s="285"/>
      <c r="I433" s="6"/>
      <c r="J433" s="6"/>
      <c r="L433" s="277"/>
      <c r="M433" s="275"/>
      <c r="S433" s="251"/>
      <c r="T433" s="6"/>
    </row>
    <row r="434" spans="8:20" ht="13.5" thickBot="1">
      <c r="H434" s="285"/>
      <c r="I434" s="6"/>
      <c r="J434" s="6"/>
      <c r="L434" s="277"/>
      <c r="M434" s="275"/>
      <c r="S434" s="251"/>
      <c r="T434" s="6"/>
    </row>
    <row r="435" spans="8:20" ht="13.5" thickBot="1">
      <c r="H435" s="285"/>
      <c r="I435" s="6"/>
      <c r="J435" s="6"/>
      <c r="L435" s="277"/>
      <c r="M435" s="275"/>
      <c r="S435" s="251"/>
      <c r="T435" s="6"/>
    </row>
    <row r="436" spans="8:20" ht="13.5" thickBot="1">
      <c r="H436" s="285"/>
      <c r="I436" s="6"/>
      <c r="J436" s="6"/>
      <c r="L436" s="277"/>
      <c r="M436" s="275"/>
      <c r="S436" s="251"/>
      <c r="T436" s="6"/>
    </row>
    <row r="437" spans="8:20" ht="13.5" thickBot="1">
      <c r="H437" s="285"/>
      <c r="I437" s="6"/>
      <c r="J437" s="6"/>
      <c r="L437" s="277"/>
      <c r="M437" s="275"/>
      <c r="S437" s="251"/>
      <c r="T437" s="6"/>
    </row>
    <row r="438" spans="8:20" ht="13.5" thickBot="1">
      <c r="H438" s="285"/>
      <c r="I438" s="6"/>
      <c r="J438" s="6"/>
      <c r="L438" s="277"/>
      <c r="M438" s="275"/>
      <c r="S438" s="251"/>
      <c r="T438" s="6"/>
    </row>
    <row r="439" spans="8:20" ht="13.5" thickBot="1">
      <c r="H439" s="285"/>
      <c r="I439" s="6"/>
      <c r="J439" s="6"/>
      <c r="L439" s="277"/>
      <c r="M439" s="275"/>
      <c r="S439" s="251"/>
      <c r="T439" s="6"/>
    </row>
    <row r="440" spans="8:20" ht="13.5" thickBot="1">
      <c r="H440" s="285"/>
      <c r="I440" s="6"/>
      <c r="J440" s="6"/>
      <c r="L440" s="277"/>
      <c r="M440" s="275"/>
      <c r="S440" s="251"/>
      <c r="T440" s="6"/>
    </row>
    <row r="441" spans="8:20" ht="13.5" thickBot="1">
      <c r="H441" s="285"/>
      <c r="I441" s="6"/>
      <c r="J441" s="6"/>
      <c r="L441" s="277"/>
      <c r="M441" s="275"/>
      <c r="S441" s="251"/>
      <c r="T441" s="6"/>
    </row>
    <row r="442" spans="8:20" ht="13.5" thickBot="1">
      <c r="H442" s="285"/>
      <c r="I442" s="6"/>
      <c r="J442" s="6"/>
      <c r="L442" s="277"/>
      <c r="M442" s="275"/>
      <c r="S442" s="251"/>
      <c r="T442" s="6"/>
    </row>
    <row r="443" spans="8:20" ht="13.5" thickBot="1">
      <c r="H443" s="285"/>
      <c r="I443" s="6"/>
      <c r="J443" s="6"/>
      <c r="L443" s="277"/>
      <c r="M443" s="275"/>
      <c r="S443" s="251"/>
      <c r="T443" s="6"/>
    </row>
    <row r="444" spans="8:20" ht="13.5" thickBot="1">
      <c r="H444" s="285"/>
      <c r="I444" s="6"/>
      <c r="J444" s="6"/>
      <c r="L444" s="277"/>
      <c r="M444" s="275"/>
      <c r="S444" s="251"/>
      <c r="T444" s="6"/>
    </row>
    <row r="445" spans="8:20" ht="13.5" thickBot="1">
      <c r="H445" s="285"/>
      <c r="I445" s="6"/>
      <c r="J445" s="6"/>
      <c r="L445" s="277"/>
      <c r="M445" s="275"/>
      <c r="S445" s="251"/>
      <c r="T445" s="6"/>
    </row>
    <row r="446" spans="8:20" ht="13.5" thickBot="1">
      <c r="H446" s="285"/>
      <c r="I446" s="6"/>
      <c r="J446" s="6"/>
      <c r="L446" s="277"/>
      <c r="M446" s="275"/>
      <c r="S446" s="251"/>
      <c r="T446" s="6"/>
    </row>
    <row r="447" spans="8:20" ht="13.5" thickBot="1">
      <c r="H447" s="285"/>
      <c r="I447" s="6"/>
      <c r="J447" s="6"/>
      <c r="L447" s="277"/>
      <c r="M447" s="275"/>
      <c r="S447" s="251"/>
      <c r="T447" s="6"/>
    </row>
    <row r="448" spans="8:20" ht="13.5" thickBot="1">
      <c r="H448" s="285"/>
      <c r="I448" s="6"/>
      <c r="J448" s="6"/>
      <c r="L448" s="277"/>
      <c r="M448" s="275"/>
      <c r="S448" s="251"/>
      <c r="T448" s="6"/>
    </row>
    <row r="449" spans="8:20" ht="13.5" thickBot="1">
      <c r="H449" s="285"/>
      <c r="I449" s="6"/>
      <c r="J449" s="6"/>
      <c r="L449" s="277"/>
      <c r="M449" s="275"/>
      <c r="S449" s="251"/>
      <c r="T449" s="6"/>
    </row>
    <row r="450" spans="8:20" ht="13.5" thickBot="1">
      <c r="H450" s="285"/>
      <c r="I450" s="6"/>
      <c r="J450" s="6"/>
      <c r="L450" s="277"/>
      <c r="M450" s="275"/>
      <c r="S450" s="251"/>
      <c r="T450" s="6"/>
    </row>
    <row r="451" spans="8:20" ht="13.5" thickBot="1">
      <c r="H451" s="285"/>
      <c r="I451" s="6"/>
      <c r="J451" s="6"/>
      <c r="L451" s="277"/>
      <c r="M451" s="275"/>
      <c r="S451" s="251"/>
      <c r="T451" s="6"/>
    </row>
    <row r="452" spans="8:20" ht="13.5" thickBot="1">
      <c r="H452" s="285"/>
      <c r="I452" s="6"/>
      <c r="J452" s="6"/>
      <c r="L452" s="277"/>
      <c r="M452" s="275"/>
      <c r="S452" s="251"/>
      <c r="T452" s="6"/>
    </row>
    <row r="453" spans="8:20" ht="13.5" thickBot="1">
      <c r="H453" s="285"/>
      <c r="I453" s="6"/>
      <c r="J453" s="6"/>
      <c r="L453" s="277"/>
      <c r="M453" s="275"/>
      <c r="S453" s="251"/>
      <c r="T453" s="6"/>
    </row>
    <row r="454" spans="8:20" ht="13.5" thickBot="1">
      <c r="H454" s="285"/>
      <c r="I454" s="6"/>
      <c r="J454" s="6"/>
      <c r="L454" s="277"/>
      <c r="M454" s="275"/>
      <c r="S454" s="251"/>
      <c r="T454" s="6"/>
    </row>
    <row r="455" spans="8:20" ht="13.5" thickBot="1">
      <c r="H455" s="285"/>
      <c r="I455" s="6"/>
      <c r="J455" s="6"/>
      <c r="L455" s="277"/>
      <c r="M455" s="275"/>
      <c r="S455" s="251"/>
      <c r="T455" s="6"/>
    </row>
    <row r="456" spans="8:20" ht="13.5" thickBot="1">
      <c r="H456" s="285"/>
      <c r="I456" s="6"/>
      <c r="J456" s="6"/>
      <c r="L456" s="277"/>
      <c r="M456" s="275"/>
      <c r="S456" s="251"/>
      <c r="T456" s="6"/>
    </row>
    <row r="457" spans="8:20" ht="13.5" thickBot="1">
      <c r="H457" s="285"/>
      <c r="I457" s="6"/>
      <c r="J457" s="6"/>
      <c r="L457" s="277"/>
      <c r="M457" s="275"/>
      <c r="S457" s="251"/>
      <c r="T457" s="6"/>
    </row>
    <row r="458" spans="8:20" ht="13.5" thickBot="1">
      <c r="H458" s="285"/>
      <c r="I458" s="6"/>
      <c r="J458" s="6"/>
      <c r="L458" s="277"/>
      <c r="M458" s="275"/>
      <c r="S458" s="251"/>
      <c r="T458" s="6"/>
    </row>
    <row r="459" spans="8:20" ht="13.5" thickBot="1">
      <c r="H459" s="285"/>
      <c r="I459" s="6"/>
      <c r="J459" s="6"/>
      <c r="L459" s="277"/>
      <c r="M459" s="275"/>
      <c r="S459" s="251"/>
      <c r="T459" s="6"/>
    </row>
    <row r="460" spans="8:20" ht="13.5" thickBot="1">
      <c r="H460" s="285"/>
      <c r="I460" s="6"/>
      <c r="J460" s="6"/>
      <c r="L460" s="277"/>
      <c r="M460" s="275"/>
      <c r="S460" s="251"/>
      <c r="T460" s="6"/>
    </row>
    <row r="461" spans="8:20" ht="13.5" thickBot="1">
      <c r="H461" s="285"/>
      <c r="I461" s="6"/>
      <c r="J461" s="6"/>
      <c r="L461" s="277"/>
      <c r="M461" s="275"/>
      <c r="S461" s="251"/>
      <c r="T461" s="6"/>
    </row>
    <row r="462" spans="8:20" ht="13.5" thickBot="1">
      <c r="H462" s="285"/>
      <c r="I462" s="6"/>
      <c r="J462" s="6"/>
      <c r="L462" s="277"/>
      <c r="M462" s="275"/>
      <c r="S462" s="251"/>
      <c r="T462" s="6"/>
    </row>
    <row r="463" spans="8:20" ht="13.5" thickBot="1">
      <c r="H463" s="285"/>
      <c r="I463" s="6"/>
      <c r="J463" s="6"/>
      <c r="L463" s="277"/>
      <c r="M463" s="275"/>
      <c r="S463" s="251"/>
      <c r="T463" s="6"/>
    </row>
    <row r="464" spans="8:20" ht="13.5" thickBot="1">
      <c r="H464" s="285"/>
      <c r="I464" s="6"/>
      <c r="J464" s="6"/>
      <c r="L464" s="277"/>
      <c r="M464" s="275"/>
      <c r="S464" s="251"/>
      <c r="T464" s="6"/>
    </row>
    <row r="465" spans="8:20" ht="13.5" thickBot="1">
      <c r="H465" s="285"/>
      <c r="I465" s="6"/>
      <c r="J465" s="6"/>
      <c r="L465" s="277"/>
      <c r="M465" s="275"/>
      <c r="S465" s="251"/>
      <c r="T465" s="6"/>
    </row>
    <row r="466" spans="8:20" ht="13.5" thickBot="1">
      <c r="H466" s="285"/>
      <c r="I466" s="6"/>
      <c r="J466" s="6"/>
      <c r="L466" s="277"/>
      <c r="M466" s="275"/>
      <c r="S466" s="251"/>
      <c r="T466" s="6"/>
    </row>
    <row r="467" spans="8:20" ht="13.5" thickBot="1">
      <c r="H467" s="285"/>
      <c r="I467" s="6"/>
      <c r="J467" s="6"/>
      <c r="L467" s="277"/>
      <c r="M467" s="275"/>
      <c r="S467" s="251"/>
      <c r="T467" s="6"/>
    </row>
    <row r="468" spans="8:20" ht="13.5" thickBot="1">
      <c r="H468" s="285"/>
      <c r="I468" s="6"/>
      <c r="J468" s="6"/>
      <c r="L468" s="277"/>
      <c r="M468" s="275"/>
      <c r="S468" s="251"/>
      <c r="T468" s="6"/>
    </row>
    <row r="469" spans="8:20" ht="13.5" thickBot="1">
      <c r="H469" s="285"/>
      <c r="I469" s="6"/>
      <c r="J469" s="6"/>
      <c r="L469" s="277"/>
      <c r="M469" s="275"/>
      <c r="S469" s="251"/>
      <c r="T469" s="6"/>
    </row>
    <row r="470" spans="8:20" ht="13.5" thickBot="1">
      <c r="H470" s="285"/>
      <c r="I470" s="6"/>
      <c r="J470" s="6"/>
      <c r="L470" s="277"/>
      <c r="M470" s="275"/>
      <c r="S470" s="251"/>
      <c r="T470" s="6"/>
    </row>
    <row r="471" spans="8:20" ht="13.5" thickBot="1">
      <c r="H471" s="285"/>
      <c r="I471" s="6"/>
      <c r="J471" s="6"/>
      <c r="L471" s="277"/>
      <c r="M471" s="275"/>
      <c r="S471" s="251"/>
      <c r="T471" s="6"/>
    </row>
    <row r="472" spans="8:20" ht="13.5" thickBot="1">
      <c r="H472" s="285"/>
      <c r="I472" s="6"/>
      <c r="J472" s="6"/>
      <c r="L472" s="277"/>
      <c r="M472" s="275"/>
      <c r="S472" s="251"/>
      <c r="T472" s="6"/>
    </row>
    <row r="473" spans="8:20" ht="13.5" thickBot="1">
      <c r="H473" s="285"/>
      <c r="I473" s="6"/>
      <c r="J473" s="6"/>
      <c r="L473" s="277"/>
      <c r="M473" s="275"/>
      <c r="S473" s="251"/>
      <c r="T473" s="6"/>
    </row>
    <row r="474" spans="8:20" ht="13.5" thickBot="1">
      <c r="H474" s="285"/>
      <c r="I474" s="6"/>
      <c r="J474" s="6"/>
      <c r="L474" s="277"/>
      <c r="M474" s="275"/>
      <c r="S474" s="251"/>
      <c r="T474" s="6"/>
    </row>
    <row r="475" spans="8:20" ht="13.5" thickBot="1">
      <c r="H475" s="285"/>
      <c r="I475" s="6"/>
      <c r="J475" s="6"/>
      <c r="L475" s="277"/>
      <c r="M475" s="275"/>
      <c r="S475" s="251"/>
      <c r="T475" s="6"/>
    </row>
    <row r="476" spans="8:20" ht="13.5" thickBot="1">
      <c r="H476" s="285"/>
      <c r="I476" s="6"/>
      <c r="J476" s="6"/>
      <c r="L476" s="277"/>
      <c r="M476" s="275"/>
      <c r="S476" s="251"/>
      <c r="T476" s="6"/>
    </row>
    <row r="477" spans="8:20" ht="13.5" thickBot="1">
      <c r="H477" s="285"/>
      <c r="I477" s="6"/>
      <c r="J477" s="6"/>
      <c r="L477" s="277"/>
      <c r="M477" s="275"/>
      <c r="S477" s="251"/>
      <c r="T477" s="6"/>
    </row>
    <row r="478" spans="8:20" ht="13.5" thickBot="1">
      <c r="H478" s="285"/>
      <c r="I478" s="6"/>
      <c r="J478" s="6"/>
      <c r="L478" s="277"/>
      <c r="M478" s="275"/>
      <c r="S478" s="251"/>
      <c r="T478" s="6"/>
    </row>
    <row r="479" spans="8:20" ht="13.5" thickBot="1">
      <c r="H479" s="285"/>
      <c r="I479" s="6"/>
      <c r="J479" s="6"/>
      <c r="L479" s="277"/>
      <c r="M479" s="275"/>
      <c r="S479" s="251"/>
      <c r="T479" s="6"/>
    </row>
    <row r="480" spans="8:20" ht="13.5" thickBot="1">
      <c r="H480" s="285"/>
      <c r="I480" s="6"/>
      <c r="J480" s="6"/>
      <c r="L480" s="277"/>
      <c r="M480" s="275"/>
      <c r="S480" s="251"/>
      <c r="T480" s="6"/>
    </row>
    <row r="481" spans="8:20" ht="13.5" thickBot="1">
      <c r="H481" s="285"/>
      <c r="I481" s="6"/>
      <c r="J481" s="6"/>
      <c r="L481" s="277"/>
      <c r="M481" s="275"/>
      <c r="S481" s="251"/>
      <c r="T481" s="6"/>
    </row>
    <row r="482" spans="8:20" ht="13.5" thickBot="1">
      <c r="H482" s="285"/>
      <c r="I482" s="6"/>
      <c r="J482" s="6"/>
      <c r="L482" s="277"/>
      <c r="M482" s="275"/>
      <c r="S482" s="251"/>
      <c r="T482" s="6"/>
    </row>
    <row r="483" spans="8:20" ht="13.5" thickBot="1">
      <c r="H483" s="285"/>
      <c r="I483" s="6"/>
      <c r="J483" s="6"/>
      <c r="L483" s="277"/>
      <c r="M483" s="275"/>
      <c r="S483" s="251"/>
      <c r="T483" s="6"/>
    </row>
    <row r="484" spans="8:20" ht="13.5" thickBot="1">
      <c r="H484" s="285"/>
      <c r="I484" s="6"/>
      <c r="J484" s="6"/>
      <c r="L484" s="277"/>
      <c r="M484" s="275"/>
      <c r="S484" s="251"/>
      <c r="T484" s="6"/>
    </row>
    <row r="485" spans="8:20" ht="13.5" thickBot="1">
      <c r="H485" s="285"/>
      <c r="I485" s="6"/>
      <c r="J485" s="6"/>
      <c r="L485" s="277"/>
      <c r="M485" s="275"/>
      <c r="S485" s="251"/>
      <c r="T485" s="6"/>
    </row>
    <row r="486" spans="8:20" ht="13.5" thickBot="1">
      <c r="H486" s="285"/>
      <c r="I486" s="6"/>
      <c r="J486" s="6"/>
      <c r="L486" s="277"/>
      <c r="M486" s="275"/>
      <c r="S486" s="251"/>
      <c r="T486" s="6"/>
    </row>
    <row r="487" spans="8:20" ht="13.5" thickBot="1">
      <c r="H487" s="285"/>
      <c r="I487" s="6"/>
      <c r="J487" s="6"/>
      <c r="L487" s="277"/>
      <c r="M487" s="275"/>
      <c r="S487" s="251"/>
      <c r="T487" s="6"/>
    </row>
    <row r="488" spans="8:20" ht="13.5" thickBot="1">
      <c r="H488" s="285"/>
      <c r="I488" s="6"/>
      <c r="J488" s="6"/>
      <c r="L488" s="277"/>
      <c r="M488" s="275"/>
      <c r="S488" s="251"/>
      <c r="T488" s="6"/>
    </row>
    <row r="489" spans="8:20" ht="13.5" thickBot="1">
      <c r="H489" s="285"/>
      <c r="I489" s="6"/>
      <c r="J489" s="6"/>
      <c r="L489" s="277"/>
      <c r="M489" s="275"/>
      <c r="S489" s="251"/>
      <c r="T489" s="6"/>
    </row>
    <row r="490" spans="8:20" ht="13.5" thickBot="1">
      <c r="H490" s="285"/>
      <c r="I490" s="6"/>
      <c r="J490" s="6"/>
      <c r="L490" s="277"/>
      <c r="M490" s="275"/>
      <c r="S490" s="251"/>
      <c r="T490" s="6"/>
    </row>
    <row r="491" spans="8:20" ht="13.5" thickBot="1">
      <c r="H491" s="285"/>
      <c r="I491" s="6"/>
      <c r="J491" s="6"/>
      <c r="L491" s="277"/>
      <c r="M491" s="275"/>
      <c r="S491" s="251"/>
      <c r="T491" s="6"/>
    </row>
    <row r="492" spans="8:20" ht="13.5" thickBot="1">
      <c r="H492" s="285"/>
      <c r="I492" s="6"/>
      <c r="J492" s="6"/>
      <c r="L492" s="277"/>
      <c r="M492" s="275"/>
      <c r="S492" s="251"/>
      <c r="T492" s="6"/>
    </row>
    <row r="493" spans="8:20" ht="13.5" thickBot="1">
      <c r="H493" s="285"/>
      <c r="I493" s="6"/>
      <c r="J493" s="6"/>
      <c r="L493" s="277"/>
      <c r="M493" s="275"/>
      <c r="S493" s="251"/>
      <c r="T493" s="6"/>
    </row>
    <row r="494" spans="8:20" ht="13.5" thickBot="1">
      <c r="H494" s="285"/>
      <c r="I494" s="6"/>
      <c r="J494" s="6"/>
      <c r="L494" s="277"/>
      <c r="M494" s="275"/>
      <c r="S494" s="251"/>
      <c r="T494" s="6"/>
    </row>
    <row r="495" spans="8:20" ht="13.5" thickBot="1">
      <c r="H495" s="285"/>
      <c r="I495" s="6"/>
      <c r="J495" s="6"/>
      <c r="L495" s="277"/>
      <c r="M495" s="275"/>
      <c r="S495" s="251"/>
      <c r="T495" s="6"/>
    </row>
    <row r="496" spans="8:20" ht="13.5" thickBot="1">
      <c r="H496" s="285"/>
      <c r="I496" s="6"/>
      <c r="J496" s="6"/>
      <c r="L496" s="277"/>
      <c r="M496" s="275"/>
      <c r="S496" s="251"/>
      <c r="T496" s="6"/>
    </row>
    <row r="497" spans="8:20" ht="13.5" thickBot="1">
      <c r="H497" s="285"/>
      <c r="I497" s="6"/>
      <c r="J497" s="6"/>
      <c r="L497" s="277"/>
      <c r="M497" s="275"/>
      <c r="S497" s="251"/>
      <c r="T497" s="6"/>
    </row>
    <row r="498" spans="8:20" ht="13.5" thickBot="1">
      <c r="H498" s="285"/>
      <c r="I498" s="6"/>
      <c r="J498" s="6"/>
      <c r="L498" s="277"/>
      <c r="M498" s="275"/>
      <c r="S498" s="251"/>
      <c r="T498" s="6"/>
    </row>
    <row r="499" spans="8:20" ht="13.5" thickBot="1">
      <c r="H499" s="285"/>
      <c r="I499" s="6"/>
      <c r="J499" s="6"/>
      <c r="L499" s="277"/>
      <c r="M499" s="275"/>
      <c r="S499" s="251"/>
      <c r="T499" s="6"/>
    </row>
    <row r="500" spans="8:20" ht="13.5" thickBot="1">
      <c r="H500" s="285"/>
      <c r="I500" s="6"/>
      <c r="J500" s="6"/>
      <c r="L500" s="277"/>
      <c r="M500" s="275"/>
      <c r="S500" s="251"/>
      <c r="T500" s="6"/>
    </row>
    <row r="501" spans="8:20" ht="13.5" thickBot="1">
      <c r="H501" s="285"/>
      <c r="I501" s="6"/>
      <c r="J501" s="6"/>
      <c r="L501" s="277"/>
      <c r="M501" s="275"/>
      <c r="S501" s="251"/>
      <c r="T501" s="6"/>
    </row>
    <row r="502" spans="8:20" ht="13.5" thickBot="1">
      <c r="H502" s="285"/>
      <c r="I502" s="6"/>
      <c r="J502" s="6"/>
      <c r="L502" s="277"/>
      <c r="M502" s="275"/>
      <c r="S502" s="251"/>
      <c r="T502" s="6"/>
    </row>
    <row r="503" spans="8:20" ht="13.5" thickBot="1">
      <c r="H503" s="285"/>
      <c r="I503" s="6"/>
      <c r="J503" s="6"/>
      <c r="L503" s="277"/>
      <c r="M503" s="275"/>
      <c r="S503" s="251"/>
      <c r="T503" s="6"/>
    </row>
    <row r="504" spans="8:20" ht="13.5" thickBot="1">
      <c r="H504" s="285"/>
      <c r="I504" s="6"/>
      <c r="J504" s="6"/>
      <c r="L504" s="277"/>
      <c r="M504" s="275"/>
      <c r="S504" s="251"/>
      <c r="T504" s="6"/>
    </row>
    <row r="505" spans="8:20" ht="13.5" thickBot="1">
      <c r="H505" s="285"/>
      <c r="I505" s="6"/>
      <c r="J505" s="6"/>
      <c r="L505" s="277"/>
      <c r="M505" s="275"/>
      <c r="S505" s="251"/>
      <c r="T505" s="6"/>
    </row>
    <row r="506" spans="8:20" ht="13.5" thickBot="1">
      <c r="H506" s="285"/>
      <c r="I506" s="6"/>
      <c r="J506" s="6"/>
      <c r="L506" s="277"/>
      <c r="M506" s="275"/>
      <c r="S506" s="251"/>
      <c r="T506" s="6"/>
    </row>
    <row r="507" spans="8:20" ht="13.5" thickBot="1">
      <c r="H507" s="285"/>
      <c r="I507" s="6"/>
      <c r="J507" s="6"/>
      <c r="L507" s="277"/>
      <c r="M507" s="275"/>
      <c r="S507" s="251"/>
      <c r="T507" s="6"/>
    </row>
    <row r="508" spans="8:20" ht="13.5" thickBot="1">
      <c r="H508" s="285"/>
      <c r="I508" s="6"/>
      <c r="J508" s="6"/>
      <c r="L508" s="277"/>
      <c r="M508" s="275"/>
      <c r="S508" s="251"/>
      <c r="T508" s="6"/>
    </row>
    <row r="509" spans="8:20" ht="13.5" thickBot="1">
      <c r="H509" s="285"/>
      <c r="I509" s="6"/>
      <c r="J509" s="6"/>
      <c r="L509" s="277"/>
      <c r="M509" s="275"/>
      <c r="S509" s="251"/>
      <c r="T509" s="6"/>
    </row>
    <row r="510" spans="8:20" ht="13.5" thickBot="1">
      <c r="H510" s="285"/>
      <c r="I510" s="6"/>
      <c r="J510" s="6"/>
      <c r="L510" s="277"/>
      <c r="M510" s="275"/>
      <c r="S510" s="251"/>
      <c r="T510" s="6"/>
    </row>
    <row r="511" spans="8:20" ht="13.5" thickBot="1">
      <c r="H511" s="285"/>
      <c r="I511" s="6"/>
      <c r="J511" s="6"/>
      <c r="L511" s="277"/>
      <c r="M511" s="275"/>
      <c r="P511" s="251"/>
      <c r="Q511" s="6"/>
      <c r="S511" s="251"/>
      <c r="T511" s="6"/>
    </row>
    <row r="512" spans="8:20" ht="13.5" thickBot="1">
      <c r="H512" s="285"/>
      <c r="I512" s="6"/>
      <c r="J512" s="6"/>
      <c r="L512" s="277"/>
      <c r="M512" s="275"/>
      <c r="P512" s="251"/>
      <c r="Q512" s="6"/>
      <c r="S512" s="251"/>
      <c r="T512" s="6"/>
    </row>
    <row r="513" spans="8:20" ht="13.5" thickBot="1">
      <c r="H513" s="285"/>
      <c r="I513" s="6"/>
      <c r="J513" s="6"/>
      <c r="L513" s="277"/>
      <c r="M513" s="275"/>
      <c r="P513" s="251"/>
      <c r="Q513" s="6"/>
      <c r="S513" s="251"/>
      <c r="T513" s="6"/>
    </row>
    <row r="514" spans="8:20" ht="13.5" thickBot="1">
      <c r="H514" s="285"/>
      <c r="I514" s="6"/>
      <c r="J514" s="6"/>
      <c r="L514" s="277"/>
      <c r="M514" s="275"/>
      <c r="P514" s="251"/>
      <c r="Q514" s="6"/>
      <c r="S514" s="251"/>
      <c r="T514" s="6"/>
    </row>
    <row r="515" spans="8:20" ht="13.5" thickBot="1">
      <c r="H515" s="285"/>
      <c r="I515" s="6"/>
      <c r="J515" s="6"/>
      <c r="L515" s="277"/>
      <c r="M515" s="275"/>
      <c r="P515" s="251"/>
      <c r="Q515" s="6"/>
      <c r="S515" s="251"/>
      <c r="T515" s="6"/>
    </row>
    <row r="516" spans="8:20" ht="13.5" thickBot="1">
      <c r="H516" s="285"/>
      <c r="I516" s="6"/>
      <c r="J516" s="6"/>
      <c r="L516" s="277"/>
      <c r="M516" s="275"/>
      <c r="P516" s="251"/>
      <c r="Q516" s="6"/>
      <c r="S516" s="251"/>
      <c r="T516" s="6"/>
    </row>
    <row r="517" spans="8:20" ht="13.5" thickBot="1">
      <c r="H517" s="285"/>
      <c r="I517" s="6"/>
      <c r="J517" s="6"/>
      <c r="L517" s="277"/>
      <c r="M517" s="275"/>
      <c r="P517" s="251"/>
      <c r="Q517" s="6"/>
      <c r="S517" s="251"/>
      <c r="T517" s="6"/>
    </row>
    <row r="518" spans="8:20" ht="13.5" thickBot="1">
      <c r="H518" s="285"/>
      <c r="I518" s="6"/>
      <c r="J518" s="6"/>
      <c r="L518" s="277"/>
      <c r="M518" s="275"/>
      <c r="P518" s="251"/>
      <c r="Q518" s="6"/>
      <c r="S518" s="251"/>
      <c r="T518" s="6"/>
    </row>
    <row r="519" spans="8:20" ht="13.5" thickBot="1">
      <c r="H519" s="285"/>
      <c r="I519" s="6"/>
      <c r="J519" s="6"/>
      <c r="L519" s="277"/>
      <c r="M519" s="275"/>
      <c r="P519" s="251"/>
      <c r="Q519" s="6"/>
      <c r="S519" s="251"/>
      <c r="T519" s="6"/>
    </row>
    <row r="520" spans="8:20" ht="13.5" thickBot="1">
      <c r="H520" s="285"/>
      <c r="I520" s="6"/>
      <c r="J520" s="6"/>
      <c r="L520" s="277"/>
      <c r="M520" s="275"/>
      <c r="P520" s="251"/>
      <c r="Q520" s="6"/>
      <c r="S520" s="251"/>
      <c r="T520" s="6"/>
    </row>
    <row r="521" spans="8:20" ht="13.5" thickBot="1">
      <c r="H521" s="285"/>
      <c r="I521" s="6"/>
      <c r="J521" s="6"/>
      <c r="L521" s="277"/>
      <c r="M521" s="275"/>
      <c r="P521" s="251"/>
      <c r="Q521" s="6"/>
      <c r="S521" s="251"/>
      <c r="T521" s="6"/>
    </row>
    <row r="522" spans="8:20" ht="13.5" thickBot="1">
      <c r="H522" s="285"/>
      <c r="I522" s="6"/>
      <c r="J522" s="6"/>
      <c r="L522" s="277"/>
      <c r="M522" s="275"/>
      <c r="P522" s="251"/>
      <c r="Q522" s="6"/>
      <c r="S522" s="251"/>
      <c r="T522" s="6"/>
    </row>
    <row r="523" spans="8:20" ht="13.5" thickBot="1">
      <c r="H523" s="285"/>
      <c r="I523" s="6"/>
      <c r="J523" s="6"/>
      <c r="L523" s="277"/>
      <c r="M523" s="275"/>
      <c r="P523" s="251"/>
      <c r="Q523" s="6"/>
      <c r="S523" s="251"/>
      <c r="T523" s="6"/>
    </row>
    <row r="524" spans="8:20" ht="13.5" thickBot="1">
      <c r="H524" s="285"/>
      <c r="I524" s="6"/>
      <c r="J524" s="6"/>
      <c r="L524" s="277"/>
      <c r="M524" s="275"/>
      <c r="P524" s="251"/>
      <c r="Q524" s="6"/>
      <c r="S524" s="251"/>
      <c r="T524" s="6"/>
    </row>
    <row r="525" spans="8:20" ht="13.5" thickBot="1">
      <c r="H525" s="285"/>
      <c r="I525" s="6"/>
      <c r="J525" s="6"/>
      <c r="L525" s="277"/>
      <c r="M525" s="275"/>
      <c r="P525" s="251"/>
      <c r="Q525" s="6"/>
      <c r="S525" s="251"/>
      <c r="T525" s="6"/>
    </row>
    <row r="526" spans="8:20" ht="13.5" thickBot="1">
      <c r="H526" s="285"/>
      <c r="I526" s="6"/>
      <c r="J526" s="6"/>
      <c r="L526" s="277"/>
      <c r="M526" s="275"/>
      <c r="P526" s="251"/>
      <c r="Q526" s="6"/>
      <c r="S526" s="251"/>
      <c r="T526" s="6"/>
    </row>
    <row r="527" spans="8:20" ht="13.5" thickBot="1">
      <c r="H527" s="285"/>
      <c r="I527" s="6"/>
      <c r="J527" s="6"/>
      <c r="L527" s="277"/>
      <c r="M527" s="275"/>
      <c r="P527" s="251"/>
      <c r="Q527" s="6"/>
      <c r="S527" s="251"/>
      <c r="T527" s="6"/>
    </row>
    <row r="528" spans="8:20" ht="13.5" thickBot="1">
      <c r="H528" s="285"/>
      <c r="I528" s="6"/>
      <c r="J528" s="6"/>
      <c r="L528" s="277"/>
      <c r="M528" s="275"/>
      <c r="P528" s="251"/>
      <c r="Q528" s="6"/>
      <c r="S528" s="251"/>
      <c r="T528" s="6"/>
    </row>
    <row r="529" spans="8:20" ht="13.5" thickBot="1">
      <c r="H529" s="285"/>
      <c r="I529" s="6"/>
      <c r="J529" s="6"/>
      <c r="L529" s="277"/>
      <c r="M529" s="275"/>
      <c r="P529" s="251"/>
      <c r="Q529" s="6"/>
      <c r="S529" s="251"/>
      <c r="T529" s="6"/>
    </row>
    <row r="530" spans="8:20" ht="13.5" thickBot="1">
      <c r="H530" s="285"/>
      <c r="I530" s="6"/>
      <c r="J530" s="6"/>
      <c r="L530" s="277"/>
      <c r="M530" s="275"/>
      <c r="P530" s="251"/>
      <c r="Q530" s="6"/>
      <c r="S530" s="251"/>
      <c r="T530" s="6"/>
    </row>
    <row r="531" spans="8:20" ht="13.5" thickBot="1">
      <c r="H531" s="285"/>
      <c r="I531" s="6"/>
      <c r="J531" s="6"/>
      <c r="L531" s="277"/>
      <c r="M531" s="275"/>
      <c r="P531" s="251"/>
      <c r="Q531" s="6"/>
      <c r="S531" s="251"/>
      <c r="T531" s="6"/>
    </row>
    <row r="532" spans="8:20" ht="13.5" thickBot="1">
      <c r="H532" s="285"/>
      <c r="I532" s="6"/>
      <c r="J532" s="6"/>
      <c r="L532" s="277"/>
      <c r="M532" s="275"/>
      <c r="P532" s="251"/>
      <c r="Q532" s="6"/>
      <c r="S532" s="251"/>
      <c r="T532" s="6"/>
    </row>
    <row r="533" spans="8:20" ht="13.5" thickBot="1">
      <c r="H533" s="285"/>
      <c r="I533" s="6"/>
      <c r="J533" s="6"/>
      <c r="L533" s="277"/>
      <c r="M533" s="275"/>
      <c r="P533" s="251"/>
      <c r="Q533" s="6"/>
      <c r="S533" s="251"/>
      <c r="T533" s="6"/>
    </row>
    <row r="534" spans="8:20" ht="13.5" thickBot="1">
      <c r="H534" s="285"/>
      <c r="I534" s="6"/>
      <c r="J534" s="6"/>
      <c r="L534" s="277"/>
      <c r="M534" s="275"/>
      <c r="P534" s="251"/>
      <c r="Q534" s="6"/>
      <c r="S534" s="251"/>
      <c r="T534" s="6"/>
    </row>
    <row r="535" spans="8:20" ht="13.5" thickBot="1">
      <c r="H535" s="285"/>
      <c r="I535" s="6"/>
      <c r="J535" s="6"/>
      <c r="L535" s="277"/>
      <c r="M535" s="275"/>
      <c r="P535" s="251"/>
      <c r="Q535" s="6"/>
      <c r="S535" s="251"/>
      <c r="T535" s="6"/>
    </row>
    <row r="536" spans="8:20" ht="13.5" thickBot="1">
      <c r="H536" s="285"/>
      <c r="I536" s="6"/>
      <c r="J536" s="6"/>
      <c r="L536" s="277"/>
      <c r="M536" s="275"/>
      <c r="P536" s="251"/>
      <c r="Q536" s="6"/>
      <c r="S536" s="251"/>
      <c r="T536" s="6"/>
    </row>
    <row r="537" spans="8:20" ht="13.5" thickBot="1">
      <c r="H537" s="285"/>
      <c r="I537" s="6"/>
      <c r="J537" s="6"/>
      <c r="L537" s="277"/>
      <c r="M537" s="275"/>
      <c r="P537" s="251"/>
      <c r="Q537" s="6"/>
      <c r="S537" s="251"/>
      <c r="T537" s="6"/>
    </row>
    <row r="538" spans="8:20" ht="13.5" thickBot="1">
      <c r="H538" s="285"/>
      <c r="I538" s="6"/>
      <c r="J538" s="6"/>
      <c r="L538" s="277"/>
      <c r="M538" s="275"/>
      <c r="P538" s="251"/>
      <c r="Q538" s="6"/>
      <c r="S538" s="251"/>
      <c r="T538" s="6"/>
    </row>
    <row r="539" spans="8:20" ht="13.5" thickBot="1">
      <c r="H539" s="285"/>
      <c r="I539" s="6"/>
      <c r="J539" s="6"/>
      <c r="L539" s="277"/>
      <c r="M539" s="275"/>
      <c r="P539" s="251"/>
      <c r="Q539" s="6"/>
      <c r="S539" s="251"/>
      <c r="T539" s="6"/>
    </row>
    <row r="540" spans="8:20" ht="13.5" thickBot="1">
      <c r="H540" s="285"/>
      <c r="I540" s="6"/>
      <c r="J540" s="6"/>
      <c r="L540" s="277"/>
      <c r="M540" s="275"/>
      <c r="P540" s="251"/>
      <c r="Q540" s="6"/>
      <c r="S540" s="251"/>
      <c r="T540" s="6"/>
    </row>
    <row r="541" spans="8:20" ht="13.5" thickBot="1">
      <c r="H541" s="285"/>
      <c r="I541" s="6"/>
      <c r="J541" s="6"/>
      <c r="L541" s="277"/>
      <c r="M541" s="275"/>
      <c r="P541" s="251"/>
      <c r="Q541" s="6"/>
      <c r="S541" s="251"/>
      <c r="T541" s="6"/>
    </row>
    <row r="542" spans="8:20" ht="13.5" thickBot="1">
      <c r="H542" s="285"/>
      <c r="I542" s="6"/>
      <c r="J542" s="6"/>
      <c r="L542" s="277"/>
      <c r="M542" s="275"/>
      <c r="P542" s="251"/>
      <c r="Q542" s="6"/>
      <c r="S542" s="251"/>
      <c r="T542" s="6"/>
    </row>
    <row r="543" spans="8:20" ht="13.5" thickBot="1">
      <c r="H543" s="285"/>
      <c r="I543" s="6"/>
      <c r="J543" s="6"/>
      <c r="L543" s="277"/>
      <c r="M543" s="275"/>
      <c r="P543" s="251"/>
      <c r="Q543" s="6"/>
      <c r="S543" s="251"/>
      <c r="T543" s="6"/>
    </row>
    <row r="544" spans="8:20" ht="13.5" thickBot="1">
      <c r="H544" s="285"/>
      <c r="I544" s="6"/>
      <c r="J544" s="6"/>
      <c r="L544" s="277"/>
      <c r="M544" s="275"/>
      <c r="P544" s="251"/>
      <c r="Q544" s="6"/>
      <c r="S544" s="251"/>
      <c r="T544" s="6"/>
    </row>
    <row r="545" spans="8:20" ht="13.5" thickBot="1">
      <c r="H545" s="285"/>
      <c r="I545" s="6"/>
      <c r="J545" s="6"/>
      <c r="L545" s="277"/>
      <c r="M545" s="275"/>
      <c r="P545" s="251"/>
      <c r="Q545" s="6"/>
      <c r="S545" s="251"/>
      <c r="T545" s="6"/>
    </row>
    <row r="546" spans="8:20" ht="13.5" thickBot="1">
      <c r="H546" s="285"/>
      <c r="I546" s="6"/>
      <c r="J546" s="6"/>
      <c r="L546" s="277"/>
      <c r="M546" s="275"/>
      <c r="P546" s="251"/>
      <c r="Q546" s="6"/>
      <c r="S546" s="251"/>
      <c r="T546" s="6"/>
    </row>
    <row r="547" spans="8:20" ht="13.5" thickBot="1">
      <c r="H547" s="285"/>
      <c r="I547" s="6"/>
      <c r="J547" s="6"/>
      <c r="L547" s="277"/>
      <c r="M547" s="275"/>
      <c r="P547" s="251"/>
      <c r="Q547" s="6"/>
      <c r="S547" s="251"/>
      <c r="T547" s="6"/>
    </row>
    <row r="548" spans="8:20" ht="13.5" thickBot="1">
      <c r="H548" s="285"/>
      <c r="I548" s="6"/>
      <c r="J548" s="6"/>
      <c r="L548" s="277"/>
      <c r="M548" s="275"/>
      <c r="P548" s="251"/>
      <c r="Q548" s="6"/>
      <c r="S548" s="251"/>
      <c r="T548" s="6"/>
    </row>
    <row r="549" spans="8:20" ht="13.5" thickBot="1">
      <c r="H549" s="285"/>
      <c r="I549" s="6"/>
      <c r="J549" s="6"/>
      <c r="L549" s="277"/>
      <c r="M549" s="275"/>
      <c r="P549" s="251"/>
      <c r="Q549" s="6"/>
      <c r="S549" s="251"/>
      <c r="T549" s="6"/>
    </row>
    <row r="550" spans="8:20" ht="13.5" thickBot="1">
      <c r="H550" s="285"/>
      <c r="I550" s="6"/>
      <c r="J550" s="6"/>
      <c r="L550" s="277"/>
      <c r="M550" s="275"/>
      <c r="P550" s="251"/>
      <c r="Q550" s="6"/>
      <c r="S550" s="251"/>
      <c r="T550" s="6"/>
    </row>
    <row r="551" spans="8:20" ht="13.5" thickBot="1">
      <c r="H551" s="285"/>
      <c r="I551" s="6"/>
      <c r="J551" s="6"/>
      <c r="L551" s="277"/>
      <c r="M551" s="275"/>
      <c r="P551" s="251"/>
      <c r="Q551" s="6"/>
      <c r="S551" s="251"/>
      <c r="T551" s="6"/>
    </row>
    <row r="552" spans="8:20" ht="13.5" thickBot="1">
      <c r="H552" s="285"/>
      <c r="I552" s="6"/>
      <c r="J552" s="6"/>
      <c r="L552" s="277"/>
      <c r="M552" s="275"/>
      <c r="P552" s="251"/>
      <c r="Q552" s="6"/>
      <c r="S552" s="251"/>
      <c r="T552" s="6"/>
    </row>
    <row r="553" spans="8:20" ht="13.5" thickBot="1">
      <c r="H553" s="285"/>
      <c r="I553" s="6"/>
      <c r="J553" s="6"/>
      <c r="L553" s="277"/>
      <c r="M553" s="275"/>
      <c r="P553" s="251"/>
      <c r="Q553" s="6"/>
      <c r="S553" s="251"/>
      <c r="T553" s="6"/>
    </row>
    <row r="554" spans="8:20" ht="13.5" thickBot="1">
      <c r="H554" s="285"/>
      <c r="I554" s="6"/>
      <c r="J554" s="6"/>
      <c r="L554" s="277"/>
      <c r="M554" s="275"/>
      <c r="P554" s="251"/>
      <c r="Q554" s="6"/>
      <c r="S554" s="251"/>
      <c r="T554" s="6"/>
    </row>
    <row r="555" spans="8:20" ht="13.5" thickBot="1">
      <c r="H555" s="285"/>
      <c r="I555" s="6"/>
      <c r="J555" s="6"/>
      <c r="L555" s="277"/>
      <c r="M555" s="275"/>
      <c r="P555" s="251"/>
      <c r="Q555" s="6"/>
      <c r="S555" s="251"/>
      <c r="T555" s="6"/>
    </row>
    <row r="556" spans="8:20" ht="13.5" thickBot="1">
      <c r="H556" s="285"/>
      <c r="I556" s="6"/>
      <c r="J556" s="6"/>
      <c r="L556" s="277"/>
      <c r="M556" s="275"/>
      <c r="P556" s="251"/>
      <c r="Q556" s="6"/>
      <c r="S556" s="251"/>
      <c r="T556" s="6"/>
    </row>
    <row r="557" spans="8:20" ht="13.5" thickBot="1">
      <c r="H557" s="285"/>
      <c r="I557" s="6"/>
      <c r="J557" s="6"/>
      <c r="L557" s="277"/>
      <c r="M557" s="275"/>
      <c r="P557" s="251"/>
      <c r="Q557" s="6"/>
      <c r="S557" s="251"/>
      <c r="T557" s="6"/>
    </row>
    <row r="558" spans="8:20" ht="13.5" thickBot="1">
      <c r="H558" s="285"/>
      <c r="I558" s="6"/>
      <c r="J558" s="6"/>
      <c r="L558" s="277"/>
      <c r="M558" s="275"/>
      <c r="P558" s="251"/>
      <c r="Q558" s="6"/>
      <c r="S558" s="251"/>
      <c r="T558" s="6"/>
    </row>
    <row r="559" spans="8:20" ht="13.5" thickBot="1">
      <c r="H559" s="285"/>
      <c r="I559" s="6"/>
      <c r="J559" s="6"/>
      <c r="L559" s="277"/>
      <c r="M559" s="275"/>
      <c r="P559" s="251"/>
      <c r="Q559" s="6"/>
      <c r="S559" s="251"/>
      <c r="T559" s="6"/>
    </row>
    <row r="560" spans="8:20" ht="13.5" thickBot="1">
      <c r="H560" s="285"/>
      <c r="I560" s="6"/>
      <c r="J560" s="6"/>
      <c r="L560" s="277"/>
      <c r="M560" s="275"/>
      <c r="P560" s="251"/>
      <c r="Q560" s="6"/>
      <c r="S560" s="251"/>
      <c r="T560" s="6"/>
    </row>
    <row r="561" spans="8:20" ht="13.5" thickBot="1">
      <c r="H561" s="285"/>
      <c r="I561" s="6"/>
      <c r="J561" s="6"/>
      <c r="L561" s="277"/>
      <c r="M561" s="275"/>
      <c r="P561" s="251"/>
      <c r="Q561" s="6"/>
      <c r="S561" s="251"/>
      <c r="T561" s="6"/>
    </row>
    <row r="562" spans="8:20" ht="13.5" thickBot="1">
      <c r="H562" s="285"/>
      <c r="I562" s="6"/>
      <c r="J562" s="6"/>
      <c r="L562" s="277"/>
      <c r="M562" s="275"/>
      <c r="P562" s="251"/>
      <c r="Q562" s="6"/>
      <c r="S562" s="251"/>
      <c r="T562" s="6"/>
    </row>
    <row r="563" spans="8:20" ht="13.5" thickBot="1">
      <c r="H563" s="285"/>
      <c r="I563" s="6"/>
      <c r="J563" s="6"/>
      <c r="L563" s="277"/>
      <c r="M563" s="275"/>
      <c r="P563" s="251"/>
      <c r="Q563" s="6"/>
      <c r="S563" s="251"/>
      <c r="T563" s="6"/>
    </row>
    <row r="564" spans="8:20" ht="13.5" thickBot="1">
      <c r="H564" s="285"/>
      <c r="I564" s="6"/>
      <c r="J564" s="6"/>
      <c r="L564" s="277"/>
      <c r="M564" s="275"/>
      <c r="P564" s="251"/>
      <c r="Q564" s="6"/>
      <c r="S564" s="251"/>
      <c r="T564" s="6"/>
    </row>
    <row r="565" spans="8:20" ht="13.5" thickBot="1">
      <c r="H565" s="285"/>
      <c r="I565" s="6"/>
      <c r="J565" s="6"/>
      <c r="L565" s="277"/>
      <c r="M565" s="275"/>
      <c r="P565" s="251"/>
      <c r="Q565" s="6"/>
      <c r="S565" s="251"/>
      <c r="T565" s="6"/>
    </row>
    <row r="566" spans="8:20" ht="13.5" thickBot="1">
      <c r="H566" s="285"/>
      <c r="I566" s="6"/>
      <c r="J566" s="6"/>
      <c r="L566" s="277"/>
      <c r="M566" s="275"/>
      <c r="P566" s="251"/>
      <c r="Q566" s="6"/>
      <c r="S566" s="251"/>
      <c r="T566" s="6"/>
    </row>
    <row r="567" spans="8:20" ht="13.5" thickBot="1">
      <c r="H567" s="285"/>
      <c r="I567" s="6"/>
      <c r="J567" s="6"/>
      <c r="L567" s="277"/>
      <c r="M567" s="275"/>
      <c r="P567" s="251"/>
      <c r="Q567" s="6"/>
      <c r="S567" s="251"/>
      <c r="T567" s="6"/>
    </row>
    <row r="568" spans="8:20" ht="13.5" thickBot="1">
      <c r="H568" s="285"/>
      <c r="I568" s="6"/>
      <c r="J568" s="6"/>
      <c r="L568" s="277"/>
      <c r="M568" s="275"/>
      <c r="P568" s="251"/>
      <c r="Q568" s="6"/>
      <c r="S568" s="251"/>
      <c r="T568" s="6"/>
    </row>
    <row r="569" spans="8:20" ht="13.5" thickBot="1">
      <c r="H569" s="285"/>
      <c r="I569" s="6"/>
      <c r="J569" s="6"/>
      <c r="L569" s="277"/>
      <c r="M569" s="275"/>
      <c r="P569" s="251"/>
      <c r="Q569" s="6"/>
      <c r="S569" s="251"/>
      <c r="T569" s="6"/>
    </row>
    <row r="570" spans="8:20" ht="13.5" thickBot="1">
      <c r="H570" s="285"/>
      <c r="I570" s="6"/>
      <c r="J570" s="6"/>
      <c r="L570" s="277"/>
      <c r="M570" s="275"/>
      <c r="P570" s="251"/>
      <c r="Q570" s="6"/>
      <c r="S570" s="251"/>
      <c r="T570" s="6"/>
    </row>
    <row r="571" spans="8:20" ht="13.5" thickBot="1">
      <c r="H571" s="285"/>
      <c r="I571" s="6"/>
      <c r="J571" s="6"/>
      <c r="L571" s="277"/>
      <c r="M571" s="275"/>
      <c r="P571" s="251"/>
      <c r="Q571" s="6"/>
      <c r="S571" s="251"/>
      <c r="T571" s="6"/>
    </row>
    <row r="572" spans="8:20" ht="13.5" thickBot="1">
      <c r="H572" s="285"/>
      <c r="I572" s="6"/>
      <c r="J572" s="6"/>
      <c r="L572" s="277"/>
      <c r="M572" s="275"/>
      <c r="P572" s="251"/>
      <c r="Q572" s="6"/>
      <c r="S572" s="251"/>
      <c r="T572" s="6"/>
    </row>
    <row r="573" spans="8:20" ht="13.5" thickBot="1">
      <c r="H573" s="285"/>
      <c r="I573" s="6"/>
      <c r="J573" s="6"/>
      <c r="L573" s="277"/>
      <c r="M573" s="275"/>
      <c r="P573" s="251"/>
      <c r="Q573" s="6"/>
      <c r="S573" s="251"/>
      <c r="T573" s="6"/>
    </row>
    <row r="574" spans="8:20" ht="13.5" thickBot="1">
      <c r="H574" s="285"/>
      <c r="I574" s="6"/>
      <c r="J574" s="6"/>
      <c r="L574" s="277"/>
      <c r="M574" s="275"/>
      <c r="P574" s="251"/>
      <c r="Q574" s="6"/>
      <c r="S574" s="251"/>
      <c r="T574" s="6"/>
    </row>
    <row r="575" spans="8:20" ht="13.5" thickBot="1">
      <c r="H575" s="285"/>
      <c r="I575" s="6"/>
      <c r="J575" s="6"/>
      <c r="L575" s="277"/>
      <c r="M575" s="275"/>
      <c r="P575" s="251"/>
      <c r="Q575" s="6"/>
      <c r="S575" s="251"/>
      <c r="T575" s="6"/>
    </row>
    <row r="576" spans="8:20" ht="13.5" thickBot="1">
      <c r="H576" s="285"/>
      <c r="I576" s="6"/>
      <c r="J576" s="6"/>
      <c r="L576" s="277"/>
      <c r="M576" s="275"/>
      <c r="P576" s="251"/>
      <c r="Q576" s="6"/>
      <c r="S576" s="251"/>
      <c r="T576" s="6"/>
    </row>
    <row r="577" spans="8:20" ht="13.5" thickBot="1">
      <c r="H577" s="285"/>
      <c r="I577" s="6"/>
      <c r="J577" s="6"/>
      <c r="L577" s="277"/>
      <c r="M577" s="275"/>
      <c r="P577" s="251"/>
      <c r="Q577" s="6"/>
      <c r="S577" s="251"/>
      <c r="T577" s="6"/>
    </row>
    <row r="578" spans="8:20" ht="13.5" thickBot="1">
      <c r="H578" s="285"/>
      <c r="I578" s="6"/>
      <c r="J578" s="6"/>
      <c r="L578" s="277"/>
      <c r="M578" s="275"/>
      <c r="P578" s="251"/>
      <c r="Q578" s="6"/>
      <c r="S578" s="251"/>
      <c r="T578" s="6"/>
    </row>
    <row r="579" spans="8:20" ht="13.5" thickBot="1">
      <c r="H579" s="285"/>
      <c r="I579" s="6"/>
      <c r="J579" s="6"/>
      <c r="L579" s="277"/>
      <c r="M579" s="275"/>
      <c r="P579" s="251"/>
      <c r="Q579" s="6"/>
      <c r="S579" s="251"/>
      <c r="T579" s="6"/>
    </row>
    <row r="580" spans="8:20" ht="13.5" thickBot="1">
      <c r="H580" s="285"/>
      <c r="I580" s="6"/>
      <c r="J580" s="6"/>
      <c r="L580" s="277"/>
      <c r="M580" s="275"/>
      <c r="P580" s="251"/>
      <c r="Q580" s="6"/>
      <c r="S580" s="251"/>
      <c r="T580" s="6"/>
    </row>
    <row r="581" spans="8:20" ht="13.5" thickBot="1">
      <c r="H581" s="285"/>
      <c r="I581" s="6"/>
      <c r="J581" s="6"/>
      <c r="L581" s="277"/>
      <c r="M581" s="275"/>
      <c r="P581" s="251"/>
      <c r="Q581" s="6"/>
      <c r="S581" s="251"/>
      <c r="T581" s="6"/>
    </row>
    <row r="582" spans="8:20" ht="13.5" thickBot="1">
      <c r="H582" s="285"/>
      <c r="I582" s="6"/>
      <c r="J582" s="6"/>
      <c r="L582" s="277"/>
      <c r="M582" s="275"/>
      <c r="P582" s="251"/>
      <c r="Q582" s="6"/>
      <c r="S582" s="251"/>
      <c r="T582" s="6"/>
    </row>
    <row r="583" spans="8:20" ht="13.5" thickBot="1">
      <c r="H583" s="285"/>
      <c r="I583" s="6"/>
      <c r="J583" s="6"/>
      <c r="L583" s="277"/>
      <c r="M583" s="275"/>
      <c r="P583" s="251"/>
      <c r="Q583" s="6"/>
      <c r="S583" s="251"/>
      <c r="T583" s="6"/>
    </row>
    <row r="584" spans="8:20" ht="13.5" thickBot="1">
      <c r="H584" s="285"/>
      <c r="I584" s="6"/>
      <c r="J584" s="6"/>
      <c r="L584" s="277"/>
      <c r="M584" s="275"/>
      <c r="P584" s="251"/>
      <c r="Q584" s="6"/>
      <c r="S584" s="251"/>
      <c r="T584" s="6"/>
    </row>
    <row r="585" spans="8:20" ht="13.5" thickBot="1">
      <c r="H585" s="285"/>
      <c r="I585" s="6"/>
      <c r="J585" s="6"/>
      <c r="L585" s="277"/>
      <c r="M585" s="275"/>
      <c r="P585" s="251"/>
      <c r="Q585" s="6"/>
      <c r="S585" s="251"/>
      <c r="T585" s="6"/>
    </row>
    <row r="586" spans="8:20" ht="13.5" thickBot="1">
      <c r="H586" s="285"/>
      <c r="I586" s="6"/>
      <c r="J586" s="6"/>
      <c r="L586" s="277"/>
      <c r="M586" s="275"/>
      <c r="P586" s="251"/>
      <c r="Q586" s="6"/>
      <c r="S586" s="251"/>
      <c r="T586" s="6"/>
    </row>
    <row r="587" spans="8:20" ht="13.5" thickBot="1">
      <c r="H587" s="285"/>
      <c r="I587" s="6"/>
      <c r="J587" s="6"/>
      <c r="L587" s="277"/>
      <c r="M587" s="275"/>
      <c r="P587" s="251"/>
      <c r="Q587" s="6"/>
      <c r="S587" s="251"/>
      <c r="T587" s="6"/>
    </row>
    <row r="588" spans="8:20" ht="13.5" thickBot="1">
      <c r="H588" s="285"/>
      <c r="I588" s="6"/>
      <c r="J588" s="6"/>
      <c r="L588" s="277"/>
      <c r="M588" s="275"/>
      <c r="P588" s="251"/>
      <c r="Q588" s="6"/>
      <c r="S588" s="251"/>
      <c r="T588" s="6"/>
    </row>
    <row r="589" spans="8:20" ht="13.5" thickBot="1">
      <c r="H589" s="285"/>
      <c r="I589" s="6"/>
      <c r="J589" s="6"/>
      <c r="L589" s="277"/>
      <c r="M589" s="275"/>
      <c r="P589" s="251"/>
      <c r="Q589" s="6"/>
      <c r="S589" s="251"/>
      <c r="T589" s="6"/>
    </row>
    <row r="590" spans="8:20" ht="13.5" thickBot="1">
      <c r="H590" s="285"/>
      <c r="I590" s="6"/>
      <c r="J590" s="6"/>
      <c r="L590" s="277"/>
      <c r="M590" s="275"/>
      <c r="P590" s="251"/>
      <c r="Q590" s="6"/>
      <c r="S590" s="251"/>
      <c r="T590" s="6"/>
    </row>
    <row r="591" spans="8:20" ht="13.5" thickBot="1">
      <c r="H591" s="285"/>
      <c r="I591" s="6"/>
      <c r="J591" s="6"/>
      <c r="L591" s="277"/>
      <c r="M591" s="275"/>
      <c r="P591" s="251"/>
      <c r="Q591" s="6"/>
      <c r="S591" s="251"/>
      <c r="T591" s="6"/>
    </row>
    <row r="592" spans="8:20" ht="13.5" thickBot="1">
      <c r="H592" s="285"/>
      <c r="I592" s="6"/>
      <c r="J592" s="6"/>
      <c r="L592" s="277"/>
      <c r="M592" s="275"/>
      <c r="P592" s="251"/>
      <c r="Q592" s="6"/>
      <c r="S592" s="251"/>
      <c r="T592" s="6"/>
    </row>
    <row r="593" spans="8:20" ht="13.5" thickBot="1">
      <c r="H593" s="285"/>
      <c r="I593" s="6"/>
      <c r="J593" s="6"/>
      <c r="L593" s="277"/>
      <c r="M593" s="275"/>
      <c r="P593" s="251"/>
      <c r="Q593" s="6"/>
      <c r="S593" s="251"/>
      <c r="T593" s="6"/>
    </row>
    <row r="594" spans="8:20" ht="13.5" thickBot="1">
      <c r="H594" s="285"/>
      <c r="I594" s="6"/>
      <c r="J594" s="6"/>
      <c r="L594" s="277"/>
      <c r="M594" s="275"/>
      <c r="P594" s="251"/>
      <c r="Q594" s="6"/>
      <c r="S594" s="251"/>
      <c r="T594" s="6"/>
    </row>
    <row r="595" spans="8:20" ht="13.5" thickBot="1">
      <c r="H595" s="285"/>
      <c r="I595" s="6"/>
      <c r="J595" s="6"/>
      <c r="L595" s="277"/>
      <c r="M595" s="275"/>
      <c r="P595" s="251"/>
      <c r="Q595" s="6"/>
      <c r="S595" s="251"/>
      <c r="T595" s="6"/>
    </row>
    <row r="596" spans="8:20" ht="13.5" thickBot="1">
      <c r="H596" s="285"/>
      <c r="I596" s="6"/>
      <c r="J596" s="6"/>
      <c r="L596" s="277"/>
      <c r="M596" s="275"/>
      <c r="P596" s="251"/>
      <c r="Q596" s="6"/>
      <c r="S596" s="251"/>
      <c r="T596" s="6"/>
    </row>
    <row r="597" spans="8:20" ht="13.5" thickBot="1">
      <c r="H597" s="285"/>
      <c r="I597" s="6"/>
      <c r="J597" s="6"/>
      <c r="L597" s="277"/>
      <c r="M597" s="275"/>
      <c r="P597" s="251"/>
      <c r="Q597" s="6"/>
      <c r="S597" s="251"/>
      <c r="T597" s="6"/>
    </row>
    <row r="598" spans="8:20" ht="13.5" thickBot="1">
      <c r="H598" s="285"/>
      <c r="I598" s="6"/>
      <c r="J598" s="6"/>
      <c r="L598" s="277"/>
      <c r="M598" s="275"/>
      <c r="P598" s="251"/>
      <c r="Q598" s="6"/>
      <c r="S598" s="251"/>
      <c r="T598" s="6"/>
    </row>
    <row r="599" spans="8:20" ht="13.5" thickBot="1">
      <c r="H599" s="285"/>
      <c r="I599" s="6"/>
      <c r="J599" s="6"/>
      <c r="L599" s="277"/>
      <c r="M599" s="275"/>
      <c r="P599" s="251"/>
      <c r="Q599" s="6"/>
      <c r="S599" s="251"/>
      <c r="T599" s="6"/>
    </row>
    <row r="600" spans="8:20" ht="13.5" thickBot="1">
      <c r="H600" s="285"/>
      <c r="I600" s="6"/>
      <c r="J600" s="6"/>
      <c r="L600" s="277"/>
      <c r="M600" s="275"/>
      <c r="P600" s="251"/>
      <c r="Q600" s="6"/>
      <c r="S600" s="251"/>
      <c r="T600" s="6"/>
    </row>
    <row r="601" spans="8:20" ht="13.5" thickBot="1">
      <c r="H601" s="285"/>
      <c r="I601" s="6"/>
      <c r="J601" s="6"/>
      <c r="L601" s="277"/>
      <c r="M601" s="275"/>
      <c r="P601" s="251"/>
      <c r="Q601" s="6"/>
      <c r="S601" s="251"/>
      <c r="T601" s="6"/>
    </row>
    <row r="602" spans="8:20" ht="13.5" thickBot="1">
      <c r="H602" s="285"/>
      <c r="I602" s="6"/>
      <c r="J602" s="6"/>
      <c r="L602" s="277"/>
      <c r="M602" s="275"/>
      <c r="P602" s="251"/>
      <c r="Q602" s="6"/>
      <c r="S602" s="251"/>
      <c r="T602" s="6"/>
    </row>
    <row r="603" spans="8:20" ht="13.5" thickBot="1">
      <c r="H603" s="285"/>
      <c r="I603" s="6"/>
      <c r="J603" s="6"/>
      <c r="L603" s="277"/>
      <c r="M603" s="275"/>
      <c r="P603" s="251"/>
      <c r="Q603" s="6"/>
      <c r="S603" s="251"/>
      <c r="T603" s="6"/>
    </row>
    <row r="604" spans="8:20" ht="13.5" thickBot="1">
      <c r="H604" s="285"/>
      <c r="I604" s="6"/>
      <c r="J604" s="6"/>
      <c r="L604" s="277"/>
      <c r="M604" s="275"/>
      <c r="P604" s="251"/>
      <c r="Q604" s="6"/>
      <c r="S604" s="251"/>
      <c r="T604" s="6"/>
    </row>
    <row r="605" spans="8:20" ht="13.5" thickBot="1">
      <c r="H605" s="285"/>
      <c r="I605" s="6"/>
      <c r="J605" s="6"/>
      <c r="L605" s="277"/>
      <c r="M605" s="275"/>
      <c r="P605" s="251"/>
      <c r="Q605" s="6"/>
      <c r="S605" s="251"/>
      <c r="T605" s="6"/>
    </row>
    <row r="606" spans="8:20" ht="13.5" thickBot="1">
      <c r="H606" s="285"/>
      <c r="I606" s="6"/>
      <c r="J606" s="6"/>
      <c r="L606" s="277"/>
      <c r="M606" s="275"/>
      <c r="P606" s="251"/>
      <c r="Q606" s="6"/>
      <c r="S606" s="251"/>
      <c r="T606" s="6"/>
    </row>
    <row r="607" spans="8:20" ht="13.5" thickBot="1">
      <c r="H607" s="285"/>
      <c r="I607" s="6"/>
      <c r="J607" s="6"/>
      <c r="L607" s="277"/>
      <c r="M607" s="275"/>
      <c r="P607" s="251"/>
      <c r="Q607" s="6"/>
      <c r="S607" s="251"/>
      <c r="T607" s="6"/>
    </row>
    <row r="608" spans="8:20" ht="13.5" thickBot="1">
      <c r="H608" s="285"/>
      <c r="I608" s="6"/>
      <c r="J608" s="6"/>
      <c r="L608" s="277"/>
      <c r="M608" s="275"/>
      <c r="P608" s="251"/>
      <c r="Q608" s="6"/>
      <c r="S608" s="251"/>
      <c r="T608" s="6"/>
    </row>
    <row r="609" spans="8:20" ht="13.5" thickBot="1">
      <c r="H609" s="285"/>
      <c r="I609" s="6"/>
      <c r="J609" s="6"/>
      <c r="L609" s="277"/>
      <c r="M609" s="275"/>
      <c r="P609" s="251"/>
      <c r="Q609" s="6"/>
      <c r="S609" s="251"/>
      <c r="T609" s="6"/>
    </row>
    <row r="610" spans="8:20" ht="13.5" thickBot="1">
      <c r="H610" s="285"/>
      <c r="I610" s="6"/>
      <c r="J610" s="6"/>
      <c r="L610" s="277"/>
      <c r="M610" s="275"/>
      <c r="P610" s="251"/>
      <c r="Q610" s="6"/>
      <c r="S610" s="251"/>
      <c r="T610" s="6"/>
    </row>
    <row r="611" spans="8:20" ht="13.5" thickBot="1">
      <c r="H611" s="285"/>
      <c r="I611" s="6"/>
      <c r="J611" s="6"/>
      <c r="L611" s="277"/>
      <c r="M611" s="275"/>
      <c r="P611" s="251"/>
      <c r="Q611" s="6"/>
      <c r="S611" s="251"/>
      <c r="T611" s="6"/>
    </row>
    <row r="612" spans="8:20" ht="13.5" thickBot="1">
      <c r="H612" s="285"/>
      <c r="I612" s="6"/>
      <c r="J612" s="6"/>
      <c r="L612" s="277"/>
      <c r="M612" s="275"/>
      <c r="P612" s="251"/>
      <c r="Q612" s="6"/>
      <c r="S612" s="251"/>
      <c r="T612" s="6"/>
    </row>
    <row r="613" spans="8:20" ht="13.5" thickBot="1">
      <c r="H613" s="285"/>
      <c r="I613" s="6"/>
      <c r="J613" s="6"/>
      <c r="L613" s="277"/>
      <c r="M613" s="275"/>
      <c r="P613" s="251"/>
      <c r="Q613" s="6"/>
      <c r="S613" s="251"/>
      <c r="T613" s="6"/>
    </row>
    <row r="614" spans="8:20" ht="13.5" thickBot="1">
      <c r="H614" s="285"/>
      <c r="I614" s="6"/>
      <c r="J614" s="6"/>
      <c r="L614" s="277"/>
      <c r="M614" s="275"/>
      <c r="P614" s="251"/>
      <c r="Q614" s="6"/>
      <c r="S614" s="251"/>
      <c r="T614" s="6"/>
    </row>
    <row r="615" spans="8:20" ht="13.5" thickBot="1">
      <c r="H615" s="285"/>
      <c r="I615" s="6"/>
      <c r="J615" s="6"/>
      <c r="L615" s="277"/>
      <c r="M615" s="275"/>
      <c r="P615" s="251"/>
      <c r="Q615" s="6"/>
      <c r="S615" s="251"/>
      <c r="T615" s="6"/>
    </row>
    <row r="616" spans="8:20" ht="13.5" thickBot="1">
      <c r="H616" s="285"/>
      <c r="I616" s="6"/>
      <c r="J616" s="6"/>
      <c r="L616" s="277"/>
      <c r="M616" s="275"/>
      <c r="P616" s="251"/>
      <c r="Q616" s="6"/>
      <c r="S616" s="251"/>
      <c r="T616" s="6"/>
    </row>
    <row r="617" spans="8:20" ht="13.5" thickBot="1">
      <c r="H617" s="285"/>
      <c r="I617" s="6"/>
      <c r="J617" s="6"/>
      <c r="L617" s="277"/>
      <c r="M617" s="275"/>
      <c r="P617" s="251"/>
      <c r="Q617" s="6"/>
      <c r="S617" s="251"/>
      <c r="T617" s="6"/>
    </row>
    <row r="618" spans="8:20" ht="13.5" thickBot="1">
      <c r="H618" s="285"/>
      <c r="I618" s="6"/>
      <c r="J618" s="6"/>
      <c r="L618" s="277"/>
      <c r="M618" s="275"/>
      <c r="P618" s="251"/>
      <c r="Q618" s="6"/>
      <c r="S618" s="251"/>
      <c r="T618" s="6"/>
    </row>
    <row r="619" spans="8:20" ht="13.5" thickBot="1">
      <c r="H619" s="285"/>
      <c r="I619" s="6"/>
      <c r="J619" s="6"/>
      <c r="L619" s="277"/>
      <c r="M619" s="275"/>
      <c r="P619" s="251"/>
      <c r="Q619" s="6"/>
      <c r="S619" s="251"/>
      <c r="T619" s="6"/>
    </row>
    <row r="620" spans="8:20" ht="13.5" thickBot="1">
      <c r="H620" s="285"/>
      <c r="I620" s="6"/>
      <c r="J620" s="6"/>
      <c r="L620" s="277"/>
      <c r="M620" s="275"/>
      <c r="P620" s="251"/>
      <c r="Q620" s="6"/>
      <c r="S620" s="251"/>
      <c r="T620" s="6"/>
    </row>
    <row r="621" spans="8:20" ht="13.5" thickBot="1">
      <c r="H621" s="285"/>
      <c r="I621" s="6"/>
      <c r="J621" s="6"/>
      <c r="L621" s="277"/>
      <c r="M621" s="275"/>
      <c r="P621" s="251"/>
      <c r="Q621" s="6"/>
      <c r="S621" s="251"/>
      <c r="T621" s="6"/>
    </row>
    <row r="622" spans="8:20" ht="13.5" thickBot="1">
      <c r="H622" s="285"/>
      <c r="I622" s="6"/>
      <c r="J622" s="6"/>
      <c r="L622" s="277"/>
      <c r="M622" s="275"/>
      <c r="P622" s="251"/>
      <c r="Q622" s="6"/>
      <c r="S622" s="251"/>
      <c r="T622" s="6"/>
    </row>
    <row r="623" spans="8:20" ht="13.5" thickBot="1">
      <c r="H623" s="285"/>
      <c r="I623" s="6"/>
      <c r="J623" s="6"/>
      <c r="L623" s="277"/>
      <c r="M623" s="275"/>
      <c r="P623" s="251"/>
      <c r="Q623" s="6"/>
      <c r="S623" s="251"/>
      <c r="T623" s="6"/>
    </row>
    <row r="624" spans="8:20" ht="13.5" thickBot="1">
      <c r="H624" s="285"/>
      <c r="I624" s="6"/>
      <c r="J624" s="6"/>
      <c r="L624" s="277"/>
      <c r="M624" s="275"/>
      <c r="P624" s="251"/>
      <c r="Q624" s="6"/>
      <c r="S624" s="251"/>
      <c r="T624" s="6"/>
    </row>
    <row r="625" spans="8:20" ht="13.5" thickBot="1">
      <c r="H625" s="285"/>
      <c r="I625" s="6"/>
      <c r="J625" s="6"/>
      <c r="L625" s="277"/>
      <c r="M625" s="275"/>
      <c r="P625" s="251"/>
      <c r="Q625" s="6"/>
      <c r="S625" s="251"/>
      <c r="T625" s="6"/>
    </row>
    <row r="626" spans="8:20" ht="13.5" thickBot="1">
      <c r="H626" s="285"/>
      <c r="I626" s="6"/>
      <c r="J626" s="6"/>
      <c r="L626" s="277"/>
      <c r="M626" s="275"/>
      <c r="P626" s="251"/>
      <c r="Q626" s="6"/>
      <c r="S626" s="251"/>
      <c r="T626" s="6"/>
    </row>
    <row r="627" spans="8:20" ht="13.5" thickBot="1">
      <c r="H627" s="285"/>
      <c r="I627" s="6"/>
      <c r="J627" s="6"/>
      <c r="L627" s="277"/>
      <c r="M627" s="275"/>
      <c r="P627" s="251"/>
      <c r="Q627" s="6"/>
      <c r="S627" s="251"/>
      <c r="T627" s="6"/>
    </row>
    <row r="628" spans="8:20" ht="13.5" thickBot="1">
      <c r="H628" s="285"/>
      <c r="I628" s="6"/>
      <c r="J628" s="6"/>
      <c r="L628" s="277"/>
      <c r="M628" s="275"/>
      <c r="P628" s="251"/>
      <c r="Q628" s="6"/>
      <c r="S628" s="251"/>
      <c r="T628" s="6"/>
    </row>
    <row r="629" spans="8:20" ht="13.5" thickBot="1">
      <c r="H629" s="285"/>
      <c r="I629" s="6"/>
      <c r="J629" s="6"/>
      <c r="L629" s="277"/>
      <c r="M629" s="275"/>
      <c r="P629" s="251"/>
      <c r="Q629" s="6"/>
      <c r="S629" s="251"/>
      <c r="T629" s="6"/>
    </row>
    <row r="630" spans="8:20" ht="13.5" thickBot="1">
      <c r="H630" s="285"/>
      <c r="I630" s="6"/>
      <c r="J630" s="6"/>
      <c r="L630" s="277"/>
      <c r="M630" s="275"/>
      <c r="P630" s="251"/>
      <c r="Q630" s="6"/>
      <c r="S630" s="251"/>
      <c r="T630" s="6"/>
    </row>
    <row r="631" spans="8:20" ht="13.5" thickBot="1">
      <c r="H631" s="285"/>
      <c r="I631" s="6"/>
      <c r="J631" s="6"/>
      <c r="L631" s="277"/>
      <c r="M631" s="275"/>
      <c r="P631" s="251"/>
      <c r="Q631" s="6"/>
      <c r="S631" s="251"/>
      <c r="T631" s="6"/>
    </row>
    <row r="632" spans="8:20" ht="13.5" thickBot="1">
      <c r="H632" s="285"/>
      <c r="I632" s="6"/>
      <c r="J632" s="6"/>
      <c r="L632" s="277"/>
      <c r="M632" s="275"/>
      <c r="P632" s="251"/>
      <c r="Q632" s="6"/>
      <c r="S632" s="251"/>
      <c r="T632" s="6"/>
    </row>
    <row r="633" spans="8:20" ht="13.5" thickBot="1">
      <c r="H633" s="285"/>
      <c r="I633" s="6"/>
      <c r="J633" s="6"/>
      <c r="L633" s="277"/>
      <c r="M633" s="275"/>
      <c r="P633" s="251"/>
      <c r="Q633" s="6"/>
      <c r="S633" s="251"/>
      <c r="T633" s="6"/>
    </row>
    <row r="634" spans="8:20" ht="13.5" thickBot="1">
      <c r="H634" s="285"/>
      <c r="I634" s="6"/>
      <c r="J634" s="6"/>
      <c r="L634" s="277"/>
      <c r="M634" s="275"/>
      <c r="P634" s="251"/>
      <c r="Q634" s="6"/>
      <c r="S634" s="251"/>
      <c r="T634" s="6"/>
    </row>
    <row r="635" spans="8:20" ht="13.5" thickBot="1">
      <c r="H635" s="285"/>
      <c r="I635" s="6"/>
      <c r="J635" s="6"/>
      <c r="L635" s="277"/>
      <c r="M635" s="275"/>
      <c r="P635" s="251"/>
      <c r="Q635" s="6"/>
      <c r="S635" s="251"/>
      <c r="T635" s="6"/>
    </row>
    <row r="636" spans="8:20" ht="13.5" thickBot="1">
      <c r="H636" s="285"/>
      <c r="I636" s="6"/>
      <c r="J636" s="6"/>
      <c r="L636" s="277"/>
      <c r="M636" s="275"/>
      <c r="P636" s="251"/>
      <c r="Q636" s="6"/>
      <c r="S636" s="251"/>
      <c r="T636" s="6"/>
    </row>
    <row r="637" spans="8:20" ht="13.5" thickBot="1">
      <c r="H637" s="285"/>
      <c r="I637" s="6"/>
      <c r="J637" s="6"/>
      <c r="L637" s="277"/>
      <c r="M637" s="275"/>
      <c r="P637" s="251"/>
      <c r="Q637" s="6"/>
      <c r="S637" s="251"/>
      <c r="T637" s="6"/>
    </row>
    <row r="638" spans="8:20" ht="13.5" thickBot="1">
      <c r="H638" s="285"/>
      <c r="I638" s="6"/>
      <c r="J638" s="6"/>
      <c r="L638" s="277"/>
      <c r="M638" s="275"/>
      <c r="P638" s="251"/>
      <c r="Q638" s="6"/>
      <c r="S638" s="251"/>
      <c r="T638" s="6"/>
    </row>
    <row r="639" spans="8:20" ht="13.5" thickBot="1">
      <c r="H639" s="285"/>
      <c r="I639" s="6"/>
      <c r="J639" s="6"/>
      <c r="L639" s="277"/>
      <c r="M639" s="275"/>
      <c r="P639" s="251"/>
      <c r="Q639" s="6"/>
      <c r="S639" s="251"/>
      <c r="T639" s="6"/>
    </row>
    <row r="640" spans="8:20" ht="13.5" thickBot="1">
      <c r="H640" s="285"/>
      <c r="I640" s="6"/>
      <c r="J640" s="6"/>
      <c r="L640" s="277"/>
      <c r="M640" s="275"/>
      <c r="P640" s="251"/>
      <c r="Q640" s="6"/>
      <c r="S640" s="251"/>
      <c r="T640" s="6"/>
    </row>
    <row r="641" spans="8:20" ht="13.5" thickBot="1">
      <c r="H641" s="285"/>
      <c r="I641" s="6"/>
      <c r="J641" s="6"/>
      <c r="L641" s="277"/>
      <c r="M641" s="275"/>
      <c r="P641" s="251"/>
      <c r="Q641" s="6"/>
      <c r="S641" s="251"/>
      <c r="T641" s="6"/>
    </row>
    <row r="642" spans="8:20" ht="13.5" thickBot="1">
      <c r="H642" s="285"/>
      <c r="I642" s="6"/>
      <c r="J642" s="6"/>
      <c r="L642" s="277"/>
      <c r="M642" s="275"/>
      <c r="P642" s="251"/>
      <c r="Q642" s="6"/>
      <c r="S642" s="251"/>
      <c r="T642" s="6"/>
    </row>
    <row r="643" spans="8:20" ht="13.5" thickBot="1">
      <c r="H643" s="285"/>
      <c r="I643" s="6"/>
      <c r="J643" s="6"/>
      <c r="L643" s="277"/>
      <c r="M643" s="275"/>
      <c r="P643" s="251"/>
      <c r="Q643" s="6"/>
      <c r="S643" s="251"/>
      <c r="T643" s="6"/>
    </row>
    <row r="644" spans="8:20" ht="13.5" thickBot="1">
      <c r="H644" s="285"/>
      <c r="I644" s="6"/>
      <c r="J644" s="6"/>
      <c r="L644" s="277"/>
      <c r="M644" s="275"/>
      <c r="P644" s="251"/>
      <c r="Q644" s="6"/>
      <c r="S644" s="251"/>
      <c r="T644" s="6"/>
    </row>
    <row r="645" spans="8:20" ht="13.5" thickBot="1">
      <c r="H645" s="285"/>
      <c r="I645" s="6"/>
      <c r="J645" s="6"/>
      <c r="L645" s="277"/>
      <c r="M645" s="275"/>
      <c r="P645" s="251"/>
      <c r="Q645" s="6"/>
      <c r="S645" s="251"/>
      <c r="T645" s="6"/>
    </row>
    <row r="646" spans="8:20" ht="13.5" thickBot="1">
      <c r="H646" s="285"/>
      <c r="I646" s="6"/>
      <c r="J646" s="6"/>
      <c r="L646" s="277"/>
      <c r="M646" s="275"/>
      <c r="P646" s="251"/>
      <c r="Q646" s="6"/>
      <c r="S646" s="251"/>
      <c r="T646" s="6"/>
    </row>
    <row r="647" spans="8:20" ht="13.5" thickBot="1">
      <c r="H647" s="285"/>
      <c r="I647" s="6"/>
      <c r="J647" s="6"/>
      <c r="L647" s="277"/>
      <c r="M647" s="275"/>
      <c r="P647" s="251"/>
      <c r="Q647" s="6"/>
      <c r="S647" s="251"/>
      <c r="T647" s="6"/>
    </row>
    <row r="648" spans="8:20" ht="13.5" thickBot="1">
      <c r="H648" s="285"/>
      <c r="I648" s="6"/>
      <c r="J648" s="6"/>
      <c r="L648" s="277"/>
      <c r="M648" s="275"/>
      <c r="P648" s="251"/>
      <c r="Q648" s="6"/>
      <c r="S648" s="251"/>
      <c r="T648" s="6"/>
    </row>
    <row r="649" spans="8:20" ht="13.5" thickBot="1">
      <c r="H649" s="285"/>
      <c r="I649" s="6"/>
      <c r="J649" s="6"/>
      <c r="L649" s="277"/>
      <c r="M649" s="275"/>
      <c r="P649" s="251"/>
      <c r="Q649" s="6"/>
      <c r="S649" s="251"/>
      <c r="T649" s="6"/>
    </row>
    <row r="650" spans="8:20" ht="13.5" thickBot="1">
      <c r="H650" s="285"/>
      <c r="I650" s="6"/>
      <c r="J650" s="6"/>
      <c r="L650" s="277"/>
      <c r="M650" s="275"/>
      <c r="P650" s="251"/>
      <c r="Q650" s="6"/>
      <c r="S650" s="251"/>
      <c r="T650" s="6"/>
    </row>
    <row r="651" spans="8:20" ht="13.5" thickBot="1">
      <c r="H651" s="285"/>
      <c r="I651" s="6"/>
      <c r="J651" s="6"/>
      <c r="L651" s="277"/>
      <c r="M651" s="275"/>
      <c r="P651" s="251"/>
      <c r="Q651" s="6"/>
      <c r="S651" s="251"/>
      <c r="T651" s="6"/>
    </row>
    <row r="652" spans="8:20" ht="13.5" thickBot="1">
      <c r="H652" s="285"/>
      <c r="I652" s="6"/>
      <c r="J652" s="6"/>
      <c r="L652" s="277"/>
      <c r="M652" s="275"/>
      <c r="P652" s="251"/>
      <c r="Q652" s="6"/>
      <c r="S652" s="251"/>
      <c r="T652" s="6"/>
    </row>
    <row r="653" spans="8:20" ht="13.5" thickBot="1">
      <c r="H653" s="285"/>
      <c r="I653" s="6"/>
      <c r="J653" s="6"/>
      <c r="L653" s="277"/>
      <c r="M653" s="275"/>
      <c r="P653" s="251"/>
      <c r="Q653" s="6"/>
      <c r="S653" s="251"/>
      <c r="T653" s="6"/>
    </row>
    <row r="654" spans="8:20" ht="13.5" thickBot="1">
      <c r="H654" s="285"/>
      <c r="I654" s="6"/>
      <c r="J654" s="6"/>
      <c r="L654" s="277"/>
      <c r="M654" s="275"/>
      <c r="P654" s="251"/>
      <c r="Q654" s="6"/>
      <c r="S654" s="251"/>
      <c r="T654" s="6"/>
    </row>
    <row r="655" spans="8:20" ht="13.5" thickBot="1">
      <c r="H655" s="285"/>
      <c r="I655" s="6"/>
      <c r="J655" s="6"/>
      <c r="L655" s="277"/>
      <c r="M655" s="275"/>
      <c r="P655" s="251"/>
      <c r="Q655" s="6"/>
      <c r="S655" s="251"/>
      <c r="T655" s="6"/>
    </row>
    <row r="656" spans="8:20" ht="13.5" thickBot="1">
      <c r="H656" s="285"/>
      <c r="I656" s="6"/>
      <c r="J656" s="6"/>
      <c r="L656" s="277"/>
      <c r="M656" s="275"/>
      <c r="P656" s="251"/>
      <c r="Q656" s="6"/>
      <c r="S656" s="251"/>
      <c r="T656" s="6"/>
    </row>
    <row r="657" spans="8:20" ht="13.5" thickBot="1">
      <c r="H657" s="285"/>
      <c r="I657" s="6"/>
      <c r="J657" s="6"/>
      <c r="L657" s="277"/>
      <c r="M657" s="275"/>
      <c r="P657" s="251"/>
      <c r="Q657" s="6"/>
      <c r="S657" s="251"/>
      <c r="T657" s="6"/>
    </row>
    <row r="658" spans="8:20" ht="13.5" thickBot="1">
      <c r="H658" s="285"/>
      <c r="I658" s="6"/>
      <c r="J658" s="6"/>
      <c r="L658" s="277"/>
      <c r="M658" s="275"/>
      <c r="P658" s="251"/>
      <c r="Q658" s="6"/>
      <c r="S658" s="251"/>
      <c r="T658" s="6"/>
    </row>
    <row r="659" spans="8:20" ht="13.5" thickBot="1">
      <c r="H659" s="285"/>
      <c r="I659" s="6"/>
      <c r="J659" s="6"/>
      <c r="L659" s="277"/>
      <c r="M659" s="275"/>
      <c r="P659" s="251"/>
      <c r="Q659" s="6"/>
      <c r="S659" s="251"/>
      <c r="T659" s="6"/>
    </row>
    <row r="660" spans="8:20" ht="13.5" thickBot="1">
      <c r="H660" s="285"/>
      <c r="I660" s="6"/>
      <c r="J660" s="6"/>
      <c r="L660" s="277"/>
      <c r="M660" s="275"/>
      <c r="P660" s="251"/>
      <c r="Q660" s="6"/>
      <c r="S660" s="251"/>
      <c r="T660" s="6"/>
    </row>
    <row r="661" spans="8:20" ht="13.5" thickBot="1">
      <c r="H661" s="285"/>
      <c r="I661" s="6"/>
      <c r="J661" s="6"/>
      <c r="L661" s="277"/>
      <c r="M661" s="275"/>
      <c r="P661" s="251"/>
      <c r="Q661" s="6"/>
      <c r="S661" s="251"/>
      <c r="T661" s="6"/>
    </row>
    <row r="662" spans="8:20" ht="13.5" thickBot="1">
      <c r="H662" s="285"/>
      <c r="I662" s="6"/>
      <c r="J662" s="6"/>
      <c r="L662" s="277"/>
      <c r="M662" s="275"/>
      <c r="P662" s="251"/>
      <c r="Q662" s="6"/>
      <c r="S662" s="251"/>
      <c r="T662" s="6"/>
    </row>
    <row r="663" spans="8:20" ht="13.5" thickBot="1">
      <c r="H663" s="285"/>
      <c r="I663" s="6"/>
      <c r="J663" s="6"/>
      <c r="L663" s="277"/>
      <c r="M663" s="275"/>
      <c r="P663" s="251"/>
      <c r="Q663" s="6"/>
      <c r="S663" s="251"/>
      <c r="T663" s="6"/>
    </row>
    <row r="664" spans="8:20" ht="13.5" thickBot="1">
      <c r="H664" s="285"/>
      <c r="I664" s="6"/>
      <c r="J664" s="6"/>
      <c r="L664" s="277"/>
      <c r="M664" s="275"/>
      <c r="P664" s="251"/>
      <c r="Q664" s="6"/>
      <c r="S664" s="251"/>
      <c r="T664" s="6"/>
    </row>
    <row r="665" spans="8:20" ht="13.5" thickBot="1">
      <c r="H665" s="285"/>
      <c r="I665" s="6"/>
      <c r="J665" s="6"/>
      <c r="L665" s="277"/>
      <c r="M665" s="275"/>
      <c r="P665" s="251"/>
      <c r="Q665" s="6"/>
      <c r="S665" s="251"/>
      <c r="T665" s="6"/>
    </row>
    <row r="666" spans="8:20" ht="13.5" thickBot="1">
      <c r="H666" s="285"/>
      <c r="I666" s="6"/>
      <c r="J666" s="6"/>
      <c r="L666" s="277"/>
      <c r="M666" s="275"/>
      <c r="P666" s="251"/>
      <c r="Q666" s="6"/>
      <c r="S666" s="251"/>
      <c r="T666" s="6"/>
    </row>
    <row r="667" spans="8:20" ht="13.5" thickBot="1">
      <c r="H667" s="285"/>
      <c r="I667" s="6"/>
      <c r="J667" s="6"/>
      <c r="L667" s="277"/>
      <c r="M667" s="275"/>
      <c r="P667" s="251"/>
      <c r="Q667" s="6"/>
      <c r="S667" s="251"/>
      <c r="T667" s="6"/>
    </row>
    <row r="668" spans="8:20" ht="13.5" thickBot="1">
      <c r="H668" s="285"/>
      <c r="I668" s="6"/>
      <c r="J668" s="6"/>
      <c r="L668" s="277"/>
      <c r="M668" s="275"/>
      <c r="P668" s="251"/>
      <c r="Q668" s="6"/>
      <c r="S668" s="251"/>
      <c r="T668" s="6"/>
    </row>
    <row r="669" spans="8:20" ht="13.5" thickBot="1">
      <c r="H669" s="285"/>
      <c r="I669" s="6"/>
      <c r="J669" s="6"/>
      <c r="L669" s="277"/>
      <c r="M669" s="275"/>
      <c r="P669" s="251"/>
      <c r="Q669" s="6"/>
      <c r="S669" s="251"/>
      <c r="T669" s="6"/>
    </row>
    <row r="670" spans="8:20" ht="13.5" thickBot="1">
      <c r="H670" s="285"/>
      <c r="I670" s="6"/>
      <c r="J670" s="6"/>
      <c r="L670" s="277"/>
      <c r="M670" s="275"/>
      <c r="P670" s="251"/>
      <c r="Q670" s="6"/>
      <c r="S670" s="251"/>
      <c r="T670" s="6"/>
    </row>
    <row r="671" spans="8:20" ht="13.5" thickBot="1">
      <c r="H671" s="285"/>
      <c r="I671" s="6"/>
      <c r="J671" s="6"/>
      <c r="L671" s="277"/>
      <c r="M671" s="275"/>
      <c r="P671" s="251"/>
      <c r="Q671" s="6"/>
      <c r="S671" s="251"/>
      <c r="T671" s="6"/>
    </row>
    <row r="672" spans="8:20" ht="13.5" thickBot="1">
      <c r="H672" s="285"/>
      <c r="I672" s="6"/>
      <c r="J672" s="6"/>
      <c r="L672" s="277"/>
      <c r="M672" s="275"/>
      <c r="P672" s="251"/>
      <c r="Q672" s="6"/>
      <c r="S672" s="251"/>
      <c r="T672" s="6"/>
    </row>
    <row r="673" spans="8:20" ht="13.5" thickBot="1">
      <c r="H673" s="285"/>
      <c r="I673" s="6"/>
      <c r="J673" s="6"/>
      <c r="L673" s="277"/>
      <c r="M673" s="275"/>
      <c r="P673" s="251"/>
      <c r="Q673" s="6"/>
      <c r="S673" s="251"/>
      <c r="T673" s="6"/>
    </row>
    <row r="674" spans="8:20" ht="13.5" thickBot="1">
      <c r="H674" s="285"/>
      <c r="I674" s="6"/>
      <c r="J674" s="6"/>
      <c r="L674" s="277"/>
      <c r="M674" s="275"/>
      <c r="P674" s="251"/>
      <c r="Q674" s="6"/>
      <c r="S674" s="251"/>
      <c r="T674" s="6"/>
    </row>
    <row r="675" spans="8:20" ht="13.5" thickBot="1">
      <c r="H675" s="285"/>
      <c r="I675" s="6"/>
      <c r="J675" s="6"/>
      <c r="L675" s="277"/>
      <c r="M675" s="275"/>
      <c r="P675" s="251"/>
      <c r="Q675" s="6"/>
      <c r="S675" s="251"/>
      <c r="T675" s="6"/>
    </row>
    <row r="676" spans="8:20" ht="13.5" thickBot="1">
      <c r="H676" s="285"/>
      <c r="I676" s="6"/>
      <c r="J676" s="6"/>
      <c r="L676" s="277"/>
      <c r="M676" s="275"/>
      <c r="P676" s="251"/>
      <c r="Q676" s="6"/>
      <c r="S676" s="251"/>
      <c r="T676" s="6"/>
    </row>
    <row r="677" spans="8:20" ht="13.5" thickBot="1">
      <c r="H677" s="285"/>
      <c r="I677" s="6"/>
      <c r="J677" s="6"/>
      <c r="L677" s="277"/>
      <c r="M677" s="275"/>
      <c r="P677" s="251"/>
      <c r="Q677" s="6"/>
      <c r="S677" s="251"/>
      <c r="T677" s="6"/>
    </row>
    <row r="678" spans="8:20" ht="13.5" thickBot="1">
      <c r="H678" s="285"/>
      <c r="I678" s="6"/>
      <c r="J678" s="6"/>
      <c r="L678" s="277"/>
      <c r="M678" s="275"/>
      <c r="P678" s="251"/>
      <c r="Q678" s="6"/>
      <c r="S678" s="251"/>
      <c r="T678" s="6"/>
    </row>
    <row r="679" spans="8:20" ht="13.5" thickBot="1">
      <c r="H679" s="285"/>
      <c r="I679" s="6"/>
      <c r="J679" s="6"/>
      <c r="L679" s="277"/>
      <c r="M679" s="275"/>
      <c r="P679" s="251"/>
      <c r="Q679" s="6"/>
      <c r="S679" s="251"/>
      <c r="T679" s="6"/>
    </row>
    <row r="680" spans="8:20" ht="13.5" thickBot="1">
      <c r="H680" s="285"/>
      <c r="I680" s="6"/>
      <c r="J680" s="6"/>
      <c r="L680" s="277"/>
      <c r="M680" s="275"/>
      <c r="P680" s="251"/>
      <c r="Q680" s="6"/>
      <c r="S680" s="251"/>
      <c r="T680" s="6"/>
    </row>
    <row r="681" spans="8:20" ht="13.5" thickBot="1">
      <c r="H681" s="285"/>
      <c r="I681" s="6"/>
      <c r="J681" s="6"/>
      <c r="L681" s="277"/>
      <c r="M681" s="275"/>
      <c r="P681" s="251"/>
      <c r="Q681" s="6"/>
      <c r="S681" s="251"/>
      <c r="T681" s="6"/>
    </row>
    <row r="682" spans="8:20" ht="13.5" thickBot="1">
      <c r="H682" s="285"/>
      <c r="I682" s="6"/>
      <c r="J682" s="6"/>
      <c r="L682" s="277"/>
      <c r="M682" s="275"/>
      <c r="P682" s="251"/>
      <c r="Q682" s="6"/>
      <c r="S682" s="251"/>
      <c r="T682" s="6"/>
    </row>
    <row r="683" spans="8:20" ht="13.5" thickBot="1">
      <c r="H683" s="285"/>
      <c r="I683" s="6"/>
      <c r="J683" s="6"/>
      <c r="L683" s="277"/>
      <c r="M683" s="275"/>
      <c r="P683" s="251"/>
      <c r="Q683" s="6"/>
      <c r="S683" s="251"/>
      <c r="T683" s="6"/>
    </row>
    <row r="684" spans="8:20" ht="13.5" thickBot="1">
      <c r="H684" s="285"/>
      <c r="I684" s="6"/>
      <c r="J684" s="6"/>
      <c r="L684" s="277"/>
      <c r="M684" s="275"/>
      <c r="P684" s="251"/>
      <c r="Q684" s="6"/>
      <c r="S684" s="251"/>
      <c r="T684" s="6"/>
    </row>
    <row r="685" spans="8:20" ht="13.5" thickBot="1">
      <c r="H685" s="285"/>
      <c r="I685" s="6"/>
      <c r="J685" s="6"/>
      <c r="L685" s="277"/>
      <c r="M685" s="275"/>
      <c r="P685" s="251"/>
      <c r="Q685" s="6"/>
      <c r="S685" s="251"/>
      <c r="T685" s="6"/>
    </row>
    <row r="686" spans="8:20" ht="13.5" thickBot="1">
      <c r="H686" s="285"/>
      <c r="I686" s="6"/>
      <c r="J686" s="6"/>
      <c r="L686" s="277"/>
      <c r="M686" s="275"/>
      <c r="P686" s="251"/>
      <c r="Q686" s="6"/>
      <c r="S686" s="251"/>
      <c r="T686" s="6"/>
    </row>
    <row r="687" spans="8:20" ht="13.5" thickBot="1">
      <c r="H687" s="285"/>
      <c r="I687" s="6"/>
      <c r="J687" s="6"/>
      <c r="L687" s="277"/>
      <c r="M687" s="275"/>
      <c r="P687" s="251"/>
      <c r="Q687" s="6"/>
      <c r="S687" s="251"/>
      <c r="T687" s="6"/>
    </row>
    <row r="688" spans="8:20" ht="13.5" thickBot="1">
      <c r="H688" s="285"/>
      <c r="I688" s="6"/>
      <c r="J688" s="6"/>
      <c r="L688" s="277"/>
      <c r="M688" s="275"/>
      <c r="P688" s="251"/>
      <c r="Q688" s="6"/>
      <c r="S688" s="251"/>
      <c r="T688" s="6"/>
    </row>
    <row r="689" spans="8:20" ht="13.5" thickBot="1">
      <c r="H689" s="285"/>
      <c r="I689" s="6"/>
      <c r="J689" s="6"/>
      <c r="L689" s="277"/>
      <c r="M689" s="275"/>
      <c r="P689" s="251"/>
      <c r="Q689" s="6"/>
      <c r="S689" s="251"/>
      <c r="T689" s="6"/>
    </row>
    <row r="690" spans="8:20" ht="13.5" thickBot="1">
      <c r="H690" s="285"/>
      <c r="I690" s="6"/>
      <c r="J690" s="6"/>
      <c r="L690" s="277"/>
      <c r="M690" s="275"/>
      <c r="P690" s="251"/>
      <c r="Q690" s="6"/>
      <c r="S690" s="251"/>
      <c r="T690" s="6"/>
    </row>
    <row r="691" spans="8:20" ht="13.5" thickBot="1">
      <c r="H691" s="285"/>
      <c r="I691" s="6"/>
      <c r="J691" s="6"/>
      <c r="L691" s="277"/>
      <c r="M691" s="275"/>
      <c r="P691" s="251"/>
      <c r="Q691" s="6"/>
      <c r="S691" s="251"/>
      <c r="T691" s="6"/>
    </row>
    <row r="692" spans="8:20" ht="13.5" thickBot="1">
      <c r="H692" s="285"/>
      <c r="I692" s="6"/>
      <c r="J692" s="6"/>
      <c r="L692" s="277"/>
      <c r="M692" s="275"/>
      <c r="P692" s="251"/>
      <c r="Q692" s="6"/>
      <c r="S692" s="251"/>
      <c r="T692" s="6"/>
    </row>
    <row r="693" spans="8:20" ht="13.5" thickBot="1">
      <c r="H693" s="285"/>
      <c r="I693" s="6"/>
      <c r="J693" s="6"/>
      <c r="L693" s="277"/>
      <c r="M693" s="275"/>
      <c r="P693" s="251"/>
      <c r="Q693" s="6"/>
      <c r="S693" s="251"/>
      <c r="T693" s="6"/>
    </row>
    <row r="694" spans="8:20" ht="13.5" thickBot="1">
      <c r="H694" s="285"/>
      <c r="I694" s="6"/>
      <c r="J694" s="6"/>
      <c r="L694" s="277"/>
      <c r="M694" s="275"/>
      <c r="P694" s="251"/>
      <c r="Q694" s="6"/>
      <c r="S694" s="251"/>
      <c r="T694" s="6"/>
    </row>
    <row r="695" spans="8:20" ht="13.5" thickBot="1">
      <c r="H695" s="285"/>
      <c r="I695" s="6"/>
      <c r="J695" s="6"/>
      <c r="L695" s="277"/>
      <c r="M695" s="275"/>
      <c r="P695" s="251"/>
      <c r="Q695" s="6"/>
      <c r="S695" s="251"/>
      <c r="T695" s="6"/>
    </row>
    <row r="696" spans="8:20" ht="13.5" thickBot="1">
      <c r="H696" s="285"/>
      <c r="I696" s="6"/>
      <c r="J696" s="6"/>
      <c r="L696" s="277"/>
      <c r="M696" s="275"/>
      <c r="P696" s="251"/>
      <c r="Q696" s="6"/>
      <c r="S696" s="251"/>
      <c r="T696" s="6"/>
    </row>
    <row r="697" spans="8:20" ht="13.5" thickBot="1">
      <c r="H697" s="285"/>
      <c r="I697" s="6"/>
      <c r="J697" s="6"/>
      <c r="L697" s="277"/>
      <c r="M697" s="275"/>
      <c r="P697" s="251"/>
      <c r="Q697" s="6"/>
      <c r="S697" s="251"/>
      <c r="T697" s="6"/>
    </row>
    <row r="698" spans="8:20" ht="13.5" thickBot="1">
      <c r="H698" s="285"/>
      <c r="I698" s="6"/>
      <c r="J698" s="6"/>
      <c r="L698" s="277"/>
      <c r="M698" s="275"/>
      <c r="P698" s="251"/>
      <c r="Q698" s="6"/>
      <c r="S698" s="251"/>
      <c r="T698" s="6"/>
    </row>
    <row r="699" spans="8:20" ht="13.5" thickBot="1">
      <c r="H699" s="285"/>
      <c r="I699" s="6"/>
      <c r="J699" s="6"/>
      <c r="L699" s="277"/>
      <c r="M699" s="275"/>
      <c r="P699" s="251"/>
      <c r="Q699" s="6"/>
      <c r="S699" s="251"/>
      <c r="T699" s="6"/>
    </row>
    <row r="700" spans="8:20" ht="13.5" thickBot="1">
      <c r="H700" s="285"/>
      <c r="I700" s="6"/>
      <c r="J700" s="6"/>
      <c r="L700" s="277"/>
      <c r="M700" s="275"/>
      <c r="P700" s="251"/>
      <c r="Q700" s="6"/>
      <c r="S700" s="251"/>
      <c r="T700" s="6"/>
    </row>
    <row r="701" spans="8:20" ht="13.5" thickBot="1">
      <c r="H701" s="285"/>
      <c r="I701" s="6"/>
      <c r="J701" s="6"/>
      <c r="L701" s="277"/>
      <c r="M701" s="275"/>
      <c r="P701" s="251"/>
      <c r="Q701" s="6"/>
      <c r="S701" s="251"/>
      <c r="T701" s="6"/>
    </row>
    <row r="702" spans="8:20" ht="13.5" thickBot="1">
      <c r="H702" s="285"/>
      <c r="I702" s="6"/>
      <c r="J702" s="6"/>
      <c r="L702" s="277"/>
      <c r="M702" s="275"/>
      <c r="P702" s="251"/>
      <c r="Q702" s="6"/>
      <c r="S702" s="251"/>
      <c r="T702" s="6"/>
    </row>
    <row r="703" spans="8:20" ht="13.5" thickBot="1">
      <c r="H703" s="285"/>
      <c r="I703" s="6"/>
      <c r="J703" s="6"/>
      <c r="L703" s="277"/>
      <c r="M703" s="275"/>
      <c r="P703" s="251"/>
      <c r="Q703" s="6"/>
      <c r="S703" s="251"/>
      <c r="T703" s="6"/>
    </row>
    <row r="704" spans="8:20" ht="13.5" thickBot="1">
      <c r="H704" s="285"/>
      <c r="I704" s="6"/>
      <c r="J704" s="6"/>
      <c r="L704" s="277"/>
      <c r="M704" s="275"/>
      <c r="P704" s="251"/>
      <c r="Q704" s="6"/>
      <c r="S704" s="251"/>
      <c r="T704" s="6"/>
    </row>
    <row r="705" spans="8:20" ht="13.5" thickBot="1">
      <c r="H705" s="285"/>
      <c r="I705" s="6"/>
      <c r="J705" s="6"/>
      <c r="L705" s="277"/>
      <c r="M705" s="275"/>
      <c r="P705" s="251"/>
      <c r="Q705" s="6"/>
      <c r="S705" s="251"/>
      <c r="T705" s="6"/>
    </row>
    <row r="706" spans="8:20" ht="13.5" thickBot="1">
      <c r="H706" s="285"/>
      <c r="I706" s="6"/>
      <c r="J706" s="6"/>
      <c r="L706" s="277"/>
      <c r="M706" s="275"/>
      <c r="P706" s="251"/>
      <c r="Q706" s="6"/>
      <c r="S706" s="251"/>
      <c r="T706" s="6"/>
    </row>
    <row r="707" spans="8:20" ht="13.5" thickBot="1">
      <c r="H707" s="285"/>
      <c r="I707" s="6"/>
      <c r="J707" s="6"/>
      <c r="L707" s="277"/>
      <c r="M707" s="275"/>
      <c r="P707" s="251"/>
      <c r="Q707" s="6"/>
      <c r="S707" s="251"/>
      <c r="T707" s="6"/>
    </row>
    <row r="708" spans="8:20" ht="13.5" thickBot="1">
      <c r="H708" s="285"/>
      <c r="I708" s="6"/>
      <c r="J708" s="6"/>
      <c r="L708" s="277"/>
      <c r="M708" s="275"/>
      <c r="P708" s="251"/>
      <c r="Q708" s="6"/>
      <c r="S708" s="251"/>
      <c r="T708" s="6"/>
    </row>
    <row r="709" spans="8:20" ht="13.5" thickBot="1">
      <c r="H709" s="285"/>
      <c r="I709" s="6"/>
      <c r="J709" s="6"/>
      <c r="L709" s="277"/>
      <c r="M709" s="275"/>
      <c r="P709" s="251"/>
      <c r="Q709" s="6"/>
      <c r="S709" s="251"/>
      <c r="T709" s="6"/>
    </row>
    <row r="710" spans="8:20" ht="13.5" thickBot="1">
      <c r="H710" s="285"/>
      <c r="I710" s="6"/>
      <c r="J710" s="6"/>
      <c r="L710" s="277"/>
      <c r="M710" s="275"/>
      <c r="P710" s="251"/>
      <c r="Q710" s="6"/>
      <c r="S710" s="251"/>
      <c r="T710" s="6"/>
    </row>
    <row r="711" spans="8:20" ht="13.5" thickBot="1">
      <c r="H711" s="285"/>
      <c r="I711" s="6"/>
      <c r="J711" s="6"/>
      <c r="L711" s="277"/>
      <c r="M711" s="275"/>
      <c r="P711" s="251"/>
      <c r="Q711" s="6"/>
      <c r="S711" s="251"/>
      <c r="T711" s="6"/>
    </row>
    <row r="712" spans="8:20" ht="13.5" thickBot="1">
      <c r="H712" s="285"/>
      <c r="I712" s="6"/>
      <c r="J712" s="6"/>
      <c r="L712" s="277"/>
      <c r="M712" s="275"/>
      <c r="P712" s="251"/>
      <c r="Q712" s="6"/>
      <c r="S712" s="251"/>
      <c r="T712" s="6"/>
    </row>
    <row r="713" spans="8:20" ht="13.5" thickBot="1">
      <c r="H713" s="285"/>
      <c r="I713" s="6"/>
      <c r="J713" s="6"/>
      <c r="L713" s="277"/>
      <c r="M713" s="275"/>
      <c r="P713" s="251"/>
      <c r="Q713" s="6"/>
      <c r="S713" s="251"/>
      <c r="T713" s="6"/>
    </row>
    <row r="714" spans="8:20" ht="13.5" thickBot="1">
      <c r="H714" s="285"/>
      <c r="I714" s="6"/>
      <c r="J714" s="6"/>
      <c r="L714" s="277"/>
      <c r="M714" s="275"/>
      <c r="P714" s="251"/>
      <c r="Q714" s="6"/>
      <c r="S714" s="251"/>
      <c r="T714" s="6"/>
    </row>
    <row r="715" spans="8:20" ht="13.5" thickBot="1">
      <c r="H715" s="285"/>
      <c r="I715" s="6"/>
      <c r="J715" s="6"/>
      <c r="L715" s="277"/>
      <c r="M715" s="275"/>
      <c r="P715" s="251"/>
      <c r="Q715" s="6"/>
      <c r="S715" s="251"/>
      <c r="T715" s="6"/>
    </row>
    <row r="716" spans="8:20" ht="13.5" thickBot="1">
      <c r="H716" s="285"/>
      <c r="I716" s="6"/>
      <c r="J716" s="6"/>
      <c r="L716" s="277"/>
      <c r="M716" s="275"/>
      <c r="P716" s="251"/>
      <c r="Q716" s="6"/>
      <c r="S716" s="251"/>
      <c r="T716" s="6"/>
    </row>
    <row r="717" spans="8:20" ht="13.5" thickBot="1">
      <c r="H717" s="285"/>
      <c r="I717" s="6"/>
      <c r="J717" s="6"/>
      <c r="L717" s="277"/>
      <c r="M717" s="275"/>
      <c r="P717" s="251"/>
      <c r="Q717" s="6"/>
      <c r="S717" s="251"/>
      <c r="T717" s="6"/>
    </row>
    <row r="718" spans="8:20" ht="13.5" thickBot="1">
      <c r="H718" s="285"/>
      <c r="I718" s="6"/>
      <c r="J718" s="6"/>
      <c r="L718" s="277"/>
      <c r="M718" s="275"/>
      <c r="P718" s="251"/>
      <c r="Q718" s="6"/>
      <c r="S718" s="251"/>
      <c r="T718" s="6"/>
    </row>
    <row r="719" spans="8:20" ht="13.5" thickBot="1">
      <c r="H719" s="285"/>
      <c r="I719" s="6"/>
      <c r="J719" s="6"/>
      <c r="L719" s="277"/>
      <c r="M719" s="275"/>
      <c r="P719" s="251"/>
      <c r="Q719" s="6"/>
      <c r="S719" s="251"/>
      <c r="T719" s="6"/>
    </row>
    <row r="720" spans="8:20" ht="13.5" thickBot="1">
      <c r="H720" s="285"/>
      <c r="I720" s="6"/>
      <c r="J720" s="6"/>
      <c r="L720" s="277"/>
      <c r="M720" s="275"/>
      <c r="P720" s="251"/>
      <c r="Q720" s="6"/>
      <c r="S720" s="251"/>
      <c r="T720" s="6"/>
    </row>
    <row r="721" spans="8:20" ht="13.5" thickBot="1">
      <c r="H721" s="285"/>
      <c r="I721" s="6"/>
      <c r="J721" s="6"/>
      <c r="L721" s="277"/>
      <c r="M721" s="275"/>
      <c r="P721" s="251"/>
      <c r="Q721" s="6"/>
      <c r="S721" s="251"/>
      <c r="T721" s="6"/>
    </row>
    <row r="722" spans="8:20" ht="13.5" thickBot="1">
      <c r="H722" s="285"/>
      <c r="I722" s="6"/>
      <c r="J722" s="6"/>
      <c r="L722" s="277"/>
      <c r="M722" s="275"/>
      <c r="P722" s="251"/>
      <c r="Q722" s="6"/>
      <c r="S722" s="251"/>
      <c r="T722" s="6"/>
    </row>
    <row r="723" spans="8:20" ht="13.5" thickBot="1">
      <c r="H723" s="285"/>
      <c r="I723" s="6"/>
      <c r="J723" s="6"/>
      <c r="L723" s="277"/>
      <c r="M723" s="275"/>
      <c r="P723" s="251"/>
      <c r="Q723" s="6"/>
      <c r="S723" s="251"/>
      <c r="T723" s="6"/>
    </row>
    <row r="724" spans="8:20" ht="13.5" thickBot="1">
      <c r="H724" s="285"/>
      <c r="I724" s="6"/>
      <c r="J724" s="6"/>
      <c r="L724" s="277"/>
      <c r="M724" s="275"/>
      <c r="P724" s="251"/>
      <c r="Q724" s="6"/>
      <c r="S724" s="251"/>
      <c r="T724" s="6"/>
    </row>
    <row r="725" spans="8:20" ht="13.5" thickBot="1">
      <c r="H725" s="285"/>
      <c r="I725" s="6"/>
      <c r="J725" s="6"/>
      <c r="L725" s="277"/>
      <c r="M725" s="275"/>
      <c r="P725" s="251"/>
      <c r="Q725" s="6"/>
      <c r="S725" s="251"/>
      <c r="T725" s="6"/>
    </row>
    <row r="726" spans="8:20" ht="13.5" thickBot="1">
      <c r="H726" s="285"/>
      <c r="I726" s="6"/>
      <c r="J726" s="6"/>
      <c r="L726" s="277"/>
      <c r="M726" s="275"/>
      <c r="P726" s="251"/>
      <c r="Q726" s="6"/>
      <c r="S726" s="251"/>
      <c r="T726" s="6"/>
    </row>
    <row r="727" spans="8:20" ht="13.5" thickBot="1">
      <c r="H727" s="285"/>
      <c r="I727" s="6"/>
      <c r="J727" s="6"/>
      <c r="L727" s="277"/>
      <c r="M727" s="275"/>
      <c r="P727" s="251"/>
      <c r="Q727" s="6"/>
      <c r="S727" s="251"/>
      <c r="T727" s="6"/>
    </row>
    <row r="728" spans="8:20" ht="13.5" thickBot="1">
      <c r="H728" s="285"/>
      <c r="I728" s="6"/>
      <c r="J728" s="6"/>
      <c r="L728" s="277"/>
      <c r="M728" s="275"/>
      <c r="P728" s="251"/>
      <c r="Q728" s="6"/>
      <c r="S728" s="251"/>
      <c r="T728" s="6"/>
    </row>
    <row r="729" spans="8:20" ht="13.5" thickBot="1">
      <c r="H729" s="285"/>
      <c r="I729" s="6"/>
      <c r="J729" s="6"/>
      <c r="L729" s="277"/>
      <c r="M729" s="275"/>
      <c r="P729" s="251"/>
      <c r="Q729" s="6"/>
      <c r="S729" s="251"/>
      <c r="T729" s="6"/>
    </row>
    <row r="730" spans="8:20" ht="13.5" thickBot="1">
      <c r="H730" s="285"/>
      <c r="I730" s="6"/>
      <c r="J730" s="6"/>
      <c r="L730" s="277"/>
      <c r="M730" s="275"/>
      <c r="P730" s="251"/>
      <c r="Q730" s="6"/>
      <c r="S730" s="251"/>
      <c r="T730" s="6"/>
    </row>
    <row r="731" spans="8:20" ht="13.5" thickBot="1">
      <c r="H731" s="285"/>
      <c r="I731" s="6"/>
      <c r="J731" s="6"/>
      <c r="L731" s="277"/>
      <c r="M731" s="275"/>
      <c r="P731" s="251"/>
      <c r="Q731" s="6"/>
      <c r="S731" s="251"/>
      <c r="T731" s="6"/>
    </row>
    <row r="732" spans="8:20" ht="13.5" thickBot="1">
      <c r="H732" s="285"/>
      <c r="I732" s="6"/>
      <c r="J732" s="6"/>
      <c r="L732" s="277"/>
      <c r="M732" s="275"/>
      <c r="P732" s="251"/>
      <c r="Q732" s="6"/>
      <c r="S732" s="251"/>
      <c r="T732" s="6"/>
    </row>
    <row r="733" spans="8:20" ht="13.5" thickBot="1">
      <c r="H733" s="285"/>
      <c r="I733" s="6"/>
      <c r="J733" s="6"/>
      <c r="L733" s="277"/>
      <c r="M733" s="275"/>
      <c r="P733" s="251"/>
      <c r="Q733" s="6"/>
      <c r="S733" s="251"/>
      <c r="T733" s="6"/>
    </row>
    <row r="734" spans="8:20" ht="13.5" thickBot="1">
      <c r="H734" s="285"/>
      <c r="I734" s="6"/>
      <c r="J734" s="6"/>
      <c r="L734" s="277"/>
      <c r="M734" s="275"/>
      <c r="P734" s="251"/>
      <c r="Q734" s="6"/>
      <c r="S734" s="251"/>
      <c r="T734" s="6"/>
    </row>
    <row r="735" spans="8:20" ht="13.5" thickBot="1">
      <c r="H735" s="285"/>
      <c r="I735" s="6"/>
      <c r="J735" s="6"/>
      <c r="L735" s="277"/>
      <c r="M735" s="275"/>
      <c r="P735" s="251"/>
      <c r="Q735" s="6"/>
      <c r="S735" s="251"/>
      <c r="T735" s="6"/>
    </row>
    <row r="736" spans="8:20" ht="13.5" thickBot="1">
      <c r="H736" s="285"/>
      <c r="I736" s="6"/>
      <c r="J736" s="6"/>
      <c r="L736" s="277"/>
      <c r="M736" s="275"/>
      <c r="P736" s="251"/>
      <c r="Q736" s="6"/>
      <c r="S736" s="251"/>
      <c r="T736" s="6"/>
    </row>
    <row r="737" spans="8:20" ht="13.5" thickBot="1">
      <c r="H737" s="285"/>
      <c r="I737" s="6"/>
      <c r="J737" s="6"/>
      <c r="L737" s="277"/>
      <c r="M737" s="275"/>
      <c r="P737" s="251"/>
      <c r="Q737" s="6"/>
      <c r="S737" s="251"/>
      <c r="T737" s="6"/>
    </row>
    <row r="738" spans="8:20" ht="13.5" thickBot="1">
      <c r="H738" s="285"/>
      <c r="I738" s="6"/>
      <c r="J738" s="6"/>
      <c r="L738" s="277"/>
      <c r="M738" s="275"/>
      <c r="P738" s="251"/>
      <c r="Q738" s="6"/>
      <c r="S738" s="251"/>
      <c r="T738" s="6"/>
    </row>
    <row r="739" spans="8:20" ht="13.5" thickBot="1">
      <c r="H739" s="285"/>
      <c r="I739" s="6"/>
      <c r="J739" s="6"/>
      <c r="L739" s="277"/>
      <c r="M739" s="275"/>
      <c r="P739" s="251"/>
      <c r="Q739" s="6"/>
      <c r="S739" s="251"/>
      <c r="T739" s="6"/>
    </row>
    <row r="740" spans="8:20" ht="13.5" thickBot="1">
      <c r="H740" s="285"/>
      <c r="I740" s="6"/>
      <c r="J740" s="6"/>
      <c r="L740" s="277"/>
      <c r="M740" s="275"/>
      <c r="P740" s="251"/>
      <c r="Q740" s="6"/>
      <c r="S740" s="251"/>
      <c r="T740" s="6"/>
    </row>
    <row r="741" spans="8:20" ht="13.5" thickBot="1">
      <c r="H741" s="285"/>
      <c r="I741" s="6"/>
      <c r="J741" s="6"/>
      <c r="L741" s="277"/>
      <c r="M741" s="275"/>
      <c r="P741" s="251"/>
      <c r="Q741" s="6"/>
      <c r="S741" s="251"/>
      <c r="T741" s="6"/>
    </row>
    <row r="742" spans="8:20" ht="13.5" thickBot="1">
      <c r="H742" s="285"/>
      <c r="I742" s="6"/>
      <c r="J742" s="6"/>
      <c r="L742" s="277"/>
      <c r="M742" s="275"/>
      <c r="P742" s="251"/>
      <c r="Q742" s="6"/>
      <c r="S742" s="251"/>
      <c r="T742" s="6"/>
    </row>
    <row r="743" spans="8:20" ht="13.5" thickBot="1">
      <c r="H743" s="285"/>
      <c r="I743" s="6"/>
      <c r="J743" s="6"/>
      <c r="L743" s="277"/>
      <c r="M743" s="275"/>
      <c r="P743" s="251"/>
      <c r="Q743" s="6"/>
      <c r="S743" s="251"/>
      <c r="T743" s="6"/>
    </row>
    <row r="744" spans="8:20" ht="13.5" thickBot="1">
      <c r="H744" s="285"/>
      <c r="I744" s="6"/>
      <c r="J744" s="6"/>
      <c r="L744" s="277"/>
      <c r="M744" s="275"/>
      <c r="P744" s="251"/>
      <c r="Q744" s="6"/>
      <c r="S744" s="251"/>
      <c r="T744" s="6"/>
    </row>
    <row r="745" spans="8:20" ht="13.5" thickBot="1">
      <c r="H745" s="285"/>
      <c r="I745" s="6"/>
      <c r="J745" s="6"/>
      <c r="L745" s="277"/>
      <c r="M745" s="275"/>
      <c r="P745" s="251"/>
      <c r="Q745" s="6"/>
      <c r="S745" s="251"/>
      <c r="T745" s="6"/>
    </row>
    <row r="746" spans="8:20" ht="13.5" thickBot="1">
      <c r="H746" s="285"/>
      <c r="I746" s="6"/>
      <c r="J746" s="6"/>
      <c r="L746" s="277"/>
      <c r="M746" s="275"/>
      <c r="P746" s="251"/>
      <c r="Q746" s="6"/>
      <c r="S746" s="251"/>
      <c r="T746" s="6"/>
    </row>
    <row r="747" spans="8:20" ht="13.5" thickBot="1">
      <c r="H747" s="285"/>
      <c r="I747" s="6"/>
      <c r="J747" s="6"/>
      <c r="L747" s="277"/>
      <c r="M747" s="275"/>
      <c r="P747" s="251"/>
      <c r="Q747" s="6"/>
      <c r="S747" s="251"/>
      <c r="T747" s="6"/>
    </row>
    <row r="748" spans="8:20" ht="13.5" thickBot="1">
      <c r="H748" s="285"/>
      <c r="I748" s="6"/>
      <c r="J748" s="6"/>
      <c r="L748" s="277"/>
      <c r="M748" s="275"/>
      <c r="P748" s="251"/>
      <c r="Q748" s="6"/>
      <c r="S748" s="251"/>
      <c r="T748" s="6"/>
    </row>
    <row r="749" spans="8:20" ht="13.5" thickBot="1">
      <c r="H749" s="285"/>
      <c r="I749" s="6"/>
      <c r="J749" s="6"/>
      <c r="L749" s="277"/>
      <c r="M749" s="275"/>
      <c r="P749" s="251"/>
      <c r="Q749" s="6"/>
      <c r="S749" s="251"/>
      <c r="T749" s="6"/>
    </row>
    <row r="750" spans="8:20" ht="13.5" thickBot="1">
      <c r="H750" s="285"/>
      <c r="I750" s="6"/>
      <c r="J750" s="6"/>
      <c r="L750" s="277"/>
      <c r="M750" s="275"/>
      <c r="P750" s="251"/>
      <c r="Q750" s="6"/>
      <c r="S750" s="251"/>
      <c r="T750" s="6"/>
    </row>
    <row r="751" spans="8:20" ht="13.5" thickBot="1">
      <c r="H751" s="285"/>
      <c r="I751" s="6"/>
      <c r="J751" s="6"/>
      <c r="L751" s="277"/>
      <c r="M751" s="275"/>
      <c r="P751" s="251"/>
      <c r="Q751" s="6"/>
      <c r="S751" s="251"/>
      <c r="T751" s="6"/>
    </row>
    <row r="752" spans="8:20" ht="13.5" thickBot="1">
      <c r="H752" s="285"/>
      <c r="I752" s="6"/>
      <c r="J752" s="6"/>
      <c r="L752" s="277"/>
      <c r="M752" s="275"/>
      <c r="P752" s="251"/>
      <c r="Q752" s="6"/>
      <c r="S752" s="251"/>
      <c r="T752" s="6"/>
    </row>
    <row r="753" spans="8:20" ht="13.5" thickBot="1">
      <c r="H753" s="285"/>
      <c r="I753" s="6"/>
      <c r="J753" s="6"/>
      <c r="L753" s="277"/>
      <c r="M753" s="275"/>
      <c r="P753" s="251"/>
      <c r="Q753" s="6"/>
      <c r="S753" s="251"/>
      <c r="T753" s="6"/>
    </row>
    <row r="754" spans="8:20" ht="13.5" thickBot="1">
      <c r="H754" s="285"/>
      <c r="I754" s="6"/>
      <c r="J754" s="6"/>
      <c r="L754" s="277"/>
      <c r="M754" s="275"/>
      <c r="P754" s="251"/>
      <c r="Q754" s="6"/>
      <c r="S754" s="251"/>
      <c r="T754" s="6"/>
    </row>
    <row r="755" spans="8:20" ht="13.5" thickBot="1">
      <c r="H755" s="285"/>
      <c r="I755" s="6"/>
      <c r="J755" s="6"/>
      <c r="L755" s="277"/>
      <c r="M755" s="275"/>
      <c r="P755" s="251"/>
      <c r="Q755" s="6"/>
      <c r="S755" s="251"/>
      <c r="T755" s="6"/>
    </row>
    <row r="756" spans="8:20" ht="13.5" thickBot="1">
      <c r="H756" s="285"/>
      <c r="I756" s="6"/>
      <c r="J756" s="6"/>
      <c r="L756" s="277"/>
      <c r="M756" s="275"/>
      <c r="P756" s="251"/>
      <c r="Q756" s="6"/>
      <c r="S756" s="251"/>
      <c r="T756" s="6"/>
    </row>
    <row r="757" spans="8:20" ht="13.5" thickBot="1">
      <c r="H757" s="285"/>
      <c r="I757" s="6"/>
      <c r="J757" s="6"/>
      <c r="L757" s="277"/>
      <c r="M757" s="275"/>
      <c r="P757" s="251"/>
      <c r="Q757" s="6"/>
      <c r="S757" s="251"/>
      <c r="T757" s="6"/>
    </row>
    <row r="758" spans="8:20" ht="13.5" thickBot="1">
      <c r="H758" s="285"/>
      <c r="I758" s="6"/>
      <c r="J758" s="6"/>
      <c r="L758" s="277"/>
      <c r="M758" s="275"/>
      <c r="P758" s="251"/>
      <c r="Q758" s="6"/>
      <c r="S758" s="251"/>
      <c r="T758" s="6"/>
    </row>
    <row r="759" spans="8:20" ht="13.5" thickBot="1">
      <c r="H759" s="285"/>
      <c r="I759" s="6"/>
      <c r="J759" s="6"/>
      <c r="L759" s="277"/>
      <c r="M759" s="275"/>
      <c r="P759" s="251"/>
      <c r="Q759" s="6"/>
      <c r="S759" s="251"/>
      <c r="T759" s="6"/>
    </row>
    <row r="760" spans="8:20" ht="13.5" thickBot="1">
      <c r="H760" s="285"/>
      <c r="I760" s="6"/>
      <c r="J760" s="6"/>
      <c r="L760" s="277"/>
      <c r="M760" s="275"/>
      <c r="P760" s="251"/>
      <c r="Q760" s="6"/>
      <c r="S760" s="251"/>
      <c r="T760" s="6"/>
    </row>
    <row r="761" spans="8:20" ht="13.5" thickBot="1">
      <c r="H761" s="285"/>
      <c r="I761" s="6"/>
      <c r="J761" s="6"/>
      <c r="L761" s="277"/>
      <c r="M761" s="275"/>
      <c r="P761" s="251"/>
      <c r="Q761" s="6"/>
      <c r="S761" s="251"/>
      <c r="T761" s="6"/>
    </row>
    <row r="762" spans="8:20" ht="13.5" thickBot="1">
      <c r="H762" s="285"/>
      <c r="I762" s="6"/>
      <c r="J762" s="6"/>
      <c r="L762" s="277"/>
      <c r="M762" s="275"/>
      <c r="P762" s="251"/>
      <c r="Q762" s="6"/>
      <c r="S762" s="251"/>
      <c r="T762" s="6"/>
    </row>
    <row r="763" spans="8:20" ht="13.5" thickBot="1">
      <c r="H763" s="285"/>
      <c r="I763" s="6"/>
      <c r="J763" s="6"/>
      <c r="L763" s="277"/>
      <c r="M763" s="275"/>
      <c r="P763" s="251"/>
      <c r="Q763" s="6"/>
      <c r="S763" s="251"/>
      <c r="T763" s="6"/>
    </row>
    <row r="764" spans="8:20" ht="13.5" thickBot="1">
      <c r="H764" s="285"/>
      <c r="I764" s="6"/>
      <c r="J764" s="6"/>
      <c r="L764" s="277"/>
      <c r="M764" s="275"/>
      <c r="P764" s="251"/>
      <c r="Q764" s="6"/>
      <c r="S764" s="251"/>
      <c r="T764" s="6"/>
    </row>
    <row r="765" spans="8:20" ht="13.5" thickBot="1">
      <c r="H765" s="285"/>
      <c r="I765" s="6"/>
      <c r="J765" s="6"/>
      <c r="L765" s="277"/>
      <c r="M765" s="275"/>
      <c r="P765" s="251"/>
      <c r="Q765" s="6"/>
      <c r="S765" s="251"/>
      <c r="T765" s="6"/>
    </row>
    <row r="766" spans="8:20" ht="13.5" thickBot="1">
      <c r="H766" s="285"/>
      <c r="I766" s="6"/>
      <c r="J766" s="6"/>
      <c r="L766" s="277"/>
      <c r="M766" s="275"/>
      <c r="P766" s="251"/>
      <c r="Q766" s="6"/>
      <c r="S766" s="251"/>
      <c r="T766" s="6"/>
    </row>
    <row r="767" spans="8:20" ht="13.5" thickBot="1">
      <c r="H767" s="285"/>
      <c r="I767" s="6"/>
      <c r="J767" s="6"/>
      <c r="L767" s="277"/>
      <c r="M767" s="275"/>
      <c r="P767" s="251"/>
      <c r="Q767" s="6"/>
      <c r="S767" s="251"/>
      <c r="T767" s="6"/>
    </row>
    <row r="768" spans="8:20" ht="13.5" thickBot="1">
      <c r="H768" s="285"/>
      <c r="I768" s="6"/>
      <c r="J768" s="6"/>
      <c r="L768" s="277"/>
      <c r="M768" s="275"/>
      <c r="P768" s="251"/>
      <c r="Q768" s="6"/>
      <c r="S768" s="251"/>
      <c r="T768" s="6"/>
    </row>
    <row r="769" spans="8:20" ht="13.5" thickBot="1">
      <c r="H769" s="285"/>
      <c r="I769" s="6"/>
      <c r="J769" s="6"/>
      <c r="L769" s="277"/>
      <c r="M769" s="275"/>
      <c r="P769" s="251"/>
      <c r="Q769" s="6"/>
      <c r="S769" s="251"/>
      <c r="T769" s="6"/>
    </row>
    <row r="770" spans="8:20" ht="13.5" thickBot="1">
      <c r="H770" s="285"/>
      <c r="I770" s="6"/>
      <c r="J770" s="6"/>
      <c r="L770" s="277"/>
      <c r="M770" s="275"/>
      <c r="P770" s="251"/>
      <c r="Q770" s="6"/>
      <c r="S770" s="251"/>
      <c r="T770" s="6"/>
    </row>
    <row r="771" spans="8:20" ht="13.5" thickBot="1">
      <c r="H771" s="285"/>
      <c r="I771" s="6"/>
      <c r="J771" s="6"/>
      <c r="L771" s="277"/>
      <c r="M771" s="275"/>
      <c r="P771" s="251"/>
      <c r="Q771" s="6"/>
      <c r="S771" s="251"/>
      <c r="T771" s="6"/>
    </row>
    <row r="772" spans="8:20" ht="13.5" thickBot="1">
      <c r="H772" s="285"/>
      <c r="I772" s="6"/>
      <c r="J772" s="6"/>
      <c r="L772" s="277"/>
      <c r="M772" s="275"/>
      <c r="P772" s="251"/>
      <c r="Q772" s="6"/>
      <c r="S772" s="251"/>
      <c r="T772" s="6"/>
    </row>
    <row r="773" spans="8:20" ht="13.5" thickBot="1">
      <c r="H773" s="285"/>
      <c r="I773" s="6"/>
      <c r="J773" s="6"/>
      <c r="L773" s="277"/>
      <c r="M773" s="275"/>
      <c r="P773" s="251"/>
      <c r="Q773" s="6"/>
      <c r="S773" s="251"/>
      <c r="T773" s="6"/>
    </row>
    <row r="774" spans="8:20" ht="13.5" thickBot="1">
      <c r="H774" s="285"/>
      <c r="I774" s="6"/>
      <c r="J774" s="6"/>
      <c r="L774" s="277"/>
      <c r="M774" s="275"/>
      <c r="P774" s="251"/>
      <c r="Q774" s="6"/>
      <c r="S774" s="251"/>
      <c r="T774" s="6"/>
    </row>
    <row r="775" spans="8:20" ht="13.5" thickBot="1">
      <c r="H775" s="285"/>
      <c r="I775" s="6"/>
      <c r="J775" s="6"/>
      <c r="L775" s="277"/>
      <c r="M775" s="275"/>
      <c r="P775" s="251"/>
      <c r="Q775" s="6"/>
      <c r="S775" s="251"/>
      <c r="T775" s="6"/>
    </row>
    <row r="776" spans="8:20" ht="13.5" thickBot="1">
      <c r="H776" s="285"/>
      <c r="I776" s="6"/>
      <c r="J776" s="6"/>
      <c r="L776" s="277"/>
      <c r="M776" s="275"/>
      <c r="P776" s="251"/>
      <c r="Q776" s="6"/>
      <c r="S776" s="251"/>
      <c r="T776" s="6"/>
    </row>
    <row r="777" spans="8:20" ht="13.5" thickBot="1">
      <c r="H777" s="285"/>
      <c r="I777" s="6"/>
      <c r="J777" s="6"/>
      <c r="L777" s="277"/>
      <c r="M777" s="275"/>
      <c r="P777" s="251"/>
      <c r="Q777" s="6"/>
      <c r="S777" s="251"/>
      <c r="T777" s="6"/>
    </row>
    <row r="778" spans="8:20" ht="13.5" thickBot="1">
      <c r="H778" s="285"/>
      <c r="I778" s="6"/>
      <c r="J778" s="6"/>
      <c r="L778" s="277"/>
      <c r="M778" s="275"/>
      <c r="P778" s="251"/>
      <c r="Q778" s="6"/>
      <c r="S778" s="251"/>
      <c r="T778" s="6"/>
    </row>
    <row r="779" spans="8:20" ht="13.5" thickBot="1">
      <c r="H779" s="285"/>
      <c r="I779" s="6"/>
      <c r="J779" s="6"/>
      <c r="L779" s="277"/>
      <c r="M779" s="275"/>
      <c r="P779" s="251"/>
      <c r="Q779" s="6"/>
      <c r="S779" s="251"/>
      <c r="T779" s="6"/>
    </row>
    <row r="780" spans="8:20" ht="13.5" thickBot="1">
      <c r="H780" s="285"/>
      <c r="I780" s="6"/>
      <c r="J780" s="6"/>
      <c r="L780" s="277"/>
      <c r="M780" s="275"/>
      <c r="P780" s="251"/>
      <c r="Q780" s="6"/>
      <c r="S780" s="251"/>
      <c r="T780" s="6"/>
    </row>
    <row r="781" spans="8:20" ht="13.5" thickBot="1">
      <c r="H781" s="285"/>
      <c r="I781" s="6"/>
      <c r="J781" s="6"/>
      <c r="L781" s="277"/>
      <c r="M781" s="275"/>
      <c r="P781" s="251"/>
      <c r="Q781" s="6"/>
      <c r="S781" s="251"/>
      <c r="T781" s="6"/>
    </row>
    <row r="782" spans="8:20" ht="13.5" thickBot="1">
      <c r="H782" s="285"/>
      <c r="I782" s="6"/>
      <c r="J782" s="6"/>
      <c r="L782" s="277"/>
      <c r="M782" s="275"/>
      <c r="P782" s="251"/>
      <c r="Q782" s="6"/>
      <c r="S782" s="251"/>
      <c r="T782" s="6"/>
    </row>
    <row r="783" spans="8:20" ht="13.5" thickBot="1">
      <c r="H783" s="285"/>
      <c r="I783" s="6"/>
      <c r="J783" s="6"/>
      <c r="L783" s="277"/>
      <c r="M783" s="275"/>
      <c r="P783" s="251"/>
      <c r="Q783" s="6"/>
      <c r="S783" s="251"/>
      <c r="T783" s="6"/>
    </row>
    <row r="784" spans="8:20" ht="13.5" thickBot="1">
      <c r="H784" s="285"/>
      <c r="I784" s="6"/>
      <c r="J784" s="6"/>
      <c r="L784" s="277"/>
      <c r="M784" s="275"/>
      <c r="P784" s="251"/>
      <c r="Q784" s="6"/>
      <c r="S784" s="251"/>
      <c r="T784" s="6"/>
    </row>
    <row r="785" spans="8:20" ht="13.5" thickBot="1">
      <c r="H785" s="285"/>
      <c r="I785" s="6"/>
      <c r="J785" s="6"/>
      <c r="L785" s="277"/>
      <c r="M785" s="275"/>
      <c r="P785" s="251"/>
      <c r="Q785" s="6"/>
      <c r="S785" s="251"/>
      <c r="T785" s="6"/>
    </row>
    <row r="786" spans="8:20" ht="13.5" thickBot="1">
      <c r="H786" s="285"/>
      <c r="I786" s="6"/>
      <c r="J786" s="6"/>
      <c r="L786" s="277"/>
      <c r="M786" s="275"/>
      <c r="P786" s="251"/>
      <c r="Q786" s="6"/>
      <c r="S786" s="251"/>
      <c r="T786" s="6"/>
    </row>
    <row r="787" spans="8:20" ht="13.5" thickBot="1">
      <c r="H787" s="285"/>
      <c r="I787" s="6"/>
      <c r="J787" s="6"/>
      <c r="L787" s="277"/>
      <c r="M787" s="275"/>
      <c r="P787" s="251"/>
      <c r="Q787" s="6"/>
      <c r="S787" s="251"/>
      <c r="T787" s="6"/>
    </row>
    <row r="788" spans="8:20" ht="13.5" thickBot="1">
      <c r="H788" s="285"/>
      <c r="I788" s="6"/>
      <c r="J788" s="6"/>
      <c r="L788" s="277"/>
      <c r="M788" s="275"/>
      <c r="P788" s="251"/>
      <c r="Q788" s="6"/>
      <c r="S788" s="251"/>
      <c r="T788" s="6"/>
    </row>
    <row r="789" spans="8:20" ht="13.5" thickBot="1">
      <c r="H789" s="285"/>
      <c r="I789" s="6"/>
      <c r="J789" s="6"/>
      <c r="L789" s="277"/>
      <c r="M789" s="275"/>
      <c r="P789" s="251"/>
      <c r="Q789" s="6"/>
      <c r="S789" s="251"/>
      <c r="T789" s="6"/>
    </row>
    <row r="790" spans="8:20" ht="13.5" thickBot="1">
      <c r="H790" s="285"/>
      <c r="I790" s="6"/>
      <c r="J790" s="6"/>
      <c r="L790" s="277"/>
      <c r="M790" s="275"/>
      <c r="P790" s="251"/>
      <c r="Q790" s="6"/>
      <c r="S790" s="251"/>
      <c r="T790" s="6"/>
    </row>
    <row r="791" spans="8:20" ht="13.5" thickBot="1">
      <c r="H791" s="285"/>
      <c r="I791" s="6"/>
      <c r="J791" s="6"/>
      <c r="L791" s="277"/>
      <c r="M791" s="275"/>
      <c r="P791" s="251"/>
      <c r="Q791" s="6"/>
      <c r="S791" s="251"/>
      <c r="T791" s="6"/>
    </row>
    <row r="792" spans="8:20" ht="13.5" thickBot="1">
      <c r="H792" s="285"/>
      <c r="I792" s="6"/>
      <c r="J792" s="6"/>
      <c r="L792" s="277"/>
      <c r="M792" s="275"/>
      <c r="P792" s="251"/>
      <c r="Q792" s="6"/>
      <c r="S792" s="251"/>
      <c r="T792" s="6"/>
    </row>
    <row r="793" spans="8:20" ht="13.5" thickBot="1">
      <c r="H793" s="285"/>
      <c r="I793" s="6"/>
      <c r="J793" s="6"/>
      <c r="L793" s="277"/>
      <c r="M793" s="275"/>
      <c r="P793" s="251"/>
      <c r="Q793" s="6"/>
      <c r="S793" s="251"/>
      <c r="T793" s="6"/>
    </row>
    <row r="794" spans="8:20" ht="13.5" thickBot="1">
      <c r="H794" s="285"/>
      <c r="I794" s="6"/>
      <c r="J794" s="6"/>
      <c r="L794" s="277"/>
      <c r="M794" s="275"/>
      <c r="P794" s="251"/>
      <c r="Q794" s="6"/>
      <c r="S794" s="251"/>
      <c r="T794" s="6"/>
    </row>
    <row r="795" spans="8:20" ht="13.5" thickBot="1">
      <c r="H795" s="285"/>
      <c r="I795" s="6"/>
      <c r="J795" s="6"/>
      <c r="L795" s="277"/>
      <c r="M795" s="275"/>
      <c r="P795" s="251"/>
      <c r="Q795" s="6"/>
      <c r="S795" s="251"/>
      <c r="T795" s="6"/>
    </row>
    <row r="796" spans="8:20" ht="13.5" thickBot="1">
      <c r="H796" s="285"/>
      <c r="I796" s="6"/>
      <c r="J796" s="6"/>
      <c r="L796" s="277"/>
      <c r="M796" s="275"/>
      <c r="P796" s="251"/>
      <c r="Q796" s="6"/>
      <c r="S796" s="251"/>
      <c r="T796" s="6"/>
    </row>
    <row r="797" spans="8:20" ht="13.5" thickBot="1">
      <c r="H797" s="285"/>
      <c r="I797" s="6"/>
      <c r="J797" s="6"/>
      <c r="L797" s="277"/>
      <c r="M797" s="275"/>
      <c r="P797" s="251"/>
      <c r="Q797" s="6"/>
      <c r="S797" s="251"/>
      <c r="T797" s="6"/>
    </row>
    <row r="798" spans="8:20" ht="13.5" thickBot="1">
      <c r="H798" s="285"/>
      <c r="I798" s="6"/>
      <c r="J798" s="6"/>
      <c r="L798" s="277"/>
      <c r="M798" s="275"/>
      <c r="P798" s="251"/>
      <c r="Q798" s="6"/>
      <c r="S798" s="251"/>
      <c r="T798" s="6"/>
    </row>
    <row r="799" spans="8:20" ht="13.5" thickBot="1">
      <c r="H799" s="285"/>
      <c r="I799" s="6"/>
      <c r="J799" s="6"/>
      <c r="L799" s="277"/>
      <c r="M799" s="275"/>
      <c r="P799" s="251"/>
      <c r="Q799" s="6"/>
      <c r="S799" s="251"/>
      <c r="T799" s="6"/>
    </row>
    <row r="800" spans="8:20" ht="13.5" thickBot="1">
      <c r="H800" s="285"/>
      <c r="I800" s="6"/>
      <c r="J800" s="6"/>
      <c r="L800" s="277"/>
      <c r="M800" s="275"/>
      <c r="P800" s="251"/>
      <c r="Q800" s="6"/>
      <c r="S800" s="251"/>
      <c r="T800" s="6"/>
    </row>
    <row r="801" spans="8:20" ht="13.5" thickBot="1">
      <c r="H801" s="285"/>
      <c r="I801" s="6"/>
      <c r="J801" s="6"/>
      <c r="L801" s="277"/>
      <c r="M801" s="275"/>
      <c r="P801" s="251"/>
      <c r="Q801" s="6"/>
      <c r="S801" s="251"/>
      <c r="T801" s="6"/>
    </row>
    <row r="802" spans="8:20" ht="13.5" thickBot="1">
      <c r="H802" s="285"/>
      <c r="I802" s="6"/>
      <c r="J802" s="6"/>
      <c r="L802" s="277"/>
      <c r="M802" s="275"/>
      <c r="P802" s="251"/>
      <c r="Q802" s="6"/>
      <c r="S802" s="251"/>
      <c r="T802" s="6"/>
    </row>
    <row r="803" spans="8:20" ht="13.5" thickBot="1">
      <c r="H803" s="285"/>
      <c r="I803" s="6"/>
      <c r="J803" s="6"/>
      <c r="L803" s="277"/>
      <c r="M803" s="275"/>
      <c r="P803" s="251"/>
      <c r="Q803" s="6"/>
      <c r="S803" s="251"/>
      <c r="T803" s="6"/>
    </row>
    <row r="804" spans="8:20" ht="13.5" thickBot="1">
      <c r="H804" s="285"/>
      <c r="I804" s="6"/>
      <c r="J804" s="6"/>
      <c r="L804" s="277"/>
      <c r="M804" s="275"/>
      <c r="P804" s="251"/>
      <c r="Q804" s="6"/>
      <c r="S804" s="251"/>
      <c r="T804" s="6"/>
    </row>
    <row r="805" spans="8:20" ht="13.5" thickBot="1">
      <c r="H805" s="285"/>
      <c r="I805" s="6"/>
      <c r="J805" s="6"/>
      <c r="L805" s="277"/>
      <c r="M805" s="275"/>
      <c r="P805" s="251"/>
      <c r="Q805" s="6"/>
      <c r="S805" s="251"/>
      <c r="T805" s="6"/>
    </row>
    <row r="806" spans="8:20" ht="13.5" thickBot="1">
      <c r="H806" s="285"/>
      <c r="I806" s="6"/>
      <c r="J806" s="6"/>
      <c r="L806" s="277"/>
      <c r="M806" s="275"/>
      <c r="P806" s="251"/>
      <c r="Q806" s="6"/>
      <c r="S806" s="251"/>
      <c r="T806" s="6"/>
    </row>
    <row r="807" spans="8:20" ht="13.5" thickBot="1">
      <c r="H807" s="285"/>
      <c r="I807" s="6"/>
      <c r="J807" s="6"/>
      <c r="L807" s="277"/>
      <c r="M807" s="275"/>
      <c r="P807" s="251"/>
      <c r="Q807" s="6"/>
      <c r="S807" s="251"/>
      <c r="T807" s="6"/>
    </row>
    <row r="808" spans="8:20" ht="13.5" thickBot="1">
      <c r="H808" s="285"/>
      <c r="I808" s="6"/>
      <c r="J808" s="6"/>
      <c r="L808" s="277"/>
      <c r="M808" s="275"/>
      <c r="P808" s="251"/>
      <c r="Q808" s="6"/>
      <c r="S808" s="251"/>
      <c r="T808" s="6"/>
    </row>
    <row r="809" spans="8:20" ht="13.5" thickBot="1">
      <c r="H809" s="285"/>
      <c r="I809" s="6"/>
      <c r="J809" s="6"/>
      <c r="L809" s="277"/>
      <c r="M809" s="275"/>
      <c r="P809" s="251"/>
      <c r="Q809" s="6"/>
      <c r="S809" s="251"/>
      <c r="T809" s="6"/>
    </row>
    <row r="810" spans="8:20" ht="13.5" thickBot="1">
      <c r="H810" s="285"/>
      <c r="I810" s="6"/>
      <c r="J810" s="6"/>
      <c r="L810" s="277"/>
      <c r="M810" s="275"/>
      <c r="P810" s="251"/>
      <c r="Q810" s="6"/>
      <c r="S810" s="251"/>
      <c r="T810" s="6"/>
    </row>
    <row r="811" spans="8:20" ht="13.5" thickBot="1">
      <c r="H811" s="285"/>
      <c r="I811" s="6"/>
      <c r="J811" s="6"/>
      <c r="L811" s="277"/>
      <c r="M811" s="275"/>
      <c r="P811" s="251"/>
      <c r="Q811" s="6"/>
      <c r="S811" s="251"/>
      <c r="T811" s="6"/>
    </row>
    <row r="812" spans="8:20" ht="13.5" thickBot="1">
      <c r="H812" s="285"/>
      <c r="I812" s="6"/>
      <c r="J812" s="6"/>
      <c r="L812" s="277"/>
      <c r="M812" s="275"/>
      <c r="P812" s="251"/>
      <c r="Q812" s="6"/>
      <c r="S812" s="251"/>
      <c r="T812" s="6"/>
    </row>
    <row r="813" spans="8:20" ht="13.5" thickBot="1">
      <c r="H813" s="285"/>
      <c r="I813" s="6"/>
      <c r="J813" s="6"/>
      <c r="L813" s="277"/>
      <c r="M813" s="275"/>
      <c r="P813" s="251"/>
      <c r="Q813" s="6"/>
      <c r="S813" s="251"/>
      <c r="T813" s="6"/>
    </row>
    <row r="814" spans="8:20" ht="13.5" thickBot="1">
      <c r="H814" s="285"/>
      <c r="I814" s="6"/>
      <c r="J814" s="6"/>
      <c r="L814" s="277"/>
      <c r="M814" s="275"/>
      <c r="P814" s="251"/>
      <c r="Q814" s="6"/>
      <c r="S814" s="251"/>
      <c r="T814" s="6"/>
    </row>
    <row r="815" spans="8:20" ht="13.5" thickBot="1">
      <c r="H815" s="285"/>
      <c r="I815" s="6"/>
      <c r="J815" s="6"/>
      <c r="L815" s="277"/>
      <c r="M815" s="275"/>
      <c r="P815" s="251"/>
      <c r="Q815" s="6"/>
      <c r="S815" s="251"/>
      <c r="T815" s="6"/>
    </row>
    <row r="816" spans="8:20" ht="13.5" thickBot="1">
      <c r="H816" s="285"/>
      <c r="I816" s="6"/>
      <c r="J816" s="6"/>
      <c r="L816" s="277"/>
      <c r="M816" s="275"/>
      <c r="P816" s="251"/>
      <c r="Q816" s="6"/>
      <c r="S816" s="251"/>
      <c r="T816" s="6"/>
    </row>
    <row r="817" spans="8:20" ht="13.5" thickBot="1">
      <c r="H817" s="285"/>
      <c r="I817" s="6"/>
      <c r="J817" s="6"/>
      <c r="L817" s="277"/>
      <c r="M817" s="275"/>
      <c r="P817" s="251"/>
      <c r="Q817" s="6"/>
      <c r="S817" s="251"/>
      <c r="T817" s="6"/>
    </row>
    <row r="818" spans="8:20" ht="13.5" thickBot="1">
      <c r="H818" s="285"/>
      <c r="I818" s="6"/>
      <c r="J818" s="6"/>
      <c r="L818" s="277"/>
      <c r="M818" s="275"/>
      <c r="P818" s="251"/>
      <c r="Q818" s="6"/>
      <c r="S818" s="251"/>
      <c r="T818" s="6"/>
    </row>
    <row r="819" spans="8:20" ht="13.5" thickBot="1">
      <c r="H819" s="285"/>
      <c r="I819" s="6"/>
      <c r="J819" s="6"/>
      <c r="L819" s="277"/>
      <c r="M819" s="275"/>
      <c r="P819" s="251"/>
      <c r="Q819" s="6"/>
      <c r="S819" s="251"/>
      <c r="T819" s="6"/>
    </row>
    <row r="820" spans="8:20" ht="13.5" thickBot="1">
      <c r="H820" s="285"/>
      <c r="I820" s="6"/>
      <c r="J820" s="6"/>
      <c r="L820" s="277"/>
      <c r="M820" s="275"/>
      <c r="P820" s="251"/>
      <c r="Q820" s="6"/>
      <c r="S820" s="251"/>
      <c r="T820" s="6"/>
    </row>
    <row r="821" spans="8:20" ht="13.5" thickBot="1">
      <c r="H821" s="285"/>
      <c r="I821" s="6"/>
      <c r="J821" s="6"/>
      <c r="L821" s="277"/>
      <c r="M821" s="275"/>
      <c r="P821" s="251"/>
      <c r="Q821" s="6"/>
      <c r="S821" s="251"/>
      <c r="T821" s="6"/>
    </row>
    <row r="822" spans="8:20" ht="13.5" thickBot="1">
      <c r="H822" s="285"/>
      <c r="I822" s="6"/>
      <c r="J822" s="6"/>
      <c r="L822" s="277"/>
      <c r="M822" s="275"/>
      <c r="P822" s="251"/>
      <c r="Q822" s="6"/>
      <c r="S822" s="251"/>
      <c r="T822" s="6"/>
    </row>
    <row r="823" spans="8:20" ht="13.5" thickBot="1">
      <c r="H823" s="285"/>
      <c r="I823" s="6"/>
      <c r="J823" s="6"/>
      <c r="L823" s="277"/>
      <c r="M823" s="275"/>
      <c r="P823" s="251"/>
      <c r="Q823" s="6"/>
      <c r="S823" s="251"/>
      <c r="T823" s="6"/>
    </row>
    <row r="824" spans="8:20" ht="13.5" thickBot="1">
      <c r="H824" s="285"/>
      <c r="I824" s="6"/>
      <c r="J824" s="6"/>
      <c r="L824" s="277"/>
      <c r="M824" s="275"/>
      <c r="P824" s="251"/>
      <c r="Q824" s="6"/>
      <c r="S824" s="251"/>
      <c r="T824" s="6"/>
    </row>
    <row r="825" spans="8:20" ht="13.5" thickBot="1">
      <c r="H825" s="285"/>
      <c r="I825" s="6"/>
      <c r="J825" s="6"/>
      <c r="L825" s="277"/>
      <c r="M825" s="275"/>
      <c r="P825" s="251"/>
      <c r="Q825" s="6"/>
      <c r="S825" s="251"/>
      <c r="T825" s="6"/>
    </row>
    <row r="826" spans="8:20" ht="13.5" thickBot="1">
      <c r="H826" s="285"/>
      <c r="I826" s="6"/>
      <c r="J826" s="6"/>
      <c r="L826" s="277"/>
      <c r="M826" s="275"/>
      <c r="P826" s="251"/>
      <c r="Q826" s="6"/>
      <c r="S826" s="251"/>
      <c r="T826" s="6"/>
    </row>
    <row r="827" spans="8:20" ht="13.5" thickBot="1">
      <c r="H827" s="285"/>
      <c r="I827" s="6"/>
      <c r="J827" s="6"/>
      <c r="L827" s="277"/>
      <c r="M827" s="275"/>
      <c r="P827" s="251"/>
      <c r="Q827" s="6"/>
      <c r="S827" s="251"/>
      <c r="T827" s="6"/>
    </row>
    <row r="828" spans="8:20" ht="13.5" thickBot="1">
      <c r="H828" s="285"/>
      <c r="I828" s="6"/>
      <c r="J828" s="6"/>
      <c r="L828" s="277"/>
      <c r="M828" s="275"/>
      <c r="P828" s="251"/>
      <c r="Q828" s="6"/>
      <c r="S828" s="251"/>
      <c r="T828" s="6"/>
    </row>
    <row r="829" spans="8:20" ht="13.5" thickBot="1">
      <c r="H829" s="285"/>
      <c r="I829" s="6"/>
      <c r="J829" s="6"/>
      <c r="L829" s="277"/>
      <c r="M829" s="275"/>
      <c r="P829" s="251"/>
      <c r="Q829" s="6"/>
      <c r="S829" s="251"/>
      <c r="T829" s="6"/>
    </row>
    <row r="830" spans="8:20" ht="13.5" thickBot="1">
      <c r="H830" s="285"/>
      <c r="I830" s="6"/>
      <c r="J830" s="6"/>
      <c r="L830" s="277"/>
      <c r="M830" s="275"/>
      <c r="P830" s="251"/>
      <c r="Q830" s="6"/>
      <c r="S830" s="251"/>
      <c r="T830" s="6"/>
    </row>
    <row r="831" spans="8:20" ht="13.5" thickBot="1">
      <c r="H831" s="285"/>
      <c r="I831" s="6"/>
      <c r="J831" s="6"/>
      <c r="L831" s="277"/>
      <c r="M831" s="275"/>
      <c r="P831" s="251"/>
      <c r="Q831" s="6"/>
      <c r="S831" s="251"/>
      <c r="T831" s="6"/>
    </row>
    <row r="832" spans="8:20" ht="13.5" thickBot="1">
      <c r="H832" s="285"/>
      <c r="I832" s="6"/>
      <c r="J832" s="6"/>
      <c r="L832" s="277"/>
      <c r="M832" s="275"/>
      <c r="P832" s="251"/>
      <c r="Q832" s="6"/>
      <c r="S832" s="251"/>
      <c r="T832" s="6"/>
    </row>
    <row r="833" spans="8:20" ht="13.5" thickBot="1">
      <c r="H833" s="285"/>
      <c r="I833" s="6"/>
      <c r="J833" s="6"/>
      <c r="L833" s="277"/>
      <c r="M833" s="275"/>
      <c r="P833" s="251"/>
      <c r="Q833" s="6"/>
      <c r="S833" s="251"/>
      <c r="T833" s="6"/>
    </row>
    <row r="834" spans="8:20" ht="13.5" thickBot="1">
      <c r="H834" s="285"/>
      <c r="I834" s="6"/>
      <c r="J834" s="6"/>
      <c r="L834" s="277"/>
      <c r="M834" s="275"/>
      <c r="P834" s="251"/>
      <c r="Q834" s="6"/>
      <c r="S834" s="251"/>
      <c r="T834" s="6"/>
    </row>
    <row r="835" spans="8:20" ht="13.5" thickBot="1">
      <c r="H835" s="285"/>
      <c r="I835" s="6"/>
      <c r="J835" s="6"/>
      <c r="L835" s="277"/>
      <c r="M835" s="275"/>
      <c r="P835" s="251"/>
      <c r="Q835" s="6"/>
      <c r="S835" s="251"/>
      <c r="T835" s="6"/>
    </row>
    <row r="836" spans="8:20" ht="13.5" thickBot="1">
      <c r="H836" s="285"/>
      <c r="I836" s="6"/>
      <c r="J836" s="6"/>
      <c r="L836" s="277"/>
      <c r="M836" s="275"/>
      <c r="P836" s="251"/>
      <c r="Q836" s="6"/>
      <c r="S836" s="251"/>
      <c r="T836" s="6"/>
    </row>
    <row r="837" spans="8:20" ht="13.5" thickBot="1">
      <c r="H837" s="285"/>
      <c r="I837" s="6"/>
      <c r="J837" s="6"/>
      <c r="L837" s="277"/>
      <c r="M837" s="275"/>
      <c r="P837" s="251"/>
      <c r="Q837" s="6"/>
      <c r="S837" s="251"/>
      <c r="T837" s="6"/>
    </row>
    <row r="838" spans="8:20" ht="13.5" thickBot="1">
      <c r="H838" s="285"/>
      <c r="I838" s="6"/>
      <c r="J838" s="6"/>
      <c r="L838" s="277"/>
      <c r="M838" s="275"/>
      <c r="P838" s="251"/>
      <c r="Q838" s="6"/>
      <c r="S838" s="251"/>
      <c r="T838" s="6"/>
    </row>
    <row r="839" spans="8:20" ht="13.5" thickBot="1">
      <c r="H839" s="285"/>
      <c r="I839" s="6"/>
      <c r="J839" s="6"/>
      <c r="L839" s="277"/>
      <c r="M839" s="275"/>
      <c r="P839" s="251"/>
      <c r="Q839" s="6"/>
      <c r="S839" s="251"/>
      <c r="T839" s="6"/>
    </row>
    <row r="840" spans="8:20" ht="13.5" thickBot="1">
      <c r="H840" s="285"/>
      <c r="I840" s="6"/>
      <c r="J840" s="6"/>
      <c r="L840" s="277"/>
      <c r="M840" s="275"/>
      <c r="P840" s="251"/>
      <c r="Q840" s="6"/>
      <c r="S840" s="251"/>
      <c r="T840" s="6"/>
    </row>
    <row r="841" spans="8:20" ht="13.5" thickBot="1">
      <c r="H841" s="285"/>
      <c r="I841" s="6"/>
      <c r="J841" s="6"/>
      <c r="L841" s="277"/>
      <c r="M841" s="275"/>
      <c r="P841" s="251"/>
      <c r="Q841" s="6"/>
      <c r="S841" s="251"/>
      <c r="T841" s="6"/>
    </row>
    <row r="842" spans="8:20" ht="13.5" thickBot="1">
      <c r="H842" s="285"/>
      <c r="I842" s="6"/>
      <c r="J842" s="6"/>
      <c r="L842" s="277"/>
      <c r="M842" s="275"/>
      <c r="P842" s="251"/>
      <c r="Q842" s="6"/>
      <c r="S842" s="251"/>
      <c r="T842" s="6"/>
    </row>
    <row r="843" spans="8:20" ht="13.5" thickBot="1">
      <c r="H843" s="285"/>
      <c r="I843" s="6"/>
      <c r="J843" s="6"/>
      <c r="L843" s="277"/>
      <c r="M843" s="275"/>
      <c r="P843" s="251"/>
      <c r="Q843" s="6"/>
      <c r="S843" s="251"/>
      <c r="T843" s="6"/>
    </row>
    <row r="844" spans="8:20" ht="13.5" thickBot="1">
      <c r="H844" s="285"/>
      <c r="I844" s="6"/>
      <c r="J844" s="6"/>
      <c r="L844" s="277"/>
      <c r="M844" s="275"/>
      <c r="P844" s="251"/>
      <c r="Q844" s="6"/>
      <c r="S844" s="251"/>
      <c r="T844" s="6"/>
    </row>
    <row r="845" spans="8:20" ht="13.5" thickBot="1">
      <c r="H845" s="285"/>
      <c r="I845" s="6"/>
      <c r="J845" s="6"/>
      <c r="L845" s="277"/>
      <c r="M845" s="275"/>
      <c r="P845" s="251"/>
      <c r="Q845" s="6"/>
      <c r="S845" s="251"/>
      <c r="T845" s="6"/>
    </row>
    <row r="846" spans="8:20" ht="13.5" thickBot="1">
      <c r="H846" s="285"/>
      <c r="I846" s="6"/>
      <c r="J846" s="6"/>
      <c r="L846" s="277"/>
      <c r="M846" s="275"/>
      <c r="P846" s="251"/>
      <c r="Q846" s="6"/>
      <c r="S846" s="251"/>
      <c r="T846" s="6"/>
    </row>
    <row r="847" spans="8:20" ht="13.5" thickBot="1">
      <c r="H847" s="285"/>
      <c r="I847" s="6"/>
      <c r="J847" s="6"/>
      <c r="L847" s="277"/>
      <c r="M847" s="275"/>
      <c r="P847" s="251"/>
      <c r="Q847" s="6"/>
      <c r="S847" s="251"/>
      <c r="T847" s="6"/>
    </row>
    <row r="848" spans="8:20" ht="13.5" thickBot="1">
      <c r="H848" s="285"/>
      <c r="I848" s="6"/>
      <c r="J848" s="6"/>
      <c r="L848" s="277"/>
      <c r="M848" s="275"/>
      <c r="P848" s="251"/>
      <c r="Q848" s="6"/>
      <c r="S848" s="251"/>
      <c r="T848" s="6"/>
    </row>
    <row r="849" spans="8:20" ht="13.5" thickBot="1">
      <c r="H849" s="285"/>
      <c r="I849" s="6"/>
      <c r="J849" s="6"/>
      <c r="L849" s="277"/>
      <c r="M849" s="275"/>
      <c r="P849" s="251"/>
      <c r="Q849" s="6"/>
      <c r="S849" s="251"/>
      <c r="T849" s="6"/>
    </row>
    <row r="850" spans="8:20" ht="13.5" thickBot="1">
      <c r="H850" s="285"/>
      <c r="I850" s="6"/>
      <c r="J850" s="6"/>
      <c r="L850" s="277"/>
      <c r="M850" s="275"/>
      <c r="P850" s="251"/>
      <c r="Q850" s="6"/>
      <c r="S850" s="251"/>
      <c r="T850" s="6"/>
    </row>
    <row r="851" spans="8:20" ht="13.5" thickBot="1">
      <c r="H851" s="285"/>
      <c r="I851" s="6"/>
      <c r="J851" s="6"/>
      <c r="L851" s="277"/>
      <c r="M851" s="275"/>
      <c r="P851" s="251"/>
      <c r="Q851" s="6"/>
      <c r="S851" s="251"/>
      <c r="T851" s="6"/>
    </row>
    <row r="852" spans="8:20" ht="13.5" thickBot="1">
      <c r="H852" s="285"/>
      <c r="I852" s="6"/>
      <c r="J852" s="6"/>
      <c r="L852" s="277"/>
      <c r="M852" s="275"/>
      <c r="P852" s="251"/>
      <c r="Q852" s="6"/>
      <c r="S852" s="251"/>
      <c r="T852" s="6"/>
    </row>
    <row r="853" spans="8:20" ht="13.5" thickBot="1">
      <c r="H853" s="285"/>
      <c r="I853" s="6"/>
      <c r="J853" s="6"/>
      <c r="L853" s="277"/>
      <c r="M853" s="275"/>
      <c r="P853" s="251"/>
      <c r="Q853" s="6"/>
      <c r="S853" s="251"/>
      <c r="T853" s="6"/>
    </row>
    <row r="854" spans="8:20" ht="13.5" thickBot="1">
      <c r="H854" s="285"/>
      <c r="I854" s="6"/>
      <c r="J854" s="6"/>
      <c r="L854" s="277"/>
      <c r="M854" s="275"/>
      <c r="P854" s="251"/>
      <c r="Q854" s="6"/>
      <c r="S854" s="251"/>
      <c r="T854" s="6"/>
    </row>
    <row r="855" spans="8:20" ht="13.5" thickBot="1">
      <c r="H855" s="285"/>
      <c r="I855" s="6"/>
      <c r="J855" s="6"/>
      <c r="L855" s="277"/>
      <c r="M855" s="275"/>
      <c r="P855" s="251"/>
      <c r="Q855" s="6"/>
      <c r="S855" s="251"/>
      <c r="T855" s="6"/>
    </row>
    <row r="856" spans="8:20" ht="13.5" thickBot="1">
      <c r="H856" s="285"/>
      <c r="I856" s="6"/>
      <c r="J856" s="6"/>
      <c r="L856" s="277"/>
      <c r="M856" s="275"/>
      <c r="P856" s="251"/>
      <c r="Q856" s="6"/>
      <c r="S856" s="251"/>
      <c r="T856" s="6"/>
    </row>
    <row r="857" spans="8:20" ht="13.5" thickBot="1">
      <c r="H857" s="285"/>
      <c r="I857" s="6"/>
      <c r="J857" s="6"/>
      <c r="L857" s="277"/>
      <c r="M857" s="275"/>
      <c r="P857" s="251"/>
      <c r="Q857" s="6"/>
      <c r="S857" s="251"/>
      <c r="T857" s="6"/>
    </row>
    <row r="858" spans="8:20" ht="13.5" thickBot="1">
      <c r="H858" s="285"/>
      <c r="I858" s="6"/>
      <c r="J858" s="6"/>
      <c r="L858" s="277"/>
      <c r="M858" s="275"/>
      <c r="P858" s="251"/>
      <c r="Q858" s="6"/>
      <c r="S858" s="251"/>
      <c r="T858" s="6"/>
    </row>
    <row r="859" spans="8:20" ht="13.5" thickBot="1">
      <c r="H859" s="285"/>
      <c r="I859" s="6"/>
      <c r="J859" s="6"/>
      <c r="L859" s="277"/>
      <c r="M859" s="275"/>
      <c r="P859" s="251"/>
      <c r="Q859" s="6"/>
      <c r="S859" s="251"/>
      <c r="T859" s="6"/>
    </row>
    <row r="860" spans="8:20" ht="13.5" thickBot="1">
      <c r="H860" s="285"/>
      <c r="I860" s="6"/>
      <c r="J860" s="6"/>
      <c r="L860" s="277"/>
      <c r="M860" s="275"/>
      <c r="P860" s="251"/>
      <c r="Q860" s="6"/>
      <c r="S860" s="251"/>
      <c r="T860" s="6"/>
    </row>
    <row r="861" spans="8:20" ht="13.5" thickBot="1">
      <c r="H861" s="285"/>
      <c r="I861" s="6"/>
      <c r="J861" s="6"/>
      <c r="L861" s="277"/>
      <c r="M861" s="275"/>
      <c r="P861" s="251"/>
      <c r="Q861" s="6"/>
      <c r="S861" s="251"/>
      <c r="T861" s="6"/>
    </row>
    <row r="862" spans="8:20" ht="13.5" thickBot="1">
      <c r="H862" s="285"/>
      <c r="I862" s="6"/>
      <c r="J862" s="6"/>
      <c r="L862" s="277"/>
      <c r="M862" s="275"/>
      <c r="P862" s="251"/>
      <c r="Q862" s="6"/>
      <c r="S862" s="251"/>
      <c r="T862" s="6"/>
    </row>
    <row r="863" spans="8:20" ht="13.5" thickBot="1">
      <c r="H863" s="285"/>
      <c r="I863" s="6"/>
      <c r="J863" s="6"/>
      <c r="L863" s="277"/>
      <c r="M863" s="275"/>
      <c r="P863" s="251"/>
      <c r="Q863" s="6"/>
      <c r="S863" s="251"/>
      <c r="T863" s="6"/>
    </row>
    <row r="864" spans="8:20" ht="13.5" thickBot="1">
      <c r="H864" s="285"/>
      <c r="I864" s="6"/>
      <c r="J864" s="6"/>
      <c r="L864" s="277"/>
      <c r="M864" s="275"/>
      <c r="P864" s="251"/>
      <c r="Q864" s="6"/>
      <c r="S864" s="251"/>
      <c r="T864" s="6"/>
    </row>
    <row r="865" spans="8:20" ht="13.5" thickBot="1">
      <c r="H865" s="285"/>
      <c r="I865" s="6"/>
      <c r="J865" s="6"/>
      <c r="L865" s="277"/>
      <c r="M865" s="275"/>
      <c r="P865" s="251"/>
      <c r="Q865" s="6"/>
      <c r="S865" s="251"/>
      <c r="T865" s="6"/>
    </row>
    <row r="866" spans="8:20" ht="13.5" thickBot="1">
      <c r="H866" s="285"/>
      <c r="I866" s="6"/>
      <c r="J866" s="6"/>
      <c r="L866" s="277"/>
      <c r="M866" s="275"/>
      <c r="P866" s="251"/>
      <c r="Q866" s="6"/>
      <c r="S866" s="251"/>
      <c r="T866" s="6"/>
    </row>
    <row r="867" spans="8:20" ht="13.5" thickBot="1">
      <c r="H867" s="285"/>
      <c r="I867" s="6"/>
      <c r="J867" s="6"/>
      <c r="L867" s="277"/>
      <c r="M867" s="275"/>
      <c r="P867" s="251"/>
      <c r="Q867" s="6"/>
      <c r="S867" s="251"/>
      <c r="T867" s="6"/>
    </row>
    <row r="868" spans="8:20" ht="13.5" thickBot="1">
      <c r="H868" s="285"/>
      <c r="I868" s="6"/>
      <c r="J868" s="6"/>
      <c r="L868" s="277"/>
      <c r="M868" s="275"/>
      <c r="P868" s="251"/>
      <c r="Q868" s="6"/>
      <c r="S868" s="251"/>
      <c r="T868" s="6"/>
    </row>
    <row r="869" spans="8:20" ht="13.5" thickBot="1">
      <c r="H869" s="285"/>
      <c r="I869" s="6"/>
      <c r="J869" s="6"/>
      <c r="L869" s="277"/>
      <c r="M869" s="275"/>
      <c r="P869" s="251"/>
      <c r="Q869" s="6"/>
      <c r="S869" s="251"/>
      <c r="T869" s="6"/>
    </row>
    <row r="870" spans="8:20" ht="13.5" thickBot="1">
      <c r="H870" s="285"/>
      <c r="I870" s="6"/>
      <c r="J870" s="6"/>
      <c r="L870" s="277"/>
      <c r="M870" s="275"/>
      <c r="P870" s="251"/>
      <c r="Q870" s="6"/>
      <c r="S870" s="251"/>
      <c r="T870" s="6"/>
    </row>
    <row r="871" spans="8:20" ht="13.5" thickBot="1">
      <c r="H871" s="285"/>
      <c r="I871" s="6"/>
      <c r="J871" s="6"/>
      <c r="L871" s="277"/>
      <c r="M871" s="275"/>
      <c r="P871" s="251"/>
      <c r="Q871" s="6"/>
      <c r="S871" s="251"/>
      <c r="T871" s="6"/>
    </row>
    <row r="872" spans="8:20" ht="13.5" thickBot="1">
      <c r="H872" s="285"/>
      <c r="I872" s="6"/>
      <c r="J872" s="6"/>
      <c r="L872" s="277"/>
      <c r="M872" s="275"/>
      <c r="P872" s="251"/>
      <c r="Q872" s="6"/>
      <c r="S872" s="251"/>
      <c r="T872" s="6"/>
    </row>
    <row r="873" spans="8:20" ht="13.5" thickBot="1">
      <c r="H873" s="285"/>
      <c r="I873" s="6"/>
      <c r="J873" s="6"/>
      <c r="L873" s="277"/>
      <c r="M873" s="275"/>
      <c r="P873" s="251"/>
      <c r="Q873" s="6"/>
      <c r="S873" s="251"/>
      <c r="T873" s="6"/>
    </row>
    <row r="874" spans="8:20" ht="13.5" thickBot="1">
      <c r="H874" s="285"/>
      <c r="I874" s="6"/>
      <c r="J874" s="6"/>
      <c r="L874" s="277"/>
      <c r="M874" s="275"/>
      <c r="P874" s="251"/>
      <c r="Q874" s="6"/>
      <c r="S874" s="251"/>
      <c r="T874" s="6"/>
    </row>
    <row r="875" spans="8:20" ht="13.5" thickBot="1">
      <c r="H875" s="285"/>
      <c r="I875" s="6"/>
      <c r="J875" s="6"/>
      <c r="L875" s="277"/>
      <c r="M875" s="275"/>
      <c r="P875" s="251"/>
      <c r="Q875" s="6"/>
      <c r="S875" s="251"/>
      <c r="T875" s="6"/>
    </row>
    <row r="876" spans="8:20" ht="13.5" thickBot="1">
      <c r="H876" s="285"/>
      <c r="I876" s="6"/>
      <c r="J876" s="6"/>
      <c r="L876" s="277"/>
      <c r="M876" s="275"/>
      <c r="P876" s="251"/>
      <c r="Q876" s="6"/>
      <c r="S876" s="251"/>
      <c r="T876" s="6"/>
    </row>
    <row r="877" spans="8:20" ht="13.5" thickBot="1">
      <c r="H877" s="285"/>
      <c r="I877" s="6"/>
      <c r="J877" s="6"/>
      <c r="L877" s="277"/>
      <c r="M877" s="275"/>
      <c r="P877" s="251"/>
      <c r="Q877" s="6"/>
      <c r="S877" s="251"/>
      <c r="T877" s="6"/>
    </row>
    <row r="878" spans="8:20" ht="13.5" thickBot="1">
      <c r="H878" s="285"/>
      <c r="I878" s="6"/>
      <c r="J878" s="6"/>
      <c r="L878" s="277"/>
      <c r="M878" s="275"/>
      <c r="P878" s="251"/>
      <c r="Q878" s="6"/>
      <c r="S878" s="251"/>
      <c r="T878" s="6"/>
    </row>
    <row r="879" spans="8:20" ht="13.5" thickBot="1">
      <c r="H879" s="285"/>
      <c r="I879" s="6"/>
      <c r="J879" s="6"/>
      <c r="L879" s="277"/>
      <c r="M879" s="275"/>
      <c r="P879" s="251"/>
      <c r="Q879" s="6"/>
      <c r="S879" s="251"/>
      <c r="T879" s="6"/>
    </row>
    <row r="880" spans="8:20" ht="13.5" thickBot="1">
      <c r="H880" s="285"/>
      <c r="I880" s="6"/>
      <c r="J880" s="6"/>
      <c r="L880" s="277"/>
      <c r="M880" s="275"/>
      <c r="P880" s="251"/>
      <c r="Q880" s="6"/>
      <c r="S880" s="251"/>
      <c r="T880" s="6"/>
    </row>
    <row r="881" spans="8:20" ht="13.5" thickBot="1">
      <c r="H881" s="285"/>
      <c r="I881" s="6"/>
      <c r="J881" s="6"/>
      <c r="L881" s="277"/>
      <c r="M881" s="275"/>
      <c r="P881" s="251"/>
      <c r="Q881" s="6"/>
      <c r="S881" s="251"/>
      <c r="T881" s="6"/>
    </row>
    <row r="882" spans="8:20" ht="13.5" thickBot="1">
      <c r="H882" s="285"/>
      <c r="I882" s="6"/>
      <c r="J882" s="6"/>
      <c r="L882" s="277"/>
      <c r="M882" s="275"/>
      <c r="P882" s="251"/>
      <c r="Q882" s="6"/>
      <c r="S882" s="251"/>
      <c r="T882" s="6"/>
    </row>
    <row r="883" spans="8:20" ht="13.5" thickBot="1">
      <c r="H883" s="285"/>
      <c r="I883" s="6"/>
      <c r="J883" s="6"/>
      <c r="L883" s="277"/>
      <c r="M883" s="275"/>
      <c r="P883" s="251"/>
      <c r="Q883" s="6"/>
      <c r="S883" s="251"/>
      <c r="T883" s="6"/>
    </row>
    <row r="884" spans="8:20" ht="13.5" thickBot="1">
      <c r="H884" s="285"/>
      <c r="I884" s="6"/>
      <c r="J884" s="6"/>
      <c r="L884" s="277"/>
      <c r="M884" s="275"/>
      <c r="P884" s="251"/>
      <c r="Q884" s="6"/>
      <c r="S884" s="251"/>
      <c r="T884" s="6"/>
    </row>
    <row r="885" spans="8:20" ht="13.5" thickBot="1">
      <c r="H885" s="285"/>
      <c r="I885" s="6"/>
      <c r="J885" s="6"/>
      <c r="L885" s="277"/>
      <c r="M885" s="275"/>
      <c r="P885" s="251"/>
      <c r="Q885" s="6"/>
      <c r="S885" s="251"/>
      <c r="T885" s="6"/>
    </row>
    <row r="886" spans="8:20" ht="13.5" thickBot="1">
      <c r="H886" s="285"/>
      <c r="I886" s="6"/>
      <c r="J886" s="6"/>
      <c r="L886" s="277"/>
      <c r="M886" s="275"/>
      <c r="P886" s="251"/>
      <c r="Q886" s="6"/>
      <c r="S886" s="251"/>
      <c r="T886" s="6"/>
    </row>
    <row r="887" spans="8:20" ht="13.5" thickBot="1">
      <c r="H887" s="285"/>
      <c r="I887" s="6"/>
      <c r="J887" s="6"/>
      <c r="L887" s="277"/>
      <c r="M887" s="275"/>
      <c r="P887" s="251"/>
      <c r="Q887" s="6"/>
      <c r="S887" s="251"/>
      <c r="T887" s="6"/>
    </row>
    <row r="888" spans="8:20" ht="13.5" thickBot="1">
      <c r="H888" s="285"/>
      <c r="I888" s="6"/>
      <c r="J888" s="6"/>
      <c r="L888" s="277"/>
      <c r="M888" s="275"/>
      <c r="P888" s="251"/>
      <c r="Q888" s="6"/>
      <c r="S888" s="251"/>
      <c r="T888" s="6"/>
    </row>
    <row r="889" spans="8:20" ht="13.5" thickBot="1">
      <c r="H889" s="285"/>
      <c r="I889" s="6"/>
      <c r="J889" s="6"/>
      <c r="L889" s="277"/>
      <c r="M889" s="275"/>
      <c r="P889" s="251"/>
      <c r="Q889" s="6"/>
      <c r="S889" s="251"/>
      <c r="T889" s="6"/>
    </row>
    <row r="890" spans="8:20" ht="13.5" thickBot="1">
      <c r="H890" s="285"/>
      <c r="I890" s="6"/>
      <c r="J890" s="6"/>
      <c r="L890" s="277"/>
      <c r="M890" s="275"/>
      <c r="P890" s="251"/>
      <c r="Q890" s="6"/>
      <c r="S890" s="251"/>
      <c r="T890" s="6"/>
    </row>
    <row r="891" spans="8:20" ht="13.5" thickBot="1">
      <c r="H891" s="285"/>
      <c r="I891" s="6"/>
      <c r="J891" s="6"/>
      <c r="L891" s="277"/>
      <c r="M891" s="275"/>
      <c r="P891" s="251"/>
      <c r="Q891" s="6"/>
      <c r="S891" s="251"/>
      <c r="T891" s="6"/>
    </row>
    <row r="892" spans="8:20" ht="13.5" thickBot="1">
      <c r="H892" s="285"/>
      <c r="I892" s="6"/>
      <c r="J892" s="6"/>
      <c r="L892" s="277"/>
      <c r="M892" s="275"/>
      <c r="P892" s="251"/>
      <c r="Q892" s="6"/>
      <c r="S892" s="251"/>
      <c r="T892" s="6"/>
    </row>
    <row r="893" spans="8:20" ht="13.5" thickBot="1">
      <c r="H893" s="285"/>
      <c r="I893" s="6"/>
      <c r="J893" s="6"/>
      <c r="L893" s="277"/>
      <c r="M893" s="275"/>
      <c r="P893" s="251"/>
      <c r="Q893" s="6"/>
      <c r="S893" s="251"/>
      <c r="T893" s="6"/>
    </row>
    <row r="894" spans="8:20" ht="13.5" thickBot="1">
      <c r="H894" s="285"/>
      <c r="I894" s="6"/>
      <c r="J894" s="6"/>
      <c r="L894" s="277"/>
      <c r="M894" s="275"/>
      <c r="P894" s="251"/>
      <c r="Q894" s="6"/>
      <c r="S894" s="251"/>
      <c r="T894" s="6"/>
    </row>
    <row r="895" spans="8:20" ht="13.5" thickBot="1">
      <c r="H895" s="285"/>
      <c r="I895" s="6"/>
      <c r="J895" s="6"/>
      <c r="L895" s="277"/>
      <c r="M895" s="275"/>
      <c r="P895" s="251"/>
      <c r="Q895" s="6"/>
      <c r="S895" s="251"/>
      <c r="T895" s="6"/>
    </row>
    <row r="896" spans="8:20" ht="13.5" thickBot="1">
      <c r="H896" s="285"/>
      <c r="I896" s="6"/>
      <c r="J896" s="6"/>
      <c r="L896" s="277"/>
      <c r="M896" s="275"/>
      <c r="P896" s="251"/>
      <c r="Q896" s="6"/>
      <c r="S896" s="251"/>
      <c r="T896" s="6"/>
    </row>
    <row r="897" spans="8:20" ht="13.5" thickBot="1">
      <c r="H897" s="285"/>
      <c r="I897" s="6"/>
      <c r="J897" s="6"/>
      <c r="L897" s="277"/>
      <c r="M897" s="275"/>
      <c r="P897" s="251"/>
      <c r="Q897" s="6"/>
      <c r="S897" s="251"/>
      <c r="T897" s="6"/>
    </row>
    <row r="898" spans="8:20" ht="13.5" thickBot="1">
      <c r="H898" s="285"/>
      <c r="I898" s="6"/>
      <c r="J898" s="6"/>
      <c r="L898" s="277"/>
      <c r="M898" s="275"/>
      <c r="P898" s="251"/>
      <c r="Q898" s="6"/>
      <c r="S898" s="251"/>
      <c r="T898" s="6"/>
    </row>
    <row r="899" spans="8:20" ht="13.5" thickBot="1">
      <c r="H899" s="285"/>
      <c r="I899" s="6"/>
      <c r="J899" s="6"/>
      <c r="L899" s="277"/>
      <c r="M899" s="275"/>
      <c r="P899" s="251"/>
      <c r="Q899" s="6"/>
      <c r="S899" s="251"/>
      <c r="T899" s="6"/>
    </row>
    <row r="900" spans="8:20" ht="13.5" thickBot="1">
      <c r="H900" s="285"/>
      <c r="I900" s="6"/>
      <c r="J900" s="6"/>
      <c r="L900" s="277"/>
      <c r="M900" s="275"/>
      <c r="P900" s="251"/>
      <c r="Q900" s="6"/>
      <c r="S900" s="251"/>
      <c r="T900" s="6"/>
    </row>
    <row r="901" spans="8:20" ht="13.5" thickBot="1">
      <c r="H901" s="285"/>
      <c r="I901" s="6"/>
      <c r="J901" s="6"/>
      <c r="L901" s="277"/>
      <c r="M901" s="275"/>
      <c r="P901" s="251"/>
      <c r="Q901" s="6"/>
      <c r="S901" s="251"/>
      <c r="T901" s="6"/>
    </row>
    <row r="902" spans="8:20" ht="13.5" thickBot="1">
      <c r="H902" s="285"/>
      <c r="I902" s="6"/>
      <c r="J902" s="6"/>
      <c r="L902" s="277"/>
      <c r="M902" s="275"/>
      <c r="P902" s="251"/>
      <c r="Q902" s="6"/>
      <c r="S902" s="251"/>
      <c r="T902" s="6"/>
    </row>
    <row r="903" spans="8:20" ht="13.5" thickBot="1">
      <c r="H903" s="285"/>
      <c r="I903" s="6"/>
      <c r="J903" s="6"/>
      <c r="L903" s="277"/>
      <c r="M903" s="275"/>
      <c r="P903" s="251"/>
      <c r="Q903" s="6"/>
      <c r="S903" s="251"/>
      <c r="T903" s="6"/>
    </row>
    <row r="904" spans="8:20" ht="13.5" thickBot="1">
      <c r="H904" s="285"/>
      <c r="I904" s="6"/>
      <c r="J904" s="6"/>
      <c r="L904" s="277"/>
      <c r="M904" s="275"/>
      <c r="P904" s="251"/>
      <c r="Q904" s="6"/>
      <c r="S904" s="251"/>
      <c r="T904" s="6"/>
    </row>
    <row r="905" spans="8:20" ht="13.5" thickBot="1">
      <c r="H905" s="285"/>
      <c r="I905" s="6"/>
      <c r="J905" s="6"/>
      <c r="L905" s="277"/>
      <c r="M905" s="275"/>
      <c r="P905" s="251"/>
      <c r="Q905" s="6"/>
      <c r="S905" s="251"/>
      <c r="T905" s="6"/>
    </row>
    <row r="906" spans="8:20" ht="13.5" thickBot="1">
      <c r="H906" s="285"/>
      <c r="I906" s="6"/>
      <c r="J906" s="6"/>
      <c r="L906" s="277"/>
      <c r="M906" s="275"/>
      <c r="P906" s="251"/>
      <c r="Q906" s="6"/>
      <c r="S906" s="251"/>
      <c r="T906" s="6"/>
    </row>
    <row r="907" spans="8:20" ht="13.5" thickBot="1">
      <c r="H907" s="285"/>
      <c r="I907" s="6"/>
      <c r="J907" s="6"/>
      <c r="L907" s="277"/>
      <c r="M907" s="275"/>
      <c r="P907" s="251"/>
      <c r="Q907" s="6"/>
      <c r="S907" s="251"/>
      <c r="T907" s="6"/>
    </row>
    <row r="908" spans="8:20" ht="13.5" thickBot="1">
      <c r="H908" s="285"/>
      <c r="I908" s="6"/>
      <c r="J908" s="6"/>
      <c r="L908" s="277"/>
      <c r="M908" s="275"/>
      <c r="P908" s="251"/>
      <c r="Q908" s="6"/>
      <c r="S908" s="251"/>
      <c r="T908" s="6"/>
    </row>
    <row r="909" spans="8:20" ht="13.5" thickBot="1">
      <c r="H909" s="285"/>
      <c r="I909" s="6"/>
      <c r="J909" s="6"/>
      <c r="L909" s="277"/>
      <c r="M909" s="275"/>
      <c r="P909" s="251"/>
      <c r="Q909" s="6"/>
      <c r="S909" s="251"/>
      <c r="T909" s="6"/>
    </row>
    <row r="910" spans="8:20" ht="13.5" thickBot="1">
      <c r="H910" s="285"/>
      <c r="I910" s="6"/>
      <c r="J910" s="6"/>
      <c r="L910" s="277"/>
      <c r="M910" s="275"/>
      <c r="P910" s="251"/>
      <c r="Q910" s="6"/>
      <c r="S910" s="251"/>
      <c r="T910" s="6"/>
    </row>
    <row r="911" spans="8:20" ht="13.5" thickBot="1">
      <c r="H911" s="285"/>
      <c r="I911" s="6"/>
      <c r="J911" s="6"/>
      <c r="L911" s="277"/>
      <c r="M911" s="275"/>
      <c r="P911" s="251"/>
      <c r="Q911" s="6"/>
      <c r="S911" s="251"/>
      <c r="T911" s="6"/>
    </row>
    <row r="912" spans="8:20" ht="13.5" thickBot="1">
      <c r="H912" s="285"/>
      <c r="I912" s="6"/>
      <c r="J912" s="6"/>
      <c r="L912" s="277"/>
      <c r="M912" s="275"/>
      <c r="P912" s="251"/>
      <c r="Q912" s="6"/>
      <c r="S912" s="251"/>
      <c r="T912" s="6"/>
    </row>
    <row r="913" spans="8:20" ht="13.5" thickBot="1">
      <c r="H913" s="285"/>
      <c r="I913" s="6"/>
      <c r="J913" s="6"/>
      <c r="L913" s="277"/>
      <c r="M913" s="275"/>
      <c r="P913" s="251"/>
      <c r="Q913" s="6"/>
      <c r="S913" s="251"/>
      <c r="T913" s="6"/>
    </row>
    <row r="914" spans="8:20" ht="13.5" thickBot="1">
      <c r="H914" s="285"/>
      <c r="I914" s="6"/>
      <c r="J914" s="6"/>
      <c r="L914" s="277"/>
      <c r="M914" s="275"/>
      <c r="P914" s="251"/>
      <c r="Q914" s="6"/>
      <c r="S914" s="251"/>
      <c r="T914" s="6"/>
    </row>
    <row r="915" spans="8:20" ht="13.5" thickBot="1">
      <c r="H915" s="285"/>
      <c r="I915" s="6"/>
      <c r="J915" s="6"/>
      <c r="L915" s="277"/>
      <c r="M915" s="275"/>
      <c r="P915" s="251"/>
      <c r="Q915" s="6"/>
      <c r="S915" s="251"/>
      <c r="T915" s="6"/>
    </row>
    <row r="916" spans="8:20" ht="13.5" thickBot="1">
      <c r="H916" s="285"/>
      <c r="I916" s="6"/>
      <c r="J916" s="6"/>
      <c r="L916" s="277"/>
      <c r="M916" s="275"/>
      <c r="P916" s="251"/>
      <c r="Q916" s="6"/>
      <c r="S916" s="251"/>
      <c r="T916" s="6"/>
    </row>
    <row r="917" spans="8:20" ht="13.5" thickBot="1">
      <c r="H917" s="285"/>
      <c r="I917" s="6"/>
      <c r="J917" s="6"/>
      <c r="L917" s="277"/>
      <c r="M917" s="275"/>
      <c r="P917" s="251"/>
      <c r="Q917" s="6"/>
      <c r="S917" s="251"/>
      <c r="T917" s="6"/>
    </row>
    <row r="918" spans="8:20" ht="13.5" thickBot="1">
      <c r="H918" s="285"/>
      <c r="I918" s="6"/>
      <c r="J918" s="6"/>
      <c r="L918" s="277"/>
      <c r="M918" s="275"/>
      <c r="P918" s="251"/>
      <c r="Q918" s="6"/>
      <c r="S918" s="251"/>
      <c r="T918" s="6"/>
    </row>
    <row r="919" spans="8:20" ht="13.5" thickBot="1">
      <c r="H919" s="285"/>
      <c r="I919" s="6"/>
      <c r="J919" s="6"/>
      <c r="L919" s="277"/>
      <c r="M919" s="275"/>
      <c r="P919" s="251"/>
      <c r="Q919" s="6"/>
      <c r="S919" s="251"/>
      <c r="T919" s="6"/>
    </row>
    <row r="920" spans="8:20" ht="13.5" thickBot="1">
      <c r="H920" s="285"/>
      <c r="I920" s="6"/>
      <c r="J920" s="6"/>
      <c r="L920" s="277"/>
      <c r="M920" s="275"/>
      <c r="P920" s="251"/>
      <c r="Q920" s="6"/>
      <c r="S920" s="251"/>
      <c r="T920" s="6"/>
    </row>
    <row r="921" spans="8:20" ht="13.5" thickBot="1">
      <c r="H921" s="285"/>
      <c r="I921" s="6"/>
      <c r="J921" s="6"/>
      <c r="L921" s="277"/>
      <c r="M921" s="275"/>
      <c r="P921" s="251"/>
      <c r="Q921" s="6"/>
      <c r="S921" s="251"/>
      <c r="T921" s="6"/>
    </row>
    <row r="922" spans="8:20" ht="13.5" thickBot="1">
      <c r="H922" s="285"/>
      <c r="I922" s="6"/>
      <c r="J922" s="6"/>
      <c r="L922" s="277"/>
      <c r="M922" s="275"/>
      <c r="P922" s="251"/>
      <c r="Q922" s="6"/>
      <c r="S922" s="251"/>
      <c r="T922" s="6"/>
    </row>
    <row r="923" spans="8:20" ht="13.5" thickBot="1">
      <c r="H923" s="285"/>
      <c r="I923" s="6"/>
      <c r="J923" s="6"/>
      <c r="L923" s="277"/>
      <c r="M923" s="275"/>
      <c r="P923" s="251"/>
      <c r="Q923" s="6"/>
      <c r="S923" s="251"/>
      <c r="T923" s="6"/>
    </row>
    <row r="924" spans="8:20" ht="13.5" thickBot="1">
      <c r="H924" s="285"/>
      <c r="I924" s="6"/>
      <c r="J924" s="6"/>
      <c r="L924" s="277"/>
      <c r="M924" s="275"/>
      <c r="P924" s="251"/>
      <c r="Q924" s="6"/>
      <c r="S924" s="251"/>
      <c r="T924" s="6"/>
    </row>
    <row r="925" spans="8:20" ht="13.5" thickBot="1">
      <c r="H925" s="285"/>
      <c r="I925" s="6"/>
      <c r="J925" s="6"/>
      <c r="L925" s="277"/>
      <c r="M925" s="275"/>
      <c r="P925" s="251"/>
      <c r="Q925" s="6"/>
      <c r="S925" s="251"/>
      <c r="T925" s="6"/>
    </row>
    <row r="926" spans="8:20" ht="13.5" thickBot="1">
      <c r="H926" s="285"/>
      <c r="I926" s="6"/>
      <c r="J926" s="6"/>
      <c r="L926" s="277"/>
      <c r="M926" s="275"/>
      <c r="P926" s="251"/>
      <c r="Q926" s="6"/>
      <c r="S926" s="251"/>
      <c r="T926" s="6"/>
    </row>
    <row r="927" spans="8:20" ht="13.5" thickBot="1">
      <c r="H927" s="285"/>
      <c r="I927" s="6"/>
      <c r="J927" s="6"/>
      <c r="L927" s="277"/>
      <c r="M927" s="275"/>
      <c r="P927" s="251"/>
      <c r="Q927" s="6"/>
      <c r="S927" s="251"/>
      <c r="T927" s="6"/>
    </row>
    <row r="928" spans="8:20" ht="13.5" thickBot="1">
      <c r="H928" s="285"/>
      <c r="I928" s="6"/>
      <c r="J928" s="6"/>
      <c r="L928" s="277"/>
      <c r="M928" s="275"/>
      <c r="P928" s="251"/>
      <c r="Q928" s="6"/>
      <c r="S928" s="251"/>
      <c r="T928" s="6"/>
    </row>
    <row r="929" spans="8:20" ht="13.5" thickBot="1">
      <c r="H929" s="285"/>
      <c r="I929" s="6"/>
      <c r="J929" s="6"/>
      <c r="L929" s="277"/>
      <c r="M929" s="275"/>
      <c r="P929" s="251"/>
      <c r="Q929" s="6"/>
      <c r="S929" s="251"/>
      <c r="T929" s="6"/>
    </row>
    <row r="930" spans="8:20" ht="13.5" thickBot="1">
      <c r="H930" s="285"/>
      <c r="I930" s="6"/>
      <c r="J930" s="6"/>
      <c r="L930" s="277"/>
      <c r="M930" s="275"/>
      <c r="P930" s="251"/>
      <c r="Q930" s="6"/>
      <c r="S930" s="251"/>
      <c r="T930" s="6"/>
    </row>
    <row r="931" spans="8:20" ht="13.5" thickBot="1">
      <c r="H931" s="285"/>
      <c r="I931" s="6"/>
      <c r="J931" s="6"/>
      <c r="L931" s="277"/>
      <c r="M931" s="275"/>
      <c r="P931" s="251"/>
      <c r="Q931" s="6"/>
      <c r="S931" s="251"/>
      <c r="T931" s="6"/>
    </row>
    <row r="932" spans="8:20" ht="13.5" thickBot="1">
      <c r="H932" s="285"/>
      <c r="I932" s="6"/>
      <c r="J932" s="6"/>
      <c r="L932" s="277"/>
      <c r="M932" s="275"/>
      <c r="P932" s="251"/>
      <c r="Q932" s="6"/>
      <c r="S932" s="251"/>
      <c r="T932" s="6"/>
    </row>
    <row r="933" spans="8:20" ht="13.5" thickBot="1">
      <c r="H933" s="285"/>
      <c r="I933" s="6"/>
      <c r="J933" s="6"/>
      <c r="L933" s="277"/>
      <c r="M933" s="275"/>
      <c r="P933" s="251"/>
      <c r="Q933" s="6"/>
      <c r="S933" s="251"/>
      <c r="T933" s="6"/>
    </row>
    <row r="934" spans="8:20" ht="13.5" thickBot="1">
      <c r="H934" s="285"/>
      <c r="I934" s="6"/>
      <c r="J934" s="6"/>
      <c r="L934" s="277"/>
      <c r="M934" s="275"/>
      <c r="P934" s="251"/>
      <c r="Q934" s="6"/>
      <c r="S934" s="251"/>
      <c r="T934" s="6"/>
    </row>
    <row r="935" spans="8:20" ht="13.5" thickBot="1">
      <c r="H935" s="285"/>
      <c r="I935" s="6"/>
      <c r="J935" s="6"/>
      <c r="L935" s="277"/>
      <c r="M935" s="275"/>
      <c r="P935" s="251"/>
      <c r="Q935" s="6"/>
      <c r="S935" s="251"/>
      <c r="T935" s="6"/>
    </row>
    <row r="936" spans="8:20" ht="13.5" thickBot="1">
      <c r="H936" s="285"/>
      <c r="I936" s="6"/>
      <c r="J936" s="6"/>
      <c r="L936" s="277"/>
      <c r="M936" s="275"/>
      <c r="P936" s="251"/>
      <c r="Q936" s="6"/>
      <c r="S936" s="251"/>
      <c r="T936" s="6"/>
    </row>
    <row r="937" spans="8:20" ht="13.5" thickBot="1">
      <c r="H937" s="285"/>
      <c r="I937" s="6"/>
      <c r="J937" s="6"/>
      <c r="L937" s="277"/>
      <c r="M937" s="275"/>
      <c r="P937" s="251"/>
      <c r="Q937" s="6"/>
      <c r="S937" s="251"/>
      <c r="T937" s="6"/>
    </row>
    <row r="938" spans="8:20" ht="13.5" thickBot="1">
      <c r="H938" s="285"/>
      <c r="I938" s="6"/>
      <c r="J938" s="6"/>
      <c r="L938" s="277"/>
      <c r="M938" s="275"/>
      <c r="P938" s="251"/>
      <c r="Q938" s="6"/>
      <c r="S938" s="251"/>
      <c r="T938" s="6"/>
    </row>
    <row r="939" spans="8:20" ht="13.5" thickBot="1">
      <c r="H939" s="285"/>
      <c r="I939" s="6"/>
      <c r="J939" s="6"/>
      <c r="L939" s="277"/>
      <c r="M939" s="275"/>
      <c r="P939" s="251"/>
      <c r="Q939" s="6"/>
      <c r="S939" s="251"/>
      <c r="T939" s="6"/>
    </row>
    <row r="940" spans="8:20" ht="13.5" thickBot="1">
      <c r="H940" s="285"/>
      <c r="I940" s="6"/>
      <c r="J940" s="6"/>
      <c r="L940" s="277"/>
      <c r="M940" s="275"/>
      <c r="P940" s="251"/>
      <c r="Q940" s="6"/>
      <c r="S940" s="251"/>
      <c r="T940" s="6"/>
    </row>
    <row r="941" spans="8:20" ht="13.5" thickBot="1">
      <c r="H941" s="285"/>
      <c r="I941" s="6"/>
      <c r="J941" s="6"/>
      <c r="L941" s="277"/>
      <c r="M941" s="275"/>
      <c r="P941" s="251"/>
      <c r="Q941" s="6"/>
      <c r="S941" s="251"/>
      <c r="T941" s="6"/>
    </row>
    <row r="942" spans="8:20" ht="13.5" thickBot="1">
      <c r="H942" s="285"/>
      <c r="I942" s="6"/>
      <c r="J942" s="6"/>
      <c r="L942" s="277"/>
      <c r="M942" s="275"/>
      <c r="P942" s="251"/>
      <c r="Q942" s="6"/>
      <c r="S942" s="251"/>
      <c r="T942" s="6"/>
    </row>
    <row r="943" spans="8:20" ht="13.5" thickBot="1">
      <c r="H943" s="285"/>
      <c r="I943" s="6"/>
      <c r="J943" s="6"/>
      <c r="L943" s="277"/>
      <c r="M943" s="275"/>
      <c r="P943" s="251"/>
      <c r="Q943" s="6"/>
      <c r="S943" s="251"/>
      <c r="T943" s="6"/>
    </row>
    <row r="944" spans="8:20" ht="13.5" thickBot="1">
      <c r="H944" s="285"/>
      <c r="I944" s="6"/>
      <c r="J944" s="6"/>
      <c r="L944" s="277"/>
      <c r="M944" s="275"/>
      <c r="P944" s="251"/>
      <c r="Q944" s="6"/>
      <c r="S944" s="251"/>
      <c r="T944" s="6"/>
    </row>
    <row r="945" spans="8:20" ht="13.5" thickBot="1">
      <c r="H945" s="285"/>
      <c r="I945" s="6"/>
      <c r="J945" s="6"/>
      <c r="L945" s="277"/>
      <c r="M945" s="275"/>
      <c r="P945" s="251"/>
      <c r="Q945" s="6"/>
      <c r="S945" s="251"/>
      <c r="T945" s="6"/>
    </row>
    <row r="946" spans="8:20" ht="13.5" thickBot="1">
      <c r="H946" s="285"/>
      <c r="I946" s="6"/>
      <c r="J946" s="6"/>
      <c r="L946" s="277"/>
      <c r="M946" s="275"/>
      <c r="P946" s="251"/>
      <c r="Q946" s="6"/>
      <c r="S946" s="251"/>
      <c r="T946" s="6"/>
    </row>
    <row r="947" spans="8:20" ht="13.5" thickBot="1">
      <c r="H947" s="285"/>
      <c r="I947" s="6"/>
      <c r="J947" s="6"/>
      <c r="L947" s="277"/>
      <c r="M947" s="275"/>
      <c r="P947" s="251"/>
      <c r="Q947" s="6"/>
      <c r="S947" s="251"/>
      <c r="T947" s="6"/>
    </row>
    <row r="948" spans="8:20" ht="13.5" thickBot="1">
      <c r="H948" s="285"/>
      <c r="I948" s="6"/>
      <c r="J948" s="6"/>
      <c r="L948" s="277"/>
      <c r="M948" s="275"/>
      <c r="P948" s="251"/>
      <c r="Q948" s="6"/>
      <c r="S948" s="251"/>
      <c r="T948" s="6"/>
    </row>
    <row r="949" spans="8:20" ht="13.5" thickBot="1">
      <c r="H949" s="285"/>
      <c r="I949" s="6"/>
      <c r="J949" s="6"/>
      <c r="L949" s="277"/>
      <c r="M949" s="275"/>
      <c r="P949" s="251"/>
      <c r="Q949" s="6"/>
      <c r="S949" s="251"/>
      <c r="T949" s="6"/>
    </row>
    <row r="950" spans="8:20" ht="13.5" thickBot="1">
      <c r="H950" s="285"/>
      <c r="I950" s="6"/>
      <c r="J950" s="6"/>
      <c r="L950" s="277"/>
      <c r="M950" s="275"/>
      <c r="P950" s="251"/>
      <c r="Q950" s="6"/>
      <c r="S950" s="251"/>
      <c r="T950" s="6"/>
    </row>
    <row r="951" spans="8:20" ht="13.5" thickBot="1">
      <c r="H951" s="285"/>
      <c r="I951" s="6"/>
      <c r="J951" s="6"/>
      <c r="L951" s="277"/>
      <c r="M951" s="275"/>
      <c r="P951" s="251"/>
      <c r="Q951" s="6"/>
      <c r="S951" s="251"/>
      <c r="T951" s="6"/>
    </row>
    <row r="952" spans="8:20" ht="13.5" thickBot="1">
      <c r="H952" s="285"/>
      <c r="I952" s="6"/>
      <c r="J952" s="6"/>
      <c r="L952" s="277"/>
      <c r="M952" s="275"/>
      <c r="P952" s="251"/>
      <c r="Q952" s="6"/>
      <c r="S952" s="251"/>
      <c r="T952" s="6"/>
    </row>
    <row r="953" spans="8:20" ht="13.5" thickBot="1">
      <c r="H953" s="285"/>
      <c r="I953" s="6"/>
      <c r="J953" s="6"/>
      <c r="L953" s="277"/>
      <c r="M953" s="275"/>
      <c r="P953" s="251"/>
      <c r="Q953" s="6"/>
      <c r="S953" s="251"/>
      <c r="T953" s="6"/>
    </row>
    <row r="954" spans="8:20" ht="13.5" thickBot="1">
      <c r="H954" s="285"/>
      <c r="I954" s="6"/>
      <c r="J954" s="6"/>
      <c r="L954" s="277"/>
      <c r="M954" s="275"/>
      <c r="P954" s="251"/>
      <c r="Q954" s="6"/>
      <c r="S954" s="251"/>
      <c r="T954" s="6"/>
    </row>
    <row r="955" spans="8:20" ht="13.5" thickBot="1">
      <c r="H955" s="285"/>
      <c r="I955" s="6"/>
      <c r="J955" s="6"/>
      <c r="L955" s="277"/>
      <c r="M955" s="275"/>
      <c r="P955" s="251"/>
      <c r="Q955" s="6"/>
      <c r="S955" s="251"/>
      <c r="T955" s="6"/>
    </row>
    <row r="956" spans="8:20" ht="13.5" thickBot="1">
      <c r="H956" s="285"/>
      <c r="I956" s="6"/>
      <c r="J956" s="6"/>
      <c r="L956" s="277"/>
      <c r="M956" s="275"/>
      <c r="P956" s="251"/>
      <c r="Q956" s="6"/>
      <c r="S956" s="251"/>
      <c r="T956" s="6"/>
    </row>
    <row r="957" spans="8:20" ht="13.5" thickBot="1">
      <c r="H957" s="285"/>
      <c r="I957" s="6"/>
      <c r="J957" s="6"/>
      <c r="L957" s="277"/>
      <c r="M957" s="275"/>
      <c r="P957" s="251"/>
      <c r="Q957" s="6"/>
      <c r="S957" s="251"/>
      <c r="T957" s="6"/>
    </row>
    <row r="958" spans="8:20" ht="13.5" thickBot="1">
      <c r="H958" s="285"/>
      <c r="I958" s="6"/>
      <c r="J958" s="6"/>
      <c r="L958" s="277"/>
      <c r="M958" s="275"/>
      <c r="P958" s="251"/>
      <c r="Q958" s="6"/>
      <c r="S958" s="251"/>
      <c r="T958" s="6"/>
    </row>
    <row r="959" spans="8:20" ht="13.5" thickBot="1">
      <c r="H959" s="285"/>
      <c r="I959" s="6"/>
      <c r="J959" s="6"/>
      <c r="L959" s="277"/>
      <c r="M959" s="275"/>
      <c r="P959" s="251"/>
      <c r="Q959" s="6"/>
      <c r="S959" s="251"/>
      <c r="T959" s="6"/>
    </row>
    <row r="960" spans="8:20" ht="13.5" thickBot="1">
      <c r="H960" s="285"/>
      <c r="I960" s="6"/>
      <c r="J960" s="6"/>
      <c r="L960" s="277"/>
      <c r="M960" s="275"/>
      <c r="P960" s="251"/>
      <c r="Q960" s="6"/>
      <c r="S960" s="251"/>
      <c r="T960" s="6"/>
    </row>
    <row r="961" spans="8:20" ht="13.5" thickBot="1">
      <c r="H961" s="285"/>
      <c r="I961" s="6"/>
      <c r="J961" s="6"/>
      <c r="L961" s="277"/>
      <c r="M961" s="275"/>
      <c r="P961" s="251"/>
      <c r="Q961" s="6"/>
      <c r="S961" s="251"/>
      <c r="T961" s="6"/>
    </row>
    <row r="962" spans="8:20" ht="13.5" thickBot="1">
      <c r="H962" s="285"/>
      <c r="I962" s="6"/>
      <c r="J962" s="6"/>
      <c r="L962" s="277"/>
      <c r="M962" s="275"/>
      <c r="P962" s="251"/>
      <c r="Q962" s="6"/>
      <c r="S962" s="251"/>
      <c r="T962" s="6"/>
    </row>
    <row r="963" spans="8:20" ht="13.5" thickBot="1">
      <c r="H963" s="285"/>
      <c r="I963" s="6"/>
      <c r="J963" s="6"/>
      <c r="L963" s="277"/>
      <c r="M963" s="275"/>
      <c r="P963" s="251"/>
      <c r="Q963" s="6"/>
      <c r="S963" s="251"/>
      <c r="T963" s="6"/>
    </row>
    <row r="964" spans="8:20" ht="13.5" thickBot="1">
      <c r="H964" s="285"/>
      <c r="I964" s="6"/>
      <c r="J964" s="6"/>
      <c r="L964" s="277"/>
      <c r="M964" s="275"/>
      <c r="P964" s="251"/>
      <c r="Q964" s="6"/>
      <c r="S964" s="251"/>
      <c r="T964" s="6"/>
    </row>
    <row r="965" spans="8:20" ht="13.5" thickBot="1">
      <c r="H965" s="285"/>
      <c r="I965" s="6"/>
      <c r="J965" s="6"/>
      <c r="L965" s="277"/>
      <c r="M965" s="275"/>
      <c r="P965" s="251"/>
      <c r="Q965" s="6"/>
      <c r="S965" s="251"/>
      <c r="T965" s="6"/>
    </row>
    <row r="966" spans="8:20" ht="13.5" thickBot="1">
      <c r="H966" s="285"/>
      <c r="I966" s="6"/>
      <c r="J966" s="6"/>
      <c r="L966" s="277"/>
      <c r="M966" s="275"/>
      <c r="P966" s="251"/>
      <c r="Q966" s="6"/>
      <c r="S966" s="251"/>
      <c r="T966" s="6"/>
    </row>
    <row r="967" spans="8:20" ht="13.5" thickBot="1">
      <c r="H967" s="285"/>
      <c r="I967" s="6"/>
      <c r="J967" s="6"/>
      <c r="L967" s="277"/>
      <c r="M967" s="275"/>
      <c r="P967" s="251"/>
      <c r="Q967" s="6"/>
      <c r="S967" s="251"/>
      <c r="T967" s="6"/>
    </row>
    <row r="968" spans="8:20" ht="13.5" thickBot="1">
      <c r="H968" s="285"/>
      <c r="I968" s="6"/>
      <c r="J968" s="6"/>
      <c r="L968" s="277"/>
      <c r="M968" s="275"/>
      <c r="P968" s="251"/>
      <c r="Q968" s="6"/>
      <c r="S968" s="251"/>
      <c r="T968" s="6"/>
    </row>
    <row r="969" spans="8:20" ht="13.5" thickBot="1">
      <c r="H969" s="285"/>
      <c r="I969" s="6"/>
      <c r="J969" s="6"/>
      <c r="L969" s="277"/>
      <c r="M969" s="275"/>
      <c r="P969" s="251"/>
      <c r="Q969" s="6"/>
      <c r="S969" s="251"/>
      <c r="T969" s="6"/>
    </row>
    <row r="970" spans="8:20" ht="13.5" thickBot="1">
      <c r="H970" s="285"/>
      <c r="I970" s="6"/>
      <c r="J970" s="6"/>
      <c r="L970" s="277"/>
      <c r="M970" s="275"/>
      <c r="P970" s="251"/>
      <c r="Q970" s="6"/>
      <c r="S970" s="251"/>
      <c r="T970" s="6"/>
    </row>
    <row r="971" spans="8:20" ht="13.5" thickBot="1">
      <c r="H971" s="285"/>
      <c r="I971" s="6"/>
      <c r="J971" s="6"/>
      <c r="L971" s="277"/>
      <c r="M971" s="275"/>
      <c r="P971" s="251"/>
      <c r="Q971" s="6"/>
      <c r="S971" s="251"/>
      <c r="T971" s="6"/>
    </row>
    <row r="972" spans="8:20" ht="13.5" thickBot="1">
      <c r="H972" s="285"/>
      <c r="I972" s="6"/>
      <c r="J972" s="6"/>
      <c r="L972" s="277"/>
      <c r="M972" s="275"/>
      <c r="P972" s="251"/>
      <c r="Q972" s="6"/>
      <c r="S972" s="251"/>
      <c r="T972" s="6"/>
    </row>
    <row r="973" spans="8:20" ht="13.5" thickBot="1">
      <c r="H973" s="285"/>
      <c r="I973" s="6"/>
      <c r="J973" s="6"/>
      <c r="L973" s="277"/>
      <c r="M973" s="275"/>
      <c r="P973" s="251"/>
      <c r="Q973" s="6"/>
      <c r="S973" s="251"/>
      <c r="T973" s="6"/>
    </row>
    <row r="974" spans="8:20" ht="13.5" thickBot="1">
      <c r="H974" s="285"/>
      <c r="I974" s="6"/>
      <c r="J974" s="6"/>
      <c r="L974" s="277"/>
      <c r="M974" s="275"/>
      <c r="P974" s="251"/>
      <c r="Q974" s="6"/>
      <c r="S974" s="251"/>
      <c r="T974" s="6"/>
    </row>
    <row r="975" spans="8:20" ht="13.5" thickBot="1">
      <c r="H975" s="285"/>
      <c r="I975" s="6"/>
      <c r="J975" s="6"/>
      <c r="L975" s="277"/>
      <c r="M975" s="275"/>
      <c r="P975" s="251"/>
      <c r="Q975" s="6"/>
      <c r="S975" s="251"/>
      <c r="T975" s="6"/>
    </row>
    <row r="976" spans="8:20" ht="13.5" thickBot="1">
      <c r="H976" s="285"/>
      <c r="I976" s="6"/>
      <c r="J976" s="6"/>
      <c r="L976" s="277"/>
      <c r="M976" s="275"/>
      <c r="P976" s="251"/>
      <c r="Q976" s="6"/>
      <c r="S976" s="251"/>
      <c r="T976" s="6"/>
    </row>
    <row r="977" spans="8:20" ht="13.5" thickBot="1">
      <c r="H977" s="285"/>
      <c r="I977" s="6"/>
      <c r="J977" s="6"/>
      <c r="L977" s="277"/>
      <c r="M977" s="275"/>
      <c r="P977" s="251"/>
      <c r="Q977" s="6"/>
      <c r="S977" s="251"/>
      <c r="T977" s="6"/>
    </row>
    <row r="978" spans="8:20" ht="13.5" thickBot="1">
      <c r="H978" s="285"/>
      <c r="I978" s="6"/>
      <c r="J978" s="6"/>
      <c r="L978" s="277"/>
      <c r="M978" s="275"/>
      <c r="P978" s="251"/>
      <c r="Q978" s="6"/>
      <c r="S978" s="251"/>
      <c r="T978" s="6"/>
    </row>
    <row r="979" spans="8:20" ht="13.5" thickBot="1">
      <c r="H979" s="285"/>
      <c r="I979" s="6"/>
      <c r="J979" s="6"/>
      <c r="L979" s="277"/>
      <c r="M979" s="275"/>
      <c r="P979" s="251"/>
      <c r="Q979" s="6"/>
      <c r="S979" s="251"/>
      <c r="T979" s="6"/>
    </row>
    <row r="980" spans="8:20" ht="13.5" thickBot="1">
      <c r="H980" s="285"/>
      <c r="I980" s="6"/>
      <c r="J980" s="6"/>
      <c r="L980" s="277"/>
      <c r="M980" s="275"/>
      <c r="P980" s="251"/>
      <c r="Q980" s="6"/>
      <c r="S980" s="251"/>
      <c r="T980" s="6"/>
    </row>
    <row r="981" spans="8:20" ht="13.5" thickBot="1">
      <c r="H981" s="285"/>
      <c r="I981" s="6"/>
      <c r="J981" s="6"/>
      <c r="L981" s="277"/>
      <c r="M981" s="275"/>
      <c r="P981" s="251"/>
      <c r="Q981" s="6"/>
      <c r="S981" s="251"/>
      <c r="T981" s="6"/>
    </row>
    <row r="982" spans="8:20" ht="13.5" thickBot="1">
      <c r="H982" s="285"/>
      <c r="I982" s="6"/>
      <c r="J982" s="6"/>
      <c r="L982" s="277"/>
      <c r="M982" s="275"/>
      <c r="P982" s="251"/>
      <c r="Q982" s="6"/>
      <c r="S982" s="251"/>
      <c r="T982" s="6"/>
    </row>
    <row r="983" spans="8:20" ht="13.5" thickBot="1">
      <c r="H983" s="285"/>
      <c r="I983" s="6"/>
      <c r="J983" s="6"/>
      <c r="L983" s="277"/>
      <c r="M983" s="275"/>
      <c r="P983" s="251"/>
      <c r="Q983" s="6"/>
      <c r="S983" s="251"/>
      <c r="T983" s="6"/>
    </row>
    <row r="984" spans="8:20" ht="13.5" thickBot="1">
      <c r="H984" s="285"/>
      <c r="I984" s="6"/>
      <c r="J984" s="6"/>
      <c r="L984" s="277"/>
      <c r="M984" s="275"/>
      <c r="P984" s="251"/>
      <c r="Q984" s="6"/>
      <c r="S984" s="251"/>
      <c r="T984" s="6"/>
    </row>
    <row r="985" spans="8:20" ht="13.5" thickBot="1">
      <c r="H985" s="285"/>
      <c r="I985" s="6"/>
      <c r="J985" s="6"/>
      <c r="L985" s="277"/>
      <c r="M985" s="275"/>
      <c r="P985" s="251"/>
      <c r="Q985" s="6"/>
      <c r="S985" s="251"/>
      <c r="T985" s="6"/>
    </row>
    <row r="986" spans="8:20" ht="13.5" thickBot="1">
      <c r="H986" s="285"/>
      <c r="I986" s="6"/>
      <c r="J986" s="6"/>
      <c r="L986" s="277"/>
      <c r="M986" s="275"/>
      <c r="P986" s="251"/>
      <c r="Q986" s="6"/>
      <c r="S986" s="251"/>
      <c r="T986" s="6"/>
    </row>
    <row r="987" spans="8:20" ht="13.5" thickBot="1">
      <c r="H987" s="285"/>
      <c r="I987" s="6"/>
      <c r="J987" s="6"/>
      <c r="L987" s="277"/>
      <c r="M987" s="275"/>
      <c r="P987" s="251"/>
      <c r="Q987" s="6"/>
      <c r="S987" s="251"/>
      <c r="T987" s="6"/>
    </row>
    <row r="988" spans="8:20" ht="13.5" thickBot="1">
      <c r="H988" s="285"/>
      <c r="I988" s="6"/>
      <c r="J988" s="6"/>
      <c r="L988" s="277"/>
      <c r="M988" s="275"/>
      <c r="P988" s="251"/>
      <c r="Q988" s="6"/>
      <c r="S988" s="251"/>
      <c r="T988" s="6"/>
    </row>
    <row r="989" spans="8:20" ht="13.5" thickBot="1">
      <c r="H989" s="285"/>
      <c r="I989" s="6"/>
      <c r="J989" s="6"/>
      <c r="L989" s="277"/>
      <c r="M989" s="275"/>
      <c r="P989" s="251"/>
      <c r="Q989" s="6"/>
      <c r="S989" s="251"/>
      <c r="T989" s="6"/>
    </row>
    <row r="990" spans="8:20" ht="13.5" thickBot="1">
      <c r="H990" s="285"/>
      <c r="I990" s="6"/>
      <c r="J990" s="6"/>
      <c r="L990" s="277"/>
      <c r="M990" s="275"/>
      <c r="P990" s="251"/>
      <c r="Q990" s="6"/>
      <c r="S990" s="251"/>
      <c r="T990" s="6"/>
    </row>
    <row r="991" spans="8:20" ht="13.5" thickBot="1">
      <c r="H991" s="285"/>
      <c r="I991" s="6"/>
      <c r="J991" s="6"/>
      <c r="L991" s="277"/>
      <c r="M991" s="275"/>
      <c r="P991" s="251"/>
      <c r="Q991" s="6"/>
      <c r="S991" s="251"/>
      <c r="T991" s="6"/>
    </row>
    <row r="992" spans="8:20" ht="13.5" thickBot="1">
      <c r="H992" s="285"/>
      <c r="I992" s="6"/>
      <c r="J992" s="6"/>
      <c r="L992" s="277"/>
      <c r="M992" s="275"/>
      <c r="P992" s="251"/>
      <c r="Q992" s="6"/>
      <c r="S992" s="251"/>
      <c r="T992" s="6"/>
    </row>
    <row r="993" spans="8:20" ht="13.5" thickBot="1">
      <c r="H993" s="285"/>
      <c r="I993" s="6"/>
      <c r="J993" s="6"/>
      <c r="L993" s="277"/>
      <c r="M993" s="275"/>
      <c r="P993" s="251"/>
      <c r="Q993" s="6"/>
      <c r="S993" s="251"/>
      <c r="T993" s="6"/>
    </row>
    <row r="994" spans="8:20" ht="13.5" thickBot="1">
      <c r="H994" s="285"/>
      <c r="I994" s="6"/>
      <c r="J994" s="6"/>
      <c r="L994" s="277"/>
      <c r="M994" s="275"/>
      <c r="P994" s="251"/>
      <c r="Q994" s="6"/>
      <c r="S994" s="251"/>
      <c r="T994" s="6"/>
    </row>
    <row r="995" spans="8:20" ht="13.5" thickBot="1">
      <c r="H995" s="285"/>
      <c r="I995" s="6"/>
      <c r="J995" s="6"/>
      <c r="L995" s="277"/>
      <c r="M995" s="275"/>
      <c r="P995" s="251"/>
      <c r="Q995" s="6"/>
      <c r="S995" s="251"/>
      <c r="T995" s="6"/>
    </row>
    <row r="996" spans="8:20" ht="13.5" thickBot="1">
      <c r="H996" s="285"/>
      <c r="I996" s="6"/>
      <c r="J996" s="6"/>
      <c r="L996" s="277"/>
      <c r="M996" s="275"/>
      <c r="P996" s="251"/>
      <c r="Q996" s="6"/>
      <c r="S996" s="251"/>
      <c r="T996" s="6"/>
    </row>
    <row r="997" spans="8:20" ht="13.5" thickBot="1">
      <c r="H997" s="285"/>
      <c r="I997" s="6"/>
      <c r="J997" s="6"/>
      <c r="L997" s="277"/>
      <c r="M997" s="275"/>
      <c r="P997" s="251"/>
      <c r="Q997" s="6"/>
      <c r="S997" s="251"/>
      <c r="T997" s="6"/>
    </row>
    <row r="998" spans="8:20" ht="13.5" thickBot="1">
      <c r="H998" s="285"/>
      <c r="I998" s="6"/>
      <c r="J998" s="6"/>
      <c r="L998" s="277"/>
      <c r="M998" s="275"/>
      <c r="P998" s="251"/>
      <c r="Q998" s="6"/>
      <c r="S998" s="251"/>
      <c r="T998" s="6"/>
    </row>
    <row r="999" spans="8:20" ht="13.5" thickBot="1">
      <c r="H999" s="285"/>
      <c r="I999" s="6"/>
      <c r="J999" s="6"/>
      <c r="L999" s="277"/>
      <c r="M999" s="275"/>
      <c r="P999" s="251"/>
      <c r="Q999" s="6"/>
      <c r="S999" s="251"/>
      <c r="T999" s="6"/>
    </row>
    <row r="1000" spans="8:20" ht="13.5" thickBot="1">
      <c r="H1000" s="285"/>
      <c r="I1000" s="6"/>
      <c r="J1000" s="6"/>
      <c r="L1000" s="277"/>
      <c r="M1000" s="275"/>
      <c r="P1000" s="251"/>
      <c r="Q1000" s="6"/>
      <c r="S1000" s="251"/>
      <c r="T1000" s="6"/>
    </row>
    <row r="1001" spans="8:20" ht="13.5" thickBot="1">
      <c r="H1001" s="285"/>
      <c r="I1001" s="6"/>
      <c r="J1001" s="6"/>
      <c r="L1001" s="277"/>
      <c r="M1001" s="275"/>
      <c r="P1001" s="251"/>
      <c r="Q1001" s="6"/>
      <c r="S1001" s="251"/>
      <c r="T1001" s="6"/>
    </row>
    <row r="1002" spans="8:20" ht="13.5" thickBot="1">
      <c r="H1002" s="285"/>
      <c r="I1002" s="6"/>
      <c r="J1002" s="6"/>
      <c r="L1002" s="277"/>
      <c r="M1002" s="275"/>
      <c r="P1002" s="251"/>
      <c r="Q1002" s="6"/>
      <c r="S1002" s="251"/>
      <c r="T1002" s="6"/>
    </row>
    <row r="1003" spans="8:20" ht="13.5" thickBot="1">
      <c r="H1003" s="285"/>
      <c r="I1003" s="6"/>
      <c r="J1003" s="6"/>
      <c r="L1003" s="277"/>
      <c r="M1003" s="275"/>
      <c r="P1003" s="251"/>
      <c r="Q1003" s="6"/>
      <c r="S1003" s="251"/>
      <c r="T1003" s="6"/>
    </row>
    <row r="1004" spans="8:20" ht="13.5" thickBot="1">
      <c r="H1004" s="285"/>
      <c r="I1004" s="6"/>
      <c r="J1004" s="6"/>
      <c r="L1004" s="277"/>
      <c r="M1004" s="275"/>
      <c r="P1004" s="251"/>
      <c r="Q1004" s="6"/>
      <c r="S1004" s="251"/>
      <c r="T1004" s="6"/>
    </row>
    <row r="1005" spans="8:20" ht="13.5" thickBot="1">
      <c r="H1005" s="285"/>
      <c r="I1005" s="6"/>
      <c r="J1005" s="6"/>
      <c r="L1005" s="277"/>
      <c r="M1005" s="275"/>
      <c r="P1005" s="251"/>
      <c r="Q1005" s="6"/>
      <c r="S1005" s="251"/>
      <c r="T1005" s="6"/>
    </row>
    <row r="1006" spans="8:20" ht="13.5" thickBot="1">
      <c r="H1006" s="285"/>
      <c r="I1006" s="6"/>
      <c r="J1006" s="6"/>
      <c r="L1006" s="277"/>
      <c r="M1006" s="275"/>
      <c r="P1006" s="251"/>
      <c r="Q1006" s="6"/>
      <c r="S1006" s="251"/>
      <c r="T1006" s="6"/>
    </row>
    <row r="1007" spans="8:20" ht="13.5" thickBot="1">
      <c r="H1007" s="285"/>
      <c r="I1007" s="6"/>
      <c r="J1007" s="6"/>
      <c r="L1007" s="277"/>
      <c r="M1007" s="275"/>
      <c r="P1007" s="251"/>
      <c r="Q1007" s="6"/>
      <c r="S1007" s="251"/>
      <c r="T1007" s="6"/>
    </row>
    <row r="1008" spans="8:20" ht="13.5" thickBot="1">
      <c r="H1008" s="285"/>
      <c r="I1008" s="6"/>
      <c r="J1008" s="6"/>
      <c r="L1008" s="277"/>
      <c r="M1008" s="275"/>
      <c r="P1008" s="251"/>
      <c r="Q1008" s="6"/>
      <c r="S1008" s="251"/>
      <c r="T1008" s="6"/>
    </row>
    <row r="1009" spans="8:20" ht="13.5" thickBot="1">
      <c r="H1009" s="285"/>
      <c r="I1009" s="6"/>
      <c r="J1009" s="6"/>
      <c r="L1009" s="277"/>
      <c r="M1009" s="275"/>
      <c r="P1009" s="251"/>
      <c r="Q1009" s="6"/>
      <c r="S1009" s="251"/>
      <c r="T1009" s="6"/>
    </row>
    <row r="1010" spans="8:20" ht="13.5" thickBot="1">
      <c r="H1010" s="285"/>
      <c r="I1010" s="6"/>
      <c r="J1010" s="6"/>
      <c r="L1010" s="277"/>
      <c r="M1010" s="275"/>
      <c r="P1010" s="251"/>
      <c r="Q1010" s="6"/>
      <c r="S1010" s="251"/>
      <c r="T1010" s="6"/>
    </row>
    <row r="1011" spans="8:20" ht="13.5" thickBot="1">
      <c r="H1011" s="285"/>
      <c r="I1011" s="6"/>
      <c r="J1011" s="6"/>
      <c r="L1011" s="277"/>
      <c r="M1011" s="275"/>
      <c r="P1011" s="251"/>
      <c r="Q1011" s="6"/>
      <c r="S1011" s="251"/>
      <c r="T1011" s="6"/>
    </row>
    <row r="1012" spans="8:20" ht="13.5" thickBot="1">
      <c r="H1012" s="285"/>
      <c r="I1012" s="6"/>
      <c r="J1012" s="6"/>
      <c r="L1012" s="277"/>
      <c r="M1012" s="275"/>
      <c r="P1012" s="251"/>
      <c r="Q1012" s="6"/>
      <c r="S1012" s="251"/>
      <c r="T1012" s="6"/>
    </row>
    <row r="1013" spans="8:20" ht="13.5" thickBot="1">
      <c r="H1013" s="285"/>
      <c r="I1013" s="6"/>
      <c r="J1013" s="6"/>
      <c r="L1013" s="277"/>
      <c r="M1013" s="275"/>
      <c r="P1013" s="251"/>
      <c r="Q1013" s="6"/>
      <c r="S1013" s="251"/>
      <c r="T1013" s="6"/>
    </row>
    <row r="1014" spans="8:20" ht="13.5" thickBot="1">
      <c r="H1014" s="285"/>
      <c r="I1014" s="6"/>
      <c r="J1014" s="6"/>
      <c r="L1014" s="277"/>
      <c r="M1014" s="275"/>
      <c r="P1014" s="251"/>
      <c r="Q1014" s="6"/>
      <c r="S1014" s="251"/>
      <c r="T1014" s="6"/>
    </row>
    <row r="1015" spans="8:20" ht="13.5" thickBot="1">
      <c r="H1015" s="285"/>
      <c r="I1015" s="6"/>
      <c r="J1015" s="6"/>
      <c r="L1015" s="277"/>
      <c r="M1015" s="275"/>
      <c r="P1015" s="251"/>
      <c r="Q1015" s="6"/>
      <c r="S1015" s="251"/>
      <c r="T1015" s="6"/>
    </row>
    <row r="1016" spans="8:20" ht="13.5" thickBot="1">
      <c r="H1016" s="285"/>
      <c r="I1016" s="6"/>
      <c r="J1016" s="6"/>
      <c r="L1016" s="277"/>
      <c r="M1016" s="275"/>
      <c r="P1016" s="251"/>
      <c r="Q1016" s="6"/>
      <c r="S1016" s="251"/>
      <c r="T1016" s="6"/>
    </row>
    <row r="1017" spans="8:20" ht="13.5" thickBot="1">
      <c r="H1017" s="285"/>
      <c r="I1017" s="6"/>
      <c r="J1017" s="6"/>
      <c r="L1017" s="277"/>
      <c r="M1017" s="275"/>
      <c r="P1017" s="251"/>
      <c r="Q1017" s="6"/>
      <c r="S1017" s="251"/>
      <c r="T1017" s="6"/>
    </row>
    <row r="1018" spans="8:20" ht="13.5" thickBot="1">
      <c r="H1018" s="285"/>
      <c r="I1018" s="6"/>
      <c r="J1018" s="6"/>
      <c r="L1018" s="277"/>
      <c r="M1018" s="275"/>
      <c r="P1018" s="251"/>
      <c r="Q1018" s="6"/>
      <c r="S1018" s="251"/>
      <c r="T1018" s="6"/>
    </row>
    <row r="1019" spans="8:20" ht="13.5" thickBot="1">
      <c r="H1019" s="285"/>
      <c r="I1019" s="6"/>
      <c r="J1019" s="6"/>
      <c r="L1019" s="277"/>
      <c r="M1019" s="275"/>
      <c r="P1019" s="251"/>
      <c r="Q1019" s="6"/>
      <c r="S1019" s="251"/>
      <c r="T1019" s="6"/>
    </row>
    <row r="1020" spans="8:20" ht="13.5" thickBot="1">
      <c r="H1020" s="285"/>
      <c r="I1020" s="6"/>
      <c r="J1020" s="6"/>
      <c r="L1020" s="277"/>
      <c r="M1020" s="275"/>
      <c r="P1020" s="251"/>
      <c r="Q1020" s="6"/>
      <c r="S1020" s="251"/>
      <c r="T1020" s="6"/>
    </row>
    <row r="1021" spans="8:20" ht="13.5" thickBot="1">
      <c r="H1021" s="285"/>
      <c r="I1021" s="6"/>
      <c r="J1021" s="6"/>
      <c r="L1021" s="277"/>
      <c r="M1021" s="275"/>
      <c r="P1021" s="251"/>
      <c r="Q1021" s="6"/>
      <c r="S1021" s="251"/>
      <c r="T1021" s="6"/>
    </row>
    <row r="1022" spans="8:20" ht="13.5" thickBot="1">
      <c r="H1022" s="285"/>
      <c r="I1022" s="6"/>
      <c r="J1022" s="6"/>
      <c r="L1022" s="277"/>
      <c r="M1022" s="275"/>
      <c r="P1022" s="251"/>
      <c r="Q1022" s="6"/>
      <c r="S1022" s="251"/>
      <c r="T1022" s="6"/>
    </row>
    <row r="1023" spans="8:20" ht="13.5" thickBot="1">
      <c r="H1023" s="285"/>
      <c r="I1023" s="6"/>
      <c r="J1023" s="6"/>
      <c r="L1023" s="277"/>
      <c r="M1023" s="275"/>
      <c r="P1023" s="251"/>
      <c r="Q1023" s="6"/>
      <c r="S1023" s="251"/>
      <c r="T1023" s="6"/>
    </row>
    <row r="1024" spans="8:20" ht="13.5" thickBot="1">
      <c r="H1024" s="285"/>
      <c r="I1024" s="6"/>
      <c r="J1024" s="6"/>
      <c r="L1024" s="277"/>
      <c r="M1024" s="275"/>
      <c r="P1024" s="251"/>
      <c r="Q1024" s="6"/>
      <c r="S1024" s="251"/>
      <c r="T1024" s="6"/>
    </row>
    <row r="1025" spans="8:20" ht="13.5" thickBot="1">
      <c r="H1025" s="285"/>
      <c r="I1025" s="6"/>
      <c r="J1025" s="6"/>
      <c r="L1025" s="277"/>
      <c r="M1025" s="275"/>
      <c r="P1025" s="251"/>
      <c r="Q1025" s="6"/>
      <c r="S1025" s="251"/>
      <c r="T1025" s="6"/>
    </row>
    <row r="1026" spans="8:20" ht="13.5" thickBot="1">
      <c r="H1026" s="285"/>
      <c r="I1026" s="6"/>
      <c r="J1026" s="6"/>
      <c r="L1026" s="277"/>
      <c r="M1026" s="275"/>
      <c r="P1026" s="251"/>
      <c r="Q1026" s="6"/>
      <c r="S1026" s="251"/>
      <c r="T1026" s="6"/>
    </row>
    <row r="1027" spans="8:20" ht="13.5" thickBot="1">
      <c r="H1027" s="285"/>
      <c r="I1027" s="6"/>
      <c r="J1027" s="6"/>
      <c r="L1027" s="277"/>
      <c r="M1027" s="275"/>
      <c r="P1027" s="251"/>
      <c r="Q1027" s="6"/>
      <c r="S1027" s="251"/>
      <c r="T1027" s="6"/>
    </row>
    <row r="1028" spans="8:20" ht="13.5" thickBot="1">
      <c r="H1028" s="285"/>
      <c r="I1028" s="6"/>
      <c r="J1028" s="6"/>
      <c r="L1028" s="277"/>
      <c r="M1028" s="275"/>
      <c r="P1028" s="251"/>
      <c r="Q1028" s="6"/>
      <c r="S1028" s="251"/>
      <c r="T1028" s="6"/>
    </row>
    <row r="1029" spans="8:20" ht="13.5" thickBot="1">
      <c r="H1029" s="285"/>
      <c r="I1029" s="6"/>
      <c r="J1029" s="6"/>
      <c r="L1029" s="277"/>
      <c r="M1029" s="275"/>
      <c r="P1029" s="251"/>
      <c r="Q1029" s="6"/>
      <c r="S1029" s="251"/>
      <c r="T1029" s="6"/>
    </row>
    <row r="1030" spans="8:20" ht="13.5" thickBot="1">
      <c r="H1030" s="285"/>
      <c r="I1030" s="6"/>
      <c r="J1030" s="6"/>
      <c r="L1030" s="277"/>
      <c r="M1030" s="275"/>
      <c r="P1030" s="251"/>
      <c r="Q1030" s="6"/>
      <c r="S1030" s="251"/>
      <c r="T1030" s="6"/>
    </row>
    <row r="1031" spans="8:20" ht="13.5" thickBot="1">
      <c r="H1031" s="285"/>
      <c r="I1031" s="6"/>
      <c r="J1031" s="6"/>
      <c r="L1031" s="277"/>
      <c r="M1031" s="275"/>
      <c r="P1031" s="251"/>
      <c r="Q1031" s="6"/>
      <c r="S1031" s="251"/>
      <c r="T1031" s="6"/>
    </row>
    <row r="1032" spans="8:20" ht="13.5" thickBot="1">
      <c r="H1032" s="285"/>
      <c r="I1032" s="6"/>
      <c r="J1032" s="6"/>
      <c r="L1032" s="277"/>
      <c r="M1032" s="275"/>
      <c r="P1032" s="251"/>
      <c r="Q1032" s="6"/>
      <c r="S1032" s="251"/>
      <c r="T1032" s="6"/>
    </row>
    <row r="1033" spans="8:20" ht="13.5" thickBot="1">
      <c r="H1033" s="285"/>
      <c r="I1033" s="6"/>
      <c r="J1033" s="6"/>
      <c r="L1033" s="277"/>
      <c r="M1033" s="275"/>
      <c r="P1033" s="251"/>
      <c r="Q1033" s="6"/>
      <c r="S1033" s="251"/>
      <c r="T1033" s="6"/>
    </row>
    <row r="1034" spans="8:20" ht="13.5" thickBot="1">
      <c r="H1034" s="285"/>
      <c r="I1034" s="6"/>
      <c r="J1034" s="6"/>
      <c r="L1034" s="277"/>
      <c r="M1034" s="275"/>
      <c r="P1034" s="251"/>
      <c r="Q1034" s="6"/>
      <c r="S1034" s="251"/>
      <c r="T1034" s="6"/>
    </row>
    <row r="1035" spans="8:20" ht="13.5" thickBot="1">
      <c r="H1035" s="285"/>
      <c r="I1035" s="6"/>
      <c r="J1035" s="6"/>
      <c r="L1035" s="277"/>
      <c r="M1035" s="275"/>
      <c r="P1035" s="251"/>
      <c r="Q1035" s="6"/>
      <c r="S1035" s="251"/>
      <c r="T1035" s="6"/>
    </row>
    <row r="1036" spans="8:20" ht="13.5" thickBot="1">
      <c r="H1036" s="285"/>
      <c r="I1036" s="6"/>
      <c r="J1036" s="6"/>
      <c r="L1036" s="277"/>
      <c r="M1036" s="275"/>
      <c r="P1036" s="251"/>
      <c r="Q1036" s="6"/>
      <c r="S1036" s="251"/>
      <c r="T1036" s="6"/>
    </row>
    <row r="1037" spans="8:20" ht="13.5" thickBot="1">
      <c r="H1037" s="285"/>
      <c r="I1037" s="6"/>
      <c r="J1037" s="6"/>
      <c r="L1037" s="277"/>
      <c r="M1037" s="275"/>
      <c r="P1037" s="251"/>
      <c r="Q1037" s="6"/>
      <c r="S1037" s="251"/>
      <c r="T1037" s="6"/>
    </row>
    <row r="1038" spans="8:20" ht="13.5" thickBot="1">
      <c r="H1038" s="285"/>
      <c r="I1038" s="6"/>
      <c r="J1038" s="6"/>
      <c r="L1038" s="277"/>
      <c r="M1038" s="275"/>
      <c r="P1038" s="251"/>
      <c r="Q1038" s="6"/>
      <c r="S1038" s="251"/>
      <c r="T1038" s="6"/>
    </row>
    <row r="1039" spans="8:20" ht="13.5" thickBot="1">
      <c r="H1039" s="285"/>
      <c r="I1039" s="6"/>
      <c r="J1039" s="6"/>
      <c r="L1039" s="277"/>
      <c r="M1039" s="275"/>
      <c r="P1039" s="251"/>
      <c r="Q1039" s="6"/>
      <c r="S1039" s="251"/>
      <c r="T1039" s="6"/>
    </row>
    <row r="1040" spans="8:20" ht="13.5" thickBot="1">
      <c r="H1040" s="285"/>
      <c r="I1040" s="6"/>
      <c r="J1040" s="6"/>
      <c r="L1040" s="277"/>
      <c r="M1040" s="275"/>
      <c r="P1040" s="251"/>
      <c r="Q1040" s="6"/>
      <c r="S1040" s="251"/>
      <c r="T1040" s="6"/>
    </row>
    <row r="1041" spans="8:20" ht="13.5" thickBot="1">
      <c r="H1041" s="285"/>
      <c r="I1041" s="6"/>
      <c r="J1041" s="6"/>
      <c r="L1041" s="277"/>
      <c r="M1041" s="275"/>
      <c r="P1041" s="251"/>
      <c r="Q1041" s="6"/>
      <c r="S1041" s="251"/>
      <c r="T1041" s="6"/>
    </row>
    <row r="1042" spans="8:20" ht="13.5" thickBot="1">
      <c r="H1042" s="285"/>
      <c r="I1042" s="6"/>
      <c r="J1042" s="6"/>
      <c r="L1042" s="277"/>
      <c r="M1042" s="275"/>
      <c r="P1042" s="251"/>
      <c r="Q1042" s="6"/>
      <c r="S1042" s="251"/>
      <c r="T1042" s="6"/>
    </row>
    <row r="1043" spans="8:20" ht="13.5" thickBot="1">
      <c r="H1043" s="285"/>
      <c r="I1043" s="6"/>
      <c r="J1043" s="6"/>
      <c r="L1043" s="277"/>
      <c r="M1043" s="275"/>
      <c r="P1043" s="251"/>
      <c r="Q1043" s="6"/>
      <c r="S1043" s="251"/>
      <c r="T1043" s="6"/>
    </row>
    <row r="1044" spans="8:20" ht="13.5" thickBot="1">
      <c r="H1044" s="285"/>
      <c r="I1044" s="6"/>
      <c r="J1044" s="6"/>
      <c r="L1044" s="277"/>
      <c r="M1044" s="275"/>
      <c r="P1044" s="251"/>
      <c r="Q1044" s="6"/>
      <c r="S1044" s="251"/>
      <c r="T1044" s="6"/>
    </row>
    <row r="1045" spans="8:20" ht="13.5" thickBot="1">
      <c r="H1045" s="285"/>
      <c r="I1045" s="6"/>
      <c r="J1045" s="6"/>
      <c r="L1045" s="277"/>
      <c r="M1045" s="275"/>
      <c r="P1045" s="251"/>
      <c r="Q1045" s="6"/>
      <c r="S1045" s="251"/>
      <c r="T1045" s="6"/>
    </row>
    <row r="1046" spans="8:20" ht="13.5" thickBot="1">
      <c r="H1046" s="285"/>
      <c r="I1046" s="6"/>
      <c r="J1046" s="6"/>
      <c r="L1046" s="277"/>
      <c r="M1046" s="275"/>
      <c r="P1046" s="251"/>
      <c r="Q1046" s="6"/>
      <c r="S1046" s="251"/>
      <c r="T1046" s="6"/>
    </row>
    <row r="1047" spans="8:20" ht="13.5" thickBot="1">
      <c r="H1047" s="285"/>
      <c r="I1047" s="6"/>
      <c r="J1047" s="6"/>
      <c r="L1047" s="277"/>
      <c r="M1047" s="275"/>
      <c r="P1047" s="251"/>
      <c r="Q1047" s="6"/>
      <c r="S1047" s="251"/>
      <c r="T1047" s="6"/>
    </row>
    <row r="1048" spans="8:20" ht="13.5" thickBot="1">
      <c r="H1048" s="285"/>
      <c r="I1048" s="6"/>
      <c r="J1048" s="6"/>
      <c r="L1048" s="277"/>
      <c r="M1048" s="275"/>
      <c r="P1048" s="251"/>
      <c r="Q1048" s="6"/>
      <c r="S1048" s="251"/>
      <c r="T1048" s="6"/>
    </row>
    <row r="1049" spans="8:20" ht="13.5" thickBot="1">
      <c r="H1049" s="285"/>
      <c r="I1049" s="6"/>
      <c r="J1049" s="6"/>
      <c r="L1049" s="277"/>
      <c r="M1049" s="275"/>
      <c r="P1049" s="251"/>
      <c r="Q1049" s="6"/>
      <c r="S1049" s="251"/>
      <c r="T1049" s="6"/>
    </row>
    <row r="1050" spans="8:20" ht="13.5" thickBot="1">
      <c r="H1050" s="285"/>
      <c r="I1050" s="6"/>
      <c r="J1050" s="6"/>
      <c r="L1050" s="277"/>
      <c r="M1050" s="275"/>
      <c r="P1050" s="251"/>
      <c r="Q1050" s="6"/>
      <c r="S1050" s="251"/>
      <c r="T1050" s="6"/>
    </row>
    <row r="1051" spans="8:20" ht="13.5" thickBot="1">
      <c r="H1051" s="285"/>
      <c r="I1051" s="6"/>
      <c r="J1051" s="6"/>
      <c r="L1051" s="277"/>
      <c r="M1051" s="275"/>
      <c r="P1051" s="251"/>
      <c r="Q1051" s="6"/>
      <c r="S1051" s="251"/>
      <c r="T1051" s="6"/>
    </row>
    <row r="1052" spans="8:20" ht="13.5" thickBot="1">
      <c r="H1052" s="285"/>
      <c r="I1052" s="6"/>
      <c r="J1052" s="6"/>
      <c r="L1052" s="277"/>
      <c r="M1052" s="275"/>
      <c r="P1052" s="251"/>
      <c r="Q1052" s="6"/>
      <c r="S1052" s="251"/>
      <c r="T1052" s="6"/>
    </row>
    <row r="1053" spans="8:20" ht="13.5" thickBot="1">
      <c r="H1053" s="285"/>
      <c r="I1053" s="6"/>
      <c r="J1053" s="6"/>
      <c r="L1053" s="277"/>
      <c r="M1053" s="275"/>
      <c r="P1053" s="251"/>
      <c r="Q1053" s="6"/>
      <c r="S1053" s="251"/>
      <c r="T1053" s="6"/>
    </row>
    <row r="1054" spans="8:20" ht="13.5" thickBot="1">
      <c r="H1054" s="285"/>
      <c r="I1054" s="6"/>
      <c r="J1054" s="6"/>
      <c r="L1054" s="277"/>
      <c r="M1054" s="275"/>
      <c r="P1054" s="251"/>
      <c r="Q1054" s="6"/>
      <c r="S1054" s="251"/>
      <c r="T1054" s="6"/>
    </row>
    <row r="1055" spans="8:20" ht="13.5" thickBot="1">
      <c r="H1055" s="285"/>
      <c r="I1055" s="6"/>
      <c r="J1055" s="6"/>
      <c r="L1055" s="277"/>
      <c r="M1055" s="275"/>
      <c r="P1055" s="251"/>
      <c r="Q1055" s="6"/>
      <c r="S1055" s="251"/>
      <c r="T1055" s="6"/>
    </row>
    <row r="1056" spans="8:20" ht="13.5" thickBot="1">
      <c r="H1056" s="285"/>
      <c r="I1056" s="6"/>
      <c r="J1056" s="6"/>
      <c r="L1056" s="277"/>
      <c r="M1056" s="275"/>
      <c r="P1056" s="251"/>
      <c r="Q1056" s="6"/>
      <c r="S1056" s="251"/>
      <c r="T1056" s="6"/>
    </row>
    <row r="1057" spans="8:20" ht="13.5" thickBot="1">
      <c r="H1057" s="285"/>
      <c r="I1057" s="6"/>
      <c r="J1057" s="6"/>
      <c r="L1057" s="277"/>
      <c r="M1057" s="275"/>
      <c r="P1057" s="251"/>
      <c r="Q1057" s="6"/>
      <c r="S1057" s="251"/>
      <c r="T1057" s="6"/>
    </row>
    <row r="1058" spans="8:20" ht="13.5" thickBot="1">
      <c r="H1058" s="285"/>
      <c r="I1058" s="6"/>
      <c r="J1058" s="6"/>
      <c r="L1058" s="277"/>
      <c r="M1058" s="275"/>
      <c r="P1058" s="251"/>
      <c r="Q1058" s="6"/>
      <c r="S1058" s="251"/>
      <c r="T1058" s="6"/>
    </row>
    <row r="1059" spans="8:20" ht="13.5" thickBot="1">
      <c r="H1059" s="285"/>
      <c r="I1059" s="6"/>
      <c r="J1059" s="6"/>
      <c r="L1059" s="277"/>
      <c r="M1059" s="275"/>
      <c r="P1059" s="251"/>
      <c r="Q1059" s="6"/>
      <c r="S1059" s="251"/>
      <c r="T1059" s="6"/>
    </row>
    <row r="1060" spans="8:20" ht="13.5" thickBot="1">
      <c r="H1060" s="285"/>
      <c r="I1060" s="6"/>
      <c r="J1060" s="6"/>
      <c r="L1060" s="277"/>
      <c r="M1060" s="275"/>
      <c r="P1060" s="251"/>
      <c r="Q1060" s="6"/>
      <c r="S1060" s="251"/>
      <c r="T1060" s="6"/>
    </row>
    <row r="1061" spans="8:20" ht="13.5" thickBot="1">
      <c r="H1061" s="285"/>
      <c r="I1061" s="6"/>
      <c r="J1061" s="6"/>
      <c r="L1061" s="277"/>
      <c r="M1061" s="275"/>
      <c r="P1061" s="251"/>
      <c r="Q1061" s="6"/>
      <c r="S1061" s="251"/>
      <c r="T1061" s="6"/>
    </row>
    <row r="1062" spans="8:20" ht="13.5" thickBot="1">
      <c r="H1062" s="285"/>
      <c r="I1062" s="6"/>
      <c r="J1062" s="6"/>
      <c r="L1062" s="277"/>
      <c r="M1062" s="275"/>
      <c r="P1062" s="251"/>
      <c r="Q1062" s="6"/>
      <c r="S1062" s="251"/>
      <c r="T1062" s="6"/>
    </row>
    <row r="1063" spans="8:20" ht="13.5" thickBot="1">
      <c r="H1063" s="285"/>
      <c r="I1063" s="6"/>
      <c r="J1063" s="6"/>
      <c r="L1063" s="277"/>
      <c r="M1063" s="275"/>
      <c r="P1063" s="251"/>
      <c r="Q1063" s="6"/>
      <c r="S1063" s="251"/>
      <c r="T1063" s="6"/>
    </row>
    <row r="1064" spans="8:20" ht="13.5" thickBot="1">
      <c r="H1064" s="285"/>
      <c r="I1064" s="6"/>
      <c r="J1064" s="6"/>
      <c r="L1064" s="277"/>
      <c r="M1064" s="275"/>
      <c r="P1064" s="251"/>
      <c r="Q1064" s="6"/>
      <c r="S1064" s="251"/>
      <c r="T1064" s="6"/>
    </row>
    <row r="1065" spans="8:20" ht="13.5" thickBot="1">
      <c r="H1065" s="285"/>
      <c r="I1065" s="6"/>
      <c r="J1065" s="6"/>
      <c r="L1065" s="277"/>
      <c r="M1065" s="275"/>
      <c r="P1065" s="251"/>
      <c r="Q1065" s="6"/>
      <c r="S1065" s="251"/>
      <c r="T1065" s="6"/>
    </row>
    <row r="1066" spans="8:20" ht="13.5" thickBot="1">
      <c r="H1066" s="285"/>
      <c r="I1066" s="6"/>
      <c r="J1066" s="6"/>
      <c r="L1066" s="277"/>
      <c r="M1066" s="275"/>
      <c r="P1066" s="251"/>
      <c r="Q1066" s="6"/>
      <c r="S1066" s="251"/>
      <c r="T1066" s="6"/>
    </row>
    <row r="1067" spans="8:20" ht="13.5" thickBot="1">
      <c r="H1067" s="285"/>
      <c r="I1067" s="6"/>
      <c r="J1067" s="6"/>
      <c r="L1067" s="277"/>
      <c r="M1067" s="275"/>
      <c r="P1067" s="251"/>
      <c r="Q1067" s="6"/>
      <c r="S1067" s="251"/>
      <c r="T1067" s="6"/>
    </row>
    <row r="1068" spans="8:20" ht="13.5" thickBot="1">
      <c r="H1068" s="285"/>
      <c r="I1068" s="6"/>
      <c r="J1068" s="6"/>
      <c r="L1068" s="277"/>
      <c r="M1068" s="275"/>
      <c r="P1068" s="251"/>
      <c r="Q1068" s="6"/>
      <c r="S1068" s="251"/>
      <c r="T1068" s="6"/>
    </row>
    <row r="1069" spans="8:20" ht="13.5" thickBot="1">
      <c r="H1069" s="285"/>
      <c r="I1069" s="6"/>
      <c r="J1069" s="6"/>
      <c r="L1069" s="277"/>
      <c r="M1069" s="275"/>
      <c r="P1069" s="251"/>
      <c r="Q1069" s="6"/>
      <c r="S1069" s="251"/>
      <c r="T1069" s="6"/>
    </row>
    <row r="1070" spans="8:20" ht="13.5" thickBot="1">
      <c r="H1070" s="285"/>
      <c r="I1070" s="6"/>
      <c r="J1070" s="6"/>
      <c r="L1070" s="277"/>
      <c r="M1070" s="275"/>
      <c r="P1070" s="251"/>
      <c r="Q1070" s="6"/>
      <c r="S1070" s="251"/>
      <c r="T1070" s="6"/>
    </row>
    <row r="1071" spans="8:20" ht="13.5" thickBot="1">
      <c r="H1071" s="285"/>
      <c r="I1071" s="6"/>
      <c r="J1071" s="6"/>
      <c r="L1071" s="277"/>
      <c r="M1071" s="275"/>
      <c r="P1071" s="251"/>
      <c r="Q1071" s="6"/>
      <c r="S1071" s="251"/>
      <c r="T1071" s="6"/>
    </row>
    <row r="1072" spans="8:20" ht="13.5" thickBot="1">
      <c r="H1072" s="285"/>
      <c r="I1072" s="6"/>
      <c r="J1072" s="6"/>
      <c r="L1072" s="277"/>
      <c r="M1072" s="275"/>
      <c r="P1072" s="251"/>
      <c r="Q1072" s="6"/>
      <c r="S1072" s="251"/>
      <c r="T1072" s="6"/>
    </row>
    <row r="1073" spans="8:20" ht="13.5" thickBot="1">
      <c r="H1073" s="285"/>
      <c r="I1073" s="6"/>
      <c r="J1073" s="6"/>
      <c r="L1073" s="277"/>
      <c r="M1073" s="275"/>
      <c r="P1073" s="251"/>
      <c r="Q1073" s="6"/>
      <c r="S1073" s="251"/>
      <c r="T1073" s="6"/>
    </row>
    <row r="1074" spans="8:20" ht="13.5" thickBot="1">
      <c r="H1074" s="285"/>
      <c r="I1074" s="6"/>
      <c r="J1074" s="6"/>
      <c r="L1074" s="277"/>
      <c r="M1074" s="275"/>
      <c r="P1074" s="251"/>
      <c r="Q1074" s="6"/>
      <c r="S1074" s="251"/>
      <c r="T1074" s="6"/>
    </row>
    <row r="1075" spans="8:20" ht="13.5" thickBot="1">
      <c r="H1075" s="285"/>
      <c r="I1075" s="6"/>
      <c r="J1075" s="6"/>
      <c r="L1075" s="277"/>
      <c r="M1075" s="275"/>
      <c r="P1075" s="251"/>
      <c r="Q1075" s="6"/>
      <c r="S1075" s="251"/>
      <c r="T1075" s="6"/>
    </row>
    <row r="1076" spans="8:20" ht="13.5" thickBot="1">
      <c r="H1076" s="285"/>
      <c r="I1076" s="6"/>
      <c r="J1076" s="6"/>
      <c r="L1076" s="277"/>
      <c r="M1076" s="275"/>
      <c r="P1076" s="251"/>
      <c r="Q1076" s="6"/>
      <c r="S1076" s="251"/>
      <c r="T1076" s="6"/>
    </row>
    <row r="1077" spans="8:20" ht="13.5" thickBot="1">
      <c r="H1077" s="285"/>
      <c r="I1077" s="6"/>
      <c r="J1077" s="6"/>
      <c r="L1077" s="277"/>
      <c r="M1077" s="275"/>
      <c r="P1077" s="251"/>
      <c r="Q1077" s="6"/>
      <c r="S1077" s="251"/>
      <c r="T1077" s="6"/>
    </row>
    <row r="1078" spans="8:20" ht="13.5" thickBot="1">
      <c r="H1078" s="285"/>
      <c r="I1078" s="6"/>
      <c r="J1078" s="6"/>
      <c r="L1078" s="277"/>
      <c r="M1078" s="275"/>
      <c r="P1078" s="251"/>
      <c r="Q1078" s="6"/>
      <c r="S1078" s="251"/>
      <c r="T1078" s="6"/>
    </row>
    <row r="1079" spans="8:20" ht="13.5" thickBot="1">
      <c r="H1079" s="285"/>
      <c r="I1079" s="6"/>
      <c r="J1079" s="6"/>
      <c r="L1079" s="277"/>
      <c r="M1079" s="275"/>
      <c r="P1079" s="251"/>
      <c r="Q1079" s="6"/>
      <c r="S1079" s="251"/>
      <c r="T1079" s="6"/>
    </row>
    <row r="1080" spans="8:20" ht="13.5" thickBot="1">
      <c r="H1080" s="285"/>
      <c r="I1080" s="6"/>
      <c r="J1080" s="6"/>
      <c r="L1080" s="277"/>
      <c r="M1080" s="275"/>
      <c r="S1080" s="251"/>
      <c r="T1080" s="6"/>
    </row>
    <row r="1081" spans="8:20" ht="13.5" thickBot="1">
      <c r="H1081" s="285"/>
      <c r="I1081" s="6"/>
      <c r="J1081" s="6"/>
      <c r="L1081" s="277"/>
      <c r="M1081" s="275"/>
      <c r="S1081" s="251"/>
      <c r="T1081" s="6"/>
    </row>
    <row r="1082" spans="8:20" ht="13.5" thickBot="1">
      <c r="H1082" s="285"/>
      <c r="I1082" s="6"/>
      <c r="J1082" s="6"/>
      <c r="L1082" s="277"/>
      <c r="M1082" s="275"/>
      <c r="S1082" s="251"/>
      <c r="T1082" s="6"/>
    </row>
    <row r="1083" spans="8:20" ht="13.5" thickBot="1">
      <c r="H1083" s="285"/>
      <c r="I1083" s="6"/>
      <c r="J1083" s="6"/>
      <c r="L1083" s="277"/>
      <c r="M1083" s="275"/>
    </row>
    <row r="1084" spans="8:20" ht="13.5" thickBot="1">
      <c r="H1084" s="285"/>
      <c r="I1084" s="6"/>
      <c r="J1084" s="6"/>
      <c r="L1084" s="277"/>
      <c r="M1084" s="275"/>
    </row>
    <row r="1085" spans="8:20" ht="13.5" thickBot="1">
      <c r="H1085" s="285"/>
      <c r="I1085" s="6"/>
      <c r="J1085" s="6"/>
      <c r="L1085" s="277"/>
      <c r="M1085" s="275"/>
    </row>
    <row r="1086" spans="8:20" ht="13.5" thickBot="1">
      <c r="H1086" s="285"/>
      <c r="I1086" s="6"/>
      <c r="J1086" s="6"/>
      <c r="L1086" s="277"/>
      <c r="M1086" s="275"/>
    </row>
    <row r="1087" spans="8:20" ht="13.5" thickBot="1">
      <c r="H1087" s="285"/>
      <c r="I1087" s="6"/>
      <c r="J1087" s="6"/>
      <c r="L1087" s="277"/>
      <c r="M1087" s="275"/>
    </row>
    <row r="1088" spans="8:20" ht="13.5" thickBot="1">
      <c r="H1088" s="285"/>
      <c r="I1088" s="6"/>
      <c r="J1088" s="6"/>
      <c r="L1088" s="277"/>
      <c r="M1088" s="275"/>
    </row>
    <row r="1089" spans="8:13" ht="13.5" thickBot="1">
      <c r="H1089" s="285"/>
      <c r="I1089" s="6"/>
      <c r="J1089" s="6"/>
      <c r="L1089" s="277"/>
      <c r="M1089" s="275"/>
    </row>
    <row r="1090" spans="8:13" ht="13.5" thickBot="1">
      <c r="H1090" s="285"/>
      <c r="I1090" s="6"/>
      <c r="J1090" s="6"/>
      <c r="L1090" s="277"/>
      <c r="M1090" s="275"/>
    </row>
    <row r="1091" spans="8:13" ht="13.5" thickBot="1">
      <c r="H1091" s="285"/>
      <c r="I1091" s="6"/>
      <c r="J1091" s="6"/>
      <c r="L1091" s="277"/>
      <c r="M1091" s="275"/>
    </row>
    <row r="1092" spans="8:13" ht="13.5" thickBot="1">
      <c r="H1092" s="285"/>
      <c r="I1092" s="6"/>
      <c r="J1092" s="6"/>
      <c r="L1092" s="277"/>
      <c r="M1092" s="275"/>
    </row>
    <row r="1093" spans="8:13" ht="13.5" thickBot="1">
      <c r="H1093" s="285"/>
      <c r="I1093" s="6"/>
      <c r="J1093" s="6"/>
      <c r="L1093" s="277"/>
      <c r="M1093" s="275"/>
    </row>
    <row r="1094" spans="8:13" ht="13.5" thickBot="1">
      <c r="H1094" s="285"/>
      <c r="I1094" s="6"/>
      <c r="J1094" s="6"/>
      <c r="L1094" s="277"/>
      <c r="M1094" s="275"/>
    </row>
    <row r="1095" spans="8:13" ht="13.5" thickBot="1">
      <c r="H1095" s="285"/>
      <c r="I1095" s="6"/>
      <c r="J1095" s="6"/>
      <c r="L1095" s="277"/>
      <c r="M1095" s="275"/>
    </row>
    <row r="1096" spans="8:13" ht="13.5" thickBot="1">
      <c r="H1096" s="285"/>
      <c r="I1096" s="6"/>
      <c r="J1096" s="6"/>
      <c r="L1096" s="277"/>
      <c r="M1096" s="275"/>
    </row>
    <row r="1097" spans="8:13" ht="13.5" thickBot="1">
      <c r="H1097" s="285"/>
      <c r="I1097" s="6"/>
      <c r="J1097" s="6"/>
      <c r="L1097" s="277"/>
      <c r="M1097" s="275"/>
    </row>
    <row r="1098" spans="8:13" ht="13.5" thickBot="1">
      <c r="H1098" s="285"/>
      <c r="I1098" s="6"/>
      <c r="J1098" s="6"/>
      <c r="L1098" s="277"/>
      <c r="M1098" s="275"/>
    </row>
    <row r="1099" spans="8:13" ht="13.5" thickBot="1">
      <c r="H1099" s="285"/>
      <c r="I1099" s="6"/>
      <c r="J1099" s="6"/>
      <c r="L1099" s="277"/>
      <c r="M1099" s="275"/>
    </row>
    <row r="1100" spans="8:13" ht="13.5" thickBot="1">
      <c r="H1100" s="285"/>
      <c r="I1100" s="6"/>
      <c r="J1100" s="6"/>
      <c r="L1100" s="277"/>
      <c r="M1100" s="275"/>
    </row>
    <row r="1101" spans="8:13" ht="13.5" thickBot="1">
      <c r="H1101" s="285"/>
      <c r="I1101" s="6"/>
      <c r="J1101" s="6"/>
      <c r="L1101" s="277"/>
      <c r="M1101" s="275"/>
    </row>
    <row r="1102" spans="8:13" ht="13.5" thickBot="1">
      <c r="H1102" s="285"/>
      <c r="I1102" s="6"/>
      <c r="J1102" s="6"/>
      <c r="L1102" s="277"/>
      <c r="M1102" s="275"/>
    </row>
    <row r="1103" spans="8:13" ht="13.5" thickBot="1">
      <c r="H1103" s="285"/>
      <c r="I1103" s="6"/>
      <c r="J1103" s="6"/>
      <c r="L1103" s="277"/>
      <c r="M1103" s="275"/>
    </row>
    <row r="1104" spans="8:13" ht="13.5" thickBot="1">
      <c r="H1104" s="285"/>
      <c r="I1104" s="6"/>
      <c r="J1104" s="6"/>
      <c r="L1104" s="277"/>
      <c r="M1104" s="275"/>
    </row>
    <row r="1105" spans="8:13" ht="13.5" thickBot="1">
      <c r="H1105" s="285"/>
      <c r="I1105" s="6"/>
      <c r="J1105" s="6"/>
      <c r="L1105" s="277"/>
      <c r="M1105" s="275"/>
    </row>
    <row r="1106" spans="8:13" ht="13.5" thickBot="1">
      <c r="H1106" s="285"/>
      <c r="I1106" s="6"/>
      <c r="J1106" s="6"/>
      <c r="L1106" s="277"/>
      <c r="M1106" s="275"/>
    </row>
    <row r="1107" spans="8:13" ht="13.5" thickBot="1">
      <c r="H1107" s="285"/>
      <c r="I1107" s="6"/>
      <c r="J1107" s="6"/>
      <c r="L1107" s="277"/>
      <c r="M1107" s="275"/>
    </row>
    <row r="1108" spans="8:13" ht="13.5" thickBot="1">
      <c r="H1108" s="285"/>
      <c r="I1108" s="6"/>
      <c r="J1108" s="6"/>
      <c r="L1108" s="277"/>
      <c r="M1108" s="275"/>
    </row>
    <row r="1109" spans="8:13" ht="13.5" thickBot="1">
      <c r="H1109" s="285"/>
      <c r="I1109" s="6"/>
      <c r="J1109" s="6"/>
      <c r="L1109" s="277"/>
      <c r="M1109" s="275"/>
    </row>
    <row r="1110" spans="8:13" ht="13.5" thickBot="1">
      <c r="H1110" s="285"/>
      <c r="I1110" s="6"/>
      <c r="J1110" s="6"/>
      <c r="L1110" s="277"/>
      <c r="M1110" s="275"/>
    </row>
    <row r="1111" spans="8:13" ht="13.5" thickBot="1">
      <c r="H1111" s="285"/>
      <c r="I1111" s="6"/>
      <c r="J1111" s="6"/>
      <c r="L1111" s="277"/>
      <c r="M1111" s="275"/>
    </row>
    <row r="1112" spans="8:13" ht="13.5" thickBot="1">
      <c r="H1112" s="285"/>
      <c r="I1112" s="6"/>
      <c r="J1112" s="6"/>
      <c r="L1112" s="277"/>
      <c r="M1112" s="275"/>
    </row>
    <row r="1113" spans="8:13" ht="13.5" thickBot="1">
      <c r="H1113" s="285"/>
      <c r="I1113" s="6"/>
      <c r="J1113" s="6"/>
      <c r="L1113" s="277"/>
      <c r="M1113" s="275"/>
    </row>
    <row r="1114" spans="8:13" ht="13.5" thickBot="1">
      <c r="H1114" s="285"/>
      <c r="I1114" s="6"/>
      <c r="J1114" s="6"/>
      <c r="L1114" s="277"/>
      <c r="M1114" s="275"/>
    </row>
    <row r="1115" spans="8:13" ht="13.5" thickBot="1">
      <c r="H1115" s="285"/>
      <c r="I1115" s="6"/>
      <c r="J1115" s="6"/>
      <c r="L1115" s="277"/>
      <c r="M1115" s="275"/>
    </row>
    <row r="1116" spans="8:13" ht="13.5" thickBot="1">
      <c r="H1116" s="285"/>
      <c r="I1116" s="6"/>
      <c r="J1116" s="6"/>
      <c r="L1116" s="277"/>
      <c r="M1116" s="275"/>
    </row>
    <row r="1117" spans="8:13" ht="13.5" thickBot="1">
      <c r="H1117" s="285"/>
      <c r="I1117" s="6"/>
      <c r="J1117" s="6"/>
      <c r="L1117" s="277"/>
      <c r="M1117" s="275"/>
    </row>
    <row r="1118" spans="8:13" ht="13.5" thickBot="1">
      <c r="H1118" s="285"/>
      <c r="I1118" s="6"/>
      <c r="J1118" s="6"/>
      <c r="L1118" s="277"/>
      <c r="M1118" s="275"/>
    </row>
    <row r="1119" spans="8:13" ht="13.5" thickBot="1">
      <c r="H1119" s="285"/>
      <c r="I1119" s="6"/>
      <c r="J1119" s="6"/>
      <c r="L1119" s="277"/>
      <c r="M1119" s="275"/>
    </row>
    <row r="1120" spans="8:13" ht="13.5" thickBot="1">
      <c r="H1120" s="285"/>
      <c r="I1120" s="6"/>
      <c r="J1120" s="6"/>
      <c r="L1120" s="277"/>
      <c r="M1120" s="275"/>
    </row>
    <row r="1121" spans="8:13" ht="13.5" thickBot="1">
      <c r="H1121" s="285"/>
      <c r="I1121" s="6"/>
      <c r="J1121" s="6"/>
      <c r="L1121" s="277"/>
      <c r="M1121" s="275"/>
    </row>
    <row r="1122" spans="8:13" ht="13.5" thickBot="1">
      <c r="H1122" s="285"/>
      <c r="I1122" s="6"/>
      <c r="J1122" s="6"/>
      <c r="L1122" s="277"/>
      <c r="M1122" s="275"/>
    </row>
    <row r="1123" spans="8:13" ht="13.5" thickBot="1">
      <c r="H1123" s="285"/>
      <c r="I1123" s="6"/>
      <c r="J1123" s="6"/>
      <c r="L1123" s="277"/>
      <c r="M1123" s="275"/>
    </row>
    <row r="1124" spans="8:13" ht="13.5" thickBot="1">
      <c r="H1124" s="285"/>
      <c r="I1124" s="6"/>
      <c r="J1124" s="6"/>
      <c r="L1124" s="277"/>
      <c r="M1124" s="275"/>
    </row>
    <row r="1125" spans="8:13" ht="13.5" thickBot="1">
      <c r="H1125" s="285"/>
      <c r="I1125" s="6"/>
      <c r="J1125" s="6"/>
      <c r="L1125" s="277"/>
      <c r="M1125" s="275"/>
    </row>
    <row r="1126" spans="8:13" ht="13.5" thickBot="1">
      <c r="H1126" s="285"/>
      <c r="I1126" s="6"/>
      <c r="J1126" s="6"/>
      <c r="L1126" s="277"/>
      <c r="M1126" s="275"/>
    </row>
    <row r="1127" spans="8:13" ht="13.5" thickBot="1">
      <c r="H1127" s="285"/>
      <c r="I1127" s="6"/>
      <c r="J1127" s="6"/>
      <c r="L1127" s="277"/>
      <c r="M1127" s="275"/>
    </row>
    <row r="1128" spans="8:13" ht="13.5" thickBot="1">
      <c r="H1128" s="285"/>
      <c r="I1128" s="6"/>
      <c r="J1128" s="6"/>
      <c r="L1128" s="277"/>
      <c r="M1128" s="275"/>
    </row>
    <row r="1129" spans="8:13" ht="13.5" thickBot="1">
      <c r="H1129" s="285"/>
      <c r="I1129" s="6"/>
      <c r="J1129" s="6"/>
      <c r="L1129" s="277"/>
      <c r="M1129" s="275"/>
    </row>
    <row r="1130" spans="8:13" ht="13.5" thickBot="1">
      <c r="H1130" s="285"/>
      <c r="I1130" s="6"/>
      <c r="J1130" s="6"/>
      <c r="L1130" s="277"/>
      <c r="M1130" s="275"/>
    </row>
    <row r="1131" spans="8:13" ht="13.5" thickBot="1">
      <c r="H1131" s="285"/>
      <c r="I1131" s="6"/>
      <c r="J1131" s="6"/>
      <c r="L1131" s="277"/>
      <c r="M1131" s="275"/>
    </row>
    <row r="1132" spans="8:13" ht="13.5" thickBot="1">
      <c r="H1132" s="285"/>
      <c r="I1132" s="6"/>
      <c r="J1132" s="6"/>
      <c r="L1132" s="277"/>
      <c r="M1132" s="275"/>
    </row>
    <row r="1133" spans="8:13" ht="13.5" thickBot="1">
      <c r="H1133" s="285"/>
      <c r="I1133" s="6"/>
      <c r="J1133" s="6"/>
      <c r="L1133" s="277"/>
      <c r="M1133" s="275"/>
    </row>
    <row r="1134" spans="8:13" ht="13.5" thickBot="1">
      <c r="H1134" s="285"/>
      <c r="I1134" s="6"/>
      <c r="J1134" s="6"/>
      <c r="L1134" s="277"/>
      <c r="M1134" s="275"/>
    </row>
    <row r="1135" spans="8:13" ht="13.5" thickBot="1">
      <c r="H1135" s="285"/>
      <c r="I1135" s="6"/>
      <c r="J1135" s="6"/>
      <c r="L1135" s="277"/>
      <c r="M1135" s="275"/>
    </row>
    <row r="1136" spans="8:13" ht="13.5" thickBot="1">
      <c r="H1136" s="285"/>
      <c r="I1136" s="6"/>
      <c r="J1136" s="6"/>
      <c r="L1136" s="277"/>
      <c r="M1136" s="275"/>
    </row>
    <row r="1137" spans="8:13" ht="13.5" thickBot="1">
      <c r="H1137" s="285"/>
      <c r="I1137" s="6"/>
      <c r="J1137" s="6"/>
      <c r="L1137" s="277"/>
      <c r="M1137" s="275"/>
    </row>
    <row r="1138" spans="8:13" ht="13.5" thickBot="1">
      <c r="H1138" s="285"/>
      <c r="I1138" s="6"/>
      <c r="J1138" s="6"/>
      <c r="L1138" s="277"/>
      <c r="M1138" s="275"/>
    </row>
    <row r="1139" spans="8:13" ht="13.5" thickBot="1">
      <c r="H1139" s="285"/>
      <c r="I1139" s="6"/>
      <c r="J1139" s="6"/>
      <c r="L1139" s="277"/>
      <c r="M1139" s="275"/>
    </row>
    <row r="1140" spans="8:13" ht="13.5" thickBot="1">
      <c r="H1140" s="285"/>
      <c r="I1140" s="6"/>
      <c r="J1140" s="6"/>
      <c r="L1140" s="277"/>
      <c r="M1140" s="275"/>
    </row>
    <row r="1141" spans="8:13" ht="13.5" thickBot="1">
      <c r="H1141" s="285"/>
      <c r="I1141" s="6"/>
      <c r="J1141" s="6"/>
      <c r="L1141" s="277"/>
      <c r="M1141" s="275"/>
    </row>
    <row r="1142" spans="8:13" ht="13.5" thickBot="1">
      <c r="H1142" s="285"/>
      <c r="I1142" s="6"/>
      <c r="J1142" s="6"/>
      <c r="L1142" s="277"/>
      <c r="M1142" s="275"/>
    </row>
    <row r="1143" spans="8:13" ht="13.5" thickBot="1">
      <c r="H1143" s="285"/>
      <c r="I1143" s="6"/>
      <c r="J1143" s="6"/>
      <c r="L1143" s="277"/>
      <c r="M1143" s="275"/>
    </row>
    <row r="1144" spans="8:13" ht="13.5" thickBot="1">
      <c r="H1144" s="285"/>
      <c r="I1144" s="6"/>
      <c r="J1144" s="6"/>
      <c r="L1144" s="277"/>
      <c r="M1144" s="275"/>
    </row>
    <row r="1145" spans="8:13" ht="13.5" thickBot="1">
      <c r="H1145" s="285"/>
      <c r="I1145" s="6"/>
      <c r="J1145" s="6"/>
      <c r="L1145" s="277"/>
      <c r="M1145" s="275"/>
    </row>
    <row r="1146" spans="8:13" ht="13.5" thickBot="1">
      <c r="H1146" s="285"/>
      <c r="I1146" s="6"/>
      <c r="J1146" s="6"/>
      <c r="L1146" s="277"/>
      <c r="M1146" s="275"/>
    </row>
    <row r="1147" spans="8:13" ht="13.5" thickBot="1">
      <c r="H1147" s="285"/>
      <c r="I1147" s="6"/>
      <c r="J1147" s="6"/>
      <c r="L1147" s="277"/>
      <c r="M1147" s="275"/>
    </row>
    <row r="1148" spans="8:13" ht="13.5" thickBot="1">
      <c r="H1148" s="285"/>
      <c r="I1148" s="6"/>
      <c r="J1148" s="6"/>
      <c r="L1148" s="277"/>
      <c r="M1148" s="275"/>
    </row>
    <row r="1149" spans="8:13" ht="13.5" thickBot="1">
      <c r="H1149" s="285"/>
      <c r="I1149" s="6"/>
      <c r="J1149" s="6"/>
      <c r="L1149" s="277"/>
      <c r="M1149" s="275"/>
    </row>
    <row r="1150" spans="8:13" ht="13.5" thickBot="1">
      <c r="H1150" s="285"/>
      <c r="I1150" s="6"/>
      <c r="J1150" s="6"/>
      <c r="L1150" s="277"/>
      <c r="M1150" s="275"/>
    </row>
    <row r="1151" spans="8:13" ht="13.5" thickBot="1">
      <c r="H1151" s="285"/>
      <c r="I1151" s="6"/>
      <c r="J1151" s="6"/>
      <c r="L1151" s="277"/>
      <c r="M1151" s="275"/>
    </row>
    <row r="1152" spans="8:13" ht="13.5" thickBot="1">
      <c r="H1152" s="285"/>
      <c r="I1152" s="6"/>
      <c r="J1152" s="6"/>
      <c r="L1152" s="277"/>
      <c r="M1152" s="275"/>
    </row>
    <row r="1153" spans="8:13" ht="13.5" thickBot="1">
      <c r="H1153" s="285"/>
      <c r="I1153" s="6"/>
      <c r="J1153" s="6"/>
      <c r="L1153" s="277"/>
      <c r="M1153" s="275"/>
    </row>
    <row r="1154" spans="8:13" ht="13.5" thickBot="1">
      <c r="H1154" s="285"/>
      <c r="I1154" s="6"/>
      <c r="J1154" s="6"/>
      <c r="L1154" s="277"/>
      <c r="M1154" s="275"/>
    </row>
    <row r="1155" spans="8:13" ht="13.5" thickBot="1">
      <c r="H1155" s="285"/>
      <c r="I1155" s="6"/>
      <c r="J1155" s="6"/>
      <c r="L1155" s="277"/>
      <c r="M1155" s="275"/>
    </row>
    <row r="1156" spans="8:13" ht="13.5" thickBot="1">
      <c r="H1156" s="285"/>
      <c r="I1156" s="6"/>
      <c r="J1156" s="6"/>
      <c r="L1156" s="277"/>
      <c r="M1156" s="275"/>
    </row>
    <row r="1157" spans="8:13" ht="13.5" thickBot="1">
      <c r="H1157" s="285"/>
      <c r="I1157" s="6"/>
      <c r="J1157" s="6"/>
      <c r="L1157" s="277"/>
      <c r="M1157" s="275"/>
    </row>
    <row r="1158" spans="8:13" ht="13.5" thickBot="1">
      <c r="H1158" s="285"/>
      <c r="I1158" s="6"/>
      <c r="J1158" s="6"/>
      <c r="L1158" s="277"/>
      <c r="M1158" s="275"/>
    </row>
    <row r="1159" spans="8:13" ht="13.5" thickBot="1">
      <c r="H1159" s="285"/>
      <c r="I1159" s="6"/>
      <c r="J1159" s="6"/>
      <c r="L1159" s="277"/>
      <c r="M1159" s="275"/>
    </row>
    <row r="1160" spans="8:13" ht="13.5" thickBot="1">
      <c r="H1160" s="285"/>
      <c r="I1160" s="6"/>
      <c r="J1160" s="6"/>
      <c r="L1160" s="277"/>
      <c r="M1160" s="275"/>
    </row>
    <row r="1161" spans="8:13" ht="13.5" thickBot="1">
      <c r="H1161" s="285"/>
      <c r="I1161" s="6"/>
      <c r="J1161" s="6"/>
      <c r="L1161" s="277"/>
      <c r="M1161" s="275"/>
    </row>
    <row r="1162" spans="8:13" ht="13.5" thickBot="1">
      <c r="H1162" s="285"/>
      <c r="I1162" s="6"/>
      <c r="J1162" s="6"/>
      <c r="L1162" s="277"/>
      <c r="M1162" s="275"/>
    </row>
    <row r="1163" spans="8:13" ht="13.5" thickBot="1">
      <c r="H1163" s="285"/>
      <c r="I1163" s="6"/>
      <c r="J1163" s="6"/>
      <c r="L1163" s="277"/>
      <c r="M1163" s="275"/>
    </row>
    <row r="1164" spans="8:13" ht="13.5" thickBot="1">
      <c r="H1164" s="285"/>
      <c r="I1164" s="6"/>
      <c r="J1164" s="6"/>
      <c r="L1164" s="277"/>
      <c r="M1164" s="275"/>
    </row>
    <row r="1165" spans="8:13" ht="13.5" thickBot="1">
      <c r="H1165" s="285"/>
      <c r="I1165" s="6"/>
      <c r="J1165" s="6"/>
      <c r="L1165" s="277"/>
      <c r="M1165" s="275"/>
    </row>
    <row r="1166" spans="8:13" ht="13.5" thickBot="1">
      <c r="H1166" s="285"/>
      <c r="I1166" s="6"/>
      <c r="J1166" s="6"/>
      <c r="L1166" s="277"/>
      <c r="M1166" s="275"/>
    </row>
    <row r="1167" spans="8:13" ht="13.5" thickBot="1">
      <c r="H1167" s="285"/>
      <c r="I1167" s="6"/>
      <c r="J1167" s="6"/>
      <c r="L1167" s="277"/>
      <c r="M1167" s="275"/>
    </row>
    <row r="1168" spans="8:13" ht="13.5" thickBot="1">
      <c r="H1168" s="285"/>
      <c r="I1168" s="6"/>
      <c r="J1168" s="6"/>
      <c r="L1168" s="277"/>
      <c r="M1168" s="275"/>
    </row>
    <row r="1169" spans="8:13" ht="13.5" thickBot="1">
      <c r="H1169" s="285"/>
      <c r="I1169" s="6"/>
      <c r="J1169" s="6"/>
      <c r="L1169" s="277"/>
      <c r="M1169" s="275"/>
    </row>
    <row r="1170" spans="8:13" ht="13.5" thickBot="1">
      <c r="H1170" s="285"/>
      <c r="I1170" s="6"/>
      <c r="J1170" s="6"/>
      <c r="L1170" s="277"/>
      <c r="M1170" s="275"/>
    </row>
    <row r="1171" spans="8:13" ht="13.5" thickBot="1">
      <c r="H1171" s="285"/>
      <c r="I1171" s="6"/>
      <c r="J1171" s="6"/>
      <c r="L1171" s="277"/>
      <c r="M1171" s="275"/>
    </row>
    <row r="1172" spans="8:13" ht="13.5" thickBot="1">
      <c r="H1172" s="285"/>
      <c r="I1172" s="6"/>
      <c r="J1172" s="6"/>
      <c r="L1172" s="277"/>
      <c r="M1172" s="275"/>
    </row>
    <row r="1173" spans="8:13" ht="13.5" thickBot="1">
      <c r="H1173" s="285"/>
      <c r="I1173" s="6"/>
      <c r="J1173" s="6"/>
      <c r="L1173" s="277"/>
      <c r="M1173" s="275"/>
    </row>
    <row r="1174" spans="8:13" ht="13.5" thickBot="1">
      <c r="H1174" s="285"/>
      <c r="I1174" s="6"/>
      <c r="J1174" s="6"/>
      <c r="L1174" s="277"/>
      <c r="M1174" s="275"/>
    </row>
    <row r="1175" spans="8:13" ht="13.5" thickBot="1">
      <c r="H1175" s="285"/>
      <c r="I1175" s="6"/>
      <c r="J1175" s="6"/>
      <c r="L1175" s="277"/>
      <c r="M1175" s="275"/>
    </row>
    <row r="1176" spans="8:13" ht="13.5" thickBot="1">
      <c r="H1176" s="285"/>
      <c r="I1176" s="6"/>
      <c r="J1176" s="6"/>
      <c r="L1176" s="277"/>
      <c r="M1176" s="275"/>
    </row>
    <row r="1177" spans="8:13" ht="13.5" thickBot="1">
      <c r="H1177" s="285"/>
      <c r="I1177" s="6"/>
      <c r="J1177" s="6"/>
      <c r="L1177" s="277"/>
      <c r="M1177" s="275"/>
    </row>
    <row r="1178" spans="8:13" ht="13.5" thickBot="1">
      <c r="H1178" s="285"/>
      <c r="I1178" s="6"/>
      <c r="J1178" s="6"/>
      <c r="L1178" s="277"/>
      <c r="M1178" s="275"/>
    </row>
    <row r="1179" spans="8:13" ht="13.5" thickBot="1">
      <c r="H1179" s="285"/>
      <c r="I1179" s="6"/>
      <c r="J1179" s="6"/>
      <c r="L1179" s="277"/>
      <c r="M1179" s="275"/>
    </row>
    <row r="1180" spans="8:13" ht="13.5" thickBot="1">
      <c r="H1180" s="285"/>
      <c r="I1180" s="6"/>
      <c r="J1180" s="6"/>
      <c r="L1180" s="277"/>
      <c r="M1180" s="275"/>
    </row>
    <row r="1181" spans="8:13" ht="13.5" thickBot="1">
      <c r="H1181" s="285"/>
      <c r="I1181" s="6"/>
      <c r="J1181" s="6"/>
      <c r="L1181" s="277"/>
      <c r="M1181" s="275"/>
    </row>
    <row r="1182" spans="8:13" ht="13.5" thickBot="1">
      <c r="H1182" s="285"/>
      <c r="I1182" s="6"/>
      <c r="J1182" s="6"/>
      <c r="L1182" s="277"/>
      <c r="M1182" s="275"/>
    </row>
    <row r="1183" spans="8:13" ht="13.5" thickBot="1">
      <c r="H1183" s="285"/>
      <c r="I1183" s="6"/>
      <c r="J1183" s="6"/>
      <c r="L1183" s="277"/>
      <c r="M1183" s="275"/>
    </row>
    <row r="1184" spans="8:13" ht="13.5" thickBot="1">
      <c r="H1184" s="285"/>
      <c r="I1184" s="6"/>
      <c r="J1184" s="6"/>
      <c r="L1184" s="277"/>
      <c r="M1184" s="275"/>
    </row>
    <row r="1185" spans="8:13" ht="13.5" thickBot="1">
      <c r="H1185" s="285"/>
      <c r="I1185" s="6"/>
      <c r="J1185" s="6"/>
      <c r="L1185" s="277"/>
      <c r="M1185" s="275"/>
    </row>
    <row r="1186" spans="8:13" ht="13.5" thickBot="1">
      <c r="H1186" s="285"/>
      <c r="I1186" s="6"/>
      <c r="J1186" s="6"/>
      <c r="L1186" s="277"/>
      <c r="M1186" s="275"/>
    </row>
    <row r="1187" spans="8:13" ht="13.5" thickBot="1">
      <c r="H1187" s="285"/>
      <c r="I1187" s="6"/>
      <c r="J1187" s="6"/>
      <c r="L1187" s="277"/>
      <c r="M1187" s="275"/>
    </row>
    <row r="1188" spans="8:13" ht="13.5" thickBot="1">
      <c r="H1188" s="285"/>
      <c r="I1188" s="6"/>
      <c r="J1188" s="6"/>
      <c r="L1188" s="277"/>
      <c r="M1188" s="275"/>
    </row>
    <row r="1189" spans="8:13" ht="13.5" thickBot="1">
      <c r="H1189" s="285"/>
      <c r="I1189" s="6"/>
      <c r="J1189" s="6"/>
      <c r="L1189" s="277"/>
      <c r="M1189" s="275"/>
    </row>
    <row r="1190" spans="8:13" ht="13.5" thickBot="1">
      <c r="H1190" s="285"/>
      <c r="I1190" s="6"/>
      <c r="J1190" s="6"/>
      <c r="L1190" s="277"/>
      <c r="M1190" s="275"/>
    </row>
    <row r="1191" spans="8:13" ht="13.5" thickBot="1">
      <c r="H1191" s="285"/>
      <c r="I1191" s="6"/>
      <c r="J1191" s="6"/>
      <c r="L1191" s="277"/>
      <c r="M1191" s="275"/>
    </row>
    <row r="1192" spans="8:13" ht="13.5" thickBot="1">
      <c r="H1192" s="285"/>
      <c r="I1192" s="6"/>
      <c r="J1192" s="6"/>
      <c r="L1192" s="277"/>
      <c r="M1192" s="275"/>
    </row>
    <row r="1193" spans="8:13" ht="13.5" thickBot="1">
      <c r="H1193" s="285"/>
      <c r="I1193" s="6"/>
      <c r="J1193" s="6"/>
      <c r="L1193" s="277"/>
      <c r="M1193" s="275"/>
    </row>
    <row r="1194" spans="8:13" ht="13.5" thickBot="1">
      <c r="H1194" s="285"/>
      <c r="I1194" s="6"/>
      <c r="J1194" s="6"/>
      <c r="L1194" s="277"/>
      <c r="M1194" s="275"/>
    </row>
    <row r="1195" spans="8:13" ht="13.5" thickBot="1">
      <c r="H1195" s="285"/>
      <c r="I1195" s="6"/>
      <c r="J1195" s="6"/>
      <c r="L1195" s="277"/>
      <c r="M1195" s="275"/>
    </row>
    <row r="1196" spans="8:13" ht="13.5" thickBot="1">
      <c r="H1196" s="285"/>
      <c r="I1196" s="6"/>
      <c r="J1196" s="6"/>
      <c r="L1196" s="277"/>
      <c r="M1196" s="275"/>
    </row>
    <row r="1197" spans="8:13" ht="13.5" thickBot="1">
      <c r="H1197" s="285"/>
      <c r="I1197" s="6"/>
      <c r="J1197" s="6"/>
      <c r="L1197" s="277"/>
      <c r="M1197" s="275"/>
    </row>
    <row r="1198" spans="8:13" ht="13.5" thickBot="1">
      <c r="H1198" s="285"/>
      <c r="I1198" s="6"/>
      <c r="J1198" s="6"/>
      <c r="L1198" s="277"/>
      <c r="M1198" s="275"/>
    </row>
    <row r="1199" spans="8:13" ht="13.5" thickBot="1">
      <c r="H1199" s="285"/>
      <c r="I1199" s="6"/>
      <c r="J1199" s="6"/>
      <c r="L1199" s="277"/>
      <c r="M1199" s="275"/>
    </row>
    <row r="1200" spans="8:13" ht="13.5" thickBot="1">
      <c r="H1200" s="285"/>
      <c r="I1200" s="6"/>
      <c r="J1200" s="6"/>
      <c r="L1200" s="277"/>
      <c r="M1200" s="275"/>
    </row>
    <row r="1201" spans="8:13" ht="13.5" thickBot="1">
      <c r="H1201" s="285"/>
      <c r="I1201" s="6"/>
      <c r="J1201" s="6"/>
      <c r="L1201" s="277"/>
      <c r="M1201" s="275"/>
    </row>
    <row r="1202" spans="8:13" ht="13.5" thickBot="1">
      <c r="H1202" s="285"/>
      <c r="I1202" s="6"/>
      <c r="J1202" s="6"/>
      <c r="L1202" s="277"/>
      <c r="M1202" s="275"/>
    </row>
    <row r="1203" spans="8:13" ht="13.5" thickBot="1">
      <c r="H1203" s="285"/>
      <c r="I1203" s="6"/>
      <c r="J1203" s="6"/>
      <c r="L1203" s="277"/>
      <c r="M1203" s="275"/>
    </row>
    <row r="1204" spans="8:13" ht="13.5" thickBot="1">
      <c r="H1204" s="285"/>
      <c r="I1204" s="6"/>
      <c r="J1204" s="6"/>
      <c r="L1204" s="277"/>
      <c r="M1204" s="275"/>
    </row>
    <row r="1205" spans="8:13" ht="13.5" thickBot="1">
      <c r="H1205" s="285"/>
      <c r="I1205" s="6"/>
      <c r="J1205" s="6"/>
      <c r="L1205" s="277"/>
      <c r="M1205" s="275"/>
    </row>
    <row r="1206" spans="8:13" ht="13.5" thickBot="1">
      <c r="H1206" s="285"/>
      <c r="I1206" s="6"/>
      <c r="J1206" s="6"/>
      <c r="L1206" s="277"/>
      <c r="M1206" s="275"/>
    </row>
    <row r="1207" spans="8:13" ht="13.5" thickBot="1">
      <c r="H1207" s="285"/>
      <c r="I1207" s="6"/>
      <c r="J1207" s="6"/>
      <c r="L1207" s="277"/>
      <c r="M1207" s="275"/>
    </row>
    <row r="1208" spans="8:13" ht="13.5" thickBot="1">
      <c r="H1208" s="285"/>
      <c r="I1208" s="6"/>
      <c r="J1208" s="6"/>
      <c r="L1208" s="277"/>
      <c r="M1208" s="275"/>
    </row>
    <row r="1209" spans="8:13" ht="13.5" thickBot="1">
      <c r="H1209" s="285"/>
      <c r="I1209" s="6"/>
      <c r="J1209" s="6"/>
      <c r="L1209" s="277"/>
      <c r="M1209" s="275"/>
    </row>
    <row r="1210" spans="8:13" ht="13.5" thickBot="1">
      <c r="H1210" s="285"/>
      <c r="I1210" s="6"/>
      <c r="J1210" s="6"/>
      <c r="L1210" s="277"/>
      <c r="M1210" s="275"/>
    </row>
    <row r="1211" spans="8:13" ht="13.5" thickBot="1">
      <c r="H1211" s="285"/>
      <c r="I1211" s="6"/>
      <c r="J1211" s="6"/>
      <c r="L1211" s="277"/>
      <c r="M1211" s="275"/>
    </row>
    <row r="1212" spans="8:13" ht="13.5" thickBot="1">
      <c r="H1212" s="285"/>
      <c r="I1212" s="6"/>
      <c r="J1212" s="6"/>
      <c r="L1212" s="277"/>
      <c r="M1212" s="275"/>
    </row>
    <row r="1213" spans="8:13" ht="13.5" thickBot="1">
      <c r="H1213" s="285"/>
      <c r="I1213" s="6"/>
      <c r="J1213" s="6"/>
      <c r="L1213" s="277"/>
      <c r="M1213" s="275"/>
    </row>
    <row r="1214" spans="8:13" ht="13.5" thickBot="1">
      <c r="H1214" s="285"/>
      <c r="I1214" s="6"/>
      <c r="J1214" s="6"/>
      <c r="L1214" s="277"/>
      <c r="M1214" s="275"/>
    </row>
    <row r="1215" spans="8:13" ht="13.5" thickBot="1">
      <c r="H1215" s="285"/>
      <c r="I1215" s="6"/>
      <c r="J1215" s="6"/>
      <c r="L1215" s="277"/>
      <c r="M1215" s="275"/>
    </row>
    <row r="1216" spans="8:13" ht="13.5" thickBot="1">
      <c r="H1216" s="285"/>
      <c r="I1216" s="6"/>
      <c r="J1216" s="6"/>
      <c r="L1216" s="277"/>
      <c r="M1216" s="275"/>
    </row>
    <row r="1217" spans="8:13" ht="13.5" thickBot="1">
      <c r="H1217" s="285"/>
      <c r="I1217" s="6"/>
      <c r="J1217" s="6"/>
      <c r="L1217" s="277"/>
      <c r="M1217" s="275"/>
    </row>
    <row r="1218" spans="8:13" ht="13.5" thickBot="1">
      <c r="H1218" s="285"/>
      <c r="I1218" s="6"/>
      <c r="J1218" s="6"/>
      <c r="L1218" s="277"/>
      <c r="M1218" s="275"/>
    </row>
    <row r="1219" spans="8:13" ht="13.5" thickBot="1">
      <c r="H1219" s="285"/>
      <c r="I1219" s="6"/>
      <c r="J1219" s="6"/>
      <c r="L1219" s="277"/>
      <c r="M1219" s="275"/>
    </row>
    <row r="1220" spans="8:13" ht="13.5" thickBot="1">
      <c r="H1220" s="285"/>
      <c r="I1220" s="6"/>
      <c r="J1220" s="6"/>
      <c r="L1220" s="277"/>
      <c r="M1220" s="275"/>
    </row>
    <row r="1221" spans="8:13" ht="13.5" thickBot="1">
      <c r="H1221" s="285"/>
      <c r="I1221" s="6"/>
      <c r="J1221" s="6"/>
      <c r="L1221" s="277"/>
      <c r="M1221" s="275"/>
    </row>
    <row r="1222" spans="8:13" ht="13.5" thickBot="1">
      <c r="H1222" s="285"/>
      <c r="I1222" s="6"/>
      <c r="J1222" s="6"/>
      <c r="L1222" s="277"/>
      <c r="M1222" s="275"/>
    </row>
    <row r="1223" spans="8:13" ht="13.5" thickBot="1">
      <c r="H1223" s="285"/>
      <c r="I1223" s="6"/>
      <c r="J1223" s="6"/>
      <c r="L1223" s="277"/>
      <c r="M1223" s="275"/>
    </row>
    <row r="1224" spans="8:13" ht="13.5" thickBot="1">
      <c r="H1224" s="285"/>
      <c r="I1224" s="6"/>
      <c r="J1224" s="6"/>
      <c r="L1224" s="277"/>
      <c r="M1224" s="275"/>
    </row>
    <row r="1225" spans="8:13" ht="13.5" thickBot="1">
      <c r="H1225" s="285"/>
      <c r="I1225" s="6"/>
      <c r="J1225" s="6"/>
      <c r="L1225" s="277"/>
      <c r="M1225" s="275"/>
    </row>
    <row r="1226" spans="8:13" ht="13.5" thickBot="1">
      <c r="H1226" s="285"/>
      <c r="I1226" s="6"/>
      <c r="J1226" s="6"/>
      <c r="L1226" s="277"/>
      <c r="M1226" s="275"/>
    </row>
    <row r="1227" spans="8:13" ht="13.5" thickBot="1">
      <c r="H1227" s="285"/>
      <c r="I1227" s="6"/>
      <c r="J1227" s="6"/>
      <c r="L1227" s="277"/>
      <c r="M1227" s="275"/>
    </row>
    <row r="1228" spans="8:13" ht="13.5" thickBot="1">
      <c r="H1228" s="285"/>
      <c r="I1228" s="6"/>
      <c r="J1228" s="6"/>
      <c r="L1228" s="277"/>
      <c r="M1228" s="275"/>
    </row>
    <row r="1229" spans="8:13" ht="13.5" thickBot="1">
      <c r="H1229" s="285"/>
      <c r="I1229" s="6"/>
      <c r="J1229" s="6"/>
      <c r="L1229" s="277"/>
      <c r="M1229" s="275"/>
    </row>
    <row r="1230" spans="8:13" ht="13.5" thickBot="1">
      <c r="H1230" s="285"/>
      <c r="I1230" s="6"/>
      <c r="J1230" s="6"/>
      <c r="L1230" s="277"/>
      <c r="M1230" s="275"/>
    </row>
    <row r="1231" spans="8:13" ht="13.5" thickBot="1">
      <c r="H1231" s="285"/>
      <c r="I1231" s="6"/>
      <c r="J1231" s="6"/>
      <c r="L1231" s="277"/>
      <c r="M1231" s="275"/>
    </row>
    <row r="1232" spans="8:13" ht="13.5" thickBot="1">
      <c r="H1232" s="285"/>
      <c r="I1232" s="6"/>
      <c r="J1232" s="6"/>
      <c r="L1232" s="277"/>
      <c r="M1232" s="275"/>
    </row>
    <row r="1233" spans="8:13" ht="13.5" thickBot="1">
      <c r="H1233" s="285"/>
      <c r="I1233" s="6"/>
      <c r="J1233" s="6"/>
      <c r="L1233" s="277"/>
      <c r="M1233" s="275"/>
    </row>
    <row r="1234" spans="8:13" ht="13.5" thickBot="1">
      <c r="H1234" s="285"/>
      <c r="I1234" s="6"/>
      <c r="J1234" s="6"/>
      <c r="L1234" s="277"/>
      <c r="M1234" s="275"/>
    </row>
    <row r="1235" spans="8:13" ht="13.5" thickBot="1">
      <c r="H1235" s="285"/>
      <c r="I1235" s="6"/>
      <c r="J1235" s="6"/>
      <c r="L1235" s="277"/>
      <c r="M1235" s="275"/>
    </row>
    <row r="1236" spans="8:13" ht="13.5" thickBot="1">
      <c r="H1236" s="285"/>
      <c r="I1236" s="6"/>
      <c r="J1236" s="6"/>
      <c r="L1236" s="277"/>
      <c r="M1236" s="275"/>
    </row>
    <row r="1237" spans="8:13" ht="13.5" thickBot="1">
      <c r="H1237" s="285"/>
      <c r="I1237" s="6"/>
      <c r="J1237" s="6"/>
      <c r="L1237" s="277"/>
      <c r="M1237" s="275"/>
    </row>
    <row r="1238" spans="8:13" ht="13.5" thickBot="1">
      <c r="H1238" s="285"/>
      <c r="I1238" s="6"/>
      <c r="J1238" s="6"/>
      <c r="L1238" s="277"/>
      <c r="M1238" s="275"/>
    </row>
    <row r="1239" spans="8:13" ht="13.5" thickBot="1">
      <c r="H1239" s="285"/>
      <c r="I1239" s="6"/>
      <c r="J1239" s="6"/>
      <c r="L1239" s="277"/>
      <c r="M1239" s="275"/>
    </row>
    <row r="1240" spans="8:13" ht="13.5" thickBot="1">
      <c r="H1240" s="285"/>
      <c r="I1240" s="6"/>
      <c r="J1240" s="6"/>
      <c r="L1240" s="277"/>
      <c r="M1240" s="275"/>
    </row>
    <row r="1241" spans="8:13" ht="13.5" thickBot="1">
      <c r="H1241" s="285"/>
      <c r="I1241" s="6"/>
      <c r="J1241" s="6"/>
      <c r="L1241" s="277"/>
      <c r="M1241" s="275"/>
    </row>
    <row r="1242" spans="8:13" ht="13.5" thickBot="1">
      <c r="H1242" s="285"/>
      <c r="I1242" s="6"/>
      <c r="J1242" s="6"/>
      <c r="L1242" s="277"/>
      <c r="M1242" s="275"/>
    </row>
    <row r="1243" spans="8:13" ht="13.5" thickBot="1">
      <c r="H1243" s="285"/>
      <c r="I1243" s="6"/>
      <c r="J1243" s="6"/>
      <c r="L1243" s="277"/>
      <c r="M1243" s="275"/>
    </row>
    <row r="1244" spans="8:13" ht="13.5" thickBot="1">
      <c r="H1244" s="285"/>
      <c r="I1244" s="6"/>
      <c r="J1244" s="6"/>
      <c r="L1244" s="277"/>
      <c r="M1244" s="275"/>
    </row>
    <row r="1245" spans="8:13" ht="13.5" thickBot="1">
      <c r="H1245" s="285"/>
      <c r="I1245" s="6"/>
      <c r="J1245" s="6"/>
      <c r="L1245" s="277"/>
      <c r="M1245" s="275"/>
    </row>
    <row r="1246" spans="8:13" ht="13.5" thickBot="1">
      <c r="H1246" s="285"/>
      <c r="I1246" s="6"/>
      <c r="J1246" s="6"/>
      <c r="L1246" s="277"/>
      <c r="M1246" s="275"/>
    </row>
    <row r="1247" spans="8:13" ht="13.5" thickBot="1">
      <c r="H1247" s="285"/>
      <c r="I1247" s="6"/>
      <c r="J1247" s="6"/>
      <c r="L1247" s="277"/>
      <c r="M1247" s="275"/>
    </row>
    <row r="1248" spans="8:13" ht="13.5" thickBot="1">
      <c r="H1248" s="285"/>
      <c r="I1248" s="6"/>
      <c r="J1248" s="6"/>
      <c r="L1248" s="277"/>
      <c r="M1248" s="275"/>
    </row>
    <row r="1249" spans="8:13" ht="13.5" thickBot="1">
      <c r="H1249" s="285"/>
      <c r="I1249" s="6"/>
      <c r="J1249" s="6"/>
      <c r="L1249" s="277"/>
      <c r="M1249" s="275"/>
    </row>
    <row r="1250" spans="8:13" ht="13.5" thickBot="1">
      <c r="H1250" s="285"/>
      <c r="I1250" s="6"/>
      <c r="J1250" s="6"/>
      <c r="L1250" s="277"/>
      <c r="M1250" s="275"/>
    </row>
    <row r="1251" spans="8:13" ht="13.5" thickBot="1">
      <c r="H1251" s="285"/>
      <c r="I1251" s="6"/>
      <c r="J1251" s="6"/>
      <c r="L1251" s="277"/>
      <c r="M1251" s="275"/>
    </row>
    <row r="1252" spans="8:13" ht="13.5" thickBot="1">
      <c r="H1252" s="285"/>
      <c r="I1252" s="6"/>
      <c r="J1252" s="6"/>
      <c r="L1252" s="277"/>
      <c r="M1252" s="275"/>
    </row>
    <row r="1253" spans="8:13" ht="13.5" thickBot="1">
      <c r="H1253" s="285"/>
      <c r="I1253" s="6"/>
      <c r="J1253" s="6"/>
      <c r="L1253" s="277"/>
      <c r="M1253" s="275"/>
    </row>
    <row r="1254" spans="8:13" ht="13.5" thickBot="1">
      <c r="H1254" s="285"/>
      <c r="I1254" s="6"/>
      <c r="J1254" s="6"/>
      <c r="L1254" s="277"/>
      <c r="M1254" s="275"/>
    </row>
    <row r="1255" spans="8:13" ht="13.5" thickBot="1">
      <c r="H1255" s="285"/>
      <c r="I1255" s="6"/>
      <c r="J1255" s="6"/>
      <c r="L1255" s="277"/>
      <c r="M1255" s="275"/>
    </row>
    <row r="1256" spans="8:13" ht="13.5" thickBot="1">
      <c r="H1256" s="285"/>
      <c r="I1256" s="6"/>
      <c r="J1256" s="6"/>
      <c r="L1256" s="277"/>
      <c r="M1256" s="275"/>
    </row>
    <row r="1257" spans="8:13" ht="13.5" thickBot="1">
      <c r="H1257" s="285"/>
      <c r="I1257" s="6"/>
      <c r="J1257" s="6"/>
      <c r="L1257" s="277"/>
      <c r="M1257" s="275"/>
    </row>
    <row r="1258" spans="8:13" ht="13.5" thickBot="1">
      <c r="H1258" s="285"/>
      <c r="I1258" s="6"/>
      <c r="J1258" s="6"/>
      <c r="L1258" s="277"/>
      <c r="M1258" s="275"/>
    </row>
    <row r="1259" spans="8:13" ht="13.5" thickBot="1">
      <c r="H1259" s="285"/>
      <c r="I1259" s="6"/>
      <c r="J1259" s="6"/>
      <c r="L1259" s="277"/>
      <c r="M1259" s="275"/>
    </row>
    <row r="1260" spans="8:13" ht="13.5" thickBot="1">
      <c r="H1260" s="285"/>
      <c r="I1260" s="6"/>
      <c r="J1260" s="6"/>
      <c r="L1260" s="277"/>
      <c r="M1260" s="275"/>
    </row>
    <row r="1261" spans="8:13" ht="13.5" thickBot="1">
      <c r="H1261" s="285"/>
      <c r="I1261" s="6"/>
      <c r="J1261" s="6"/>
      <c r="L1261" s="277"/>
      <c r="M1261" s="275"/>
    </row>
    <row r="1262" spans="8:13" ht="13.5" thickBot="1">
      <c r="H1262" s="285"/>
      <c r="I1262" s="6"/>
      <c r="J1262" s="6"/>
      <c r="L1262" s="277"/>
      <c r="M1262" s="275"/>
    </row>
    <row r="1263" spans="8:13" ht="13.5" thickBot="1">
      <c r="H1263" s="285"/>
      <c r="I1263" s="6"/>
      <c r="J1263" s="6"/>
      <c r="L1263" s="277"/>
      <c r="M1263" s="275"/>
    </row>
    <row r="1264" spans="8:13" ht="13.5" thickBot="1">
      <c r="H1264" s="285"/>
      <c r="I1264" s="6"/>
      <c r="J1264" s="6"/>
      <c r="L1264" s="277"/>
      <c r="M1264" s="275"/>
    </row>
    <row r="1265" spans="8:13" ht="13.5" thickBot="1">
      <c r="H1265" s="285"/>
      <c r="I1265" s="6"/>
      <c r="J1265" s="6"/>
      <c r="L1265" s="277"/>
      <c r="M1265" s="275"/>
    </row>
    <row r="1266" spans="8:13" ht="13.5" thickBot="1">
      <c r="H1266" s="285"/>
      <c r="I1266" s="6"/>
      <c r="J1266" s="6"/>
      <c r="L1266" s="277"/>
      <c r="M1266" s="275"/>
    </row>
    <row r="1267" spans="8:13" ht="13.5" thickBot="1">
      <c r="H1267" s="285"/>
      <c r="I1267" s="6"/>
      <c r="J1267" s="6"/>
      <c r="L1267" s="277"/>
      <c r="M1267" s="275"/>
    </row>
    <row r="1268" spans="8:13" ht="13.5" thickBot="1">
      <c r="H1268" s="285"/>
      <c r="I1268" s="6"/>
      <c r="J1268" s="6"/>
      <c r="L1268" s="277"/>
      <c r="M1268" s="275"/>
    </row>
    <row r="1269" spans="8:13" ht="13.5" thickBot="1">
      <c r="H1269" s="285"/>
      <c r="I1269" s="6"/>
      <c r="J1269" s="6"/>
      <c r="L1269" s="277"/>
      <c r="M1269" s="275"/>
    </row>
    <row r="1270" spans="8:13" ht="13.5" thickBot="1">
      <c r="H1270" s="285"/>
      <c r="I1270" s="6"/>
      <c r="J1270" s="6"/>
      <c r="L1270" s="277"/>
      <c r="M1270" s="275"/>
    </row>
    <row r="1271" spans="8:13" ht="13.5" thickBot="1">
      <c r="H1271" s="285"/>
      <c r="I1271" s="6"/>
      <c r="J1271" s="6"/>
      <c r="L1271" s="277"/>
      <c r="M1271" s="275"/>
    </row>
    <row r="1272" spans="8:13" ht="13.5" thickBot="1">
      <c r="H1272" s="285"/>
      <c r="I1272" s="6"/>
      <c r="J1272" s="6"/>
      <c r="L1272" s="277"/>
      <c r="M1272" s="275"/>
    </row>
    <row r="1273" spans="8:13" ht="13.5" thickBot="1">
      <c r="H1273" s="285"/>
      <c r="I1273" s="6"/>
      <c r="J1273" s="6"/>
      <c r="L1273" s="277"/>
      <c r="M1273" s="275"/>
    </row>
    <row r="1274" spans="8:13" ht="13.5" thickBot="1">
      <c r="H1274" s="285"/>
      <c r="I1274" s="6"/>
      <c r="J1274" s="6"/>
      <c r="L1274" s="277"/>
      <c r="M1274" s="275"/>
    </row>
    <row r="1275" spans="8:13" ht="13.5" thickBot="1">
      <c r="H1275" s="285"/>
      <c r="I1275" s="6"/>
      <c r="J1275" s="6"/>
      <c r="L1275" s="277"/>
      <c r="M1275" s="275"/>
    </row>
    <row r="1276" spans="8:13" ht="13.5" thickBot="1">
      <c r="H1276" s="285"/>
      <c r="I1276" s="6"/>
      <c r="J1276" s="6"/>
      <c r="L1276" s="277"/>
      <c r="M1276" s="275"/>
    </row>
    <row r="1277" spans="8:13" ht="13.5" thickBot="1">
      <c r="H1277" s="285"/>
      <c r="I1277" s="6"/>
      <c r="J1277" s="6"/>
      <c r="L1277" s="277"/>
      <c r="M1277" s="275"/>
    </row>
    <row r="1278" spans="8:13" ht="13.5" thickBot="1">
      <c r="H1278" s="285"/>
      <c r="I1278" s="6"/>
      <c r="J1278" s="6"/>
      <c r="L1278" s="277"/>
      <c r="M1278" s="275"/>
    </row>
    <row r="1279" spans="8:13" ht="13.5" thickBot="1">
      <c r="H1279" s="285"/>
      <c r="I1279" s="6"/>
      <c r="J1279" s="6"/>
      <c r="L1279" s="277"/>
      <c r="M1279" s="275"/>
    </row>
    <row r="1280" spans="8:13" ht="13.5" thickBot="1">
      <c r="H1280" s="285"/>
      <c r="I1280" s="6"/>
      <c r="J1280" s="6"/>
      <c r="L1280" s="277"/>
      <c r="M1280" s="275"/>
    </row>
    <row r="1281" spans="8:13" ht="13.5" thickBot="1">
      <c r="H1281" s="285"/>
      <c r="I1281" s="6"/>
      <c r="J1281" s="6"/>
      <c r="L1281" s="277"/>
      <c r="M1281" s="275"/>
    </row>
    <row r="1282" spans="8:13" ht="13.5" thickBot="1">
      <c r="H1282" s="285"/>
      <c r="I1282" s="6"/>
      <c r="J1282" s="6"/>
      <c r="L1282" s="277"/>
      <c r="M1282" s="275"/>
    </row>
    <row r="1283" spans="8:13" ht="13.5" thickBot="1">
      <c r="H1283" s="285"/>
      <c r="I1283" s="6"/>
      <c r="J1283" s="6"/>
      <c r="L1283" s="277"/>
      <c r="M1283" s="275"/>
    </row>
    <row r="1284" spans="8:13" ht="13.5" thickBot="1">
      <c r="H1284" s="285"/>
      <c r="I1284" s="6"/>
      <c r="J1284" s="6"/>
      <c r="L1284" s="277"/>
      <c r="M1284" s="275"/>
    </row>
    <row r="1285" spans="8:13" ht="13.5" thickBot="1">
      <c r="H1285" s="285"/>
      <c r="I1285" s="6"/>
      <c r="J1285" s="6"/>
      <c r="L1285" s="277"/>
      <c r="M1285" s="275"/>
    </row>
    <row r="1286" spans="8:13" ht="13.5" thickBot="1">
      <c r="H1286" s="285"/>
      <c r="I1286" s="6"/>
      <c r="J1286" s="6"/>
      <c r="L1286" s="277"/>
      <c r="M1286" s="275"/>
    </row>
    <row r="1287" spans="8:13" ht="13.5" thickBot="1">
      <c r="H1287" s="285"/>
      <c r="I1287" s="6"/>
      <c r="J1287" s="6"/>
      <c r="L1287" s="277"/>
      <c r="M1287" s="275"/>
    </row>
    <row r="1288" spans="8:13" ht="13.5" thickBot="1">
      <c r="H1288" s="285"/>
      <c r="I1288" s="6"/>
      <c r="J1288" s="6"/>
      <c r="L1288" s="277"/>
      <c r="M1288" s="275"/>
    </row>
    <row r="1289" spans="8:13" ht="13.5" thickBot="1">
      <c r="H1289" s="285"/>
      <c r="I1289" s="6"/>
      <c r="J1289" s="6"/>
      <c r="L1289" s="277"/>
      <c r="M1289" s="275"/>
    </row>
    <row r="1290" spans="8:13" ht="13.5" thickBot="1">
      <c r="H1290" s="285"/>
      <c r="I1290" s="6"/>
      <c r="J1290" s="6"/>
      <c r="L1290" s="277"/>
      <c r="M1290" s="275"/>
    </row>
    <row r="1291" spans="8:13" ht="13.5" thickBot="1">
      <c r="H1291" s="285"/>
      <c r="I1291" s="6"/>
      <c r="J1291" s="6"/>
      <c r="L1291" s="277"/>
      <c r="M1291" s="275"/>
    </row>
    <row r="1292" spans="8:13" ht="13.5" thickBot="1">
      <c r="H1292" s="285"/>
      <c r="I1292" s="6"/>
      <c r="J1292" s="6"/>
      <c r="L1292" s="277"/>
      <c r="M1292" s="275"/>
    </row>
    <row r="1293" spans="8:13" ht="13.5" thickBot="1">
      <c r="H1293" s="285"/>
      <c r="I1293" s="6"/>
      <c r="J1293" s="6"/>
      <c r="L1293" s="277"/>
      <c r="M1293" s="275"/>
    </row>
    <row r="1294" spans="8:13" ht="13.5" thickBot="1">
      <c r="H1294" s="285"/>
      <c r="I1294" s="6"/>
      <c r="J1294" s="6"/>
      <c r="L1294" s="277"/>
      <c r="M1294" s="275"/>
    </row>
    <row r="1295" spans="8:13" ht="13.5" thickBot="1">
      <c r="H1295" s="285"/>
      <c r="I1295" s="6"/>
      <c r="J1295" s="6"/>
      <c r="L1295" s="277"/>
      <c r="M1295" s="275"/>
    </row>
    <row r="1296" spans="8:13" ht="13.5" thickBot="1">
      <c r="H1296" s="285"/>
      <c r="I1296" s="6"/>
      <c r="J1296" s="6"/>
      <c r="L1296" s="277"/>
      <c r="M1296" s="275"/>
    </row>
    <row r="1297" spans="8:13" ht="13.5" thickBot="1">
      <c r="H1297" s="285"/>
      <c r="I1297" s="6"/>
      <c r="J1297" s="6"/>
      <c r="L1297" s="277"/>
      <c r="M1297" s="275"/>
    </row>
    <row r="1298" spans="8:13" ht="13.5" thickBot="1">
      <c r="H1298" s="285"/>
      <c r="I1298" s="6"/>
      <c r="J1298" s="6"/>
      <c r="L1298" s="277"/>
      <c r="M1298" s="275"/>
    </row>
    <row r="1299" spans="8:13" ht="13.5" thickBot="1">
      <c r="H1299" s="285"/>
      <c r="I1299" s="6"/>
      <c r="J1299" s="6"/>
      <c r="L1299" s="277"/>
      <c r="M1299" s="275"/>
    </row>
    <row r="1300" spans="8:13" ht="13.5" thickBot="1">
      <c r="H1300" s="285"/>
      <c r="I1300" s="6"/>
      <c r="J1300" s="6"/>
      <c r="L1300" s="277"/>
      <c r="M1300" s="275"/>
    </row>
    <row r="1301" spans="8:13" ht="13.5" thickBot="1">
      <c r="H1301" s="285"/>
      <c r="I1301" s="6"/>
      <c r="J1301" s="6"/>
      <c r="L1301" s="277"/>
      <c r="M1301" s="275"/>
    </row>
    <row r="1302" spans="8:13" ht="13.5" thickBot="1">
      <c r="H1302" s="285"/>
      <c r="I1302" s="6"/>
      <c r="J1302" s="6"/>
      <c r="L1302" s="277"/>
      <c r="M1302" s="275"/>
    </row>
    <row r="1303" spans="8:13" ht="13.5" thickBot="1">
      <c r="H1303" s="285"/>
      <c r="I1303" s="6"/>
      <c r="J1303" s="6"/>
      <c r="L1303" s="277"/>
      <c r="M1303" s="275"/>
    </row>
    <row r="1304" spans="8:13" ht="13.5" thickBot="1">
      <c r="H1304" s="285"/>
      <c r="I1304" s="6"/>
      <c r="J1304" s="6"/>
      <c r="L1304" s="277"/>
      <c r="M1304" s="275"/>
    </row>
    <row r="1305" spans="8:13" ht="13.5" thickBot="1">
      <c r="H1305" s="285"/>
      <c r="I1305" s="6"/>
      <c r="J1305" s="6"/>
      <c r="L1305" s="277"/>
      <c r="M1305" s="275"/>
    </row>
    <row r="1306" spans="8:13" ht="13.5" thickBot="1">
      <c r="H1306" s="285"/>
      <c r="I1306" s="6"/>
      <c r="J1306" s="6"/>
      <c r="L1306" s="277"/>
      <c r="M1306" s="275"/>
    </row>
    <row r="1307" spans="8:13" ht="13.5" thickBot="1">
      <c r="H1307" s="285"/>
      <c r="I1307" s="6"/>
      <c r="J1307" s="6"/>
      <c r="L1307" s="277"/>
      <c r="M1307" s="275"/>
    </row>
    <row r="1308" spans="8:13" ht="13.5" thickBot="1">
      <c r="H1308" s="285"/>
      <c r="I1308" s="6"/>
      <c r="J1308" s="6"/>
      <c r="L1308" s="277"/>
      <c r="M1308" s="275"/>
    </row>
    <row r="1309" spans="8:13" ht="13.5" thickBot="1">
      <c r="H1309" s="285"/>
      <c r="I1309" s="6"/>
      <c r="J1309" s="6"/>
      <c r="L1309" s="277"/>
      <c r="M1309" s="275"/>
    </row>
    <row r="1310" spans="8:13" ht="13.5" thickBot="1">
      <c r="H1310" s="285"/>
      <c r="I1310" s="6"/>
      <c r="J1310" s="6"/>
      <c r="L1310" s="277"/>
      <c r="M1310" s="275"/>
    </row>
    <row r="1311" spans="8:13" ht="13.5" thickBot="1">
      <c r="H1311" s="285"/>
      <c r="I1311" s="6"/>
      <c r="J1311" s="6"/>
      <c r="L1311" s="277"/>
      <c r="M1311" s="275"/>
    </row>
    <row r="1312" spans="8:13" ht="13.5" thickBot="1">
      <c r="H1312" s="285"/>
      <c r="I1312" s="6"/>
      <c r="J1312" s="6"/>
      <c r="L1312" s="277"/>
      <c r="M1312" s="275"/>
    </row>
    <row r="1313" spans="8:13" ht="13.5" thickBot="1">
      <c r="H1313" s="285"/>
      <c r="I1313" s="6"/>
      <c r="J1313" s="6"/>
      <c r="L1313" s="277"/>
      <c r="M1313" s="275"/>
    </row>
    <row r="1314" spans="8:13" ht="13.5" thickBot="1">
      <c r="H1314" s="285"/>
      <c r="I1314" s="6"/>
      <c r="J1314" s="6"/>
      <c r="L1314" s="277"/>
      <c r="M1314" s="275"/>
    </row>
    <row r="1315" spans="8:13" ht="13.5" thickBot="1">
      <c r="H1315" s="285"/>
      <c r="I1315" s="6"/>
      <c r="J1315" s="6"/>
      <c r="L1315" s="277"/>
      <c r="M1315" s="275"/>
    </row>
    <row r="1316" spans="8:13" ht="13.5" thickBot="1">
      <c r="H1316" s="285"/>
      <c r="I1316" s="6"/>
      <c r="J1316" s="6"/>
      <c r="L1316" s="277"/>
      <c r="M1316" s="275"/>
    </row>
    <row r="1317" spans="8:13" ht="13.5" thickBot="1">
      <c r="H1317" s="285"/>
      <c r="I1317" s="6"/>
      <c r="J1317" s="6"/>
      <c r="L1317" s="277"/>
      <c r="M1317" s="275"/>
    </row>
    <row r="1318" spans="8:13" ht="13.5" thickBot="1">
      <c r="H1318" s="285"/>
      <c r="I1318" s="6"/>
      <c r="J1318" s="6"/>
      <c r="L1318" s="277"/>
      <c r="M1318" s="275"/>
    </row>
    <row r="1319" spans="8:13" ht="13.5" thickBot="1">
      <c r="H1319" s="285"/>
      <c r="I1319" s="6"/>
      <c r="J1319" s="6"/>
      <c r="L1319" s="277"/>
      <c r="M1319" s="275"/>
    </row>
    <row r="1320" spans="8:13" ht="13.5" thickBot="1">
      <c r="H1320" s="285"/>
      <c r="I1320" s="6"/>
      <c r="J1320" s="6"/>
      <c r="L1320" s="277"/>
      <c r="M1320" s="275"/>
    </row>
    <row r="1321" spans="8:13" ht="13.5" thickBot="1">
      <c r="H1321" s="285"/>
      <c r="I1321" s="6"/>
      <c r="J1321" s="6"/>
      <c r="L1321" s="277"/>
      <c r="M1321" s="275"/>
    </row>
    <row r="1322" spans="8:13" ht="13.5" thickBot="1">
      <c r="H1322" s="285"/>
      <c r="I1322" s="6"/>
      <c r="J1322" s="6"/>
      <c r="L1322" s="277"/>
      <c r="M1322" s="275"/>
    </row>
    <row r="1323" spans="8:13" ht="13.5" thickBot="1">
      <c r="H1323" s="285"/>
      <c r="I1323" s="6"/>
      <c r="J1323" s="6"/>
      <c r="L1323" s="277"/>
      <c r="M1323" s="275"/>
    </row>
    <row r="1324" spans="8:13" ht="13.5" thickBot="1">
      <c r="H1324" s="285"/>
      <c r="I1324" s="6"/>
      <c r="J1324" s="6"/>
      <c r="L1324" s="277"/>
      <c r="M1324" s="275"/>
    </row>
    <row r="1325" spans="8:13" ht="13.5" thickBot="1">
      <c r="H1325" s="285"/>
      <c r="I1325" s="6"/>
      <c r="J1325" s="6"/>
      <c r="L1325" s="277"/>
      <c r="M1325" s="275"/>
    </row>
    <row r="1326" spans="8:13" ht="13.5" thickBot="1">
      <c r="H1326" s="285"/>
      <c r="I1326" s="6"/>
      <c r="J1326" s="6"/>
      <c r="L1326" s="277"/>
      <c r="M1326" s="275"/>
    </row>
    <row r="1327" spans="8:13" ht="13.5" thickBot="1">
      <c r="H1327" s="285"/>
      <c r="I1327" s="6"/>
      <c r="J1327" s="6"/>
      <c r="L1327" s="277"/>
      <c r="M1327" s="275"/>
    </row>
    <row r="1328" spans="8:13" ht="13.5" thickBot="1">
      <c r="H1328" s="285"/>
      <c r="I1328" s="6"/>
      <c r="J1328" s="6"/>
      <c r="L1328" s="277"/>
      <c r="M1328" s="275"/>
    </row>
    <row r="1329" spans="8:13" ht="13.5" thickBot="1">
      <c r="H1329" s="285"/>
      <c r="I1329" s="6"/>
      <c r="J1329" s="6"/>
      <c r="L1329" s="277"/>
      <c r="M1329" s="275"/>
    </row>
    <row r="1330" spans="8:13" ht="13.5" thickBot="1">
      <c r="H1330" s="285"/>
      <c r="I1330" s="6"/>
      <c r="J1330" s="6"/>
      <c r="L1330" s="277"/>
      <c r="M1330" s="275"/>
    </row>
    <row r="1331" spans="8:13" ht="13.5" thickBot="1">
      <c r="H1331" s="285"/>
      <c r="I1331" s="6"/>
      <c r="J1331" s="6"/>
      <c r="L1331" s="277"/>
      <c r="M1331" s="275"/>
    </row>
    <row r="1332" spans="8:13" ht="13.5" thickBot="1">
      <c r="H1332" s="285"/>
      <c r="I1332" s="6"/>
      <c r="J1332" s="6"/>
      <c r="L1332" s="277"/>
      <c r="M1332" s="275"/>
    </row>
    <row r="1333" spans="8:13" ht="13.5" thickBot="1">
      <c r="H1333" s="285"/>
      <c r="I1333" s="6"/>
      <c r="J1333" s="6"/>
      <c r="L1333" s="277"/>
      <c r="M1333" s="275"/>
    </row>
    <row r="1334" spans="8:13" ht="13.5" thickBot="1">
      <c r="H1334" s="285"/>
      <c r="I1334" s="6"/>
      <c r="J1334" s="6"/>
      <c r="L1334" s="277"/>
      <c r="M1334" s="275"/>
    </row>
    <row r="1335" spans="8:13" ht="13.5" thickBot="1">
      <c r="H1335" s="285"/>
      <c r="I1335" s="6"/>
      <c r="J1335" s="6"/>
      <c r="L1335" s="277"/>
      <c r="M1335" s="275"/>
    </row>
    <row r="1336" spans="8:13" ht="13.5" thickBot="1">
      <c r="H1336" s="285"/>
      <c r="I1336" s="6"/>
      <c r="J1336" s="6"/>
      <c r="L1336" s="277"/>
      <c r="M1336" s="275"/>
    </row>
    <row r="1337" spans="8:13" ht="13.5" thickBot="1">
      <c r="H1337" s="285"/>
      <c r="I1337" s="6"/>
      <c r="J1337" s="6"/>
      <c r="L1337" s="277"/>
      <c r="M1337" s="275"/>
    </row>
    <row r="1338" spans="8:13" ht="13.5" thickBot="1">
      <c r="H1338" s="285"/>
      <c r="I1338" s="6"/>
      <c r="J1338" s="6"/>
      <c r="L1338" s="277"/>
      <c r="M1338" s="275"/>
    </row>
    <row r="1339" spans="8:13" ht="13.5" thickBot="1">
      <c r="H1339" s="285"/>
      <c r="I1339" s="6"/>
      <c r="J1339" s="6"/>
      <c r="L1339" s="277"/>
      <c r="M1339" s="275"/>
    </row>
    <row r="1340" spans="8:13" ht="13.5" thickBot="1">
      <c r="H1340" s="285"/>
      <c r="I1340" s="6"/>
      <c r="J1340" s="6"/>
      <c r="L1340" s="277"/>
      <c r="M1340" s="275"/>
    </row>
    <row r="1341" spans="8:13" ht="13.5" thickBot="1">
      <c r="H1341" s="285"/>
      <c r="I1341" s="6"/>
      <c r="J1341" s="6"/>
      <c r="L1341" s="277"/>
      <c r="M1341" s="275"/>
    </row>
    <row r="1342" spans="8:13" ht="13.5" thickBot="1">
      <c r="H1342" s="285"/>
      <c r="I1342" s="6"/>
      <c r="J1342" s="6"/>
      <c r="L1342" s="277"/>
      <c r="M1342" s="275"/>
    </row>
    <row r="1343" spans="8:13" ht="13.5" thickBot="1">
      <c r="H1343" s="285"/>
      <c r="I1343" s="6"/>
      <c r="J1343" s="6"/>
      <c r="L1343" s="277"/>
      <c r="M1343" s="275"/>
    </row>
    <row r="1344" spans="8:13" ht="13.5" thickBot="1">
      <c r="H1344" s="285"/>
      <c r="I1344" s="6"/>
      <c r="J1344" s="6"/>
      <c r="L1344" s="277"/>
      <c r="M1344" s="275"/>
    </row>
    <row r="1345" spans="8:13" ht="13.5" thickBot="1">
      <c r="H1345" s="285"/>
      <c r="I1345" s="6"/>
      <c r="J1345" s="6"/>
      <c r="L1345" s="277"/>
      <c r="M1345" s="275"/>
    </row>
    <row r="1346" spans="8:13" ht="13.5" thickBot="1">
      <c r="H1346" s="285"/>
      <c r="I1346" s="6"/>
      <c r="J1346" s="6"/>
      <c r="L1346" s="277"/>
      <c r="M1346" s="275"/>
    </row>
    <row r="1347" spans="8:13" ht="13.5" thickBot="1">
      <c r="H1347" s="285"/>
      <c r="I1347" s="6"/>
      <c r="J1347" s="6"/>
      <c r="L1347" s="277"/>
      <c r="M1347" s="275"/>
    </row>
    <row r="1348" spans="8:13" ht="13.5" thickBot="1">
      <c r="H1348" s="285"/>
      <c r="I1348" s="6"/>
      <c r="J1348" s="6"/>
      <c r="L1348" s="277"/>
      <c r="M1348" s="275"/>
    </row>
    <row r="1349" spans="8:13" ht="13.5" thickBot="1">
      <c r="H1349" s="285"/>
      <c r="I1349" s="6"/>
      <c r="J1349" s="6"/>
      <c r="L1349" s="277"/>
      <c r="M1349" s="275"/>
    </row>
    <row r="1350" spans="8:13" ht="13.5" thickBot="1">
      <c r="H1350" s="285"/>
      <c r="I1350" s="6"/>
      <c r="J1350" s="6"/>
      <c r="L1350" s="277"/>
      <c r="M1350" s="275"/>
    </row>
    <row r="1351" spans="8:13" ht="13.5" thickBot="1">
      <c r="H1351" s="285"/>
      <c r="I1351" s="6"/>
      <c r="J1351" s="6"/>
      <c r="L1351" s="277"/>
      <c r="M1351" s="275"/>
    </row>
    <row r="1352" spans="8:13" ht="13.5" thickBot="1">
      <c r="H1352" s="285"/>
      <c r="I1352" s="6"/>
      <c r="J1352" s="6"/>
      <c r="L1352" s="277"/>
      <c r="M1352" s="275"/>
    </row>
    <row r="1353" spans="8:13" ht="13.5" thickBot="1">
      <c r="H1353" s="285"/>
      <c r="I1353" s="6"/>
      <c r="J1353" s="6"/>
      <c r="L1353" s="277"/>
      <c r="M1353" s="275"/>
    </row>
    <row r="1354" spans="8:13" ht="13.5" thickBot="1">
      <c r="H1354" s="285"/>
      <c r="I1354" s="6"/>
      <c r="J1354" s="6"/>
      <c r="L1354" s="277"/>
      <c r="M1354" s="275"/>
    </row>
    <row r="1355" spans="8:13" ht="13.5" thickBot="1">
      <c r="H1355" s="285"/>
      <c r="I1355" s="6"/>
      <c r="J1355" s="6"/>
      <c r="L1355" s="277"/>
      <c r="M1355" s="275"/>
    </row>
    <row r="1356" spans="8:13" ht="13.5" thickBot="1">
      <c r="H1356" s="285"/>
      <c r="I1356" s="6"/>
      <c r="J1356" s="6"/>
      <c r="L1356" s="277"/>
      <c r="M1356" s="275"/>
    </row>
    <row r="1357" spans="8:13" ht="13.5" thickBot="1">
      <c r="H1357" s="285"/>
      <c r="I1357" s="6"/>
      <c r="J1357" s="6"/>
      <c r="L1357" s="277"/>
      <c r="M1357" s="275"/>
    </row>
    <row r="1358" spans="8:13" ht="13.5" thickBot="1">
      <c r="H1358" s="285"/>
      <c r="I1358" s="6"/>
      <c r="J1358" s="6"/>
      <c r="L1358" s="277"/>
      <c r="M1358" s="275"/>
    </row>
    <row r="1359" spans="8:13" ht="13.5" thickBot="1">
      <c r="H1359" s="285"/>
      <c r="I1359" s="6"/>
      <c r="J1359" s="6"/>
      <c r="L1359" s="277"/>
      <c r="M1359" s="275"/>
    </row>
    <row r="1360" spans="8:13" ht="13.5" thickBot="1">
      <c r="H1360" s="285"/>
      <c r="I1360" s="6"/>
      <c r="J1360" s="6"/>
      <c r="L1360" s="277"/>
      <c r="M1360" s="275"/>
    </row>
    <row r="1361" spans="8:13" ht="13.5" thickBot="1">
      <c r="H1361" s="285"/>
      <c r="I1361" s="6"/>
      <c r="J1361" s="6"/>
      <c r="L1361" s="277"/>
      <c r="M1361" s="275"/>
    </row>
    <row r="1362" spans="8:13" ht="13.5" thickBot="1">
      <c r="H1362" s="285"/>
      <c r="I1362" s="6"/>
      <c r="J1362" s="6"/>
      <c r="L1362" s="277"/>
      <c r="M1362" s="275"/>
    </row>
    <row r="1363" spans="8:13" ht="13.5" thickBot="1">
      <c r="H1363" s="285"/>
      <c r="I1363" s="6"/>
      <c r="J1363" s="6"/>
      <c r="L1363" s="277"/>
      <c r="M1363" s="275"/>
    </row>
    <row r="1364" spans="8:13" ht="13.5" thickBot="1">
      <c r="H1364" s="285"/>
      <c r="I1364" s="6"/>
      <c r="J1364" s="6"/>
      <c r="L1364" s="277"/>
      <c r="M1364" s="275"/>
    </row>
    <row r="1365" spans="8:13" ht="13.5" thickBot="1">
      <c r="H1365" s="285"/>
      <c r="I1365" s="6"/>
      <c r="J1365" s="6"/>
      <c r="L1365" s="277"/>
      <c r="M1365" s="275"/>
    </row>
    <row r="1366" spans="8:13" ht="13.5" thickBot="1">
      <c r="H1366" s="285"/>
      <c r="I1366" s="6"/>
      <c r="J1366" s="6"/>
      <c r="L1366" s="277"/>
      <c r="M1366" s="275"/>
    </row>
    <row r="1367" spans="8:13" ht="13.5" thickBot="1">
      <c r="H1367" s="285"/>
      <c r="I1367" s="6"/>
      <c r="J1367" s="6"/>
      <c r="L1367" s="277"/>
      <c r="M1367" s="275"/>
    </row>
    <row r="1368" spans="8:13" ht="13.5" thickBot="1">
      <c r="H1368" s="285"/>
      <c r="I1368" s="6"/>
      <c r="J1368" s="6"/>
      <c r="L1368" s="277"/>
      <c r="M1368" s="275"/>
    </row>
    <row r="1369" spans="8:13" ht="13.5" thickBot="1">
      <c r="H1369" s="285"/>
      <c r="I1369" s="6"/>
      <c r="J1369" s="6"/>
      <c r="L1369" s="277"/>
      <c r="M1369" s="275"/>
    </row>
    <row r="1370" spans="8:13" ht="13.5" thickBot="1">
      <c r="H1370" s="285"/>
      <c r="I1370" s="6"/>
      <c r="J1370" s="6"/>
      <c r="L1370" s="277"/>
      <c r="M1370" s="275"/>
    </row>
    <row r="1371" spans="8:13" ht="13.5" thickBot="1">
      <c r="H1371" s="285"/>
      <c r="I1371" s="6"/>
      <c r="J1371" s="6"/>
      <c r="L1371" s="277"/>
      <c r="M1371" s="275"/>
    </row>
    <row r="1372" spans="8:13" ht="13.5" thickBot="1">
      <c r="H1372" s="285"/>
      <c r="I1372" s="6"/>
      <c r="J1372" s="6"/>
      <c r="L1372" s="277"/>
      <c r="M1372" s="275"/>
    </row>
    <row r="1373" spans="8:13" ht="13.5" thickBot="1">
      <c r="H1373" s="285"/>
      <c r="I1373" s="6"/>
      <c r="J1373" s="6"/>
      <c r="L1373" s="277"/>
      <c r="M1373" s="275"/>
    </row>
    <row r="1374" spans="8:13" ht="13.5" thickBot="1">
      <c r="H1374" s="285"/>
      <c r="I1374" s="6"/>
      <c r="J1374" s="6"/>
      <c r="L1374" s="277"/>
      <c r="M1374" s="275"/>
    </row>
    <row r="1375" spans="8:13" ht="13.5" thickBot="1">
      <c r="H1375" s="285"/>
      <c r="I1375" s="6"/>
      <c r="J1375" s="6"/>
      <c r="L1375" s="277"/>
      <c r="M1375" s="275"/>
    </row>
    <row r="1376" spans="8:13" ht="13.5" thickBot="1">
      <c r="H1376" s="285"/>
      <c r="I1376" s="6"/>
      <c r="J1376" s="6"/>
      <c r="L1376" s="277"/>
      <c r="M1376" s="275"/>
    </row>
    <row r="1377" spans="8:13" ht="13.5" thickBot="1">
      <c r="H1377" s="285"/>
      <c r="I1377" s="6"/>
      <c r="J1377" s="6"/>
      <c r="L1377" s="277"/>
      <c r="M1377" s="275"/>
    </row>
    <row r="1378" spans="8:13" ht="13.5" thickBot="1">
      <c r="H1378" s="285"/>
      <c r="I1378" s="6"/>
      <c r="J1378" s="6"/>
      <c r="L1378" s="277"/>
      <c r="M1378" s="275"/>
    </row>
    <row r="1379" spans="8:13" ht="13.5" thickBot="1">
      <c r="H1379" s="285"/>
      <c r="I1379" s="6"/>
      <c r="J1379" s="6"/>
      <c r="L1379" s="277"/>
      <c r="M1379" s="275"/>
    </row>
    <row r="1380" spans="8:13" ht="13.5" thickBot="1">
      <c r="H1380" s="285"/>
      <c r="I1380" s="6"/>
      <c r="J1380" s="6"/>
      <c r="L1380" s="277"/>
      <c r="M1380" s="275"/>
    </row>
    <row r="1381" spans="8:13" ht="13.5" thickBot="1">
      <c r="H1381" s="285"/>
      <c r="I1381" s="6"/>
      <c r="J1381" s="6"/>
      <c r="L1381" s="277"/>
      <c r="M1381" s="275"/>
    </row>
    <row r="1382" spans="8:13" ht="13.5" thickBot="1">
      <c r="H1382" s="285"/>
      <c r="I1382" s="6"/>
      <c r="J1382" s="6"/>
      <c r="L1382" s="277"/>
      <c r="M1382" s="275"/>
    </row>
    <row r="1383" spans="8:13" ht="13.5" thickBot="1">
      <c r="H1383" s="285"/>
      <c r="I1383" s="6"/>
      <c r="J1383" s="6"/>
      <c r="L1383" s="277"/>
      <c r="M1383" s="275"/>
    </row>
    <row r="1384" spans="8:13" ht="13.5" thickBot="1">
      <c r="H1384" s="285"/>
      <c r="I1384" s="6"/>
      <c r="J1384" s="6"/>
      <c r="L1384" s="277"/>
      <c r="M1384" s="275"/>
    </row>
    <row r="1385" spans="8:13" ht="13.5" thickBot="1">
      <c r="H1385" s="285"/>
      <c r="I1385" s="6"/>
      <c r="J1385" s="6"/>
      <c r="L1385" s="277"/>
      <c r="M1385" s="275"/>
    </row>
    <row r="1386" spans="8:13" ht="13.5" thickBot="1">
      <c r="H1386" s="285"/>
      <c r="I1386" s="6"/>
      <c r="J1386" s="6"/>
      <c r="L1386" s="277"/>
      <c r="M1386" s="275"/>
    </row>
    <row r="1387" spans="8:13" ht="13.5" thickBot="1">
      <c r="H1387" s="285"/>
      <c r="I1387" s="6"/>
      <c r="J1387" s="6"/>
      <c r="L1387" s="277"/>
      <c r="M1387" s="275"/>
    </row>
    <row r="1388" spans="8:13" ht="13.5" thickBot="1">
      <c r="H1388" s="285"/>
      <c r="I1388" s="6"/>
      <c r="J1388" s="6"/>
      <c r="L1388" s="277"/>
      <c r="M1388" s="275"/>
    </row>
    <row r="1389" spans="8:13" ht="13.5" thickBot="1">
      <c r="H1389" s="285"/>
      <c r="I1389" s="6"/>
      <c r="J1389" s="6"/>
      <c r="L1389" s="277"/>
      <c r="M1389" s="275"/>
    </row>
    <row r="1390" spans="8:13" ht="13.5" thickBot="1">
      <c r="H1390" s="285"/>
      <c r="I1390" s="6"/>
      <c r="J1390" s="6"/>
      <c r="L1390" s="277"/>
      <c r="M1390" s="275"/>
    </row>
    <row r="1391" spans="8:13" ht="13.5" thickBot="1">
      <c r="H1391" s="285"/>
      <c r="I1391" s="6"/>
      <c r="J1391" s="6"/>
      <c r="L1391" s="277"/>
      <c r="M1391" s="275"/>
    </row>
    <row r="1392" spans="8:13" ht="13.5" thickBot="1">
      <c r="H1392" s="285"/>
      <c r="I1392" s="6"/>
      <c r="J1392" s="6"/>
      <c r="L1392" s="277"/>
      <c r="M1392" s="275"/>
    </row>
    <row r="1393" spans="8:13" ht="13.5" thickBot="1">
      <c r="H1393" s="285"/>
      <c r="I1393" s="6"/>
      <c r="J1393" s="6"/>
      <c r="L1393" s="277"/>
      <c r="M1393" s="275"/>
    </row>
    <row r="1394" spans="8:13" ht="13.5" thickBot="1">
      <c r="H1394" s="285"/>
      <c r="I1394" s="6"/>
      <c r="J1394" s="6"/>
      <c r="L1394" s="277"/>
      <c r="M1394" s="275"/>
    </row>
    <row r="1395" spans="8:13" ht="13.5" thickBot="1">
      <c r="H1395" s="285"/>
      <c r="I1395" s="6"/>
      <c r="J1395" s="6"/>
      <c r="L1395" s="277"/>
      <c r="M1395" s="275"/>
    </row>
    <row r="1396" spans="8:13" ht="13.5" thickBot="1">
      <c r="H1396" s="285"/>
      <c r="I1396" s="6"/>
      <c r="J1396" s="6"/>
      <c r="L1396" s="277"/>
      <c r="M1396" s="275"/>
    </row>
    <row r="1397" spans="8:13" ht="13.5" thickBot="1">
      <c r="H1397" s="285"/>
      <c r="I1397" s="6"/>
      <c r="J1397" s="6"/>
      <c r="L1397" s="277"/>
      <c r="M1397" s="275"/>
    </row>
    <row r="1398" spans="8:13" ht="13.5" thickBot="1">
      <c r="H1398" s="285"/>
      <c r="I1398" s="6"/>
      <c r="J1398" s="6"/>
      <c r="L1398" s="277"/>
      <c r="M1398" s="275"/>
    </row>
    <row r="1399" spans="8:13" ht="13.5" thickBot="1">
      <c r="H1399" s="285"/>
      <c r="I1399" s="6"/>
      <c r="J1399" s="6"/>
      <c r="L1399" s="277"/>
      <c r="M1399" s="275"/>
    </row>
    <row r="1400" spans="8:13" ht="13.5" thickBot="1">
      <c r="H1400" s="285"/>
      <c r="I1400" s="6"/>
      <c r="J1400" s="6"/>
      <c r="L1400" s="277"/>
      <c r="M1400" s="275"/>
    </row>
    <row r="1401" spans="8:13" ht="13.5" thickBot="1">
      <c r="H1401" s="285"/>
      <c r="I1401" s="6"/>
      <c r="J1401" s="6"/>
      <c r="L1401" s="277"/>
      <c r="M1401" s="275"/>
    </row>
    <row r="1402" spans="8:13" ht="13.5" thickBot="1">
      <c r="H1402" s="285"/>
      <c r="I1402" s="6"/>
      <c r="J1402" s="6"/>
      <c r="L1402" s="277"/>
      <c r="M1402" s="275"/>
    </row>
    <row r="1403" spans="8:13" ht="13.5" thickBot="1">
      <c r="H1403" s="285"/>
      <c r="I1403" s="6"/>
      <c r="J1403" s="6"/>
      <c r="L1403" s="277"/>
      <c r="M1403" s="275"/>
    </row>
    <row r="1404" spans="8:13" ht="13.5" thickBot="1">
      <c r="H1404" s="285"/>
      <c r="I1404" s="6"/>
      <c r="J1404" s="6"/>
      <c r="L1404" s="277"/>
      <c r="M1404" s="275"/>
    </row>
    <row r="1405" spans="8:13" ht="13.5" thickBot="1">
      <c r="H1405" s="285"/>
      <c r="I1405" s="6"/>
      <c r="J1405" s="6"/>
      <c r="L1405" s="277"/>
      <c r="M1405" s="275"/>
    </row>
    <row r="1406" spans="8:13" ht="13.5" thickBot="1">
      <c r="H1406" s="285"/>
      <c r="I1406" s="6"/>
      <c r="J1406" s="6"/>
      <c r="L1406" s="277"/>
      <c r="M1406" s="275"/>
    </row>
    <row r="1407" spans="8:13" ht="13.5" thickBot="1">
      <c r="H1407" s="285"/>
      <c r="I1407" s="6"/>
      <c r="J1407" s="6"/>
      <c r="L1407" s="277"/>
      <c r="M1407" s="275"/>
    </row>
    <row r="1408" spans="8:13" ht="13.5" thickBot="1">
      <c r="H1408" s="285"/>
      <c r="I1408" s="6"/>
      <c r="J1408" s="6"/>
      <c r="L1408" s="277"/>
      <c r="M1408" s="275"/>
    </row>
    <row r="1409" spans="8:13" ht="13.5" thickBot="1">
      <c r="H1409" s="285"/>
      <c r="I1409" s="6"/>
      <c r="J1409" s="6"/>
      <c r="L1409" s="277"/>
      <c r="M1409" s="275"/>
    </row>
    <row r="1410" spans="8:13" ht="13.5" thickBot="1">
      <c r="H1410" s="285"/>
      <c r="I1410" s="6"/>
      <c r="J1410" s="6"/>
      <c r="L1410" s="277"/>
      <c r="M1410" s="275"/>
    </row>
    <row r="1411" spans="8:13" ht="13.5" thickBot="1">
      <c r="H1411" s="285"/>
      <c r="I1411" s="6"/>
      <c r="J1411" s="6"/>
      <c r="L1411" s="277"/>
      <c r="M1411" s="275"/>
    </row>
    <row r="1412" spans="8:13" ht="13.5" thickBot="1">
      <c r="H1412" s="285"/>
      <c r="I1412" s="6"/>
      <c r="J1412" s="6"/>
      <c r="L1412" s="277"/>
      <c r="M1412" s="275"/>
    </row>
    <row r="1413" spans="8:13" ht="13.5" thickBot="1">
      <c r="H1413" s="285"/>
      <c r="I1413" s="6"/>
      <c r="J1413" s="6"/>
      <c r="L1413" s="277"/>
      <c r="M1413" s="275"/>
    </row>
    <row r="1414" spans="8:13" ht="13.5" thickBot="1">
      <c r="H1414" s="285"/>
      <c r="I1414" s="6"/>
      <c r="J1414" s="6"/>
      <c r="L1414" s="277"/>
      <c r="M1414" s="275"/>
    </row>
    <row r="1415" spans="8:13" ht="13.5" thickBot="1">
      <c r="H1415" s="285"/>
      <c r="I1415" s="6"/>
      <c r="J1415" s="6"/>
      <c r="L1415" s="277"/>
      <c r="M1415" s="275"/>
    </row>
    <row r="1416" spans="8:13" ht="13.5" thickBot="1">
      <c r="H1416" s="285"/>
      <c r="I1416" s="6"/>
      <c r="J1416" s="6"/>
      <c r="L1416" s="277"/>
      <c r="M1416" s="275"/>
    </row>
    <row r="1417" spans="8:13" ht="13.5" thickBot="1">
      <c r="H1417" s="285"/>
      <c r="I1417" s="6"/>
      <c r="J1417" s="6"/>
      <c r="L1417" s="277"/>
      <c r="M1417" s="275"/>
    </row>
    <row r="1418" spans="8:13" ht="13.5" thickBot="1">
      <c r="H1418" s="285"/>
      <c r="I1418" s="6"/>
      <c r="J1418" s="6"/>
      <c r="L1418" s="277"/>
      <c r="M1418" s="275"/>
    </row>
    <row r="1419" spans="8:13" ht="13.5" thickBot="1">
      <c r="H1419" s="285"/>
      <c r="I1419" s="6"/>
      <c r="J1419" s="6"/>
      <c r="L1419" s="277"/>
      <c r="M1419" s="275"/>
    </row>
    <row r="1420" spans="8:13" ht="13.5" thickBot="1">
      <c r="H1420" s="285"/>
      <c r="I1420" s="6"/>
      <c r="J1420" s="6"/>
      <c r="L1420" s="277"/>
      <c r="M1420" s="275"/>
    </row>
    <row r="1421" spans="8:13" ht="13.5" thickBot="1">
      <c r="H1421" s="285"/>
      <c r="I1421" s="6"/>
      <c r="J1421" s="6"/>
      <c r="L1421" s="277"/>
      <c r="M1421" s="275"/>
    </row>
    <row r="1422" spans="8:13" ht="13.5" thickBot="1">
      <c r="H1422" s="285"/>
      <c r="I1422" s="6"/>
      <c r="J1422" s="6"/>
      <c r="L1422" s="277"/>
      <c r="M1422" s="275"/>
    </row>
    <row r="1423" spans="8:13" ht="13.5" thickBot="1">
      <c r="H1423" s="285"/>
      <c r="I1423" s="6"/>
      <c r="J1423" s="6"/>
      <c r="L1423" s="277"/>
      <c r="M1423" s="275"/>
    </row>
    <row r="1424" spans="8:13" ht="13.5" thickBot="1">
      <c r="H1424" s="285"/>
      <c r="I1424" s="6"/>
      <c r="J1424" s="6"/>
      <c r="L1424" s="277"/>
      <c r="M1424" s="275"/>
    </row>
    <row r="1425" spans="8:13" ht="13.5" thickBot="1">
      <c r="H1425" s="285"/>
      <c r="I1425" s="6"/>
      <c r="J1425" s="6"/>
      <c r="L1425" s="277"/>
      <c r="M1425" s="275"/>
    </row>
    <row r="1426" spans="8:13" ht="13.5" thickBot="1">
      <c r="H1426" s="285"/>
      <c r="I1426" s="6"/>
      <c r="J1426" s="6"/>
      <c r="L1426" s="277"/>
      <c r="M1426" s="275"/>
    </row>
    <row r="1427" spans="8:13" ht="13.5" thickBot="1">
      <c r="H1427" s="285"/>
      <c r="I1427" s="6"/>
      <c r="J1427" s="6"/>
      <c r="L1427" s="277"/>
      <c r="M1427" s="275"/>
    </row>
    <row r="1428" spans="8:13" ht="13.5" thickBot="1">
      <c r="H1428" s="285"/>
      <c r="I1428" s="6"/>
      <c r="J1428" s="6"/>
      <c r="L1428" s="277"/>
      <c r="M1428" s="275"/>
    </row>
    <row r="1429" spans="8:13" ht="13.5" thickBot="1">
      <c r="H1429" s="285"/>
      <c r="I1429" s="6"/>
      <c r="J1429" s="6"/>
      <c r="L1429" s="277"/>
      <c r="M1429" s="275"/>
    </row>
    <row r="1430" spans="8:13" ht="13.5" thickBot="1">
      <c r="H1430" s="285"/>
      <c r="I1430" s="6"/>
      <c r="J1430" s="6"/>
      <c r="L1430" s="277"/>
      <c r="M1430" s="275"/>
    </row>
    <row r="1431" spans="8:13" ht="13.5" thickBot="1">
      <c r="H1431" s="285"/>
      <c r="I1431" s="6"/>
      <c r="J1431" s="6"/>
      <c r="L1431" s="277"/>
      <c r="M1431" s="275"/>
    </row>
    <row r="1432" spans="8:13" ht="13.5" thickBot="1">
      <c r="H1432" s="285"/>
      <c r="I1432" s="6"/>
      <c r="J1432" s="6"/>
      <c r="L1432" s="277"/>
      <c r="M1432" s="275"/>
    </row>
    <row r="1433" spans="8:13" ht="13.5" thickBot="1">
      <c r="H1433" s="285"/>
      <c r="I1433" s="6"/>
      <c r="J1433" s="6"/>
      <c r="L1433" s="277"/>
      <c r="M1433" s="275"/>
    </row>
    <row r="1434" spans="8:13" ht="13.5" thickBot="1">
      <c r="H1434" s="285"/>
      <c r="I1434" s="6"/>
      <c r="J1434" s="6"/>
      <c r="L1434" s="277"/>
      <c r="M1434" s="275"/>
    </row>
    <row r="1435" spans="8:13" ht="13.5" thickBot="1">
      <c r="H1435" s="285"/>
      <c r="I1435" s="6"/>
      <c r="J1435" s="6"/>
      <c r="L1435" s="277"/>
      <c r="M1435" s="275"/>
    </row>
    <row r="1436" spans="8:13" ht="13.5" thickBot="1">
      <c r="H1436" s="285"/>
      <c r="I1436" s="6"/>
      <c r="J1436" s="6"/>
      <c r="L1436" s="277"/>
      <c r="M1436" s="275"/>
    </row>
    <row r="1437" spans="8:13" ht="13.5" thickBot="1">
      <c r="H1437" s="285"/>
      <c r="I1437" s="6"/>
      <c r="J1437" s="6"/>
      <c r="L1437" s="277"/>
      <c r="M1437" s="275"/>
    </row>
    <row r="1438" spans="8:13" ht="13.5" thickBot="1">
      <c r="H1438" s="285"/>
      <c r="I1438" s="6"/>
      <c r="J1438" s="6"/>
      <c r="L1438" s="277"/>
      <c r="M1438" s="275"/>
    </row>
    <row r="1439" spans="8:13" ht="13.5" thickBot="1">
      <c r="H1439" s="285"/>
      <c r="I1439" s="6"/>
      <c r="J1439" s="6"/>
      <c r="L1439" s="277"/>
      <c r="M1439" s="275"/>
    </row>
    <row r="1440" spans="8:13" ht="13.5" thickBot="1">
      <c r="H1440" s="285"/>
      <c r="I1440" s="6"/>
      <c r="J1440" s="6"/>
      <c r="L1440" s="277"/>
      <c r="M1440" s="275"/>
    </row>
    <row r="1441" spans="8:13" ht="13.5" thickBot="1">
      <c r="H1441" s="285"/>
      <c r="I1441" s="6"/>
      <c r="J1441" s="6"/>
      <c r="L1441" s="277"/>
      <c r="M1441" s="275"/>
    </row>
    <row r="1442" spans="8:13" ht="13.5" thickBot="1">
      <c r="H1442" s="285"/>
      <c r="I1442" s="6"/>
      <c r="J1442" s="6"/>
      <c r="L1442" s="277"/>
      <c r="M1442" s="275"/>
    </row>
    <row r="1443" spans="8:13" ht="13.5" thickBot="1">
      <c r="H1443" s="285"/>
      <c r="I1443" s="6"/>
      <c r="J1443" s="6"/>
      <c r="L1443" s="277"/>
      <c r="M1443" s="275"/>
    </row>
    <row r="1444" spans="8:13" ht="13.5" thickBot="1">
      <c r="H1444" s="285"/>
      <c r="I1444" s="6"/>
      <c r="J1444" s="6"/>
      <c r="L1444" s="277"/>
      <c r="M1444" s="275"/>
    </row>
    <row r="1445" spans="8:13" ht="13.5" thickBot="1">
      <c r="H1445" s="285"/>
      <c r="I1445" s="6"/>
      <c r="J1445" s="6"/>
      <c r="L1445" s="277"/>
      <c r="M1445" s="275"/>
    </row>
    <row r="1446" spans="8:13" ht="13.5" thickBot="1">
      <c r="H1446" s="285"/>
      <c r="I1446" s="6"/>
      <c r="J1446" s="6"/>
      <c r="L1446" s="277"/>
      <c r="M1446" s="275"/>
    </row>
    <row r="1447" spans="8:13" ht="13.5" thickBot="1">
      <c r="H1447" s="285"/>
      <c r="I1447" s="6"/>
      <c r="J1447" s="6"/>
      <c r="L1447" s="277"/>
      <c r="M1447" s="275"/>
    </row>
    <row r="1448" spans="8:13" ht="13.5" thickBot="1">
      <c r="H1448" s="285"/>
      <c r="I1448" s="6"/>
      <c r="J1448" s="6"/>
      <c r="L1448" s="277"/>
      <c r="M1448" s="275"/>
    </row>
    <row r="1449" spans="8:13" ht="13.5" thickBot="1">
      <c r="H1449" s="285"/>
      <c r="I1449" s="6"/>
      <c r="J1449" s="6"/>
      <c r="L1449" s="277"/>
      <c r="M1449" s="275"/>
    </row>
    <row r="1450" spans="8:13" ht="13.5" thickBot="1">
      <c r="H1450" s="285"/>
      <c r="I1450" s="6"/>
      <c r="J1450" s="6"/>
      <c r="L1450" s="277"/>
      <c r="M1450" s="275"/>
    </row>
    <row r="1451" spans="8:13" ht="13.5" thickBot="1">
      <c r="H1451" s="285"/>
      <c r="I1451" s="6"/>
      <c r="J1451" s="6"/>
      <c r="L1451" s="277"/>
      <c r="M1451" s="275"/>
    </row>
    <row r="1452" spans="8:13" ht="13.5" thickBot="1">
      <c r="H1452" s="285"/>
      <c r="I1452" s="6"/>
      <c r="J1452" s="6"/>
      <c r="L1452" s="277"/>
      <c r="M1452" s="275"/>
    </row>
    <row r="1453" spans="8:13" ht="13.5" thickBot="1">
      <c r="H1453" s="285"/>
      <c r="I1453" s="6"/>
      <c r="J1453" s="6"/>
      <c r="L1453" s="277"/>
      <c r="M1453" s="275"/>
    </row>
    <row r="1454" spans="8:13" ht="13.5" thickBot="1">
      <c r="H1454" s="285"/>
      <c r="I1454" s="6"/>
      <c r="J1454" s="6"/>
      <c r="L1454" s="277"/>
      <c r="M1454" s="275"/>
    </row>
    <row r="1455" spans="8:13" ht="13.5" thickBot="1">
      <c r="H1455" s="285"/>
      <c r="I1455" s="6"/>
      <c r="J1455" s="6"/>
      <c r="L1455" s="277"/>
      <c r="M1455" s="275"/>
    </row>
    <row r="1456" spans="8:13" ht="13.5" thickBot="1">
      <c r="H1456" s="285"/>
      <c r="I1456" s="6"/>
      <c r="J1456" s="6"/>
      <c r="L1456" s="277"/>
      <c r="M1456" s="275"/>
    </row>
    <row r="1457" spans="8:13" ht="13.5" thickBot="1">
      <c r="H1457" s="285"/>
      <c r="I1457" s="6"/>
      <c r="J1457" s="6"/>
      <c r="L1457" s="277"/>
      <c r="M1457" s="275"/>
    </row>
    <row r="1458" spans="8:13" ht="13.5" thickBot="1">
      <c r="H1458" s="285"/>
      <c r="I1458" s="6"/>
      <c r="J1458" s="6"/>
      <c r="L1458" s="277"/>
      <c r="M1458" s="275"/>
    </row>
    <row r="1459" spans="8:13" ht="13.5" thickBot="1">
      <c r="H1459" s="285"/>
      <c r="I1459" s="6"/>
      <c r="J1459" s="6"/>
      <c r="L1459" s="277"/>
      <c r="M1459" s="275"/>
    </row>
    <row r="1460" spans="8:13" ht="13.5" thickBot="1">
      <c r="H1460" s="285"/>
      <c r="I1460" s="6"/>
      <c r="J1460" s="6"/>
      <c r="L1460" s="277"/>
      <c r="M1460" s="275"/>
    </row>
    <row r="1461" spans="8:13" ht="13.5" thickBot="1">
      <c r="H1461" s="285"/>
      <c r="I1461" s="6"/>
      <c r="J1461" s="6"/>
      <c r="L1461" s="277"/>
      <c r="M1461" s="275"/>
    </row>
    <row r="1462" spans="8:13" ht="13.5" thickBot="1">
      <c r="H1462" s="285"/>
      <c r="I1462" s="6"/>
      <c r="J1462" s="6"/>
      <c r="L1462" s="277"/>
      <c r="M1462" s="275"/>
    </row>
    <row r="1463" spans="8:13" ht="13.5" thickBot="1">
      <c r="H1463" s="285"/>
      <c r="I1463" s="6"/>
      <c r="J1463" s="6"/>
      <c r="L1463" s="277"/>
      <c r="M1463" s="275"/>
    </row>
    <row r="1464" spans="8:13" ht="13.5" thickBot="1">
      <c r="H1464" s="285"/>
      <c r="I1464" s="6"/>
      <c r="J1464" s="6"/>
      <c r="L1464" s="277"/>
      <c r="M1464" s="275"/>
    </row>
    <row r="1465" spans="8:13" ht="13.5" thickBot="1">
      <c r="H1465" s="285"/>
      <c r="I1465" s="6"/>
      <c r="J1465" s="6"/>
      <c r="L1465" s="277"/>
      <c r="M1465" s="275"/>
    </row>
    <row r="1466" spans="8:13" ht="13.5" thickBot="1">
      <c r="H1466" s="285"/>
      <c r="I1466" s="6"/>
      <c r="J1466" s="6"/>
      <c r="L1466" s="277"/>
      <c r="M1466" s="275"/>
    </row>
    <row r="1467" spans="8:13" ht="13.5" thickBot="1">
      <c r="H1467" s="285"/>
      <c r="I1467" s="6"/>
      <c r="J1467" s="6"/>
      <c r="L1467" s="277"/>
      <c r="M1467" s="275"/>
    </row>
    <row r="1468" spans="8:13" ht="13.5" thickBot="1">
      <c r="H1468" s="285"/>
      <c r="I1468" s="6"/>
      <c r="J1468" s="6"/>
      <c r="L1468" s="277"/>
      <c r="M1468" s="275"/>
    </row>
    <row r="1469" spans="8:13" ht="13.5" thickBot="1">
      <c r="H1469" s="285"/>
      <c r="I1469" s="6"/>
      <c r="J1469" s="6"/>
      <c r="L1469" s="277"/>
      <c r="M1469" s="275"/>
    </row>
    <row r="1470" spans="8:13" ht="13.5" thickBot="1">
      <c r="H1470" s="285"/>
      <c r="I1470" s="6"/>
      <c r="J1470" s="6"/>
      <c r="L1470" s="277"/>
      <c r="M1470" s="275"/>
    </row>
    <row r="1471" spans="8:13" ht="13.5" thickBot="1">
      <c r="H1471" s="285"/>
      <c r="I1471" s="6"/>
      <c r="J1471" s="6"/>
      <c r="L1471" s="277"/>
      <c r="M1471" s="275"/>
    </row>
    <row r="1472" spans="8:13" ht="13.5" thickBot="1">
      <c r="H1472" s="285"/>
      <c r="I1472" s="6"/>
      <c r="J1472" s="6"/>
      <c r="L1472" s="277"/>
      <c r="M1472" s="275"/>
    </row>
    <row r="1473" spans="8:13" ht="13.5" thickBot="1">
      <c r="H1473" s="285"/>
      <c r="I1473" s="6"/>
      <c r="J1473" s="6"/>
      <c r="L1473" s="277"/>
      <c r="M1473" s="275"/>
    </row>
    <row r="1474" spans="8:13" ht="13.5" thickBot="1">
      <c r="H1474" s="285"/>
      <c r="I1474" s="6"/>
      <c r="J1474" s="6"/>
      <c r="L1474" s="277"/>
      <c r="M1474" s="275"/>
    </row>
    <row r="1475" spans="8:13" ht="13.5" thickBot="1">
      <c r="H1475" s="285"/>
      <c r="I1475" s="6"/>
      <c r="J1475" s="6"/>
      <c r="L1475" s="277"/>
      <c r="M1475" s="275"/>
    </row>
    <row r="1476" spans="8:13" ht="13.5" thickBot="1">
      <c r="H1476" s="285"/>
      <c r="I1476" s="6"/>
      <c r="J1476" s="6"/>
      <c r="L1476" s="277"/>
      <c r="M1476" s="275"/>
    </row>
    <row r="1477" spans="8:13" ht="13.5" thickBot="1">
      <c r="H1477" s="285"/>
      <c r="I1477" s="6"/>
      <c r="J1477" s="6"/>
      <c r="L1477" s="277"/>
      <c r="M1477" s="275"/>
    </row>
    <row r="1478" spans="8:13" ht="13.5" thickBot="1">
      <c r="H1478" s="285"/>
      <c r="I1478" s="6"/>
      <c r="J1478" s="6"/>
      <c r="L1478" s="277"/>
      <c r="M1478" s="275"/>
    </row>
    <row r="1479" spans="8:13" ht="13.5" thickBot="1">
      <c r="H1479" s="285"/>
      <c r="I1479" s="6"/>
      <c r="J1479" s="6"/>
      <c r="L1479" s="277"/>
      <c r="M1479" s="275"/>
    </row>
    <row r="1480" spans="8:13" ht="13.5" thickBot="1">
      <c r="H1480" s="285"/>
      <c r="I1480" s="6"/>
      <c r="J1480" s="6"/>
      <c r="L1480" s="277"/>
      <c r="M1480" s="275"/>
    </row>
    <row r="1481" spans="8:13" ht="13.5" thickBot="1">
      <c r="H1481" s="285"/>
      <c r="I1481" s="6"/>
      <c r="J1481" s="6"/>
      <c r="L1481" s="277"/>
      <c r="M1481" s="275"/>
    </row>
    <row r="1482" spans="8:13" ht="13.5" thickBot="1">
      <c r="H1482" s="285"/>
      <c r="I1482" s="6"/>
      <c r="J1482" s="6"/>
      <c r="L1482" s="277"/>
      <c r="M1482" s="275"/>
    </row>
    <row r="1483" spans="8:13" ht="13.5" thickBot="1">
      <c r="H1483" s="285"/>
      <c r="I1483" s="6"/>
      <c r="J1483" s="6"/>
      <c r="L1483" s="277"/>
      <c r="M1483" s="275"/>
    </row>
    <row r="1484" spans="8:13" ht="13.5" thickBot="1">
      <c r="H1484" s="285"/>
      <c r="I1484" s="6"/>
      <c r="J1484" s="6"/>
      <c r="L1484" s="277"/>
      <c r="M1484" s="275"/>
    </row>
    <row r="1485" spans="8:13" ht="13.5" thickBot="1">
      <c r="H1485" s="285"/>
      <c r="I1485" s="6"/>
      <c r="J1485" s="6"/>
      <c r="L1485" s="277"/>
      <c r="M1485" s="275"/>
    </row>
    <row r="1486" spans="8:13" ht="13.5" thickBot="1">
      <c r="H1486" s="285"/>
      <c r="I1486" s="6"/>
      <c r="J1486" s="6"/>
      <c r="L1486" s="277"/>
      <c r="M1486" s="275"/>
    </row>
    <row r="1487" spans="8:13" ht="13.5" thickBot="1">
      <c r="H1487" s="285"/>
      <c r="I1487" s="6"/>
      <c r="J1487" s="6"/>
      <c r="L1487" s="277"/>
      <c r="M1487" s="275"/>
    </row>
    <row r="1488" spans="8:13" ht="13.5" thickBot="1">
      <c r="H1488" s="285"/>
      <c r="I1488" s="6"/>
      <c r="J1488" s="6"/>
      <c r="L1488" s="277"/>
      <c r="M1488" s="275"/>
    </row>
    <row r="1489" spans="8:13" ht="13.5" thickBot="1">
      <c r="H1489" s="285"/>
      <c r="I1489" s="6"/>
      <c r="J1489" s="6"/>
      <c r="L1489" s="277"/>
      <c r="M1489" s="275"/>
    </row>
    <row r="1490" spans="8:13" ht="13.5" thickBot="1">
      <c r="H1490" s="285"/>
      <c r="I1490" s="6"/>
      <c r="J1490" s="6"/>
      <c r="L1490" s="277"/>
      <c r="M1490" s="275"/>
    </row>
    <row r="1491" spans="8:13" ht="13.5" thickBot="1">
      <c r="H1491" s="285"/>
      <c r="I1491" s="6"/>
      <c r="J1491" s="6"/>
      <c r="L1491" s="277"/>
      <c r="M1491" s="275"/>
    </row>
    <row r="1492" spans="8:13" ht="13.5" thickBot="1">
      <c r="H1492" s="285"/>
      <c r="I1492" s="6"/>
      <c r="J1492" s="6"/>
      <c r="L1492" s="277"/>
      <c r="M1492" s="275"/>
    </row>
    <row r="1493" spans="8:13" ht="13.5" thickBot="1">
      <c r="H1493" s="285"/>
      <c r="I1493" s="6"/>
      <c r="J1493" s="6"/>
      <c r="L1493" s="277"/>
      <c r="M1493" s="275"/>
    </row>
    <row r="1494" spans="8:13" ht="13.5" thickBot="1">
      <c r="H1494" s="285"/>
      <c r="I1494" s="6"/>
      <c r="J1494" s="6"/>
      <c r="L1494" s="277"/>
      <c r="M1494" s="275"/>
    </row>
    <row r="1495" spans="8:13" ht="13.5" thickBot="1">
      <c r="H1495" s="285"/>
      <c r="I1495" s="6"/>
      <c r="J1495" s="6"/>
      <c r="L1495" s="277"/>
      <c r="M1495" s="275"/>
    </row>
    <row r="1496" spans="8:13" ht="13.5" thickBot="1">
      <c r="H1496" s="285"/>
      <c r="I1496" s="6"/>
      <c r="J1496" s="6"/>
      <c r="L1496" s="277"/>
      <c r="M1496" s="275"/>
    </row>
    <row r="1497" spans="8:13" ht="13.5" thickBot="1">
      <c r="H1497" s="285"/>
      <c r="I1497" s="6"/>
      <c r="J1497" s="6"/>
      <c r="L1497" s="277"/>
      <c r="M1497" s="275"/>
    </row>
    <row r="1498" spans="8:13" ht="13.5" thickBot="1">
      <c r="H1498" s="285"/>
      <c r="I1498" s="6"/>
      <c r="J1498" s="6"/>
      <c r="L1498" s="277"/>
      <c r="M1498" s="275"/>
    </row>
    <row r="1499" spans="8:13" ht="13.5" thickBot="1">
      <c r="H1499" s="285"/>
      <c r="I1499" s="6"/>
      <c r="J1499" s="6"/>
      <c r="L1499" s="277"/>
      <c r="M1499" s="275"/>
    </row>
    <row r="1500" spans="8:13" ht="13.5" thickBot="1">
      <c r="H1500" s="285"/>
      <c r="I1500" s="6"/>
      <c r="J1500" s="6"/>
      <c r="L1500" s="277"/>
      <c r="M1500" s="275"/>
    </row>
    <row r="1501" spans="8:13" ht="13.5" thickBot="1">
      <c r="H1501" s="285"/>
      <c r="I1501" s="6"/>
      <c r="J1501" s="6"/>
      <c r="L1501" s="277"/>
      <c r="M1501" s="275"/>
    </row>
    <row r="1502" spans="8:13" ht="13.5" thickBot="1">
      <c r="H1502" s="285"/>
      <c r="I1502" s="6"/>
      <c r="J1502" s="6"/>
      <c r="L1502" s="277"/>
      <c r="M1502" s="275"/>
    </row>
    <row r="1503" spans="8:13" ht="13.5" thickBot="1">
      <c r="H1503" s="285"/>
      <c r="I1503" s="6"/>
      <c r="J1503" s="6"/>
      <c r="L1503" s="277"/>
      <c r="M1503" s="275"/>
    </row>
    <row r="1504" spans="8:13" ht="13.5" thickBot="1">
      <c r="H1504" s="285"/>
      <c r="I1504" s="6"/>
      <c r="J1504" s="6"/>
      <c r="L1504" s="277"/>
      <c r="M1504" s="275"/>
    </row>
    <row r="1505" spans="8:13" ht="13.5" thickBot="1">
      <c r="H1505" s="285"/>
      <c r="I1505" s="6"/>
      <c r="J1505" s="6"/>
      <c r="L1505" s="277"/>
      <c r="M1505" s="275"/>
    </row>
    <row r="1506" spans="8:13" ht="13.5" thickBot="1">
      <c r="H1506" s="285"/>
      <c r="I1506" s="6"/>
      <c r="J1506" s="6"/>
      <c r="L1506" s="277"/>
      <c r="M1506" s="275"/>
    </row>
    <row r="1507" spans="8:13" ht="13.5" thickBot="1">
      <c r="H1507" s="285"/>
      <c r="I1507" s="6"/>
      <c r="J1507" s="6"/>
      <c r="L1507" s="277"/>
      <c r="M1507" s="275"/>
    </row>
    <row r="1508" spans="8:13" ht="13.5" thickBot="1">
      <c r="H1508" s="285"/>
      <c r="I1508" s="6"/>
      <c r="J1508" s="6"/>
      <c r="L1508" s="277"/>
      <c r="M1508" s="275"/>
    </row>
    <row r="1509" spans="8:13" ht="13.5" thickBot="1">
      <c r="H1509" s="285"/>
      <c r="I1509" s="6"/>
      <c r="J1509" s="6"/>
      <c r="L1509" s="277"/>
      <c r="M1509" s="275"/>
    </row>
    <row r="1510" spans="8:13" ht="13.5" thickBot="1">
      <c r="H1510" s="285"/>
      <c r="I1510" s="6"/>
      <c r="J1510" s="6"/>
      <c r="L1510" s="277"/>
      <c r="M1510" s="275"/>
    </row>
    <row r="1511" spans="8:13" ht="13.5" thickBot="1">
      <c r="H1511" s="285"/>
      <c r="I1511" s="6"/>
      <c r="J1511" s="6"/>
      <c r="L1511" s="277"/>
      <c r="M1511" s="275"/>
    </row>
    <row r="1512" spans="8:13" ht="13.5" thickBot="1">
      <c r="H1512" s="285"/>
      <c r="I1512" s="6"/>
      <c r="J1512" s="6"/>
      <c r="L1512" s="277"/>
      <c r="M1512" s="275"/>
    </row>
    <row r="1513" spans="8:13" ht="13.5" thickBot="1">
      <c r="H1513" s="285"/>
      <c r="I1513" s="6"/>
      <c r="J1513" s="6"/>
      <c r="L1513" s="277"/>
      <c r="M1513" s="275"/>
    </row>
    <row r="1514" spans="8:13" ht="13.5" thickBot="1">
      <c r="H1514" s="285"/>
      <c r="I1514" s="6"/>
      <c r="J1514" s="6"/>
      <c r="L1514" s="277"/>
      <c r="M1514" s="275"/>
    </row>
    <row r="1515" spans="8:13" ht="13.5" thickBot="1">
      <c r="H1515" s="285"/>
      <c r="I1515" s="6"/>
      <c r="J1515" s="6"/>
      <c r="L1515" s="277"/>
      <c r="M1515" s="275"/>
    </row>
    <row r="1516" spans="8:13" ht="13.5" thickBot="1">
      <c r="H1516" s="285"/>
      <c r="I1516" s="6"/>
      <c r="J1516" s="6"/>
      <c r="L1516" s="277"/>
      <c r="M1516" s="275"/>
    </row>
    <row r="1517" spans="8:13" ht="13.5" thickBot="1">
      <c r="H1517" s="285"/>
      <c r="I1517" s="6"/>
      <c r="J1517" s="6"/>
      <c r="L1517" s="277"/>
      <c r="M1517" s="275"/>
    </row>
    <row r="1518" spans="8:13" ht="13.5" thickBot="1">
      <c r="H1518" s="285"/>
      <c r="I1518" s="6"/>
      <c r="J1518" s="6"/>
      <c r="L1518" s="277"/>
      <c r="M1518" s="275"/>
    </row>
    <row r="1519" spans="8:13" ht="13.5" thickBot="1">
      <c r="H1519" s="285"/>
      <c r="I1519" s="6"/>
      <c r="J1519" s="6"/>
      <c r="L1519" s="277"/>
      <c r="M1519" s="275"/>
    </row>
    <row r="1520" spans="8:13" ht="13.5" thickBot="1">
      <c r="H1520" s="285"/>
      <c r="I1520" s="6"/>
      <c r="J1520" s="6"/>
      <c r="L1520" s="277"/>
      <c r="M1520" s="275"/>
    </row>
    <row r="1521" spans="8:13" ht="13.5" thickBot="1">
      <c r="H1521" s="285"/>
      <c r="I1521" s="6"/>
      <c r="J1521" s="6"/>
      <c r="L1521" s="277"/>
      <c r="M1521" s="275"/>
    </row>
    <row r="1522" spans="8:13" ht="13.5" thickBot="1">
      <c r="H1522" s="285"/>
      <c r="I1522" s="6"/>
      <c r="J1522" s="6"/>
      <c r="L1522" s="277"/>
      <c r="M1522" s="275"/>
    </row>
    <row r="1523" spans="8:13" ht="13.5" thickBot="1">
      <c r="H1523" s="285"/>
      <c r="I1523" s="6"/>
      <c r="J1523" s="6"/>
      <c r="L1523" s="277"/>
      <c r="M1523" s="275"/>
    </row>
    <row r="1524" spans="8:13" ht="13.5" thickBot="1">
      <c r="H1524" s="285"/>
      <c r="I1524" s="6"/>
      <c r="J1524" s="6"/>
      <c r="L1524" s="277"/>
      <c r="M1524" s="275"/>
    </row>
    <row r="1525" spans="8:13" ht="13.5" thickBot="1">
      <c r="H1525" s="285"/>
      <c r="I1525" s="6"/>
      <c r="J1525" s="6"/>
      <c r="L1525" s="277"/>
      <c r="M1525" s="275"/>
    </row>
    <row r="1526" spans="8:13" ht="13.5" thickBot="1">
      <c r="H1526" s="285"/>
      <c r="I1526" s="6"/>
      <c r="J1526" s="6"/>
      <c r="L1526" s="277"/>
      <c r="M1526" s="275"/>
    </row>
    <row r="1527" spans="8:13" ht="13.5" thickBot="1">
      <c r="H1527" s="285"/>
      <c r="I1527" s="6"/>
      <c r="J1527" s="6"/>
      <c r="L1527" s="277"/>
      <c r="M1527" s="275"/>
    </row>
    <row r="1528" spans="8:13" ht="13.5" thickBot="1">
      <c r="H1528" s="285"/>
      <c r="I1528" s="6"/>
      <c r="J1528" s="6"/>
      <c r="L1528" s="277"/>
      <c r="M1528" s="275"/>
    </row>
    <row r="1529" spans="8:13" ht="13.5" thickBot="1">
      <c r="H1529" s="285"/>
      <c r="I1529" s="6"/>
      <c r="J1529" s="6"/>
      <c r="L1529" s="277"/>
      <c r="M1529" s="275"/>
    </row>
    <row r="1530" spans="8:13" ht="13.5" thickBot="1">
      <c r="H1530" s="285"/>
      <c r="I1530" s="6"/>
      <c r="J1530" s="6"/>
      <c r="L1530" s="277"/>
      <c r="M1530" s="275"/>
    </row>
    <row r="1531" spans="8:13" ht="13.5" thickBot="1">
      <c r="H1531" s="285"/>
      <c r="I1531" s="6"/>
      <c r="J1531" s="6"/>
      <c r="L1531" s="277"/>
      <c r="M1531" s="275"/>
    </row>
    <row r="1532" spans="8:13" ht="13.5" thickBot="1">
      <c r="H1532" s="285"/>
      <c r="I1532" s="6"/>
      <c r="J1532" s="6"/>
      <c r="L1532" s="277"/>
      <c r="M1532" s="275"/>
    </row>
    <row r="1533" spans="8:13" ht="13.5" thickBot="1">
      <c r="H1533" s="285"/>
      <c r="I1533" s="6"/>
      <c r="J1533" s="6"/>
      <c r="L1533" s="277"/>
      <c r="M1533" s="275"/>
    </row>
    <row r="1534" spans="8:13" ht="13.5" thickBot="1">
      <c r="H1534" s="285"/>
      <c r="I1534" s="6"/>
      <c r="J1534" s="6"/>
      <c r="L1534" s="277"/>
      <c r="M1534" s="275"/>
    </row>
    <row r="1535" spans="8:13" ht="13.5" thickBot="1">
      <c r="H1535" s="285"/>
      <c r="I1535" s="6"/>
      <c r="J1535" s="6"/>
      <c r="L1535" s="277"/>
      <c r="M1535" s="275"/>
    </row>
    <row r="1536" spans="8:13" ht="13.5" thickBot="1">
      <c r="H1536" s="285"/>
      <c r="I1536" s="6"/>
      <c r="J1536" s="6"/>
      <c r="L1536" s="277"/>
      <c r="M1536" s="275"/>
    </row>
    <row r="1537" spans="8:13" ht="13.5" thickBot="1">
      <c r="H1537" s="285"/>
      <c r="I1537" s="6"/>
      <c r="J1537" s="6"/>
      <c r="L1537" s="277"/>
      <c r="M1537" s="275"/>
    </row>
    <row r="1538" spans="8:13" ht="13.5" thickBot="1">
      <c r="H1538" s="285"/>
      <c r="I1538" s="6"/>
      <c r="J1538" s="6"/>
      <c r="L1538" s="277"/>
      <c r="M1538" s="275"/>
    </row>
    <row r="1539" spans="8:13" ht="13.5" thickBot="1">
      <c r="H1539" s="285"/>
      <c r="I1539" s="6"/>
      <c r="J1539" s="6"/>
      <c r="L1539" s="277"/>
      <c r="M1539" s="275"/>
    </row>
    <row r="1540" spans="8:13" ht="13.5" thickBot="1">
      <c r="H1540" s="285"/>
      <c r="I1540" s="6"/>
      <c r="J1540" s="6"/>
      <c r="L1540" s="277"/>
      <c r="M1540" s="275"/>
    </row>
    <row r="1541" spans="8:13" ht="13.5" thickBot="1">
      <c r="H1541" s="285"/>
      <c r="I1541" s="6"/>
      <c r="J1541" s="6"/>
      <c r="L1541" s="277"/>
      <c r="M1541" s="275"/>
    </row>
    <row r="1542" spans="8:13" ht="13.5" thickBot="1">
      <c r="H1542" s="285"/>
      <c r="I1542" s="6"/>
      <c r="J1542" s="6"/>
      <c r="L1542" s="277"/>
      <c r="M1542" s="275"/>
    </row>
    <row r="1543" spans="8:13" ht="13.5" thickBot="1">
      <c r="H1543" s="285"/>
      <c r="I1543" s="6"/>
      <c r="J1543" s="6"/>
      <c r="L1543" s="277"/>
      <c r="M1543" s="275"/>
    </row>
    <row r="1544" spans="8:13" ht="13.5" thickBot="1">
      <c r="H1544" s="285"/>
      <c r="I1544" s="6"/>
      <c r="J1544" s="6"/>
      <c r="L1544" s="277"/>
      <c r="M1544" s="275"/>
    </row>
    <row r="1545" spans="8:13" ht="13.5" thickBot="1">
      <c r="H1545" s="285"/>
      <c r="I1545" s="6"/>
      <c r="J1545" s="6"/>
      <c r="L1545" s="277"/>
      <c r="M1545" s="275"/>
    </row>
    <row r="1546" spans="8:13" ht="13.5" thickBot="1">
      <c r="H1546" s="285"/>
      <c r="I1546" s="6"/>
      <c r="J1546" s="6"/>
      <c r="L1546" s="277"/>
      <c r="M1546" s="275"/>
    </row>
    <row r="1547" spans="8:13" ht="13.5" thickBot="1">
      <c r="H1547" s="285"/>
      <c r="I1547" s="6"/>
      <c r="J1547" s="6"/>
      <c r="L1547" s="277"/>
      <c r="M1547" s="275"/>
    </row>
    <row r="1548" spans="8:13" ht="13.5" thickBot="1">
      <c r="H1548" s="285"/>
      <c r="I1548" s="6"/>
      <c r="J1548" s="6"/>
      <c r="L1548" s="277"/>
      <c r="M1548" s="275"/>
    </row>
    <row r="1549" spans="8:13" ht="13.5" thickBot="1">
      <c r="H1549" s="285"/>
      <c r="I1549" s="6"/>
      <c r="J1549" s="6"/>
      <c r="L1549" s="277"/>
      <c r="M1549" s="275"/>
    </row>
    <row r="1550" spans="8:13" ht="13.5" thickBot="1">
      <c r="H1550" s="285"/>
      <c r="I1550" s="6"/>
      <c r="J1550" s="6"/>
      <c r="L1550" s="277"/>
      <c r="M1550" s="275"/>
    </row>
    <row r="1551" spans="8:13" ht="13.5" thickBot="1">
      <c r="H1551" s="285"/>
      <c r="I1551" s="6"/>
      <c r="J1551" s="6"/>
      <c r="L1551" s="277"/>
      <c r="M1551" s="275"/>
    </row>
    <row r="1552" spans="8:13" ht="13.5" thickBot="1">
      <c r="H1552" s="285"/>
      <c r="I1552" s="6"/>
      <c r="J1552" s="6"/>
      <c r="L1552" s="277"/>
      <c r="M1552" s="275"/>
    </row>
    <row r="1553" spans="8:13" ht="13.5" thickBot="1">
      <c r="H1553" s="285"/>
      <c r="I1553" s="6"/>
      <c r="J1553" s="6"/>
      <c r="L1553" s="277"/>
      <c r="M1553" s="275"/>
    </row>
    <row r="1554" spans="8:13" ht="13.5" thickBot="1">
      <c r="H1554" s="285"/>
      <c r="I1554" s="6"/>
      <c r="J1554" s="6"/>
      <c r="L1554" s="277"/>
      <c r="M1554" s="275"/>
    </row>
    <row r="1555" spans="8:13" ht="13.5" thickBot="1">
      <c r="H1555" s="285"/>
      <c r="I1555" s="6"/>
      <c r="J1555" s="6"/>
      <c r="L1555" s="277"/>
      <c r="M1555" s="275"/>
    </row>
    <row r="1556" spans="8:13" ht="13.5" thickBot="1">
      <c r="H1556" s="285"/>
      <c r="I1556" s="6"/>
      <c r="J1556" s="6"/>
      <c r="L1556" s="277"/>
      <c r="M1556" s="275"/>
    </row>
    <row r="1557" spans="8:13" ht="13.5" thickBot="1">
      <c r="H1557" s="285"/>
      <c r="I1557" s="6"/>
      <c r="J1557" s="6"/>
      <c r="L1557" s="277"/>
      <c r="M1557" s="275"/>
    </row>
    <row r="1558" spans="8:13" ht="13.5" thickBot="1">
      <c r="H1558" s="285"/>
      <c r="I1558" s="6"/>
      <c r="J1558" s="6"/>
      <c r="L1558" s="277"/>
      <c r="M1558" s="275"/>
    </row>
    <row r="1559" spans="8:13" ht="13.5" thickBot="1">
      <c r="H1559" s="285"/>
      <c r="I1559" s="6"/>
      <c r="J1559" s="6"/>
      <c r="L1559" s="277"/>
      <c r="M1559" s="275"/>
    </row>
    <row r="1560" spans="8:13" ht="13.5" thickBot="1">
      <c r="H1560" s="285"/>
      <c r="I1560" s="6"/>
      <c r="J1560" s="6"/>
      <c r="L1560" s="277"/>
      <c r="M1560" s="275"/>
    </row>
    <row r="1561" spans="8:13" ht="13.5" thickBot="1">
      <c r="H1561" s="285"/>
      <c r="I1561" s="6"/>
      <c r="J1561" s="6"/>
      <c r="L1561" s="277"/>
      <c r="M1561" s="275"/>
    </row>
    <row r="1562" spans="8:13" ht="13.5" thickBot="1">
      <c r="H1562" s="285"/>
      <c r="I1562" s="6"/>
      <c r="J1562" s="6"/>
      <c r="L1562" s="277"/>
      <c r="M1562" s="275"/>
    </row>
    <row r="1563" spans="8:13" ht="13.5" thickBot="1">
      <c r="H1563" s="285"/>
      <c r="I1563" s="6"/>
      <c r="J1563" s="6"/>
      <c r="L1563" s="277"/>
      <c r="M1563" s="275"/>
    </row>
    <row r="1564" spans="8:13" ht="13.5" thickBot="1">
      <c r="H1564" s="285"/>
      <c r="I1564" s="6"/>
      <c r="J1564" s="6"/>
      <c r="L1564" s="277"/>
      <c r="M1564" s="275"/>
    </row>
    <row r="1565" spans="8:13" ht="13.5" thickBot="1">
      <c r="H1565" s="285"/>
      <c r="I1565" s="6"/>
      <c r="J1565" s="6"/>
      <c r="L1565" s="277"/>
      <c r="M1565" s="275"/>
    </row>
    <row r="1566" spans="8:13" ht="13.5" thickBot="1">
      <c r="H1566" s="285"/>
      <c r="I1566" s="6"/>
      <c r="J1566" s="6"/>
      <c r="L1566" s="277"/>
      <c r="M1566" s="275"/>
    </row>
    <row r="1567" spans="8:13" ht="13.5" thickBot="1">
      <c r="H1567" s="285"/>
      <c r="I1567" s="6"/>
      <c r="J1567" s="6"/>
      <c r="L1567" s="277"/>
      <c r="M1567" s="275"/>
    </row>
    <row r="1568" spans="8:13" ht="13.5" thickBot="1">
      <c r="H1568" s="285"/>
      <c r="I1568" s="6"/>
      <c r="J1568" s="6"/>
      <c r="L1568" s="277"/>
      <c r="M1568" s="275"/>
    </row>
    <row r="1569" spans="8:13" ht="13.5" thickBot="1">
      <c r="H1569" s="285"/>
      <c r="I1569" s="6"/>
      <c r="J1569" s="6"/>
      <c r="L1569" s="277"/>
      <c r="M1569" s="275"/>
    </row>
    <row r="1570" spans="8:13" ht="13.5" thickBot="1">
      <c r="H1570" s="285"/>
      <c r="I1570" s="6"/>
      <c r="J1570" s="6"/>
      <c r="L1570" s="277"/>
      <c r="M1570" s="275"/>
    </row>
    <row r="1571" spans="8:13" ht="13.5" thickBot="1">
      <c r="H1571" s="285"/>
      <c r="I1571" s="6"/>
      <c r="J1571" s="6"/>
      <c r="L1571" s="277"/>
      <c r="M1571" s="275"/>
    </row>
    <row r="1572" spans="8:13" ht="13.5" thickBot="1">
      <c r="H1572" s="285"/>
      <c r="I1572" s="6"/>
      <c r="J1572" s="6"/>
      <c r="L1572" s="277"/>
      <c r="M1572" s="275"/>
    </row>
    <row r="1573" spans="8:13" ht="13.5" thickBot="1">
      <c r="H1573" s="285"/>
      <c r="I1573" s="6"/>
      <c r="J1573" s="6"/>
      <c r="L1573" s="277"/>
      <c r="M1573" s="275"/>
    </row>
    <row r="1574" spans="8:13" ht="13.5" thickBot="1">
      <c r="H1574" s="285"/>
      <c r="I1574" s="6"/>
      <c r="J1574" s="6"/>
      <c r="L1574" s="277"/>
      <c r="M1574" s="275"/>
    </row>
    <row r="1575" spans="8:13" ht="13.5" thickBot="1">
      <c r="H1575" s="285"/>
      <c r="I1575" s="6"/>
      <c r="J1575" s="6"/>
      <c r="L1575" s="277"/>
      <c r="M1575" s="275"/>
    </row>
    <row r="1576" spans="8:13" ht="13.5" thickBot="1">
      <c r="H1576" s="285"/>
      <c r="I1576" s="6"/>
      <c r="J1576" s="6"/>
      <c r="L1576" s="277"/>
      <c r="M1576" s="275"/>
    </row>
    <row r="1577" spans="8:13" ht="13.5" thickBot="1">
      <c r="H1577" s="285"/>
      <c r="I1577" s="6"/>
      <c r="J1577" s="6"/>
      <c r="L1577" s="277"/>
      <c r="M1577" s="275"/>
    </row>
    <row r="1578" spans="8:13" ht="13.5" thickBot="1">
      <c r="H1578" s="285"/>
      <c r="I1578" s="6"/>
      <c r="J1578" s="6"/>
      <c r="L1578" s="277"/>
      <c r="M1578" s="275"/>
    </row>
    <row r="1579" spans="8:13" ht="13.5" thickBot="1">
      <c r="H1579" s="285"/>
      <c r="I1579" s="6"/>
      <c r="J1579" s="6"/>
      <c r="L1579" s="277"/>
      <c r="M1579" s="275"/>
    </row>
    <row r="1580" spans="8:13" ht="13.5" thickBot="1">
      <c r="H1580" s="285"/>
      <c r="I1580" s="6"/>
      <c r="J1580" s="6"/>
      <c r="L1580" s="277"/>
      <c r="M1580" s="275"/>
    </row>
    <row r="1581" spans="8:13" ht="13.5" thickBot="1">
      <c r="H1581" s="285"/>
      <c r="I1581" s="6"/>
      <c r="J1581" s="6"/>
      <c r="L1581" s="277"/>
      <c r="M1581" s="275"/>
    </row>
    <row r="1582" spans="8:13" ht="13.5" thickBot="1">
      <c r="H1582" s="285"/>
      <c r="I1582" s="6"/>
      <c r="J1582" s="6"/>
      <c r="L1582" s="277"/>
      <c r="M1582" s="275"/>
    </row>
    <row r="1583" spans="8:13" ht="13.5" thickBot="1">
      <c r="H1583" s="285"/>
      <c r="I1583" s="6"/>
      <c r="J1583" s="6"/>
      <c r="L1583" s="277"/>
      <c r="M1583" s="275"/>
    </row>
    <row r="1584" spans="8:13" ht="13.5" thickBot="1">
      <c r="H1584" s="285"/>
      <c r="I1584" s="6"/>
      <c r="J1584" s="6"/>
      <c r="L1584" s="277"/>
      <c r="M1584" s="275"/>
    </row>
    <row r="1585" spans="8:13" ht="13.5" thickBot="1">
      <c r="H1585" s="285"/>
      <c r="I1585" s="6"/>
      <c r="J1585" s="6"/>
      <c r="L1585" s="277"/>
      <c r="M1585" s="275"/>
    </row>
    <row r="1586" spans="8:13" ht="13.5" thickBot="1">
      <c r="H1586" s="285"/>
      <c r="I1586" s="6"/>
      <c r="J1586" s="6"/>
      <c r="L1586" s="277"/>
      <c r="M1586" s="275"/>
    </row>
    <row r="1587" spans="8:13" ht="13.5" thickBot="1">
      <c r="H1587" s="285"/>
      <c r="I1587" s="6"/>
      <c r="J1587" s="6"/>
      <c r="L1587" s="277"/>
      <c r="M1587" s="275"/>
    </row>
    <row r="1588" spans="8:13" ht="13.5" thickBot="1">
      <c r="H1588" s="285"/>
      <c r="I1588" s="6"/>
      <c r="J1588" s="6"/>
      <c r="L1588" s="277"/>
      <c r="M1588" s="275"/>
    </row>
    <row r="1589" spans="8:13" ht="13.5" thickBot="1">
      <c r="H1589" s="285"/>
      <c r="I1589" s="6"/>
      <c r="J1589" s="6"/>
      <c r="L1589" s="277"/>
      <c r="M1589" s="275"/>
    </row>
    <row r="1590" spans="8:13" ht="13.5" thickBot="1">
      <c r="H1590" s="285"/>
      <c r="I1590" s="6"/>
      <c r="J1590" s="6"/>
      <c r="L1590" s="277"/>
      <c r="M1590" s="275"/>
    </row>
    <row r="1591" spans="8:13" ht="13.5" thickBot="1">
      <c r="H1591" s="285"/>
      <c r="I1591" s="6"/>
      <c r="J1591" s="6"/>
      <c r="L1591" s="277"/>
      <c r="M1591" s="275"/>
    </row>
    <row r="1592" spans="8:13" ht="13.5" thickBot="1">
      <c r="H1592" s="285"/>
      <c r="I1592" s="6"/>
      <c r="J1592" s="6"/>
      <c r="L1592" s="277"/>
      <c r="M1592" s="275"/>
    </row>
    <row r="1593" spans="8:13" ht="13.5" thickBot="1">
      <c r="H1593" s="285"/>
      <c r="I1593" s="6"/>
      <c r="J1593" s="6"/>
      <c r="L1593" s="277"/>
      <c r="M1593" s="275"/>
    </row>
    <row r="1594" spans="8:13" ht="13.5" thickBot="1">
      <c r="H1594" s="285"/>
      <c r="I1594" s="6"/>
      <c r="J1594" s="6"/>
      <c r="L1594" s="277"/>
      <c r="M1594" s="275"/>
    </row>
    <row r="1595" spans="8:13" ht="13.5" thickBot="1">
      <c r="H1595" s="285"/>
      <c r="I1595" s="6"/>
      <c r="J1595" s="6"/>
      <c r="L1595" s="277"/>
      <c r="M1595" s="275"/>
    </row>
    <row r="1596" spans="8:13" ht="13.5" thickBot="1">
      <c r="H1596" s="285"/>
      <c r="I1596" s="6"/>
      <c r="J1596" s="6"/>
      <c r="L1596" s="277"/>
      <c r="M1596" s="275"/>
    </row>
    <row r="1597" spans="8:13" ht="13.5" thickBot="1">
      <c r="H1597" s="285"/>
      <c r="I1597" s="6"/>
      <c r="J1597" s="6"/>
      <c r="L1597" s="277"/>
      <c r="M1597" s="275"/>
    </row>
    <row r="1598" spans="8:13" ht="13.5" thickBot="1">
      <c r="H1598" s="285"/>
      <c r="I1598" s="6"/>
      <c r="J1598" s="6"/>
      <c r="L1598" s="277"/>
      <c r="M1598" s="275"/>
    </row>
    <row r="1599" spans="8:13" ht="13.5" thickBot="1">
      <c r="H1599" s="285"/>
      <c r="I1599" s="6"/>
      <c r="J1599" s="6"/>
      <c r="L1599" s="277"/>
      <c r="M1599" s="275"/>
    </row>
    <row r="1600" spans="8:13" ht="13.5" thickBot="1">
      <c r="H1600" s="285"/>
      <c r="I1600" s="6"/>
      <c r="J1600" s="6"/>
      <c r="L1600" s="277"/>
      <c r="M1600" s="275"/>
    </row>
    <row r="1601" spans="8:13" ht="13.5" thickBot="1">
      <c r="H1601" s="285"/>
      <c r="I1601" s="6"/>
      <c r="J1601" s="6"/>
      <c r="L1601" s="277"/>
      <c r="M1601" s="275"/>
    </row>
    <row r="1602" spans="8:13" ht="13.5" thickBot="1">
      <c r="H1602" s="285"/>
      <c r="I1602" s="6"/>
      <c r="J1602" s="6"/>
      <c r="L1602" s="277"/>
      <c r="M1602" s="275"/>
    </row>
    <row r="1603" spans="8:13" ht="13.5" thickBot="1">
      <c r="H1603" s="285"/>
      <c r="I1603" s="6"/>
      <c r="J1603" s="6"/>
      <c r="L1603" s="277"/>
      <c r="M1603" s="275"/>
    </row>
    <row r="1604" spans="8:13" ht="13.5" thickBot="1">
      <c r="H1604" s="285"/>
      <c r="I1604" s="6"/>
      <c r="J1604" s="6"/>
      <c r="L1604" s="277"/>
      <c r="M1604" s="275"/>
    </row>
    <row r="1605" spans="8:13" ht="13.5" thickBot="1">
      <c r="H1605" s="285"/>
      <c r="I1605" s="6"/>
      <c r="J1605" s="6"/>
      <c r="L1605" s="277"/>
      <c r="M1605" s="275"/>
    </row>
    <row r="1606" spans="8:13" ht="13.5" thickBot="1">
      <c r="H1606" s="285"/>
      <c r="I1606" s="6"/>
      <c r="J1606" s="6"/>
      <c r="L1606" s="277"/>
      <c r="M1606" s="275"/>
    </row>
    <row r="1607" spans="8:13" ht="13.5" thickBot="1">
      <c r="H1607" s="285"/>
      <c r="I1607" s="6"/>
      <c r="J1607" s="6"/>
      <c r="L1607" s="277"/>
      <c r="M1607" s="275"/>
    </row>
    <row r="1608" spans="8:13" ht="13.5" thickBot="1">
      <c r="H1608" s="285"/>
      <c r="I1608" s="6"/>
      <c r="J1608" s="6"/>
      <c r="L1608" s="277"/>
      <c r="M1608" s="275"/>
    </row>
    <row r="1609" spans="8:13" ht="13.5" thickBot="1">
      <c r="H1609" s="285"/>
      <c r="I1609" s="6"/>
      <c r="J1609" s="6"/>
      <c r="L1609" s="277"/>
      <c r="M1609" s="275"/>
    </row>
    <row r="1610" spans="8:13" ht="13.5" thickBot="1">
      <c r="H1610" s="285"/>
      <c r="I1610" s="6"/>
      <c r="J1610" s="6"/>
      <c r="L1610" s="277"/>
      <c r="M1610" s="275"/>
    </row>
    <row r="1611" spans="8:13" ht="13.5" thickBot="1">
      <c r="H1611" s="285"/>
      <c r="I1611" s="6"/>
      <c r="J1611" s="6"/>
      <c r="L1611" s="277"/>
      <c r="M1611" s="275"/>
    </row>
    <row r="1612" spans="8:13" ht="13.5" thickBot="1">
      <c r="H1612" s="285"/>
      <c r="I1612" s="6"/>
      <c r="J1612" s="6"/>
      <c r="L1612" s="277"/>
      <c r="M1612" s="275"/>
    </row>
    <row r="1613" spans="8:13" ht="13.5" thickBot="1">
      <c r="H1613" s="285"/>
      <c r="I1613" s="6"/>
      <c r="J1613" s="6"/>
      <c r="L1613" s="277"/>
      <c r="M1613" s="275"/>
    </row>
    <row r="1614" spans="8:13" ht="13.5" thickBot="1">
      <c r="H1614" s="285"/>
      <c r="I1614" s="6"/>
      <c r="J1614" s="6"/>
      <c r="L1614" s="277"/>
      <c r="M1614" s="275"/>
    </row>
    <row r="1615" spans="8:13" ht="13.5" thickBot="1">
      <c r="H1615" s="285"/>
      <c r="I1615" s="6"/>
      <c r="J1615" s="6"/>
      <c r="L1615" s="277"/>
      <c r="M1615" s="275"/>
    </row>
    <row r="1616" spans="8:13" ht="13.5" thickBot="1">
      <c r="H1616" s="285"/>
      <c r="I1616" s="6"/>
      <c r="J1616" s="6"/>
      <c r="L1616" s="277"/>
      <c r="M1616" s="275"/>
    </row>
    <row r="1617" spans="8:13" ht="13.5" thickBot="1">
      <c r="H1617" s="285"/>
      <c r="I1617" s="6"/>
      <c r="J1617" s="6"/>
      <c r="L1617" s="277"/>
      <c r="M1617" s="275"/>
    </row>
    <row r="1618" spans="8:13" ht="13.5" thickBot="1">
      <c r="H1618" s="285"/>
      <c r="I1618" s="6"/>
      <c r="J1618" s="6"/>
      <c r="L1618" s="277"/>
      <c r="M1618" s="275"/>
    </row>
    <row r="1619" spans="8:13" ht="13.5" thickBot="1">
      <c r="H1619" s="285"/>
      <c r="I1619" s="6"/>
      <c r="J1619" s="6"/>
      <c r="L1619" s="277"/>
      <c r="M1619" s="275"/>
    </row>
    <row r="1620" spans="8:13" ht="13.5" thickBot="1">
      <c r="H1620" s="285"/>
      <c r="I1620" s="6"/>
      <c r="J1620" s="6"/>
      <c r="L1620" s="277"/>
      <c r="M1620" s="275"/>
    </row>
    <row r="1621" spans="8:13" ht="13.5" thickBot="1">
      <c r="H1621" s="285"/>
      <c r="I1621" s="6"/>
      <c r="J1621" s="6"/>
      <c r="L1621" s="277"/>
      <c r="M1621" s="275"/>
    </row>
    <row r="1622" spans="8:13" ht="13.5" thickBot="1">
      <c r="H1622" s="285"/>
      <c r="I1622" s="6"/>
      <c r="J1622" s="6"/>
      <c r="L1622" s="277"/>
      <c r="M1622" s="275"/>
    </row>
    <row r="1623" spans="8:13" ht="13.5" thickBot="1">
      <c r="H1623" s="285"/>
      <c r="I1623" s="6"/>
      <c r="J1623" s="6"/>
      <c r="L1623" s="277"/>
      <c r="M1623" s="275"/>
    </row>
    <row r="1624" spans="8:13" ht="13.5" thickBot="1">
      <c r="H1624" s="285"/>
      <c r="I1624" s="6"/>
      <c r="J1624" s="6"/>
      <c r="L1624" s="277"/>
      <c r="M1624" s="275"/>
    </row>
    <row r="1625" spans="8:13" ht="13.5" thickBot="1">
      <c r="H1625" s="285"/>
      <c r="I1625" s="6"/>
      <c r="J1625" s="6"/>
      <c r="L1625" s="277"/>
      <c r="M1625" s="275"/>
    </row>
    <row r="1626" spans="8:13" ht="13.5" thickBot="1">
      <c r="H1626" s="285"/>
      <c r="I1626" s="6"/>
      <c r="J1626" s="6"/>
      <c r="L1626" s="277"/>
      <c r="M1626" s="275"/>
    </row>
    <row r="1627" spans="8:13" ht="13.5" thickBot="1">
      <c r="H1627" s="285"/>
      <c r="I1627" s="6"/>
      <c r="J1627" s="6"/>
      <c r="L1627" s="277"/>
      <c r="M1627" s="275"/>
    </row>
    <row r="1628" spans="8:13" ht="13.5" thickBot="1">
      <c r="H1628" s="285"/>
      <c r="I1628" s="6"/>
      <c r="J1628" s="6"/>
      <c r="L1628" s="277"/>
      <c r="M1628" s="275"/>
    </row>
    <row r="1629" spans="8:13" ht="13.5" thickBot="1">
      <c r="H1629" s="285"/>
      <c r="I1629" s="6"/>
      <c r="J1629" s="6"/>
      <c r="L1629" s="277"/>
      <c r="M1629" s="275"/>
    </row>
    <row r="1630" spans="8:13" ht="13.5" thickBot="1">
      <c r="H1630" s="285"/>
      <c r="I1630" s="6"/>
      <c r="J1630" s="6"/>
      <c r="L1630" s="277"/>
      <c r="M1630" s="275"/>
    </row>
    <row r="1631" spans="8:13" ht="13.5" thickBot="1">
      <c r="H1631" s="285"/>
      <c r="I1631" s="6"/>
      <c r="J1631" s="6"/>
      <c r="L1631" s="277"/>
      <c r="M1631" s="275"/>
    </row>
    <row r="1632" spans="8:13" ht="13.5" thickBot="1">
      <c r="H1632" s="285"/>
      <c r="I1632" s="6"/>
      <c r="J1632" s="6"/>
      <c r="L1632" s="277"/>
      <c r="M1632" s="275"/>
    </row>
    <row r="1633" spans="8:13" ht="13.5" thickBot="1">
      <c r="H1633" s="285"/>
      <c r="I1633" s="6"/>
      <c r="J1633" s="6"/>
      <c r="L1633" s="277"/>
      <c r="M1633" s="275"/>
    </row>
    <row r="1634" spans="8:13" ht="13.5" thickBot="1">
      <c r="H1634" s="285"/>
      <c r="I1634" s="6"/>
      <c r="J1634" s="6"/>
      <c r="L1634" s="277"/>
      <c r="M1634" s="275"/>
    </row>
    <row r="1635" spans="8:13" ht="13.5" thickBot="1">
      <c r="H1635" s="285"/>
      <c r="I1635" s="6"/>
      <c r="J1635" s="6"/>
      <c r="L1635" s="277"/>
      <c r="M1635" s="275"/>
    </row>
    <row r="1636" spans="8:13" ht="13.5" thickBot="1">
      <c r="H1636" s="285"/>
      <c r="I1636" s="6"/>
      <c r="J1636" s="6"/>
      <c r="L1636" s="277"/>
      <c r="M1636" s="275"/>
    </row>
    <row r="1637" spans="8:13" ht="13.5" thickBot="1">
      <c r="H1637" s="285"/>
      <c r="I1637" s="6"/>
      <c r="J1637" s="6"/>
      <c r="L1637" s="277"/>
      <c r="M1637" s="275"/>
    </row>
    <row r="1638" spans="8:13" ht="13.5" thickBot="1">
      <c r="H1638" s="285"/>
      <c r="I1638" s="6"/>
      <c r="J1638" s="6"/>
      <c r="L1638" s="277"/>
      <c r="M1638" s="275"/>
    </row>
    <row r="1639" spans="8:13" ht="13.5" thickBot="1">
      <c r="H1639" s="285"/>
      <c r="I1639" s="6"/>
      <c r="J1639" s="6"/>
      <c r="L1639" s="277"/>
      <c r="M1639" s="275"/>
    </row>
    <row r="1640" spans="8:13" ht="13.5" thickBot="1">
      <c r="H1640" s="285"/>
      <c r="I1640" s="6"/>
      <c r="J1640" s="6"/>
      <c r="L1640" s="277"/>
      <c r="M1640" s="275"/>
    </row>
    <row r="1641" spans="8:13" ht="13.5" thickBot="1">
      <c r="H1641" s="285"/>
      <c r="I1641" s="6"/>
      <c r="J1641" s="6"/>
      <c r="L1641" s="277"/>
      <c r="M1641" s="275"/>
    </row>
    <row r="1642" spans="8:13" ht="13.5" thickBot="1">
      <c r="H1642" s="285"/>
      <c r="I1642" s="6"/>
      <c r="J1642" s="6"/>
      <c r="L1642" s="277"/>
      <c r="M1642" s="275"/>
    </row>
    <row r="1643" spans="8:13" ht="13.5" thickBot="1">
      <c r="H1643" s="285"/>
      <c r="I1643" s="6"/>
      <c r="J1643" s="6"/>
      <c r="L1643" s="277"/>
      <c r="M1643" s="275"/>
    </row>
    <row r="1644" spans="8:13" ht="13.5" thickBot="1">
      <c r="H1644" s="285"/>
      <c r="I1644" s="6"/>
      <c r="J1644" s="6"/>
      <c r="L1644" s="277"/>
      <c r="M1644" s="275"/>
    </row>
    <row r="1645" spans="8:13" ht="13.5" thickBot="1">
      <c r="H1645" s="285"/>
      <c r="I1645" s="6"/>
      <c r="J1645" s="6"/>
      <c r="L1645" s="277"/>
      <c r="M1645" s="275"/>
    </row>
    <row r="1646" spans="8:13" ht="13.5" thickBot="1">
      <c r="H1646" s="285"/>
      <c r="I1646" s="6"/>
      <c r="J1646" s="6"/>
      <c r="L1646" s="277"/>
      <c r="M1646" s="275"/>
    </row>
    <row r="1647" spans="8:13" ht="13.5" thickBot="1">
      <c r="H1647" s="285"/>
      <c r="I1647" s="6"/>
      <c r="J1647" s="6"/>
      <c r="L1647" s="277"/>
      <c r="M1647" s="275"/>
    </row>
    <row r="1648" spans="8:13" ht="13.5" thickBot="1">
      <c r="H1648" s="285"/>
      <c r="I1648" s="6"/>
      <c r="J1648" s="6"/>
      <c r="L1648" s="277"/>
      <c r="M1648" s="275"/>
    </row>
    <row r="1649" spans="8:13" ht="13.5" thickBot="1">
      <c r="H1649" s="285"/>
      <c r="I1649" s="6"/>
      <c r="J1649" s="6"/>
      <c r="L1649" s="277"/>
      <c r="M1649" s="275"/>
    </row>
    <row r="1650" spans="8:13" ht="13.5" thickBot="1">
      <c r="H1650" s="285"/>
      <c r="I1650" s="6"/>
      <c r="J1650" s="6"/>
      <c r="L1650" s="277"/>
      <c r="M1650" s="275"/>
    </row>
    <row r="1651" spans="8:13" ht="13.5" thickBot="1">
      <c r="H1651" s="285"/>
      <c r="I1651" s="6"/>
      <c r="J1651" s="6"/>
      <c r="L1651" s="277"/>
      <c r="M1651" s="275"/>
    </row>
    <row r="1652" spans="8:13" ht="13.5" thickBot="1">
      <c r="H1652" s="285"/>
      <c r="I1652" s="6"/>
      <c r="J1652" s="6"/>
      <c r="L1652" s="277"/>
      <c r="M1652" s="275"/>
    </row>
    <row r="1653" spans="8:13" ht="13.5" thickBot="1">
      <c r="H1653" s="285"/>
      <c r="I1653" s="6"/>
      <c r="J1653" s="6"/>
      <c r="L1653" s="277"/>
      <c r="M1653" s="275"/>
    </row>
    <row r="1654" spans="8:13" ht="13.5" thickBot="1">
      <c r="H1654" s="285"/>
      <c r="I1654" s="6"/>
      <c r="J1654" s="6"/>
      <c r="L1654" s="277"/>
      <c r="M1654" s="275"/>
    </row>
    <row r="1655" spans="8:13" ht="13.5" thickBot="1">
      <c r="H1655" s="285"/>
      <c r="I1655" s="6"/>
      <c r="J1655" s="6"/>
      <c r="L1655" s="277"/>
      <c r="M1655" s="275"/>
    </row>
    <row r="1656" spans="8:13" ht="13.5" thickBot="1">
      <c r="H1656" s="285"/>
      <c r="I1656" s="6"/>
      <c r="J1656" s="6"/>
      <c r="L1656" s="277"/>
      <c r="M1656" s="275"/>
    </row>
    <row r="1657" spans="8:13" ht="13.5" thickBot="1">
      <c r="H1657" s="285"/>
      <c r="I1657" s="6"/>
      <c r="J1657" s="6"/>
      <c r="L1657" s="277"/>
      <c r="M1657" s="275"/>
    </row>
    <row r="1658" spans="8:13" ht="13.5" thickBot="1">
      <c r="H1658" s="285"/>
      <c r="I1658" s="6"/>
      <c r="J1658" s="6"/>
      <c r="L1658" s="277"/>
      <c r="M1658" s="275"/>
    </row>
    <row r="1659" spans="8:13" ht="13.5" thickBot="1">
      <c r="H1659" s="285"/>
      <c r="I1659" s="6"/>
      <c r="J1659" s="6"/>
      <c r="L1659" s="277"/>
      <c r="M1659" s="275"/>
    </row>
    <row r="1660" spans="8:13" ht="13.5" thickBot="1">
      <c r="H1660" s="285"/>
      <c r="I1660" s="6"/>
      <c r="J1660" s="6"/>
      <c r="L1660" s="277"/>
      <c r="M1660" s="275"/>
    </row>
    <row r="1661" spans="8:13" ht="13.5" thickBot="1">
      <c r="H1661" s="285"/>
      <c r="I1661" s="6"/>
      <c r="J1661" s="6"/>
      <c r="L1661" s="277"/>
      <c r="M1661" s="275"/>
    </row>
    <row r="1662" spans="8:13" ht="13.5" thickBot="1">
      <c r="H1662" s="285"/>
      <c r="I1662" s="6"/>
      <c r="J1662" s="6"/>
      <c r="L1662" s="277"/>
      <c r="M1662" s="275"/>
    </row>
    <row r="1663" spans="8:13" ht="13.5" thickBot="1">
      <c r="H1663" s="285"/>
      <c r="I1663" s="6"/>
      <c r="J1663" s="6"/>
      <c r="L1663" s="277"/>
      <c r="M1663" s="275"/>
    </row>
    <row r="1664" spans="8:13" ht="13.5" thickBot="1">
      <c r="H1664" s="285"/>
      <c r="I1664" s="6"/>
      <c r="J1664" s="6"/>
      <c r="L1664" s="277"/>
      <c r="M1664" s="275"/>
    </row>
    <row r="1665" spans="8:13" ht="13.5" thickBot="1">
      <c r="H1665" s="285"/>
      <c r="I1665" s="6"/>
      <c r="J1665" s="6"/>
      <c r="L1665" s="277"/>
      <c r="M1665" s="275"/>
    </row>
    <row r="1666" spans="8:13" ht="13.5" thickBot="1">
      <c r="H1666" s="285"/>
      <c r="I1666" s="6"/>
      <c r="J1666" s="6"/>
      <c r="L1666" s="277"/>
      <c r="M1666" s="275"/>
    </row>
    <row r="1667" spans="8:13" ht="13.5" thickBot="1">
      <c r="H1667" s="285"/>
      <c r="I1667" s="6"/>
      <c r="J1667" s="6"/>
      <c r="L1667" s="277"/>
      <c r="M1667" s="275"/>
    </row>
    <row r="1668" spans="8:13" ht="13.5" thickBot="1">
      <c r="H1668" s="285"/>
      <c r="I1668" s="6"/>
      <c r="J1668" s="6"/>
      <c r="L1668" s="277"/>
      <c r="M1668" s="275"/>
    </row>
    <row r="1669" spans="8:13" ht="13.5" thickBot="1">
      <c r="H1669" s="285"/>
      <c r="I1669" s="6"/>
      <c r="J1669" s="6"/>
      <c r="L1669" s="277"/>
      <c r="M1669" s="275"/>
    </row>
    <row r="1670" spans="8:13" ht="13.5" thickBot="1">
      <c r="H1670" s="285"/>
      <c r="I1670" s="6"/>
      <c r="J1670" s="6"/>
      <c r="L1670" s="277"/>
      <c r="M1670" s="275"/>
    </row>
    <row r="1671" spans="8:13" ht="13.5" thickBot="1">
      <c r="H1671" s="285"/>
      <c r="I1671" s="6"/>
      <c r="J1671" s="6"/>
      <c r="L1671" s="277"/>
      <c r="M1671" s="275"/>
    </row>
    <row r="1672" spans="8:13" ht="13.5" thickBot="1">
      <c r="H1672" s="285"/>
      <c r="I1672" s="6"/>
      <c r="J1672" s="6"/>
      <c r="L1672" s="277"/>
      <c r="M1672" s="275"/>
    </row>
    <row r="1673" spans="8:13" ht="13.5" thickBot="1">
      <c r="H1673" s="285"/>
      <c r="I1673" s="6"/>
      <c r="J1673" s="6"/>
      <c r="L1673" s="277"/>
      <c r="M1673" s="275"/>
    </row>
    <row r="1674" spans="8:13" ht="13.5" thickBot="1">
      <c r="H1674" s="285"/>
      <c r="I1674" s="6"/>
      <c r="J1674" s="6"/>
      <c r="L1674" s="277"/>
      <c r="M1674" s="275"/>
    </row>
    <row r="1675" spans="8:13" ht="13.5" thickBot="1">
      <c r="H1675" s="285"/>
      <c r="I1675" s="6"/>
      <c r="J1675" s="6"/>
      <c r="L1675" s="277"/>
      <c r="M1675" s="275"/>
    </row>
    <row r="1676" spans="8:13" ht="13.5" thickBot="1">
      <c r="H1676" s="285"/>
      <c r="I1676" s="6"/>
      <c r="J1676" s="6"/>
      <c r="L1676" s="277"/>
      <c r="M1676" s="275"/>
    </row>
    <row r="1677" spans="8:13" ht="13.5" thickBot="1">
      <c r="H1677" s="285"/>
      <c r="I1677" s="6"/>
      <c r="J1677" s="6"/>
      <c r="L1677" s="277"/>
      <c r="M1677" s="275"/>
    </row>
    <row r="1678" spans="8:13" ht="13.5" thickBot="1">
      <c r="H1678" s="285"/>
      <c r="I1678" s="6"/>
      <c r="J1678" s="6"/>
      <c r="L1678" s="277"/>
      <c r="M1678" s="275"/>
    </row>
    <row r="1679" spans="8:13" ht="13.5" thickBot="1">
      <c r="H1679" s="285"/>
      <c r="I1679" s="6"/>
      <c r="J1679" s="6"/>
      <c r="L1679" s="277"/>
      <c r="M1679" s="275"/>
    </row>
    <row r="1680" spans="8:13" ht="13.5" thickBot="1">
      <c r="H1680" s="285"/>
      <c r="I1680" s="6"/>
      <c r="J1680" s="6"/>
      <c r="L1680" s="277"/>
      <c r="M1680" s="275"/>
    </row>
    <row r="1681" spans="8:13" ht="13.5" thickBot="1">
      <c r="H1681" s="285"/>
      <c r="I1681" s="6"/>
      <c r="J1681" s="6"/>
      <c r="L1681" s="277"/>
      <c r="M1681" s="275"/>
    </row>
    <row r="1682" spans="8:13" ht="13.5" thickBot="1">
      <c r="H1682" s="285"/>
      <c r="I1682" s="6"/>
      <c r="J1682" s="6"/>
      <c r="L1682" s="277"/>
      <c r="M1682" s="275"/>
    </row>
    <row r="1683" spans="8:13" ht="13.5" thickBot="1">
      <c r="H1683" s="285"/>
      <c r="I1683" s="6"/>
      <c r="J1683" s="6"/>
      <c r="L1683" s="277"/>
      <c r="M1683" s="275"/>
    </row>
    <row r="1684" spans="8:13" ht="13.5" thickBot="1">
      <c r="H1684" s="285"/>
      <c r="I1684" s="6"/>
      <c r="J1684" s="6"/>
      <c r="L1684" s="277"/>
      <c r="M1684" s="275"/>
    </row>
    <row r="1685" spans="8:13" ht="13.5" thickBot="1">
      <c r="H1685" s="285"/>
      <c r="I1685" s="6"/>
      <c r="J1685" s="6"/>
      <c r="L1685" s="277"/>
      <c r="M1685" s="275"/>
    </row>
    <row r="1686" spans="8:13" ht="13.5" thickBot="1">
      <c r="H1686" s="285"/>
      <c r="I1686" s="6"/>
      <c r="J1686" s="6"/>
      <c r="L1686" s="277"/>
      <c r="M1686" s="275"/>
    </row>
    <row r="1687" spans="8:13" ht="13.5" thickBot="1">
      <c r="H1687" s="285"/>
      <c r="I1687" s="6"/>
      <c r="J1687" s="6"/>
      <c r="L1687" s="277"/>
      <c r="M1687" s="275"/>
    </row>
    <row r="1688" spans="8:13" ht="13.5" thickBot="1">
      <c r="H1688" s="285"/>
      <c r="I1688" s="6"/>
      <c r="J1688" s="6"/>
      <c r="L1688" s="277"/>
      <c r="M1688" s="275"/>
    </row>
    <row r="1689" spans="8:13" ht="13.5" thickBot="1">
      <c r="H1689" s="285"/>
      <c r="I1689" s="6"/>
      <c r="J1689" s="6"/>
      <c r="L1689" s="277"/>
      <c r="M1689" s="275"/>
    </row>
    <row r="1690" spans="8:13" ht="13.5" thickBot="1">
      <c r="H1690" s="285"/>
      <c r="I1690" s="6"/>
      <c r="J1690" s="6"/>
      <c r="L1690" s="277"/>
      <c r="M1690" s="275"/>
    </row>
    <row r="1691" spans="8:13" ht="13.5" thickBot="1">
      <c r="H1691" s="285"/>
      <c r="I1691" s="6"/>
      <c r="J1691" s="6"/>
      <c r="L1691" s="277"/>
      <c r="M1691" s="275"/>
    </row>
    <row r="1692" spans="8:13" ht="13.5" thickBot="1">
      <c r="H1692" s="285"/>
      <c r="I1692" s="6"/>
      <c r="J1692" s="6"/>
      <c r="L1692" s="277"/>
      <c r="M1692" s="275"/>
    </row>
    <row r="1693" spans="8:13" ht="13.5" thickBot="1">
      <c r="H1693" s="285"/>
      <c r="I1693" s="6"/>
      <c r="J1693" s="6"/>
      <c r="L1693" s="277"/>
      <c r="M1693" s="275"/>
    </row>
    <row r="1694" spans="8:13" ht="13.5" thickBot="1">
      <c r="H1694" s="285"/>
      <c r="I1694" s="6"/>
      <c r="J1694" s="6"/>
      <c r="L1694" s="277"/>
      <c r="M1694" s="275"/>
    </row>
    <row r="1695" spans="8:13" ht="13.5" thickBot="1">
      <c r="H1695" s="285"/>
      <c r="I1695" s="6"/>
      <c r="J1695" s="6"/>
      <c r="L1695" s="277"/>
      <c r="M1695" s="275"/>
    </row>
    <row r="1696" spans="8:13" ht="13.5" thickBot="1">
      <c r="H1696" s="285"/>
      <c r="I1696" s="6"/>
      <c r="J1696" s="6"/>
      <c r="L1696" s="277"/>
      <c r="M1696" s="275"/>
    </row>
    <row r="1697" spans="8:13" ht="13.5" thickBot="1">
      <c r="H1697" s="285"/>
      <c r="I1697" s="6"/>
      <c r="J1697" s="6"/>
      <c r="L1697" s="277"/>
      <c r="M1697" s="275"/>
    </row>
    <row r="1698" spans="8:13" ht="13.5" thickBot="1">
      <c r="H1698" s="285"/>
      <c r="I1698" s="6"/>
      <c r="J1698" s="6"/>
      <c r="L1698" s="277"/>
      <c r="M1698" s="275"/>
    </row>
    <row r="1699" spans="8:13" ht="13.5" thickBot="1">
      <c r="H1699" s="285"/>
      <c r="I1699" s="6"/>
      <c r="J1699" s="6"/>
      <c r="L1699" s="277"/>
      <c r="M1699" s="275"/>
    </row>
    <row r="1700" spans="8:13" ht="13.5" thickBot="1">
      <c r="H1700" s="285"/>
      <c r="I1700" s="6"/>
      <c r="J1700" s="6"/>
      <c r="L1700" s="277"/>
      <c r="M1700" s="275"/>
    </row>
    <row r="1701" spans="8:13" ht="13.5" thickBot="1">
      <c r="H1701" s="285"/>
      <c r="I1701" s="6"/>
      <c r="J1701" s="6"/>
      <c r="L1701" s="277"/>
      <c r="M1701" s="275"/>
    </row>
    <row r="1702" spans="8:13" ht="13.5" thickBot="1">
      <c r="H1702" s="285"/>
      <c r="I1702" s="6"/>
      <c r="J1702" s="6"/>
      <c r="L1702" s="277"/>
      <c r="M1702" s="275"/>
    </row>
    <row r="1703" spans="8:13" ht="13.5" thickBot="1">
      <c r="H1703" s="285"/>
      <c r="I1703" s="6"/>
      <c r="J1703" s="6"/>
      <c r="L1703" s="277"/>
      <c r="M1703" s="275"/>
    </row>
    <row r="1704" spans="8:13" ht="13.5" thickBot="1">
      <c r="H1704" s="285"/>
      <c r="I1704" s="6"/>
      <c r="J1704" s="6"/>
      <c r="L1704" s="277"/>
      <c r="M1704" s="275"/>
    </row>
    <row r="1705" spans="8:13" ht="13.5" thickBot="1">
      <c r="H1705" s="285"/>
      <c r="I1705" s="6"/>
      <c r="J1705" s="6"/>
      <c r="L1705" s="277"/>
      <c r="M1705" s="275"/>
    </row>
    <row r="1706" spans="8:13" ht="13.5" thickBot="1">
      <c r="H1706" s="285"/>
      <c r="I1706" s="6"/>
      <c r="J1706" s="6"/>
      <c r="L1706" s="277"/>
      <c r="M1706" s="275"/>
    </row>
    <row r="1707" spans="8:13" ht="13.5" thickBot="1">
      <c r="H1707" s="285"/>
      <c r="I1707" s="6"/>
      <c r="J1707" s="6"/>
      <c r="L1707" s="277"/>
      <c r="M1707" s="275"/>
    </row>
    <row r="1708" spans="8:13" ht="13.5" thickBot="1">
      <c r="H1708" s="285"/>
      <c r="I1708" s="6"/>
      <c r="J1708" s="6"/>
      <c r="L1708" s="277"/>
      <c r="M1708" s="275"/>
    </row>
    <row r="1709" spans="8:13" ht="13.5" thickBot="1">
      <c r="H1709" s="285"/>
      <c r="I1709" s="6"/>
      <c r="J1709" s="6"/>
      <c r="L1709" s="277"/>
      <c r="M1709" s="275"/>
    </row>
    <row r="1710" spans="8:13" ht="13.5" thickBot="1">
      <c r="H1710" s="285"/>
      <c r="I1710" s="6"/>
      <c r="J1710" s="6"/>
      <c r="L1710" s="277"/>
      <c r="M1710" s="275"/>
    </row>
    <row r="1711" spans="8:13" ht="13.5" thickBot="1">
      <c r="H1711" s="285"/>
      <c r="I1711" s="6"/>
      <c r="J1711" s="6"/>
      <c r="L1711" s="277"/>
      <c r="M1711" s="275"/>
    </row>
    <row r="1712" spans="8:13" ht="13.5" thickBot="1">
      <c r="H1712" s="285"/>
      <c r="I1712" s="6"/>
      <c r="J1712" s="6"/>
      <c r="L1712" s="277"/>
      <c r="M1712" s="275"/>
    </row>
    <row r="1713" spans="8:13" ht="13.5" thickBot="1">
      <c r="H1713" s="285"/>
      <c r="I1713" s="6"/>
      <c r="J1713" s="6"/>
      <c r="L1713" s="277"/>
      <c r="M1713" s="275"/>
    </row>
    <row r="1714" spans="8:13" ht="13.5" thickBot="1">
      <c r="H1714" s="285"/>
      <c r="I1714" s="6"/>
      <c r="J1714" s="6"/>
      <c r="L1714" s="277"/>
      <c r="M1714" s="275"/>
    </row>
    <row r="1715" spans="8:13" ht="13.5" thickBot="1">
      <c r="H1715" s="285"/>
      <c r="I1715" s="6"/>
      <c r="J1715" s="6"/>
      <c r="L1715" s="277"/>
      <c r="M1715" s="275"/>
    </row>
    <row r="1716" spans="8:13" ht="13.5" thickBot="1">
      <c r="H1716" s="285"/>
      <c r="I1716" s="6"/>
      <c r="J1716" s="6"/>
      <c r="L1716" s="277"/>
      <c r="M1716" s="275"/>
    </row>
    <row r="1717" spans="8:13" ht="13.5" thickBot="1">
      <c r="H1717" s="285"/>
      <c r="I1717" s="6"/>
      <c r="J1717" s="6"/>
      <c r="L1717" s="277"/>
      <c r="M1717" s="275"/>
    </row>
    <row r="1718" spans="8:13" ht="13.5" thickBot="1">
      <c r="H1718" s="285"/>
      <c r="I1718" s="6"/>
      <c r="J1718" s="6"/>
      <c r="L1718" s="277"/>
      <c r="M1718" s="275"/>
    </row>
    <row r="1719" spans="8:13" ht="13.5" thickBot="1">
      <c r="H1719" s="285"/>
      <c r="I1719" s="6"/>
      <c r="J1719" s="6"/>
      <c r="L1719" s="277"/>
      <c r="M1719" s="275"/>
    </row>
    <row r="1720" spans="8:13" ht="13.5" thickBot="1">
      <c r="H1720" s="285"/>
      <c r="I1720" s="6"/>
      <c r="J1720" s="6"/>
      <c r="L1720" s="277"/>
      <c r="M1720" s="275"/>
    </row>
    <row r="1721" spans="8:13" ht="13.5" thickBot="1">
      <c r="H1721" s="285"/>
      <c r="I1721" s="6"/>
      <c r="J1721" s="6"/>
      <c r="L1721" s="277"/>
      <c r="M1721" s="275"/>
    </row>
    <row r="1722" spans="8:13" ht="13.5" thickBot="1">
      <c r="H1722" s="285"/>
      <c r="I1722" s="6"/>
      <c r="J1722" s="6"/>
      <c r="L1722" s="277"/>
      <c r="M1722" s="275"/>
    </row>
    <row r="1723" spans="8:13" ht="13.5" thickBot="1">
      <c r="H1723" s="285"/>
      <c r="I1723" s="6"/>
      <c r="J1723" s="6"/>
      <c r="L1723" s="277"/>
      <c r="M1723" s="275"/>
    </row>
    <row r="1724" spans="8:13" ht="13.5" thickBot="1">
      <c r="H1724" s="285"/>
      <c r="I1724" s="6"/>
      <c r="J1724" s="6"/>
      <c r="L1724" s="277"/>
      <c r="M1724" s="275"/>
    </row>
    <row r="1725" spans="8:13" ht="13.5" thickBot="1">
      <c r="H1725" s="285"/>
      <c r="I1725" s="6"/>
      <c r="J1725" s="6"/>
      <c r="L1725" s="277"/>
      <c r="M1725" s="275"/>
    </row>
    <row r="1726" spans="8:13" ht="13.5" thickBot="1">
      <c r="H1726" s="285"/>
      <c r="I1726" s="6"/>
      <c r="J1726" s="6"/>
      <c r="L1726" s="277"/>
      <c r="M1726" s="275"/>
    </row>
    <row r="1727" spans="8:13" ht="13.5" thickBot="1">
      <c r="H1727" s="285"/>
      <c r="I1727" s="6"/>
      <c r="J1727" s="6"/>
      <c r="L1727" s="277"/>
      <c r="M1727" s="275"/>
    </row>
    <row r="1728" spans="8:13" ht="13.5" thickBot="1">
      <c r="H1728" s="285"/>
      <c r="I1728" s="6"/>
      <c r="J1728" s="6"/>
      <c r="L1728" s="277"/>
      <c r="M1728" s="275"/>
    </row>
    <row r="1729" spans="8:13" ht="13.5" thickBot="1">
      <c r="H1729" s="285"/>
      <c r="I1729" s="6"/>
      <c r="J1729" s="6"/>
      <c r="L1729" s="277"/>
      <c r="M1729" s="275"/>
    </row>
    <row r="1730" spans="8:13" ht="13.5" thickBot="1">
      <c r="H1730" s="285"/>
      <c r="I1730" s="6"/>
      <c r="J1730" s="6"/>
      <c r="L1730" s="277"/>
      <c r="M1730" s="275"/>
    </row>
    <row r="1731" spans="8:13" ht="13.5" thickBot="1">
      <c r="H1731" s="285"/>
      <c r="I1731" s="6"/>
      <c r="J1731" s="6"/>
      <c r="L1731" s="277"/>
      <c r="M1731" s="275"/>
    </row>
    <row r="1732" spans="8:13" ht="13.5" thickBot="1">
      <c r="H1732" s="285"/>
      <c r="I1732" s="6"/>
      <c r="J1732" s="6"/>
      <c r="L1732" s="277"/>
      <c r="M1732" s="275"/>
    </row>
    <row r="1733" spans="8:13" ht="13.5" thickBot="1">
      <c r="H1733" s="285"/>
      <c r="I1733" s="6"/>
      <c r="J1733" s="6"/>
      <c r="L1733" s="277"/>
      <c r="M1733" s="275"/>
    </row>
    <row r="1734" spans="8:13" ht="13.5" thickBot="1">
      <c r="H1734" s="285"/>
      <c r="I1734" s="6"/>
      <c r="J1734" s="6"/>
      <c r="L1734" s="277"/>
      <c r="M1734" s="275"/>
    </row>
    <row r="1735" spans="8:13" ht="13.5" thickBot="1">
      <c r="H1735" s="285"/>
      <c r="I1735" s="6"/>
      <c r="J1735" s="6"/>
      <c r="L1735" s="277"/>
      <c r="M1735" s="275"/>
    </row>
    <row r="1736" spans="8:13" ht="13.5" thickBot="1">
      <c r="H1736" s="285"/>
      <c r="I1736" s="6"/>
      <c r="J1736" s="6"/>
      <c r="L1736" s="277"/>
      <c r="M1736" s="275"/>
    </row>
    <row r="1737" spans="8:13" ht="13.5" thickBot="1">
      <c r="H1737" s="285"/>
      <c r="I1737" s="6"/>
      <c r="J1737" s="6"/>
      <c r="L1737" s="277"/>
      <c r="M1737" s="275"/>
    </row>
    <row r="1738" spans="8:13" ht="13.5" thickBot="1">
      <c r="H1738" s="285"/>
      <c r="I1738" s="6"/>
      <c r="J1738" s="6"/>
      <c r="L1738" s="277"/>
      <c r="M1738" s="275"/>
    </row>
    <row r="1739" spans="8:13" ht="13.5" thickBot="1">
      <c r="H1739" s="285"/>
      <c r="I1739" s="6"/>
      <c r="J1739" s="6"/>
      <c r="L1739" s="277"/>
      <c r="M1739" s="275"/>
    </row>
    <row r="1740" spans="8:13" ht="13.5" thickBot="1">
      <c r="H1740" s="285"/>
      <c r="I1740" s="6"/>
      <c r="J1740" s="6"/>
      <c r="L1740" s="277"/>
      <c r="M1740" s="275"/>
    </row>
    <row r="1741" spans="8:13" ht="13.5" thickBot="1">
      <c r="H1741" s="285"/>
      <c r="I1741" s="6"/>
      <c r="J1741" s="6"/>
      <c r="L1741" s="277"/>
      <c r="M1741" s="275"/>
    </row>
    <row r="1742" spans="8:13" ht="13.5" thickBot="1">
      <c r="H1742" s="285"/>
      <c r="I1742" s="6"/>
      <c r="J1742" s="6"/>
      <c r="L1742" s="277"/>
      <c r="M1742" s="275"/>
    </row>
    <row r="1743" spans="8:13" ht="13.5" thickBot="1">
      <c r="H1743" s="285"/>
      <c r="I1743" s="6"/>
      <c r="J1743" s="6"/>
      <c r="L1743" s="277"/>
      <c r="M1743" s="275"/>
    </row>
    <row r="1744" spans="8:13" ht="13.5" thickBot="1">
      <c r="H1744" s="285"/>
      <c r="I1744" s="6"/>
      <c r="J1744" s="6"/>
      <c r="L1744" s="277"/>
      <c r="M1744" s="275"/>
    </row>
    <row r="1745" spans="8:13" ht="13.5" thickBot="1">
      <c r="H1745" s="285"/>
      <c r="I1745" s="6"/>
      <c r="J1745" s="6"/>
      <c r="L1745" s="277"/>
      <c r="M1745" s="275"/>
    </row>
    <row r="1746" spans="8:13" ht="13.5" thickBot="1">
      <c r="H1746" s="285"/>
      <c r="I1746" s="6"/>
      <c r="J1746" s="6"/>
      <c r="L1746" s="277"/>
      <c r="M1746" s="275"/>
    </row>
    <row r="1747" spans="8:13" ht="13.5" thickBot="1">
      <c r="H1747" s="285"/>
      <c r="I1747" s="6"/>
      <c r="J1747" s="6"/>
      <c r="L1747" s="277"/>
      <c r="M1747" s="275"/>
    </row>
    <row r="1748" spans="8:13" ht="13.5" thickBot="1">
      <c r="H1748" s="285"/>
      <c r="I1748" s="6"/>
      <c r="J1748" s="6"/>
      <c r="L1748" s="277"/>
      <c r="M1748" s="275"/>
    </row>
    <row r="1749" spans="8:13" ht="13.5" thickBot="1">
      <c r="H1749" s="285"/>
      <c r="I1749" s="6"/>
      <c r="J1749" s="6"/>
      <c r="L1749" s="277"/>
      <c r="M1749" s="275"/>
    </row>
    <row r="1750" spans="8:13" ht="13.5" thickBot="1">
      <c r="H1750" s="285"/>
      <c r="I1750" s="6"/>
      <c r="J1750" s="6"/>
      <c r="L1750" s="277"/>
      <c r="M1750" s="275"/>
    </row>
    <row r="1751" spans="8:13" ht="13.5" thickBot="1">
      <c r="H1751" s="285"/>
      <c r="I1751" s="6"/>
      <c r="J1751" s="6"/>
      <c r="L1751" s="277"/>
      <c r="M1751" s="275"/>
    </row>
    <row r="1752" spans="8:13" ht="13.5" thickBot="1">
      <c r="H1752" s="285"/>
      <c r="I1752" s="6"/>
      <c r="J1752" s="6"/>
      <c r="L1752" s="277"/>
      <c r="M1752" s="275"/>
    </row>
    <row r="1753" spans="8:13" ht="13.5" thickBot="1">
      <c r="H1753" s="285"/>
      <c r="I1753" s="6"/>
      <c r="J1753" s="6"/>
      <c r="L1753" s="277"/>
      <c r="M1753" s="275"/>
    </row>
    <row r="1754" spans="8:13" ht="13.5" thickBot="1">
      <c r="H1754" s="285"/>
      <c r="I1754" s="6"/>
      <c r="J1754" s="6"/>
      <c r="L1754" s="277"/>
      <c r="M1754" s="275"/>
    </row>
    <row r="1755" spans="8:13" ht="13.5" thickBot="1">
      <c r="H1755" s="285"/>
      <c r="I1755" s="6"/>
      <c r="J1755" s="6"/>
      <c r="L1755" s="277"/>
      <c r="M1755" s="275"/>
    </row>
    <row r="1756" spans="8:13" ht="13.5" thickBot="1">
      <c r="H1756" s="285"/>
      <c r="I1756" s="6"/>
      <c r="J1756" s="6"/>
      <c r="L1756" s="277"/>
      <c r="M1756" s="275"/>
    </row>
    <row r="1757" spans="8:13" ht="13.5" thickBot="1">
      <c r="H1757" s="285"/>
      <c r="I1757" s="6"/>
      <c r="J1757" s="6"/>
      <c r="L1757" s="277"/>
      <c r="M1757" s="275"/>
    </row>
    <row r="1758" spans="8:13" ht="13.5" thickBot="1">
      <c r="H1758" s="285"/>
      <c r="I1758" s="6"/>
      <c r="J1758" s="6"/>
      <c r="L1758" s="277"/>
      <c r="M1758" s="275"/>
    </row>
    <row r="1759" spans="8:13" ht="13.5" thickBot="1">
      <c r="H1759" s="285"/>
      <c r="I1759" s="6"/>
      <c r="J1759" s="6"/>
      <c r="L1759" s="277"/>
      <c r="M1759" s="275"/>
    </row>
    <row r="1760" spans="8:13" ht="13.5" thickBot="1">
      <c r="H1760" s="285"/>
      <c r="I1760" s="6"/>
      <c r="J1760" s="6"/>
      <c r="L1760" s="277"/>
      <c r="M1760" s="275"/>
    </row>
    <row r="1761" spans="8:13" ht="13.5" thickBot="1">
      <c r="H1761" s="285"/>
      <c r="I1761" s="6"/>
      <c r="J1761" s="6"/>
      <c r="L1761" s="277"/>
      <c r="M1761" s="275"/>
    </row>
    <row r="1762" spans="8:13" ht="13.5" thickBot="1">
      <c r="H1762" s="285"/>
      <c r="I1762" s="6"/>
      <c r="J1762" s="6"/>
      <c r="L1762" s="277"/>
      <c r="M1762" s="275"/>
    </row>
    <row r="1763" spans="8:13" ht="13.5" thickBot="1">
      <c r="H1763" s="285"/>
      <c r="I1763" s="6"/>
      <c r="J1763" s="6"/>
      <c r="L1763" s="277"/>
      <c r="M1763" s="275"/>
    </row>
    <row r="1764" spans="8:13" ht="13.5" thickBot="1">
      <c r="H1764" s="285"/>
      <c r="I1764" s="6"/>
      <c r="J1764" s="6"/>
      <c r="L1764" s="277"/>
      <c r="M1764" s="275"/>
    </row>
    <row r="1765" spans="8:13" ht="13.5" thickBot="1">
      <c r="H1765" s="285"/>
      <c r="I1765" s="6"/>
      <c r="J1765" s="6"/>
      <c r="L1765" s="277"/>
      <c r="M1765" s="275"/>
    </row>
    <row r="1766" spans="8:13" ht="13.5" thickBot="1">
      <c r="H1766" s="285"/>
      <c r="I1766" s="6"/>
      <c r="J1766" s="6"/>
      <c r="L1766" s="277"/>
      <c r="M1766" s="275"/>
    </row>
    <row r="1767" spans="8:13" ht="13.5" thickBot="1">
      <c r="H1767" s="285"/>
      <c r="I1767" s="6"/>
      <c r="J1767" s="6"/>
      <c r="L1767" s="277"/>
      <c r="M1767" s="275"/>
    </row>
    <row r="1768" spans="8:13" ht="13.5" thickBot="1">
      <c r="H1768" s="285"/>
      <c r="I1768" s="6"/>
      <c r="J1768" s="6"/>
      <c r="L1768" s="277"/>
      <c r="M1768" s="275"/>
    </row>
    <row r="1769" spans="8:13" ht="13.5" thickBot="1">
      <c r="H1769" s="285"/>
      <c r="I1769" s="6"/>
      <c r="J1769" s="6"/>
      <c r="L1769" s="277"/>
      <c r="M1769" s="275"/>
    </row>
    <row r="1770" spans="8:13" ht="13.5" thickBot="1">
      <c r="H1770" s="285"/>
      <c r="I1770" s="6"/>
      <c r="J1770" s="6"/>
      <c r="L1770" s="277"/>
      <c r="M1770" s="275"/>
    </row>
    <row r="1771" spans="8:13" ht="13.5" thickBot="1">
      <c r="H1771" s="285"/>
      <c r="I1771" s="6"/>
      <c r="J1771" s="6"/>
      <c r="L1771" s="277"/>
      <c r="M1771" s="275"/>
    </row>
    <row r="1772" spans="8:13" ht="13.5" thickBot="1">
      <c r="H1772" s="285"/>
      <c r="I1772" s="6"/>
      <c r="J1772" s="6"/>
      <c r="L1772" s="277"/>
      <c r="M1772" s="275"/>
    </row>
    <row r="1773" spans="8:13" ht="13.5" thickBot="1">
      <c r="H1773" s="285"/>
      <c r="I1773" s="6"/>
      <c r="J1773" s="6"/>
      <c r="L1773" s="277"/>
      <c r="M1773" s="275"/>
    </row>
    <row r="1774" spans="8:13" ht="13.5" thickBot="1">
      <c r="H1774" s="285"/>
      <c r="I1774" s="6"/>
      <c r="J1774" s="6"/>
      <c r="L1774" s="277"/>
      <c r="M1774" s="275"/>
    </row>
    <row r="1775" spans="8:13" ht="13.5" thickBot="1">
      <c r="H1775" s="285"/>
      <c r="I1775" s="6"/>
      <c r="J1775" s="6"/>
      <c r="L1775" s="277"/>
      <c r="M1775" s="275"/>
    </row>
    <row r="1776" spans="8:13" ht="13.5" thickBot="1">
      <c r="H1776" s="285"/>
      <c r="I1776" s="6"/>
      <c r="J1776" s="6"/>
      <c r="L1776" s="277"/>
      <c r="M1776" s="275"/>
    </row>
    <row r="1777" spans="8:13" ht="13.5" thickBot="1">
      <c r="H1777" s="285"/>
      <c r="I1777" s="6"/>
      <c r="J1777" s="6"/>
      <c r="L1777" s="277"/>
      <c r="M1777" s="275"/>
    </row>
    <row r="1778" spans="8:13" ht="13.5" thickBot="1">
      <c r="H1778" s="285"/>
      <c r="I1778" s="6"/>
      <c r="J1778" s="6"/>
      <c r="L1778" s="277"/>
      <c r="M1778" s="275"/>
    </row>
    <row r="1779" spans="8:13" ht="13.5" thickBot="1">
      <c r="H1779" s="285"/>
      <c r="I1779" s="6"/>
      <c r="J1779" s="6"/>
      <c r="L1779" s="277"/>
      <c r="M1779" s="275"/>
    </row>
    <row r="1780" spans="8:13" ht="13.5" thickBot="1">
      <c r="H1780" s="285"/>
      <c r="I1780" s="6"/>
      <c r="J1780" s="6"/>
      <c r="L1780" s="277"/>
      <c r="M1780" s="275"/>
    </row>
    <row r="1781" spans="8:13" ht="13.5" thickBot="1">
      <c r="H1781" s="285"/>
      <c r="I1781" s="6"/>
      <c r="J1781" s="6"/>
      <c r="L1781" s="277"/>
      <c r="M1781" s="275"/>
    </row>
    <row r="1782" spans="8:13" ht="13.5" thickBot="1">
      <c r="H1782" s="285"/>
      <c r="I1782" s="6"/>
      <c r="J1782" s="6"/>
      <c r="L1782" s="277"/>
      <c r="M1782" s="275"/>
    </row>
    <row r="1783" spans="8:13" ht="13.5" thickBot="1">
      <c r="H1783" s="285"/>
      <c r="I1783" s="6"/>
      <c r="J1783" s="6"/>
      <c r="L1783" s="277"/>
      <c r="M1783" s="275"/>
    </row>
    <row r="1784" spans="8:13" ht="13.5" thickBot="1">
      <c r="H1784" s="285"/>
      <c r="I1784" s="6"/>
      <c r="J1784" s="6"/>
      <c r="L1784" s="277"/>
      <c r="M1784" s="275"/>
    </row>
    <row r="1785" spans="8:13" ht="13.5" thickBot="1">
      <c r="H1785" s="285"/>
      <c r="I1785" s="6"/>
      <c r="J1785" s="6"/>
      <c r="L1785" s="277"/>
      <c r="M1785" s="275"/>
    </row>
    <row r="1786" spans="8:13" ht="13.5" thickBot="1">
      <c r="H1786" s="285"/>
      <c r="I1786" s="6"/>
      <c r="J1786" s="6"/>
      <c r="L1786" s="277"/>
      <c r="M1786" s="275"/>
    </row>
    <row r="1787" spans="8:13" ht="13.5" thickBot="1">
      <c r="H1787" s="285"/>
      <c r="I1787" s="6"/>
      <c r="J1787" s="6"/>
      <c r="L1787" s="277"/>
      <c r="M1787" s="275"/>
    </row>
    <row r="1788" spans="8:13" ht="13.5" thickBot="1">
      <c r="H1788" s="285"/>
      <c r="I1788" s="6"/>
      <c r="J1788" s="6"/>
      <c r="L1788" s="277"/>
      <c r="M1788" s="275"/>
    </row>
    <row r="1789" spans="8:13" ht="13.5" thickBot="1">
      <c r="H1789" s="285"/>
      <c r="I1789" s="6"/>
      <c r="J1789" s="6"/>
      <c r="L1789" s="277"/>
      <c r="M1789" s="275"/>
    </row>
    <row r="1790" spans="8:13" ht="13.5" thickBot="1">
      <c r="H1790" s="285"/>
      <c r="I1790" s="6"/>
      <c r="J1790" s="6"/>
      <c r="L1790" s="277"/>
      <c r="M1790" s="275"/>
    </row>
    <row r="1791" spans="8:13" ht="13.5" thickBot="1">
      <c r="H1791" s="285"/>
      <c r="I1791" s="6"/>
      <c r="J1791" s="6"/>
      <c r="L1791" s="277"/>
      <c r="M1791" s="275"/>
    </row>
    <row r="1792" spans="8:13" ht="13.5" thickBot="1">
      <c r="H1792" s="285"/>
      <c r="I1792" s="6"/>
      <c r="J1792" s="6"/>
      <c r="L1792" s="277"/>
      <c r="M1792" s="275"/>
    </row>
    <row r="1793" spans="8:13" ht="13.5" thickBot="1">
      <c r="H1793" s="285"/>
      <c r="I1793" s="6"/>
      <c r="J1793" s="6"/>
      <c r="L1793" s="277"/>
      <c r="M1793" s="275"/>
    </row>
    <row r="1794" spans="8:13" ht="13.5" thickBot="1">
      <c r="H1794" s="285"/>
      <c r="I1794" s="6"/>
      <c r="J1794" s="6"/>
      <c r="L1794" s="277"/>
      <c r="M1794" s="275"/>
    </row>
    <row r="1795" spans="8:13" ht="13.5" thickBot="1">
      <c r="H1795" s="285"/>
      <c r="I1795" s="6"/>
      <c r="J1795" s="6"/>
      <c r="L1795" s="277"/>
      <c r="M1795" s="275"/>
    </row>
    <row r="1796" spans="8:13" ht="13.5" thickBot="1">
      <c r="H1796" s="285"/>
      <c r="I1796" s="6"/>
      <c r="J1796" s="6"/>
      <c r="L1796" s="277"/>
      <c r="M1796" s="275"/>
    </row>
    <row r="1797" spans="8:13" ht="13.5" thickBot="1">
      <c r="H1797" s="285"/>
      <c r="I1797" s="6"/>
      <c r="J1797" s="6"/>
      <c r="L1797" s="277"/>
      <c r="M1797" s="275"/>
    </row>
    <row r="1798" spans="8:13" ht="13.5" thickBot="1">
      <c r="H1798" s="285"/>
      <c r="I1798" s="6"/>
      <c r="J1798" s="6"/>
      <c r="L1798" s="277"/>
      <c r="M1798" s="275"/>
    </row>
    <row r="1799" spans="8:13" ht="13.5" thickBot="1">
      <c r="H1799" s="285"/>
      <c r="I1799" s="6"/>
      <c r="J1799" s="6"/>
      <c r="L1799" s="277"/>
      <c r="M1799" s="275"/>
    </row>
    <row r="1800" spans="8:13" ht="13.5" thickBot="1">
      <c r="H1800" s="285"/>
      <c r="I1800" s="6"/>
      <c r="J1800" s="6"/>
      <c r="L1800" s="277"/>
      <c r="M1800" s="275"/>
    </row>
    <row r="1801" spans="8:13" ht="13.5" thickBot="1">
      <c r="H1801" s="285"/>
      <c r="I1801" s="6"/>
      <c r="J1801" s="6"/>
      <c r="L1801" s="277"/>
      <c r="M1801" s="275"/>
    </row>
    <row r="1802" spans="8:13" ht="13.5" thickBot="1">
      <c r="H1802" s="285"/>
      <c r="I1802" s="6"/>
      <c r="J1802" s="6"/>
      <c r="L1802" s="277"/>
      <c r="M1802" s="275"/>
    </row>
    <row r="1803" spans="8:13" ht="13.5" thickBot="1">
      <c r="H1803" s="285"/>
      <c r="I1803" s="6"/>
      <c r="J1803" s="6"/>
      <c r="L1803" s="277"/>
      <c r="M1803" s="275"/>
    </row>
    <row r="1804" spans="8:13" ht="13.5" thickBot="1">
      <c r="H1804" s="285"/>
      <c r="I1804" s="6"/>
      <c r="J1804" s="6"/>
      <c r="L1804" s="277"/>
      <c r="M1804" s="275"/>
    </row>
    <row r="1805" spans="8:13" ht="13.5" thickBot="1">
      <c r="H1805" s="285"/>
      <c r="I1805" s="6"/>
      <c r="J1805" s="6"/>
      <c r="L1805" s="277"/>
      <c r="M1805" s="275"/>
    </row>
    <row r="1806" spans="8:13" ht="13.5" thickBot="1">
      <c r="H1806" s="285"/>
      <c r="I1806" s="6"/>
      <c r="J1806" s="6"/>
      <c r="L1806" s="277"/>
      <c r="M1806" s="275"/>
    </row>
    <row r="1807" spans="8:13" ht="13.5" thickBot="1">
      <c r="H1807" s="285"/>
      <c r="I1807" s="6"/>
      <c r="J1807" s="6"/>
      <c r="L1807" s="277"/>
      <c r="M1807" s="275"/>
    </row>
    <row r="1808" spans="8:13" ht="13.5" thickBot="1">
      <c r="H1808" s="285"/>
      <c r="I1808" s="6"/>
      <c r="J1808" s="6"/>
      <c r="L1808" s="277"/>
      <c r="M1808" s="275"/>
    </row>
    <row r="1809" spans="8:13" ht="13.5" thickBot="1">
      <c r="H1809" s="285"/>
      <c r="I1809" s="6"/>
      <c r="J1809" s="6"/>
      <c r="L1809" s="277"/>
      <c r="M1809" s="275"/>
    </row>
    <row r="1810" spans="8:13" ht="13.5" thickBot="1">
      <c r="H1810" s="285"/>
      <c r="I1810" s="6"/>
      <c r="J1810" s="6"/>
      <c r="L1810" s="277"/>
      <c r="M1810" s="275"/>
    </row>
    <row r="1811" spans="8:13" ht="13.5" thickBot="1">
      <c r="H1811" s="285"/>
      <c r="I1811" s="6"/>
      <c r="J1811" s="6"/>
      <c r="L1811" s="277"/>
      <c r="M1811" s="275"/>
    </row>
    <row r="1812" spans="8:13" ht="13.5" thickBot="1">
      <c r="H1812" s="285"/>
      <c r="I1812" s="6"/>
      <c r="J1812" s="6"/>
      <c r="L1812" s="277"/>
      <c r="M1812" s="275"/>
    </row>
    <row r="1813" spans="8:13" ht="13.5" thickBot="1">
      <c r="H1813" s="285"/>
      <c r="I1813" s="6"/>
      <c r="J1813" s="6"/>
      <c r="L1813" s="277"/>
      <c r="M1813" s="275"/>
    </row>
    <row r="1814" spans="8:13" ht="13.5" thickBot="1">
      <c r="H1814" s="285"/>
      <c r="I1814" s="6"/>
      <c r="J1814" s="6"/>
      <c r="L1814" s="277"/>
      <c r="M1814" s="275"/>
    </row>
    <row r="1815" spans="8:13" ht="13.5" thickBot="1">
      <c r="H1815" s="285"/>
      <c r="I1815" s="6"/>
      <c r="J1815" s="6"/>
      <c r="L1815" s="277"/>
      <c r="M1815" s="275"/>
    </row>
    <row r="1816" spans="8:13" ht="13.5" thickBot="1">
      <c r="H1816" s="285"/>
      <c r="I1816" s="6"/>
      <c r="J1816" s="6"/>
      <c r="L1816" s="277"/>
      <c r="M1816" s="275"/>
    </row>
    <row r="1817" spans="8:13" ht="13.5" thickBot="1">
      <c r="H1817" s="285"/>
      <c r="I1817" s="6"/>
      <c r="J1817" s="6"/>
      <c r="L1817" s="277"/>
      <c r="M1817" s="275"/>
    </row>
    <row r="1818" spans="8:13" ht="13.5" thickBot="1">
      <c r="H1818" s="285"/>
      <c r="I1818" s="6"/>
      <c r="J1818" s="6"/>
      <c r="L1818" s="277"/>
      <c r="M1818" s="275"/>
    </row>
    <row r="1819" spans="8:13" ht="13.5" thickBot="1">
      <c r="H1819" s="285"/>
      <c r="I1819" s="6"/>
      <c r="J1819" s="6"/>
      <c r="L1819" s="277"/>
      <c r="M1819" s="275"/>
    </row>
    <row r="1820" spans="8:13" ht="13.5" thickBot="1">
      <c r="H1820" s="285"/>
      <c r="I1820" s="6"/>
      <c r="J1820" s="6"/>
      <c r="L1820" s="277"/>
      <c r="M1820" s="275"/>
    </row>
    <row r="1821" spans="8:13" ht="13.5" thickBot="1">
      <c r="H1821" s="285"/>
      <c r="I1821" s="6"/>
      <c r="J1821" s="6"/>
      <c r="L1821" s="277"/>
      <c r="M1821" s="275"/>
    </row>
    <row r="1822" spans="8:13" ht="13.5" thickBot="1">
      <c r="H1822" s="285"/>
      <c r="I1822" s="6"/>
      <c r="J1822" s="6"/>
      <c r="L1822" s="277"/>
      <c r="M1822" s="275"/>
    </row>
    <row r="1823" spans="8:13" ht="13.5" thickBot="1">
      <c r="H1823" s="285"/>
      <c r="I1823" s="6"/>
      <c r="J1823" s="6"/>
      <c r="L1823" s="277"/>
      <c r="M1823" s="275"/>
    </row>
    <row r="1824" spans="8:13" ht="13.5" thickBot="1">
      <c r="H1824" s="285"/>
      <c r="I1824" s="6"/>
      <c r="J1824" s="6"/>
      <c r="L1824" s="277"/>
      <c r="M1824" s="275"/>
    </row>
    <row r="1825" spans="8:13" ht="13.5" thickBot="1">
      <c r="H1825" s="285"/>
      <c r="I1825" s="6"/>
      <c r="J1825" s="6"/>
      <c r="L1825" s="277"/>
      <c r="M1825" s="275"/>
    </row>
    <row r="1826" spans="8:13" ht="13.5" thickBot="1">
      <c r="H1826" s="285"/>
      <c r="I1826" s="6"/>
      <c r="J1826" s="6"/>
      <c r="L1826" s="277"/>
      <c r="M1826" s="275"/>
    </row>
    <row r="1827" spans="8:13" ht="13.5" thickBot="1">
      <c r="H1827" s="285"/>
      <c r="I1827" s="6"/>
      <c r="J1827" s="6"/>
      <c r="L1827" s="277"/>
      <c r="M1827" s="275"/>
    </row>
    <row r="1828" spans="8:13" ht="13.5" thickBot="1">
      <c r="H1828" s="285"/>
      <c r="I1828" s="6"/>
      <c r="J1828" s="6"/>
      <c r="L1828" s="277"/>
      <c r="M1828" s="275"/>
    </row>
    <row r="1829" spans="8:13" ht="13.5" thickBot="1">
      <c r="H1829" s="285"/>
      <c r="I1829" s="6"/>
      <c r="J1829" s="6"/>
      <c r="L1829" s="277"/>
      <c r="M1829" s="275"/>
    </row>
    <row r="1830" spans="8:13" ht="13.5" thickBot="1">
      <c r="H1830" s="285"/>
      <c r="I1830" s="6"/>
      <c r="J1830" s="6"/>
      <c r="L1830" s="277"/>
      <c r="M1830" s="275"/>
    </row>
    <row r="1831" spans="8:13" ht="13.5" thickBot="1">
      <c r="H1831" s="285"/>
      <c r="I1831" s="6"/>
      <c r="J1831" s="6"/>
      <c r="L1831" s="277"/>
      <c r="M1831" s="275"/>
    </row>
    <row r="1832" spans="8:13" ht="13.5" thickBot="1">
      <c r="H1832" s="285"/>
      <c r="I1832" s="6"/>
      <c r="J1832" s="6"/>
      <c r="L1832" s="277"/>
      <c r="M1832" s="275"/>
    </row>
    <row r="1833" spans="8:13" ht="13.5" thickBot="1">
      <c r="H1833" s="285"/>
      <c r="I1833" s="6"/>
      <c r="J1833" s="6"/>
      <c r="L1833" s="277"/>
      <c r="M1833" s="275"/>
    </row>
    <row r="1834" spans="8:13" ht="13.5" thickBot="1">
      <c r="H1834" s="285"/>
      <c r="I1834" s="6"/>
      <c r="J1834" s="6"/>
      <c r="L1834" s="277"/>
      <c r="M1834" s="275"/>
    </row>
    <row r="1835" spans="8:13" ht="13.5" thickBot="1">
      <c r="H1835" s="285"/>
      <c r="I1835" s="6"/>
      <c r="J1835" s="6"/>
      <c r="L1835" s="277"/>
      <c r="M1835" s="275"/>
    </row>
    <row r="1836" spans="8:13" ht="13.5" thickBot="1">
      <c r="H1836" s="285"/>
      <c r="I1836" s="6"/>
      <c r="J1836" s="6"/>
      <c r="L1836" s="277"/>
      <c r="M1836" s="275"/>
    </row>
    <row r="1837" spans="8:13" ht="13.5" thickBot="1">
      <c r="H1837" s="285"/>
      <c r="I1837" s="6"/>
      <c r="J1837" s="6"/>
      <c r="L1837" s="277"/>
      <c r="M1837" s="275"/>
    </row>
    <row r="1838" spans="8:13" ht="13.5" thickBot="1">
      <c r="H1838" s="285"/>
      <c r="I1838" s="6"/>
      <c r="J1838" s="6"/>
      <c r="L1838" s="277"/>
      <c r="M1838" s="275"/>
    </row>
    <row r="1839" spans="8:13" ht="13.5" thickBot="1">
      <c r="H1839" s="285"/>
      <c r="I1839" s="6"/>
      <c r="J1839" s="6"/>
      <c r="L1839" s="277"/>
      <c r="M1839" s="275"/>
    </row>
    <row r="1840" spans="8:13" ht="13.5" thickBot="1">
      <c r="H1840" s="285"/>
      <c r="I1840" s="6"/>
      <c r="J1840" s="6"/>
      <c r="L1840" s="277"/>
      <c r="M1840" s="275"/>
    </row>
    <row r="1841" spans="8:13" ht="13.5" thickBot="1">
      <c r="H1841" s="285"/>
      <c r="I1841" s="6"/>
      <c r="J1841" s="6"/>
      <c r="L1841" s="277"/>
      <c r="M1841" s="275"/>
    </row>
    <row r="1842" spans="8:13" ht="13.5" thickBot="1">
      <c r="H1842" s="285"/>
      <c r="I1842" s="6"/>
      <c r="J1842" s="6"/>
      <c r="L1842" s="277"/>
      <c r="M1842" s="275"/>
    </row>
    <row r="1843" spans="8:13" ht="13.5" thickBot="1">
      <c r="H1843" s="285"/>
      <c r="I1843" s="6"/>
      <c r="J1843" s="6"/>
      <c r="L1843" s="277"/>
      <c r="M1843" s="275"/>
    </row>
    <row r="1844" spans="8:13" ht="13.5" thickBot="1">
      <c r="H1844" s="285"/>
      <c r="I1844" s="6"/>
      <c r="J1844" s="6"/>
      <c r="L1844" s="277"/>
      <c r="M1844" s="275"/>
    </row>
    <row r="1845" spans="8:13" ht="13.5" thickBot="1">
      <c r="H1845" s="285"/>
      <c r="I1845" s="6"/>
      <c r="J1845" s="6"/>
      <c r="L1845" s="277"/>
      <c r="M1845" s="275"/>
    </row>
    <row r="1846" spans="8:13" ht="13.5" thickBot="1">
      <c r="H1846" s="285"/>
      <c r="I1846" s="6"/>
      <c r="J1846" s="6"/>
      <c r="L1846" s="277"/>
      <c r="M1846" s="275"/>
    </row>
    <row r="1847" spans="8:13" ht="13.5" thickBot="1">
      <c r="H1847" s="285"/>
      <c r="I1847" s="6"/>
      <c r="J1847" s="6"/>
      <c r="L1847" s="277"/>
      <c r="M1847" s="275"/>
    </row>
    <row r="1848" spans="8:13" ht="13.5" thickBot="1">
      <c r="H1848" s="285"/>
      <c r="I1848" s="6"/>
      <c r="J1848" s="6"/>
      <c r="L1848" s="277"/>
      <c r="M1848" s="275"/>
    </row>
    <row r="1849" spans="8:13" ht="13.5" thickBot="1">
      <c r="H1849" s="285"/>
      <c r="I1849" s="6"/>
      <c r="J1849" s="6"/>
      <c r="L1849" s="277"/>
      <c r="M1849" s="275"/>
    </row>
    <row r="1850" spans="8:13" ht="13.5" thickBot="1">
      <c r="H1850" s="285"/>
      <c r="I1850" s="6"/>
      <c r="J1850" s="6"/>
      <c r="L1850" s="277"/>
      <c r="M1850" s="275"/>
    </row>
    <row r="1851" spans="8:13" ht="13.5" thickBot="1">
      <c r="H1851" s="285"/>
      <c r="I1851" s="6"/>
      <c r="J1851" s="6"/>
      <c r="L1851" s="277"/>
      <c r="M1851" s="275"/>
    </row>
    <row r="1852" spans="8:13" ht="13.5" thickBot="1">
      <c r="H1852" s="285"/>
      <c r="I1852" s="6"/>
      <c r="J1852" s="6"/>
      <c r="L1852" s="277"/>
      <c r="M1852" s="275"/>
    </row>
    <row r="1853" spans="8:13" ht="13.5" thickBot="1">
      <c r="H1853" s="285"/>
      <c r="I1853" s="6"/>
      <c r="J1853" s="6"/>
      <c r="L1853" s="277"/>
      <c r="M1853" s="275"/>
    </row>
    <row r="1854" spans="8:13" ht="13.5" thickBot="1">
      <c r="H1854" s="285"/>
      <c r="I1854" s="6"/>
      <c r="J1854" s="6"/>
      <c r="L1854" s="277"/>
      <c r="M1854" s="275"/>
    </row>
    <row r="1855" spans="8:13" ht="13.5" thickBot="1">
      <c r="H1855" s="285"/>
      <c r="I1855" s="6"/>
      <c r="J1855" s="6"/>
      <c r="L1855" s="277"/>
      <c r="M1855" s="275"/>
    </row>
    <row r="1856" spans="8:13" ht="13.5" thickBot="1">
      <c r="H1856" s="285"/>
      <c r="I1856" s="6"/>
      <c r="J1856" s="6"/>
      <c r="L1856" s="277"/>
      <c r="M1856" s="275"/>
    </row>
    <row r="1857" spans="8:13" ht="13.5" thickBot="1">
      <c r="H1857" s="285"/>
      <c r="I1857" s="6"/>
      <c r="J1857" s="6"/>
      <c r="L1857" s="277"/>
      <c r="M1857" s="275"/>
    </row>
    <row r="1858" spans="8:13" ht="13.5" thickBot="1">
      <c r="H1858" s="285"/>
      <c r="I1858" s="6"/>
      <c r="J1858" s="6"/>
      <c r="L1858" s="277"/>
      <c r="M1858" s="275"/>
    </row>
    <row r="1859" spans="8:13" ht="13.5" thickBot="1">
      <c r="H1859" s="285"/>
      <c r="I1859" s="6"/>
      <c r="J1859" s="6"/>
      <c r="L1859" s="277"/>
      <c r="M1859" s="275"/>
    </row>
    <row r="1860" spans="8:13" ht="13.5" thickBot="1">
      <c r="H1860" s="285"/>
      <c r="I1860" s="6"/>
      <c r="J1860" s="6"/>
      <c r="L1860" s="277"/>
      <c r="M1860" s="275"/>
    </row>
    <row r="1861" spans="8:13" ht="13.5" thickBot="1">
      <c r="H1861" s="285"/>
      <c r="I1861" s="6"/>
      <c r="J1861" s="6"/>
      <c r="L1861" s="277"/>
      <c r="M1861" s="275"/>
    </row>
    <row r="1862" spans="8:13" ht="13.5" thickBot="1">
      <c r="H1862" s="285"/>
      <c r="I1862" s="6"/>
      <c r="J1862" s="6"/>
      <c r="L1862" s="277"/>
      <c r="M1862" s="275"/>
    </row>
    <row r="1863" spans="8:13" ht="13.5" thickBot="1">
      <c r="H1863" s="285"/>
      <c r="I1863" s="6"/>
      <c r="J1863" s="6"/>
      <c r="L1863" s="277"/>
      <c r="M1863" s="275"/>
    </row>
    <row r="1864" spans="8:13" ht="13.5" thickBot="1">
      <c r="H1864" s="285"/>
      <c r="I1864" s="6"/>
      <c r="J1864" s="6"/>
      <c r="L1864" s="277"/>
      <c r="M1864" s="275"/>
    </row>
    <row r="1865" spans="8:13" ht="13.5" thickBot="1">
      <c r="H1865" s="285"/>
      <c r="I1865" s="6"/>
      <c r="J1865" s="6"/>
      <c r="L1865" s="277"/>
      <c r="M1865" s="275"/>
    </row>
    <row r="1866" spans="8:13" ht="13.5" thickBot="1">
      <c r="H1866" s="285"/>
      <c r="I1866" s="6"/>
      <c r="J1866" s="6"/>
      <c r="L1866" s="277"/>
      <c r="M1866" s="275"/>
    </row>
    <row r="1867" spans="8:13" ht="13.5" thickBot="1">
      <c r="H1867" s="285"/>
      <c r="I1867" s="6"/>
      <c r="J1867" s="6"/>
      <c r="L1867" s="277"/>
      <c r="M1867" s="275"/>
    </row>
    <row r="1868" spans="8:13" ht="13.5" thickBot="1">
      <c r="H1868" s="285"/>
      <c r="I1868" s="6"/>
      <c r="J1868" s="6"/>
      <c r="L1868" s="277"/>
      <c r="M1868" s="275"/>
    </row>
    <row r="1869" spans="8:13" ht="13.5" thickBot="1">
      <c r="H1869" s="285"/>
      <c r="I1869" s="6"/>
      <c r="J1869" s="6"/>
      <c r="L1869" s="277"/>
      <c r="M1869" s="275"/>
    </row>
    <row r="1870" spans="8:13" ht="13.5" thickBot="1">
      <c r="H1870" s="285"/>
      <c r="I1870" s="6"/>
      <c r="J1870" s="6"/>
      <c r="L1870" s="277"/>
      <c r="M1870" s="275"/>
    </row>
    <row r="1871" spans="8:13" ht="13.5" thickBot="1">
      <c r="H1871" s="285"/>
      <c r="I1871" s="6"/>
      <c r="J1871" s="6"/>
      <c r="L1871" s="277"/>
      <c r="M1871" s="275"/>
    </row>
    <row r="1872" spans="8:13" ht="13.5" thickBot="1">
      <c r="H1872" s="285"/>
      <c r="I1872" s="6"/>
      <c r="J1872" s="6"/>
      <c r="L1872" s="277"/>
      <c r="M1872" s="275"/>
    </row>
    <row r="1873" spans="8:13" ht="13.5" thickBot="1">
      <c r="H1873" s="285"/>
      <c r="I1873" s="6"/>
      <c r="J1873" s="6"/>
      <c r="L1873" s="277"/>
      <c r="M1873" s="275"/>
    </row>
    <row r="1874" spans="8:13" ht="13.5" thickBot="1">
      <c r="H1874" s="285"/>
      <c r="I1874" s="6"/>
      <c r="J1874" s="6"/>
      <c r="L1874" s="277"/>
      <c r="M1874" s="275"/>
    </row>
    <row r="1875" spans="8:13" ht="13.5" thickBot="1">
      <c r="H1875" s="285"/>
      <c r="I1875" s="6"/>
      <c r="J1875" s="6"/>
      <c r="L1875" s="277"/>
      <c r="M1875" s="275"/>
    </row>
    <row r="1876" spans="8:13" ht="13.5" thickBot="1">
      <c r="H1876" s="285"/>
      <c r="I1876" s="6"/>
      <c r="J1876" s="6"/>
      <c r="L1876" s="277"/>
      <c r="M1876" s="275"/>
    </row>
    <row r="1877" spans="8:13" ht="13.5" thickBot="1">
      <c r="H1877" s="285"/>
      <c r="I1877" s="6"/>
      <c r="J1877" s="6"/>
      <c r="L1877" s="277"/>
      <c r="M1877" s="275"/>
    </row>
    <row r="1878" spans="8:13" ht="13.5" thickBot="1">
      <c r="H1878" s="285"/>
      <c r="I1878" s="6"/>
      <c r="J1878" s="6"/>
      <c r="L1878" s="277"/>
      <c r="M1878" s="275"/>
    </row>
    <row r="1879" spans="8:13" ht="13.5" thickBot="1">
      <c r="H1879" s="285"/>
      <c r="I1879" s="6"/>
      <c r="J1879" s="6"/>
      <c r="L1879" s="277"/>
      <c r="M1879" s="275"/>
    </row>
    <row r="1880" spans="8:13" ht="13.5" thickBot="1">
      <c r="H1880" s="285"/>
      <c r="I1880" s="6"/>
      <c r="J1880" s="6"/>
      <c r="L1880" s="277"/>
      <c r="M1880" s="275"/>
    </row>
    <row r="1881" spans="8:13" ht="13.5" thickBot="1">
      <c r="H1881" s="285"/>
      <c r="I1881" s="6"/>
      <c r="J1881" s="6"/>
      <c r="L1881" s="277"/>
      <c r="M1881" s="275"/>
    </row>
    <row r="1882" spans="8:13" ht="13.5" thickBot="1">
      <c r="H1882" s="285"/>
      <c r="I1882" s="6"/>
      <c r="J1882" s="6"/>
      <c r="L1882" s="277"/>
      <c r="M1882" s="275"/>
    </row>
    <row r="1883" spans="8:13" ht="13.5" thickBot="1">
      <c r="H1883" s="285"/>
      <c r="I1883" s="6"/>
      <c r="J1883" s="6"/>
      <c r="L1883" s="277"/>
      <c r="M1883" s="275"/>
    </row>
    <row r="1884" spans="8:13" ht="13.5" thickBot="1">
      <c r="H1884" s="285"/>
      <c r="I1884" s="6"/>
      <c r="J1884" s="6"/>
      <c r="L1884" s="277"/>
      <c r="M1884" s="275"/>
    </row>
    <row r="1885" spans="8:13" ht="13.5" thickBot="1">
      <c r="H1885" s="285"/>
      <c r="I1885" s="6"/>
      <c r="J1885" s="6"/>
      <c r="L1885" s="277"/>
      <c r="M1885" s="275"/>
    </row>
    <row r="1886" spans="8:13">
      <c r="H1886" s="285"/>
      <c r="I1886" s="6"/>
      <c r="J1886" s="6"/>
      <c r="L1886" s="277"/>
      <c r="M1886" s="275"/>
    </row>
    <row r="1887" spans="8:13">
      <c r="H1887" s="285"/>
    </row>
    <row r="1888" spans="8:13">
      <c r="H1888" s="285"/>
    </row>
  </sheetData>
  <mergeCells count="6">
    <mergeCell ref="L3:M3"/>
    <mergeCell ref="A8:B8"/>
    <mergeCell ref="A12:B12"/>
    <mergeCell ref="E12:F12"/>
    <mergeCell ref="A1:F5"/>
    <mergeCell ref="H2:J2"/>
  </mergeCells>
  <phoneticPr fontId="24" type="noConversion"/>
  <printOptions verticalCentered="1"/>
  <pageMargins left="0.75" right="0.75" top="0.5" bottom="0.5" header="0.25" footer="0.25"/>
  <pageSetup scale="10" orientation="portrait"/>
  <headerFooter alignWithMargins="0">
    <oddHeader>&amp;R&amp;"Arial,Italic"Copyright 2007 Money-zine.com</oddHeader>
    <oddFooter>&amp;L&amp;D &amp;T&amp;C&amp;A&amp;R&amp;F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502C91A9A5324BA197FAEF7DD18E40" ma:contentTypeVersion="2" ma:contentTypeDescription="Create a new document." ma:contentTypeScope="" ma:versionID="e844cdd773739390ebf3263c863176a2">
  <xsd:schema xmlns:xsd="http://www.w3.org/2001/XMLSchema" xmlns:xs="http://www.w3.org/2001/XMLSchema" xmlns:p="http://schemas.microsoft.com/office/2006/metadata/properties" xmlns:ns3="88d0a9d8-1f6c-44a0-892f-44f6710288eb" targetNamespace="http://schemas.microsoft.com/office/2006/metadata/properties" ma:root="true" ma:fieldsID="1f5ae61770427c1b0faa75c18eb4d15b" ns3:_="">
    <xsd:import namespace="88d0a9d8-1f6c-44a0-892f-44f6710288e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d0a9d8-1f6c-44a0-892f-44f6710288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591F04-31BA-4D0D-B34D-C472FD8BA688}">
  <ds:schemaRefs>
    <ds:schemaRef ds:uri="http://schemas.microsoft.com/office/2006/metadata/properties"/>
    <ds:schemaRef ds:uri="http://www.w3.org/XML/1998/namespace"/>
    <ds:schemaRef ds:uri="http://purl.org/dc/elements/1.1/"/>
    <ds:schemaRef ds:uri="88d0a9d8-1f6c-44a0-892f-44f6710288eb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4F98C59-1148-444F-9331-B261A261F9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d0a9d8-1f6c-44a0-892f-44f6710288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B702966-6F36-4B9D-87EA-DF5C9B17167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Cover</vt:lpstr>
      <vt:lpstr>YoY</vt:lpstr>
      <vt:lpstr>Scenarios</vt:lpstr>
      <vt:lpstr>Revenue</vt:lpstr>
      <vt:lpstr>Valuation</vt:lpstr>
      <vt:lpstr>PL</vt:lpstr>
      <vt:lpstr>BS</vt:lpstr>
      <vt:lpstr>CF</vt:lpstr>
      <vt:lpstr>Assumptions</vt:lpstr>
      <vt:lpstr>Data</vt:lpstr>
      <vt:lpstr>FX Data</vt:lpstr>
      <vt:lpstr>Charts</vt:lpstr>
      <vt:lpstr>Report</vt:lpstr>
      <vt:lpstr>Ratios</vt:lpstr>
      <vt:lpstr>Beta</vt:lpstr>
      <vt:lpstr>Assumptions!Print_Area</vt:lpstr>
      <vt:lpstr>BS!Print_Area</vt:lpstr>
      <vt:lpstr>CF!Print_Area</vt:lpstr>
      <vt:lpstr>PL!Print_Area</vt:lpstr>
      <vt:lpstr>Ratios!Print_Area</vt:lpstr>
      <vt:lpstr>Valuation!Print_Area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</dc:creator>
  <cp:lastModifiedBy>Quan, Ton Dat</cp:lastModifiedBy>
  <cp:revision>1</cp:revision>
  <cp:lastPrinted>2025-04-09T02:59:42Z</cp:lastPrinted>
  <dcterms:created xsi:type="dcterms:W3CDTF">2006-04-06T06:05:44Z</dcterms:created>
  <dcterms:modified xsi:type="dcterms:W3CDTF">2026-07-27T08:24:18Z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0x01010098502C91A9A5324BA197FAEF7DD18E40</vt:lpwstr>
  </property>
</Properties>
</file>